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3.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4.xml" ContentType="application/vnd.openxmlformats-officedocument.drawing+xml"/>
  <Override PartName="/xl/comments1.xml" ContentType="application/vnd.openxmlformats-officedocument.spreadsheetml.comments+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5.xml" ContentType="application/vnd.openxmlformats-officedocument.drawing+xml"/>
  <Override PartName="/xl/comments2.xml" ContentType="application/vnd.openxmlformats-officedocument.spreadsheetml.comments+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6.xml" ContentType="application/vnd.openxmlformats-officedocument.drawing+xml"/>
  <Override PartName="/xl/comments3.xml" ContentType="application/vnd.openxmlformats-officedocument.spreadsheetml.comments+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7.xml" ContentType="application/vnd.openxmlformats-officedocument.drawing+xml"/>
  <Override PartName="/xl/comments4.xml" ContentType="application/vnd.openxmlformats-officedocument.spreadsheetml.comments+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8.xml" ContentType="application/vnd.openxmlformats-officedocument.drawing+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9.xml" ContentType="application/vnd.openxmlformats-officedocument.drawing+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drawings/drawing10.xml" ContentType="application/vnd.openxmlformats-officedocument.drawing+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charts/chart69.xml" ContentType="application/vnd.openxmlformats-officedocument.drawingml.chart+xml"/>
  <Override PartName="/xl/charts/style69.xml" ContentType="application/vnd.ms-office.chartstyle+xml"/>
  <Override PartName="/xl/charts/colors69.xml" ContentType="application/vnd.ms-office.chartcolorstyle+xml"/>
  <Override PartName="/xl/charts/chart70.xml" ContentType="application/vnd.openxmlformats-officedocument.drawingml.chart+xml"/>
  <Override PartName="/xl/charts/style70.xml" ContentType="application/vnd.ms-office.chartstyle+xml"/>
  <Override PartName="/xl/charts/colors70.xml" ContentType="application/vnd.ms-office.chartcolorstyle+xml"/>
  <Override PartName="/xl/drawings/drawing11.xml" ContentType="application/vnd.openxmlformats-officedocument.drawing+xml"/>
  <Override PartName="/xl/charts/chart71.xml" ContentType="application/vnd.openxmlformats-officedocument.drawingml.chart+xml"/>
  <Override PartName="/xl/charts/style71.xml" ContentType="application/vnd.ms-office.chartstyle+xml"/>
  <Override PartName="/xl/charts/colors71.xml" ContentType="application/vnd.ms-office.chartcolorstyle+xml"/>
  <Override PartName="/xl/charts/chart72.xml" ContentType="application/vnd.openxmlformats-officedocument.drawingml.chart+xml"/>
  <Override PartName="/xl/charts/style72.xml" ContentType="application/vnd.ms-office.chartstyle+xml"/>
  <Override PartName="/xl/charts/colors72.xml" ContentType="application/vnd.ms-office.chartcolorstyle+xml"/>
  <Override PartName="/xl/charts/chart73.xml" ContentType="application/vnd.openxmlformats-officedocument.drawingml.chart+xml"/>
  <Override PartName="/xl/charts/style73.xml" ContentType="application/vnd.ms-office.chartstyle+xml"/>
  <Override PartName="/xl/charts/colors73.xml" ContentType="application/vnd.ms-office.chartcolorstyle+xml"/>
  <Override PartName="/xl/charts/chart74.xml" ContentType="application/vnd.openxmlformats-officedocument.drawingml.chart+xml"/>
  <Override PartName="/xl/charts/style74.xml" ContentType="application/vnd.ms-office.chartstyle+xml"/>
  <Override PartName="/xl/charts/colors74.xml" ContentType="application/vnd.ms-office.chartcolorstyle+xml"/>
  <Override PartName="/xl/charts/chart75.xml" ContentType="application/vnd.openxmlformats-officedocument.drawingml.chart+xml"/>
  <Override PartName="/xl/charts/style75.xml" ContentType="application/vnd.ms-office.chartstyle+xml"/>
  <Override PartName="/xl/charts/colors75.xml" ContentType="application/vnd.ms-office.chartcolorstyle+xml"/>
  <Override PartName="/xl/charts/chart76.xml" ContentType="application/vnd.openxmlformats-officedocument.drawingml.chart+xml"/>
  <Override PartName="/xl/charts/style76.xml" ContentType="application/vnd.ms-office.chartstyle+xml"/>
  <Override PartName="/xl/charts/colors76.xml" ContentType="application/vnd.ms-office.chartcolorstyle+xml"/>
  <Override PartName="/xl/charts/chart77.xml" ContentType="application/vnd.openxmlformats-officedocument.drawingml.chart+xml"/>
  <Override PartName="/xl/charts/style77.xml" ContentType="application/vnd.ms-office.chartstyle+xml"/>
  <Override PartName="/xl/charts/colors77.xml" ContentType="application/vnd.ms-office.chartcolorstyle+xml"/>
  <Override PartName="/xl/charts/chart78.xml" ContentType="application/vnd.openxmlformats-officedocument.drawingml.chart+xml"/>
  <Override PartName="/xl/charts/style78.xml" ContentType="application/vnd.ms-office.chartstyle+xml"/>
  <Override PartName="/xl/charts/colors78.xml" ContentType="application/vnd.ms-office.chartcolorstyle+xml"/>
  <Override PartName="/xl/charts/chart79.xml" ContentType="application/vnd.openxmlformats-officedocument.drawingml.chart+xml"/>
  <Override PartName="/xl/charts/style79.xml" ContentType="application/vnd.ms-office.chartstyle+xml"/>
  <Override PartName="/xl/charts/colors79.xml" ContentType="application/vnd.ms-office.chartcolorstyle+xml"/>
  <Override PartName="/xl/drawings/drawing12.xml" ContentType="application/vnd.openxmlformats-officedocument.drawing+xml"/>
  <Override PartName="/xl/charts/chart80.xml" ContentType="application/vnd.openxmlformats-officedocument.drawingml.chart+xml"/>
  <Override PartName="/xl/charts/style80.xml" ContentType="application/vnd.ms-office.chartstyle+xml"/>
  <Override PartName="/xl/charts/colors80.xml" ContentType="application/vnd.ms-office.chartcolorstyle+xml"/>
  <Override PartName="/xl/charts/chart81.xml" ContentType="application/vnd.openxmlformats-officedocument.drawingml.chart+xml"/>
  <Override PartName="/xl/charts/style81.xml" ContentType="application/vnd.ms-office.chartstyle+xml"/>
  <Override PartName="/xl/charts/colors81.xml" ContentType="application/vnd.ms-office.chartcolorstyle+xml"/>
  <Override PartName="/xl/charts/chart82.xml" ContentType="application/vnd.openxmlformats-officedocument.drawingml.chart+xml"/>
  <Override PartName="/xl/charts/style82.xml" ContentType="application/vnd.ms-office.chartstyle+xml"/>
  <Override PartName="/xl/charts/colors82.xml" ContentType="application/vnd.ms-office.chartcolorstyle+xml"/>
  <Override PartName="/xl/charts/chart83.xml" ContentType="application/vnd.openxmlformats-officedocument.drawingml.chart+xml"/>
  <Override PartName="/xl/charts/style83.xml" ContentType="application/vnd.ms-office.chartstyle+xml"/>
  <Override PartName="/xl/charts/colors83.xml" ContentType="application/vnd.ms-office.chartcolorstyle+xml"/>
  <Override PartName="/xl/charts/chart84.xml" ContentType="application/vnd.openxmlformats-officedocument.drawingml.chart+xml"/>
  <Override PartName="/xl/charts/style84.xml" ContentType="application/vnd.ms-office.chartstyle+xml"/>
  <Override PartName="/xl/charts/colors84.xml" ContentType="application/vnd.ms-office.chartcolorstyle+xml"/>
  <Override PartName="/xl/charts/chart85.xml" ContentType="application/vnd.openxmlformats-officedocument.drawingml.chart+xml"/>
  <Override PartName="/xl/charts/style85.xml" ContentType="application/vnd.ms-office.chartstyle+xml"/>
  <Override PartName="/xl/charts/colors85.xml" ContentType="application/vnd.ms-office.chartcolorstyle+xml"/>
  <Override PartName="/xl/charts/chart86.xml" ContentType="application/vnd.openxmlformats-officedocument.drawingml.chart+xml"/>
  <Override PartName="/xl/charts/style86.xml" ContentType="application/vnd.ms-office.chartstyle+xml"/>
  <Override PartName="/xl/charts/colors86.xml" ContentType="application/vnd.ms-office.chartcolorstyle+xml"/>
  <Override PartName="/xl/charts/chart87.xml" ContentType="application/vnd.openxmlformats-officedocument.drawingml.chart+xml"/>
  <Override PartName="/xl/charts/style87.xml" ContentType="application/vnd.ms-office.chartstyle+xml"/>
  <Override PartName="/xl/charts/colors87.xml" ContentType="application/vnd.ms-office.chartcolorstyle+xml"/>
  <Override PartName="/xl/charts/chart88.xml" ContentType="application/vnd.openxmlformats-officedocument.drawingml.chart+xml"/>
  <Override PartName="/xl/charts/style88.xml" ContentType="application/vnd.ms-office.chartstyle+xml"/>
  <Override PartName="/xl/charts/colors88.xml" ContentType="application/vnd.ms-office.chartcolorstyle+xml"/>
  <Override PartName="/xl/drawings/drawing13.xml" ContentType="application/vnd.openxmlformats-officedocument.drawing+xml"/>
  <Override PartName="/xl/charts/chart89.xml" ContentType="application/vnd.openxmlformats-officedocument.drawingml.chart+xml"/>
  <Override PartName="/xl/charts/style89.xml" ContentType="application/vnd.ms-office.chartstyle+xml"/>
  <Override PartName="/xl/charts/colors89.xml" ContentType="application/vnd.ms-office.chartcolorstyle+xml"/>
  <Override PartName="/xl/charts/chart90.xml" ContentType="application/vnd.openxmlformats-officedocument.drawingml.chart+xml"/>
  <Override PartName="/xl/charts/style90.xml" ContentType="application/vnd.ms-office.chartstyle+xml"/>
  <Override PartName="/xl/charts/colors90.xml" ContentType="application/vnd.ms-office.chartcolorstyle+xml"/>
  <Override PartName="/xl/charts/chart91.xml" ContentType="application/vnd.openxmlformats-officedocument.drawingml.chart+xml"/>
  <Override PartName="/xl/charts/style91.xml" ContentType="application/vnd.ms-office.chartstyle+xml"/>
  <Override PartName="/xl/charts/colors91.xml" ContentType="application/vnd.ms-office.chartcolorstyle+xml"/>
  <Override PartName="/xl/charts/chart92.xml" ContentType="application/vnd.openxmlformats-officedocument.drawingml.chart+xml"/>
  <Override PartName="/xl/charts/style92.xml" ContentType="application/vnd.ms-office.chartstyle+xml"/>
  <Override PartName="/xl/charts/colors92.xml" ContentType="application/vnd.ms-office.chartcolorstyle+xml"/>
  <Override PartName="/xl/charts/chart93.xml" ContentType="application/vnd.openxmlformats-officedocument.drawingml.chart+xml"/>
  <Override PartName="/xl/charts/style93.xml" ContentType="application/vnd.ms-office.chartstyle+xml"/>
  <Override PartName="/xl/charts/colors93.xml" ContentType="application/vnd.ms-office.chartcolorstyle+xml"/>
  <Override PartName="/xl/charts/chart94.xml" ContentType="application/vnd.openxmlformats-officedocument.drawingml.chart+xml"/>
  <Override PartName="/xl/charts/style94.xml" ContentType="application/vnd.ms-office.chartstyle+xml"/>
  <Override PartName="/xl/charts/colors94.xml" ContentType="application/vnd.ms-office.chartcolorstyle+xml"/>
  <Override PartName="/xl/charts/chart95.xml" ContentType="application/vnd.openxmlformats-officedocument.drawingml.chart+xml"/>
  <Override PartName="/xl/charts/style95.xml" ContentType="application/vnd.ms-office.chartstyle+xml"/>
  <Override PartName="/xl/charts/colors95.xml" ContentType="application/vnd.ms-office.chartcolorstyle+xml"/>
  <Override PartName="/xl/charts/chart96.xml" ContentType="application/vnd.openxmlformats-officedocument.drawingml.chart+xml"/>
  <Override PartName="/xl/charts/style96.xml" ContentType="application/vnd.ms-office.chartstyle+xml"/>
  <Override PartName="/xl/charts/colors96.xml" ContentType="application/vnd.ms-office.chartcolorstyle+xml"/>
  <Override PartName="/xl/charts/chart97.xml" ContentType="application/vnd.openxmlformats-officedocument.drawingml.chart+xml"/>
  <Override PartName="/xl/charts/style97.xml" ContentType="application/vnd.ms-office.chartstyle+xml"/>
  <Override PartName="/xl/charts/colors97.xml" ContentType="application/vnd.ms-office.chartcolorstyle+xml"/>
  <Override PartName="/xl/drawings/drawing14.xml" ContentType="application/vnd.openxmlformats-officedocument.drawing+xml"/>
  <Override PartName="/xl/charts/chart98.xml" ContentType="application/vnd.openxmlformats-officedocument.drawingml.chart+xml"/>
  <Override PartName="/xl/charts/style98.xml" ContentType="application/vnd.ms-office.chartstyle+xml"/>
  <Override PartName="/xl/charts/colors98.xml" ContentType="application/vnd.ms-office.chartcolorstyle+xml"/>
  <Override PartName="/xl/charts/chart99.xml" ContentType="application/vnd.openxmlformats-officedocument.drawingml.chart+xml"/>
  <Override PartName="/xl/charts/style99.xml" ContentType="application/vnd.ms-office.chartstyle+xml"/>
  <Override PartName="/xl/charts/colors99.xml" ContentType="application/vnd.ms-office.chartcolorstyle+xml"/>
  <Override PartName="/xl/charts/chart100.xml" ContentType="application/vnd.openxmlformats-officedocument.drawingml.chart+xml"/>
  <Override PartName="/xl/charts/style100.xml" ContentType="application/vnd.ms-office.chartstyle+xml"/>
  <Override PartName="/xl/charts/colors100.xml" ContentType="application/vnd.ms-office.chartcolorstyle+xml"/>
  <Override PartName="/xl/charts/chart101.xml" ContentType="application/vnd.openxmlformats-officedocument.drawingml.chart+xml"/>
  <Override PartName="/xl/charts/style101.xml" ContentType="application/vnd.ms-office.chartstyle+xml"/>
  <Override PartName="/xl/charts/colors101.xml" ContentType="application/vnd.ms-office.chartcolorstyle+xml"/>
  <Override PartName="/xl/charts/chart102.xml" ContentType="application/vnd.openxmlformats-officedocument.drawingml.chart+xml"/>
  <Override PartName="/xl/charts/style102.xml" ContentType="application/vnd.ms-office.chartstyle+xml"/>
  <Override PartName="/xl/charts/colors102.xml" ContentType="application/vnd.ms-office.chartcolorstyle+xml"/>
  <Override PartName="/xl/charts/chart103.xml" ContentType="application/vnd.openxmlformats-officedocument.drawingml.chart+xml"/>
  <Override PartName="/xl/charts/style103.xml" ContentType="application/vnd.ms-office.chartstyle+xml"/>
  <Override PartName="/xl/charts/colors103.xml" ContentType="application/vnd.ms-office.chartcolorstyle+xml"/>
  <Override PartName="/xl/charts/chart104.xml" ContentType="application/vnd.openxmlformats-officedocument.drawingml.chart+xml"/>
  <Override PartName="/xl/charts/style104.xml" ContentType="application/vnd.ms-office.chartstyle+xml"/>
  <Override PartName="/xl/charts/colors104.xml" ContentType="application/vnd.ms-office.chartcolorstyle+xml"/>
  <Override PartName="/xl/charts/chart105.xml" ContentType="application/vnd.openxmlformats-officedocument.drawingml.chart+xml"/>
  <Override PartName="/xl/charts/style105.xml" ContentType="application/vnd.ms-office.chartstyle+xml"/>
  <Override PartName="/xl/charts/colors105.xml" ContentType="application/vnd.ms-office.chartcolorstyle+xml"/>
  <Override PartName="/xl/charts/chart106.xml" ContentType="application/vnd.openxmlformats-officedocument.drawingml.chart+xml"/>
  <Override PartName="/xl/charts/style106.xml" ContentType="application/vnd.ms-office.chartstyle+xml"/>
  <Override PartName="/xl/charts/colors106.xml" ContentType="application/vnd.ms-office.chartcolorstyle+xml"/>
  <Override PartName="/xl/drawings/drawing15.xml" ContentType="application/vnd.openxmlformats-officedocument.drawing+xml"/>
  <Override PartName="/xl/charts/chart107.xml" ContentType="application/vnd.openxmlformats-officedocument.drawingml.chart+xml"/>
  <Override PartName="/xl/charts/style107.xml" ContentType="application/vnd.ms-office.chartstyle+xml"/>
  <Override PartName="/xl/charts/colors107.xml" ContentType="application/vnd.ms-office.chartcolorstyle+xml"/>
  <Override PartName="/xl/charts/chart108.xml" ContentType="application/vnd.openxmlformats-officedocument.drawingml.chart+xml"/>
  <Override PartName="/xl/charts/style108.xml" ContentType="application/vnd.ms-office.chartstyle+xml"/>
  <Override PartName="/xl/charts/colors108.xml" ContentType="application/vnd.ms-office.chartcolorstyle+xml"/>
  <Override PartName="/xl/charts/chart109.xml" ContentType="application/vnd.openxmlformats-officedocument.drawingml.chart+xml"/>
  <Override PartName="/xl/charts/style109.xml" ContentType="application/vnd.ms-office.chartstyle+xml"/>
  <Override PartName="/xl/charts/colors109.xml" ContentType="application/vnd.ms-office.chartcolorstyle+xml"/>
  <Override PartName="/xl/charts/chart110.xml" ContentType="application/vnd.openxmlformats-officedocument.drawingml.chart+xml"/>
  <Override PartName="/xl/charts/style110.xml" ContentType="application/vnd.ms-office.chartstyle+xml"/>
  <Override PartName="/xl/charts/colors110.xml" ContentType="application/vnd.ms-office.chartcolorstyle+xml"/>
  <Override PartName="/xl/charts/chart111.xml" ContentType="application/vnd.openxmlformats-officedocument.drawingml.chart+xml"/>
  <Override PartName="/xl/charts/style111.xml" ContentType="application/vnd.ms-office.chartstyle+xml"/>
  <Override PartName="/xl/charts/colors111.xml" ContentType="application/vnd.ms-office.chartcolorstyle+xml"/>
  <Override PartName="/xl/charts/chart112.xml" ContentType="application/vnd.openxmlformats-officedocument.drawingml.chart+xml"/>
  <Override PartName="/xl/charts/style112.xml" ContentType="application/vnd.ms-office.chartstyle+xml"/>
  <Override PartName="/xl/charts/colors112.xml" ContentType="application/vnd.ms-office.chartcolorstyle+xml"/>
  <Override PartName="/xl/charts/chart113.xml" ContentType="application/vnd.openxmlformats-officedocument.drawingml.chart+xml"/>
  <Override PartName="/xl/charts/style113.xml" ContentType="application/vnd.ms-office.chartstyle+xml"/>
  <Override PartName="/xl/charts/colors113.xml" ContentType="application/vnd.ms-office.chartcolorstyle+xml"/>
  <Override PartName="/xl/charts/chart114.xml" ContentType="application/vnd.openxmlformats-officedocument.drawingml.chart+xml"/>
  <Override PartName="/xl/charts/style114.xml" ContentType="application/vnd.ms-office.chartstyle+xml"/>
  <Override PartName="/xl/charts/colors114.xml" ContentType="application/vnd.ms-office.chartcolorstyle+xml"/>
  <Override PartName="/xl/charts/chart115.xml" ContentType="application/vnd.openxmlformats-officedocument.drawingml.chart+xml"/>
  <Override PartName="/xl/charts/style115.xml" ContentType="application/vnd.ms-office.chartstyle+xml"/>
  <Override PartName="/xl/charts/colors115.xml" ContentType="application/vnd.ms-office.chartcolorstyle+xml"/>
  <Override PartName="/xl/drawings/drawing16.xml" ContentType="application/vnd.openxmlformats-officedocument.drawing+xml"/>
  <Override PartName="/xl/charts/chart116.xml" ContentType="application/vnd.openxmlformats-officedocument.drawingml.chart+xml"/>
  <Override PartName="/xl/charts/style116.xml" ContentType="application/vnd.ms-office.chartstyle+xml"/>
  <Override PartName="/xl/charts/colors116.xml" ContentType="application/vnd.ms-office.chartcolorstyle+xml"/>
  <Override PartName="/xl/charts/chart117.xml" ContentType="application/vnd.openxmlformats-officedocument.drawingml.chart+xml"/>
  <Override PartName="/xl/charts/style117.xml" ContentType="application/vnd.ms-office.chartstyle+xml"/>
  <Override PartName="/xl/charts/colors117.xml" ContentType="application/vnd.ms-office.chartcolorstyle+xml"/>
  <Override PartName="/xl/charts/chart118.xml" ContentType="application/vnd.openxmlformats-officedocument.drawingml.chart+xml"/>
  <Override PartName="/xl/charts/style118.xml" ContentType="application/vnd.ms-office.chartstyle+xml"/>
  <Override PartName="/xl/charts/colors118.xml" ContentType="application/vnd.ms-office.chartcolorstyle+xml"/>
  <Override PartName="/xl/charts/chart119.xml" ContentType="application/vnd.openxmlformats-officedocument.drawingml.chart+xml"/>
  <Override PartName="/xl/charts/style119.xml" ContentType="application/vnd.ms-office.chartstyle+xml"/>
  <Override PartName="/xl/charts/colors119.xml" ContentType="application/vnd.ms-office.chartcolorstyle+xml"/>
  <Override PartName="/xl/charts/chart120.xml" ContentType="application/vnd.openxmlformats-officedocument.drawingml.chart+xml"/>
  <Override PartName="/xl/charts/style120.xml" ContentType="application/vnd.ms-office.chartstyle+xml"/>
  <Override PartName="/xl/charts/colors120.xml" ContentType="application/vnd.ms-office.chartcolorstyle+xml"/>
  <Override PartName="/xl/charts/chart121.xml" ContentType="application/vnd.openxmlformats-officedocument.drawingml.chart+xml"/>
  <Override PartName="/xl/charts/style121.xml" ContentType="application/vnd.ms-office.chartstyle+xml"/>
  <Override PartName="/xl/charts/colors121.xml" ContentType="application/vnd.ms-office.chartcolorstyle+xml"/>
  <Override PartName="/xl/charts/chart122.xml" ContentType="application/vnd.openxmlformats-officedocument.drawingml.chart+xml"/>
  <Override PartName="/xl/charts/style122.xml" ContentType="application/vnd.ms-office.chartstyle+xml"/>
  <Override PartName="/xl/charts/colors122.xml" ContentType="application/vnd.ms-office.chartcolorstyle+xml"/>
  <Override PartName="/xl/charts/chart123.xml" ContentType="application/vnd.openxmlformats-officedocument.drawingml.chart+xml"/>
  <Override PartName="/xl/charts/style123.xml" ContentType="application/vnd.ms-office.chartstyle+xml"/>
  <Override PartName="/xl/charts/colors123.xml" ContentType="application/vnd.ms-office.chartcolorstyle+xml"/>
  <Override PartName="/xl/charts/chart124.xml" ContentType="application/vnd.openxmlformats-officedocument.drawingml.chart+xml"/>
  <Override PartName="/xl/charts/style124.xml" ContentType="application/vnd.ms-office.chartstyle+xml"/>
  <Override PartName="/xl/charts/colors124.xml" ContentType="application/vnd.ms-office.chartcolorstyle+xml"/>
  <Override PartName="/xl/drawings/drawing17.xml" ContentType="application/vnd.openxmlformats-officedocument.drawing+xml"/>
  <Override PartName="/xl/charts/chart125.xml" ContentType="application/vnd.openxmlformats-officedocument.drawingml.chart+xml"/>
  <Override PartName="/xl/charts/style125.xml" ContentType="application/vnd.ms-office.chartstyle+xml"/>
  <Override PartName="/xl/charts/colors125.xml" ContentType="application/vnd.ms-office.chartcolorstyle+xml"/>
  <Override PartName="/xl/charts/chart126.xml" ContentType="application/vnd.openxmlformats-officedocument.drawingml.chart+xml"/>
  <Override PartName="/xl/charts/style126.xml" ContentType="application/vnd.ms-office.chartstyle+xml"/>
  <Override PartName="/xl/charts/colors126.xml" ContentType="application/vnd.ms-office.chartcolorstyle+xml"/>
  <Override PartName="/xl/charts/chart127.xml" ContentType="application/vnd.openxmlformats-officedocument.drawingml.chart+xml"/>
  <Override PartName="/xl/charts/style127.xml" ContentType="application/vnd.ms-office.chartstyle+xml"/>
  <Override PartName="/xl/charts/colors127.xml" ContentType="application/vnd.ms-office.chartcolorstyle+xml"/>
  <Override PartName="/xl/charts/chart128.xml" ContentType="application/vnd.openxmlformats-officedocument.drawingml.chart+xml"/>
  <Override PartName="/xl/charts/style128.xml" ContentType="application/vnd.ms-office.chartstyle+xml"/>
  <Override PartName="/xl/charts/colors128.xml" ContentType="application/vnd.ms-office.chartcolorstyle+xml"/>
  <Override PartName="/xl/charts/chart129.xml" ContentType="application/vnd.openxmlformats-officedocument.drawingml.chart+xml"/>
  <Override PartName="/xl/charts/style129.xml" ContentType="application/vnd.ms-office.chartstyle+xml"/>
  <Override PartName="/xl/charts/colors129.xml" ContentType="application/vnd.ms-office.chartcolorstyle+xml"/>
  <Override PartName="/xl/charts/chart130.xml" ContentType="application/vnd.openxmlformats-officedocument.drawingml.chart+xml"/>
  <Override PartName="/xl/charts/style130.xml" ContentType="application/vnd.ms-office.chartstyle+xml"/>
  <Override PartName="/xl/charts/colors130.xml" ContentType="application/vnd.ms-office.chartcolorstyle+xml"/>
  <Override PartName="/xl/charts/chart131.xml" ContentType="application/vnd.openxmlformats-officedocument.drawingml.chart+xml"/>
  <Override PartName="/xl/charts/style131.xml" ContentType="application/vnd.ms-office.chartstyle+xml"/>
  <Override PartName="/xl/charts/colors131.xml" ContentType="application/vnd.ms-office.chartcolorstyle+xml"/>
  <Override PartName="/xl/charts/chart132.xml" ContentType="application/vnd.openxmlformats-officedocument.drawingml.chart+xml"/>
  <Override PartName="/xl/charts/style132.xml" ContentType="application/vnd.ms-office.chartstyle+xml"/>
  <Override PartName="/xl/charts/colors132.xml" ContentType="application/vnd.ms-office.chartcolorstyle+xml"/>
  <Override PartName="/xl/charts/chart133.xml" ContentType="application/vnd.openxmlformats-officedocument.drawingml.chart+xml"/>
  <Override PartName="/xl/charts/style133.xml" ContentType="application/vnd.ms-office.chartstyle+xml"/>
  <Override PartName="/xl/charts/colors133.xml" ContentType="application/vnd.ms-office.chartcolorstyle+xml"/>
  <Override PartName="/xl/drawings/drawing18.xml" ContentType="application/vnd.openxmlformats-officedocument.drawing+xml"/>
  <Override PartName="/xl/comments5.xml" ContentType="application/vnd.openxmlformats-officedocument.spreadsheetml.comments+xml"/>
  <Override PartName="/xl/charts/chart134.xml" ContentType="application/vnd.openxmlformats-officedocument.drawingml.chart+xml"/>
  <Override PartName="/xl/charts/style134.xml" ContentType="application/vnd.ms-office.chartstyle+xml"/>
  <Override PartName="/xl/charts/colors134.xml" ContentType="application/vnd.ms-office.chartcolorstyle+xml"/>
  <Override PartName="/xl/charts/chart135.xml" ContentType="application/vnd.openxmlformats-officedocument.drawingml.chart+xml"/>
  <Override PartName="/xl/charts/style135.xml" ContentType="application/vnd.ms-office.chartstyle+xml"/>
  <Override PartName="/xl/charts/colors135.xml" ContentType="application/vnd.ms-office.chartcolorstyle+xml"/>
  <Override PartName="/xl/charts/chart136.xml" ContentType="application/vnd.openxmlformats-officedocument.drawingml.chart+xml"/>
  <Override PartName="/xl/charts/style136.xml" ContentType="application/vnd.ms-office.chartstyle+xml"/>
  <Override PartName="/xl/charts/colors136.xml" ContentType="application/vnd.ms-office.chartcolorstyle+xml"/>
  <Override PartName="/xl/charts/chart137.xml" ContentType="application/vnd.openxmlformats-officedocument.drawingml.chart+xml"/>
  <Override PartName="/xl/charts/style137.xml" ContentType="application/vnd.ms-office.chartstyle+xml"/>
  <Override PartName="/xl/charts/colors137.xml" ContentType="application/vnd.ms-office.chartcolorstyle+xml"/>
  <Override PartName="/xl/charts/chart138.xml" ContentType="application/vnd.openxmlformats-officedocument.drawingml.chart+xml"/>
  <Override PartName="/xl/charts/style138.xml" ContentType="application/vnd.ms-office.chartstyle+xml"/>
  <Override PartName="/xl/charts/colors138.xml" ContentType="application/vnd.ms-office.chartcolorstyle+xml"/>
  <Override PartName="/xl/charts/chart139.xml" ContentType="application/vnd.openxmlformats-officedocument.drawingml.chart+xml"/>
  <Override PartName="/xl/charts/style139.xml" ContentType="application/vnd.ms-office.chartstyle+xml"/>
  <Override PartName="/xl/charts/colors139.xml" ContentType="application/vnd.ms-office.chartcolorstyle+xml"/>
  <Override PartName="/xl/charts/chart140.xml" ContentType="application/vnd.openxmlformats-officedocument.drawingml.chart+xml"/>
  <Override PartName="/xl/charts/style140.xml" ContentType="application/vnd.ms-office.chartstyle+xml"/>
  <Override PartName="/xl/charts/colors140.xml" ContentType="application/vnd.ms-office.chartcolorstyle+xml"/>
  <Override PartName="/xl/charts/chart141.xml" ContentType="application/vnd.openxmlformats-officedocument.drawingml.chart+xml"/>
  <Override PartName="/xl/charts/style141.xml" ContentType="application/vnd.ms-office.chartstyle+xml"/>
  <Override PartName="/xl/charts/colors141.xml" ContentType="application/vnd.ms-office.chartcolorstyle+xml"/>
  <Override PartName="/xl/charts/chart142.xml" ContentType="application/vnd.openxmlformats-officedocument.drawingml.chart+xml"/>
  <Override PartName="/xl/charts/style142.xml" ContentType="application/vnd.ms-office.chartstyle+xml"/>
  <Override PartName="/xl/charts/colors142.xml" ContentType="application/vnd.ms-office.chartcolorstyle+xml"/>
  <Override PartName="/xl/drawings/drawing19.xml" ContentType="application/vnd.openxmlformats-officedocument.drawing+xml"/>
  <Override PartName="/xl/charts/chart143.xml" ContentType="application/vnd.openxmlformats-officedocument.drawingml.chart+xml"/>
  <Override PartName="/xl/charts/style143.xml" ContentType="application/vnd.ms-office.chartstyle+xml"/>
  <Override PartName="/xl/charts/colors143.xml" ContentType="application/vnd.ms-office.chartcolorstyle+xml"/>
  <Override PartName="/xl/charts/chart144.xml" ContentType="application/vnd.openxmlformats-officedocument.drawingml.chart+xml"/>
  <Override PartName="/xl/charts/style144.xml" ContentType="application/vnd.ms-office.chartstyle+xml"/>
  <Override PartName="/xl/charts/colors144.xml" ContentType="application/vnd.ms-office.chartcolorstyle+xml"/>
  <Override PartName="/xl/charts/chart145.xml" ContentType="application/vnd.openxmlformats-officedocument.drawingml.chart+xml"/>
  <Override PartName="/xl/charts/style145.xml" ContentType="application/vnd.ms-office.chartstyle+xml"/>
  <Override PartName="/xl/charts/colors145.xml" ContentType="application/vnd.ms-office.chartcolorstyle+xml"/>
  <Override PartName="/xl/charts/chart146.xml" ContentType="application/vnd.openxmlformats-officedocument.drawingml.chart+xml"/>
  <Override PartName="/xl/charts/style146.xml" ContentType="application/vnd.ms-office.chartstyle+xml"/>
  <Override PartName="/xl/charts/colors146.xml" ContentType="application/vnd.ms-office.chartcolorstyle+xml"/>
  <Override PartName="/xl/charts/chart147.xml" ContentType="application/vnd.openxmlformats-officedocument.drawingml.chart+xml"/>
  <Override PartName="/xl/charts/style147.xml" ContentType="application/vnd.ms-office.chartstyle+xml"/>
  <Override PartName="/xl/charts/colors147.xml" ContentType="application/vnd.ms-office.chartcolorstyle+xml"/>
  <Override PartName="/xl/charts/chart148.xml" ContentType="application/vnd.openxmlformats-officedocument.drawingml.chart+xml"/>
  <Override PartName="/xl/charts/style148.xml" ContentType="application/vnd.ms-office.chartstyle+xml"/>
  <Override PartName="/xl/charts/colors148.xml" ContentType="application/vnd.ms-office.chartcolorstyle+xml"/>
  <Override PartName="/xl/charts/chart149.xml" ContentType="application/vnd.openxmlformats-officedocument.drawingml.chart+xml"/>
  <Override PartName="/xl/charts/style149.xml" ContentType="application/vnd.ms-office.chartstyle+xml"/>
  <Override PartName="/xl/charts/colors149.xml" ContentType="application/vnd.ms-office.chartcolorstyle+xml"/>
  <Override PartName="/xl/charts/chart150.xml" ContentType="application/vnd.openxmlformats-officedocument.drawingml.chart+xml"/>
  <Override PartName="/xl/charts/style150.xml" ContentType="application/vnd.ms-office.chartstyle+xml"/>
  <Override PartName="/xl/charts/colors150.xml" ContentType="application/vnd.ms-office.chartcolorstyle+xml"/>
  <Override PartName="/xl/charts/chart151.xml" ContentType="application/vnd.openxmlformats-officedocument.drawingml.chart+xml"/>
  <Override PartName="/xl/charts/style151.xml" ContentType="application/vnd.ms-office.chartstyle+xml"/>
  <Override PartName="/xl/charts/colors151.xml" ContentType="application/vnd.ms-office.chartcolorstyle+xml"/>
  <Override PartName="/xl/drawings/drawing20.xml" ContentType="application/vnd.openxmlformats-officedocument.drawing+xml"/>
  <Override PartName="/xl/charts/chart152.xml" ContentType="application/vnd.openxmlformats-officedocument.drawingml.chart+xml"/>
  <Override PartName="/xl/charts/style152.xml" ContentType="application/vnd.ms-office.chartstyle+xml"/>
  <Override PartName="/xl/charts/colors152.xml" ContentType="application/vnd.ms-office.chartcolorstyle+xml"/>
  <Override PartName="/xl/charts/chart153.xml" ContentType="application/vnd.openxmlformats-officedocument.drawingml.chart+xml"/>
  <Override PartName="/xl/charts/style153.xml" ContentType="application/vnd.ms-office.chartstyle+xml"/>
  <Override PartName="/xl/charts/colors153.xml" ContentType="application/vnd.ms-office.chartcolorstyle+xml"/>
  <Override PartName="/xl/charts/chart154.xml" ContentType="application/vnd.openxmlformats-officedocument.drawingml.chart+xml"/>
  <Override PartName="/xl/charts/style154.xml" ContentType="application/vnd.ms-office.chartstyle+xml"/>
  <Override PartName="/xl/charts/colors154.xml" ContentType="application/vnd.ms-office.chartcolorstyle+xml"/>
  <Override PartName="/xl/charts/chart155.xml" ContentType="application/vnd.openxmlformats-officedocument.drawingml.chart+xml"/>
  <Override PartName="/xl/charts/style155.xml" ContentType="application/vnd.ms-office.chartstyle+xml"/>
  <Override PartName="/xl/charts/colors155.xml" ContentType="application/vnd.ms-office.chartcolorstyle+xml"/>
  <Override PartName="/xl/charts/chart156.xml" ContentType="application/vnd.openxmlformats-officedocument.drawingml.chart+xml"/>
  <Override PartName="/xl/charts/style156.xml" ContentType="application/vnd.ms-office.chartstyle+xml"/>
  <Override PartName="/xl/charts/colors156.xml" ContentType="application/vnd.ms-office.chartcolorstyle+xml"/>
  <Override PartName="/xl/charts/chart157.xml" ContentType="application/vnd.openxmlformats-officedocument.drawingml.chart+xml"/>
  <Override PartName="/xl/charts/style157.xml" ContentType="application/vnd.ms-office.chartstyle+xml"/>
  <Override PartName="/xl/charts/colors157.xml" ContentType="application/vnd.ms-office.chartcolorstyle+xml"/>
  <Override PartName="/xl/charts/chart158.xml" ContentType="application/vnd.openxmlformats-officedocument.drawingml.chart+xml"/>
  <Override PartName="/xl/charts/style158.xml" ContentType="application/vnd.ms-office.chartstyle+xml"/>
  <Override PartName="/xl/charts/colors158.xml" ContentType="application/vnd.ms-office.chartcolorstyle+xml"/>
  <Override PartName="/xl/charts/chart159.xml" ContentType="application/vnd.openxmlformats-officedocument.drawingml.chart+xml"/>
  <Override PartName="/xl/charts/style159.xml" ContentType="application/vnd.ms-office.chartstyle+xml"/>
  <Override PartName="/xl/charts/colors159.xml" ContentType="application/vnd.ms-office.chartcolorstyle+xml"/>
  <Override PartName="/xl/charts/chart160.xml" ContentType="application/vnd.openxmlformats-officedocument.drawingml.chart+xml"/>
  <Override PartName="/xl/charts/style160.xml" ContentType="application/vnd.ms-office.chartstyle+xml"/>
  <Override PartName="/xl/charts/colors160.xml" ContentType="application/vnd.ms-office.chartcolorstyle+xml"/>
  <Override PartName="/xl/drawings/drawing21.xml" ContentType="application/vnd.openxmlformats-officedocument.drawing+xml"/>
  <Override PartName="/xl/charts/chart161.xml" ContentType="application/vnd.openxmlformats-officedocument.drawingml.chart+xml"/>
  <Override PartName="/xl/charts/style161.xml" ContentType="application/vnd.ms-office.chartstyle+xml"/>
  <Override PartName="/xl/charts/colors161.xml" ContentType="application/vnd.ms-office.chartcolorstyle+xml"/>
  <Override PartName="/xl/charts/chart162.xml" ContentType="application/vnd.openxmlformats-officedocument.drawingml.chart+xml"/>
  <Override PartName="/xl/charts/style162.xml" ContentType="application/vnd.ms-office.chartstyle+xml"/>
  <Override PartName="/xl/charts/colors162.xml" ContentType="application/vnd.ms-office.chartcolorstyle+xml"/>
  <Override PartName="/xl/charts/chart163.xml" ContentType="application/vnd.openxmlformats-officedocument.drawingml.chart+xml"/>
  <Override PartName="/xl/charts/style163.xml" ContentType="application/vnd.ms-office.chartstyle+xml"/>
  <Override PartName="/xl/charts/colors163.xml" ContentType="application/vnd.ms-office.chartcolorstyle+xml"/>
  <Override PartName="/xl/charts/chart164.xml" ContentType="application/vnd.openxmlformats-officedocument.drawingml.chart+xml"/>
  <Override PartName="/xl/charts/style164.xml" ContentType="application/vnd.ms-office.chartstyle+xml"/>
  <Override PartName="/xl/charts/colors164.xml" ContentType="application/vnd.ms-office.chartcolorstyle+xml"/>
  <Override PartName="/xl/charts/chart165.xml" ContentType="application/vnd.openxmlformats-officedocument.drawingml.chart+xml"/>
  <Override PartName="/xl/charts/style165.xml" ContentType="application/vnd.ms-office.chartstyle+xml"/>
  <Override PartName="/xl/charts/colors165.xml" ContentType="application/vnd.ms-office.chartcolorstyle+xml"/>
  <Override PartName="/xl/charts/chart166.xml" ContentType="application/vnd.openxmlformats-officedocument.drawingml.chart+xml"/>
  <Override PartName="/xl/charts/style166.xml" ContentType="application/vnd.ms-office.chartstyle+xml"/>
  <Override PartName="/xl/charts/colors166.xml" ContentType="application/vnd.ms-office.chartcolorstyle+xml"/>
  <Override PartName="/xl/charts/chart167.xml" ContentType="application/vnd.openxmlformats-officedocument.drawingml.chart+xml"/>
  <Override PartName="/xl/charts/style167.xml" ContentType="application/vnd.ms-office.chartstyle+xml"/>
  <Override PartName="/xl/charts/colors167.xml" ContentType="application/vnd.ms-office.chartcolorstyle+xml"/>
  <Override PartName="/xl/charts/chart168.xml" ContentType="application/vnd.openxmlformats-officedocument.drawingml.chart+xml"/>
  <Override PartName="/xl/charts/style168.xml" ContentType="application/vnd.ms-office.chartstyle+xml"/>
  <Override PartName="/xl/charts/colors168.xml" ContentType="application/vnd.ms-office.chartcolorstyle+xml"/>
  <Override PartName="/xl/charts/chart169.xml" ContentType="application/vnd.openxmlformats-officedocument.drawingml.chart+xml"/>
  <Override PartName="/xl/charts/style169.xml" ContentType="application/vnd.ms-office.chartstyle+xml"/>
  <Override PartName="/xl/charts/colors169.xml" ContentType="application/vnd.ms-office.chartcolorstyle+xml"/>
  <Override PartName="/xl/drawings/drawing22.xml" ContentType="application/vnd.openxmlformats-officedocument.drawing+xml"/>
  <Override PartName="/xl/charts/chart170.xml" ContentType="application/vnd.openxmlformats-officedocument.drawingml.chart+xml"/>
  <Override PartName="/xl/charts/style170.xml" ContentType="application/vnd.ms-office.chartstyle+xml"/>
  <Override PartName="/xl/charts/colors170.xml" ContentType="application/vnd.ms-office.chartcolorstyle+xml"/>
  <Override PartName="/xl/charts/chart171.xml" ContentType="application/vnd.openxmlformats-officedocument.drawingml.chart+xml"/>
  <Override PartName="/xl/charts/style171.xml" ContentType="application/vnd.ms-office.chartstyle+xml"/>
  <Override PartName="/xl/charts/colors171.xml" ContentType="application/vnd.ms-office.chartcolorstyle+xml"/>
  <Override PartName="/xl/charts/chart172.xml" ContentType="application/vnd.openxmlformats-officedocument.drawingml.chart+xml"/>
  <Override PartName="/xl/charts/style172.xml" ContentType="application/vnd.ms-office.chartstyle+xml"/>
  <Override PartName="/xl/charts/colors172.xml" ContentType="application/vnd.ms-office.chartcolorstyle+xml"/>
  <Override PartName="/xl/charts/chart173.xml" ContentType="application/vnd.openxmlformats-officedocument.drawingml.chart+xml"/>
  <Override PartName="/xl/charts/style173.xml" ContentType="application/vnd.ms-office.chartstyle+xml"/>
  <Override PartName="/xl/charts/colors173.xml" ContentType="application/vnd.ms-office.chartcolorstyle+xml"/>
  <Override PartName="/xl/charts/chart174.xml" ContentType="application/vnd.openxmlformats-officedocument.drawingml.chart+xml"/>
  <Override PartName="/xl/charts/style174.xml" ContentType="application/vnd.ms-office.chartstyle+xml"/>
  <Override PartName="/xl/charts/colors174.xml" ContentType="application/vnd.ms-office.chartcolorstyle+xml"/>
  <Override PartName="/xl/charts/chart175.xml" ContentType="application/vnd.openxmlformats-officedocument.drawingml.chart+xml"/>
  <Override PartName="/xl/charts/style175.xml" ContentType="application/vnd.ms-office.chartstyle+xml"/>
  <Override PartName="/xl/charts/colors175.xml" ContentType="application/vnd.ms-office.chartcolorstyle+xml"/>
  <Override PartName="/xl/charts/chart176.xml" ContentType="application/vnd.openxmlformats-officedocument.drawingml.chart+xml"/>
  <Override PartName="/xl/charts/style176.xml" ContentType="application/vnd.ms-office.chartstyle+xml"/>
  <Override PartName="/xl/charts/colors176.xml" ContentType="application/vnd.ms-office.chartcolorstyle+xml"/>
  <Override PartName="/xl/charts/chart177.xml" ContentType="application/vnd.openxmlformats-officedocument.drawingml.chart+xml"/>
  <Override PartName="/xl/charts/style177.xml" ContentType="application/vnd.ms-office.chartstyle+xml"/>
  <Override PartName="/xl/charts/colors177.xml" ContentType="application/vnd.ms-office.chartcolorstyle+xml"/>
  <Override PartName="/xl/charts/chart178.xml" ContentType="application/vnd.openxmlformats-officedocument.drawingml.chart+xml"/>
  <Override PartName="/xl/charts/style178.xml" ContentType="application/vnd.ms-office.chartstyle+xml"/>
  <Override PartName="/xl/charts/colors178.xml" ContentType="application/vnd.ms-office.chartcolorstyle+xml"/>
  <Override PartName="/xl/drawings/drawing23.xml" ContentType="application/vnd.openxmlformats-officedocument.drawing+xml"/>
  <Override PartName="/xl/charts/chart179.xml" ContentType="application/vnd.openxmlformats-officedocument.drawingml.chart+xml"/>
  <Override PartName="/xl/charts/style179.xml" ContentType="application/vnd.ms-office.chartstyle+xml"/>
  <Override PartName="/xl/charts/colors179.xml" ContentType="application/vnd.ms-office.chartcolorstyle+xml"/>
  <Override PartName="/xl/charts/chart180.xml" ContentType="application/vnd.openxmlformats-officedocument.drawingml.chart+xml"/>
  <Override PartName="/xl/charts/style180.xml" ContentType="application/vnd.ms-office.chartstyle+xml"/>
  <Override PartName="/xl/charts/colors180.xml" ContentType="application/vnd.ms-office.chartcolorstyle+xml"/>
  <Override PartName="/xl/charts/chart181.xml" ContentType="application/vnd.openxmlformats-officedocument.drawingml.chart+xml"/>
  <Override PartName="/xl/charts/style181.xml" ContentType="application/vnd.ms-office.chartstyle+xml"/>
  <Override PartName="/xl/charts/colors181.xml" ContentType="application/vnd.ms-office.chartcolorstyle+xml"/>
  <Override PartName="/xl/charts/chart182.xml" ContentType="application/vnd.openxmlformats-officedocument.drawingml.chart+xml"/>
  <Override PartName="/xl/charts/style182.xml" ContentType="application/vnd.ms-office.chartstyle+xml"/>
  <Override PartName="/xl/charts/colors182.xml" ContentType="application/vnd.ms-office.chartcolorstyle+xml"/>
  <Override PartName="/xl/charts/chart183.xml" ContentType="application/vnd.openxmlformats-officedocument.drawingml.chart+xml"/>
  <Override PartName="/xl/charts/style183.xml" ContentType="application/vnd.ms-office.chartstyle+xml"/>
  <Override PartName="/xl/charts/colors183.xml" ContentType="application/vnd.ms-office.chartcolorstyle+xml"/>
  <Override PartName="/xl/charts/chart184.xml" ContentType="application/vnd.openxmlformats-officedocument.drawingml.chart+xml"/>
  <Override PartName="/xl/charts/style184.xml" ContentType="application/vnd.ms-office.chartstyle+xml"/>
  <Override PartName="/xl/charts/colors184.xml" ContentType="application/vnd.ms-office.chartcolorstyle+xml"/>
  <Override PartName="/xl/charts/chart185.xml" ContentType="application/vnd.openxmlformats-officedocument.drawingml.chart+xml"/>
  <Override PartName="/xl/charts/style185.xml" ContentType="application/vnd.ms-office.chartstyle+xml"/>
  <Override PartName="/xl/charts/colors185.xml" ContentType="application/vnd.ms-office.chartcolorstyle+xml"/>
  <Override PartName="/xl/charts/chart186.xml" ContentType="application/vnd.openxmlformats-officedocument.drawingml.chart+xml"/>
  <Override PartName="/xl/charts/style186.xml" ContentType="application/vnd.ms-office.chartstyle+xml"/>
  <Override PartName="/xl/charts/colors186.xml" ContentType="application/vnd.ms-office.chartcolorstyle+xml"/>
  <Override PartName="/xl/charts/chart187.xml" ContentType="application/vnd.openxmlformats-officedocument.drawingml.chart+xml"/>
  <Override PartName="/xl/charts/style187.xml" ContentType="application/vnd.ms-office.chartstyle+xml"/>
  <Override PartName="/xl/charts/colors187.xml" ContentType="application/vnd.ms-office.chartcolorstyle+xml"/>
  <Override PartName="/xl/drawings/drawing24.xml" ContentType="application/vnd.openxmlformats-officedocument.drawing+xml"/>
  <Override PartName="/xl/charts/chart188.xml" ContentType="application/vnd.openxmlformats-officedocument.drawingml.chart+xml"/>
  <Override PartName="/xl/charts/style188.xml" ContentType="application/vnd.ms-office.chartstyle+xml"/>
  <Override PartName="/xl/charts/colors188.xml" ContentType="application/vnd.ms-office.chartcolorstyle+xml"/>
  <Override PartName="/xl/charts/chart189.xml" ContentType="application/vnd.openxmlformats-officedocument.drawingml.chart+xml"/>
  <Override PartName="/xl/charts/style189.xml" ContentType="application/vnd.ms-office.chartstyle+xml"/>
  <Override PartName="/xl/charts/colors189.xml" ContentType="application/vnd.ms-office.chartcolorstyle+xml"/>
  <Override PartName="/xl/charts/chart190.xml" ContentType="application/vnd.openxmlformats-officedocument.drawingml.chart+xml"/>
  <Override PartName="/xl/charts/style190.xml" ContentType="application/vnd.ms-office.chartstyle+xml"/>
  <Override PartName="/xl/charts/colors190.xml" ContentType="application/vnd.ms-office.chartcolorstyle+xml"/>
  <Override PartName="/xl/charts/chart191.xml" ContentType="application/vnd.openxmlformats-officedocument.drawingml.chart+xml"/>
  <Override PartName="/xl/charts/style191.xml" ContentType="application/vnd.ms-office.chartstyle+xml"/>
  <Override PartName="/xl/charts/colors191.xml" ContentType="application/vnd.ms-office.chartcolorstyle+xml"/>
  <Override PartName="/xl/charts/chart192.xml" ContentType="application/vnd.openxmlformats-officedocument.drawingml.chart+xml"/>
  <Override PartName="/xl/charts/style192.xml" ContentType="application/vnd.ms-office.chartstyle+xml"/>
  <Override PartName="/xl/charts/colors192.xml" ContentType="application/vnd.ms-office.chartcolorstyle+xml"/>
  <Override PartName="/xl/charts/chart193.xml" ContentType="application/vnd.openxmlformats-officedocument.drawingml.chart+xml"/>
  <Override PartName="/xl/charts/style193.xml" ContentType="application/vnd.ms-office.chartstyle+xml"/>
  <Override PartName="/xl/charts/colors193.xml" ContentType="application/vnd.ms-office.chartcolorstyle+xml"/>
  <Override PartName="/xl/charts/chart194.xml" ContentType="application/vnd.openxmlformats-officedocument.drawingml.chart+xml"/>
  <Override PartName="/xl/charts/style194.xml" ContentType="application/vnd.ms-office.chartstyle+xml"/>
  <Override PartName="/xl/charts/colors194.xml" ContentType="application/vnd.ms-office.chartcolorstyle+xml"/>
  <Override PartName="/xl/charts/chart195.xml" ContentType="application/vnd.openxmlformats-officedocument.drawingml.chart+xml"/>
  <Override PartName="/xl/charts/style195.xml" ContentType="application/vnd.ms-office.chartstyle+xml"/>
  <Override PartName="/xl/charts/colors195.xml" ContentType="application/vnd.ms-office.chartcolorstyle+xml"/>
  <Override PartName="/xl/charts/chart196.xml" ContentType="application/vnd.openxmlformats-officedocument.drawingml.chart+xml"/>
  <Override PartName="/xl/charts/style196.xml" ContentType="application/vnd.ms-office.chartstyle+xml"/>
  <Override PartName="/xl/charts/colors19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Override PartName="/xl/threadedComments/threadedComment5.xml" ContentType="application/vnd.ms-excel.threadedcomments+xml"/>
  <Override PartName="/xl/threadedComments/threadedComment6.xml" ContentType="application/vnd.ms-excel.threadedcomments+xml"/>
  <Override PartName="/xl/threadedComments/threadedComment7.xml" ContentType="application/vnd.ms-excel.threadedcomments+xml"/>
  <Override PartName="/xl/threadedComments/threadedComment8.xml" ContentType="application/vnd.ms-excel.threadedcomments+xml"/>
  <Override PartName="/xl/threadedComments/threadedComment9.xml" ContentType="application/vnd.ms-excel.threadedcomments+xml"/>
  <Override PartName="/xl/threadedComments/threadedComment14.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0"/>
  <workbookPr defaultThemeVersion="166925"/>
  <mc:AlternateContent xmlns:mc="http://schemas.openxmlformats.org/markup-compatibility/2006">
    <mc:Choice Requires="x15">
      <x15ac:absPath xmlns:x15ac="http://schemas.microsoft.com/office/spreadsheetml/2010/11/ac" url="\\milkund-srv.science.ru.nl\milkund\aottenbros\7_Project_Carbyon\Submission\Scientific Reports\Submisssion 2\Final documents\"/>
    </mc:Choice>
  </mc:AlternateContent>
  <xr:revisionPtr revIDLastSave="0" documentId="13_ncr:1_{FD322ADD-EDAC-45F1-928D-1C735A9E4735}" xr6:coauthVersionLast="36" xr6:coauthVersionMax="36" xr10:uidLastSave="{00000000-0000-0000-0000-000000000000}"/>
  <bookViews>
    <workbookView xWindow="0" yWindow="0" windowWidth="19200" windowHeight="6930" tabRatio="909" firstSheet="10" activeTab="11" xr2:uid="{E1B34F4B-7294-4410-B2F2-CF7CB2FA71C8}"/>
  </bookViews>
  <sheets>
    <sheet name="Cover sheet" sheetId="12" r:id="rId1"/>
    <sheet name="Inventory build - DAC" sheetId="13" r:id="rId2"/>
    <sheet name="Inventory build - sorbent" sheetId="14" r:id="rId3"/>
    <sheet name="Inventory build - battery" sheetId="31" r:id="rId4"/>
    <sheet name="Inventory build - post-DAC" sheetId="15" r:id="rId5"/>
    <sheet name="Inventory use - operation DAC" sheetId="16" r:id="rId6"/>
    <sheet name="Inventory use - sequestration" sheetId="30" r:id="rId7"/>
    <sheet name="Adjusted CF ReCiPe2016" sheetId="19" r:id="rId8"/>
    <sheet name="Figure Results ReCiPe (H)" sheetId="1" r:id="rId9"/>
    <sheet name="Figure Results ReCiPe (E)" sheetId="39" r:id="rId10"/>
    <sheet name="Figure Results ReCiPe (I)" sheetId="40" r:id="rId11"/>
    <sheet name="Sensitivity analysis - HHD" sheetId="41" r:id="rId12"/>
    <sheet name="Sensitivity analysis - ESD" sheetId="42" r:id="rId13"/>
    <sheet name="Sensitivity analysis - CC" sheetId="37" r:id="rId14"/>
    <sheet name="Sensitivity analysis - RD" sheetId="43" r:id="rId15"/>
    <sheet name="Figure contribution analysis" sheetId="29" r:id="rId16"/>
    <sheet name="Results ReCiPe (H) - HHD" sheetId="7" r:id="rId17"/>
    <sheet name="Results ReCiPe (H) - ESD" sheetId="8" r:id="rId18"/>
    <sheet name="Results ReCiPe (H) - RD" sheetId="32" r:id="rId19"/>
    <sheet name="Results ReCiPe (H) - CC" sheetId="9" r:id="rId20"/>
    <sheet name="Results ReCiPe (E) - HHD" sheetId="22" r:id="rId21"/>
    <sheet name="Results ReCiPe (E) - ESD" sheetId="23" r:id="rId22"/>
    <sheet name="Results ReCiPe (E) - RD" sheetId="33" r:id="rId23"/>
    <sheet name="Results ReCiPe (E) - CC" sheetId="24" r:id="rId24"/>
    <sheet name="Results ReCiPe (I) - HHD" sheetId="26" r:id="rId25"/>
    <sheet name="Results ReCiPe (I) - ESD" sheetId="27" r:id="rId26"/>
    <sheet name="Results ReCiPe (I) - RD" sheetId="34" r:id="rId27"/>
    <sheet name="Results ReCiPe (I) - CC" sheetId="28" r:id="rId28"/>
    <sheet name="Results ReCiPe (H) - HHD ship" sheetId="44" r:id="rId29"/>
    <sheet name="Results ReCiPe (H) - ESD ship" sheetId="45" r:id="rId30"/>
    <sheet name="Results ReCiPe (H) - RD ship" sheetId="46" r:id="rId31"/>
    <sheet name="Results ReCiPe (H) - CC ship" sheetId="47" r:id="rId32"/>
    <sheet name="Results - raw data ReCiPe (H)" sheetId="6" r:id="rId33"/>
    <sheet name="Results - raw data ReCiPe (E)" sheetId="20" r:id="rId34"/>
    <sheet name="Results - raw data ReCiPe (I)" sheetId="21" r:id="rId35"/>
  </sheets>
  <definedNames>
    <definedName name="AE_mid_to_end">'Adjusted CF ReCiPe2016'!$F$32:$H$32</definedName>
    <definedName name="CFs_methane">'Adjusted CF ReCiPe2016'!$F$14:$H$18</definedName>
    <definedName name="CFs_midpoint">'Adjusted CF ReCiPe2016'!$F$3:$H$28</definedName>
    <definedName name="HH_mid_to_end">'Adjusted CF ReCiPe2016'!$F$30:$H$30</definedName>
    <definedName name="TE_mid_to_end">'Adjusted CF ReCiPe2016'!$F$31:$H$31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76" i="45" l="1"/>
  <c r="D476" i="45"/>
  <c r="E476" i="45"/>
  <c r="F476" i="45"/>
  <c r="G476" i="45"/>
  <c r="H476" i="45"/>
  <c r="I476" i="45"/>
  <c r="J476" i="45"/>
  <c r="B476" i="45"/>
  <c r="C24" i="30"/>
  <c r="D64" i="29"/>
  <c r="C64" i="29"/>
  <c r="D63" i="29"/>
  <c r="C63" i="29"/>
  <c r="B63" i="29"/>
  <c r="D62" i="29"/>
  <c r="C62" i="29"/>
  <c r="B62" i="29"/>
  <c r="D61" i="29"/>
  <c r="C61" i="29"/>
  <c r="B61" i="29"/>
  <c r="D60" i="29"/>
  <c r="C60" i="29"/>
  <c r="B60" i="29"/>
  <c r="D59" i="29"/>
  <c r="C59" i="29"/>
  <c r="B59" i="29"/>
  <c r="D58" i="29"/>
  <c r="C58" i="29"/>
  <c r="B58" i="29"/>
  <c r="D57" i="29"/>
  <c r="C57" i="29"/>
  <c r="B57" i="29"/>
  <c r="D56" i="29"/>
  <c r="C56" i="29"/>
  <c r="B56" i="29"/>
  <c r="D55" i="29"/>
  <c r="C55" i="29"/>
  <c r="B55" i="29"/>
  <c r="D54" i="29"/>
  <c r="C54" i="29"/>
  <c r="B54" i="29"/>
  <c r="D53" i="29"/>
  <c r="C53" i="29"/>
  <c r="B53" i="29"/>
  <c r="C6" i="1"/>
  <c r="D6" i="1"/>
  <c r="C7" i="1"/>
  <c r="D7" i="1"/>
  <c r="C8" i="1"/>
  <c r="D8" i="1"/>
  <c r="C242" i="47"/>
  <c r="AD220" i="47" s="1"/>
  <c r="D242" i="47"/>
  <c r="E242" i="47"/>
  <c r="AF220" i="47" s="1"/>
  <c r="F242" i="47"/>
  <c r="G242" i="47"/>
  <c r="AH220" i="47" s="1"/>
  <c r="H242" i="47"/>
  <c r="I242" i="47"/>
  <c r="AJ220" i="47" s="1"/>
  <c r="J242" i="47"/>
  <c r="AK220" i="47" s="1"/>
  <c r="K242" i="47"/>
  <c r="AL220" i="47" s="1"/>
  <c r="L242" i="47"/>
  <c r="M242" i="47"/>
  <c r="AN220" i="47" s="1"/>
  <c r="N242" i="47"/>
  <c r="O242" i="47"/>
  <c r="P242" i="47"/>
  <c r="Q242" i="47"/>
  <c r="AR220" i="47" s="1"/>
  <c r="R242" i="47"/>
  <c r="AS220" i="47" s="1"/>
  <c r="S242" i="47"/>
  <c r="AT220" i="47" s="1"/>
  <c r="T242" i="47"/>
  <c r="U242" i="47"/>
  <c r="AV220" i="47" s="1"/>
  <c r="V242" i="47"/>
  <c r="W242" i="47"/>
  <c r="AX220" i="47" s="1"/>
  <c r="X242" i="47"/>
  <c r="Y242" i="47"/>
  <c r="AZ220" i="47" s="1"/>
  <c r="Z242" i="47"/>
  <c r="BA220" i="47" s="1"/>
  <c r="B242" i="47"/>
  <c r="AC220" i="47" s="1"/>
  <c r="C201" i="47"/>
  <c r="D201" i="47"/>
  <c r="AE179" i="47" s="1"/>
  <c r="E201" i="47"/>
  <c r="F201" i="47"/>
  <c r="G201" i="47"/>
  <c r="H201" i="47"/>
  <c r="AI179" i="47" s="1"/>
  <c r="I201" i="47"/>
  <c r="AJ179" i="47" s="1"/>
  <c r="J201" i="47"/>
  <c r="K201" i="47"/>
  <c r="L201" i="47"/>
  <c r="AM179" i="47" s="1"/>
  <c r="M201" i="47"/>
  <c r="N201" i="47"/>
  <c r="O201" i="47"/>
  <c r="P201" i="47"/>
  <c r="AQ179" i="47" s="1"/>
  <c r="Q201" i="47"/>
  <c r="AR179" i="47" s="1"/>
  <c r="R201" i="47"/>
  <c r="S201" i="47"/>
  <c r="T201" i="47"/>
  <c r="AU179" i="47" s="1"/>
  <c r="U201" i="47"/>
  <c r="V201" i="47"/>
  <c r="W201" i="47"/>
  <c r="X201" i="47"/>
  <c r="AY179" i="47" s="1"/>
  <c r="Y201" i="47"/>
  <c r="Z201" i="47"/>
  <c r="BA179" i="47" s="1"/>
  <c r="B201" i="47"/>
  <c r="AC179" i="47" s="1"/>
  <c r="C160" i="47"/>
  <c r="AD138" i="47" s="1"/>
  <c r="D160" i="47"/>
  <c r="E160" i="47"/>
  <c r="F160" i="47"/>
  <c r="G160" i="47"/>
  <c r="AH138" i="47" s="1"/>
  <c r="H160" i="47"/>
  <c r="AI138" i="47" s="1"/>
  <c r="I160" i="47"/>
  <c r="J160" i="47"/>
  <c r="AK138" i="47" s="1"/>
  <c r="K160" i="47"/>
  <c r="L160" i="47"/>
  <c r="M160" i="47"/>
  <c r="N160" i="47"/>
  <c r="O160" i="47"/>
  <c r="AP138" i="47" s="1"/>
  <c r="P160" i="47"/>
  <c r="AQ138" i="47" s="1"/>
  <c r="Q160" i="47"/>
  <c r="R160" i="47"/>
  <c r="S160" i="47"/>
  <c r="AT138" i="47" s="1"/>
  <c r="T160" i="47"/>
  <c r="U160" i="47"/>
  <c r="V160" i="47"/>
  <c r="W160" i="47"/>
  <c r="AX138" i="47" s="1"/>
  <c r="X160" i="47"/>
  <c r="AY138" i="47" s="1"/>
  <c r="Y160" i="47"/>
  <c r="Z160" i="47"/>
  <c r="BA138" i="47" s="1"/>
  <c r="B160" i="47"/>
  <c r="AC138" i="47" s="1"/>
  <c r="C118" i="47"/>
  <c r="D118" i="47"/>
  <c r="E118" i="47"/>
  <c r="AF96" i="47" s="1"/>
  <c r="F118" i="47"/>
  <c r="AG96" i="47" s="1"/>
  <c r="G118" i="47"/>
  <c r="G423" i="47" s="1"/>
  <c r="AH402" i="47" s="1"/>
  <c r="H118" i="47"/>
  <c r="I118" i="47"/>
  <c r="J118" i="47"/>
  <c r="AK96" i="47" s="1"/>
  <c r="K118" i="47"/>
  <c r="L118" i="47"/>
  <c r="M118" i="47"/>
  <c r="M423" i="47" s="1"/>
  <c r="N118" i="47"/>
  <c r="N423" i="47" s="1"/>
  <c r="AO402" i="47" s="1"/>
  <c r="O118" i="47"/>
  <c r="O423" i="47" s="1"/>
  <c r="AP402" i="47" s="1"/>
  <c r="P118" i="47"/>
  <c r="Q118" i="47"/>
  <c r="R118" i="47"/>
  <c r="AS96" i="47" s="1"/>
  <c r="S118" i="47"/>
  <c r="T118" i="47"/>
  <c r="T423" i="47" s="1"/>
  <c r="AU402" i="47" s="1"/>
  <c r="U118" i="47"/>
  <c r="U423" i="47" s="1"/>
  <c r="AV402" i="47" s="1"/>
  <c r="V118" i="47"/>
  <c r="AW96" i="47" s="1"/>
  <c r="W118" i="47"/>
  <c r="W423" i="47" s="1"/>
  <c r="AX402" i="47" s="1"/>
  <c r="X118" i="47"/>
  <c r="Y118" i="47"/>
  <c r="Z118" i="47"/>
  <c r="BA96" i="47" s="1"/>
  <c r="B118" i="47"/>
  <c r="C78" i="47"/>
  <c r="D78" i="47"/>
  <c r="E78" i="47"/>
  <c r="E362" i="47" s="1"/>
  <c r="AF341" i="47" s="1"/>
  <c r="F78" i="47"/>
  <c r="F362" i="47" s="1"/>
  <c r="AG341" i="47" s="1"/>
  <c r="G78" i="47"/>
  <c r="H78" i="47"/>
  <c r="I78" i="47"/>
  <c r="I362" i="47" s="1"/>
  <c r="AJ341" i="47" s="1"/>
  <c r="J78" i="47"/>
  <c r="AK56" i="47" s="1"/>
  <c r="K78" i="47"/>
  <c r="L78" i="47"/>
  <c r="M78" i="47"/>
  <c r="M362" i="47" s="1"/>
  <c r="AN341" i="47" s="1"/>
  <c r="N78" i="47"/>
  <c r="N362" i="47" s="1"/>
  <c r="AO341" i="47" s="1"/>
  <c r="O78" i="47"/>
  <c r="P78" i="47"/>
  <c r="Q78" i="47"/>
  <c r="Q362" i="47" s="1"/>
  <c r="AR341" i="47" s="1"/>
  <c r="R78" i="47"/>
  <c r="AS56" i="47" s="1"/>
  <c r="S78" i="47"/>
  <c r="T78" i="47"/>
  <c r="U78" i="47"/>
  <c r="AV56" i="47" s="1"/>
  <c r="V78" i="47"/>
  <c r="AW56" i="47" s="1"/>
  <c r="W78" i="47"/>
  <c r="X78" i="47"/>
  <c r="Y78" i="47"/>
  <c r="Y362" i="47" s="1"/>
  <c r="AZ341" i="47" s="1"/>
  <c r="Z78" i="47"/>
  <c r="Z362" i="47" s="1"/>
  <c r="BA341" i="47" s="1"/>
  <c r="B78" i="47"/>
  <c r="B362" i="47" s="1"/>
  <c r="AC341" i="47" s="1"/>
  <c r="C38" i="47"/>
  <c r="D38" i="47"/>
  <c r="D302" i="47" s="1"/>
  <c r="AE281" i="47" s="1"/>
  <c r="E38" i="47"/>
  <c r="AF16" i="47" s="1"/>
  <c r="F38" i="47"/>
  <c r="G38" i="47"/>
  <c r="H38" i="47"/>
  <c r="AI16" i="47" s="1"/>
  <c r="I38" i="47"/>
  <c r="AJ16" i="47" s="1"/>
  <c r="J38" i="47"/>
  <c r="AK16" i="47" s="1"/>
  <c r="K38" i="47"/>
  <c r="L38" i="47"/>
  <c r="L302" i="47" s="1"/>
  <c r="AM281" i="47" s="1"/>
  <c r="M38" i="47"/>
  <c r="AN16" i="47" s="1"/>
  <c r="N38" i="47"/>
  <c r="O38" i="47"/>
  <c r="P38" i="47"/>
  <c r="AQ16" i="47" s="1"/>
  <c r="Q38" i="47"/>
  <c r="AR16" i="47" s="1"/>
  <c r="R38" i="47"/>
  <c r="AS16" i="47" s="1"/>
  <c r="S38" i="47"/>
  <c r="T38" i="47"/>
  <c r="T302" i="47" s="1"/>
  <c r="AU281" i="47" s="1"/>
  <c r="U38" i="47"/>
  <c r="U302" i="47" s="1"/>
  <c r="AV281" i="47" s="1"/>
  <c r="V38" i="47"/>
  <c r="W38" i="47"/>
  <c r="X38" i="47"/>
  <c r="AY16" i="47" s="1"/>
  <c r="Y38" i="47"/>
  <c r="AZ16" i="47" s="1"/>
  <c r="Z38" i="47"/>
  <c r="BA16" i="47" s="1"/>
  <c r="B38" i="47"/>
  <c r="G454" i="47"/>
  <c r="G472" i="47" s="1"/>
  <c r="F454" i="47"/>
  <c r="F472" i="47" s="1"/>
  <c r="E454" i="47"/>
  <c r="E472" i="47" s="1"/>
  <c r="D454" i="47"/>
  <c r="D472" i="47" s="1"/>
  <c r="C454" i="47"/>
  <c r="C472" i="47" s="1"/>
  <c r="B454" i="47"/>
  <c r="B472" i="47" s="1"/>
  <c r="G425" i="47"/>
  <c r="AU403" i="47"/>
  <c r="AC384" i="47"/>
  <c r="S425" i="47" s="1"/>
  <c r="AC383" i="47"/>
  <c r="B379" i="47"/>
  <c r="B378" i="47"/>
  <c r="B375" i="47"/>
  <c r="AC389" i="47" s="1"/>
  <c r="AC324" i="47"/>
  <c r="I364" i="47" s="1"/>
  <c r="AC323" i="47"/>
  <c r="AS342" i="47" s="1"/>
  <c r="B319" i="47"/>
  <c r="B318" i="47"/>
  <c r="B315" i="47"/>
  <c r="Z304" i="47"/>
  <c r="Y304" i="47"/>
  <c r="X304" i="47"/>
  <c r="W304" i="47"/>
  <c r="V304" i="47"/>
  <c r="U304" i="47"/>
  <c r="T304" i="47"/>
  <c r="S304" i="47"/>
  <c r="R304" i="47"/>
  <c r="Q304" i="47"/>
  <c r="P304" i="47"/>
  <c r="O304" i="47"/>
  <c r="N304" i="47"/>
  <c r="M304" i="47"/>
  <c r="L304" i="47"/>
  <c r="K304" i="47"/>
  <c r="J304" i="47"/>
  <c r="I304" i="47"/>
  <c r="H304" i="47"/>
  <c r="G304" i="47"/>
  <c r="F304" i="47"/>
  <c r="E304" i="47"/>
  <c r="D304" i="47"/>
  <c r="C304" i="47"/>
  <c r="B304" i="47"/>
  <c r="AC264" i="47"/>
  <c r="AC263" i="47"/>
  <c r="AY282" i="47" s="1"/>
  <c r="B259" i="47"/>
  <c r="B258" i="47"/>
  <c r="B260" i="47" s="1"/>
  <c r="X305" i="47" s="1"/>
  <c r="AY279" i="47" s="1"/>
  <c r="B255" i="47"/>
  <c r="AC269" i="47" s="1"/>
  <c r="Z244" i="47"/>
  <c r="Y244" i="47"/>
  <c r="AZ219" i="47" s="1"/>
  <c r="X244" i="47"/>
  <c r="W244" i="47"/>
  <c r="V244" i="47"/>
  <c r="U244" i="47"/>
  <c r="T244" i="47"/>
  <c r="S244" i="47"/>
  <c r="R244" i="47"/>
  <c r="Q244" i="47"/>
  <c r="AR219" i="47" s="1"/>
  <c r="P244" i="47"/>
  <c r="O244" i="47"/>
  <c r="N244" i="47"/>
  <c r="M244" i="47"/>
  <c r="AN219" i="47" s="1"/>
  <c r="L244" i="47"/>
  <c r="K244" i="47"/>
  <c r="AL219" i="47" s="1"/>
  <c r="J244" i="47"/>
  <c r="I244" i="47"/>
  <c r="H244" i="47"/>
  <c r="G244" i="47"/>
  <c r="F244" i="47"/>
  <c r="E244" i="47"/>
  <c r="D244" i="47"/>
  <c r="C244" i="47"/>
  <c r="B244" i="47"/>
  <c r="Z243" i="47"/>
  <c r="Y243" i="47"/>
  <c r="X243" i="47"/>
  <c r="W243" i="47"/>
  <c r="V243" i="47"/>
  <c r="U243" i="47"/>
  <c r="T243" i="47"/>
  <c r="S243" i="47"/>
  <c r="R243" i="47"/>
  <c r="Q243" i="47"/>
  <c r="P243" i="47"/>
  <c r="O243" i="47"/>
  <c r="N243" i="47"/>
  <c r="M243" i="47"/>
  <c r="L243" i="47"/>
  <c r="K243" i="47"/>
  <c r="J243" i="47"/>
  <c r="I243" i="47"/>
  <c r="H243" i="47"/>
  <c r="G243" i="47"/>
  <c r="F243" i="47"/>
  <c r="E243" i="47"/>
  <c r="D243" i="47"/>
  <c r="C243" i="47"/>
  <c r="B243" i="47"/>
  <c r="Z241" i="47"/>
  <c r="BA218" i="47" s="1"/>
  <c r="Y241" i="47"/>
  <c r="X241" i="47"/>
  <c r="W241" i="47"/>
  <c r="AX218" i="47" s="1"/>
  <c r="V241" i="47"/>
  <c r="U241" i="47"/>
  <c r="T241" i="47"/>
  <c r="S241" i="47"/>
  <c r="R241" i="47"/>
  <c r="Q241" i="47"/>
  <c r="AR218" i="47" s="1"/>
  <c r="P241" i="47"/>
  <c r="O241" i="47"/>
  <c r="O245" i="47" s="1"/>
  <c r="N241" i="47"/>
  <c r="N245" i="47" s="1"/>
  <c r="M241" i="47"/>
  <c r="L241" i="47"/>
  <c r="K241" i="47"/>
  <c r="J241" i="47"/>
  <c r="I241" i="47"/>
  <c r="I245" i="47" s="1"/>
  <c r="H241" i="47"/>
  <c r="AI218" i="47" s="1"/>
  <c r="G241" i="47"/>
  <c r="F241" i="47"/>
  <c r="F245" i="47" s="1"/>
  <c r="E241" i="47"/>
  <c r="D241" i="47"/>
  <c r="C241" i="47"/>
  <c r="B241" i="47"/>
  <c r="AC218" i="47" s="1"/>
  <c r="Z240" i="47"/>
  <c r="BA217" i="47" s="1"/>
  <c r="G438" i="47" s="1"/>
  <c r="G452" i="47" s="1"/>
  <c r="G470" i="47" s="1"/>
  <c r="Z239" i="47"/>
  <c r="Z238" i="47"/>
  <c r="Z237" i="47"/>
  <c r="Z236" i="47"/>
  <c r="Z235" i="47"/>
  <c r="Z234" i="47"/>
  <c r="Z233" i="47"/>
  <c r="Z232" i="47"/>
  <c r="Z231" i="47"/>
  <c r="Z230" i="47"/>
  <c r="Z229" i="47"/>
  <c r="Z228" i="47"/>
  <c r="B227" i="47"/>
  <c r="B226" i="47"/>
  <c r="AC215" i="47" s="1"/>
  <c r="G436" i="47" s="1"/>
  <c r="G450" i="47" s="1"/>
  <c r="G468" i="47" s="1"/>
  <c r="B225" i="47"/>
  <c r="B224" i="47"/>
  <c r="B223" i="47"/>
  <c r="B222" i="47"/>
  <c r="B221" i="47"/>
  <c r="AY220" i="47"/>
  <c r="AW220" i="47"/>
  <c r="AU220" i="47"/>
  <c r="AQ220" i="47"/>
  <c r="AP220" i="47"/>
  <c r="AO220" i="47"/>
  <c r="AM220" i="47"/>
  <c r="AI220" i="47"/>
  <c r="AG220" i="47"/>
  <c r="AE220" i="47"/>
  <c r="B220" i="47"/>
  <c r="AO219" i="47"/>
  <c r="B219" i="47"/>
  <c r="AO218" i="47"/>
  <c r="AF218" i="47"/>
  <c r="B218" i="47"/>
  <c r="B217" i="47"/>
  <c r="B216" i="47"/>
  <c r="B215" i="47"/>
  <c r="B214" i="47"/>
  <c r="AC209" i="47"/>
  <c r="Z203" i="47"/>
  <c r="BA178" i="47" s="1"/>
  <c r="Y203" i="47"/>
  <c r="AZ178" i="47" s="1"/>
  <c r="X203" i="47"/>
  <c r="AY178" i="47" s="1"/>
  <c r="W203" i="47"/>
  <c r="V203" i="47"/>
  <c r="AW178" i="47" s="1"/>
  <c r="U203" i="47"/>
  <c r="T203" i="47"/>
  <c r="S203" i="47"/>
  <c r="R203" i="47"/>
  <c r="Q203" i="47"/>
  <c r="P203" i="47"/>
  <c r="AQ178" i="47" s="1"/>
  <c r="O203" i="47"/>
  <c r="N203" i="47"/>
  <c r="M203" i="47"/>
  <c r="L203" i="47"/>
  <c r="K203" i="47"/>
  <c r="J203" i="47"/>
  <c r="I203" i="47"/>
  <c r="H203" i="47"/>
  <c r="AI178" i="47" s="1"/>
  <c r="G203" i="47"/>
  <c r="F203" i="47"/>
  <c r="E203" i="47"/>
  <c r="D203" i="47"/>
  <c r="C203" i="47"/>
  <c r="B203" i="47"/>
  <c r="Z202" i="47"/>
  <c r="Y202" i="47"/>
  <c r="X202" i="47"/>
  <c r="W202" i="47"/>
  <c r="V202" i="47"/>
  <c r="U202" i="47"/>
  <c r="T202" i="47"/>
  <c r="S202" i="47"/>
  <c r="R202" i="47"/>
  <c r="Q202" i="47"/>
  <c r="P202" i="47"/>
  <c r="O202" i="47"/>
  <c r="AP178" i="47" s="1"/>
  <c r="N202" i="47"/>
  <c r="M202" i="47"/>
  <c r="L202" i="47"/>
  <c r="K202" i="47"/>
  <c r="K204" i="47" s="1"/>
  <c r="J202" i="47"/>
  <c r="I202" i="47"/>
  <c r="H202" i="47"/>
  <c r="G202" i="47"/>
  <c r="AH178" i="47" s="1"/>
  <c r="F202" i="47"/>
  <c r="AG178" i="47" s="1"/>
  <c r="E202" i="47"/>
  <c r="D202" i="47"/>
  <c r="C202" i="47"/>
  <c r="B202" i="47"/>
  <c r="AV179" i="47"/>
  <c r="AN179" i="47"/>
  <c r="AF179" i="47"/>
  <c r="Z200" i="47"/>
  <c r="BA177" i="47" s="1"/>
  <c r="Y200" i="47"/>
  <c r="X200" i="47"/>
  <c r="W200" i="47"/>
  <c r="W204" i="47" s="1"/>
  <c r="V200" i="47"/>
  <c r="V204" i="47" s="1"/>
  <c r="U200" i="47"/>
  <c r="T200" i="47"/>
  <c r="S200" i="47"/>
  <c r="S204" i="47" s="1"/>
  <c r="R200" i="47"/>
  <c r="Q200" i="47"/>
  <c r="AR177" i="47" s="1"/>
  <c r="P200" i="47"/>
  <c r="O200" i="47"/>
  <c r="O204" i="47" s="1"/>
  <c r="N200" i="47"/>
  <c r="M200" i="47"/>
  <c r="L200" i="47"/>
  <c r="K200" i="47"/>
  <c r="J200" i="47"/>
  <c r="I200" i="47"/>
  <c r="H200" i="47"/>
  <c r="G200" i="47"/>
  <c r="G204" i="47" s="1"/>
  <c r="F200" i="47"/>
  <c r="F204" i="47" s="1"/>
  <c r="E200" i="47"/>
  <c r="D200" i="47"/>
  <c r="C200" i="47"/>
  <c r="B200" i="47"/>
  <c r="Z199" i="47"/>
  <c r="BA176" i="47" s="1"/>
  <c r="F438" i="47" s="1"/>
  <c r="F452" i="47" s="1"/>
  <c r="F470" i="47" s="1"/>
  <c r="Z198" i="47"/>
  <c r="Z197" i="47"/>
  <c r="Z196" i="47"/>
  <c r="Z195" i="47"/>
  <c r="Z194" i="47"/>
  <c r="Z193" i="47"/>
  <c r="Z192" i="47"/>
  <c r="Z191" i="47"/>
  <c r="Z190" i="47"/>
  <c r="Z189" i="47"/>
  <c r="Z188" i="47"/>
  <c r="Z187" i="47"/>
  <c r="B186" i="47"/>
  <c r="B185" i="47"/>
  <c r="B184" i="47"/>
  <c r="B183" i="47"/>
  <c r="B182" i="47"/>
  <c r="B181" i="47"/>
  <c r="B180" i="47"/>
  <c r="AX179" i="47"/>
  <c r="AW179" i="47"/>
  <c r="AT179" i="47"/>
  <c r="AP179" i="47"/>
  <c r="AO179" i="47"/>
  <c r="AL179" i="47"/>
  <c r="AK179" i="47"/>
  <c r="AH179" i="47"/>
  <c r="AG179" i="47"/>
  <c r="AD179" i="47"/>
  <c r="B179" i="47"/>
  <c r="AX178" i="47"/>
  <c r="AF178" i="47"/>
  <c r="B178" i="47"/>
  <c r="AU177" i="47"/>
  <c r="AL177" i="47"/>
  <c r="AI177" i="47"/>
  <c r="AC177" i="47"/>
  <c r="B177" i="47"/>
  <c r="B176" i="47"/>
  <c r="B175" i="47"/>
  <c r="AC174" i="47"/>
  <c r="F436" i="47" s="1"/>
  <c r="F450" i="47" s="1"/>
  <c r="F468" i="47" s="1"/>
  <c r="B174" i="47"/>
  <c r="B173" i="47"/>
  <c r="AC168" i="47"/>
  <c r="Z162" i="47"/>
  <c r="BA137" i="47" s="1"/>
  <c r="Y162" i="47"/>
  <c r="X162" i="47"/>
  <c r="W162" i="47"/>
  <c r="V162" i="47"/>
  <c r="U162" i="47"/>
  <c r="T162" i="47"/>
  <c r="S162" i="47"/>
  <c r="R162" i="47"/>
  <c r="AS137" i="47" s="1"/>
  <c r="Q162" i="47"/>
  <c r="P162" i="47"/>
  <c r="O162" i="47"/>
  <c r="N162" i="47"/>
  <c r="M162" i="47"/>
  <c r="L162" i="47"/>
  <c r="K162" i="47"/>
  <c r="J162" i="47"/>
  <c r="AK137" i="47" s="1"/>
  <c r="I162" i="47"/>
  <c r="H162" i="47"/>
  <c r="G162" i="47"/>
  <c r="F162" i="47"/>
  <c r="E162" i="47"/>
  <c r="D162" i="47"/>
  <c r="C162" i="47"/>
  <c r="B162" i="47"/>
  <c r="AC137" i="47" s="1"/>
  <c r="Z161" i="47"/>
  <c r="Y161" i="47"/>
  <c r="X161" i="47"/>
  <c r="W161" i="47"/>
  <c r="V161" i="47"/>
  <c r="U161" i="47"/>
  <c r="T161" i="47"/>
  <c r="S161" i="47"/>
  <c r="R161" i="47"/>
  <c r="Q161" i="47"/>
  <c r="P161" i="47"/>
  <c r="O161" i="47"/>
  <c r="AP137" i="47" s="1"/>
  <c r="N161" i="47"/>
  <c r="M161" i="47"/>
  <c r="L161" i="47"/>
  <c r="AM137" i="47" s="1"/>
  <c r="K161" i="47"/>
  <c r="AL137" i="47" s="1"/>
  <c r="J161" i="47"/>
  <c r="I161" i="47"/>
  <c r="H161" i="47"/>
  <c r="G161" i="47"/>
  <c r="AH137" i="47" s="1"/>
  <c r="F161" i="47"/>
  <c r="E161" i="47"/>
  <c r="D161" i="47"/>
  <c r="C161" i="47"/>
  <c r="B161" i="47"/>
  <c r="Z159" i="47"/>
  <c r="BA136" i="47" s="1"/>
  <c r="Y159" i="47"/>
  <c r="Y163" i="47" s="1"/>
  <c r="X159" i="47"/>
  <c r="W159" i="47"/>
  <c r="V159" i="47"/>
  <c r="U159" i="47"/>
  <c r="T159" i="47"/>
  <c r="AU136" i="47" s="1"/>
  <c r="S159" i="47"/>
  <c r="R159" i="47"/>
  <c r="Q159" i="47"/>
  <c r="Q163" i="47" s="1"/>
  <c r="P159" i="47"/>
  <c r="O159" i="47"/>
  <c r="N159" i="47"/>
  <c r="M159" i="47"/>
  <c r="L159" i="47"/>
  <c r="K159" i="47"/>
  <c r="J159" i="47"/>
  <c r="I159" i="47"/>
  <c r="I163" i="47" s="1"/>
  <c r="H159" i="47"/>
  <c r="G159" i="47"/>
  <c r="F159" i="47"/>
  <c r="E159" i="47"/>
  <c r="D159" i="47"/>
  <c r="C159" i="47"/>
  <c r="B159" i="47"/>
  <c r="Z158" i="47"/>
  <c r="BA135" i="47" s="1"/>
  <c r="E438" i="47" s="1"/>
  <c r="E452" i="47" s="1"/>
  <c r="E470" i="47" s="1"/>
  <c r="Z157" i="47"/>
  <c r="Z156" i="47"/>
  <c r="Z155" i="47"/>
  <c r="Z154" i="47"/>
  <c r="Z153" i="47"/>
  <c r="Z152" i="47"/>
  <c r="Z151" i="47"/>
  <c r="Z150" i="47"/>
  <c r="Z149" i="47"/>
  <c r="Z148" i="47"/>
  <c r="Z147" i="47"/>
  <c r="Z146" i="47"/>
  <c r="B145" i="47"/>
  <c r="B144" i="47"/>
  <c r="B143" i="47"/>
  <c r="B142" i="47"/>
  <c r="B141" i="47"/>
  <c r="B140" i="47"/>
  <c r="B139" i="47"/>
  <c r="AZ138" i="47"/>
  <c r="AW138" i="47"/>
  <c r="AV138" i="47"/>
  <c r="AU138" i="47"/>
  <c r="AR138" i="47"/>
  <c r="AO138" i="47"/>
  <c r="AN138" i="47"/>
  <c r="AM138" i="47"/>
  <c r="AL138" i="47"/>
  <c r="AJ138" i="47"/>
  <c r="AG138" i="47"/>
  <c r="AF138" i="47"/>
  <c r="B138" i="47"/>
  <c r="AY137" i="47"/>
  <c r="AX137" i="47"/>
  <c r="AQ137" i="47"/>
  <c r="AJ137" i="47"/>
  <c r="AI137" i="47"/>
  <c r="B137" i="47"/>
  <c r="AX136" i="47"/>
  <c r="AO136" i="47"/>
  <c r="AL136" i="47"/>
  <c r="AF136" i="47"/>
  <c r="AC136" i="47"/>
  <c r="B136" i="47"/>
  <c r="B135" i="47"/>
  <c r="B134" i="47"/>
  <c r="AC133" i="47"/>
  <c r="E436" i="47" s="1"/>
  <c r="E450" i="47" s="1"/>
  <c r="E468" i="47" s="1"/>
  <c r="B133" i="47"/>
  <c r="B132" i="47"/>
  <c r="AC127" i="47"/>
  <c r="Z120" i="47"/>
  <c r="Y120" i="47"/>
  <c r="X120" i="47"/>
  <c r="W120" i="47"/>
  <c r="V120" i="47"/>
  <c r="U120" i="47"/>
  <c r="T120" i="47"/>
  <c r="S120" i="47"/>
  <c r="AT95" i="47" s="1"/>
  <c r="R120" i="47"/>
  <c r="Q120" i="47"/>
  <c r="P120" i="47"/>
  <c r="O120" i="47"/>
  <c r="N120" i="47"/>
  <c r="M120" i="47"/>
  <c r="L120" i="47"/>
  <c r="K120" i="47"/>
  <c r="J120" i="47"/>
  <c r="I120" i="47"/>
  <c r="H120" i="47"/>
  <c r="G120" i="47"/>
  <c r="F120" i="47"/>
  <c r="E120" i="47"/>
  <c r="D120" i="47"/>
  <c r="C120" i="47"/>
  <c r="B120" i="47"/>
  <c r="Z119" i="47"/>
  <c r="Z424" i="47" s="1"/>
  <c r="Y119" i="47"/>
  <c r="Y424" i="47" s="1"/>
  <c r="X119" i="47"/>
  <c r="X424" i="47" s="1"/>
  <c r="W119" i="47"/>
  <c r="W424" i="47" s="1"/>
  <c r="V119" i="47"/>
  <c r="U119" i="47"/>
  <c r="U424" i="47" s="1"/>
  <c r="T119" i="47"/>
  <c r="T424" i="47" s="1"/>
  <c r="S119" i="47"/>
  <c r="S424" i="47" s="1"/>
  <c r="R119" i="47"/>
  <c r="R424" i="47" s="1"/>
  <c r="Q119" i="47"/>
  <c r="Q424" i="47" s="1"/>
  <c r="P119" i="47"/>
  <c r="P424" i="47" s="1"/>
  <c r="O119" i="47"/>
  <c r="O424" i="47" s="1"/>
  <c r="N119" i="47"/>
  <c r="M119" i="47"/>
  <c r="M424" i="47" s="1"/>
  <c r="L119" i="47"/>
  <c r="L424" i="47" s="1"/>
  <c r="K119" i="47"/>
  <c r="K424" i="47" s="1"/>
  <c r="J119" i="47"/>
  <c r="J424" i="47" s="1"/>
  <c r="I119" i="47"/>
  <c r="I424" i="47" s="1"/>
  <c r="H119" i="47"/>
  <c r="H424" i="47" s="1"/>
  <c r="G119" i="47"/>
  <c r="G424" i="47" s="1"/>
  <c r="AH401" i="47" s="1"/>
  <c r="F119" i="47"/>
  <c r="E119" i="47"/>
  <c r="E424" i="47" s="1"/>
  <c r="D119" i="47"/>
  <c r="D424" i="47" s="1"/>
  <c r="C119" i="47"/>
  <c r="C424" i="47" s="1"/>
  <c r="B119" i="47"/>
  <c r="B424" i="47" s="1"/>
  <c r="Y423" i="47"/>
  <c r="AZ402" i="47" s="1"/>
  <c r="X423" i="47"/>
  <c r="AY402" i="47" s="1"/>
  <c r="V423" i="47"/>
  <c r="AW402" i="47" s="1"/>
  <c r="S423" i="47"/>
  <c r="AT402" i="47" s="1"/>
  <c r="Q423" i="47"/>
  <c r="AR402" i="47" s="1"/>
  <c r="P423" i="47"/>
  <c r="AQ402" i="47" s="1"/>
  <c r="K423" i="47"/>
  <c r="AL402" i="47" s="1"/>
  <c r="I423" i="47"/>
  <c r="AJ402" i="47" s="1"/>
  <c r="H423" i="47"/>
  <c r="AI402" i="47" s="1"/>
  <c r="C423" i="47"/>
  <c r="AD402" i="47" s="1"/>
  <c r="B423" i="47"/>
  <c r="AC402" i="47" s="1"/>
  <c r="Z117" i="47"/>
  <c r="Z422" i="47" s="1"/>
  <c r="BA399" i="47" s="1"/>
  <c r="Y117" i="47"/>
  <c r="X117" i="47"/>
  <c r="W117" i="47"/>
  <c r="W422" i="47" s="1"/>
  <c r="V117" i="47"/>
  <c r="V422" i="47" s="1"/>
  <c r="U117" i="47"/>
  <c r="U422" i="47" s="1"/>
  <c r="T117" i="47"/>
  <c r="T422" i="47" s="1"/>
  <c r="S117" i="47"/>
  <c r="R117" i="47"/>
  <c r="R422" i="47" s="1"/>
  <c r="Q117" i="47"/>
  <c r="P117" i="47"/>
  <c r="O117" i="47"/>
  <c r="O422" i="47" s="1"/>
  <c r="N117" i="47"/>
  <c r="N422" i="47" s="1"/>
  <c r="M117" i="47"/>
  <c r="M422" i="47" s="1"/>
  <c r="L117" i="47"/>
  <c r="L422" i="47" s="1"/>
  <c r="K117" i="47"/>
  <c r="J117" i="47"/>
  <c r="I117" i="47"/>
  <c r="H117" i="47"/>
  <c r="G117" i="47"/>
  <c r="G422" i="47" s="1"/>
  <c r="F117" i="47"/>
  <c r="F422" i="47" s="1"/>
  <c r="E117" i="47"/>
  <c r="E422" i="47" s="1"/>
  <c r="D117" i="47"/>
  <c r="D422" i="47" s="1"/>
  <c r="C117" i="47"/>
  <c r="B117" i="47"/>
  <c r="Z116" i="47"/>
  <c r="Z421" i="47" s="1"/>
  <c r="BA398" i="47" s="1"/>
  <c r="J438" i="47" s="1"/>
  <c r="J452" i="47" s="1"/>
  <c r="J470" i="47" s="1"/>
  <c r="Z115" i="47"/>
  <c r="Z420" i="47" s="1"/>
  <c r="Z114" i="47"/>
  <c r="Z419" i="47" s="1"/>
  <c r="Z113" i="47"/>
  <c r="Z418" i="47" s="1"/>
  <c r="Z112" i="47"/>
  <c r="Z417" i="47" s="1"/>
  <c r="Z111" i="47"/>
  <c r="Z416" i="47" s="1"/>
  <c r="Z110" i="47"/>
  <c r="Z415" i="47" s="1"/>
  <c r="Z109" i="47"/>
  <c r="Z414" i="47" s="1"/>
  <c r="Z108" i="47"/>
  <c r="Z413" i="47" s="1"/>
  <c r="Z107" i="47"/>
  <c r="Z412" i="47" s="1"/>
  <c r="Z106" i="47"/>
  <c r="Z411" i="47" s="1"/>
  <c r="Z105" i="47"/>
  <c r="Z410" i="47" s="1"/>
  <c r="Z104" i="47"/>
  <c r="B103" i="47"/>
  <c r="B408" i="47" s="1"/>
  <c r="B102" i="47"/>
  <c r="B407" i="47" s="1"/>
  <c r="AC396" i="47" s="1"/>
  <c r="J436" i="47" s="1"/>
  <c r="J450" i="47" s="1"/>
  <c r="J468" i="47" s="1"/>
  <c r="B101" i="47"/>
  <c r="B406" i="47" s="1"/>
  <c r="B100" i="47"/>
  <c r="B405" i="47" s="1"/>
  <c r="B99" i="47"/>
  <c r="B404" i="47" s="1"/>
  <c r="B98" i="47"/>
  <c r="B403" i="47" s="1"/>
  <c r="B97" i="47"/>
  <c r="B402" i="47" s="1"/>
  <c r="AZ96" i="47"/>
  <c r="AT96" i="47"/>
  <c r="AR96" i="47"/>
  <c r="AL96" i="47"/>
  <c r="AJ96" i="47"/>
  <c r="AD96" i="47"/>
  <c r="AC96" i="47"/>
  <c r="B96" i="47"/>
  <c r="B401" i="47" s="1"/>
  <c r="BA95" i="47"/>
  <c r="AZ95" i="47"/>
  <c r="AR95" i="47"/>
  <c r="AL95" i="47"/>
  <c r="AK95" i="47"/>
  <c r="AJ95" i="47"/>
  <c r="AD95" i="47"/>
  <c r="AC95" i="47"/>
  <c r="B95" i="47"/>
  <c r="B400" i="47" s="1"/>
  <c r="AX94" i="47"/>
  <c r="AL94" i="47"/>
  <c r="AF94" i="47"/>
  <c r="B94" i="47"/>
  <c r="B399" i="47" s="1"/>
  <c r="B93" i="47"/>
  <c r="B398" i="47" s="1"/>
  <c r="B92" i="47"/>
  <c r="B397" i="47" s="1"/>
  <c r="B91" i="47"/>
  <c r="B396" i="47" s="1"/>
  <c r="B90" i="47"/>
  <c r="B395" i="47" s="1"/>
  <c r="AC86" i="47"/>
  <c r="C81" i="47"/>
  <c r="Z80" i="47"/>
  <c r="Y80" i="47"/>
  <c r="X80" i="47"/>
  <c r="W80" i="47"/>
  <c r="V80" i="47"/>
  <c r="U80" i="47"/>
  <c r="T80" i="47"/>
  <c r="S80" i="47"/>
  <c r="R80" i="47"/>
  <c r="Q80" i="47"/>
  <c r="P80" i="47"/>
  <c r="O80" i="47"/>
  <c r="N80" i="47"/>
  <c r="M80" i="47"/>
  <c r="L80" i="47"/>
  <c r="K80" i="47"/>
  <c r="J80" i="47"/>
  <c r="I80" i="47"/>
  <c r="H80" i="47"/>
  <c r="G80" i="47"/>
  <c r="F80" i="47"/>
  <c r="E80" i="47"/>
  <c r="D80" i="47"/>
  <c r="C80" i="47"/>
  <c r="AD55" i="47" s="1"/>
  <c r="B80" i="47"/>
  <c r="Z79" i="47"/>
  <c r="Z363" i="47" s="1"/>
  <c r="Y79" i="47"/>
  <c r="Y363" i="47" s="1"/>
  <c r="X79" i="47"/>
  <c r="X363" i="47" s="1"/>
  <c r="W79" i="47"/>
  <c r="W363" i="47" s="1"/>
  <c r="V79" i="47"/>
  <c r="V363" i="47" s="1"/>
  <c r="U79" i="47"/>
  <c r="U363" i="47" s="1"/>
  <c r="T79" i="47"/>
  <c r="T363" i="47" s="1"/>
  <c r="S79" i="47"/>
  <c r="S363" i="47" s="1"/>
  <c r="R79" i="47"/>
  <c r="R363" i="47" s="1"/>
  <c r="Q79" i="47"/>
  <c r="Q363" i="47" s="1"/>
  <c r="P79" i="47"/>
  <c r="P363" i="47" s="1"/>
  <c r="O79" i="47"/>
  <c r="O363" i="47" s="1"/>
  <c r="N79" i="47"/>
  <c r="N363" i="47" s="1"/>
  <c r="M79" i="47"/>
  <c r="M363" i="47" s="1"/>
  <c r="L79" i="47"/>
  <c r="L363" i="47" s="1"/>
  <c r="K79" i="47"/>
  <c r="K363" i="47" s="1"/>
  <c r="J79" i="47"/>
  <c r="J363" i="47" s="1"/>
  <c r="I79" i="47"/>
  <c r="I363" i="47" s="1"/>
  <c r="H79" i="47"/>
  <c r="H363" i="47" s="1"/>
  <c r="G79" i="47"/>
  <c r="G363" i="47" s="1"/>
  <c r="F79" i="47"/>
  <c r="F363" i="47" s="1"/>
  <c r="E79" i="47"/>
  <c r="E363" i="47" s="1"/>
  <c r="D79" i="47"/>
  <c r="D363" i="47" s="1"/>
  <c r="C79" i="47"/>
  <c r="C363" i="47" s="1"/>
  <c r="B79" i="47"/>
  <c r="B363" i="47" s="1"/>
  <c r="X362" i="47"/>
  <c r="AY341" i="47" s="1"/>
  <c r="W362" i="47"/>
  <c r="AX341" i="47" s="1"/>
  <c r="U362" i="47"/>
  <c r="AV341" i="47" s="1"/>
  <c r="T362" i="47"/>
  <c r="AU341" i="47" s="1"/>
  <c r="S362" i="47"/>
  <c r="AT341" i="47" s="1"/>
  <c r="P362" i="47"/>
  <c r="AQ341" i="47" s="1"/>
  <c r="O362" i="47"/>
  <c r="AP341" i="47" s="1"/>
  <c r="AM56" i="47"/>
  <c r="K362" i="47"/>
  <c r="AL341" i="47" s="1"/>
  <c r="H362" i="47"/>
  <c r="AI341" i="47" s="1"/>
  <c r="G362" i="47"/>
  <c r="AH341" i="47" s="1"/>
  <c r="D362" i="47"/>
  <c r="AE341" i="47" s="1"/>
  <c r="C362" i="47"/>
  <c r="AD341" i="47" s="1"/>
  <c r="Z77" i="47"/>
  <c r="Z361" i="47" s="1"/>
  <c r="BA338" i="47" s="1"/>
  <c r="Y77" i="47"/>
  <c r="Y361" i="47" s="1"/>
  <c r="X77" i="47"/>
  <c r="X361" i="47" s="1"/>
  <c r="W77" i="47"/>
  <c r="V77" i="47"/>
  <c r="V361" i="47" s="1"/>
  <c r="U77" i="47"/>
  <c r="T77" i="47"/>
  <c r="S77" i="47"/>
  <c r="S361" i="47" s="1"/>
  <c r="R77" i="47"/>
  <c r="Q77" i="47"/>
  <c r="Q361" i="47" s="1"/>
  <c r="P77" i="47"/>
  <c r="P361" i="47" s="1"/>
  <c r="O77" i="47"/>
  <c r="O361" i="47" s="1"/>
  <c r="N77" i="47"/>
  <c r="N361" i="47" s="1"/>
  <c r="M77" i="47"/>
  <c r="L77" i="47"/>
  <c r="K77" i="47"/>
  <c r="K361" i="47" s="1"/>
  <c r="J77" i="47"/>
  <c r="I77" i="47"/>
  <c r="I361" i="47" s="1"/>
  <c r="H77" i="47"/>
  <c r="H361" i="47" s="1"/>
  <c r="G77" i="47"/>
  <c r="G361" i="47" s="1"/>
  <c r="F77" i="47"/>
  <c r="F361" i="47" s="1"/>
  <c r="E77" i="47"/>
  <c r="D77" i="47"/>
  <c r="C77" i="47"/>
  <c r="C361" i="47" s="1"/>
  <c r="B77" i="47"/>
  <c r="B361" i="47" s="1"/>
  <c r="AC338" i="47" s="1"/>
  <c r="Z76" i="47"/>
  <c r="Z360" i="47" s="1"/>
  <c r="BA337" i="47" s="1"/>
  <c r="I438" i="47" s="1"/>
  <c r="I452" i="47" s="1"/>
  <c r="I470" i="47" s="1"/>
  <c r="Z75" i="47"/>
  <c r="Z359" i="47" s="1"/>
  <c r="Z74" i="47"/>
  <c r="Z358" i="47" s="1"/>
  <c r="Z73" i="47"/>
  <c r="Z357" i="47" s="1"/>
  <c r="Z72" i="47"/>
  <c r="Z356" i="47" s="1"/>
  <c r="Z71" i="47"/>
  <c r="Z355" i="47" s="1"/>
  <c r="Z70" i="47"/>
  <c r="Z354" i="47" s="1"/>
  <c r="Z69" i="47"/>
  <c r="Z353" i="47" s="1"/>
  <c r="Z68" i="47"/>
  <c r="Z352" i="47" s="1"/>
  <c r="Z67" i="47"/>
  <c r="Z351" i="47" s="1"/>
  <c r="Z66" i="47"/>
  <c r="Z350" i="47" s="1"/>
  <c r="Z65" i="47"/>
  <c r="Z349" i="47" s="1"/>
  <c r="Z64" i="47"/>
  <c r="B63" i="47"/>
  <c r="B347" i="47" s="1"/>
  <c r="B62" i="47"/>
  <c r="B61" i="47"/>
  <c r="B345" i="47" s="1"/>
  <c r="B60" i="47"/>
  <c r="B344" i="47" s="1"/>
  <c r="B59" i="47"/>
  <c r="B343" i="47" s="1"/>
  <c r="B58" i="47"/>
  <c r="B342" i="47" s="1"/>
  <c r="B57" i="47"/>
  <c r="B341" i="47" s="1"/>
  <c r="AY56" i="47"/>
  <c r="AX56" i="47"/>
  <c r="AT56" i="47"/>
  <c r="AQ56" i="47"/>
  <c r="AP56" i="47"/>
  <c r="AO56" i="47"/>
  <c r="AL56" i="47"/>
  <c r="AI56" i="47"/>
  <c r="AH56" i="47"/>
  <c r="AD56" i="47"/>
  <c r="AC56" i="47"/>
  <c r="B56" i="47"/>
  <c r="B340" i="47" s="1"/>
  <c r="AY55" i="47"/>
  <c r="AQ55" i="47"/>
  <c r="AO55" i="47"/>
  <c r="AN55" i="47"/>
  <c r="AI55" i="47"/>
  <c r="B55" i="47"/>
  <c r="B339" i="47" s="1"/>
  <c r="BA54" i="47"/>
  <c r="AU54" i="47"/>
  <c r="AO54" i="47"/>
  <c r="AI54" i="47"/>
  <c r="B54" i="47"/>
  <c r="B338" i="47" s="1"/>
  <c r="BA53" i="47"/>
  <c r="C438" i="47" s="1"/>
  <c r="C452" i="47" s="1"/>
  <c r="C470" i="47" s="1"/>
  <c r="B53" i="47"/>
  <c r="B337" i="47" s="1"/>
  <c r="B52" i="47"/>
  <c r="B336" i="47" s="1"/>
  <c r="B51" i="47"/>
  <c r="B335" i="47" s="1"/>
  <c r="B50" i="47"/>
  <c r="B334" i="47" s="1"/>
  <c r="AC46" i="47"/>
  <c r="Z40" i="47"/>
  <c r="Y40" i="47"/>
  <c r="X40" i="47"/>
  <c r="AY15" i="47" s="1"/>
  <c r="W40" i="47"/>
  <c r="V40" i="47"/>
  <c r="U40" i="47"/>
  <c r="T40" i="47"/>
  <c r="AU15" i="47" s="1"/>
  <c r="S40" i="47"/>
  <c r="R40" i="47"/>
  <c r="Q40" i="47"/>
  <c r="P40" i="47"/>
  <c r="AQ15" i="47" s="1"/>
  <c r="O40" i="47"/>
  <c r="N40" i="47"/>
  <c r="M40" i="47"/>
  <c r="L40" i="47"/>
  <c r="AM15" i="47" s="1"/>
  <c r="K40" i="47"/>
  <c r="J40" i="47"/>
  <c r="I40" i="47"/>
  <c r="H40" i="47"/>
  <c r="AI15" i="47" s="1"/>
  <c r="G40" i="47"/>
  <c r="F40" i="47"/>
  <c r="E40" i="47"/>
  <c r="D40" i="47"/>
  <c r="AE15" i="47" s="1"/>
  <c r="C40" i="47"/>
  <c r="B40" i="47"/>
  <c r="Z39" i="47"/>
  <c r="Z303" i="47" s="1"/>
  <c r="BA280" i="47" s="1"/>
  <c r="Y39" i="47"/>
  <c r="Y303" i="47" s="1"/>
  <c r="X39" i="47"/>
  <c r="X303" i="47" s="1"/>
  <c r="AY280" i="47" s="1"/>
  <c r="W39" i="47"/>
  <c r="W303" i="47" s="1"/>
  <c r="AX280" i="47" s="1"/>
  <c r="V39" i="47"/>
  <c r="V303" i="47" s="1"/>
  <c r="U39" i="47"/>
  <c r="U303" i="47" s="1"/>
  <c r="T39" i="47"/>
  <c r="T303" i="47" s="1"/>
  <c r="S39" i="47"/>
  <c r="S303" i="47" s="1"/>
  <c r="R39" i="47"/>
  <c r="R303" i="47" s="1"/>
  <c r="AS280" i="47" s="1"/>
  <c r="Q39" i="47"/>
  <c r="Q303" i="47" s="1"/>
  <c r="P39" i="47"/>
  <c r="P303" i="47" s="1"/>
  <c r="AQ280" i="47" s="1"/>
  <c r="O39" i="47"/>
  <c r="O303" i="47" s="1"/>
  <c r="AP280" i="47" s="1"/>
  <c r="N39" i="47"/>
  <c r="N303" i="47" s="1"/>
  <c r="M39" i="47"/>
  <c r="M303" i="47" s="1"/>
  <c r="L39" i="47"/>
  <c r="L303" i="47" s="1"/>
  <c r="K39" i="47"/>
  <c r="K303" i="47" s="1"/>
  <c r="J39" i="47"/>
  <c r="J303" i="47" s="1"/>
  <c r="AK280" i="47" s="1"/>
  <c r="I39" i="47"/>
  <c r="I303" i="47" s="1"/>
  <c r="H39" i="47"/>
  <c r="H303" i="47" s="1"/>
  <c r="AI280" i="47" s="1"/>
  <c r="G39" i="47"/>
  <c r="G303" i="47" s="1"/>
  <c r="AH280" i="47" s="1"/>
  <c r="F39" i="47"/>
  <c r="F303" i="47" s="1"/>
  <c r="E39" i="47"/>
  <c r="E303" i="47" s="1"/>
  <c r="D39" i="47"/>
  <c r="D303" i="47" s="1"/>
  <c r="C39" i="47"/>
  <c r="C303" i="47" s="1"/>
  <c r="B39" i="47"/>
  <c r="B303" i="47" s="1"/>
  <c r="AC280" i="47" s="1"/>
  <c r="X302" i="47"/>
  <c r="AY281" i="47" s="1"/>
  <c r="W302" i="47"/>
  <c r="AX281" i="47" s="1"/>
  <c r="V302" i="47"/>
  <c r="AW281" i="47" s="1"/>
  <c r="S302" i="47"/>
  <c r="AT281" i="47" s="1"/>
  <c r="O302" i="47"/>
  <c r="AP281" i="47" s="1"/>
  <c r="N302" i="47"/>
  <c r="AO281" i="47" s="1"/>
  <c r="K302" i="47"/>
  <c r="AL281" i="47" s="1"/>
  <c r="H302" i="47"/>
  <c r="AI281" i="47" s="1"/>
  <c r="G302" i="47"/>
  <c r="AH281" i="47" s="1"/>
  <c r="F302" i="47"/>
  <c r="AG281" i="47" s="1"/>
  <c r="E302" i="47"/>
  <c r="AF281" i="47" s="1"/>
  <c r="C302" i="47"/>
  <c r="AD281" i="47" s="1"/>
  <c r="B302" i="47"/>
  <c r="AC281" i="47" s="1"/>
  <c r="Z37" i="47"/>
  <c r="Z301" i="47" s="1"/>
  <c r="BA278" i="47" s="1"/>
  <c r="Y37" i="47"/>
  <c r="Y301" i="47" s="1"/>
  <c r="X37" i="47"/>
  <c r="X301" i="47" s="1"/>
  <c r="W37" i="47"/>
  <c r="AX14" i="47" s="1"/>
  <c r="V37" i="47"/>
  <c r="U37" i="47"/>
  <c r="U301" i="47" s="1"/>
  <c r="T37" i="47"/>
  <c r="S37" i="47"/>
  <c r="S301" i="47" s="1"/>
  <c r="R37" i="47"/>
  <c r="R301" i="47" s="1"/>
  <c r="Q37" i="47"/>
  <c r="Q301" i="47" s="1"/>
  <c r="P37" i="47"/>
  <c r="P301" i="47" s="1"/>
  <c r="O37" i="47"/>
  <c r="N37" i="47"/>
  <c r="AO14" i="47" s="1"/>
  <c r="M37" i="47"/>
  <c r="M301" i="47" s="1"/>
  <c r="L37" i="47"/>
  <c r="K37" i="47"/>
  <c r="K301" i="47" s="1"/>
  <c r="J37" i="47"/>
  <c r="J301" i="47" s="1"/>
  <c r="I37" i="47"/>
  <c r="I301" i="47" s="1"/>
  <c r="H37" i="47"/>
  <c r="H301" i="47" s="1"/>
  <c r="G37" i="47"/>
  <c r="F37" i="47"/>
  <c r="E37" i="47"/>
  <c r="E301" i="47" s="1"/>
  <c r="D37" i="47"/>
  <c r="C37" i="47"/>
  <c r="C301" i="47" s="1"/>
  <c r="B37" i="47"/>
  <c r="B301" i="47" s="1"/>
  <c r="AC278" i="47" s="1"/>
  <c r="Z36" i="47"/>
  <c r="Z300" i="47" s="1"/>
  <c r="BA277" i="47" s="1"/>
  <c r="H438" i="47" s="1"/>
  <c r="H452" i="47" s="1"/>
  <c r="H470" i="47" s="1"/>
  <c r="Z35" i="47"/>
  <c r="Z299" i="47" s="1"/>
  <c r="Z34" i="47"/>
  <c r="Z298" i="47" s="1"/>
  <c r="Z33" i="47"/>
  <c r="Z297" i="47" s="1"/>
  <c r="Z32" i="47"/>
  <c r="Z296" i="47" s="1"/>
  <c r="Z31" i="47"/>
  <c r="Z295" i="47" s="1"/>
  <c r="Z30" i="47"/>
  <c r="Z294" i="47" s="1"/>
  <c r="Z29" i="47"/>
  <c r="Z293" i="47" s="1"/>
  <c r="Z28" i="47"/>
  <c r="Z292" i="47" s="1"/>
  <c r="Z27" i="47"/>
  <c r="Z291" i="47" s="1"/>
  <c r="Z26" i="47"/>
  <c r="Z290" i="47" s="1"/>
  <c r="Z25" i="47"/>
  <c r="Z289" i="47" s="1"/>
  <c r="Z24" i="47"/>
  <c r="Z288" i="47" s="1"/>
  <c r="B23" i="47"/>
  <c r="B287" i="47" s="1"/>
  <c r="B22" i="47"/>
  <c r="B286" i="47" s="1"/>
  <c r="AC275" i="47" s="1"/>
  <c r="H436" i="47" s="1"/>
  <c r="H450" i="47" s="1"/>
  <c r="H468" i="47" s="1"/>
  <c r="B21" i="47"/>
  <c r="B285" i="47" s="1"/>
  <c r="B20" i="47"/>
  <c r="B284" i="47" s="1"/>
  <c r="B19" i="47"/>
  <c r="B283" i="47" s="1"/>
  <c r="B18" i="47"/>
  <c r="B282" i="47" s="1"/>
  <c r="B17" i="47"/>
  <c r="B281" i="47" s="1"/>
  <c r="AX16" i="47"/>
  <c r="AW16" i="47"/>
  <c r="AT16" i="47"/>
  <c r="AP16" i="47"/>
  <c r="AO16" i="47"/>
  <c r="AL16" i="47"/>
  <c r="AH16" i="47"/>
  <c r="AG16" i="47"/>
  <c r="AD16" i="47"/>
  <c r="AC16" i="47"/>
  <c r="B16" i="47"/>
  <c r="B280" i="47" s="1"/>
  <c r="AX15" i="47"/>
  <c r="AP15" i="47"/>
  <c r="AL15" i="47"/>
  <c r="AK15" i="47"/>
  <c r="AH15" i="47"/>
  <c r="B15" i="47"/>
  <c r="B279" i="47" s="1"/>
  <c r="BA14" i="47"/>
  <c r="AU14" i="47"/>
  <c r="AR14" i="47"/>
  <c r="AL14" i="47"/>
  <c r="AF14" i="47"/>
  <c r="AC14" i="47"/>
  <c r="B14" i="47"/>
  <c r="B278" i="47" s="1"/>
  <c r="BA13" i="47"/>
  <c r="B438" i="47" s="1"/>
  <c r="B452" i="47" s="1"/>
  <c r="B470" i="47" s="1"/>
  <c r="B13" i="47"/>
  <c r="B277" i="47" s="1"/>
  <c r="B12" i="47"/>
  <c r="B276" i="47" s="1"/>
  <c r="AC11" i="47"/>
  <c r="B436" i="47" s="1"/>
  <c r="B450" i="47" s="1"/>
  <c r="B468" i="47" s="1"/>
  <c r="B11" i="47"/>
  <c r="B275" i="47" s="1"/>
  <c r="B10" i="47"/>
  <c r="B274" i="47" s="1"/>
  <c r="AC6" i="47"/>
  <c r="AS180" i="47" s="1"/>
  <c r="C242" i="46"/>
  <c r="D242" i="46"/>
  <c r="E242" i="46"/>
  <c r="F242" i="46"/>
  <c r="G242" i="46"/>
  <c r="H242" i="46"/>
  <c r="AI220" i="46" s="1"/>
  <c r="I242" i="46"/>
  <c r="J242" i="46"/>
  <c r="AK220" i="46" s="1"/>
  <c r="K242" i="46"/>
  <c r="L242" i="46"/>
  <c r="M242" i="46"/>
  <c r="N242" i="46"/>
  <c r="O242" i="46"/>
  <c r="P242" i="46"/>
  <c r="P245" i="46" s="1"/>
  <c r="Q242" i="46"/>
  <c r="R242" i="46"/>
  <c r="AS220" i="46" s="1"/>
  <c r="AS222" i="46" s="1"/>
  <c r="S242" i="46"/>
  <c r="AT220" i="46" s="1"/>
  <c r="T242" i="46"/>
  <c r="U242" i="46"/>
  <c r="V242" i="46"/>
  <c r="W242" i="46"/>
  <c r="X242" i="46"/>
  <c r="AY220" i="46" s="1"/>
  <c r="Y242" i="46"/>
  <c r="Z242" i="46"/>
  <c r="BA220" i="46" s="1"/>
  <c r="B242" i="46"/>
  <c r="C201" i="46"/>
  <c r="AD179" i="46" s="1"/>
  <c r="D201" i="46"/>
  <c r="E201" i="46"/>
  <c r="F201" i="46"/>
  <c r="G201" i="46"/>
  <c r="AH179" i="46" s="1"/>
  <c r="H201" i="46"/>
  <c r="I201" i="46"/>
  <c r="AJ179" i="46" s="1"/>
  <c r="J201" i="46"/>
  <c r="AK179" i="46" s="1"/>
  <c r="AK181" i="46" s="1"/>
  <c r="K201" i="46"/>
  <c r="AL179" i="46" s="1"/>
  <c r="L201" i="46"/>
  <c r="M201" i="46"/>
  <c r="N201" i="46"/>
  <c r="O201" i="46"/>
  <c r="P201" i="46"/>
  <c r="Q201" i="46"/>
  <c r="R201" i="46"/>
  <c r="AS179" i="46" s="1"/>
  <c r="AS181" i="46" s="1"/>
  <c r="S201" i="46"/>
  <c r="AT179" i="46" s="1"/>
  <c r="T201" i="46"/>
  <c r="U201" i="46"/>
  <c r="V201" i="46"/>
  <c r="W201" i="46"/>
  <c r="AX179" i="46" s="1"/>
  <c r="X201" i="46"/>
  <c r="Y201" i="46"/>
  <c r="AZ179" i="46" s="1"/>
  <c r="Z201" i="46"/>
  <c r="BA179" i="46" s="1"/>
  <c r="B201" i="46"/>
  <c r="C160" i="46"/>
  <c r="AD138" i="46" s="1"/>
  <c r="D160" i="46"/>
  <c r="E160" i="46"/>
  <c r="F160" i="46"/>
  <c r="G160" i="46"/>
  <c r="H160" i="46"/>
  <c r="AI138" i="46" s="1"/>
  <c r="I160" i="46"/>
  <c r="J160" i="46"/>
  <c r="J163" i="46" s="1"/>
  <c r="K160" i="46"/>
  <c r="L160" i="46"/>
  <c r="AM138" i="46" s="1"/>
  <c r="M160" i="46"/>
  <c r="N160" i="46"/>
  <c r="O160" i="46"/>
  <c r="P160" i="46"/>
  <c r="AQ138" i="46" s="1"/>
  <c r="Q160" i="46"/>
  <c r="R160" i="46"/>
  <c r="S160" i="46"/>
  <c r="T160" i="46"/>
  <c r="AU138" i="46" s="1"/>
  <c r="U160" i="46"/>
  <c r="V160" i="46"/>
  <c r="W160" i="46"/>
  <c r="X160" i="46"/>
  <c r="Y160" i="46"/>
  <c r="Z160" i="46"/>
  <c r="BA138" i="46" s="1"/>
  <c r="B160" i="46"/>
  <c r="AC138" i="46" s="1"/>
  <c r="C118" i="46"/>
  <c r="C423" i="46" s="1"/>
  <c r="AD402" i="46" s="1"/>
  <c r="D118" i="46"/>
  <c r="E118" i="46"/>
  <c r="E121" i="46" s="1"/>
  <c r="F118" i="46"/>
  <c r="G118" i="46"/>
  <c r="H118" i="46"/>
  <c r="I118" i="46"/>
  <c r="J118" i="46"/>
  <c r="J423" i="46" s="1"/>
  <c r="AK402" i="46" s="1"/>
  <c r="K118" i="46"/>
  <c r="K423" i="46" s="1"/>
  <c r="AL402" i="46" s="1"/>
  <c r="L118" i="46"/>
  <c r="M118" i="46"/>
  <c r="N118" i="46"/>
  <c r="O118" i="46"/>
  <c r="P118" i="46"/>
  <c r="Q118" i="46"/>
  <c r="R118" i="46"/>
  <c r="R423" i="46" s="1"/>
  <c r="AS402" i="46" s="1"/>
  <c r="S118" i="46"/>
  <c r="S423" i="46" s="1"/>
  <c r="AT402" i="46" s="1"/>
  <c r="T118" i="46"/>
  <c r="U118" i="46"/>
  <c r="AV96" i="46" s="1"/>
  <c r="V118" i="46"/>
  <c r="W118" i="46"/>
  <c r="X118" i="46"/>
  <c r="Y118" i="46"/>
  <c r="Z118" i="46"/>
  <c r="Z423" i="46" s="1"/>
  <c r="BA402" i="46" s="1"/>
  <c r="B118" i="46"/>
  <c r="AC96" i="46" s="1"/>
  <c r="C78" i="46"/>
  <c r="D78" i="46"/>
  <c r="E78" i="46"/>
  <c r="F78" i="46"/>
  <c r="G78" i="46"/>
  <c r="H78" i="46"/>
  <c r="I78" i="46"/>
  <c r="J78" i="46"/>
  <c r="AK56" i="46" s="1"/>
  <c r="K78" i="46"/>
  <c r="L78" i="46"/>
  <c r="M78" i="46"/>
  <c r="N78" i="46"/>
  <c r="O78" i="46"/>
  <c r="P78" i="46"/>
  <c r="Q78" i="46"/>
  <c r="R78" i="46"/>
  <c r="AS56" i="46" s="1"/>
  <c r="S78" i="46"/>
  <c r="T78" i="46"/>
  <c r="U78" i="46"/>
  <c r="V78" i="46"/>
  <c r="W78" i="46"/>
  <c r="X78" i="46"/>
  <c r="Y78" i="46"/>
  <c r="Z78" i="46"/>
  <c r="BA56" i="46" s="1"/>
  <c r="B78" i="46"/>
  <c r="C38" i="46"/>
  <c r="D38" i="46"/>
  <c r="E38" i="46"/>
  <c r="F38" i="46"/>
  <c r="G38" i="46"/>
  <c r="H38" i="46"/>
  <c r="I38" i="46"/>
  <c r="J38" i="46"/>
  <c r="AK16" i="46" s="1"/>
  <c r="K38" i="46"/>
  <c r="L38" i="46"/>
  <c r="M38" i="46"/>
  <c r="N38" i="46"/>
  <c r="O38" i="46"/>
  <c r="P38" i="46"/>
  <c r="Q38" i="46"/>
  <c r="R38" i="46"/>
  <c r="AS16" i="46" s="1"/>
  <c r="S38" i="46"/>
  <c r="T38" i="46"/>
  <c r="U38" i="46"/>
  <c r="V38" i="46"/>
  <c r="W38" i="46"/>
  <c r="X38" i="46"/>
  <c r="Y38" i="46"/>
  <c r="Z38" i="46"/>
  <c r="Z302" i="46" s="1"/>
  <c r="BA281" i="46" s="1"/>
  <c r="B38" i="46"/>
  <c r="AC16" i="46" s="1"/>
  <c r="F472" i="46"/>
  <c r="E472" i="46"/>
  <c r="B472" i="46"/>
  <c r="E457" i="46"/>
  <c r="E475" i="46" s="1"/>
  <c r="G454" i="46"/>
  <c r="G472" i="46" s="1"/>
  <c r="F454" i="46"/>
  <c r="E454" i="46"/>
  <c r="D454" i="46"/>
  <c r="D472" i="46" s="1"/>
  <c r="C454" i="46"/>
  <c r="C472" i="46" s="1"/>
  <c r="B454" i="46"/>
  <c r="G443" i="46"/>
  <c r="G457" i="46" s="1"/>
  <c r="G475" i="46" s="1"/>
  <c r="F443" i="46"/>
  <c r="F457" i="46" s="1"/>
  <c r="F475" i="46" s="1"/>
  <c r="E443" i="46"/>
  <c r="Z425" i="46"/>
  <c r="Y425" i="46"/>
  <c r="X425" i="46"/>
  <c r="W425" i="46"/>
  <c r="V425" i="46"/>
  <c r="U425" i="46"/>
  <c r="T425" i="46"/>
  <c r="S425" i="46"/>
  <c r="R425" i="46"/>
  <c r="Q425" i="46"/>
  <c r="P425" i="46"/>
  <c r="O425" i="46"/>
  <c r="N425" i="46"/>
  <c r="M425" i="46"/>
  <c r="L425" i="46"/>
  <c r="K425" i="46"/>
  <c r="J425" i="46"/>
  <c r="I425" i="46"/>
  <c r="H425" i="46"/>
  <c r="G425" i="46"/>
  <c r="F425" i="46"/>
  <c r="E425" i="46"/>
  <c r="D425" i="46"/>
  <c r="C425" i="46"/>
  <c r="B425" i="46"/>
  <c r="V422" i="46"/>
  <c r="AC384" i="46"/>
  <c r="B380" i="46"/>
  <c r="B379" i="46"/>
  <c r="B378" i="46"/>
  <c r="B375" i="46"/>
  <c r="AC389" i="46" s="1"/>
  <c r="Z364" i="46"/>
  <c r="Y364" i="46"/>
  <c r="AZ340" i="46" s="1"/>
  <c r="X364" i="46"/>
  <c r="W364" i="46"/>
  <c r="V364" i="46"/>
  <c r="U364" i="46"/>
  <c r="T364" i="46"/>
  <c r="S364" i="46"/>
  <c r="R364" i="46"/>
  <c r="Q364" i="46"/>
  <c r="AR340" i="46" s="1"/>
  <c r="P364" i="46"/>
  <c r="O364" i="46"/>
  <c r="N364" i="46"/>
  <c r="M364" i="46"/>
  <c r="L364" i="46"/>
  <c r="K364" i="46"/>
  <c r="J364" i="46"/>
  <c r="I364" i="46"/>
  <c r="AJ340" i="46" s="1"/>
  <c r="H364" i="46"/>
  <c r="G364" i="46"/>
  <c r="F364" i="46"/>
  <c r="E364" i="46"/>
  <c r="D364" i="46"/>
  <c r="C364" i="46"/>
  <c r="B364" i="46"/>
  <c r="Z363" i="46"/>
  <c r="P361" i="46"/>
  <c r="BA342" i="46"/>
  <c r="AZ342" i="46"/>
  <c r="AY342" i="46"/>
  <c r="AV342" i="46"/>
  <c r="AU342" i="46"/>
  <c r="AS342" i="46"/>
  <c r="AR342" i="46"/>
  <c r="AQ342" i="46"/>
  <c r="AN342" i="46"/>
  <c r="AM342" i="46"/>
  <c r="AK342" i="46"/>
  <c r="AJ342" i="46"/>
  <c r="AI342" i="46"/>
  <c r="AF342" i="46"/>
  <c r="AE342" i="46"/>
  <c r="AC342" i="46"/>
  <c r="BA340" i="46"/>
  <c r="AY340" i="46"/>
  <c r="AX340" i="46"/>
  <c r="AW340" i="46"/>
  <c r="AN340" i="46"/>
  <c r="AC329" i="46"/>
  <c r="AC324" i="46"/>
  <c r="AX342" i="46" s="1"/>
  <c r="B319" i="46"/>
  <c r="B318" i="46"/>
  <c r="B320" i="46" s="1"/>
  <c r="T365" i="46" s="1"/>
  <c r="AU339" i="46" s="1"/>
  <c r="B315" i="46"/>
  <c r="Z304" i="46"/>
  <c r="Y304" i="46"/>
  <c r="X304" i="46"/>
  <c r="W304" i="46"/>
  <c r="V304" i="46"/>
  <c r="U304" i="46"/>
  <c r="T304" i="46"/>
  <c r="S304" i="46"/>
  <c r="R304" i="46"/>
  <c r="Q304" i="46"/>
  <c r="P304" i="46"/>
  <c r="O304" i="46"/>
  <c r="N304" i="46"/>
  <c r="M304" i="46"/>
  <c r="L304" i="46"/>
  <c r="K304" i="46"/>
  <c r="J304" i="46"/>
  <c r="I304" i="46"/>
  <c r="H304" i="46"/>
  <c r="G304" i="46"/>
  <c r="F304" i="46"/>
  <c r="E304" i="46"/>
  <c r="D304" i="46"/>
  <c r="AE280" i="46" s="1"/>
  <c r="C304" i="46"/>
  <c r="B304" i="46"/>
  <c r="Z303" i="46"/>
  <c r="BA280" i="46" s="1"/>
  <c r="U302" i="46"/>
  <c r="AV281" i="46" s="1"/>
  <c r="O301" i="46"/>
  <c r="Z289" i="46"/>
  <c r="BA282" i="46"/>
  <c r="AY282" i="46"/>
  <c r="AT282" i="46"/>
  <c r="AS282" i="46"/>
  <c r="AQ282" i="46"/>
  <c r="AL282" i="46"/>
  <c r="AK282" i="46"/>
  <c r="AI282" i="46"/>
  <c r="AD282" i="46"/>
  <c r="AC282" i="46"/>
  <c r="AW280" i="46"/>
  <c r="AC269" i="46"/>
  <c r="AC264" i="46"/>
  <c r="AZ282" i="46" s="1"/>
  <c r="B259" i="46"/>
  <c r="B258" i="46"/>
  <c r="B255" i="46"/>
  <c r="S245" i="46"/>
  <c r="Z244" i="46"/>
  <c r="Y244" i="46"/>
  <c r="AZ219" i="46" s="1"/>
  <c r="X244" i="46"/>
  <c r="W244" i="46"/>
  <c r="V244" i="46"/>
  <c r="U244" i="46"/>
  <c r="T244" i="46"/>
  <c r="S244" i="46"/>
  <c r="AT219" i="46" s="1"/>
  <c r="R244" i="46"/>
  <c r="Q244" i="46"/>
  <c r="AR219" i="46" s="1"/>
  <c r="P244" i="46"/>
  <c r="O244" i="46"/>
  <c r="N244" i="46"/>
  <c r="M244" i="46"/>
  <c r="L244" i="46"/>
  <c r="AM219" i="46" s="1"/>
  <c r="K244" i="46"/>
  <c r="AL219" i="46" s="1"/>
  <c r="J244" i="46"/>
  <c r="I244" i="46"/>
  <c r="AJ219" i="46" s="1"/>
  <c r="AJ222" i="46" s="1"/>
  <c r="H244" i="46"/>
  <c r="G244" i="46"/>
  <c r="F244" i="46"/>
  <c r="E244" i="46"/>
  <c r="D244" i="46"/>
  <c r="C244" i="46"/>
  <c r="AD219" i="46" s="1"/>
  <c r="B244" i="46"/>
  <c r="Z243" i="46"/>
  <c r="BA219" i="46" s="1"/>
  <c r="Y243" i="46"/>
  <c r="X243" i="46"/>
  <c r="W243" i="46"/>
  <c r="V243" i="46"/>
  <c r="U243" i="46"/>
  <c r="AV219" i="46" s="1"/>
  <c r="T243" i="46"/>
  <c r="S243" i="46"/>
  <c r="R243" i="46"/>
  <c r="AS219" i="46" s="1"/>
  <c r="Q243" i="46"/>
  <c r="P243" i="46"/>
  <c r="O243" i="46"/>
  <c r="N243" i="46"/>
  <c r="M243" i="46"/>
  <c r="AN219" i="46" s="1"/>
  <c r="L243" i="46"/>
  <c r="K243" i="46"/>
  <c r="J243" i="46"/>
  <c r="AK219" i="46" s="1"/>
  <c r="I243" i="46"/>
  <c r="H243" i="46"/>
  <c r="G243" i="46"/>
  <c r="F243" i="46"/>
  <c r="E243" i="46"/>
  <c r="AF219" i="46" s="1"/>
  <c r="D243" i="46"/>
  <c r="C243" i="46"/>
  <c r="B243" i="46"/>
  <c r="AC219" i="46" s="1"/>
  <c r="AW220" i="46"/>
  <c r="AO220" i="46"/>
  <c r="AL220" i="46"/>
  <c r="AG220" i="46"/>
  <c r="AD220" i="46"/>
  <c r="Z241" i="46"/>
  <c r="Y241" i="46"/>
  <c r="X241" i="46"/>
  <c r="W241" i="46"/>
  <c r="W245" i="46" s="1"/>
  <c r="V241" i="46"/>
  <c r="U241" i="46"/>
  <c r="U245" i="46" s="1"/>
  <c r="T241" i="46"/>
  <c r="S241" i="46"/>
  <c r="R241" i="46"/>
  <c r="Q241" i="46"/>
  <c r="P241" i="46"/>
  <c r="O241" i="46"/>
  <c r="O245" i="46" s="1"/>
  <c r="N241" i="46"/>
  <c r="M241" i="46"/>
  <c r="M245" i="46" s="1"/>
  <c r="L241" i="46"/>
  <c r="L245" i="46" s="1"/>
  <c r="K241" i="46"/>
  <c r="J241" i="46"/>
  <c r="I241" i="46"/>
  <c r="H241" i="46"/>
  <c r="G241" i="46"/>
  <c r="G245" i="46" s="1"/>
  <c r="F241" i="46"/>
  <c r="E241" i="46"/>
  <c r="E245" i="46" s="1"/>
  <c r="D241" i="46"/>
  <c r="D245" i="46" s="1"/>
  <c r="C241" i="46"/>
  <c r="B241" i="46"/>
  <c r="Z240" i="46"/>
  <c r="Z239" i="46"/>
  <c r="Z238" i="46"/>
  <c r="Z237" i="46"/>
  <c r="Z236" i="46"/>
  <c r="Z235" i="46"/>
  <c r="Z234" i="46"/>
  <c r="Z233" i="46"/>
  <c r="Z232" i="46"/>
  <c r="Z231" i="46"/>
  <c r="Z230" i="46"/>
  <c r="Z229" i="46"/>
  <c r="Z228" i="46"/>
  <c r="B227" i="46"/>
  <c r="B226" i="46"/>
  <c r="B225" i="46"/>
  <c r="B224" i="46"/>
  <c r="B223" i="46"/>
  <c r="B222" i="46"/>
  <c r="B221" i="46"/>
  <c r="AZ220" i="46"/>
  <c r="AX220" i="46"/>
  <c r="AV220" i="46"/>
  <c r="AU220" i="46"/>
  <c r="AR220" i="46"/>
  <c r="AP220" i="46"/>
  <c r="AN220" i="46"/>
  <c r="AM220" i="46"/>
  <c r="AJ220" i="46"/>
  <c r="AH220" i="46"/>
  <c r="AH222" i="46" s="1"/>
  <c r="AF220" i="46"/>
  <c r="AE220" i="46"/>
  <c r="AC220" i="46"/>
  <c r="B220" i="46"/>
  <c r="AY219" i="46"/>
  <c r="AX219" i="46"/>
  <c r="AW219" i="46"/>
  <c r="AW222" i="46" s="1"/>
  <c r="AU219" i="46"/>
  <c r="AQ219" i="46"/>
  <c r="AP219" i="46"/>
  <c r="AP222" i="46" s="1"/>
  <c r="AO219" i="46"/>
  <c r="AI219" i="46"/>
  <c r="AH219" i="46"/>
  <c r="AG219" i="46"/>
  <c r="AG222" i="46" s="1"/>
  <c r="AE219" i="46"/>
  <c r="B219" i="46"/>
  <c r="BA218" i="46"/>
  <c r="AR218" i="46"/>
  <c r="AO218" i="46"/>
  <c r="AL218" i="46"/>
  <c r="AI218" i="46"/>
  <c r="AF218" i="46"/>
  <c r="AC218" i="46"/>
  <c r="B218" i="46"/>
  <c r="BA217" i="46"/>
  <c r="G438" i="46" s="1"/>
  <c r="G452" i="46" s="1"/>
  <c r="G470" i="46" s="1"/>
  <c r="B217" i="46"/>
  <c r="B216" i="46"/>
  <c r="AC215" i="46"/>
  <c r="G436" i="46" s="1"/>
  <c r="G450" i="46" s="1"/>
  <c r="G468" i="46" s="1"/>
  <c r="B215" i="46"/>
  <c r="B214" i="46"/>
  <c r="B245" i="46" s="1"/>
  <c r="E204" i="46"/>
  <c r="D204" i="46"/>
  <c r="Z203" i="46"/>
  <c r="Y203" i="46"/>
  <c r="X203" i="46"/>
  <c r="W203" i="46"/>
  <c r="V203" i="46"/>
  <c r="AW178" i="46" s="1"/>
  <c r="AW181" i="46" s="1"/>
  <c r="U203" i="46"/>
  <c r="AV178" i="46" s="1"/>
  <c r="T203" i="46"/>
  <c r="AU178" i="46" s="1"/>
  <c r="AU181" i="46" s="1"/>
  <c r="S203" i="46"/>
  <c r="R203" i="46"/>
  <c r="Q203" i="46"/>
  <c r="P203" i="46"/>
  <c r="O203" i="46"/>
  <c r="N203" i="46"/>
  <c r="AO178" i="46" s="1"/>
  <c r="M203" i="46"/>
  <c r="AN178" i="46" s="1"/>
  <c r="AN181" i="46" s="1"/>
  <c r="L203" i="46"/>
  <c r="AM178" i="46" s="1"/>
  <c r="AM181" i="46" s="1"/>
  <c r="K203" i="46"/>
  <c r="J203" i="46"/>
  <c r="I203" i="46"/>
  <c r="H203" i="46"/>
  <c r="G203" i="46"/>
  <c r="F203" i="46"/>
  <c r="AG178" i="46" s="1"/>
  <c r="E203" i="46"/>
  <c r="AF178" i="46" s="1"/>
  <c r="D203" i="46"/>
  <c r="AE178" i="46" s="1"/>
  <c r="AE181" i="46" s="1"/>
  <c r="C203" i="46"/>
  <c r="B203" i="46"/>
  <c r="Z202" i="46"/>
  <c r="Y202" i="46"/>
  <c r="X202" i="46"/>
  <c r="W202" i="46"/>
  <c r="V202" i="46"/>
  <c r="U202" i="46"/>
  <c r="T202" i="46"/>
  <c r="S202" i="46"/>
  <c r="R202" i="46"/>
  <c r="Q202" i="46"/>
  <c r="P202" i="46"/>
  <c r="O202" i="46"/>
  <c r="AP178" i="46" s="1"/>
  <c r="N202" i="46"/>
  <c r="M202" i="46"/>
  <c r="L202" i="46"/>
  <c r="L204" i="46" s="1"/>
  <c r="K202" i="46"/>
  <c r="J202" i="46"/>
  <c r="I202" i="46"/>
  <c r="H202" i="46"/>
  <c r="G202" i="46"/>
  <c r="AH178" i="46" s="1"/>
  <c r="F202" i="46"/>
  <c r="E202" i="46"/>
  <c r="D202" i="46"/>
  <c r="C202" i="46"/>
  <c r="B202" i="46"/>
  <c r="AY179" i="46"/>
  <c r="AQ179" i="46"/>
  <c r="O204" i="46"/>
  <c r="M204" i="46"/>
  <c r="AI179" i="46"/>
  <c r="AC179" i="46"/>
  <c r="Z200" i="46"/>
  <c r="Y200" i="46"/>
  <c r="X200" i="46"/>
  <c r="X204" i="46" s="1"/>
  <c r="W200" i="46"/>
  <c r="V200" i="46"/>
  <c r="U200" i="46"/>
  <c r="T200" i="46"/>
  <c r="S200" i="46"/>
  <c r="R200" i="46"/>
  <c r="Q200" i="46"/>
  <c r="P200" i="46"/>
  <c r="O200" i="46"/>
  <c r="N200" i="46"/>
  <c r="AO177" i="46" s="1"/>
  <c r="M200" i="46"/>
  <c r="L200" i="46"/>
  <c r="K200" i="46"/>
  <c r="J200" i="46"/>
  <c r="I200" i="46"/>
  <c r="H200" i="46"/>
  <c r="H204" i="46" s="1"/>
  <c r="G200" i="46"/>
  <c r="G204" i="46" s="1"/>
  <c r="F200" i="46"/>
  <c r="E200" i="46"/>
  <c r="D200" i="46"/>
  <c r="C200" i="46"/>
  <c r="B200" i="46"/>
  <c r="Z199" i="46"/>
  <c r="BA176" i="46" s="1"/>
  <c r="F438" i="46" s="1"/>
  <c r="F452" i="46" s="1"/>
  <c r="F470" i="46" s="1"/>
  <c r="Z198" i="46"/>
  <c r="Z197" i="46"/>
  <c r="Z196" i="46"/>
  <c r="Z195" i="46"/>
  <c r="Z194" i="46"/>
  <c r="Z193" i="46"/>
  <c r="Z192" i="46"/>
  <c r="Z191" i="46"/>
  <c r="Z190" i="46"/>
  <c r="Z189" i="46"/>
  <c r="Z188" i="46"/>
  <c r="BA175" i="46" s="1"/>
  <c r="Z187" i="46"/>
  <c r="B186" i="46"/>
  <c r="B185" i="46"/>
  <c r="AC174" i="46" s="1"/>
  <c r="F436" i="46" s="1"/>
  <c r="F450" i="46" s="1"/>
  <c r="F468" i="46" s="1"/>
  <c r="B184" i="46"/>
  <c r="B183" i="46"/>
  <c r="B182" i="46"/>
  <c r="B181" i="46"/>
  <c r="B180" i="46"/>
  <c r="AW179" i="46"/>
  <c r="AV179" i="46"/>
  <c r="AU179" i="46"/>
  <c r="AR179" i="46"/>
  <c r="AP179" i="46"/>
  <c r="AO179" i="46"/>
  <c r="AN179" i="46"/>
  <c r="AM179" i="46"/>
  <c r="AG179" i="46"/>
  <c r="AF179" i="46"/>
  <c r="AE179" i="46"/>
  <c r="B179" i="46"/>
  <c r="BA178" i="46"/>
  <c r="AZ178" i="46"/>
  <c r="AY178" i="46"/>
  <c r="AX178" i="46"/>
  <c r="AT178" i="46"/>
  <c r="AS178" i="46"/>
  <c r="AR178" i="46"/>
  <c r="AQ178" i="46"/>
  <c r="AL178" i="46"/>
  <c r="AK178" i="46"/>
  <c r="AJ178" i="46"/>
  <c r="AI178" i="46"/>
  <c r="AD178" i="46"/>
  <c r="AC178" i="46"/>
  <c r="B178" i="46"/>
  <c r="BA177" i="46"/>
  <c r="AX177" i="46"/>
  <c r="AU177" i="46"/>
  <c r="AL177" i="46"/>
  <c r="AF177" i="46"/>
  <c r="AC177" i="46"/>
  <c r="B177" i="46"/>
  <c r="B176" i="46"/>
  <c r="B175" i="46"/>
  <c r="B174" i="46"/>
  <c r="AC173" i="46" s="1"/>
  <c r="B173" i="46"/>
  <c r="B204" i="46" s="1"/>
  <c r="U163" i="46"/>
  <c r="T163" i="46"/>
  <c r="M163" i="46"/>
  <c r="L163" i="46"/>
  <c r="E163" i="46"/>
  <c r="D163" i="46"/>
  <c r="Z162" i="46"/>
  <c r="Y162" i="46"/>
  <c r="X162" i="46"/>
  <c r="W162" i="46"/>
  <c r="V162" i="46"/>
  <c r="AW137" i="46" s="1"/>
  <c r="U162" i="46"/>
  <c r="AV137" i="46" s="1"/>
  <c r="AV140" i="46" s="1"/>
  <c r="T162" i="46"/>
  <c r="AU137" i="46" s="1"/>
  <c r="S162" i="46"/>
  <c r="R162" i="46"/>
  <c r="Q162" i="46"/>
  <c r="P162" i="46"/>
  <c r="O162" i="46"/>
  <c r="N162" i="46"/>
  <c r="AO137" i="46" s="1"/>
  <c r="M162" i="46"/>
  <c r="AN137" i="46" s="1"/>
  <c r="AN140" i="46" s="1"/>
  <c r="L162" i="46"/>
  <c r="AM137" i="46" s="1"/>
  <c r="K162" i="46"/>
  <c r="J162" i="46"/>
  <c r="I162" i="46"/>
  <c r="H162" i="46"/>
  <c r="G162" i="46"/>
  <c r="F162" i="46"/>
  <c r="AG137" i="46" s="1"/>
  <c r="E162" i="46"/>
  <c r="AF137" i="46" s="1"/>
  <c r="D162" i="46"/>
  <c r="AE137" i="46" s="1"/>
  <c r="C162" i="46"/>
  <c r="B162" i="46"/>
  <c r="Z161" i="46"/>
  <c r="Y161" i="46"/>
  <c r="X161" i="46"/>
  <c r="W161" i="46"/>
  <c r="AX137" i="46" s="1"/>
  <c r="V161" i="46"/>
  <c r="U161" i="46"/>
  <c r="T161" i="46"/>
  <c r="S161" i="46"/>
  <c r="R161" i="46"/>
  <c r="Q161" i="46"/>
  <c r="P161" i="46"/>
  <c r="O161" i="46"/>
  <c r="AP137" i="46" s="1"/>
  <c r="N161" i="46"/>
  <c r="M161" i="46"/>
  <c r="L161" i="46"/>
  <c r="K161" i="46"/>
  <c r="J161" i="46"/>
  <c r="I161" i="46"/>
  <c r="H161" i="46"/>
  <c r="G161" i="46"/>
  <c r="AH137" i="46" s="1"/>
  <c r="F161" i="46"/>
  <c r="E161" i="46"/>
  <c r="D161" i="46"/>
  <c r="C161" i="46"/>
  <c r="B161" i="46"/>
  <c r="AY138" i="46"/>
  <c r="W163" i="46"/>
  <c r="R163" i="46"/>
  <c r="O163" i="46"/>
  <c r="G163" i="46"/>
  <c r="Z159" i="46"/>
  <c r="Y159" i="46"/>
  <c r="Y163" i="46" s="1"/>
  <c r="X159" i="46"/>
  <c r="X163" i="46" s="1"/>
  <c r="W159" i="46"/>
  <c r="V159" i="46"/>
  <c r="V163" i="46" s="1"/>
  <c r="U159" i="46"/>
  <c r="T159" i="46"/>
  <c r="S159" i="46"/>
  <c r="R159" i="46"/>
  <c r="Q159" i="46"/>
  <c r="Q163" i="46" s="1"/>
  <c r="P159" i="46"/>
  <c r="P163" i="46" s="1"/>
  <c r="O159" i="46"/>
  <c r="N159" i="46"/>
  <c r="AO136" i="46" s="1"/>
  <c r="M159" i="46"/>
  <c r="L159" i="46"/>
  <c r="K159" i="46"/>
  <c r="J159" i="46"/>
  <c r="I159" i="46"/>
  <c r="I163" i="46" s="1"/>
  <c r="H159" i="46"/>
  <c r="H163" i="46" s="1"/>
  <c r="G159" i="46"/>
  <c r="F159" i="46"/>
  <c r="F163" i="46" s="1"/>
  <c r="E159" i="46"/>
  <c r="D159" i="46"/>
  <c r="C159" i="46"/>
  <c r="B159" i="46"/>
  <c r="Z158" i="46"/>
  <c r="BA135" i="46" s="1"/>
  <c r="E438" i="46" s="1"/>
  <c r="E452" i="46" s="1"/>
  <c r="E470" i="46" s="1"/>
  <c r="Z157" i="46"/>
  <c r="Z156" i="46"/>
  <c r="Z155" i="46"/>
  <c r="Z154" i="46"/>
  <c r="Z153" i="46"/>
  <c r="Z152" i="46"/>
  <c r="Z151" i="46"/>
  <c r="Z150" i="46"/>
  <c r="Z149" i="46"/>
  <c r="Z148" i="46"/>
  <c r="Z147" i="46"/>
  <c r="Z146" i="46"/>
  <c r="B145" i="46"/>
  <c r="B144" i="46"/>
  <c r="AC133" i="46" s="1"/>
  <c r="E436" i="46" s="1"/>
  <c r="E450" i="46" s="1"/>
  <c r="E468" i="46" s="1"/>
  <c r="B143" i="46"/>
  <c r="B142" i="46"/>
  <c r="B141" i="46"/>
  <c r="B140" i="46"/>
  <c r="B139" i="46"/>
  <c r="AZ138" i="46"/>
  <c r="AX138" i="46"/>
  <c r="AW138" i="46"/>
  <c r="AV138" i="46"/>
  <c r="AT138" i="46"/>
  <c r="AR138" i="46"/>
  <c r="AP138" i="46"/>
  <c r="AO138" i="46"/>
  <c r="AN138" i="46"/>
  <c r="AL138" i="46"/>
  <c r="AJ138" i="46"/>
  <c r="AH138" i="46"/>
  <c r="AG138" i="46"/>
  <c r="AF138" i="46"/>
  <c r="AE138" i="46"/>
  <c r="B138" i="46"/>
  <c r="BA137" i="46"/>
  <c r="AZ137" i="46"/>
  <c r="AY137" i="46"/>
  <c r="AT137" i="46"/>
  <c r="AS137" i="46"/>
  <c r="AR137" i="46"/>
  <c r="AQ137" i="46"/>
  <c r="AL137" i="46"/>
  <c r="AK137" i="46"/>
  <c r="AJ137" i="46"/>
  <c r="AJ140" i="46" s="1"/>
  <c r="AI137" i="46"/>
  <c r="AD137" i="46"/>
  <c r="AC137" i="46"/>
  <c r="B137" i="46"/>
  <c r="BA136" i="46"/>
  <c r="AX136" i="46"/>
  <c r="AU136" i="46"/>
  <c r="AL136" i="46"/>
  <c r="AF136" i="46"/>
  <c r="AF140" i="46" s="1"/>
  <c r="AC136" i="46"/>
  <c r="B136" i="46"/>
  <c r="B135" i="46"/>
  <c r="B134" i="46"/>
  <c r="B133" i="46"/>
  <c r="AC132" i="46" s="1"/>
  <c r="B132" i="46"/>
  <c r="B163" i="46" s="1"/>
  <c r="T121" i="46"/>
  <c r="M121" i="46"/>
  <c r="L121" i="46"/>
  <c r="D121" i="46"/>
  <c r="Z120" i="46"/>
  <c r="Y120" i="46"/>
  <c r="X120" i="46"/>
  <c r="AY95" i="46" s="1"/>
  <c r="W120" i="46"/>
  <c r="V120" i="46"/>
  <c r="AW95" i="46" s="1"/>
  <c r="AW98" i="46" s="1"/>
  <c r="U120" i="46"/>
  <c r="AV95" i="46" s="1"/>
  <c r="T120" i="46"/>
  <c r="S120" i="46"/>
  <c r="AT95" i="46" s="1"/>
  <c r="AT98" i="46" s="1"/>
  <c r="R120" i="46"/>
  <c r="Q120" i="46"/>
  <c r="P120" i="46"/>
  <c r="AQ95" i="46" s="1"/>
  <c r="O120" i="46"/>
  <c r="N120" i="46"/>
  <c r="AO95" i="46" s="1"/>
  <c r="M120" i="46"/>
  <c r="AN95" i="46" s="1"/>
  <c r="AN98" i="46" s="1"/>
  <c r="L120" i="46"/>
  <c r="K120" i="46"/>
  <c r="AL95" i="46" s="1"/>
  <c r="J120" i="46"/>
  <c r="I120" i="46"/>
  <c r="H120" i="46"/>
  <c r="AI95" i="46" s="1"/>
  <c r="G120" i="46"/>
  <c r="F120" i="46"/>
  <c r="AG95" i="46" s="1"/>
  <c r="AG98" i="46" s="1"/>
  <c r="E120" i="46"/>
  <c r="AF95" i="46" s="1"/>
  <c r="D120" i="46"/>
  <c r="C120" i="46"/>
  <c r="AD95" i="46" s="1"/>
  <c r="AD98" i="46" s="1"/>
  <c r="B120" i="46"/>
  <c r="Z119" i="46"/>
  <c r="Z424" i="46" s="1"/>
  <c r="BA401" i="46" s="1"/>
  <c r="Y119" i="46"/>
  <c r="Y424" i="46" s="1"/>
  <c r="AZ401" i="46" s="1"/>
  <c r="X119" i="46"/>
  <c r="X424" i="46" s="1"/>
  <c r="AY401" i="46" s="1"/>
  <c r="W119" i="46"/>
  <c r="W424" i="46" s="1"/>
  <c r="V119" i="46"/>
  <c r="V424" i="46" s="1"/>
  <c r="AW401" i="46" s="1"/>
  <c r="U119" i="46"/>
  <c r="U424" i="46" s="1"/>
  <c r="T119" i="46"/>
  <c r="T424" i="46" s="1"/>
  <c r="S119" i="46"/>
  <c r="S424" i="46" s="1"/>
  <c r="R119" i="46"/>
  <c r="R424" i="46" s="1"/>
  <c r="AS401" i="46" s="1"/>
  <c r="Q119" i="46"/>
  <c r="Q424" i="46" s="1"/>
  <c r="AR401" i="46" s="1"/>
  <c r="P119" i="46"/>
  <c r="P424" i="46" s="1"/>
  <c r="AQ401" i="46" s="1"/>
  <c r="O119" i="46"/>
  <c r="O424" i="46" s="1"/>
  <c r="AP401" i="46" s="1"/>
  <c r="N119" i="46"/>
  <c r="N424" i="46" s="1"/>
  <c r="AO401" i="46" s="1"/>
  <c r="M119" i="46"/>
  <c r="M424" i="46" s="1"/>
  <c r="L119" i="46"/>
  <c r="L424" i="46" s="1"/>
  <c r="K119" i="46"/>
  <c r="K424" i="46" s="1"/>
  <c r="J119" i="46"/>
  <c r="J424" i="46" s="1"/>
  <c r="AK401" i="46" s="1"/>
  <c r="I119" i="46"/>
  <c r="I424" i="46" s="1"/>
  <c r="AJ401" i="46" s="1"/>
  <c r="H119" i="46"/>
  <c r="H424" i="46" s="1"/>
  <c r="G119" i="46"/>
  <c r="G424" i="46" s="1"/>
  <c r="AH401" i="46" s="1"/>
  <c r="F119" i="46"/>
  <c r="F424" i="46" s="1"/>
  <c r="AG401" i="46" s="1"/>
  <c r="E119" i="46"/>
  <c r="E424" i="46" s="1"/>
  <c r="D119" i="46"/>
  <c r="D424" i="46" s="1"/>
  <c r="C119" i="46"/>
  <c r="C424" i="46" s="1"/>
  <c r="B119" i="46"/>
  <c r="B424" i="46" s="1"/>
  <c r="AC401" i="46" s="1"/>
  <c r="Y423" i="46"/>
  <c r="AZ402" i="46" s="1"/>
  <c r="X423" i="46"/>
  <c r="AY402" i="46" s="1"/>
  <c r="W423" i="46"/>
  <c r="AX402" i="46" s="1"/>
  <c r="V423" i="46"/>
  <c r="AW402" i="46" s="1"/>
  <c r="U423" i="46"/>
  <c r="AV402" i="46" s="1"/>
  <c r="T423" i="46"/>
  <c r="AU402" i="46" s="1"/>
  <c r="Q423" i="46"/>
  <c r="AR402" i="46" s="1"/>
  <c r="P423" i="46"/>
  <c r="AQ402" i="46" s="1"/>
  <c r="O121" i="46"/>
  <c r="N423" i="46"/>
  <c r="AO402" i="46" s="1"/>
  <c r="M423" i="46"/>
  <c r="AN402" i="46" s="1"/>
  <c r="L423" i="46"/>
  <c r="AM402" i="46" s="1"/>
  <c r="I423" i="46"/>
  <c r="AJ402" i="46" s="1"/>
  <c r="H423" i="46"/>
  <c r="AI402" i="46" s="1"/>
  <c r="G423" i="46"/>
  <c r="AH402" i="46" s="1"/>
  <c r="F423" i="46"/>
  <c r="AG402" i="46" s="1"/>
  <c r="E423" i="46"/>
  <c r="AF402" i="46" s="1"/>
  <c r="D423" i="46"/>
  <c r="AE402" i="46" s="1"/>
  <c r="B423" i="46"/>
  <c r="AC402" i="46" s="1"/>
  <c r="Z117" i="46"/>
  <c r="Z422" i="46" s="1"/>
  <c r="BA399" i="46" s="1"/>
  <c r="Y117" i="46"/>
  <c r="Y422" i="46" s="1"/>
  <c r="Y427" i="46" s="1"/>
  <c r="X117" i="46"/>
  <c r="X422" i="46" s="1"/>
  <c r="W117" i="46"/>
  <c r="W422" i="46" s="1"/>
  <c r="V117" i="46"/>
  <c r="V121" i="46" s="1"/>
  <c r="U117" i="46"/>
  <c r="U422" i="46" s="1"/>
  <c r="T117" i="46"/>
  <c r="T422" i="46" s="1"/>
  <c r="S117" i="46"/>
  <c r="S422" i="46" s="1"/>
  <c r="R117" i="46"/>
  <c r="R422" i="46" s="1"/>
  <c r="Q117" i="46"/>
  <c r="Q422" i="46" s="1"/>
  <c r="AR399" i="46" s="1"/>
  <c r="P117" i="46"/>
  <c r="P422" i="46" s="1"/>
  <c r="O117" i="46"/>
  <c r="O422" i="46" s="1"/>
  <c r="N117" i="46"/>
  <c r="N422" i="46" s="1"/>
  <c r="M117" i="46"/>
  <c r="M422" i="46" s="1"/>
  <c r="L117" i="46"/>
  <c r="L422" i="46" s="1"/>
  <c r="K117" i="46"/>
  <c r="K422" i="46" s="1"/>
  <c r="J117" i="46"/>
  <c r="J422" i="46" s="1"/>
  <c r="I117" i="46"/>
  <c r="I422" i="46" s="1"/>
  <c r="I427" i="46" s="1"/>
  <c r="H117" i="46"/>
  <c r="H422" i="46" s="1"/>
  <c r="G117" i="46"/>
  <c r="G422" i="46" s="1"/>
  <c r="F117" i="46"/>
  <c r="F422" i="46" s="1"/>
  <c r="E117" i="46"/>
  <c r="E422" i="46" s="1"/>
  <c r="D117" i="46"/>
  <c r="D422" i="46" s="1"/>
  <c r="C117" i="46"/>
  <c r="C422" i="46" s="1"/>
  <c r="B117" i="46"/>
  <c r="B422" i="46" s="1"/>
  <c r="AC399" i="46" s="1"/>
  <c r="Z116" i="46"/>
  <c r="Z421" i="46" s="1"/>
  <c r="BA398" i="46" s="1"/>
  <c r="J438" i="46" s="1"/>
  <c r="J452" i="46" s="1"/>
  <c r="J470" i="46" s="1"/>
  <c r="Z115" i="46"/>
  <c r="Z420" i="46" s="1"/>
  <c r="Z114" i="46"/>
  <c r="Z419" i="46" s="1"/>
  <c r="Z113" i="46"/>
  <c r="Z418" i="46" s="1"/>
  <c r="Z112" i="46"/>
  <c r="Z417" i="46" s="1"/>
  <c r="Z111" i="46"/>
  <c r="Z416" i="46" s="1"/>
  <c r="Z110" i="46"/>
  <c r="Z415" i="46" s="1"/>
  <c r="Z109" i="46"/>
  <c r="Z414" i="46" s="1"/>
  <c r="Z108" i="46"/>
  <c r="Z413" i="46" s="1"/>
  <c r="Z107" i="46"/>
  <c r="Z412" i="46" s="1"/>
  <c r="Z106" i="46"/>
  <c r="Z411" i="46" s="1"/>
  <c r="Z105" i="46"/>
  <c r="Z410" i="46" s="1"/>
  <c r="Z104" i="46"/>
  <c r="Z409" i="46" s="1"/>
  <c r="B103" i="46"/>
  <c r="B408" i="46" s="1"/>
  <c r="B102" i="46"/>
  <c r="B407" i="46" s="1"/>
  <c r="AC396" i="46" s="1"/>
  <c r="J436" i="46" s="1"/>
  <c r="J450" i="46" s="1"/>
  <c r="J468" i="46" s="1"/>
  <c r="B101" i="46"/>
  <c r="B406" i="46" s="1"/>
  <c r="B100" i="46"/>
  <c r="B405" i="46" s="1"/>
  <c r="B99" i="46"/>
  <c r="B404" i="46" s="1"/>
  <c r="AE98" i="46"/>
  <c r="B98" i="46"/>
  <c r="B403" i="46" s="1"/>
  <c r="BA97" i="46"/>
  <c r="AZ97" i="46"/>
  <c r="AY97" i="46"/>
  <c r="AX97" i="46"/>
  <c r="AW97" i="46"/>
  <c r="AV97" i="46"/>
  <c r="AU97" i="46"/>
  <c r="AT97" i="46"/>
  <c r="AS97" i="46"/>
  <c r="AR97" i="46"/>
  <c r="AQ97" i="46"/>
  <c r="AP97" i="46"/>
  <c r="AO97" i="46"/>
  <c r="AN97" i="46"/>
  <c r="AM97" i="46"/>
  <c r="AL97" i="46"/>
  <c r="AK97" i="46"/>
  <c r="AJ97" i="46"/>
  <c r="AI97" i="46"/>
  <c r="AH97" i="46"/>
  <c r="AG97" i="46"/>
  <c r="AF97" i="46"/>
  <c r="AE97" i="46"/>
  <c r="AD97" i="46"/>
  <c r="AC97" i="46"/>
  <c r="B97" i="46"/>
  <c r="B402" i="46" s="1"/>
  <c r="AZ96" i="46"/>
  <c r="AY96" i="46"/>
  <c r="AX96" i="46"/>
  <c r="AW96" i="46"/>
  <c r="AU96" i="46"/>
  <c r="AT96" i="46"/>
  <c r="AR96" i="46"/>
  <c r="AQ96" i="46"/>
  <c r="AP96" i="46"/>
  <c r="AO96" i="46"/>
  <c r="AN96" i="46"/>
  <c r="AM96" i="46"/>
  <c r="AM98" i="46" s="1"/>
  <c r="AL96" i="46"/>
  <c r="AJ96" i="46"/>
  <c r="AI96" i="46"/>
  <c r="AH96" i="46"/>
  <c r="AG96" i="46"/>
  <c r="AF96" i="46"/>
  <c r="AE96" i="46"/>
  <c r="AD96" i="46"/>
  <c r="B96" i="46"/>
  <c r="B401" i="46" s="1"/>
  <c r="BA95" i="46"/>
  <c r="AZ95" i="46"/>
  <c r="AU95" i="46"/>
  <c r="AS95" i="46"/>
  <c r="AR95" i="46"/>
  <c r="AM95" i="46"/>
  <c r="AK95" i="46"/>
  <c r="AJ95" i="46"/>
  <c r="AE95" i="46"/>
  <c r="AC95" i="46"/>
  <c r="B95" i="46"/>
  <c r="B400" i="46" s="1"/>
  <c r="BA94" i="46"/>
  <c r="AX94" i="46"/>
  <c r="AO94" i="46"/>
  <c r="AI94" i="46"/>
  <c r="AF94" i="46"/>
  <c r="AF98" i="46" s="1"/>
  <c r="AC94" i="46"/>
  <c r="B94" i="46"/>
  <c r="B399" i="46" s="1"/>
  <c r="B93" i="46"/>
  <c r="B398" i="46" s="1"/>
  <c r="B92" i="46"/>
  <c r="B397" i="46" s="1"/>
  <c r="AC91" i="46"/>
  <c r="D436" i="46" s="1"/>
  <c r="D450" i="46" s="1"/>
  <c r="D468" i="46" s="1"/>
  <c r="B91" i="46"/>
  <c r="B396" i="46" s="1"/>
  <c r="B90" i="46"/>
  <c r="B395" i="46" s="1"/>
  <c r="V81" i="46"/>
  <c r="U81" i="46"/>
  <c r="N81" i="46"/>
  <c r="M81" i="46"/>
  <c r="F81" i="46"/>
  <c r="E81" i="46"/>
  <c r="Z80" i="46"/>
  <c r="Y80" i="46"/>
  <c r="AZ55" i="46" s="1"/>
  <c r="X80" i="46"/>
  <c r="W80" i="46"/>
  <c r="AX55" i="46" s="1"/>
  <c r="V80" i="46"/>
  <c r="AW55" i="46" s="1"/>
  <c r="AW58" i="46" s="1"/>
  <c r="U80" i="46"/>
  <c r="T80" i="46"/>
  <c r="AU55" i="46" s="1"/>
  <c r="S80" i="46"/>
  <c r="R80" i="46"/>
  <c r="Q80" i="46"/>
  <c r="AR55" i="46" s="1"/>
  <c r="P80" i="46"/>
  <c r="O80" i="46"/>
  <c r="AP55" i="46" s="1"/>
  <c r="AP58" i="46" s="1"/>
  <c r="N80" i="46"/>
  <c r="AO55" i="46" s="1"/>
  <c r="M80" i="46"/>
  <c r="L80" i="46"/>
  <c r="AM55" i="46" s="1"/>
  <c r="K80" i="46"/>
  <c r="J80" i="46"/>
  <c r="I80" i="46"/>
  <c r="AJ55" i="46" s="1"/>
  <c r="H80" i="46"/>
  <c r="G80" i="46"/>
  <c r="AH55" i="46" s="1"/>
  <c r="AH58" i="46" s="1"/>
  <c r="F80" i="46"/>
  <c r="AG55" i="46" s="1"/>
  <c r="AG58" i="46" s="1"/>
  <c r="E80" i="46"/>
  <c r="D80" i="46"/>
  <c r="AE55" i="46" s="1"/>
  <c r="C80" i="46"/>
  <c r="B80" i="46"/>
  <c r="Z79" i="46"/>
  <c r="Y79" i="46"/>
  <c r="Y363" i="46" s="1"/>
  <c r="X79" i="46"/>
  <c r="X363" i="46" s="1"/>
  <c r="W79" i="46"/>
  <c r="W363" i="46" s="1"/>
  <c r="V79" i="46"/>
  <c r="V363" i="46" s="1"/>
  <c r="U79" i="46"/>
  <c r="U363" i="46" s="1"/>
  <c r="AV340" i="46" s="1"/>
  <c r="T79" i="46"/>
  <c r="T363" i="46" s="1"/>
  <c r="AU340" i="46" s="1"/>
  <c r="S79" i="46"/>
  <c r="S363" i="46" s="1"/>
  <c r="AT340" i="46" s="1"/>
  <c r="R79" i="46"/>
  <c r="R363" i="46" s="1"/>
  <c r="AS340" i="46" s="1"/>
  <c r="Q79" i="46"/>
  <c r="Q363" i="46" s="1"/>
  <c r="P79" i="46"/>
  <c r="P363" i="46" s="1"/>
  <c r="AQ340" i="46" s="1"/>
  <c r="O79" i="46"/>
  <c r="O363" i="46" s="1"/>
  <c r="AP340" i="46" s="1"/>
  <c r="N79" i="46"/>
  <c r="N363" i="46" s="1"/>
  <c r="AO340" i="46" s="1"/>
  <c r="M79" i="46"/>
  <c r="M363" i="46" s="1"/>
  <c r="L79" i="46"/>
  <c r="L363" i="46" s="1"/>
  <c r="AM340" i="46" s="1"/>
  <c r="K79" i="46"/>
  <c r="K363" i="46" s="1"/>
  <c r="AL340" i="46" s="1"/>
  <c r="J79" i="46"/>
  <c r="J363" i="46" s="1"/>
  <c r="AK340" i="46" s="1"/>
  <c r="I79" i="46"/>
  <c r="I363" i="46" s="1"/>
  <c r="H79" i="46"/>
  <c r="H363" i="46" s="1"/>
  <c r="AI340" i="46" s="1"/>
  <c r="G79" i="46"/>
  <c r="G363" i="46" s="1"/>
  <c r="AH340" i="46" s="1"/>
  <c r="F79" i="46"/>
  <c r="F363" i="46" s="1"/>
  <c r="E79" i="46"/>
  <c r="E363" i="46" s="1"/>
  <c r="AF340" i="46" s="1"/>
  <c r="D79" i="46"/>
  <c r="D363" i="46" s="1"/>
  <c r="AE340" i="46" s="1"/>
  <c r="C79" i="46"/>
  <c r="C363" i="46" s="1"/>
  <c r="AD340" i="46" s="1"/>
  <c r="B79" i="46"/>
  <c r="B363" i="46" s="1"/>
  <c r="AC340" i="46" s="1"/>
  <c r="Z362" i="46"/>
  <c r="BA341" i="46" s="1"/>
  <c r="Y362" i="46"/>
  <c r="AZ341" i="46" s="1"/>
  <c r="X362" i="46"/>
  <c r="AY341" i="46" s="1"/>
  <c r="W362" i="46"/>
  <c r="AX341" i="46" s="1"/>
  <c r="V362" i="46"/>
  <c r="AW341" i="46" s="1"/>
  <c r="U362" i="46"/>
  <c r="AV341" i="46" s="1"/>
  <c r="T362" i="46"/>
  <c r="AU341" i="46" s="1"/>
  <c r="S362" i="46"/>
  <c r="AT341" i="46" s="1"/>
  <c r="R362" i="46"/>
  <c r="AS341" i="46" s="1"/>
  <c r="Q362" i="46"/>
  <c r="AR341" i="46" s="1"/>
  <c r="P362" i="46"/>
  <c r="AQ341" i="46" s="1"/>
  <c r="O362" i="46"/>
  <c r="AP341" i="46" s="1"/>
  <c r="N362" i="46"/>
  <c r="AO341" i="46" s="1"/>
  <c r="M362" i="46"/>
  <c r="AN341" i="46" s="1"/>
  <c r="L362" i="46"/>
  <c r="AM341" i="46" s="1"/>
  <c r="K362" i="46"/>
  <c r="AL341" i="46" s="1"/>
  <c r="J362" i="46"/>
  <c r="AK341" i="46" s="1"/>
  <c r="I362" i="46"/>
  <c r="AJ341" i="46" s="1"/>
  <c r="H362" i="46"/>
  <c r="AI341" i="46" s="1"/>
  <c r="G362" i="46"/>
  <c r="AH341" i="46" s="1"/>
  <c r="F362" i="46"/>
  <c r="AG341" i="46" s="1"/>
  <c r="E362" i="46"/>
  <c r="AF341" i="46" s="1"/>
  <c r="D362" i="46"/>
  <c r="AE341" i="46" s="1"/>
  <c r="C81" i="46"/>
  <c r="B362" i="46"/>
  <c r="AC341" i="46" s="1"/>
  <c r="Z77" i="46"/>
  <c r="Z361" i="46" s="1"/>
  <c r="BA338" i="46" s="1"/>
  <c r="Y77" i="46"/>
  <c r="Y361" i="46" s="1"/>
  <c r="X77" i="46"/>
  <c r="X361" i="46" s="1"/>
  <c r="W77" i="46"/>
  <c r="W361" i="46" s="1"/>
  <c r="V77" i="46"/>
  <c r="V361" i="46" s="1"/>
  <c r="U77" i="46"/>
  <c r="U361" i="46" s="1"/>
  <c r="T77" i="46"/>
  <c r="T361" i="46" s="1"/>
  <c r="T366" i="46" s="1"/>
  <c r="S77" i="46"/>
  <c r="S361" i="46" s="1"/>
  <c r="R77" i="46"/>
  <c r="R361" i="46" s="1"/>
  <c r="Q77" i="46"/>
  <c r="Q361" i="46" s="1"/>
  <c r="P77" i="46"/>
  <c r="O77" i="46"/>
  <c r="O361" i="46" s="1"/>
  <c r="O366" i="46" s="1"/>
  <c r="N77" i="46"/>
  <c r="N361" i="46" s="1"/>
  <c r="AO338" i="46" s="1"/>
  <c r="M77" i="46"/>
  <c r="M361" i="46" s="1"/>
  <c r="L77" i="46"/>
  <c r="L361" i="46" s="1"/>
  <c r="L366" i="46" s="1"/>
  <c r="K77" i="46"/>
  <c r="K361" i="46" s="1"/>
  <c r="J77" i="46"/>
  <c r="J361" i="46" s="1"/>
  <c r="I77" i="46"/>
  <c r="I361" i="46" s="1"/>
  <c r="H77" i="46"/>
  <c r="H361" i="46" s="1"/>
  <c r="G77" i="46"/>
  <c r="G361" i="46" s="1"/>
  <c r="G366" i="46" s="1"/>
  <c r="F77" i="46"/>
  <c r="F361" i="46" s="1"/>
  <c r="E77" i="46"/>
  <c r="E361" i="46" s="1"/>
  <c r="D77" i="46"/>
  <c r="D361" i="46" s="1"/>
  <c r="D366" i="46" s="1"/>
  <c r="C77" i="46"/>
  <c r="C361" i="46" s="1"/>
  <c r="B77" i="46"/>
  <c r="B361" i="46" s="1"/>
  <c r="AC338" i="46" s="1"/>
  <c r="Z76" i="46"/>
  <c r="Z360" i="46" s="1"/>
  <c r="BA337" i="46" s="1"/>
  <c r="I438" i="46" s="1"/>
  <c r="I452" i="46" s="1"/>
  <c r="I470" i="46" s="1"/>
  <c r="Z75" i="46"/>
  <c r="Z359" i="46" s="1"/>
  <c r="Z74" i="46"/>
  <c r="Z358" i="46" s="1"/>
  <c r="Z73" i="46"/>
  <c r="Z357" i="46" s="1"/>
  <c r="Z72" i="46"/>
  <c r="Z356" i="46" s="1"/>
  <c r="Z71" i="46"/>
  <c r="Z355" i="46" s="1"/>
  <c r="Z70" i="46"/>
  <c r="Z354" i="46" s="1"/>
  <c r="Z69" i="46"/>
  <c r="Z353" i="46" s="1"/>
  <c r="Z68" i="46"/>
  <c r="Z352" i="46" s="1"/>
  <c r="Z67" i="46"/>
  <c r="Z351" i="46" s="1"/>
  <c r="Z66" i="46"/>
  <c r="Z350" i="46" s="1"/>
  <c r="Z65" i="46"/>
  <c r="Z349" i="46" s="1"/>
  <c r="Z64" i="46"/>
  <c r="B63" i="46"/>
  <c r="B347" i="46" s="1"/>
  <c r="B62" i="46"/>
  <c r="B346" i="46" s="1"/>
  <c r="AC335" i="46" s="1"/>
  <c r="I436" i="46" s="1"/>
  <c r="I450" i="46" s="1"/>
  <c r="I468" i="46" s="1"/>
  <c r="B61" i="46"/>
  <c r="B345" i="46" s="1"/>
  <c r="B60" i="46"/>
  <c r="B344" i="46" s="1"/>
  <c r="B59" i="46"/>
  <c r="B343" i="46" s="1"/>
  <c r="B58" i="46"/>
  <c r="B342" i="46" s="1"/>
  <c r="BA57" i="46"/>
  <c r="AZ57" i="46"/>
  <c r="AY57" i="46"/>
  <c r="AX57" i="46"/>
  <c r="AW57" i="46"/>
  <c r="AV57" i="46"/>
  <c r="AU57" i="46"/>
  <c r="AT57" i="46"/>
  <c r="AS57" i="46"/>
  <c r="AR57" i="46"/>
  <c r="AQ57" i="46"/>
  <c r="AP57" i="46"/>
  <c r="AO57" i="46"/>
  <c r="AN57" i="46"/>
  <c r="AM57" i="46"/>
  <c r="AL57" i="46"/>
  <c r="AK57" i="46"/>
  <c r="AJ57" i="46"/>
  <c r="AI57" i="46"/>
  <c r="AH57" i="46"/>
  <c r="AG57" i="46"/>
  <c r="AF57" i="46"/>
  <c r="AE57" i="46"/>
  <c r="AD57" i="46"/>
  <c r="AC57" i="46"/>
  <c r="B57" i="46"/>
  <c r="B341" i="46" s="1"/>
  <c r="AZ56" i="46"/>
  <c r="AY56" i="46"/>
  <c r="AX56" i="46"/>
  <c r="AW56" i="46"/>
  <c r="AV56" i="46"/>
  <c r="AV58" i="46" s="1"/>
  <c r="AU56" i="46"/>
  <c r="AT56" i="46"/>
  <c r="AR56" i="46"/>
  <c r="AQ56" i="46"/>
  <c r="AP56" i="46"/>
  <c r="AO56" i="46"/>
  <c r="AN56" i="46"/>
  <c r="AN58" i="46" s="1"/>
  <c r="AM56" i="46"/>
  <c r="AL56" i="46"/>
  <c r="AJ56" i="46"/>
  <c r="AI56" i="46"/>
  <c r="AH56" i="46"/>
  <c r="AG56" i="46"/>
  <c r="AF56" i="46"/>
  <c r="AF58" i="46" s="1"/>
  <c r="AE56" i="46"/>
  <c r="AD56" i="46"/>
  <c r="AC56" i="46"/>
  <c r="B56" i="46"/>
  <c r="B340" i="46" s="1"/>
  <c r="BA55" i="46"/>
  <c r="AV55" i="46"/>
  <c r="AT55" i="46"/>
  <c r="AS55" i="46"/>
  <c r="AN55" i="46"/>
  <c r="AL55" i="46"/>
  <c r="AK55" i="46"/>
  <c r="AF55" i="46"/>
  <c r="AD55" i="46"/>
  <c r="AC55" i="46"/>
  <c r="B55" i="46"/>
  <c r="B339" i="46" s="1"/>
  <c r="AR54" i="46"/>
  <c r="AR58" i="46" s="1"/>
  <c r="AO54" i="46"/>
  <c r="AO58" i="46" s="1"/>
  <c r="AL54" i="46"/>
  <c r="AL58" i="46" s="1"/>
  <c r="AI54" i="46"/>
  <c r="AF54" i="46"/>
  <c r="B54" i="46"/>
  <c r="B338" i="46" s="1"/>
  <c r="B53" i="46"/>
  <c r="B337" i="46" s="1"/>
  <c r="B52" i="46"/>
  <c r="B336" i="46" s="1"/>
  <c r="AC51" i="46"/>
  <c r="C436" i="46" s="1"/>
  <c r="C450" i="46" s="1"/>
  <c r="C468" i="46" s="1"/>
  <c r="B51" i="46"/>
  <c r="B335" i="46" s="1"/>
  <c r="B50" i="46"/>
  <c r="B334" i="46" s="1"/>
  <c r="W41" i="46"/>
  <c r="V41" i="46"/>
  <c r="O41" i="46"/>
  <c r="N41" i="46"/>
  <c r="G41" i="46"/>
  <c r="F41" i="46"/>
  <c r="Z40" i="46"/>
  <c r="BA15" i="46" s="1"/>
  <c r="Y40" i="46"/>
  <c r="X40" i="46"/>
  <c r="AY15" i="46" s="1"/>
  <c r="W40" i="46"/>
  <c r="AX15" i="46" s="1"/>
  <c r="V40" i="46"/>
  <c r="U40" i="46"/>
  <c r="AV15" i="46" s="1"/>
  <c r="AV18" i="46" s="1"/>
  <c r="T40" i="46"/>
  <c r="S40" i="46"/>
  <c r="R40" i="46"/>
  <c r="AS15" i="46" s="1"/>
  <c r="Q40" i="46"/>
  <c r="P40" i="46"/>
  <c r="AQ15" i="46" s="1"/>
  <c r="O40" i="46"/>
  <c r="AP15" i="46" s="1"/>
  <c r="N40" i="46"/>
  <c r="M40" i="46"/>
  <c r="AN15" i="46" s="1"/>
  <c r="AN18" i="46" s="1"/>
  <c r="L40" i="46"/>
  <c r="K40" i="46"/>
  <c r="J40" i="46"/>
  <c r="AK15" i="46" s="1"/>
  <c r="I40" i="46"/>
  <c r="H40" i="46"/>
  <c r="AI15" i="46" s="1"/>
  <c r="G40" i="46"/>
  <c r="AH15" i="46" s="1"/>
  <c r="F40" i="46"/>
  <c r="E40" i="46"/>
  <c r="AF15" i="46" s="1"/>
  <c r="AF18" i="46" s="1"/>
  <c r="D40" i="46"/>
  <c r="C40" i="46"/>
  <c r="B40" i="46"/>
  <c r="AC15" i="46" s="1"/>
  <c r="Z39" i="46"/>
  <c r="Y39" i="46"/>
  <c r="Y303" i="46" s="1"/>
  <c r="AZ280" i="46" s="1"/>
  <c r="X39" i="46"/>
  <c r="X303" i="46" s="1"/>
  <c r="AY280" i="46" s="1"/>
  <c r="W39" i="46"/>
  <c r="W303" i="46" s="1"/>
  <c r="AX280" i="46" s="1"/>
  <c r="V39" i="46"/>
  <c r="V303" i="46" s="1"/>
  <c r="U39" i="46"/>
  <c r="U303" i="46" s="1"/>
  <c r="AV280" i="46" s="1"/>
  <c r="T39" i="46"/>
  <c r="T303" i="46" s="1"/>
  <c r="AU280" i="46" s="1"/>
  <c r="S39" i="46"/>
  <c r="S303" i="46" s="1"/>
  <c r="R39" i="46"/>
  <c r="R303" i="46" s="1"/>
  <c r="AS280" i="46" s="1"/>
  <c r="Q39" i="46"/>
  <c r="Q303" i="46" s="1"/>
  <c r="AR280" i="46" s="1"/>
  <c r="P39" i="46"/>
  <c r="P303" i="46" s="1"/>
  <c r="AQ280" i="46" s="1"/>
  <c r="O39" i="46"/>
  <c r="O303" i="46" s="1"/>
  <c r="AP280" i="46" s="1"/>
  <c r="N39" i="46"/>
  <c r="N303" i="46" s="1"/>
  <c r="AO280" i="46" s="1"/>
  <c r="M39" i="46"/>
  <c r="M303" i="46" s="1"/>
  <c r="AN280" i="46" s="1"/>
  <c r="L39" i="46"/>
  <c r="L303" i="46" s="1"/>
  <c r="AM280" i="46" s="1"/>
  <c r="K39" i="46"/>
  <c r="K303" i="46" s="1"/>
  <c r="J39" i="46"/>
  <c r="J303" i="46" s="1"/>
  <c r="AK280" i="46" s="1"/>
  <c r="I39" i="46"/>
  <c r="I303" i="46" s="1"/>
  <c r="AJ280" i="46" s="1"/>
  <c r="H39" i="46"/>
  <c r="H303" i="46" s="1"/>
  <c r="AI280" i="46" s="1"/>
  <c r="G39" i="46"/>
  <c r="G303" i="46" s="1"/>
  <c r="AH280" i="46" s="1"/>
  <c r="F39" i="46"/>
  <c r="F303" i="46" s="1"/>
  <c r="AG280" i="46" s="1"/>
  <c r="E39" i="46"/>
  <c r="E303" i="46" s="1"/>
  <c r="AF280" i="46" s="1"/>
  <c r="D39" i="46"/>
  <c r="D303" i="46" s="1"/>
  <c r="C39" i="46"/>
  <c r="C303" i="46" s="1"/>
  <c r="B39" i="46"/>
  <c r="B303" i="46" s="1"/>
  <c r="AC280" i="46" s="1"/>
  <c r="Y302" i="46"/>
  <c r="AZ281" i="46" s="1"/>
  <c r="X302" i="46"/>
  <c r="AY281" i="46" s="1"/>
  <c r="W302" i="46"/>
  <c r="AX281" i="46" s="1"/>
  <c r="V302" i="46"/>
  <c r="AW281" i="46" s="1"/>
  <c r="T302" i="46"/>
  <c r="AU281" i="46" s="1"/>
  <c r="S302" i="46"/>
  <c r="AT281" i="46" s="1"/>
  <c r="Q302" i="46"/>
  <c r="AR281" i="46" s="1"/>
  <c r="P302" i="46"/>
  <c r="AQ281" i="46" s="1"/>
  <c r="O302" i="46"/>
  <c r="AP281" i="46" s="1"/>
  <c r="N302" i="46"/>
  <c r="AO281" i="46" s="1"/>
  <c r="M302" i="46"/>
  <c r="AN281" i="46" s="1"/>
  <c r="L302" i="46"/>
  <c r="AM281" i="46" s="1"/>
  <c r="K302" i="46"/>
  <c r="AL281" i="46" s="1"/>
  <c r="J302" i="46"/>
  <c r="AK281" i="46" s="1"/>
  <c r="I302" i="46"/>
  <c r="AJ281" i="46" s="1"/>
  <c r="H302" i="46"/>
  <c r="AI281" i="46" s="1"/>
  <c r="G302" i="46"/>
  <c r="AH281" i="46" s="1"/>
  <c r="F302" i="46"/>
  <c r="AG281" i="46" s="1"/>
  <c r="E302" i="46"/>
  <c r="AF281" i="46" s="1"/>
  <c r="D302" i="46"/>
  <c r="AE281" i="46" s="1"/>
  <c r="C302" i="46"/>
  <c r="AD281" i="46" s="1"/>
  <c r="B302" i="46"/>
  <c r="AC281" i="46" s="1"/>
  <c r="Z37" i="46"/>
  <c r="BA14" i="46" s="1"/>
  <c r="Y37" i="46"/>
  <c r="Y301" i="46" s="1"/>
  <c r="Y306" i="46" s="1"/>
  <c r="X37" i="46"/>
  <c r="X301" i="46" s="1"/>
  <c r="X306" i="46" s="1"/>
  <c r="W37" i="46"/>
  <c r="W301" i="46" s="1"/>
  <c r="V37" i="46"/>
  <c r="V301" i="46" s="1"/>
  <c r="U37" i="46"/>
  <c r="U301" i="46" s="1"/>
  <c r="T37" i="46"/>
  <c r="T301" i="46" s="1"/>
  <c r="S37" i="46"/>
  <c r="S301" i="46" s="1"/>
  <c r="R37" i="46"/>
  <c r="R301" i="46" s="1"/>
  <c r="Q37" i="46"/>
  <c r="Q301" i="46" s="1"/>
  <c r="AR278" i="46" s="1"/>
  <c r="P37" i="46"/>
  <c r="P301" i="46" s="1"/>
  <c r="O37" i="46"/>
  <c r="N37" i="46"/>
  <c r="N301" i="46" s="1"/>
  <c r="M37" i="46"/>
  <c r="M301" i="46" s="1"/>
  <c r="M306" i="46" s="1"/>
  <c r="L37" i="46"/>
  <c r="L301" i="46" s="1"/>
  <c r="K37" i="46"/>
  <c r="K301" i="46" s="1"/>
  <c r="J37" i="46"/>
  <c r="J301" i="46" s="1"/>
  <c r="I37" i="46"/>
  <c r="I301" i="46" s="1"/>
  <c r="H37" i="46"/>
  <c r="H301" i="46" s="1"/>
  <c r="G37" i="46"/>
  <c r="G301" i="46" s="1"/>
  <c r="F37" i="46"/>
  <c r="F301" i="46" s="1"/>
  <c r="E37" i="46"/>
  <c r="E41" i="46" s="1"/>
  <c r="D37" i="46"/>
  <c r="D301" i="46" s="1"/>
  <c r="C37" i="46"/>
  <c r="C301" i="46" s="1"/>
  <c r="C306" i="46" s="1"/>
  <c r="B37" i="46"/>
  <c r="B301" i="46" s="1"/>
  <c r="AC278" i="46" s="1"/>
  <c r="Z36" i="46"/>
  <c r="Z300" i="46" s="1"/>
  <c r="BA277" i="46" s="1"/>
  <c r="H438" i="46" s="1"/>
  <c r="H452" i="46" s="1"/>
  <c r="H470" i="46" s="1"/>
  <c r="Z35" i="46"/>
  <c r="Z299" i="46" s="1"/>
  <c r="Z34" i="46"/>
  <c r="Z298" i="46" s="1"/>
  <c r="Z33" i="46"/>
  <c r="Z297" i="46" s="1"/>
  <c r="Z32" i="46"/>
  <c r="Z296" i="46" s="1"/>
  <c r="Z31" i="46"/>
  <c r="Z295" i="46" s="1"/>
  <c r="Z30" i="46"/>
  <c r="Z294" i="46" s="1"/>
  <c r="Z29" i="46"/>
  <c r="Z293" i="46" s="1"/>
  <c r="Z28" i="46"/>
  <c r="Z292" i="46" s="1"/>
  <c r="Z27" i="46"/>
  <c r="Z291" i="46" s="1"/>
  <c r="Z26" i="46"/>
  <c r="Z290" i="46" s="1"/>
  <c r="Z25" i="46"/>
  <c r="Z24" i="46"/>
  <c r="Z288" i="46" s="1"/>
  <c r="B23" i="46"/>
  <c r="B287" i="46" s="1"/>
  <c r="B22" i="46"/>
  <c r="B286" i="46" s="1"/>
  <c r="AC275" i="46" s="1"/>
  <c r="H436" i="46" s="1"/>
  <c r="H450" i="46" s="1"/>
  <c r="H468" i="46" s="1"/>
  <c r="B21" i="46"/>
  <c r="B285" i="46" s="1"/>
  <c r="B20" i="46"/>
  <c r="B284" i="46" s="1"/>
  <c r="B19" i="46"/>
  <c r="B283" i="46" s="1"/>
  <c r="AW18" i="46"/>
  <c r="B18" i="46"/>
  <c r="B282" i="46" s="1"/>
  <c r="BA17" i="46"/>
  <c r="AZ17" i="46"/>
  <c r="AY17" i="46"/>
  <c r="AX17" i="46"/>
  <c r="AW17" i="46"/>
  <c r="AV17" i="46"/>
  <c r="AU17" i="46"/>
  <c r="AT17" i="46"/>
  <c r="AS17" i="46"/>
  <c r="AR17" i="46"/>
  <c r="AQ17" i="46"/>
  <c r="AP17" i="46"/>
  <c r="AO17" i="46"/>
  <c r="AN17" i="46"/>
  <c r="AM17" i="46"/>
  <c r="AL17" i="46"/>
  <c r="AK17" i="46"/>
  <c r="AJ17" i="46"/>
  <c r="AI17" i="46"/>
  <c r="AH17" i="46"/>
  <c r="AG17" i="46"/>
  <c r="AF17" i="46"/>
  <c r="AE17" i="46"/>
  <c r="AD17" i="46"/>
  <c r="AC17" i="46"/>
  <c r="B17" i="46"/>
  <c r="B281" i="46" s="1"/>
  <c r="AZ16" i="46"/>
  <c r="AY16" i="46"/>
  <c r="AX16" i="46"/>
  <c r="AW16" i="46"/>
  <c r="AV16" i="46"/>
  <c r="AU16" i="46"/>
  <c r="AT16" i="46"/>
  <c r="AR16" i="46"/>
  <c r="AQ16" i="46"/>
  <c r="AP16" i="46"/>
  <c r="AO16" i="46"/>
  <c r="AN16" i="46"/>
  <c r="AM16" i="46"/>
  <c r="AL16" i="46"/>
  <c r="AJ16" i="46"/>
  <c r="AI16" i="46"/>
  <c r="AH16" i="46"/>
  <c r="AG16" i="46"/>
  <c r="AG18" i="46" s="1"/>
  <c r="AF16" i="46"/>
  <c r="AE16" i="46"/>
  <c r="AD16" i="46"/>
  <c r="B16" i="46"/>
  <c r="B280" i="46" s="1"/>
  <c r="AW15" i="46"/>
  <c r="AU15" i="46"/>
  <c r="AT15" i="46"/>
  <c r="AO15" i="46"/>
  <c r="AM15" i="46"/>
  <c r="AM18" i="46" s="1"/>
  <c r="AL15" i="46"/>
  <c r="AG15" i="46"/>
  <c r="AE15" i="46"/>
  <c r="AE18" i="46" s="1"/>
  <c r="AD15" i="46"/>
  <c r="B15" i="46"/>
  <c r="B279" i="46" s="1"/>
  <c r="AX14" i="46"/>
  <c r="AU14" i="46"/>
  <c r="AU18" i="46" s="1"/>
  <c r="AO14" i="46"/>
  <c r="AO18" i="46" s="1"/>
  <c r="AF14" i="46"/>
  <c r="B14" i="46"/>
  <c r="B278" i="46" s="1"/>
  <c r="BA13" i="46"/>
  <c r="B438" i="46" s="1"/>
  <c r="B452" i="46" s="1"/>
  <c r="B470" i="46" s="1"/>
  <c r="B13" i="46"/>
  <c r="B277" i="46" s="1"/>
  <c r="BA12" i="46"/>
  <c r="B437" i="46" s="1"/>
  <c r="B451" i="46" s="1"/>
  <c r="B469" i="46" s="1"/>
  <c r="B12" i="46"/>
  <c r="B276" i="46" s="1"/>
  <c r="B11" i="46"/>
  <c r="AC10" i="46" s="1"/>
  <c r="B10" i="46"/>
  <c r="B274" i="46" s="1"/>
  <c r="C242" i="45"/>
  <c r="D242" i="45"/>
  <c r="D245" i="45" s="1"/>
  <c r="E242" i="45"/>
  <c r="AF220" i="45" s="1"/>
  <c r="F242" i="45"/>
  <c r="G242" i="45"/>
  <c r="H242" i="45"/>
  <c r="I242" i="45"/>
  <c r="J242" i="45"/>
  <c r="AK220" i="45" s="1"/>
  <c r="K242" i="45"/>
  <c r="L242" i="45"/>
  <c r="L245" i="45" s="1"/>
  <c r="M242" i="45"/>
  <c r="AN220" i="45" s="1"/>
  <c r="N242" i="45"/>
  <c r="O242" i="45"/>
  <c r="P242" i="45"/>
  <c r="Q242" i="45"/>
  <c r="R242" i="45"/>
  <c r="AS220" i="45" s="1"/>
  <c r="S242" i="45"/>
  <c r="T242" i="45"/>
  <c r="AU220" i="45" s="1"/>
  <c r="U242" i="45"/>
  <c r="V242" i="45"/>
  <c r="W242" i="45"/>
  <c r="X242" i="45"/>
  <c r="Y242" i="45"/>
  <c r="Z242" i="45"/>
  <c r="BA220" i="45" s="1"/>
  <c r="B242" i="45"/>
  <c r="AC220" i="45" s="1"/>
  <c r="C201" i="45"/>
  <c r="D201" i="45"/>
  <c r="AE179" i="45" s="1"/>
  <c r="E201" i="45"/>
  <c r="AF179" i="45" s="1"/>
  <c r="F201" i="45"/>
  <c r="G201" i="45"/>
  <c r="H201" i="45"/>
  <c r="I201" i="45"/>
  <c r="J201" i="45"/>
  <c r="AK179" i="45" s="1"/>
  <c r="K201" i="45"/>
  <c r="L201" i="45"/>
  <c r="AM179" i="45" s="1"/>
  <c r="M201" i="45"/>
  <c r="AN179" i="45" s="1"/>
  <c r="N201" i="45"/>
  <c r="O201" i="45"/>
  <c r="P201" i="45"/>
  <c r="Q201" i="45"/>
  <c r="R201" i="45"/>
  <c r="AS179" i="45" s="1"/>
  <c r="S201" i="45"/>
  <c r="T201" i="45"/>
  <c r="AU179" i="45" s="1"/>
  <c r="U201" i="45"/>
  <c r="AV179" i="45" s="1"/>
  <c r="V201" i="45"/>
  <c r="W201" i="45"/>
  <c r="X201" i="45"/>
  <c r="Y201" i="45"/>
  <c r="Z201" i="45"/>
  <c r="BA179" i="45" s="1"/>
  <c r="B201" i="45"/>
  <c r="C160" i="45"/>
  <c r="D160" i="45"/>
  <c r="E160" i="45"/>
  <c r="E163" i="45" s="1"/>
  <c r="F160" i="45"/>
  <c r="G160" i="45"/>
  <c r="H160" i="45"/>
  <c r="I160" i="45"/>
  <c r="J160" i="45"/>
  <c r="J163" i="45" s="1"/>
  <c r="K160" i="45"/>
  <c r="AL138" i="45" s="1"/>
  <c r="L160" i="45"/>
  <c r="M160" i="45"/>
  <c r="N160" i="45"/>
  <c r="O160" i="45"/>
  <c r="P160" i="45"/>
  <c r="Q160" i="45"/>
  <c r="R160" i="45"/>
  <c r="R163" i="45" s="1"/>
  <c r="S160" i="45"/>
  <c r="T160" i="45"/>
  <c r="AU138" i="45" s="1"/>
  <c r="U160" i="45"/>
  <c r="AV138" i="45" s="1"/>
  <c r="V160" i="45"/>
  <c r="W160" i="45"/>
  <c r="X160" i="45"/>
  <c r="Y160" i="45"/>
  <c r="Z160" i="45"/>
  <c r="BA138" i="45" s="1"/>
  <c r="B160" i="45"/>
  <c r="C118" i="45"/>
  <c r="D118" i="45"/>
  <c r="E118" i="45"/>
  <c r="F118" i="45"/>
  <c r="G118" i="45"/>
  <c r="H118" i="45"/>
  <c r="I118" i="45"/>
  <c r="J118" i="45"/>
  <c r="J423" i="45" s="1"/>
  <c r="AK402" i="45" s="1"/>
  <c r="K118" i="45"/>
  <c r="L118" i="45"/>
  <c r="M118" i="45"/>
  <c r="N118" i="45"/>
  <c r="O118" i="45"/>
  <c r="P118" i="45"/>
  <c r="Q118" i="45"/>
  <c r="Q423" i="45" s="1"/>
  <c r="AR402" i="45" s="1"/>
  <c r="R118" i="45"/>
  <c r="R423" i="45" s="1"/>
  <c r="AS402" i="45" s="1"/>
  <c r="S118" i="45"/>
  <c r="T118" i="45"/>
  <c r="U118" i="45"/>
  <c r="V118" i="45"/>
  <c r="W118" i="45"/>
  <c r="X118" i="45"/>
  <c r="Y118" i="45"/>
  <c r="Y423" i="45" s="1"/>
  <c r="AZ402" i="45" s="1"/>
  <c r="Z118" i="45"/>
  <c r="Z423" i="45" s="1"/>
  <c r="BA402" i="45" s="1"/>
  <c r="B118" i="45"/>
  <c r="B423" i="45" s="1"/>
  <c r="AC402" i="45" s="1"/>
  <c r="C78" i="45"/>
  <c r="D78" i="45"/>
  <c r="E78" i="45"/>
  <c r="F78" i="45"/>
  <c r="G78" i="45"/>
  <c r="H78" i="45"/>
  <c r="H362" i="45" s="1"/>
  <c r="AI341" i="45" s="1"/>
  <c r="I78" i="45"/>
  <c r="J78" i="45"/>
  <c r="K78" i="45"/>
  <c r="L78" i="45"/>
  <c r="M78" i="45"/>
  <c r="N78" i="45"/>
  <c r="O78" i="45"/>
  <c r="P78" i="45"/>
  <c r="P362" i="45" s="1"/>
  <c r="AQ341" i="45" s="1"/>
  <c r="Q78" i="45"/>
  <c r="R78" i="45"/>
  <c r="S78" i="45"/>
  <c r="T78" i="45"/>
  <c r="U78" i="45"/>
  <c r="V78" i="45"/>
  <c r="W78" i="45"/>
  <c r="X78" i="45"/>
  <c r="X362" i="45" s="1"/>
  <c r="AY341" i="45" s="1"/>
  <c r="Y78" i="45"/>
  <c r="Z78" i="45"/>
  <c r="B78" i="45"/>
  <c r="C38" i="45"/>
  <c r="D38" i="45"/>
  <c r="E38" i="45"/>
  <c r="F38" i="45"/>
  <c r="G38" i="45"/>
  <c r="H38" i="45"/>
  <c r="I38" i="45"/>
  <c r="J38" i="45"/>
  <c r="AK16" i="45" s="1"/>
  <c r="K38" i="45"/>
  <c r="L38" i="45"/>
  <c r="M38" i="45"/>
  <c r="N38" i="45"/>
  <c r="O38" i="45"/>
  <c r="P38" i="45"/>
  <c r="Q38" i="45"/>
  <c r="R38" i="45"/>
  <c r="AS16" i="45" s="1"/>
  <c r="S38" i="45"/>
  <c r="T38" i="45"/>
  <c r="U38" i="45"/>
  <c r="V38" i="45"/>
  <c r="W38" i="45"/>
  <c r="X38" i="45"/>
  <c r="Y38" i="45"/>
  <c r="Z38" i="45"/>
  <c r="BA16" i="45" s="1"/>
  <c r="B38" i="45"/>
  <c r="AC16" i="45" s="1"/>
  <c r="F472" i="45"/>
  <c r="E472" i="45"/>
  <c r="D472" i="45"/>
  <c r="C472" i="45"/>
  <c r="B472" i="45"/>
  <c r="G454" i="45"/>
  <c r="G472" i="45" s="1"/>
  <c r="F454" i="45"/>
  <c r="E454" i="45"/>
  <c r="D454" i="45"/>
  <c r="C454" i="45"/>
  <c r="B454" i="45"/>
  <c r="Z425" i="45"/>
  <c r="Y425" i="45"/>
  <c r="T425" i="45"/>
  <c r="S425" i="45"/>
  <c r="R425" i="45"/>
  <c r="Q425" i="45"/>
  <c r="L425" i="45"/>
  <c r="K425" i="45"/>
  <c r="J425" i="45"/>
  <c r="I425" i="45"/>
  <c r="D425" i="45"/>
  <c r="C425" i="45"/>
  <c r="B425" i="45"/>
  <c r="AT403" i="45"/>
  <c r="AL403" i="45"/>
  <c r="AD403" i="45"/>
  <c r="AC384" i="45"/>
  <c r="X425" i="45" s="1"/>
  <c r="AC382" i="45"/>
  <c r="AC383" i="45" s="1"/>
  <c r="AZ403" i="45" s="1"/>
  <c r="B379" i="45"/>
  <c r="B378" i="45"/>
  <c r="B375" i="45"/>
  <c r="AC389" i="45" s="1"/>
  <c r="W364" i="45"/>
  <c r="AX340" i="45" s="1"/>
  <c r="S364" i="45"/>
  <c r="L364" i="45"/>
  <c r="E364" i="45"/>
  <c r="AV342" i="45"/>
  <c r="AR342" i="45"/>
  <c r="AN342" i="45"/>
  <c r="AJ342" i="45"/>
  <c r="AF342" i="45"/>
  <c r="AC324" i="45"/>
  <c r="M364" i="45" s="1"/>
  <c r="AC322" i="45"/>
  <c r="AC323" i="45" s="1"/>
  <c r="B319" i="45"/>
  <c r="B318" i="45"/>
  <c r="B315" i="45"/>
  <c r="AC329" i="45" s="1"/>
  <c r="P305" i="45"/>
  <c r="AQ279" i="45" s="1"/>
  <c r="U304" i="45"/>
  <c r="I304" i="45"/>
  <c r="E304" i="45"/>
  <c r="AV282" i="45"/>
  <c r="AS282" i="45"/>
  <c r="AN282" i="45"/>
  <c r="AK282" i="45"/>
  <c r="AF282" i="45"/>
  <c r="AC282" i="45"/>
  <c r="AC264" i="45"/>
  <c r="Y304" i="45" s="1"/>
  <c r="AC262" i="45"/>
  <c r="AC263" i="45" s="1"/>
  <c r="B259" i="45"/>
  <c r="B258" i="45"/>
  <c r="B260" i="45" s="1"/>
  <c r="B255" i="45"/>
  <c r="AC269" i="45" s="1"/>
  <c r="O245" i="45"/>
  <c r="Z244" i="45"/>
  <c r="Y244" i="45"/>
  <c r="X244" i="45"/>
  <c r="AY219" i="45" s="1"/>
  <c r="W244" i="45"/>
  <c r="V244" i="45"/>
  <c r="U244" i="45"/>
  <c r="AV219" i="45" s="1"/>
  <c r="T244" i="45"/>
  <c r="S244" i="45"/>
  <c r="R244" i="45"/>
  <c r="Q244" i="45"/>
  <c r="P244" i="45"/>
  <c r="AQ219" i="45" s="1"/>
  <c r="O244" i="45"/>
  <c r="N244" i="45"/>
  <c r="M244" i="45"/>
  <c r="AN219" i="45" s="1"/>
  <c r="L244" i="45"/>
  <c r="K244" i="45"/>
  <c r="J244" i="45"/>
  <c r="I244" i="45"/>
  <c r="H244" i="45"/>
  <c r="AI219" i="45" s="1"/>
  <c r="G244" i="45"/>
  <c r="F244" i="45"/>
  <c r="E244" i="45"/>
  <c r="AF219" i="45" s="1"/>
  <c r="D244" i="45"/>
  <c r="C244" i="45"/>
  <c r="B244" i="45"/>
  <c r="Z243" i="45"/>
  <c r="Y243" i="45"/>
  <c r="X243" i="45"/>
  <c r="W243" i="45"/>
  <c r="V243" i="45"/>
  <c r="AW219" i="45" s="1"/>
  <c r="U243" i="45"/>
  <c r="T243" i="45"/>
  <c r="S243" i="45"/>
  <c r="R243" i="45"/>
  <c r="Q243" i="45"/>
  <c r="P243" i="45"/>
  <c r="O243" i="45"/>
  <c r="N243" i="45"/>
  <c r="AO219" i="45" s="1"/>
  <c r="M243" i="45"/>
  <c r="L243" i="45"/>
  <c r="K243" i="45"/>
  <c r="J243" i="45"/>
  <c r="I243" i="45"/>
  <c r="AJ219" i="45" s="1"/>
  <c r="H243" i="45"/>
  <c r="G243" i="45"/>
  <c r="F243" i="45"/>
  <c r="AG219" i="45" s="1"/>
  <c r="E243" i="45"/>
  <c r="D243" i="45"/>
  <c r="C243" i="45"/>
  <c r="B243" i="45"/>
  <c r="W245" i="45"/>
  <c r="G245" i="45"/>
  <c r="Z241" i="45"/>
  <c r="Y241" i="45"/>
  <c r="X241" i="45"/>
  <c r="X245" i="45" s="1"/>
  <c r="W241" i="45"/>
  <c r="V241" i="45"/>
  <c r="V245" i="45" s="1"/>
  <c r="U241" i="45"/>
  <c r="T241" i="45"/>
  <c r="S241" i="45"/>
  <c r="S245" i="45" s="1"/>
  <c r="R241" i="45"/>
  <c r="Q241" i="45"/>
  <c r="P241" i="45"/>
  <c r="O241" i="45"/>
  <c r="N241" i="45"/>
  <c r="N245" i="45" s="1"/>
  <c r="M241" i="45"/>
  <c r="L241" i="45"/>
  <c r="K241" i="45"/>
  <c r="J241" i="45"/>
  <c r="I241" i="45"/>
  <c r="H241" i="45"/>
  <c r="G241" i="45"/>
  <c r="F241" i="45"/>
  <c r="F245" i="45" s="1"/>
  <c r="E241" i="45"/>
  <c r="D241" i="45"/>
  <c r="C241" i="45"/>
  <c r="C245" i="45" s="1"/>
  <c r="B241" i="45"/>
  <c r="Z240" i="45"/>
  <c r="Z239" i="45"/>
  <c r="Z238" i="45"/>
  <c r="Z237" i="45"/>
  <c r="Z236" i="45"/>
  <c r="Z235" i="45"/>
  <c r="Z234" i="45"/>
  <c r="Z233" i="45"/>
  <c r="Z232" i="45"/>
  <c r="Z231" i="45"/>
  <c r="BA216" i="45" s="1"/>
  <c r="Z230" i="45"/>
  <c r="Z229" i="45"/>
  <c r="Z228" i="45"/>
  <c r="B227" i="45"/>
  <c r="B226" i="45"/>
  <c r="AC215" i="45" s="1"/>
  <c r="G436" i="45" s="1"/>
  <c r="G450" i="45" s="1"/>
  <c r="G468" i="45" s="1"/>
  <c r="B225" i="45"/>
  <c r="B224" i="45"/>
  <c r="B223" i="45"/>
  <c r="B222" i="45"/>
  <c r="B221" i="45"/>
  <c r="AZ220" i="45"/>
  <c r="AY220" i="45"/>
  <c r="AX220" i="45"/>
  <c r="AW220" i="45"/>
  <c r="AV220" i="45"/>
  <c r="AT220" i="45"/>
  <c r="AR220" i="45"/>
  <c r="AQ220" i="45"/>
  <c r="AP220" i="45"/>
  <c r="AO220" i="45"/>
  <c r="AM220" i="45"/>
  <c r="AL220" i="45"/>
  <c r="AJ220" i="45"/>
  <c r="AI220" i="45"/>
  <c r="AH220" i="45"/>
  <c r="AG220" i="45"/>
  <c r="AD220" i="45"/>
  <c r="B220" i="45"/>
  <c r="BA219" i="45"/>
  <c r="AZ219" i="45"/>
  <c r="AX219" i="45"/>
  <c r="AU219" i="45"/>
  <c r="AT219" i="45"/>
  <c r="AS219" i="45"/>
  <c r="AR219" i="45"/>
  <c r="AP219" i="45"/>
  <c r="AM219" i="45"/>
  <c r="AL219" i="45"/>
  <c r="AK219" i="45"/>
  <c r="AH219" i="45"/>
  <c r="AE219" i="45"/>
  <c r="AD219" i="45"/>
  <c r="AC219" i="45"/>
  <c r="B219" i="45"/>
  <c r="BA218" i="45"/>
  <c r="AX218" i="45"/>
  <c r="AU218" i="45"/>
  <c r="AR218" i="45"/>
  <c r="AO218" i="45"/>
  <c r="AF218" i="45"/>
  <c r="AC218" i="45"/>
  <c r="B218" i="45"/>
  <c r="BA217" i="45"/>
  <c r="G438" i="45" s="1"/>
  <c r="G452" i="45" s="1"/>
  <c r="G470" i="45" s="1"/>
  <c r="B217" i="45"/>
  <c r="B216" i="45"/>
  <c r="B215" i="45"/>
  <c r="AC214" i="45" s="1"/>
  <c r="B214" i="45"/>
  <c r="AC209" i="45"/>
  <c r="AC208" i="45"/>
  <c r="W204" i="45"/>
  <c r="O204" i="45"/>
  <c r="G204" i="45"/>
  <c r="Z203" i="45"/>
  <c r="Y203" i="45"/>
  <c r="X203" i="45"/>
  <c r="AY178" i="45" s="1"/>
  <c r="W203" i="45"/>
  <c r="V203" i="45"/>
  <c r="U203" i="45"/>
  <c r="T203" i="45"/>
  <c r="S203" i="45"/>
  <c r="AT178" i="45" s="1"/>
  <c r="R203" i="45"/>
  <c r="Q203" i="45"/>
  <c r="P203" i="45"/>
  <c r="AQ178" i="45" s="1"/>
  <c r="O203" i="45"/>
  <c r="N203" i="45"/>
  <c r="M203" i="45"/>
  <c r="L203" i="45"/>
  <c r="K203" i="45"/>
  <c r="AL178" i="45" s="1"/>
  <c r="J203" i="45"/>
  <c r="I203" i="45"/>
  <c r="H203" i="45"/>
  <c r="AI178" i="45" s="1"/>
  <c r="G203" i="45"/>
  <c r="F203" i="45"/>
  <c r="E203" i="45"/>
  <c r="D203" i="45"/>
  <c r="C203" i="45"/>
  <c r="AD178" i="45" s="1"/>
  <c r="B203" i="45"/>
  <c r="Z202" i="45"/>
  <c r="Y202" i="45"/>
  <c r="X202" i="45"/>
  <c r="W202" i="45"/>
  <c r="V202" i="45"/>
  <c r="U202" i="45"/>
  <c r="T202" i="45"/>
  <c r="AU178" i="45" s="1"/>
  <c r="S202" i="45"/>
  <c r="R202" i="45"/>
  <c r="Q202" i="45"/>
  <c r="AR178" i="45" s="1"/>
  <c r="P202" i="45"/>
  <c r="O202" i="45"/>
  <c r="N202" i="45"/>
  <c r="M202" i="45"/>
  <c r="L202" i="45"/>
  <c r="AM178" i="45" s="1"/>
  <c r="K202" i="45"/>
  <c r="J202" i="45"/>
  <c r="I202" i="45"/>
  <c r="AJ178" i="45" s="1"/>
  <c r="H202" i="45"/>
  <c r="G202" i="45"/>
  <c r="F202" i="45"/>
  <c r="E202" i="45"/>
  <c r="D202" i="45"/>
  <c r="C202" i="45"/>
  <c r="B202" i="45"/>
  <c r="Z200" i="45"/>
  <c r="Y200" i="45"/>
  <c r="Y204" i="45" s="1"/>
  <c r="X200" i="45"/>
  <c r="X204" i="45" s="1"/>
  <c r="W200" i="45"/>
  <c r="V200" i="45"/>
  <c r="V204" i="45" s="1"/>
  <c r="U200" i="45"/>
  <c r="T200" i="45"/>
  <c r="T204" i="45" s="1"/>
  <c r="S200" i="45"/>
  <c r="S204" i="45" s="1"/>
  <c r="R200" i="45"/>
  <c r="Q200" i="45"/>
  <c r="Q204" i="45" s="1"/>
  <c r="P200" i="45"/>
  <c r="P204" i="45" s="1"/>
  <c r="O200" i="45"/>
  <c r="N200" i="45"/>
  <c r="N204" i="45" s="1"/>
  <c r="M200" i="45"/>
  <c r="L200" i="45"/>
  <c r="L204" i="45" s="1"/>
  <c r="K200" i="45"/>
  <c r="J200" i="45"/>
  <c r="I200" i="45"/>
  <c r="I204" i="45" s="1"/>
  <c r="H200" i="45"/>
  <c r="H204" i="45" s="1"/>
  <c r="G200" i="45"/>
  <c r="F200" i="45"/>
  <c r="F204" i="45" s="1"/>
  <c r="E200" i="45"/>
  <c r="D200" i="45"/>
  <c r="D204" i="45" s="1"/>
  <c r="C200" i="45"/>
  <c r="C204" i="45" s="1"/>
  <c r="B200" i="45"/>
  <c r="Z199" i="45"/>
  <c r="Z198" i="45"/>
  <c r="Z197" i="45"/>
  <c r="Z196" i="45"/>
  <c r="Z195" i="45"/>
  <c r="Z194" i="45"/>
  <c r="Z193" i="45"/>
  <c r="Z192" i="45"/>
  <c r="Z191" i="45"/>
  <c r="Z190" i="45"/>
  <c r="Z189" i="45"/>
  <c r="Z188" i="45"/>
  <c r="BA175" i="45" s="1"/>
  <c r="Z187" i="45"/>
  <c r="B186" i="45"/>
  <c r="B185" i="45"/>
  <c r="AC174" i="45" s="1"/>
  <c r="F436" i="45" s="1"/>
  <c r="F450" i="45" s="1"/>
  <c r="F468" i="45" s="1"/>
  <c r="B184" i="45"/>
  <c r="B183" i="45"/>
  <c r="B182" i="45"/>
  <c r="B181" i="45"/>
  <c r="B180" i="45"/>
  <c r="AZ179" i="45"/>
  <c r="AY179" i="45"/>
  <c r="AX179" i="45"/>
  <c r="AW179" i="45"/>
  <c r="AT179" i="45"/>
  <c r="AR179" i="45"/>
  <c r="AQ179" i="45"/>
  <c r="AP179" i="45"/>
  <c r="AO179" i="45"/>
  <c r="AL179" i="45"/>
  <c r="AJ179" i="45"/>
  <c r="AI179" i="45"/>
  <c r="AH179" i="45"/>
  <c r="AG179" i="45"/>
  <c r="AD179" i="45"/>
  <c r="AC179" i="45"/>
  <c r="B179" i="45"/>
  <c r="BA178" i="45"/>
  <c r="AZ178" i="45"/>
  <c r="AX178" i="45"/>
  <c r="AW178" i="45"/>
  <c r="AV178" i="45"/>
  <c r="AS178" i="45"/>
  <c r="AP178" i="45"/>
  <c r="AO178" i="45"/>
  <c r="AN178" i="45"/>
  <c r="AK178" i="45"/>
  <c r="AH178" i="45"/>
  <c r="AG178" i="45"/>
  <c r="AF178" i="45"/>
  <c r="AE178" i="45"/>
  <c r="AC178" i="45"/>
  <c r="B178" i="45"/>
  <c r="BA177" i="45"/>
  <c r="AX177" i="45"/>
  <c r="AU177" i="45"/>
  <c r="AR177" i="45"/>
  <c r="AO177" i="45"/>
  <c r="AI177" i="45"/>
  <c r="AF177" i="45"/>
  <c r="AC177" i="45"/>
  <c r="B177" i="45"/>
  <c r="BA176" i="45"/>
  <c r="F438" i="45" s="1"/>
  <c r="F452" i="45" s="1"/>
  <c r="F470" i="45" s="1"/>
  <c r="B176" i="45"/>
  <c r="B175" i="45"/>
  <c r="B174" i="45"/>
  <c r="B173" i="45"/>
  <c r="AC167" i="45"/>
  <c r="AC168" i="45" s="1"/>
  <c r="U163" i="45"/>
  <c r="Z162" i="45"/>
  <c r="Y162" i="45"/>
  <c r="X162" i="45"/>
  <c r="W162" i="45"/>
  <c r="V162" i="45"/>
  <c r="AW137" i="45" s="1"/>
  <c r="U162" i="45"/>
  <c r="T162" i="45"/>
  <c r="S162" i="45"/>
  <c r="AT137" i="45" s="1"/>
  <c r="R162" i="45"/>
  <c r="Q162" i="45"/>
  <c r="P162" i="45"/>
  <c r="O162" i="45"/>
  <c r="N162" i="45"/>
  <c r="AO137" i="45" s="1"/>
  <c r="M162" i="45"/>
  <c r="L162" i="45"/>
  <c r="K162" i="45"/>
  <c r="AL137" i="45" s="1"/>
  <c r="J162" i="45"/>
  <c r="I162" i="45"/>
  <c r="H162" i="45"/>
  <c r="G162" i="45"/>
  <c r="F162" i="45"/>
  <c r="AG137" i="45" s="1"/>
  <c r="E162" i="45"/>
  <c r="D162" i="45"/>
  <c r="C162" i="45"/>
  <c r="AD137" i="45" s="1"/>
  <c r="B162" i="45"/>
  <c r="Z161" i="45"/>
  <c r="Y161" i="45"/>
  <c r="X161" i="45"/>
  <c r="W161" i="45"/>
  <c r="AX137" i="45" s="1"/>
  <c r="V161" i="45"/>
  <c r="U161" i="45"/>
  <c r="T161" i="45"/>
  <c r="AU137" i="45" s="1"/>
  <c r="S161" i="45"/>
  <c r="R161" i="45"/>
  <c r="Q161" i="45"/>
  <c r="P161" i="45"/>
  <c r="O161" i="45"/>
  <c r="N161" i="45"/>
  <c r="M161" i="45"/>
  <c r="L161" i="45"/>
  <c r="AM137" i="45" s="1"/>
  <c r="K161" i="45"/>
  <c r="J161" i="45"/>
  <c r="I161" i="45"/>
  <c r="H161" i="45"/>
  <c r="G161" i="45"/>
  <c r="F161" i="45"/>
  <c r="E161" i="45"/>
  <c r="D161" i="45"/>
  <c r="AE137" i="45" s="1"/>
  <c r="C161" i="45"/>
  <c r="B161" i="45"/>
  <c r="AN138" i="45"/>
  <c r="AF138" i="45"/>
  <c r="Z159" i="45"/>
  <c r="Y159" i="45"/>
  <c r="Y163" i="45" s="1"/>
  <c r="X159" i="45"/>
  <c r="X163" i="45" s="1"/>
  <c r="W159" i="45"/>
  <c r="W163" i="45" s="1"/>
  <c r="V159" i="45"/>
  <c r="V163" i="45" s="1"/>
  <c r="U159" i="45"/>
  <c r="T159" i="45"/>
  <c r="S159" i="45"/>
  <c r="S163" i="45" s="1"/>
  <c r="R159" i="45"/>
  <c r="Q159" i="45"/>
  <c r="P159" i="45"/>
  <c r="P163" i="45" s="1"/>
  <c r="O159" i="45"/>
  <c r="O163" i="45" s="1"/>
  <c r="N159" i="45"/>
  <c r="N163" i="45" s="1"/>
  <c r="M159" i="45"/>
  <c r="L159" i="45"/>
  <c r="K159" i="45"/>
  <c r="K163" i="45" s="1"/>
  <c r="J159" i="45"/>
  <c r="I159" i="45"/>
  <c r="I163" i="45" s="1"/>
  <c r="H159" i="45"/>
  <c r="H163" i="45" s="1"/>
  <c r="G159" i="45"/>
  <c r="G163" i="45" s="1"/>
  <c r="F159" i="45"/>
  <c r="F163" i="45" s="1"/>
  <c r="E159" i="45"/>
  <c r="D159" i="45"/>
  <c r="C159" i="45"/>
  <c r="C163" i="45" s="1"/>
  <c r="B159" i="45"/>
  <c r="Z158" i="45"/>
  <c r="BA135" i="45" s="1"/>
  <c r="E438" i="45" s="1"/>
  <c r="E452" i="45" s="1"/>
  <c r="E470" i="45" s="1"/>
  <c r="Z157" i="45"/>
  <c r="Z156" i="45"/>
  <c r="Z155" i="45"/>
  <c r="Z154" i="45"/>
  <c r="Z153" i="45"/>
  <c r="Z152" i="45"/>
  <c r="Z151" i="45"/>
  <c r="Z150" i="45"/>
  <c r="Z149" i="45"/>
  <c r="Z148" i="45"/>
  <c r="Z147" i="45"/>
  <c r="Z146" i="45"/>
  <c r="B145" i="45"/>
  <c r="B144" i="45"/>
  <c r="B143" i="45"/>
  <c r="B142" i="45"/>
  <c r="B141" i="45"/>
  <c r="B140" i="45"/>
  <c r="B139" i="45"/>
  <c r="AZ138" i="45"/>
  <c r="AY138" i="45"/>
  <c r="AX138" i="45"/>
  <c r="AW138" i="45"/>
  <c r="AT138" i="45"/>
  <c r="AR138" i="45"/>
  <c r="AQ138" i="45"/>
  <c r="AP138" i="45"/>
  <c r="AO138" i="45"/>
  <c r="AM138" i="45"/>
  <c r="AJ138" i="45"/>
  <c r="AI138" i="45"/>
  <c r="AH138" i="45"/>
  <c r="AG138" i="45"/>
  <c r="AE138" i="45"/>
  <c r="AD138" i="45"/>
  <c r="AC138" i="45"/>
  <c r="B138" i="45"/>
  <c r="BA137" i="45"/>
  <c r="AZ137" i="45"/>
  <c r="AY137" i="45"/>
  <c r="AV137" i="45"/>
  <c r="AS137" i="45"/>
  <c r="AR137" i="45"/>
  <c r="AQ137" i="45"/>
  <c r="AP137" i="45"/>
  <c r="AN137" i="45"/>
  <c r="AK137" i="45"/>
  <c r="AJ137" i="45"/>
  <c r="AI137" i="45"/>
  <c r="AH137" i="45"/>
  <c r="AF137" i="45"/>
  <c r="AC137" i="45"/>
  <c r="B137" i="45"/>
  <c r="BA136" i="45"/>
  <c r="AX136" i="45"/>
  <c r="AU136" i="45"/>
  <c r="AO136" i="45"/>
  <c r="AL136" i="45"/>
  <c r="AI136" i="45"/>
  <c r="AF136" i="45"/>
  <c r="AC136" i="45"/>
  <c r="B136" i="45"/>
  <c r="B135" i="45"/>
  <c r="B134" i="45"/>
  <c r="AC133" i="45"/>
  <c r="E436" i="45" s="1"/>
  <c r="E450" i="45" s="1"/>
  <c r="E468" i="45" s="1"/>
  <c r="B133" i="45"/>
  <c r="B132" i="45"/>
  <c r="AC132" i="45" s="1"/>
  <c r="AC126" i="45"/>
  <c r="AC127" i="45" s="1"/>
  <c r="Z120" i="45"/>
  <c r="Y120" i="45"/>
  <c r="X120" i="45"/>
  <c r="W120" i="45"/>
  <c r="V120" i="45"/>
  <c r="AW95" i="45" s="1"/>
  <c r="U120" i="45"/>
  <c r="T120" i="45"/>
  <c r="S120" i="45"/>
  <c r="R120" i="45"/>
  <c r="Q120" i="45"/>
  <c r="P120" i="45"/>
  <c r="O120" i="45"/>
  <c r="N120" i="45"/>
  <c r="AO95" i="45" s="1"/>
  <c r="M120" i="45"/>
  <c r="L120" i="45"/>
  <c r="K120" i="45"/>
  <c r="J120" i="45"/>
  <c r="I120" i="45"/>
  <c r="H120" i="45"/>
  <c r="G120" i="45"/>
  <c r="F120" i="45"/>
  <c r="AG95" i="45" s="1"/>
  <c r="E120" i="45"/>
  <c r="D120" i="45"/>
  <c r="C120" i="45"/>
  <c r="B120" i="45"/>
  <c r="Z119" i="45"/>
  <c r="Z424" i="45" s="1"/>
  <c r="Y119" i="45"/>
  <c r="Y424" i="45" s="1"/>
  <c r="X119" i="45"/>
  <c r="X424" i="45" s="1"/>
  <c r="W119" i="45"/>
  <c r="W424" i="45" s="1"/>
  <c r="V119" i="45"/>
  <c r="V424" i="45" s="1"/>
  <c r="U119" i="45"/>
  <c r="U424" i="45" s="1"/>
  <c r="T119" i="45"/>
  <c r="T424" i="45" s="1"/>
  <c r="S119" i="45"/>
  <c r="S424" i="45" s="1"/>
  <c r="R119" i="45"/>
  <c r="R424" i="45" s="1"/>
  <c r="Q119" i="45"/>
  <c r="Q424" i="45" s="1"/>
  <c r="P119" i="45"/>
  <c r="P424" i="45" s="1"/>
  <c r="O119" i="45"/>
  <c r="O424" i="45" s="1"/>
  <c r="N119" i="45"/>
  <c r="N424" i="45" s="1"/>
  <c r="M119" i="45"/>
  <c r="M424" i="45" s="1"/>
  <c r="L119" i="45"/>
  <c r="L424" i="45" s="1"/>
  <c r="K119" i="45"/>
  <c r="K424" i="45" s="1"/>
  <c r="J119" i="45"/>
  <c r="J424" i="45" s="1"/>
  <c r="I119" i="45"/>
  <c r="I424" i="45" s="1"/>
  <c r="H119" i="45"/>
  <c r="H424" i="45" s="1"/>
  <c r="G119" i="45"/>
  <c r="G424" i="45" s="1"/>
  <c r="F119" i="45"/>
  <c r="F424" i="45" s="1"/>
  <c r="E119" i="45"/>
  <c r="E424" i="45" s="1"/>
  <c r="D119" i="45"/>
  <c r="D424" i="45" s="1"/>
  <c r="C119" i="45"/>
  <c r="C424" i="45" s="1"/>
  <c r="B119" i="45"/>
  <c r="B424" i="45" s="1"/>
  <c r="X423" i="45"/>
  <c r="AY402" i="45" s="1"/>
  <c r="W423" i="45"/>
  <c r="AX402" i="45" s="1"/>
  <c r="V423" i="45"/>
  <c r="AW402" i="45" s="1"/>
  <c r="U423" i="45"/>
  <c r="AV402" i="45" s="1"/>
  <c r="T423" i="45"/>
  <c r="AU402" i="45" s="1"/>
  <c r="S423" i="45"/>
  <c r="AT402" i="45" s="1"/>
  <c r="P423" i="45"/>
  <c r="AQ402" i="45" s="1"/>
  <c r="O423" i="45"/>
  <c r="AP402" i="45" s="1"/>
  <c r="N423" i="45"/>
  <c r="AO402" i="45" s="1"/>
  <c r="M423" i="45"/>
  <c r="AN402" i="45" s="1"/>
  <c r="L423" i="45"/>
  <c r="AM402" i="45" s="1"/>
  <c r="K423" i="45"/>
  <c r="AL402" i="45" s="1"/>
  <c r="I423" i="45"/>
  <c r="AJ402" i="45" s="1"/>
  <c r="H423" i="45"/>
  <c r="AI402" i="45" s="1"/>
  <c r="G423" i="45"/>
  <c r="AH402" i="45" s="1"/>
  <c r="F423" i="45"/>
  <c r="AG402" i="45" s="1"/>
  <c r="E423" i="45"/>
  <c r="AF402" i="45" s="1"/>
  <c r="D423" i="45"/>
  <c r="AE402" i="45" s="1"/>
  <c r="C423" i="45"/>
  <c r="AD402" i="45" s="1"/>
  <c r="Z117" i="45"/>
  <c r="Z422" i="45" s="1"/>
  <c r="BA399" i="45" s="1"/>
  <c r="Y117" i="45"/>
  <c r="Y422" i="45" s="1"/>
  <c r="X117" i="45"/>
  <c r="X422" i="45" s="1"/>
  <c r="X427" i="45" s="1"/>
  <c r="W117" i="45"/>
  <c r="W422" i="45" s="1"/>
  <c r="V117" i="45"/>
  <c r="V422" i="45" s="1"/>
  <c r="U117" i="45"/>
  <c r="U422" i="45" s="1"/>
  <c r="T117" i="45"/>
  <c r="T422" i="45" s="1"/>
  <c r="S117" i="45"/>
  <c r="S422" i="45" s="1"/>
  <c r="R117" i="45"/>
  <c r="R422" i="45" s="1"/>
  <c r="Q117" i="45"/>
  <c r="Q422" i="45" s="1"/>
  <c r="P117" i="45"/>
  <c r="P422" i="45" s="1"/>
  <c r="O117" i="45"/>
  <c r="O422" i="45" s="1"/>
  <c r="N117" i="45"/>
  <c r="N422" i="45" s="1"/>
  <c r="M117" i="45"/>
  <c r="M422" i="45" s="1"/>
  <c r="L117" i="45"/>
  <c r="L422" i="45" s="1"/>
  <c r="L427" i="45" s="1"/>
  <c r="K117" i="45"/>
  <c r="K422" i="45" s="1"/>
  <c r="J117" i="45"/>
  <c r="J422" i="45" s="1"/>
  <c r="I117" i="45"/>
  <c r="I422" i="45" s="1"/>
  <c r="I427" i="45" s="1"/>
  <c r="H117" i="45"/>
  <c r="H422" i="45" s="1"/>
  <c r="G117" i="45"/>
  <c r="G422" i="45" s="1"/>
  <c r="F117" i="45"/>
  <c r="F422" i="45" s="1"/>
  <c r="E117" i="45"/>
  <c r="E422" i="45" s="1"/>
  <c r="D117" i="45"/>
  <c r="D422" i="45" s="1"/>
  <c r="D427" i="45" s="1"/>
  <c r="C117" i="45"/>
  <c r="C422" i="45" s="1"/>
  <c r="B117" i="45"/>
  <c r="B422" i="45" s="1"/>
  <c r="AC399" i="45" s="1"/>
  <c r="Z116" i="45"/>
  <c r="Z421" i="45" s="1"/>
  <c r="BA398" i="45" s="1"/>
  <c r="J438" i="45" s="1"/>
  <c r="J452" i="45" s="1"/>
  <c r="J470" i="45" s="1"/>
  <c r="Z115" i="45"/>
  <c r="Z420" i="45" s="1"/>
  <c r="Z114" i="45"/>
  <c r="Z419" i="45" s="1"/>
  <c r="Z113" i="45"/>
  <c r="Z418" i="45" s="1"/>
  <c r="Z112" i="45"/>
  <c r="Z417" i="45" s="1"/>
  <c r="Z111" i="45"/>
  <c r="Z416" i="45" s="1"/>
  <c r="Z110" i="45"/>
  <c r="Z415" i="45" s="1"/>
  <c r="Z109" i="45"/>
  <c r="Z414" i="45" s="1"/>
  <c r="Z108" i="45"/>
  <c r="Z413" i="45" s="1"/>
  <c r="Z107" i="45"/>
  <c r="Z412" i="45" s="1"/>
  <c r="Z106" i="45"/>
  <c r="Z411" i="45" s="1"/>
  <c r="Z105" i="45"/>
  <c r="Z410" i="45" s="1"/>
  <c r="Z104" i="45"/>
  <c r="Z409" i="45" s="1"/>
  <c r="B103" i="45"/>
  <c r="B408" i="45" s="1"/>
  <c r="B102" i="45"/>
  <c r="B407" i="45" s="1"/>
  <c r="AC396" i="45" s="1"/>
  <c r="J436" i="45" s="1"/>
  <c r="J450" i="45" s="1"/>
  <c r="J468" i="45" s="1"/>
  <c r="B101" i="45"/>
  <c r="B406" i="45" s="1"/>
  <c r="B100" i="45"/>
  <c r="B405" i="45" s="1"/>
  <c r="B99" i="45"/>
  <c r="B404" i="45" s="1"/>
  <c r="B98" i="45"/>
  <c r="B403" i="45" s="1"/>
  <c r="AR97" i="45"/>
  <c r="AN97" i="45"/>
  <c r="AJ97" i="45"/>
  <c r="AF97" i="45"/>
  <c r="B97" i="45"/>
  <c r="B402" i="45" s="1"/>
  <c r="AZ96" i="45"/>
  <c r="AY96" i="45"/>
  <c r="AX96" i="45"/>
  <c r="AW96" i="45"/>
  <c r="AV96" i="45"/>
  <c r="AU96" i="45"/>
  <c r="AT96" i="45"/>
  <c r="AR96" i="45"/>
  <c r="AQ96" i="45"/>
  <c r="AP96" i="45"/>
  <c r="AO96" i="45"/>
  <c r="AN96" i="45"/>
  <c r="AM96" i="45"/>
  <c r="AL96" i="45"/>
  <c r="AJ96" i="45"/>
  <c r="AI96" i="45"/>
  <c r="AH96" i="45"/>
  <c r="AG96" i="45"/>
  <c r="AF96" i="45"/>
  <c r="AE96" i="45"/>
  <c r="AD96" i="45"/>
  <c r="B96" i="45"/>
  <c r="B401" i="45" s="1"/>
  <c r="AZ95" i="45"/>
  <c r="AY95" i="45"/>
  <c r="AX95" i="45"/>
  <c r="AV95" i="45"/>
  <c r="AU95" i="45"/>
  <c r="AT95" i="45"/>
  <c r="AR95" i="45"/>
  <c r="AQ95" i="45"/>
  <c r="AP95" i="45"/>
  <c r="AN95" i="45"/>
  <c r="AN98" i="45" s="1"/>
  <c r="AM95" i="45"/>
  <c r="AL95" i="45"/>
  <c r="AJ95" i="45"/>
  <c r="AI95" i="45"/>
  <c r="AH95" i="45"/>
  <c r="AF95" i="45"/>
  <c r="AE95" i="45"/>
  <c r="AD95" i="45"/>
  <c r="B95" i="45"/>
  <c r="B400" i="45" s="1"/>
  <c r="BA94" i="45"/>
  <c r="AX94" i="45"/>
  <c r="AR94" i="45"/>
  <c r="AR98" i="45" s="1"/>
  <c r="AO94" i="45"/>
  <c r="AL94" i="45"/>
  <c r="AF94" i="45"/>
  <c r="AF98" i="45" s="1"/>
  <c r="AC94" i="45"/>
  <c r="B94" i="45"/>
  <c r="B399" i="45" s="1"/>
  <c r="B93" i="45"/>
  <c r="B398" i="45" s="1"/>
  <c r="B92" i="45"/>
  <c r="B397" i="45" s="1"/>
  <c r="AC91" i="45"/>
  <c r="D436" i="45" s="1"/>
  <c r="D450" i="45" s="1"/>
  <c r="D468" i="45" s="1"/>
  <c r="B91" i="45"/>
  <c r="B396" i="45" s="1"/>
  <c r="B90" i="45"/>
  <c r="B395" i="45" s="1"/>
  <c r="AC85" i="45"/>
  <c r="AC86" i="45" s="1"/>
  <c r="Z80" i="45"/>
  <c r="Y80" i="45"/>
  <c r="AZ55" i="45" s="1"/>
  <c r="X80" i="45"/>
  <c r="W80" i="45"/>
  <c r="V80" i="45"/>
  <c r="U80" i="45"/>
  <c r="T80" i="45"/>
  <c r="S80" i="45"/>
  <c r="R80" i="45"/>
  <c r="Q80" i="45"/>
  <c r="AR55" i="45" s="1"/>
  <c r="P80" i="45"/>
  <c r="O80" i="45"/>
  <c r="N80" i="45"/>
  <c r="M80" i="45"/>
  <c r="L80" i="45"/>
  <c r="K80" i="45"/>
  <c r="J80" i="45"/>
  <c r="I80" i="45"/>
  <c r="AJ55" i="45" s="1"/>
  <c r="H80" i="45"/>
  <c r="G80" i="45"/>
  <c r="F80" i="45"/>
  <c r="E80" i="45"/>
  <c r="D80" i="45"/>
  <c r="C80" i="45"/>
  <c r="B80" i="45"/>
  <c r="Z79" i="45"/>
  <c r="Z363" i="45" s="1"/>
  <c r="Y79" i="45"/>
  <c r="Y363" i="45" s="1"/>
  <c r="X79" i="45"/>
  <c r="X363" i="45" s="1"/>
  <c r="W79" i="45"/>
  <c r="W363" i="45" s="1"/>
  <c r="V79" i="45"/>
  <c r="V363" i="45" s="1"/>
  <c r="U79" i="45"/>
  <c r="U363" i="45" s="1"/>
  <c r="T79" i="45"/>
  <c r="T363" i="45" s="1"/>
  <c r="S79" i="45"/>
  <c r="S363" i="45" s="1"/>
  <c r="R79" i="45"/>
  <c r="R363" i="45" s="1"/>
  <c r="Q79" i="45"/>
  <c r="Q363" i="45" s="1"/>
  <c r="P79" i="45"/>
  <c r="P363" i="45" s="1"/>
  <c r="O79" i="45"/>
  <c r="O363" i="45" s="1"/>
  <c r="N79" i="45"/>
  <c r="N363" i="45" s="1"/>
  <c r="M79" i="45"/>
  <c r="M363" i="45" s="1"/>
  <c r="AN340" i="45" s="1"/>
  <c r="L79" i="45"/>
  <c r="L363" i="45" s="1"/>
  <c r="K79" i="45"/>
  <c r="K363" i="45" s="1"/>
  <c r="J79" i="45"/>
  <c r="J363" i="45" s="1"/>
  <c r="I79" i="45"/>
  <c r="I363" i="45" s="1"/>
  <c r="H79" i="45"/>
  <c r="H363" i="45" s="1"/>
  <c r="G79" i="45"/>
  <c r="G363" i="45" s="1"/>
  <c r="F79" i="45"/>
  <c r="F363" i="45" s="1"/>
  <c r="E79" i="45"/>
  <c r="E363" i="45" s="1"/>
  <c r="D79" i="45"/>
  <c r="D363" i="45" s="1"/>
  <c r="C79" i="45"/>
  <c r="C363" i="45" s="1"/>
  <c r="B79" i="45"/>
  <c r="B363" i="45" s="1"/>
  <c r="Z362" i="45"/>
  <c r="BA341" i="45" s="1"/>
  <c r="Y362" i="45"/>
  <c r="AZ341" i="45" s="1"/>
  <c r="W362" i="45"/>
  <c r="AX341" i="45" s="1"/>
  <c r="V362" i="45"/>
  <c r="AW341" i="45" s="1"/>
  <c r="U362" i="45"/>
  <c r="AV341" i="45" s="1"/>
  <c r="T362" i="45"/>
  <c r="AU341" i="45" s="1"/>
  <c r="S362" i="45"/>
  <c r="AT341" i="45" s="1"/>
  <c r="R362" i="45"/>
  <c r="AS341" i="45" s="1"/>
  <c r="Q362" i="45"/>
  <c r="AR341" i="45" s="1"/>
  <c r="O362" i="45"/>
  <c r="AP341" i="45" s="1"/>
  <c r="N362" i="45"/>
  <c r="AO341" i="45" s="1"/>
  <c r="M362" i="45"/>
  <c r="AN341" i="45" s="1"/>
  <c r="L362" i="45"/>
  <c r="AM341" i="45" s="1"/>
  <c r="K362" i="45"/>
  <c r="AL341" i="45" s="1"/>
  <c r="J362" i="45"/>
  <c r="AK341" i="45" s="1"/>
  <c r="I362" i="45"/>
  <c r="AJ341" i="45" s="1"/>
  <c r="G362" i="45"/>
  <c r="AH341" i="45" s="1"/>
  <c r="F362" i="45"/>
  <c r="AG341" i="45" s="1"/>
  <c r="E362" i="45"/>
  <c r="AF341" i="45" s="1"/>
  <c r="D362" i="45"/>
  <c r="AE341" i="45" s="1"/>
  <c r="C362" i="45"/>
  <c r="AD341" i="45" s="1"/>
  <c r="B362" i="45"/>
  <c r="AC341" i="45" s="1"/>
  <c r="Z77" i="45"/>
  <c r="Z361" i="45" s="1"/>
  <c r="BA338" i="45" s="1"/>
  <c r="Y77" i="45"/>
  <c r="Y361" i="45" s="1"/>
  <c r="X77" i="45"/>
  <c r="X361" i="45" s="1"/>
  <c r="W77" i="45"/>
  <c r="W361" i="45" s="1"/>
  <c r="V77" i="45"/>
  <c r="V361" i="45" s="1"/>
  <c r="U77" i="45"/>
  <c r="U361" i="45" s="1"/>
  <c r="T77" i="45"/>
  <c r="T361" i="45" s="1"/>
  <c r="S77" i="45"/>
  <c r="S361" i="45" s="1"/>
  <c r="S366" i="45" s="1"/>
  <c r="R77" i="45"/>
  <c r="R361" i="45" s="1"/>
  <c r="Q77" i="45"/>
  <c r="Q361" i="45" s="1"/>
  <c r="P77" i="45"/>
  <c r="P361" i="45" s="1"/>
  <c r="O77" i="45"/>
  <c r="O361" i="45" s="1"/>
  <c r="N77" i="45"/>
  <c r="N361" i="45" s="1"/>
  <c r="M77" i="45"/>
  <c r="M361" i="45" s="1"/>
  <c r="L77" i="45"/>
  <c r="L361" i="45" s="1"/>
  <c r="L366" i="45" s="1"/>
  <c r="K77" i="45"/>
  <c r="K361" i="45" s="1"/>
  <c r="J77" i="45"/>
  <c r="J361" i="45" s="1"/>
  <c r="I77" i="45"/>
  <c r="I361" i="45" s="1"/>
  <c r="H77" i="45"/>
  <c r="H361" i="45" s="1"/>
  <c r="G77" i="45"/>
  <c r="G361" i="45" s="1"/>
  <c r="F77" i="45"/>
  <c r="F361" i="45" s="1"/>
  <c r="E77" i="45"/>
  <c r="E361" i="45" s="1"/>
  <c r="D77" i="45"/>
  <c r="D361" i="45" s="1"/>
  <c r="C77" i="45"/>
  <c r="C361" i="45" s="1"/>
  <c r="B77" i="45"/>
  <c r="B361" i="45" s="1"/>
  <c r="AC338" i="45" s="1"/>
  <c r="Z76" i="45"/>
  <c r="Z360" i="45" s="1"/>
  <c r="BA337" i="45" s="1"/>
  <c r="I438" i="45" s="1"/>
  <c r="I452" i="45" s="1"/>
  <c r="I470" i="45" s="1"/>
  <c r="Z75" i="45"/>
  <c r="Z359" i="45" s="1"/>
  <c r="Z74" i="45"/>
  <c r="Z358" i="45" s="1"/>
  <c r="Z73" i="45"/>
  <c r="Z357" i="45" s="1"/>
  <c r="Z72" i="45"/>
  <c r="Z356" i="45" s="1"/>
  <c r="Z71" i="45"/>
  <c r="Z355" i="45" s="1"/>
  <c r="Z70" i="45"/>
  <c r="Z354" i="45" s="1"/>
  <c r="Z69" i="45"/>
  <c r="Z353" i="45" s="1"/>
  <c r="Z68" i="45"/>
  <c r="Z352" i="45" s="1"/>
  <c r="Z67" i="45"/>
  <c r="Z351" i="45" s="1"/>
  <c r="Z66" i="45"/>
  <c r="Z350" i="45" s="1"/>
  <c r="Z65" i="45"/>
  <c r="Z349" i="45" s="1"/>
  <c r="Z64" i="45"/>
  <c r="Z348" i="45" s="1"/>
  <c r="B63" i="45"/>
  <c r="B347" i="45" s="1"/>
  <c r="B62" i="45"/>
  <c r="B346" i="45" s="1"/>
  <c r="AC335" i="45" s="1"/>
  <c r="I436" i="45" s="1"/>
  <c r="I450" i="45" s="1"/>
  <c r="I468" i="45" s="1"/>
  <c r="B61" i="45"/>
  <c r="B345" i="45" s="1"/>
  <c r="B60" i="45"/>
  <c r="B344" i="45" s="1"/>
  <c r="B59" i="45"/>
  <c r="B343" i="45" s="1"/>
  <c r="B58" i="45"/>
  <c r="B342" i="45" s="1"/>
  <c r="AY57" i="45"/>
  <c r="AU57" i="45"/>
  <c r="AQ57" i="45"/>
  <c r="AM57" i="45"/>
  <c r="AI57" i="45"/>
  <c r="AE57" i="45"/>
  <c r="B57" i="45"/>
  <c r="B341" i="45" s="1"/>
  <c r="BA56" i="45"/>
  <c r="AZ56" i="45"/>
  <c r="AX56" i="45"/>
  <c r="AW56" i="45"/>
  <c r="AV56" i="45"/>
  <c r="AU56" i="45"/>
  <c r="AT56" i="45"/>
  <c r="AS56" i="45"/>
  <c r="AR56" i="45"/>
  <c r="AP56" i="45"/>
  <c r="AO56" i="45"/>
  <c r="AN56" i="45"/>
  <c r="AM56" i="45"/>
  <c r="AL56" i="45"/>
  <c r="AK56" i="45"/>
  <c r="AJ56" i="45"/>
  <c r="AH56" i="45"/>
  <c r="AG56" i="45"/>
  <c r="AF56" i="45"/>
  <c r="AE56" i="45"/>
  <c r="AD56" i="45"/>
  <c r="AC56" i="45"/>
  <c r="B56" i="45"/>
  <c r="B340" i="45" s="1"/>
  <c r="BA55" i="45"/>
  <c r="AY55" i="45"/>
  <c r="AX55" i="45"/>
  <c r="AW55" i="45"/>
  <c r="AU55" i="45"/>
  <c r="AT55" i="45"/>
  <c r="AS55" i="45"/>
  <c r="AQ55" i="45"/>
  <c r="AP55" i="45"/>
  <c r="AO55" i="45"/>
  <c r="AM55" i="45"/>
  <c r="AM58" i="45" s="1"/>
  <c r="AL55" i="45"/>
  <c r="AK55" i="45"/>
  <c r="AI55" i="45"/>
  <c r="AH55" i="45"/>
  <c r="AG55" i="45"/>
  <c r="AE55" i="45"/>
  <c r="AE58" i="45" s="1"/>
  <c r="AD55" i="45"/>
  <c r="AC55" i="45"/>
  <c r="B55" i="45"/>
  <c r="B339" i="45" s="1"/>
  <c r="BA54" i="45"/>
  <c r="AU54" i="45"/>
  <c r="AU58" i="45" s="1"/>
  <c r="AR54" i="45"/>
  <c r="AO54" i="45"/>
  <c r="AI54" i="45"/>
  <c r="AF54" i="45"/>
  <c r="AC54" i="45"/>
  <c r="B54" i="45"/>
  <c r="B338" i="45" s="1"/>
  <c r="BA53" i="45"/>
  <c r="C438" i="45" s="1"/>
  <c r="C452" i="45" s="1"/>
  <c r="C470" i="45" s="1"/>
  <c r="B53" i="45"/>
  <c r="B337" i="45" s="1"/>
  <c r="BA52" i="45"/>
  <c r="C437" i="45" s="1"/>
  <c r="C451" i="45" s="1"/>
  <c r="C469" i="45" s="1"/>
  <c r="B52" i="45"/>
  <c r="B336" i="45" s="1"/>
  <c r="B51" i="45"/>
  <c r="B335" i="45" s="1"/>
  <c r="AC50" i="45"/>
  <c r="C435" i="45" s="1"/>
  <c r="C449" i="45" s="1"/>
  <c r="C467" i="45" s="1"/>
  <c r="B50" i="45"/>
  <c r="B334" i="45" s="1"/>
  <c r="AC45" i="45"/>
  <c r="AC46" i="45" s="1"/>
  <c r="V41" i="45"/>
  <c r="N41" i="45"/>
  <c r="F41" i="45"/>
  <c r="Z40" i="45"/>
  <c r="Y40" i="45"/>
  <c r="X40" i="45"/>
  <c r="W40" i="45"/>
  <c r="AX15" i="45" s="1"/>
  <c r="V40" i="45"/>
  <c r="U40" i="45"/>
  <c r="T40" i="45"/>
  <c r="S40" i="45"/>
  <c r="S41" i="45" s="1"/>
  <c r="R40" i="45"/>
  <c r="Q40" i="45"/>
  <c r="P40" i="45"/>
  <c r="O40" i="45"/>
  <c r="AP15" i="45" s="1"/>
  <c r="N40" i="45"/>
  <c r="M40" i="45"/>
  <c r="L40" i="45"/>
  <c r="K40" i="45"/>
  <c r="J40" i="45"/>
  <c r="I40" i="45"/>
  <c r="H40" i="45"/>
  <c r="G40" i="45"/>
  <c r="AH15" i="45" s="1"/>
  <c r="F40" i="45"/>
  <c r="E40" i="45"/>
  <c r="D40" i="45"/>
  <c r="C40" i="45"/>
  <c r="C41" i="45" s="1"/>
  <c r="B40" i="45"/>
  <c r="Z39" i="45"/>
  <c r="Z303" i="45" s="1"/>
  <c r="Y39" i="45"/>
  <c r="Y303" i="45" s="1"/>
  <c r="AZ280" i="45" s="1"/>
  <c r="X39" i="45"/>
  <c r="X303" i="45" s="1"/>
  <c r="W39" i="45"/>
  <c r="W303" i="45" s="1"/>
  <c r="V39" i="45"/>
  <c r="V303" i="45" s="1"/>
  <c r="U39" i="45"/>
  <c r="U303" i="45" s="1"/>
  <c r="T39" i="45"/>
  <c r="T303" i="45" s="1"/>
  <c r="S39" i="45"/>
  <c r="S303" i="45" s="1"/>
  <c r="R39" i="45"/>
  <c r="R303" i="45" s="1"/>
  <c r="Q39" i="45"/>
  <c r="Q303" i="45" s="1"/>
  <c r="P39" i="45"/>
  <c r="P303" i="45" s="1"/>
  <c r="O39" i="45"/>
  <c r="O303" i="45" s="1"/>
  <c r="N39" i="45"/>
  <c r="N303" i="45" s="1"/>
  <c r="M39" i="45"/>
  <c r="M303" i="45" s="1"/>
  <c r="L39" i="45"/>
  <c r="L303" i="45" s="1"/>
  <c r="K39" i="45"/>
  <c r="K303" i="45" s="1"/>
  <c r="J39" i="45"/>
  <c r="J303" i="45" s="1"/>
  <c r="I39" i="45"/>
  <c r="I303" i="45" s="1"/>
  <c r="AJ280" i="45" s="1"/>
  <c r="H39" i="45"/>
  <c r="H303" i="45" s="1"/>
  <c r="G39" i="45"/>
  <c r="G303" i="45" s="1"/>
  <c r="F39" i="45"/>
  <c r="F303" i="45" s="1"/>
  <c r="E39" i="45"/>
  <c r="E303" i="45" s="1"/>
  <c r="AF280" i="45" s="1"/>
  <c r="D39" i="45"/>
  <c r="D303" i="45" s="1"/>
  <c r="C39" i="45"/>
  <c r="C303" i="45" s="1"/>
  <c r="B39" i="45"/>
  <c r="B303" i="45" s="1"/>
  <c r="Z302" i="45"/>
  <c r="BA281" i="45" s="1"/>
  <c r="Y302" i="45"/>
  <c r="AZ281" i="45" s="1"/>
  <c r="X302" i="45"/>
  <c r="AY281" i="45" s="1"/>
  <c r="W302" i="45"/>
  <c r="AX281" i="45" s="1"/>
  <c r="V302" i="45"/>
  <c r="AW281" i="45" s="1"/>
  <c r="U302" i="45"/>
  <c r="AV281" i="45" s="1"/>
  <c r="T302" i="45"/>
  <c r="AU281" i="45" s="1"/>
  <c r="S302" i="45"/>
  <c r="AT281" i="45" s="1"/>
  <c r="R302" i="45"/>
  <c r="AS281" i="45" s="1"/>
  <c r="Q302" i="45"/>
  <c r="AR281" i="45" s="1"/>
  <c r="P302" i="45"/>
  <c r="AQ281" i="45" s="1"/>
  <c r="O302" i="45"/>
  <c r="AP281" i="45" s="1"/>
  <c r="N302" i="45"/>
  <c r="AO281" i="45" s="1"/>
  <c r="M302" i="45"/>
  <c r="AN281" i="45" s="1"/>
  <c r="L302" i="45"/>
  <c r="AM281" i="45" s="1"/>
  <c r="K302" i="45"/>
  <c r="AL281" i="45" s="1"/>
  <c r="J302" i="45"/>
  <c r="AK281" i="45" s="1"/>
  <c r="I302" i="45"/>
  <c r="AJ281" i="45" s="1"/>
  <c r="H302" i="45"/>
  <c r="AI281" i="45" s="1"/>
  <c r="G302" i="45"/>
  <c r="AH281" i="45" s="1"/>
  <c r="F302" i="45"/>
  <c r="AG281" i="45" s="1"/>
  <c r="E302" i="45"/>
  <c r="AF281" i="45" s="1"/>
  <c r="D302" i="45"/>
  <c r="AE281" i="45" s="1"/>
  <c r="C302" i="45"/>
  <c r="AD281" i="45" s="1"/>
  <c r="B302" i="45"/>
  <c r="AC281" i="45" s="1"/>
  <c r="Z37" i="45"/>
  <c r="Z301" i="45" s="1"/>
  <c r="BA278" i="45" s="1"/>
  <c r="Y37" i="45"/>
  <c r="Y301" i="45" s="1"/>
  <c r="X37" i="45"/>
  <c r="X301" i="45" s="1"/>
  <c r="W37" i="45"/>
  <c r="W301" i="45" s="1"/>
  <c r="AX278" i="45" s="1"/>
  <c r="V37" i="45"/>
  <c r="V301" i="45" s="1"/>
  <c r="U37" i="45"/>
  <c r="U301" i="45" s="1"/>
  <c r="T37" i="45"/>
  <c r="T301" i="45" s="1"/>
  <c r="S37" i="45"/>
  <c r="S301" i="45" s="1"/>
  <c r="R37" i="45"/>
  <c r="R301" i="45" s="1"/>
  <c r="Q37" i="45"/>
  <c r="Q301" i="45" s="1"/>
  <c r="P37" i="45"/>
  <c r="P301" i="45" s="1"/>
  <c r="O37" i="45"/>
  <c r="O301" i="45" s="1"/>
  <c r="N37" i="45"/>
  <c r="AO14" i="45" s="1"/>
  <c r="M37" i="45"/>
  <c r="M301" i="45" s="1"/>
  <c r="L37" i="45"/>
  <c r="L301" i="45" s="1"/>
  <c r="K37" i="45"/>
  <c r="K301" i="45" s="1"/>
  <c r="AL278" i="45" s="1"/>
  <c r="J37" i="45"/>
  <c r="J301" i="45" s="1"/>
  <c r="I37" i="45"/>
  <c r="I301" i="45" s="1"/>
  <c r="H37" i="45"/>
  <c r="H301" i="45" s="1"/>
  <c r="G37" i="45"/>
  <c r="G301" i="45" s="1"/>
  <c r="F37" i="45"/>
  <c r="F301" i="45" s="1"/>
  <c r="E37" i="45"/>
  <c r="E301" i="45" s="1"/>
  <c r="D37" i="45"/>
  <c r="D301" i="45" s="1"/>
  <c r="C37" i="45"/>
  <c r="C301" i="45" s="1"/>
  <c r="B37" i="45"/>
  <c r="B301" i="45" s="1"/>
  <c r="AC278" i="45" s="1"/>
  <c r="Z36" i="45"/>
  <c r="Z300" i="45" s="1"/>
  <c r="BA277" i="45" s="1"/>
  <c r="H438" i="45" s="1"/>
  <c r="H452" i="45" s="1"/>
  <c r="H470" i="45" s="1"/>
  <c r="Z35" i="45"/>
  <c r="Z299" i="45" s="1"/>
  <c r="Z34" i="45"/>
  <c r="Z298" i="45" s="1"/>
  <c r="Z33" i="45"/>
  <c r="Z297" i="45" s="1"/>
  <c r="Z32" i="45"/>
  <c r="Z296" i="45" s="1"/>
  <c r="Z31" i="45"/>
  <c r="Z295" i="45" s="1"/>
  <c r="Z30" i="45"/>
  <c r="Z294" i="45" s="1"/>
  <c r="Z29" i="45"/>
  <c r="Z293" i="45" s="1"/>
  <c r="Z28" i="45"/>
  <c r="Z292" i="45" s="1"/>
  <c r="Z27" i="45"/>
  <c r="Z291" i="45" s="1"/>
  <c r="Z26" i="45"/>
  <c r="Z290" i="45" s="1"/>
  <c r="Z25" i="45"/>
  <c r="Z289" i="45" s="1"/>
  <c r="Z24" i="45"/>
  <c r="Z288" i="45" s="1"/>
  <c r="B23" i="45"/>
  <c r="B287" i="45" s="1"/>
  <c r="B22" i="45"/>
  <c r="B286" i="45" s="1"/>
  <c r="AC275" i="45" s="1"/>
  <c r="H436" i="45" s="1"/>
  <c r="H450" i="45" s="1"/>
  <c r="H468" i="45" s="1"/>
  <c r="B21" i="45"/>
  <c r="B285" i="45" s="1"/>
  <c r="B20" i="45"/>
  <c r="B284" i="45" s="1"/>
  <c r="B19" i="45"/>
  <c r="B283" i="45" s="1"/>
  <c r="B18" i="45"/>
  <c r="B282" i="45" s="1"/>
  <c r="AX17" i="45"/>
  <c r="AU17" i="45"/>
  <c r="AT17" i="45"/>
  <c r="AP17" i="45"/>
  <c r="AM17" i="45"/>
  <c r="AL17" i="45"/>
  <c r="AH17" i="45"/>
  <c r="AE17" i="45"/>
  <c r="AD17" i="45"/>
  <c r="B17" i="45"/>
  <c r="B281" i="45" s="1"/>
  <c r="AZ16" i="45"/>
  <c r="AY16" i="45"/>
  <c r="AX16" i="45"/>
  <c r="AW16" i="45"/>
  <c r="AV16" i="45"/>
  <c r="AU16" i="45"/>
  <c r="AT16" i="45"/>
  <c r="AR16" i="45"/>
  <c r="AQ16" i="45"/>
  <c r="AP16" i="45"/>
  <c r="AO16" i="45"/>
  <c r="AN16" i="45"/>
  <c r="AM16" i="45"/>
  <c r="AL16" i="45"/>
  <c r="AJ16" i="45"/>
  <c r="AI16" i="45"/>
  <c r="AH16" i="45"/>
  <c r="AG16" i="45"/>
  <c r="AF16" i="45"/>
  <c r="AE16" i="45"/>
  <c r="AD16" i="45"/>
  <c r="B16" i="45"/>
  <c r="B280" i="45" s="1"/>
  <c r="BA15" i="45"/>
  <c r="AZ15" i="45"/>
  <c r="AW15" i="45"/>
  <c r="AV15" i="45"/>
  <c r="AT15" i="45"/>
  <c r="AS15" i="45"/>
  <c r="AR15" i="45"/>
  <c r="AO15" i="45"/>
  <c r="AN15" i="45"/>
  <c r="AL15" i="45"/>
  <c r="AK15" i="45"/>
  <c r="AJ15" i="45"/>
  <c r="AG15" i="45"/>
  <c r="AF15" i="45"/>
  <c r="AD15" i="45"/>
  <c r="AD18" i="45" s="1"/>
  <c r="AC15" i="45"/>
  <c r="B15" i="45"/>
  <c r="B279" i="45" s="1"/>
  <c r="AX14" i="45"/>
  <c r="AX18" i="45" s="1"/>
  <c r="AU14" i="45"/>
  <c r="AR14" i="45"/>
  <c r="AL14" i="45"/>
  <c r="AI14" i="45"/>
  <c r="AF14" i="45"/>
  <c r="B14" i="45"/>
  <c r="B278" i="45" s="1"/>
  <c r="BA13" i="45"/>
  <c r="B438" i="45" s="1"/>
  <c r="B452" i="45" s="1"/>
  <c r="B470" i="45" s="1"/>
  <c r="B13" i="45"/>
  <c r="B277" i="45" s="1"/>
  <c r="B12" i="45"/>
  <c r="B276" i="45" s="1"/>
  <c r="AC11" i="45"/>
  <c r="B436" i="45" s="1"/>
  <c r="B450" i="45" s="1"/>
  <c r="B468" i="45" s="1"/>
  <c r="B11" i="45"/>
  <c r="B275" i="45" s="1"/>
  <c r="B10" i="45"/>
  <c r="B274" i="45" s="1"/>
  <c r="AC6" i="45"/>
  <c r="AC5" i="45"/>
  <c r="C242" i="44"/>
  <c r="AD220" i="44" s="1"/>
  <c r="D242" i="44"/>
  <c r="E242" i="44"/>
  <c r="AF220" i="44" s="1"/>
  <c r="F242" i="44"/>
  <c r="G242" i="44"/>
  <c r="H242" i="44"/>
  <c r="I242" i="44"/>
  <c r="J242" i="44"/>
  <c r="K242" i="44"/>
  <c r="AL220" i="44" s="1"/>
  <c r="L242" i="44"/>
  <c r="M242" i="44"/>
  <c r="AN220" i="44" s="1"/>
  <c r="N242" i="44"/>
  <c r="O242" i="44"/>
  <c r="P242" i="44"/>
  <c r="Q242" i="44"/>
  <c r="R242" i="44"/>
  <c r="S242" i="44"/>
  <c r="AT220" i="44" s="1"/>
  <c r="T242" i="44"/>
  <c r="U242" i="44"/>
  <c r="AV220" i="44" s="1"/>
  <c r="V242" i="44"/>
  <c r="W242" i="44"/>
  <c r="X242" i="44"/>
  <c r="Y242" i="44"/>
  <c r="Z242" i="44"/>
  <c r="B242" i="44"/>
  <c r="AC220" i="44" s="1"/>
  <c r="C201" i="44"/>
  <c r="C204" i="44" s="1"/>
  <c r="D201" i="44"/>
  <c r="E201" i="44"/>
  <c r="F201" i="44"/>
  <c r="G201" i="44"/>
  <c r="H201" i="44"/>
  <c r="I201" i="44"/>
  <c r="J201" i="44"/>
  <c r="AK179" i="44" s="1"/>
  <c r="K201" i="44"/>
  <c r="K204" i="44" s="1"/>
  <c r="L201" i="44"/>
  <c r="M201" i="44"/>
  <c r="N201" i="44"/>
  <c r="O201" i="44"/>
  <c r="P201" i="44"/>
  <c r="Q201" i="44"/>
  <c r="R201" i="44"/>
  <c r="AS179" i="44" s="1"/>
  <c r="S201" i="44"/>
  <c r="S204" i="44" s="1"/>
  <c r="T201" i="44"/>
  <c r="U201" i="44"/>
  <c r="V201" i="44"/>
  <c r="W201" i="44"/>
  <c r="X201" i="44"/>
  <c r="Y201" i="44"/>
  <c r="Z201" i="44"/>
  <c r="BA179" i="44" s="1"/>
  <c r="B201" i="44"/>
  <c r="C160" i="44"/>
  <c r="D160" i="44"/>
  <c r="E160" i="44"/>
  <c r="F160" i="44"/>
  <c r="G160" i="44"/>
  <c r="H160" i="44"/>
  <c r="I160" i="44"/>
  <c r="J160" i="44"/>
  <c r="J163" i="44" s="1"/>
  <c r="K160" i="44"/>
  <c r="L160" i="44"/>
  <c r="M160" i="44"/>
  <c r="N160" i="44"/>
  <c r="O160" i="44"/>
  <c r="P160" i="44"/>
  <c r="Q160" i="44"/>
  <c r="R160" i="44"/>
  <c r="R163" i="44" s="1"/>
  <c r="S160" i="44"/>
  <c r="T160" i="44"/>
  <c r="U160" i="44"/>
  <c r="V160" i="44"/>
  <c r="W160" i="44"/>
  <c r="X160" i="44"/>
  <c r="Y160" i="44"/>
  <c r="Z160" i="44"/>
  <c r="BA138" i="44" s="1"/>
  <c r="B160" i="44"/>
  <c r="AC138" i="44" s="1"/>
  <c r="C118" i="44"/>
  <c r="D118" i="44"/>
  <c r="E118" i="44"/>
  <c r="F118" i="44"/>
  <c r="G118" i="44"/>
  <c r="H118" i="44"/>
  <c r="AI96" i="44" s="1"/>
  <c r="I118" i="44"/>
  <c r="J118" i="44"/>
  <c r="K118" i="44"/>
  <c r="L118" i="44"/>
  <c r="M118" i="44"/>
  <c r="N118" i="44"/>
  <c r="O118" i="44"/>
  <c r="P118" i="44"/>
  <c r="AQ96" i="44" s="1"/>
  <c r="Q118" i="44"/>
  <c r="R118" i="44"/>
  <c r="S118" i="44"/>
  <c r="T118" i="44"/>
  <c r="U118" i="44"/>
  <c r="V118" i="44"/>
  <c r="W118" i="44"/>
  <c r="X118" i="44"/>
  <c r="AY96" i="44" s="1"/>
  <c r="Y118" i="44"/>
  <c r="Z118" i="44"/>
  <c r="B118" i="44"/>
  <c r="B423" i="44" s="1"/>
  <c r="AC402" i="44" s="1"/>
  <c r="C78" i="44"/>
  <c r="D78" i="44"/>
  <c r="D362" i="44" s="1"/>
  <c r="AE341" i="44" s="1"/>
  <c r="E78" i="44"/>
  <c r="F78" i="44"/>
  <c r="G78" i="44"/>
  <c r="H78" i="44"/>
  <c r="I78" i="44"/>
  <c r="I362" i="44" s="1"/>
  <c r="AJ341" i="44" s="1"/>
  <c r="J78" i="44"/>
  <c r="J362" i="44" s="1"/>
  <c r="AK341" i="44" s="1"/>
  <c r="K78" i="44"/>
  <c r="L78" i="44"/>
  <c r="L362" i="44" s="1"/>
  <c r="AM341" i="44" s="1"/>
  <c r="M78" i="44"/>
  <c r="N78" i="44"/>
  <c r="N81" i="44" s="1"/>
  <c r="O78" i="44"/>
  <c r="P78" i="44"/>
  <c r="Q78" i="44"/>
  <c r="Q362" i="44" s="1"/>
  <c r="AR341" i="44" s="1"/>
  <c r="R78" i="44"/>
  <c r="R362" i="44" s="1"/>
  <c r="AS341" i="44" s="1"/>
  <c r="S78" i="44"/>
  <c r="T78" i="44"/>
  <c r="T362" i="44" s="1"/>
  <c r="AU341" i="44" s="1"/>
  <c r="U78" i="44"/>
  <c r="V78" i="44"/>
  <c r="V81" i="44" s="1"/>
  <c r="W78" i="44"/>
  <c r="X78" i="44"/>
  <c r="Y78" i="44"/>
  <c r="Y362" i="44" s="1"/>
  <c r="AZ341" i="44" s="1"/>
  <c r="Z78" i="44"/>
  <c r="BA56" i="44" s="1"/>
  <c r="B78" i="44"/>
  <c r="C38" i="44"/>
  <c r="D38" i="44"/>
  <c r="E38" i="44"/>
  <c r="F38" i="44"/>
  <c r="G38" i="44"/>
  <c r="H38" i="44"/>
  <c r="AI16" i="44" s="1"/>
  <c r="I38" i="44"/>
  <c r="J38" i="44"/>
  <c r="AK16" i="44" s="1"/>
  <c r="K38" i="44"/>
  <c r="L38" i="44"/>
  <c r="M38" i="44"/>
  <c r="N38" i="44"/>
  <c r="O38" i="44"/>
  <c r="P38" i="44"/>
  <c r="AQ16" i="44" s="1"/>
  <c r="Q38" i="44"/>
  <c r="R38" i="44"/>
  <c r="AS16" i="44" s="1"/>
  <c r="S38" i="44"/>
  <c r="T38" i="44"/>
  <c r="U38" i="44"/>
  <c r="V38" i="44"/>
  <c r="W38" i="44"/>
  <c r="X38" i="44"/>
  <c r="AY16" i="44" s="1"/>
  <c r="Y38" i="44"/>
  <c r="Z38" i="44"/>
  <c r="BA16" i="44" s="1"/>
  <c r="B38" i="44"/>
  <c r="B362" i="44"/>
  <c r="G472" i="44"/>
  <c r="F472" i="44"/>
  <c r="E472" i="44"/>
  <c r="D472" i="44"/>
  <c r="C472" i="44"/>
  <c r="G454" i="44"/>
  <c r="F454" i="44"/>
  <c r="E454" i="44"/>
  <c r="D454" i="44"/>
  <c r="C454" i="44"/>
  <c r="B454" i="44"/>
  <c r="B472" i="44" s="1"/>
  <c r="AC384" i="44"/>
  <c r="M425" i="44" s="1"/>
  <c r="AC383" i="44"/>
  <c r="B379" i="44"/>
  <c r="B378" i="44"/>
  <c r="B380" i="44" s="1"/>
  <c r="W426" i="44" s="1"/>
  <c r="AX400" i="44" s="1"/>
  <c r="B375" i="44"/>
  <c r="AC389" i="44" s="1"/>
  <c r="AC324" i="44"/>
  <c r="AC323" i="44"/>
  <c r="B319" i="44"/>
  <c r="B318" i="44"/>
  <c r="B320" i="44" s="1"/>
  <c r="B315" i="44"/>
  <c r="AC329" i="44" s="1"/>
  <c r="Z304" i="44"/>
  <c r="S304" i="44"/>
  <c r="R304" i="44"/>
  <c r="C304" i="44"/>
  <c r="BA282" i="44"/>
  <c r="AZ282" i="44"/>
  <c r="AY282" i="44"/>
  <c r="AV282" i="44"/>
  <c r="AU282" i="44"/>
  <c r="AT282" i="44"/>
  <c r="AS282" i="44"/>
  <c r="AR282" i="44"/>
  <c r="AQ282" i="44"/>
  <c r="AN282" i="44"/>
  <c r="AM282" i="44"/>
  <c r="AL282" i="44"/>
  <c r="AK282" i="44"/>
  <c r="AJ282" i="44"/>
  <c r="AI282" i="44"/>
  <c r="AF282" i="44"/>
  <c r="AE282" i="44"/>
  <c r="AD282" i="44"/>
  <c r="AC282" i="44"/>
  <c r="AC269" i="44"/>
  <c r="AC264" i="44"/>
  <c r="J304" i="44" s="1"/>
  <c r="AC263" i="44"/>
  <c r="B260" i="44"/>
  <c r="I305" i="44" s="1"/>
  <c r="AJ279" i="44" s="1"/>
  <c r="B259" i="44"/>
  <c r="B258" i="44"/>
  <c r="B255" i="44"/>
  <c r="V245" i="44"/>
  <c r="N245" i="44"/>
  <c r="F245" i="44"/>
  <c r="Z244" i="44"/>
  <c r="BA219" i="44" s="1"/>
  <c r="Y244" i="44"/>
  <c r="X244" i="44"/>
  <c r="W244" i="44"/>
  <c r="AX219" i="44" s="1"/>
  <c r="V244" i="44"/>
  <c r="U244" i="44"/>
  <c r="T244" i="44"/>
  <c r="S244" i="44"/>
  <c r="R244" i="44"/>
  <c r="AS219" i="44" s="1"/>
  <c r="Q244" i="44"/>
  <c r="P244" i="44"/>
  <c r="O244" i="44"/>
  <c r="AP219" i="44" s="1"/>
  <c r="N244" i="44"/>
  <c r="M244" i="44"/>
  <c r="L244" i="44"/>
  <c r="K244" i="44"/>
  <c r="J244" i="44"/>
  <c r="AK219" i="44" s="1"/>
  <c r="I244" i="44"/>
  <c r="H244" i="44"/>
  <c r="G244" i="44"/>
  <c r="AH219" i="44" s="1"/>
  <c r="F244" i="44"/>
  <c r="E244" i="44"/>
  <c r="D244" i="44"/>
  <c r="C244" i="44"/>
  <c r="B244" i="44"/>
  <c r="AC219" i="44" s="1"/>
  <c r="Z243" i="44"/>
  <c r="Y243" i="44"/>
  <c r="X243" i="44"/>
  <c r="AY219" i="44" s="1"/>
  <c r="W243" i="44"/>
  <c r="V243" i="44"/>
  <c r="U243" i="44"/>
  <c r="T243" i="44"/>
  <c r="S243" i="44"/>
  <c r="R243" i="44"/>
  <c r="Q243" i="44"/>
  <c r="P243" i="44"/>
  <c r="AQ219" i="44" s="1"/>
  <c r="O243" i="44"/>
  <c r="N243" i="44"/>
  <c r="M243" i="44"/>
  <c r="L243" i="44"/>
  <c r="K243" i="44"/>
  <c r="J243" i="44"/>
  <c r="I243" i="44"/>
  <c r="H243" i="44"/>
  <c r="AI219" i="44" s="1"/>
  <c r="G243" i="44"/>
  <c r="F243" i="44"/>
  <c r="E243" i="44"/>
  <c r="D243" i="44"/>
  <c r="C243" i="44"/>
  <c r="B243" i="44"/>
  <c r="Y245" i="44"/>
  <c r="Q245" i="44"/>
  <c r="I245" i="44"/>
  <c r="Z241" i="44"/>
  <c r="BA218" i="44" s="1"/>
  <c r="Y241" i="44"/>
  <c r="X241" i="44"/>
  <c r="X245" i="44" s="1"/>
  <c r="W241" i="44"/>
  <c r="W245" i="44" s="1"/>
  <c r="V241" i="44"/>
  <c r="U241" i="44"/>
  <c r="U245" i="44" s="1"/>
  <c r="T241" i="44"/>
  <c r="T245" i="44" s="1"/>
  <c r="S241" i="44"/>
  <c r="R241" i="44"/>
  <c r="Q241" i="44"/>
  <c r="P241" i="44"/>
  <c r="P245" i="44" s="1"/>
  <c r="O241" i="44"/>
  <c r="O245" i="44" s="1"/>
  <c r="N241" i="44"/>
  <c r="M241" i="44"/>
  <c r="M245" i="44" s="1"/>
  <c r="L241" i="44"/>
  <c r="L245" i="44" s="1"/>
  <c r="K241" i="44"/>
  <c r="J241" i="44"/>
  <c r="I241" i="44"/>
  <c r="H241" i="44"/>
  <c r="H245" i="44" s="1"/>
  <c r="G241" i="44"/>
  <c r="G245" i="44" s="1"/>
  <c r="F241" i="44"/>
  <c r="E241" i="44"/>
  <c r="E245" i="44" s="1"/>
  <c r="D241" i="44"/>
  <c r="D245" i="44" s="1"/>
  <c r="C241" i="44"/>
  <c r="B241" i="44"/>
  <c r="AC218" i="44" s="1"/>
  <c r="Z240" i="44"/>
  <c r="Z239" i="44"/>
  <c r="Z238" i="44"/>
  <c r="Z237" i="44"/>
  <c r="Z236" i="44"/>
  <c r="Z235" i="44"/>
  <c r="Z234" i="44"/>
  <c r="Z233" i="44"/>
  <c r="Z232" i="44"/>
  <c r="Z231" i="44"/>
  <c r="Z230" i="44"/>
  <c r="Z229" i="44"/>
  <c r="Z228" i="44"/>
  <c r="BA216" i="44" s="1"/>
  <c r="B227" i="44"/>
  <c r="B226" i="44"/>
  <c r="B225" i="44"/>
  <c r="B224" i="44"/>
  <c r="B223" i="44"/>
  <c r="B222" i="44"/>
  <c r="B221" i="44"/>
  <c r="BA220" i="44"/>
  <c r="AZ220" i="44"/>
  <c r="AY220" i="44"/>
  <c r="AX220" i="44"/>
  <c r="AW220" i="44"/>
  <c r="AU220" i="44"/>
  <c r="AS220" i="44"/>
  <c r="AR220" i="44"/>
  <c r="AQ220" i="44"/>
  <c r="AP220" i="44"/>
  <c r="AO220" i="44"/>
  <c r="AM220" i="44"/>
  <c r="AK220" i="44"/>
  <c r="AJ220" i="44"/>
  <c r="AI220" i="44"/>
  <c r="AH220" i="44"/>
  <c r="AG220" i="44"/>
  <c r="AE220" i="44"/>
  <c r="B220" i="44"/>
  <c r="AZ219" i="44"/>
  <c r="AW219" i="44"/>
  <c r="AV219" i="44"/>
  <c r="AU219" i="44"/>
  <c r="AT219" i="44"/>
  <c r="AR219" i="44"/>
  <c r="AO219" i="44"/>
  <c r="AN219" i="44"/>
  <c r="AM219" i="44"/>
  <c r="AL219" i="44"/>
  <c r="AJ219" i="44"/>
  <c r="AG219" i="44"/>
  <c r="AF219" i="44"/>
  <c r="AE219" i="44"/>
  <c r="AD219" i="44"/>
  <c r="B219" i="44"/>
  <c r="AX218" i="44"/>
  <c r="AU218" i="44"/>
  <c r="AR218" i="44"/>
  <c r="AO218" i="44"/>
  <c r="AL218" i="44"/>
  <c r="AI218" i="44"/>
  <c r="B218" i="44"/>
  <c r="BA217" i="44"/>
  <c r="G438" i="44" s="1"/>
  <c r="G452" i="44" s="1"/>
  <c r="G470" i="44" s="1"/>
  <c r="B217" i="44"/>
  <c r="B216" i="44"/>
  <c r="AC214" i="44" s="1"/>
  <c r="AC215" i="44"/>
  <c r="G436" i="44" s="1"/>
  <c r="G450" i="44" s="1"/>
  <c r="G468" i="44" s="1"/>
  <c r="B215" i="44"/>
  <c r="B214" i="44"/>
  <c r="AC209" i="44"/>
  <c r="X204" i="44"/>
  <c r="P204" i="44"/>
  <c r="H204" i="44"/>
  <c r="Z203" i="44"/>
  <c r="Y203" i="44"/>
  <c r="AZ178" i="44" s="1"/>
  <c r="X203" i="44"/>
  <c r="W203" i="44"/>
  <c r="V203" i="44"/>
  <c r="U203" i="44"/>
  <c r="T203" i="44"/>
  <c r="AU178" i="44" s="1"/>
  <c r="S203" i="44"/>
  <c r="R203" i="44"/>
  <c r="Q203" i="44"/>
  <c r="AR178" i="44" s="1"/>
  <c r="P203" i="44"/>
  <c r="O203" i="44"/>
  <c r="N203" i="44"/>
  <c r="M203" i="44"/>
  <c r="L203" i="44"/>
  <c r="AM178" i="44" s="1"/>
  <c r="K203" i="44"/>
  <c r="J203" i="44"/>
  <c r="I203" i="44"/>
  <c r="AJ178" i="44" s="1"/>
  <c r="H203" i="44"/>
  <c r="G203" i="44"/>
  <c r="F203" i="44"/>
  <c r="E203" i="44"/>
  <c r="D203" i="44"/>
  <c r="AE178" i="44" s="1"/>
  <c r="C203" i="44"/>
  <c r="B203" i="44"/>
  <c r="Z202" i="44"/>
  <c r="Y202" i="44"/>
  <c r="X202" i="44"/>
  <c r="W202" i="44"/>
  <c r="V202" i="44"/>
  <c r="U202" i="44"/>
  <c r="T202" i="44"/>
  <c r="S202" i="44"/>
  <c r="R202" i="44"/>
  <c r="AS178" i="44" s="1"/>
  <c r="Q202" i="44"/>
  <c r="P202" i="44"/>
  <c r="O202" i="44"/>
  <c r="N202" i="44"/>
  <c r="M202" i="44"/>
  <c r="L202" i="44"/>
  <c r="K202" i="44"/>
  <c r="J202" i="44"/>
  <c r="AK178" i="44" s="1"/>
  <c r="I202" i="44"/>
  <c r="H202" i="44"/>
  <c r="G202" i="44"/>
  <c r="F202" i="44"/>
  <c r="E202" i="44"/>
  <c r="D202" i="44"/>
  <c r="C202" i="44"/>
  <c r="B202" i="44"/>
  <c r="AC178" i="44" s="1"/>
  <c r="Z200" i="44"/>
  <c r="Y200" i="44"/>
  <c r="Y204" i="44" s="1"/>
  <c r="X200" i="44"/>
  <c r="W200" i="44"/>
  <c r="AX177" i="44" s="1"/>
  <c r="V200" i="44"/>
  <c r="V204" i="44" s="1"/>
  <c r="U200" i="44"/>
  <c r="U204" i="44" s="1"/>
  <c r="T200" i="44"/>
  <c r="AU177" i="44" s="1"/>
  <c r="S200" i="44"/>
  <c r="R200" i="44"/>
  <c r="Q200" i="44"/>
  <c r="Q204" i="44" s="1"/>
  <c r="P200" i="44"/>
  <c r="O200" i="44"/>
  <c r="O204" i="44" s="1"/>
  <c r="N200" i="44"/>
  <c r="N204" i="44" s="1"/>
  <c r="M200" i="44"/>
  <c r="M204" i="44" s="1"/>
  <c r="L200" i="44"/>
  <c r="L204" i="44" s="1"/>
  <c r="K200" i="44"/>
  <c r="J200" i="44"/>
  <c r="I200" i="44"/>
  <c r="I204" i="44" s="1"/>
  <c r="H200" i="44"/>
  <c r="G200" i="44"/>
  <c r="G204" i="44" s="1"/>
  <c r="F200" i="44"/>
  <c r="F204" i="44" s="1"/>
  <c r="E200" i="44"/>
  <c r="E204" i="44" s="1"/>
  <c r="D200" i="44"/>
  <c r="D204" i="44" s="1"/>
  <c r="C200" i="44"/>
  <c r="B200" i="44"/>
  <c r="Z199" i="44"/>
  <c r="Z198" i="44"/>
  <c r="Z197" i="44"/>
  <c r="Z196" i="44"/>
  <c r="Z195" i="44"/>
  <c r="Z194" i="44"/>
  <c r="Z193" i="44"/>
  <c r="Z192" i="44"/>
  <c r="Z191" i="44"/>
  <c r="Z190" i="44"/>
  <c r="Z189" i="44"/>
  <c r="BA175" i="44" s="1"/>
  <c r="Z188" i="44"/>
  <c r="Z187" i="44"/>
  <c r="B186" i="44"/>
  <c r="B185" i="44"/>
  <c r="B184" i="44"/>
  <c r="B183" i="44"/>
  <c r="B182" i="44"/>
  <c r="B181" i="44"/>
  <c r="B180" i="44"/>
  <c r="AZ179" i="44"/>
  <c r="AY179" i="44"/>
  <c r="AX179" i="44"/>
  <c r="AW179" i="44"/>
  <c r="AV179" i="44"/>
  <c r="AU179" i="44"/>
  <c r="AT179" i="44"/>
  <c r="AR179" i="44"/>
  <c r="AQ179" i="44"/>
  <c r="AP179" i="44"/>
  <c r="AO179" i="44"/>
  <c r="AN179" i="44"/>
  <c r="AM179" i="44"/>
  <c r="AL179" i="44"/>
  <c r="AJ179" i="44"/>
  <c r="AI179" i="44"/>
  <c r="AH179" i="44"/>
  <c r="AG179" i="44"/>
  <c r="AF179" i="44"/>
  <c r="AE179" i="44"/>
  <c r="AD179" i="44"/>
  <c r="AC179" i="44"/>
  <c r="B179" i="44"/>
  <c r="BA178" i="44"/>
  <c r="AY178" i="44"/>
  <c r="AX178" i="44"/>
  <c r="AW178" i="44"/>
  <c r="AV178" i="44"/>
  <c r="AT178" i="44"/>
  <c r="AQ178" i="44"/>
  <c r="AP178" i="44"/>
  <c r="AO178" i="44"/>
  <c r="AN178" i="44"/>
  <c r="AL178" i="44"/>
  <c r="AI178" i="44"/>
  <c r="AH178" i="44"/>
  <c r="AG178" i="44"/>
  <c r="AF178" i="44"/>
  <c r="AD178" i="44"/>
  <c r="B178" i="44"/>
  <c r="BA177" i="44"/>
  <c r="AR177" i="44"/>
  <c r="AO177" i="44"/>
  <c r="AL177" i="44"/>
  <c r="AI177" i="44"/>
  <c r="AF177" i="44"/>
  <c r="AC177" i="44"/>
  <c r="B177" i="44"/>
  <c r="BA176" i="44"/>
  <c r="F438" i="44" s="1"/>
  <c r="F452" i="44" s="1"/>
  <c r="F470" i="44" s="1"/>
  <c r="B176" i="44"/>
  <c r="B175" i="44"/>
  <c r="AC174" i="44"/>
  <c r="F436" i="44" s="1"/>
  <c r="F450" i="44" s="1"/>
  <c r="F468" i="44" s="1"/>
  <c r="B174" i="44"/>
  <c r="AC173" i="44"/>
  <c r="F435" i="44" s="1"/>
  <c r="F449" i="44" s="1"/>
  <c r="F467" i="44" s="1"/>
  <c r="B173" i="44"/>
  <c r="B204" i="44" s="1"/>
  <c r="AC168" i="44"/>
  <c r="Z162" i="44"/>
  <c r="Y162" i="44"/>
  <c r="X162" i="44"/>
  <c r="W162" i="44"/>
  <c r="V162" i="44"/>
  <c r="AW137" i="44" s="1"/>
  <c r="U162" i="44"/>
  <c r="T162" i="44"/>
  <c r="S162" i="44"/>
  <c r="AT137" i="44" s="1"/>
  <c r="R162" i="44"/>
  <c r="Q162" i="44"/>
  <c r="P162" i="44"/>
  <c r="O162" i="44"/>
  <c r="N162" i="44"/>
  <c r="AO137" i="44" s="1"/>
  <c r="M162" i="44"/>
  <c r="L162" i="44"/>
  <c r="K162" i="44"/>
  <c r="AL137" i="44" s="1"/>
  <c r="J162" i="44"/>
  <c r="I162" i="44"/>
  <c r="H162" i="44"/>
  <c r="G162" i="44"/>
  <c r="F162" i="44"/>
  <c r="AG137" i="44" s="1"/>
  <c r="E162" i="44"/>
  <c r="D162" i="44"/>
  <c r="C162" i="44"/>
  <c r="AD137" i="44" s="1"/>
  <c r="B162" i="44"/>
  <c r="Z161" i="44"/>
  <c r="Y161" i="44"/>
  <c r="X161" i="44"/>
  <c r="W161" i="44"/>
  <c r="V161" i="44"/>
  <c r="U161" i="44"/>
  <c r="T161" i="44"/>
  <c r="AU137" i="44" s="1"/>
  <c r="S161" i="44"/>
  <c r="R161" i="44"/>
  <c r="Q161" i="44"/>
  <c r="P161" i="44"/>
  <c r="O161" i="44"/>
  <c r="N161" i="44"/>
  <c r="M161" i="44"/>
  <c r="L161" i="44"/>
  <c r="AM137" i="44" s="1"/>
  <c r="K161" i="44"/>
  <c r="J161" i="44"/>
  <c r="I161" i="44"/>
  <c r="H161" i="44"/>
  <c r="G161" i="44"/>
  <c r="F161" i="44"/>
  <c r="E161" i="44"/>
  <c r="D161" i="44"/>
  <c r="AE137" i="44" s="1"/>
  <c r="C161" i="44"/>
  <c r="B161" i="44"/>
  <c r="U163" i="44"/>
  <c r="M163" i="44"/>
  <c r="E163" i="44"/>
  <c r="Z159" i="44"/>
  <c r="Y159" i="44"/>
  <c r="Y163" i="44" s="1"/>
  <c r="X159" i="44"/>
  <c r="X163" i="44" s="1"/>
  <c r="W159" i="44"/>
  <c r="W163" i="44" s="1"/>
  <c r="V159" i="44"/>
  <c r="V163" i="44" s="1"/>
  <c r="U159" i="44"/>
  <c r="T159" i="44"/>
  <c r="T163" i="44" s="1"/>
  <c r="S159" i="44"/>
  <c r="S163" i="44" s="1"/>
  <c r="R159" i="44"/>
  <c r="Q159" i="44"/>
  <c r="Q163" i="44" s="1"/>
  <c r="P159" i="44"/>
  <c r="P163" i="44" s="1"/>
  <c r="O159" i="44"/>
  <c r="O163" i="44" s="1"/>
  <c r="N159" i="44"/>
  <c r="AO136" i="44" s="1"/>
  <c r="M159" i="44"/>
  <c r="L159" i="44"/>
  <c r="L163" i="44" s="1"/>
  <c r="K159" i="44"/>
  <c r="K163" i="44" s="1"/>
  <c r="J159" i="44"/>
  <c r="I159" i="44"/>
  <c r="I163" i="44" s="1"/>
  <c r="H159" i="44"/>
  <c r="H163" i="44" s="1"/>
  <c r="G159" i="44"/>
  <c r="G163" i="44" s="1"/>
  <c r="F159" i="44"/>
  <c r="F163" i="44" s="1"/>
  <c r="E159" i="44"/>
  <c r="D159" i="44"/>
  <c r="D163" i="44" s="1"/>
  <c r="C159" i="44"/>
  <c r="C163" i="44" s="1"/>
  <c r="B159" i="44"/>
  <c r="Z158" i="44"/>
  <c r="BA135" i="44" s="1"/>
  <c r="E438" i="44" s="1"/>
  <c r="E452" i="44" s="1"/>
  <c r="E470" i="44" s="1"/>
  <c r="Z157" i="44"/>
  <c r="Z156" i="44"/>
  <c r="Z155" i="44"/>
  <c r="Z154" i="44"/>
  <c r="Z153" i="44"/>
  <c r="Z152" i="44"/>
  <c r="Z151" i="44"/>
  <c r="Z150" i="44"/>
  <c r="Z149" i="44"/>
  <c r="Z148" i="44"/>
  <c r="Z147" i="44"/>
  <c r="Z146" i="44"/>
  <c r="B145" i="44"/>
  <c r="B144" i="44"/>
  <c r="B143" i="44"/>
  <c r="B142" i="44"/>
  <c r="B141" i="44"/>
  <c r="B140" i="44"/>
  <c r="B139" i="44"/>
  <c r="AZ138" i="44"/>
  <c r="AY138" i="44"/>
  <c r="AX138" i="44"/>
  <c r="AW138" i="44"/>
  <c r="AV138" i="44"/>
  <c r="AU138" i="44"/>
  <c r="AT138" i="44"/>
  <c r="AR138" i="44"/>
  <c r="AQ138" i="44"/>
  <c r="AP138" i="44"/>
  <c r="AO138" i="44"/>
  <c r="AN138" i="44"/>
  <c r="AM138" i="44"/>
  <c r="AL138" i="44"/>
  <c r="AJ138" i="44"/>
  <c r="AI138" i="44"/>
  <c r="AH138" i="44"/>
  <c r="AG138" i="44"/>
  <c r="AF138" i="44"/>
  <c r="AE138" i="44"/>
  <c r="AD138" i="44"/>
  <c r="B138" i="44"/>
  <c r="BA137" i="44"/>
  <c r="AZ137" i="44"/>
  <c r="AY137" i="44"/>
  <c r="AX137" i="44"/>
  <c r="AV137" i="44"/>
  <c r="AS137" i="44"/>
  <c r="AR137" i="44"/>
  <c r="AQ137" i="44"/>
  <c r="AP137" i="44"/>
  <c r="AN137" i="44"/>
  <c r="AK137" i="44"/>
  <c r="AJ137" i="44"/>
  <c r="AI137" i="44"/>
  <c r="AH137" i="44"/>
  <c r="AF137" i="44"/>
  <c r="AC137" i="44"/>
  <c r="B137" i="44"/>
  <c r="BA136" i="44"/>
  <c r="AX136" i="44"/>
  <c r="AU136" i="44"/>
  <c r="AL136" i="44"/>
  <c r="AI136" i="44"/>
  <c r="AF136" i="44"/>
  <c r="AC136" i="44"/>
  <c r="B136" i="44"/>
  <c r="B135" i="44"/>
  <c r="B134" i="44"/>
  <c r="AC133" i="44"/>
  <c r="E436" i="44" s="1"/>
  <c r="E450" i="44" s="1"/>
  <c r="E468" i="44" s="1"/>
  <c r="B133" i="44"/>
  <c r="B132" i="44"/>
  <c r="AC127" i="44"/>
  <c r="V121" i="44"/>
  <c r="T121" i="44"/>
  <c r="N121" i="44"/>
  <c r="L121" i="44"/>
  <c r="F121" i="44"/>
  <c r="D121" i="44"/>
  <c r="Z120" i="44"/>
  <c r="Y120" i="44"/>
  <c r="X120" i="44"/>
  <c r="AY95" i="44" s="1"/>
  <c r="W120" i="44"/>
  <c r="AX95" i="44" s="1"/>
  <c r="V120" i="44"/>
  <c r="U120" i="44"/>
  <c r="AV95" i="44" s="1"/>
  <c r="T120" i="44"/>
  <c r="S120" i="44"/>
  <c r="R120" i="44"/>
  <c r="Q120" i="44"/>
  <c r="P120" i="44"/>
  <c r="AQ95" i="44" s="1"/>
  <c r="O120" i="44"/>
  <c r="AP95" i="44" s="1"/>
  <c r="N120" i="44"/>
  <c r="M120" i="44"/>
  <c r="AN95" i="44" s="1"/>
  <c r="L120" i="44"/>
  <c r="K120" i="44"/>
  <c r="J120" i="44"/>
  <c r="I120" i="44"/>
  <c r="H120" i="44"/>
  <c r="AI95" i="44" s="1"/>
  <c r="G120" i="44"/>
  <c r="AH95" i="44" s="1"/>
  <c r="F120" i="44"/>
  <c r="E120" i="44"/>
  <c r="AF95" i="44" s="1"/>
  <c r="D120" i="44"/>
  <c r="C120" i="44"/>
  <c r="B120" i="44"/>
  <c r="Z119" i="44"/>
  <c r="Z424" i="44" s="1"/>
  <c r="Y119" i="44"/>
  <c r="Y424" i="44" s="1"/>
  <c r="X119" i="44"/>
  <c r="X424" i="44" s="1"/>
  <c r="W119" i="44"/>
  <c r="W424" i="44" s="1"/>
  <c r="V119" i="44"/>
  <c r="V424" i="44" s="1"/>
  <c r="U119" i="44"/>
  <c r="U424" i="44" s="1"/>
  <c r="T119" i="44"/>
  <c r="T424" i="44" s="1"/>
  <c r="S119" i="44"/>
  <c r="S424" i="44" s="1"/>
  <c r="R119" i="44"/>
  <c r="R424" i="44" s="1"/>
  <c r="Q119" i="44"/>
  <c r="Q424" i="44" s="1"/>
  <c r="P119" i="44"/>
  <c r="P424" i="44" s="1"/>
  <c r="O119" i="44"/>
  <c r="O424" i="44" s="1"/>
  <c r="N119" i="44"/>
  <c r="N424" i="44" s="1"/>
  <c r="M119" i="44"/>
  <c r="M424" i="44" s="1"/>
  <c r="L119" i="44"/>
  <c r="L424" i="44" s="1"/>
  <c r="K119" i="44"/>
  <c r="K424" i="44" s="1"/>
  <c r="J119" i="44"/>
  <c r="J424" i="44" s="1"/>
  <c r="I119" i="44"/>
  <c r="I424" i="44" s="1"/>
  <c r="H119" i="44"/>
  <c r="H424" i="44" s="1"/>
  <c r="G119" i="44"/>
  <c r="G424" i="44" s="1"/>
  <c r="F119" i="44"/>
  <c r="F424" i="44" s="1"/>
  <c r="E119" i="44"/>
  <c r="E424" i="44" s="1"/>
  <c r="D119" i="44"/>
  <c r="D424" i="44" s="1"/>
  <c r="C119" i="44"/>
  <c r="C424" i="44" s="1"/>
  <c r="B119" i="44"/>
  <c r="B424" i="44" s="1"/>
  <c r="Z423" i="44"/>
  <c r="BA402" i="44" s="1"/>
  <c r="Y423" i="44"/>
  <c r="AZ402" i="44" s="1"/>
  <c r="X423" i="44"/>
  <c r="AY402" i="44" s="1"/>
  <c r="W423" i="44"/>
  <c r="AX402" i="44" s="1"/>
  <c r="V423" i="44"/>
  <c r="AW402" i="44" s="1"/>
  <c r="U423" i="44"/>
  <c r="AV402" i="44" s="1"/>
  <c r="T423" i="44"/>
  <c r="AU402" i="44" s="1"/>
  <c r="S423" i="44"/>
  <c r="AT402" i="44" s="1"/>
  <c r="R423" i="44"/>
  <c r="AS402" i="44" s="1"/>
  <c r="Q423" i="44"/>
  <c r="AR402" i="44" s="1"/>
  <c r="P423" i="44"/>
  <c r="AQ402" i="44" s="1"/>
  <c r="O423" i="44"/>
  <c r="AP402" i="44" s="1"/>
  <c r="N423" i="44"/>
  <c r="AO402" i="44" s="1"/>
  <c r="M423" i="44"/>
  <c r="AN402" i="44" s="1"/>
  <c r="L423" i="44"/>
  <c r="AM402" i="44" s="1"/>
  <c r="K423" i="44"/>
  <c r="AL402" i="44" s="1"/>
  <c r="J423" i="44"/>
  <c r="AK402" i="44" s="1"/>
  <c r="I423" i="44"/>
  <c r="AJ402" i="44" s="1"/>
  <c r="H423" i="44"/>
  <c r="AI402" i="44" s="1"/>
  <c r="G423" i="44"/>
  <c r="AH402" i="44" s="1"/>
  <c r="F423" i="44"/>
  <c r="AG402" i="44" s="1"/>
  <c r="E423" i="44"/>
  <c r="AF402" i="44" s="1"/>
  <c r="D423" i="44"/>
  <c r="AE402" i="44" s="1"/>
  <c r="C423" i="44"/>
  <c r="AD402" i="44" s="1"/>
  <c r="Z117" i="44"/>
  <c r="Y117" i="44"/>
  <c r="Y422" i="44" s="1"/>
  <c r="X117" i="44"/>
  <c r="X422" i="44" s="1"/>
  <c r="W117" i="44"/>
  <c r="W422" i="44" s="1"/>
  <c r="V117" i="44"/>
  <c r="V422" i="44" s="1"/>
  <c r="U117" i="44"/>
  <c r="U422" i="44" s="1"/>
  <c r="T117" i="44"/>
  <c r="T422" i="44" s="1"/>
  <c r="S117" i="44"/>
  <c r="S422" i="44" s="1"/>
  <c r="R117" i="44"/>
  <c r="Q117" i="44"/>
  <c r="Q422" i="44" s="1"/>
  <c r="P117" i="44"/>
  <c r="P422" i="44" s="1"/>
  <c r="O117" i="44"/>
  <c r="O422" i="44" s="1"/>
  <c r="N117" i="44"/>
  <c r="N422" i="44" s="1"/>
  <c r="M117" i="44"/>
  <c r="M422" i="44" s="1"/>
  <c r="M427" i="44" s="1"/>
  <c r="L117" i="44"/>
  <c r="L422" i="44" s="1"/>
  <c r="K117" i="44"/>
  <c r="J117" i="44"/>
  <c r="I117" i="44"/>
  <c r="I422" i="44" s="1"/>
  <c r="H117" i="44"/>
  <c r="H422" i="44" s="1"/>
  <c r="G117" i="44"/>
  <c r="G422" i="44" s="1"/>
  <c r="F117" i="44"/>
  <c r="F422" i="44" s="1"/>
  <c r="E117" i="44"/>
  <c r="E422" i="44" s="1"/>
  <c r="D117" i="44"/>
  <c r="D422" i="44" s="1"/>
  <c r="C117" i="44"/>
  <c r="B117" i="44"/>
  <c r="Z116" i="44"/>
  <c r="Z421" i="44" s="1"/>
  <c r="BA398" i="44" s="1"/>
  <c r="J438" i="44" s="1"/>
  <c r="J452" i="44" s="1"/>
  <c r="J470" i="44" s="1"/>
  <c r="Z115" i="44"/>
  <c r="Z420" i="44" s="1"/>
  <c r="Z114" i="44"/>
  <c r="Z419" i="44" s="1"/>
  <c r="Z113" i="44"/>
  <c r="Z418" i="44" s="1"/>
  <c r="Z112" i="44"/>
  <c r="Z417" i="44" s="1"/>
  <c r="Z111" i="44"/>
  <c r="Z416" i="44" s="1"/>
  <c r="Z110" i="44"/>
  <c r="Z415" i="44" s="1"/>
  <c r="Z109" i="44"/>
  <c r="Z414" i="44" s="1"/>
  <c r="Z108" i="44"/>
  <c r="Z413" i="44" s="1"/>
  <c r="Z107" i="44"/>
  <c r="Z412" i="44" s="1"/>
  <c r="Z106" i="44"/>
  <c r="Z411" i="44" s="1"/>
  <c r="Z105" i="44"/>
  <c r="Z410" i="44" s="1"/>
  <c r="Z104" i="44"/>
  <c r="Z409" i="44" s="1"/>
  <c r="B103" i="44"/>
  <c r="B408" i="44" s="1"/>
  <c r="B102" i="44"/>
  <c r="B101" i="44"/>
  <c r="B406" i="44" s="1"/>
  <c r="B100" i="44"/>
  <c r="B405" i="44" s="1"/>
  <c r="B99" i="44"/>
  <c r="B404" i="44" s="1"/>
  <c r="B98" i="44"/>
  <c r="B403" i="44" s="1"/>
  <c r="B97" i="44"/>
  <c r="B402" i="44" s="1"/>
  <c r="BA96" i="44"/>
  <c r="AZ96" i="44"/>
  <c r="AX96" i="44"/>
  <c r="AW96" i="44"/>
  <c r="AV96" i="44"/>
  <c r="AU96" i="44"/>
  <c r="AT96" i="44"/>
  <c r="AS96" i="44"/>
  <c r="AR96" i="44"/>
  <c r="AP96" i="44"/>
  <c r="AO96" i="44"/>
  <c r="AN96" i="44"/>
  <c r="AM96" i="44"/>
  <c r="AL96" i="44"/>
  <c r="AK96" i="44"/>
  <c r="AJ96" i="44"/>
  <c r="AH96" i="44"/>
  <c r="AG96" i="44"/>
  <c r="AF96" i="44"/>
  <c r="AE96" i="44"/>
  <c r="AD96" i="44"/>
  <c r="AC96" i="44"/>
  <c r="B96" i="44"/>
  <c r="B401" i="44" s="1"/>
  <c r="BA95" i="44"/>
  <c r="AZ95" i="44"/>
  <c r="AU95" i="44"/>
  <c r="AT95" i="44"/>
  <c r="AS95" i="44"/>
  <c r="AR95" i="44"/>
  <c r="AM95" i="44"/>
  <c r="AL95" i="44"/>
  <c r="AK95" i="44"/>
  <c r="AJ95" i="44"/>
  <c r="AE95" i="44"/>
  <c r="AD95" i="44"/>
  <c r="AC95" i="44"/>
  <c r="B95" i="44"/>
  <c r="B400" i="44" s="1"/>
  <c r="AX94" i="44"/>
  <c r="AU94" i="44"/>
  <c r="AR94" i="44"/>
  <c r="AO94" i="44"/>
  <c r="AF94" i="44"/>
  <c r="B94" i="44"/>
  <c r="B399" i="44" s="1"/>
  <c r="BA93" i="44"/>
  <c r="D438" i="44" s="1"/>
  <c r="D452" i="44" s="1"/>
  <c r="D470" i="44" s="1"/>
  <c r="B93" i="44"/>
  <c r="B398" i="44" s="1"/>
  <c r="B92" i="44"/>
  <c r="B397" i="44" s="1"/>
  <c r="B91" i="44"/>
  <c r="B90" i="44"/>
  <c r="B395" i="44" s="1"/>
  <c r="AC86" i="44"/>
  <c r="H81" i="44"/>
  <c r="F81" i="44"/>
  <c r="Z80" i="44"/>
  <c r="Y80" i="44"/>
  <c r="X80" i="44"/>
  <c r="W80" i="44"/>
  <c r="AX55" i="44" s="1"/>
  <c r="V80" i="44"/>
  <c r="U80" i="44"/>
  <c r="T80" i="44"/>
  <c r="S80" i="44"/>
  <c r="R80" i="44"/>
  <c r="Q80" i="44"/>
  <c r="P80" i="44"/>
  <c r="O80" i="44"/>
  <c r="AP55" i="44" s="1"/>
  <c r="N80" i="44"/>
  <c r="M80" i="44"/>
  <c r="L80" i="44"/>
  <c r="K80" i="44"/>
  <c r="J80" i="44"/>
  <c r="I80" i="44"/>
  <c r="H80" i="44"/>
  <c r="G80" i="44"/>
  <c r="AH55" i="44" s="1"/>
  <c r="F80" i="44"/>
  <c r="E80" i="44"/>
  <c r="D80" i="44"/>
  <c r="C80" i="44"/>
  <c r="B80" i="44"/>
  <c r="Z79" i="44"/>
  <c r="Z363" i="44" s="1"/>
  <c r="Y79" i="44"/>
  <c r="Y363" i="44" s="1"/>
  <c r="X79" i="44"/>
  <c r="X363" i="44" s="1"/>
  <c r="W79" i="44"/>
  <c r="W363" i="44" s="1"/>
  <c r="V79" i="44"/>
  <c r="V363" i="44" s="1"/>
  <c r="U79" i="44"/>
  <c r="U363" i="44" s="1"/>
  <c r="T79" i="44"/>
  <c r="T363" i="44" s="1"/>
  <c r="S79" i="44"/>
  <c r="S363" i="44" s="1"/>
  <c r="R79" i="44"/>
  <c r="R363" i="44" s="1"/>
  <c r="Q79" i="44"/>
  <c r="Q363" i="44" s="1"/>
  <c r="P79" i="44"/>
  <c r="P363" i="44" s="1"/>
  <c r="O79" i="44"/>
  <c r="O363" i="44" s="1"/>
  <c r="N79" i="44"/>
  <c r="N363" i="44" s="1"/>
  <c r="M79" i="44"/>
  <c r="M363" i="44" s="1"/>
  <c r="L79" i="44"/>
  <c r="L363" i="44" s="1"/>
  <c r="K79" i="44"/>
  <c r="K363" i="44" s="1"/>
  <c r="J79" i="44"/>
  <c r="J363" i="44" s="1"/>
  <c r="I79" i="44"/>
  <c r="I363" i="44" s="1"/>
  <c r="H79" i="44"/>
  <c r="H363" i="44" s="1"/>
  <c r="G79" i="44"/>
  <c r="G363" i="44" s="1"/>
  <c r="F79" i="44"/>
  <c r="F363" i="44" s="1"/>
  <c r="E79" i="44"/>
  <c r="E363" i="44" s="1"/>
  <c r="D79" i="44"/>
  <c r="D363" i="44" s="1"/>
  <c r="C79" i="44"/>
  <c r="C363" i="44" s="1"/>
  <c r="B79" i="44"/>
  <c r="B363" i="44" s="1"/>
  <c r="X362" i="44"/>
  <c r="AY341" i="44" s="1"/>
  <c r="W362" i="44"/>
  <c r="AX341" i="44" s="1"/>
  <c r="V362" i="44"/>
  <c r="AW341" i="44" s="1"/>
  <c r="U362" i="44"/>
  <c r="AV341" i="44" s="1"/>
  <c r="S362" i="44"/>
  <c r="AT341" i="44" s="1"/>
  <c r="P362" i="44"/>
  <c r="AQ341" i="44" s="1"/>
  <c r="O362" i="44"/>
  <c r="AP341" i="44" s="1"/>
  <c r="N362" i="44"/>
  <c r="AO341" i="44" s="1"/>
  <c r="M362" i="44"/>
  <c r="AN341" i="44" s="1"/>
  <c r="K362" i="44"/>
  <c r="AL341" i="44" s="1"/>
  <c r="H362" i="44"/>
  <c r="AI341" i="44" s="1"/>
  <c r="G362" i="44"/>
  <c r="AH341" i="44" s="1"/>
  <c r="F362" i="44"/>
  <c r="AG341" i="44" s="1"/>
  <c r="E362" i="44"/>
  <c r="AF341" i="44" s="1"/>
  <c r="C362" i="44"/>
  <c r="AD341" i="44" s="1"/>
  <c r="AC341" i="44"/>
  <c r="Z77" i="44"/>
  <c r="Z361" i="44" s="1"/>
  <c r="BA338" i="44" s="1"/>
  <c r="Y77" i="44"/>
  <c r="Y361" i="44" s="1"/>
  <c r="X77" i="44"/>
  <c r="X361" i="44" s="1"/>
  <c r="W77" i="44"/>
  <c r="W361" i="44" s="1"/>
  <c r="V77" i="44"/>
  <c r="V361" i="44" s="1"/>
  <c r="U77" i="44"/>
  <c r="T77" i="44"/>
  <c r="S77" i="44"/>
  <c r="S361" i="44" s="1"/>
  <c r="R77" i="44"/>
  <c r="Q77" i="44"/>
  <c r="Q361" i="44" s="1"/>
  <c r="AR338" i="44" s="1"/>
  <c r="P77" i="44"/>
  <c r="P361" i="44" s="1"/>
  <c r="O77" i="44"/>
  <c r="O361" i="44" s="1"/>
  <c r="N77" i="44"/>
  <c r="N361" i="44" s="1"/>
  <c r="M77" i="44"/>
  <c r="L77" i="44"/>
  <c r="K77" i="44"/>
  <c r="K361" i="44" s="1"/>
  <c r="J77" i="44"/>
  <c r="I77" i="44"/>
  <c r="I361" i="44" s="1"/>
  <c r="H77" i="44"/>
  <c r="H361" i="44" s="1"/>
  <c r="G77" i="44"/>
  <c r="G361" i="44" s="1"/>
  <c r="F77" i="44"/>
  <c r="F361" i="44" s="1"/>
  <c r="E77" i="44"/>
  <c r="D77" i="44"/>
  <c r="C77" i="44"/>
  <c r="C361" i="44" s="1"/>
  <c r="B77" i="44"/>
  <c r="B361" i="44" s="1"/>
  <c r="AC338" i="44" s="1"/>
  <c r="Z76" i="44"/>
  <c r="Z360" i="44" s="1"/>
  <c r="BA337" i="44" s="1"/>
  <c r="I438" i="44" s="1"/>
  <c r="I452" i="44" s="1"/>
  <c r="I470" i="44" s="1"/>
  <c r="Z75" i="44"/>
  <c r="Z359" i="44" s="1"/>
  <c r="Z74" i="44"/>
  <c r="Z358" i="44" s="1"/>
  <c r="Z73" i="44"/>
  <c r="Z357" i="44" s="1"/>
  <c r="Z72" i="44"/>
  <c r="Z356" i="44" s="1"/>
  <c r="Z71" i="44"/>
  <c r="Z355" i="44" s="1"/>
  <c r="Z70" i="44"/>
  <c r="Z354" i="44" s="1"/>
  <c r="Z69" i="44"/>
  <c r="Z353" i="44" s="1"/>
  <c r="Z68" i="44"/>
  <c r="Z352" i="44" s="1"/>
  <c r="Z67" i="44"/>
  <c r="Z351" i="44" s="1"/>
  <c r="Z66" i="44"/>
  <c r="Z350" i="44" s="1"/>
  <c r="Z65" i="44"/>
  <c r="Z349" i="44" s="1"/>
  <c r="Z64" i="44"/>
  <c r="B63" i="44"/>
  <c r="B347" i="44" s="1"/>
  <c r="B62" i="44"/>
  <c r="B346" i="44" s="1"/>
  <c r="AC335" i="44" s="1"/>
  <c r="I436" i="44" s="1"/>
  <c r="I450" i="44" s="1"/>
  <c r="I468" i="44" s="1"/>
  <c r="B61" i="44"/>
  <c r="B345" i="44" s="1"/>
  <c r="B60" i="44"/>
  <c r="B344" i="44" s="1"/>
  <c r="B59" i="44"/>
  <c r="B343" i="44" s="1"/>
  <c r="B58" i="44"/>
  <c r="B342" i="44" s="1"/>
  <c r="B57" i="44"/>
  <c r="B341" i="44" s="1"/>
  <c r="AY56" i="44"/>
  <c r="AX56" i="44"/>
  <c r="AW56" i="44"/>
  <c r="AV56" i="44"/>
  <c r="AQ56" i="44"/>
  <c r="AP56" i="44"/>
  <c r="AO56" i="44"/>
  <c r="AN56" i="44"/>
  <c r="AM56" i="44"/>
  <c r="AI56" i="44"/>
  <c r="AH56" i="44"/>
  <c r="AG56" i="44"/>
  <c r="AF56" i="44"/>
  <c r="AE56" i="44"/>
  <c r="AC56" i="44"/>
  <c r="B56" i="44"/>
  <c r="B340" i="44" s="1"/>
  <c r="AZ55" i="44"/>
  <c r="AY55" i="44"/>
  <c r="AW55" i="44"/>
  <c r="AV55" i="44"/>
  <c r="AU55" i="44"/>
  <c r="AT55" i="44"/>
  <c r="AR55" i="44"/>
  <c r="AQ55" i="44"/>
  <c r="AO55" i="44"/>
  <c r="AN55" i="44"/>
  <c r="AM55" i="44"/>
  <c r="AL55" i="44"/>
  <c r="AJ55" i="44"/>
  <c r="AI55" i="44"/>
  <c r="AG55" i="44"/>
  <c r="AF55" i="44"/>
  <c r="AE55" i="44"/>
  <c r="AD55" i="44"/>
  <c r="B55" i="44"/>
  <c r="B339" i="44" s="1"/>
  <c r="BA54" i="44"/>
  <c r="AX54" i="44"/>
  <c r="AU54" i="44"/>
  <c r="AR54" i="44"/>
  <c r="AO54" i="44"/>
  <c r="AL54" i="44"/>
  <c r="AI54" i="44"/>
  <c r="AF54" i="44"/>
  <c r="B54" i="44"/>
  <c r="B338" i="44" s="1"/>
  <c r="BA53" i="44"/>
  <c r="C438" i="44" s="1"/>
  <c r="C452" i="44" s="1"/>
  <c r="C470" i="44" s="1"/>
  <c r="B53" i="44"/>
  <c r="B337" i="44" s="1"/>
  <c r="BA52" i="44"/>
  <c r="B52" i="44"/>
  <c r="B336" i="44" s="1"/>
  <c r="AC51" i="44"/>
  <c r="C436" i="44" s="1"/>
  <c r="C450" i="44" s="1"/>
  <c r="C468" i="44" s="1"/>
  <c r="B51" i="44"/>
  <c r="B335" i="44" s="1"/>
  <c r="B50" i="44"/>
  <c r="AC46" i="44"/>
  <c r="V41" i="44"/>
  <c r="N41" i="44"/>
  <c r="F41" i="44"/>
  <c r="Z40" i="44"/>
  <c r="Y40" i="44"/>
  <c r="AZ15" i="44" s="1"/>
  <c r="X40" i="44"/>
  <c r="W40" i="44"/>
  <c r="AX15" i="44" s="1"/>
  <c r="V40" i="44"/>
  <c r="U40" i="44"/>
  <c r="T40" i="44"/>
  <c r="AU15" i="44" s="1"/>
  <c r="S40" i="44"/>
  <c r="R40" i="44"/>
  <c r="Q40" i="44"/>
  <c r="AR15" i="44" s="1"/>
  <c r="P40" i="44"/>
  <c r="O40" i="44"/>
  <c r="AP15" i="44" s="1"/>
  <c r="N40" i="44"/>
  <c r="M40" i="44"/>
  <c r="L40" i="44"/>
  <c r="AM15" i="44" s="1"/>
  <c r="K40" i="44"/>
  <c r="J40" i="44"/>
  <c r="I40" i="44"/>
  <c r="AJ15" i="44" s="1"/>
  <c r="H40" i="44"/>
  <c r="G40" i="44"/>
  <c r="AH15" i="44" s="1"/>
  <c r="F40" i="44"/>
  <c r="E40" i="44"/>
  <c r="D40" i="44"/>
  <c r="AE15" i="44" s="1"/>
  <c r="C40" i="44"/>
  <c r="B40" i="44"/>
  <c r="Z39" i="44"/>
  <c r="Z303" i="44" s="1"/>
  <c r="Y39" i="44"/>
  <c r="Y303" i="44" s="1"/>
  <c r="X39" i="44"/>
  <c r="X303" i="44" s="1"/>
  <c r="W39" i="44"/>
  <c r="W303" i="44" s="1"/>
  <c r="V39" i="44"/>
  <c r="V303" i="44" s="1"/>
  <c r="U39" i="44"/>
  <c r="U303" i="44" s="1"/>
  <c r="T39" i="44"/>
  <c r="T303" i="44" s="1"/>
  <c r="S39" i="44"/>
  <c r="S303" i="44" s="1"/>
  <c r="R39" i="44"/>
  <c r="R303" i="44" s="1"/>
  <c r="Q39" i="44"/>
  <c r="Q303" i="44" s="1"/>
  <c r="P39" i="44"/>
  <c r="P303" i="44" s="1"/>
  <c r="O39" i="44"/>
  <c r="O303" i="44" s="1"/>
  <c r="N39" i="44"/>
  <c r="N303" i="44" s="1"/>
  <c r="M39" i="44"/>
  <c r="M303" i="44" s="1"/>
  <c r="L39" i="44"/>
  <c r="L303" i="44" s="1"/>
  <c r="K39" i="44"/>
  <c r="K303" i="44" s="1"/>
  <c r="J39" i="44"/>
  <c r="J303" i="44" s="1"/>
  <c r="I39" i="44"/>
  <c r="I303" i="44" s="1"/>
  <c r="H39" i="44"/>
  <c r="H303" i="44" s="1"/>
  <c r="G39" i="44"/>
  <c r="G303" i="44" s="1"/>
  <c r="F39" i="44"/>
  <c r="F303" i="44" s="1"/>
  <c r="E39" i="44"/>
  <c r="E303" i="44" s="1"/>
  <c r="D39" i="44"/>
  <c r="D303" i="44" s="1"/>
  <c r="C39" i="44"/>
  <c r="C303" i="44" s="1"/>
  <c r="B39" i="44"/>
  <c r="B303" i="44" s="1"/>
  <c r="Y302" i="44"/>
  <c r="AZ281" i="44" s="1"/>
  <c r="W302" i="44"/>
  <c r="AX281" i="44" s="1"/>
  <c r="V302" i="44"/>
  <c r="AW281" i="44" s="1"/>
  <c r="U302" i="44"/>
  <c r="AV281" i="44" s="1"/>
  <c r="T302" i="44"/>
  <c r="AU281" i="44" s="1"/>
  <c r="S302" i="44"/>
  <c r="AT281" i="44" s="1"/>
  <c r="Q302" i="44"/>
  <c r="AR281" i="44" s="1"/>
  <c r="O302" i="44"/>
  <c r="AP281" i="44" s="1"/>
  <c r="N302" i="44"/>
  <c r="AO281" i="44" s="1"/>
  <c r="M302" i="44"/>
  <c r="AN281" i="44" s="1"/>
  <c r="L302" i="44"/>
  <c r="AM281" i="44" s="1"/>
  <c r="K302" i="44"/>
  <c r="AL281" i="44" s="1"/>
  <c r="I302" i="44"/>
  <c r="AJ281" i="44" s="1"/>
  <c r="G302" i="44"/>
  <c r="AH281" i="44" s="1"/>
  <c r="F302" i="44"/>
  <c r="AG281" i="44" s="1"/>
  <c r="E302" i="44"/>
  <c r="AF281" i="44" s="1"/>
  <c r="D302" i="44"/>
  <c r="AE281" i="44" s="1"/>
  <c r="C302" i="44"/>
  <c r="AD281" i="44" s="1"/>
  <c r="B302" i="44"/>
  <c r="AC281" i="44" s="1"/>
  <c r="Z37" i="44"/>
  <c r="Z301" i="44" s="1"/>
  <c r="BA278" i="44" s="1"/>
  <c r="Y37" i="44"/>
  <c r="Y301" i="44" s="1"/>
  <c r="X37" i="44"/>
  <c r="X301" i="44" s="1"/>
  <c r="W37" i="44"/>
  <c r="W301" i="44" s="1"/>
  <c r="V37" i="44"/>
  <c r="V301" i="44" s="1"/>
  <c r="U37" i="44"/>
  <c r="U301" i="44" s="1"/>
  <c r="T37" i="44"/>
  <c r="T301" i="44" s="1"/>
  <c r="S37" i="44"/>
  <c r="S301" i="44" s="1"/>
  <c r="R37" i="44"/>
  <c r="R301" i="44" s="1"/>
  <c r="Q37" i="44"/>
  <c r="Q301" i="44" s="1"/>
  <c r="P37" i="44"/>
  <c r="P301" i="44" s="1"/>
  <c r="O37" i="44"/>
  <c r="O301" i="44" s="1"/>
  <c r="N37" i="44"/>
  <c r="N301" i="44" s="1"/>
  <c r="M37" i="44"/>
  <c r="M301" i="44" s="1"/>
  <c r="L37" i="44"/>
  <c r="L301" i="44" s="1"/>
  <c r="K37" i="44"/>
  <c r="K301" i="44" s="1"/>
  <c r="J37" i="44"/>
  <c r="J301" i="44" s="1"/>
  <c r="I37" i="44"/>
  <c r="I301" i="44" s="1"/>
  <c r="H37" i="44"/>
  <c r="H301" i="44" s="1"/>
  <c r="G37" i="44"/>
  <c r="G301" i="44" s="1"/>
  <c r="F37" i="44"/>
  <c r="F301" i="44" s="1"/>
  <c r="E37" i="44"/>
  <c r="E301" i="44" s="1"/>
  <c r="D37" i="44"/>
  <c r="D301" i="44" s="1"/>
  <c r="C37" i="44"/>
  <c r="C301" i="44" s="1"/>
  <c r="B37" i="44"/>
  <c r="B301" i="44" s="1"/>
  <c r="AC278" i="44" s="1"/>
  <c r="Z36" i="44"/>
  <c r="Z300" i="44" s="1"/>
  <c r="BA277" i="44" s="1"/>
  <c r="H438" i="44" s="1"/>
  <c r="H452" i="44" s="1"/>
  <c r="H470" i="44" s="1"/>
  <c r="Z35" i="44"/>
  <c r="Z299" i="44" s="1"/>
  <c r="Z34" i="44"/>
  <c r="Z298" i="44" s="1"/>
  <c r="Z33" i="44"/>
  <c r="Z297" i="44" s="1"/>
  <c r="Z32" i="44"/>
  <c r="Z296" i="44" s="1"/>
  <c r="Z31" i="44"/>
  <c r="Z295" i="44" s="1"/>
  <c r="Z30" i="44"/>
  <c r="Z294" i="44" s="1"/>
  <c r="Z29" i="44"/>
  <c r="Z293" i="44" s="1"/>
  <c r="Z28" i="44"/>
  <c r="Z292" i="44" s="1"/>
  <c r="Z27" i="44"/>
  <c r="Z291" i="44" s="1"/>
  <c r="Z26" i="44"/>
  <c r="Z290" i="44" s="1"/>
  <c r="Z25" i="44"/>
  <c r="Z289" i="44" s="1"/>
  <c r="Z24" i="44"/>
  <c r="Z288" i="44" s="1"/>
  <c r="B23" i="44"/>
  <c r="B287" i="44" s="1"/>
  <c r="B22" i="44"/>
  <c r="B286" i="44" s="1"/>
  <c r="AC275" i="44" s="1"/>
  <c r="H436" i="44" s="1"/>
  <c r="H450" i="44" s="1"/>
  <c r="H468" i="44" s="1"/>
  <c r="B21" i="44"/>
  <c r="B285" i="44" s="1"/>
  <c r="B20" i="44"/>
  <c r="B284" i="44" s="1"/>
  <c r="B19" i="44"/>
  <c r="B283" i="44" s="1"/>
  <c r="B18" i="44"/>
  <c r="B282" i="44" s="1"/>
  <c r="B17" i="44"/>
  <c r="B281" i="44" s="1"/>
  <c r="AZ16" i="44"/>
  <c r="AX16" i="44"/>
  <c r="AW16" i="44"/>
  <c r="AV16" i="44"/>
  <c r="AU16" i="44"/>
  <c r="AT16" i="44"/>
  <c r="AR16" i="44"/>
  <c r="AP16" i="44"/>
  <c r="AO16" i="44"/>
  <c r="AN16" i="44"/>
  <c r="AM16" i="44"/>
  <c r="AL16" i="44"/>
  <c r="AJ16" i="44"/>
  <c r="AH16" i="44"/>
  <c r="AG16" i="44"/>
  <c r="AF16" i="44"/>
  <c r="AE16" i="44"/>
  <c r="AD16" i="44"/>
  <c r="AC16" i="44"/>
  <c r="B16" i="44"/>
  <c r="B280" i="44" s="1"/>
  <c r="BA15" i="44"/>
  <c r="AW15" i="44"/>
  <c r="AT15" i="44"/>
  <c r="AS15" i="44"/>
  <c r="AO15" i="44"/>
  <c r="AL15" i="44"/>
  <c r="AK15" i="44"/>
  <c r="AG15" i="44"/>
  <c r="AD15" i="44"/>
  <c r="AC15" i="44"/>
  <c r="B15" i="44"/>
  <c r="B279" i="44" s="1"/>
  <c r="AU14" i="44"/>
  <c r="AO14" i="44"/>
  <c r="AL14" i="44"/>
  <c r="AI14" i="44"/>
  <c r="B14" i="44"/>
  <c r="B278" i="44" s="1"/>
  <c r="BA13" i="44"/>
  <c r="B438" i="44" s="1"/>
  <c r="B452" i="44" s="1"/>
  <c r="B470" i="44" s="1"/>
  <c r="B13" i="44"/>
  <c r="B277" i="44" s="1"/>
  <c r="B12" i="44"/>
  <c r="B276" i="44" s="1"/>
  <c r="AC11" i="44"/>
  <c r="B436" i="44" s="1"/>
  <c r="B450" i="44" s="1"/>
  <c r="B468" i="44" s="1"/>
  <c r="B11" i="44"/>
  <c r="B275" i="44" s="1"/>
  <c r="B10" i="44"/>
  <c r="B274" i="44" s="1"/>
  <c r="AC6" i="44"/>
  <c r="AN97" i="44" s="1"/>
  <c r="B380" i="7"/>
  <c r="B426" i="7"/>
  <c r="B378" i="7"/>
  <c r="B425" i="7"/>
  <c r="AC17" i="34"/>
  <c r="J476" i="34"/>
  <c r="Z240" i="28"/>
  <c r="Z240" i="34"/>
  <c r="Z240" i="27"/>
  <c r="Z240" i="26"/>
  <c r="Z240" i="24"/>
  <c r="Z240" i="33"/>
  <c r="Z240" i="23"/>
  <c r="Z240" i="22"/>
  <c r="Z240" i="32"/>
  <c r="Z240" i="9"/>
  <c r="Z240" i="8"/>
  <c r="B408" i="7"/>
  <c r="B346" i="7"/>
  <c r="B286" i="7"/>
  <c r="Z199" i="7"/>
  <c r="Z240" i="7"/>
  <c r="B227" i="7"/>
  <c r="B185" i="7"/>
  <c r="Z158" i="7"/>
  <c r="B145" i="7"/>
  <c r="B144" i="7"/>
  <c r="Z116" i="7"/>
  <c r="B102" i="7"/>
  <c r="B103" i="7"/>
  <c r="B62" i="7"/>
  <c r="B22" i="7"/>
  <c r="B23" i="7"/>
  <c r="B287" i="7" s="1"/>
  <c r="Z300" i="7"/>
  <c r="H12" i="16"/>
  <c r="AJ15" i="47" l="1"/>
  <c r="AR15" i="47"/>
  <c r="AZ15" i="47"/>
  <c r="AM57" i="47"/>
  <c r="AE55" i="47"/>
  <c r="AM55" i="47"/>
  <c r="AU55" i="47"/>
  <c r="H81" i="47"/>
  <c r="J423" i="47"/>
  <c r="AK402" i="47" s="1"/>
  <c r="T163" i="47"/>
  <c r="AD137" i="47"/>
  <c r="K163" i="47"/>
  <c r="S163" i="47"/>
  <c r="AG219" i="47"/>
  <c r="AW219" i="47"/>
  <c r="E425" i="47"/>
  <c r="AF401" i="47" s="1"/>
  <c r="AD280" i="47"/>
  <c r="AL280" i="47"/>
  <c r="AT280" i="47"/>
  <c r="AC15" i="47"/>
  <c r="AS15" i="47"/>
  <c r="BA15" i="47"/>
  <c r="P81" i="47"/>
  <c r="Z423" i="47"/>
  <c r="BA402" i="47" s="1"/>
  <c r="AE137" i="47"/>
  <c r="AU137" i="47"/>
  <c r="AG55" i="47"/>
  <c r="AW55" i="47"/>
  <c r="Y204" i="47"/>
  <c r="AL178" i="47"/>
  <c r="AT178" i="47"/>
  <c r="M425" i="47"/>
  <c r="M427" i="47" s="1"/>
  <c r="AE17" i="47"/>
  <c r="P302" i="47"/>
  <c r="AQ281" i="47" s="1"/>
  <c r="AO94" i="47"/>
  <c r="AS95" i="47"/>
  <c r="O425" i="47"/>
  <c r="AF17" i="47"/>
  <c r="R423" i="47"/>
  <c r="AS402" i="47" s="1"/>
  <c r="AO342" i="47"/>
  <c r="AG403" i="47"/>
  <c r="T425" i="47"/>
  <c r="AZ17" i="47"/>
  <c r="AC91" i="47"/>
  <c r="D436" i="47" s="1"/>
  <c r="D450" i="47" s="1"/>
  <c r="D468" i="47" s="1"/>
  <c r="AE95" i="47"/>
  <c r="AM95" i="47"/>
  <c r="AU95" i="47"/>
  <c r="AO178" i="47"/>
  <c r="AT219" i="47"/>
  <c r="AL403" i="47"/>
  <c r="U425" i="47"/>
  <c r="AC55" i="47"/>
  <c r="AK55" i="47"/>
  <c r="AS55" i="47"/>
  <c r="BA55" i="47"/>
  <c r="AG95" i="47"/>
  <c r="AO95" i="47"/>
  <c r="AW95" i="47"/>
  <c r="AR137" i="47"/>
  <c r="AZ137" i="47"/>
  <c r="AF219" i="47"/>
  <c r="AV219" i="47"/>
  <c r="AE219" i="47"/>
  <c r="AE222" i="47" s="1"/>
  <c r="AM219" i="47"/>
  <c r="AM222" i="47" s="1"/>
  <c r="AU219" i="47"/>
  <c r="W364" i="47"/>
  <c r="AX340" i="47" s="1"/>
  <c r="AT403" i="47"/>
  <c r="AV95" i="47"/>
  <c r="AT15" i="47"/>
  <c r="AE16" i="47"/>
  <c r="AU17" i="47"/>
  <c r="AU18" i="47" s="1"/>
  <c r="M302" i="47"/>
  <c r="AN281" i="47" s="1"/>
  <c r="AR54" i="47"/>
  <c r="AH96" i="47"/>
  <c r="AT137" i="47"/>
  <c r="Q204" i="47"/>
  <c r="BA216" i="47"/>
  <c r="E245" i="47"/>
  <c r="M245" i="47"/>
  <c r="U245" i="47"/>
  <c r="H305" i="47"/>
  <c r="AI279" i="47" s="1"/>
  <c r="AG342" i="47"/>
  <c r="N364" i="47"/>
  <c r="N366" i="47" s="1"/>
  <c r="R163" i="47"/>
  <c r="AF95" i="47"/>
  <c r="AV17" i="47"/>
  <c r="AN56" i="47"/>
  <c r="AU94" i="47"/>
  <c r="AX96" i="47"/>
  <c r="T121" i="47"/>
  <c r="BA134" i="47"/>
  <c r="E437" i="47" s="1"/>
  <c r="E451" i="47" s="1"/>
  <c r="E469" i="47" s="1"/>
  <c r="AN178" i="47"/>
  <c r="AV178" i="47"/>
  <c r="AD219" i="47"/>
  <c r="AE280" i="47"/>
  <c r="AM280" i="47"/>
  <c r="AU280" i="47"/>
  <c r="AJ342" i="47"/>
  <c r="V364" i="47"/>
  <c r="AW340" i="47" s="1"/>
  <c r="R204" i="47"/>
  <c r="U121" i="47"/>
  <c r="AU16" i="47"/>
  <c r="AJ17" i="47"/>
  <c r="AJ18" i="47" s="1"/>
  <c r="P306" i="47"/>
  <c r="X306" i="47"/>
  <c r="C41" i="47"/>
  <c r="AF56" i="47"/>
  <c r="AP57" i="47"/>
  <c r="V362" i="47"/>
  <c r="AW341" i="47" s="1"/>
  <c r="O81" i="47"/>
  <c r="AO96" i="47"/>
  <c r="AK97" i="47"/>
  <c r="AK98" i="47" s="1"/>
  <c r="AN137" i="47"/>
  <c r="AV137" i="47"/>
  <c r="AR282" i="47"/>
  <c r="BA342" i="47"/>
  <c r="AV342" i="47"/>
  <c r="D425" i="47"/>
  <c r="W425" i="47"/>
  <c r="AX401" i="47" s="1"/>
  <c r="W121" i="47"/>
  <c r="AV16" i="47"/>
  <c r="AM17" i="47"/>
  <c r="AF280" i="47"/>
  <c r="AN280" i="47"/>
  <c r="AC54" i="47"/>
  <c r="AG56" i="47"/>
  <c r="AZ57" i="47"/>
  <c r="BA52" i="47"/>
  <c r="C437" i="47" s="1"/>
  <c r="C451" i="47" s="1"/>
  <c r="C469" i="47" s="1"/>
  <c r="AP96" i="47"/>
  <c r="AN97" i="47"/>
  <c r="V245" i="47"/>
  <c r="AW342" i="47"/>
  <c r="L121" i="47"/>
  <c r="D121" i="47"/>
  <c r="AN95" i="47"/>
  <c r="AD15" i="47"/>
  <c r="AM16" i="47"/>
  <c r="AN17" i="47"/>
  <c r="AG280" i="47"/>
  <c r="AO280" i="47"/>
  <c r="AW280" i="47"/>
  <c r="AF15" i="47"/>
  <c r="AF18" i="47" s="1"/>
  <c r="AF55" i="47"/>
  <c r="AV55" i="47"/>
  <c r="BA57" i="47"/>
  <c r="AH55" i="47"/>
  <c r="AP55" i="47"/>
  <c r="AP58" i="47" s="1"/>
  <c r="AX55" i="47"/>
  <c r="V81" i="47"/>
  <c r="AX97" i="47"/>
  <c r="BA92" i="47"/>
  <c r="D437" i="47" s="1"/>
  <c r="D451" i="47" s="1"/>
  <c r="D469" i="47" s="1"/>
  <c r="F423" i="47"/>
  <c r="AG402" i="47" s="1"/>
  <c r="AI95" i="47"/>
  <c r="AQ95" i="47"/>
  <c r="AY95" i="47"/>
  <c r="AM139" i="47"/>
  <c r="AJ178" i="47"/>
  <c r="AR178" i="47"/>
  <c r="C245" i="47"/>
  <c r="K245" i="47"/>
  <c r="S245" i="47"/>
  <c r="AH219" i="47"/>
  <c r="AP219" i="47"/>
  <c r="AX219" i="47"/>
  <c r="W245" i="47"/>
  <c r="AI282" i="47"/>
  <c r="AC342" i="47"/>
  <c r="AZ342" i="47"/>
  <c r="D163" i="47"/>
  <c r="AR17" i="47"/>
  <c r="S306" i="47"/>
  <c r="AC50" i="47"/>
  <c r="C435" i="47" s="1"/>
  <c r="C449" i="47" s="1"/>
  <c r="C467" i="47" s="1"/>
  <c r="W81" i="47"/>
  <c r="AJ340" i="47"/>
  <c r="X81" i="47"/>
  <c r="AY97" i="47"/>
  <c r="AQ139" i="47"/>
  <c r="AQ140" i="47" s="1"/>
  <c r="AC178" i="47"/>
  <c r="AK178" i="47"/>
  <c r="AS178" i="47"/>
  <c r="D245" i="47"/>
  <c r="L245" i="47"/>
  <c r="T245" i="47"/>
  <c r="AJ219" i="47"/>
  <c r="AJ222" i="47" s="1"/>
  <c r="AI219" i="47"/>
  <c r="AQ219" i="47"/>
  <c r="AY219" i="47"/>
  <c r="AF342" i="47"/>
  <c r="L425" i="47"/>
  <c r="C163" i="47"/>
  <c r="Q245" i="47"/>
  <c r="Y245" i="47"/>
  <c r="J204" i="47"/>
  <c r="H204" i="47"/>
  <c r="P204" i="47"/>
  <c r="AS179" i="47"/>
  <c r="AS181" i="47" s="1"/>
  <c r="X204" i="47"/>
  <c r="B204" i="47"/>
  <c r="AE138" i="47"/>
  <c r="H163" i="47"/>
  <c r="P163" i="47"/>
  <c r="X163" i="47"/>
  <c r="J163" i="47"/>
  <c r="AS138" i="47"/>
  <c r="L163" i="47"/>
  <c r="AN402" i="47"/>
  <c r="AU96" i="47"/>
  <c r="AU98" i="47" s="1"/>
  <c r="AM96" i="47"/>
  <c r="AV96" i="47"/>
  <c r="U427" i="47"/>
  <c r="D423" i="47"/>
  <c r="AE402" i="47" s="1"/>
  <c r="L423" i="47"/>
  <c r="AM402" i="47" s="1"/>
  <c r="AE96" i="47"/>
  <c r="AN96" i="47"/>
  <c r="AN98" i="47" s="1"/>
  <c r="E423" i="47"/>
  <c r="AF402" i="47" s="1"/>
  <c r="BA56" i="47"/>
  <c r="J362" i="47"/>
  <c r="AK341" i="47" s="1"/>
  <c r="R362" i="47"/>
  <c r="AS341" i="47" s="1"/>
  <c r="AR18" i="47"/>
  <c r="AE18" i="47"/>
  <c r="AM18" i="47"/>
  <c r="Q41" i="47"/>
  <c r="R41" i="47"/>
  <c r="AZ18" i="47"/>
  <c r="I302" i="47"/>
  <c r="AJ281" i="47" s="1"/>
  <c r="Q302" i="47"/>
  <c r="AR281" i="47" s="1"/>
  <c r="Y302" i="47"/>
  <c r="AZ281" i="47" s="1"/>
  <c r="J302" i="47"/>
  <c r="AK281" i="47" s="1"/>
  <c r="R302" i="47"/>
  <c r="AS281" i="47" s="1"/>
  <c r="Z302" i="47"/>
  <c r="BA281" i="47" s="1"/>
  <c r="AX18" i="47"/>
  <c r="AH17" i="47"/>
  <c r="AH18" i="47" s="1"/>
  <c r="AP17" i="47"/>
  <c r="AP18" i="47" s="1"/>
  <c r="AX17" i="47"/>
  <c r="I41" i="47"/>
  <c r="U41" i="47"/>
  <c r="AE57" i="47"/>
  <c r="AR57" i="47"/>
  <c r="G81" i="47"/>
  <c r="S81" i="47"/>
  <c r="AC97" i="47"/>
  <c r="AP97" i="47"/>
  <c r="H422" i="47"/>
  <c r="H121" i="47"/>
  <c r="P422" i="47"/>
  <c r="P121" i="47"/>
  <c r="X422" i="47"/>
  <c r="X121" i="47"/>
  <c r="F121" i="47"/>
  <c r="F424" i="47"/>
  <c r="N424" i="47"/>
  <c r="N121" i="47"/>
  <c r="V424" i="47"/>
  <c r="V121" i="47"/>
  <c r="G121" i="47"/>
  <c r="B163" i="47"/>
  <c r="AM140" i="47"/>
  <c r="BA139" i="47"/>
  <c r="AE180" i="47"/>
  <c r="AV221" i="47"/>
  <c r="AV222" i="47" s="1"/>
  <c r="BA12" i="47"/>
  <c r="B442" i="47"/>
  <c r="B456" i="47" s="1"/>
  <c r="B474" i="47" s="1"/>
  <c r="AI17" i="47"/>
  <c r="AQ17" i="47"/>
  <c r="AQ18" i="47" s="1"/>
  <c r="AY17" i="47"/>
  <c r="AY18" i="47" s="1"/>
  <c r="C306" i="47"/>
  <c r="AL278" i="47"/>
  <c r="K306" i="47"/>
  <c r="J41" i="47"/>
  <c r="X41" i="47"/>
  <c r="AH57" i="47"/>
  <c r="AH58" i="47" s="1"/>
  <c r="AS57" i="47"/>
  <c r="AS58" i="47" s="1"/>
  <c r="AR338" i="47"/>
  <c r="AF97" i="47"/>
  <c r="AF98" i="47" s="1"/>
  <c r="AQ97" i="47"/>
  <c r="I422" i="47"/>
  <c r="I121" i="47"/>
  <c r="Q422" i="47"/>
  <c r="Q121" i="47"/>
  <c r="AR94" i="47"/>
  <c r="Y422" i="47"/>
  <c r="Y121" i="47"/>
  <c r="AC132" i="47"/>
  <c r="AI136" i="47"/>
  <c r="U163" i="47"/>
  <c r="AM180" i="47"/>
  <c r="G437" i="47"/>
  <c r="G451" i="47" s="1"/>
  <c r="G469" i="47" s="1"/>
  <c r="AN15" i="47"/>
  <c r="AN18" i="47" s="1"/>
  <c r="AV15" i="47"/>
  <c r="AC274" i="47"/>
  <c r="D301" i="47"/>
  <c r="D306" i="47" s="1"/>
  <c r="D41" i="47"/>
  <c r="L301" i="47"/>
  <c r="L306" i="47" s="1"/>
  <c r="L41" i="47"/>
  <c r="T301" i="47"/>
  <c r="T41" i="47"/>
  <c r="K41" i="47"/>
  <c r="Y41" i="47"/>
  <c r="AL55" i="47"/>
  <c r="AI57" i="47"/>
  <c r="AI58" i="47" s="1"/>
  <c r="AU57" i="47"/>
  <c r="J361" i="47"/>
  <c r="J81" i="47"/>
  <c r="R361" i="47"/>
  <c r="R81" i="47"/>
  <c r="I81" i="47"/>
  <c r="AG97" i="47"/>
  <c r="AS97" i="47"/>
  <c r="AS98" i="47" s="1"/>
  <c r="B422" i="47"/>
  <c r="AC399" i="47" s="1"/>
  <c r="AC94" i="47"/>
  <c r="J422" i="47"/>
  <c r="J121" i="47"/>
  <c r="AH95" i="47"/>
  <c r="AP95" i="47"/>
  <c r="AP98" i="47" s="1"/>
  <c r="AX95" i="47"/>
  <c r="M121" i="47"/>
  <c r="AG222" i="47"/>
  <c r="AY283" i="47"/>
  <c r="AW221" i="47"/>
  <c r="AW222" i="47" s="1"/>
  <c r="AO221" i="47"/>
  <c r="AO222" i="47" s="1"/>
  <c r="AG221" i="47"/>
  <c r="AY180" i="47"/>
  <c r="AY181" i="47" s="1"/>
  <c r="AQ180" i="47"/>
  <c r="AI180" i="47"/>
  <c r="AU221" i="47"/>
  <c r="AM221" i="47"/>
  <c r="AE221" i="47"/>
  <c r="AW180" i="47"/>
  <c r="AW181" i="47" s="1"/>
  <c r="AO180" i="47"/>
  <c r="AG180" i="47"/>
  <c r="AG181" i="47" s="1"/>
  <c r="AY139" i="47"/>
  <c r="AY140" i="47" s="1"/>
  <c r="AT221" i="47"/>
  <c r="AT222" i="47" s="1"/>
  <c r="AL221" i="47"/>
  <c r="AD221" i="47"/>
  <c r="AD222" i="47" s="1"/>
  <c r="AV180" i="47"/>
  <c r="AV181" i="47" s="1"/>
  <c r="AN180" i="47"/>
  <c r="AN181" i="47" s="1"/>
  <c r="AF180" i="47"/>
  <c r="AX139" i="47"/>
  <c r="AX140" i="47" s="1"/>
  <c r="AP139" i="47"/>
  <c r="AP140" i="47" s="1"/>
  <c r="AH139" i="47"/>
  <c r="AH140" i="47" s="1"/>
  <c r="AS221" i="47"/>
  <c r="AH221" i="47"/>
  <c r="AH222" i="47" s="1"/>
  <c r="AR180" i="47"/>
  <c r="AR181" i="47" s="1"/>
  <c r="AD180" i="47"/>
  <c r="AZ139" i="47"/>
  <c r="AZ140" i="47" s="1"/>
  <c r="AO139" i="47"/>
  <c r="AF139" i="47"/>
  <c r="AR221" i="47"/>
  <c r="AR222" i="47" s="1"/>
  <c r="AF221" i="47"/>
  <c r="AP180" i="47"/>
  <c r="AP181" i="47" s="1"/>
  <c r="AC180" i="47"/>
  <c r="AW139" i="47"/>
  <c r="AN139" i="47"/>
  <c r="AE139" i="47"/>
  <c r="AQ221" i="47"/>
  <c r="AQ222" i="47" s="1"/>
  <c r="AC221" i="47"/>
  <c r="BA221" i="47"/>
  <c r="AP221" i="47"/>
  <c r="AZ180" i="47"/>
  <c r="AL180" i="47"/>
  <c r="AL181" i="47" s="1"/>
  <c r="AU139" i="47"/>
  <c r="AU140" i="47" s="1"/>
  <c r="AL139" i="47"/>
  <c r="AL140" i="47" s="1"/>
  <c r="AC139" i="47"/>
  <c r="AU97" i="47"/>
  <c r="AM97" i="47"/>
  <c r="AM98" i="47" s="1"/>
  <c r="AE97" i="47"/>
  <c r="AE98" i="47" s="1"/>
  <c r="AW57" i="47"/>
  <c r="AW58" i="47" s="1"/>
  <c r="AO57" i="47"/>
  <c r="AO58" i="47" s="1"/>
  <c r="AG57" i="47"/>
  <c r="AG58" i="47" s="1"/>
  <c r="AZ221" i="47"/>
  <c r="AZ222" i="47" s="1"/>
  <c r="AN221" i="47"/>
  <c r="AX180" i="47"/>
  <c r="AK180" i="47"/>
  <c r="AT139" i="47"/>
  <c r="AK139" i="47"/>
  <c r="AK140" i="47" s="1"/>
  <c r="AT97" i="47"/>
  <c r="AT98" i="47" s="1"/>
  <c r="AL97" i="47"/>
  <c r="AL98" i="47" s="1"/>
  <c r="AD97" i="47"/>
  <c r="AD98" i="47" s="1"/>
  <c r="AV57" i="47"/>
  <c r="AN57" i="47"/>
  <c r="AF57" i="47"/>
  <c r="AY221" i="47"/>
  <c r="AK221" i="47"/>
  <c r="AU180" i="47"/>
  <c r="AJ180" i="47"/>
  <c r="AJ181" i="47" s="1"/>
  <c r="AS139" i="47"/>
  <c r="AS140" i="47" s="1"/>
  <c r="AJ139" i="47"/>
  <c r="AX221" i="47"/>
  <c r="AX222" i="47" s="1"/>
  <c r="AJ221" i="47"/>
  <c r="AT180" i="47"/>
  <c r="AT181" i="47" s="1"/>
  <c r="AH180" i="47"/>
  <c r="AH181" i="47" s="1"/>
  <c r="AR139" i="47"/>
  <c r="AI139" i="47"/>
  <c r="AZ97" i="47"/>
  <c r="AZ98" i="47" s="1"/>
  <c r="AR97" i="47"/>
  <c r="AJ97" i="47"/>
  <c r="AJ98" i="47" s="1"/>
  <c r="AT57" i="47"/>
  <c r="AL57" i="47"/>
  <c r="AD57" i="47"/>
  <c r="AD58" i="47" s="1"/>
  <c r="AG15" i="47"/>
  <c r="AO15" i="47"/>
  <c r="AW15" i="47"/>
  <c r="AC17" i="47"/>
  <c r="AK17" i="47"/>
  <c r="AK18" i="47" s="1"/>
  <c r="AS17" i="47"/>
  <c r="AS18" i="47" s="1"/>
  <c r="BA17" i="47"/>
  <c r="BA276" i="47"/>
  <c r="E306" i="47"/>
  <c r="AF278" i="47"/>
  <c r="U306" i="47"/>
  <c r="M41" i="47"/>
  <c r="Z41" i="47"/>
  <c r="AM58" i="47"/>
  <c r="AJ57" i="47"/>
  <c r="AX57" i="47"/>
  <c r="B346" i="47"/>
  <c r="AC335" i="47" s="1"/>
  <c r="I436" i="47" s="1"/>
  <c r="I450" i="47" s="1"/>
  <c r="I468" i="47" s="1"/>
  <c r="AC51" i="47"/>
  <c r="C436" i="47" s="1"/>
  <c r="C450" i="47" s="1"/>
  <c r="C468" i="47" s="1"/>
  <c r="AL338" i="47"/>
  <c r="K81" i="47"/>
  <c r="AH97" i="47"/>
  <c r="AV97" i="47"/>
  <c r="C422" i="47"/>
  <c r="C121" i="47"/>
  <c r="K422" i="47"/>
  <c r="K121" i="47"/>
  <c r="S422" i="47"/>
  <c r="S427" i="47" s="1"/>
  <c r="S121" i="47"/>
  <c r="O121" i="47"/>
  <c r="AD139" i="47"/>
  <c r="AD140" i="47" s="1"/>
  <c r="Z163" i="47"/>
  <c r="M163" i="47"/>
  <c r="BA180" i="47"/>
  <c r="B306" i="47"/>
  <c r="AD17" i="47"/>
  <c r="AL17" i="47"/>
  <c r="AL18" i="47" s="1"/>
  <c r="AT17" i="47"/>
  <c r="AT18" i="47" s="1"/>
  <c r="F301" i="47"/>
  <c r="F306" i="47" s="1"/>
  <c r="F41" i="47"/>
  <c r="N301" i="47"/>
  <c r="N41" i="47"/>
  <c r="V301" i="47"/>
  <c r="V306" i="47" s="1"/>
  <c r="V41" i="47"/>
  <c r="B41" i="47"/>
  <c r="P41" i="47"/>
  <c r="AJ56" i="47"/>
  <c r="AR56" i="47"/>
  <c r="AZ56" i="47"/>
  <c r="AK57" i="47"/>
  <c r="AK58" i="47" s="1"/>
  <c r="AY57" i="47"/>
  <c r="AY58" i="47" s="1"/>
  <c r="AC334" i="47"/>
  <c r="D361" i="47"/>
  <c r="D81" i="47"/>
  <c r="L361" i="47"/>
  <c r="L81" i="47"/>
  <c r="T361" i="47"/>
  <c r="T81" i="47"/>
  <c r="AJ55" i="47"/>
  <c r="AR55" i="47"/>
  <c r="AZ55" i="47"/>
  <c r="N81" i="47"/>
  <c r="Y81" i="47"/>
  <c r="BA93" i="47"/>
  <c r="D438" i="47" s="1"/>
  <c r="D452" i="47" s="1"/>
  <c r="D470" i="47" s="1"/>
  <c r="AI96" i="47"/>
  <c r="AQ96" i="47"/>
  <c r="AQ98" i="47" s="1"/>
  <c r="AY96" i="47"/>
  <c r="AI97" i="47"/>
  <c r="AW97" i="47"/>
  <c r="AW98" i="47" s="1"/>
  <c r="AG139" i="47"/>
  <c r="AC173" i="47"/>
  <c r="AI181" i="47"/>
  <c r="AF222" i="47"/>
  <c r="AC10" i="47"/>
  <c r="G41" i="47"/>
  <c r="G301" i="47"/>
  <c r="G306" i="47" s="1"/>
  <c r="O301" i="47"/>
  <c r="O306" i="47" s="1"/>
  <c r="O41" i="47"/>
  <c r="W301" i="47"/>
  <c r="W41" i="47"/>
  <c r="Z348" i="47"/>
  <c r="Z81" i="47"/>
  <c r="E361" i="47"/>
  <c r="E81" i="47"/>
  <c r="AF54" i="47"/>
  <c r="M361" i="47"/>
  <c r="M81" i="47"/>
  <c r="U361" i="47"/>
  <c r="U81" i="47"/>
  <c r="Z409" i="47"/>
  <c r="Z121" i="47"/>
  <c r="AJ140" i="47"/>
  <c r="AN222" i="47"/>
  <c r="H306" i="47"/>
  <c r="AI278" i="47"/>
  <c r="E41" i="47"/>
  <c r="E163" i="47"/>
  <c r="AF137" i="47"/>
  <c r="L362" i="47"/>
  <c r="AM341" i="47" s="1"/>
  <c r="AI14" i="47"/>
  <c r="B439" i="47" s="1"/>
  <c r="B453" i="47" s="1"/>
  <c r="B471" i="47" s="1"/>
  <c r="AG17" i="47"/>
  <c r="AO17" i="47"/>
  <c r="AW17" i="47"/>
  <c r="Q306" i="47"/>
  <c r="AR278" i="47"/>
  <c r="H41" i="47"/>
  <c r="S41" i="47"/>
  <c r="AL54" i="47"/>
  <c r="AT55" i="47"/>
  <c r="AT58" i="47" s="1"/>
  <c r="AE56" i="47"/>
  <c r="AU56" i="47"/>
  <c r="AC57" i="47"/>
  <c r="AQ57" i="47"/>
  <c r="AQ58" i="47" s="1"/>
  <c r="W361" i="47"/>
  <c r="AX54" i="47"/>
  <c r="AX58" i="47" s="1"/>
  <c r="F81" i="47"/>
  <c r="Q81" i="47"/>
  <c r="AI94" i="47"/>
  <c r="AO97" i="47"/>
  <c r="AO98" i="47" s="1"/>
  <c r="BA97" i="47"/>
  <c r="O427" i="47"/>
  <c r="E121" i="47"/>
  <c r="AV139" i="47"/>
  <c r="AV140" i="47" s="1"/>
  <c r="AG137" i="47"/>
  <c r="AG140" i="47" s="1"/>
  <c r="AO137" i="47"/>
  <c r="AW137" i="47"/>
  <c r="AQ181" i="47"/>
  <c r="AO177" i="47"/>
  <c r="N204" i="47"/>
  <c r="C204" i="47"/>
  <c r="AD178" i="47"/>
  <c r="AI221" i="47"/>
  <c r="G442" i="47"/>
  <c r="G456" i="47" s="1"/>
  <c r="G474" i="47" s="1"/>
  <c r="B366" i="47"/>
  <c r="AO338" i="47"/>
  <c r="B81" i="47"/>
  <c r="AC395" i="47"/>
  <c r="AU399" i="47"/>
  <c r="T427" i="47"/>
  <c r="AX177" i="47"/>
  <c r="I204" i="47"/>
  <c r="AU218" i="47"/>
  <c r="AU222" i="47" s="1"/>
  <c r="G245" i="47"/>
  <c r="AL282" i="47"/>
  <c r="AV280" i="47"/>
  <c r="T305" i="47"/>
  <c r="AU279" i="47" s="1"/>
  <c r="AF399" i="47"/>
  <c r="E442" i="47"/>
  <c r="E456" i="47" s="1"/>
  <c r="E474" i="47" s="1"/>
  <c r="X245" i="47"/>
  <c r="H245" i="47"/>
  <c r="AU282" i="47"/>
  <c r="AI338" i="47"/>
  <c r="AO399" i="47"/>
  <c r="B121" i="47"/>
  <c r="R121" i="47"/>
  <c r="AR136" i="47"/>
  <c r="F163" i="47"/>
  <c r="N163" i="47"/>
  <c r="V163" i="47"/>
  <c r="AZ179" i="47"/>
  <c r="D204" i="47"/>
  <c r="L204" i="47"/>
  <c r="T204" i="47"/>
  <c r="I366" i="47"/>
  <c r="AC90" i="47"/>
  <c r="BA94" i="47"/>
  <c r="G427" i="47"/>
  <c r="AX399" i="47"/>
  <c r="W427" i="47"/>
  <c r="G163" i="47"/>
  <c r="O163" i="47"/>
  <c r="W163" i="47"/>
  <c r="BA175" i="47"/>
  <c r="E204" i="47"/>
  <c r="AF177" i="47"/>
  <c r="AF181" i="47" s="1"/>
  <c r="M204" i="47"/>
  <c r="U204" i="47"/>
  <c r="Z204" i="47"/>
  <c r="J245" i="47"/>
  <c r="R245" i="47"/>
  <c r="AC329" i="47"/>
  <c r="B320" i="47"/>
  <c r="AE178" i="47"/>
  <c r="AE181" i="47" s="1"/>
  <c r="AM178" i="47"/>
  <c r="AU178" i="47"/>
  <c r="B245" i="47"/>
  <c r="AL218" i="47"/>
  <c r="AL222" i="47" s="1"/>
  <c r="AC214" i="47"/>
  <c r="P245" i="47"/>
  <c r="V305" i="47"/>
  <c r="AW279" i="47" s="1"/>
  <c r="N305" i="47"/>
  <c r="AO279" i="47" s="1"/>
  <c r="F305" i="47"/>
  <c r="AG279" i="47" s="1"/>
  <c r="U305" i="47"/>
  <c r="AV279" i="47" s="1"/>
  <c r="M305" i="47"/>
  <c r="AN279" i="47" s="1"/>
  <c r="E305" i="47"/>
  <c r="AF279" i="47" s="1"/>
  <c r="Z305" i="47"/>
  <c r="BA279" i="47" s="1"/>
  <c r="R305" i="47"/>
  <c r="AS279" i="47" s="1"/>
  <c r="J305" i="47"/>
  <c r="AK279" i="47" s="1"/>
  <c r="B305" i="47"/>
  <c r="AC279" i="47" s="1"/>
  <c r="Y305" i="47"/>
  <c r="AZ279" i="47" s="1"/>
  <c r="Q305" i="47"/>
  <c r="AR279" i="47" s="1"/>
  <c r="I305" i="47"/>
  <c r="AJ279" i="47" s="1"/>
  <c r="W305" i="47"/>
  <c r="AX279" i="47" s="1"/>
  <c r="G305" i="47"/>
  <c r="AH279" i="47" s="1"/>
  <c r="S305" i="47"/>
  <c r="AT279" i="47" s="1"/>
  <c r="C305" i="47"/>
  <c r="AD279" i="47" s="1"/>
  <c r="P305" i="47"/>
  <c r="AQ279" i="47" s="1"/>
  <c r="O305" i="47"/>
  <c r="AP279" i="47" s="1"/>
  <c r="L305" i="47"/>
  <c r="AM279" i="47" s="1"/>
  <c r="K305" i="47"/>
  <c r="AL279" i="47" s="1"/>
  <c r="Z245" i="47"/>
  <c r="AC219" i="47"/>
  <c r="AK219" i="47"/>
  <c r="AS219" i="47"/>
  <c r="AS222" i="47" s="1"/>
  <c r="BA219" i="47"/>
  <c r="BA222" i="47" s="1"/>
  <c r="AT282" i="47"/>
  <c r="AH282" i="47"/>
  <c r="D305" i="47"/>
  <c r="AE279" i="47" s="1"/>
  <c r="AM282" i="47"/>
  <c r="AZ282" i="47"/>
  <c r="AK342" i="47"/>
  <c r="AD282" i="47"/>
  <c r="AP282" i="47"/>
  <c r="AU342" i="47"/>
  <c r="AM342" i="47"/>
  <c r="AE342" i="47"/>
  <c r="AT342" i="47"/>
  <c r="AL342" i="47"/>
  <c r="AD342" i="47"/>
  <c r="AY342" i="47"/>
  <c r="AQ342" i="47"/>
  <c r="AI342" i="47"/>
  <c r="AX342" i="47"/>
  <c r="AP342" i="47"/>
  <c r="AH342" i="47"/>
  <c r="AN342" i="47"/>
  <c r="AE401" i="47"/>
  <c r="AE282" i="47"/>
  <c r="AQ282" i="47"/>
  <c r="AJ280" i="47"/>
  <c r="AR280" i="47"/>
  <c r="AZ280" i="47"/>
  <c r="AG282" i="47"/>
  <c r="AR342" i="47"/>
  <c r="AE403" i="47"/>
  <c r="AW403" i="47"/>
  <c r="AD403" i="47"/>
  <c r="AO403" i="47"/>
  <c r="AM403" i="47"/>
  <c r="AT401" i="47"/>
  <c r="AW282" i="47"/>
  <c r="AO282" i="47"/>
  <c r="AV282" i="47"/>
  <c r="AN282" i="47"/>
  <c r="AF282" i="47"/>
  <c r="BA282" i="47"/>
  <c r="AS282" i="47"/>
  <c r="AK282" i="47"/>
  <c r="AC282" i="47"/>
  <c r="AJ282" i="47"/>
  <c r="AX282" i="47"/>
  <c r="AP401" i="47"/>
  <c r="U364" i="47"/>
  <c r="AV340" i="47" s="1"/>
  <c r="M364" i="47"/>
  <c r="AN340" i="47" s="1"/>
  <c r="E364" i="47"/>
  <c r="AF340" i="47" s="1"/>
  <c r="T364" i="47"/>
  <c r="AU340" i="47" s="1"/>
  <c r="L364" i="47"/>
  <c r="AM340" i="47" s="1"/>
  <c r="D364" i="47"/>
  <c r="AE340" i="47" s="1"/>
  <c r="S364" i="47"/>
  <c r="AT340" i="47" s="1"/>
  <c r="K364" i="47"/>
  <c r="AL340" i="47" s="1"/>
  <c r="C364" i="47"/>
  <c r="AD340" i="47" s="1"/>
  <c r="Z364" i="47"/>
  <c r="BA340" i="47" s="1"/>
  <c r="R364" i="47"/>
  <c r="AS340" i="47" s="1"/>
  <c r="J364" i="47"/>
  <c r="AK340" i="47" s="1"/>
  <c r="B364" i="47"/>
  <c r="AC340" i="47" s="1"/>
  <c r="X364" i="47"/>
  <c r="AY340" i="47" s="1"/>
  <c r="P364" i="47"/>
  <c r="AQ340" i="47" s="1"/>
  <c r="H364" i="47"/>
  <c r="AI340" i="47" s="1"/>
  <c r="F364" i="47"/>
  <c r="AG340" i="47" s="1"/>
  <c r="Y364" i="47"/>
  <c r="AZ340" i="47" s="1"/>
  <c r="AU401" i="47"/>
  <c r="G364" i="47"/>
  <c r="AH340" i="47" s="1"/>
  <c r="AV401" i="47"/>
  <c r="O364" i="47"/>
  <c r="AP340" i="47" s="1"/>
  <c r="B380" i="47"/>
  <c r="Q364" i="47"/>
  <c r="AR340" i="47" s="1"/>
  <c r="AM401" i="47"/>
  <c r="AF403" i="47"/>
  <c r="AN403" i="47"/>
  <c r="AV403" i="47"/>
  <c r="F425" i="47"/>
  <c r="AG401" i="47" s="1"/>
  <c r="N425" i="47"/>
  <c r="AO401" i="47" s="1"/>
  <c r="V425" i="47"/>
  <c r="AW401" i="47" s="1"/>
  <c r="AH403" i="47"/>
  <c r="AP403" i="47"/>
  <c r="AX403" i="47"/>
  <c r="H425" i="47"/>
  <c r="AI401" i="47" s="1"/>
  <c r="P425" i="47"/>
  <c r="AQ401" i="47" s="1"/>
  <c r="X425" i="47"/>
  <c r="AY401" i="47" s="1"/>
  <c r="AI403" i="47"/>
  <c r="AQ403" i="47"/>
  <c r="AY403" i="47"/>
  <c r="I425" i="47"/>
  <c r="AJ401" i="47" s="1"/>
  <c r="Q425" i="47"/>
  <c r="AR401" i="47" s="1"/>
  <c r="Y425" i="47"/>
  <c r="AZ401" i="47" s="1"/>
  <c r="AJ403" i="47"/>
  <c r="AR403" i="47"/>
  <c r="AZ403" i="47"/>
  <c r="B425" i="47"/>
  <c r="AC401" i="47" s="1"/>
  <c r="J425" i="47"/>
  <c r="AK401" i="47" s="1"/>
  <c r="R425" i="47"/>
  <c r="AS401" i="47" s="1"/>
  <c r="Z425" i="47"/>
  <c r="BA401" i="47" s="1"/>
  <c r="AC403" i="47"/>
  <c r="AK403" i="47"/>
  <c r="AS403" i="47"/>
  <c r="BA403" i="47"/>
  <c r="C425" i="47"/>
  <c r="AD401" i="47" s="1"/>
  <c r="K425" i="47"/>
  <c r="AL401" i="47" s="1"/>
  <c r="H245" i="46"/>
  <c r="AQ220" i="46"/>
  <c r="AQ222" i="46" s="1"/>
  <c r="T245" i="46"/>
  <c r="AN222" i="46"/>
  <c r="AM222" i="46"/>
  <c r="AE222" i="46"/>
  <c r="X245" i="46"/>
  <c r="Z245" i="46"/>
  <c r="AI222" i="46"/>
  <c r="AY222" i="46"/>
  <c r="AL222" i="46"/>
  <c r="AK222" i="46"/>
  <c r="AR222" i="46"/>
  <c r="AZ222" i="46"/>
  <c r="AL181" i="46"/>
  <c r="AJ181" i="46"/>
  <c r="AV181" i="46"/>
  <c r="AT181" i="46"/>
  <c r="AZ181" i="46"/>
  <c r="I204" i="46"/>
  <c r="Q204" i="46"/>
  <c r="Y204" i="46"/>
  <c r="AH181" i="46"/>
  <c r="AP181" i="46"/>
  <c r="AG181" i="46"/>
  <c r="AX181" i="46"/>
  <c r="J204" i="46"/>
  <c r="R204" i="46"/>
  <c r="C204" i="46"/>
  <c r="K204" i="46"/>
  <c r="S204" i="46"/>
  <c r="AD181" i="46"/>
  <c r="Z204" i="46"/>
  <c r="AL140" i="46"/>
  <c r="AZ140" i="46"/>
  <c r="AH140" i="46"/>
  <c r="AP140" i="46"/>
  <c r="AG140" i="46"/>
  <c r="AW140" i="46"/>
  <c r="C163" i="46"/>
  <c r="K163" i="46"/>
  <c r="S163" i="46"/>
  <c r="AQ140" i="46"/>
  <c r="Z163" i="46"/>
  <c r="AD140" i="46"/>
  <c r="AT140" i="46"/>
  <c r="AE140" i="46"/>
  <c r="AM140" i="46"/>
  <c r="AU140" i="46"/>
  <c r="AJ98" i="46"/>
  <c r="AK96" i="46"/>
  <c r="AS96" i="46"/>
  <c r="D442" i="46" s="1"/>
  <c r="D456" i="46" s="1"/>
  <c r="D474" i="46" s="1"/>
  <c r="BA96" i="46"/>
  <c r="AK98" i="46"/>
  <c r="C427" i="46"/>
  <c r="S427" i="46"/>
  <c r="AQ98" i="46"/>
  <c r="AY98" i="46"/>
  <c r="U121" i="46"/>
  <c r="AO98" i="46"/>
  <c r="V427" i="46"/>
  <c r="AZ98" i="46"/>
  <c r="AV98" i="46"/>
  <c r="AS58" i="46"/>
  <c r="AJ58" i="46"/>
  <c r="AZ58" i="46"/>
  <c r="AT58" i="46"/>
  <c r="Z81" i="46"/>
  <c r="AD58" i="46"/>
  <c r="AE58" i="46"/>
  <c r="AM58" i="46"/>
  <c r="AK58" i="46"/>
  <c r="J366" i="46"/>
  <c r="R366" i="46"/>
  <c r="D306" i="46"/>
  <c r="AK18" i="46"/>
  <c r="AS18" i="46"/>
  <c r="R302" i="46"/>
  <c r="AS281" i="46" s="1"/>
  <c r="AT18" i="46"/>
  <c r="P306" i="46"/>
  <c r="AD18" i="46"/>
  <c r="AH18" i="46"/>
  <c r="AP18" i="46"/>
  <c r="BA16" i="46"/>
  <c r="B442" i="46" s="1"/>
  <c r="B456" i="46" s="1"/>
  <c r="B474" i="46" s="1"/>
  <c r="AQ18" i="46"/>
  <c r="AY18" i="46"/>
  <c r="H442" i="46"/>
  <c r="H456" i="46" s="1"/>
  <c r="H474" i="46" s="1"/>
  <c r="F435" i="46"/>
  <c r="F449" i="46" s="1"/>
  <c r="F467" i="46" s="1"/>
  <c r="AC181" i="46"/>
  <c r="L306" i="46"/>
  <c r="AO140" i="46"/>
  <c r="AQ181" i="46"/>
  <c r="F442" i="46"/>
  <c r="F456" i="46" s="1"/>
  <c r="F474" i="46" s="1"/>
  <c r="B435" i="46"/>
  <c r="B449" i="46" s="1"/>
  <c r="B467" i="46" s="1"/>
  <c r="AX18" i="46"/>
  <c r="N306" i="46"/>
  <c r="AO278" i="46"/>
  <c r="V306" i="46"/>
  <c r="AC334" i="46"/>
  <c r="AI98" i="46"/>
  <c r="AY140" i="46"/>
  <c r="F437" i="46"/>
  <c r="F451" i="46" s="1"/>
  <c r="F469" i="46" s="1"/>
  <c r="BA181" i="46"/>
  <c r="AO181" i="46"/>
  <c r="AF181" i="46"/>
  <c r="E435" i="46"/>
  <c r="E449" i="46" s="1"/>
  <c r="E467" i="46" s="1"/>
  <c r="AC140" i="46"/>
  <c r="AX140" i="46"/>
  <c r="AY181" i="46"/>
  <c r="H366" i="46"/>
  <c r="AI338" i="46"/>
  <c r="K306" i="46"/>
  <c r="AL278" i="46"/>
  <c r="S306" i="46"/>
  <c r="P204" i="46"/>
  <c r="O306" i="46"/>
  <c r="P366" i="46"/>
  <c r="AR14" i="46"/>
  <c r="T306" i="46"/>
  <c r="H41" i="46"/>
  <c r="P41" i="46"/>
  <c r="X41" i="46"/>
  <c r="BA52" i="46"/>
  <c r="C442" i="46"/>
  <c r="C456" i="46" s="1"/>
  <c r="C474" i="46" s="1"/>
  <c r="K366" i="46"/>
  <c r="AL338" i="46"/>
  <c r="S366" i="46"/>
  <c r="I442" i="46"/>
  <c r="I456" i="46" s="1"/>
  <c r="I474" i="46" s="1"/>
  <c r="G81" i="46"/>
  <c r="O81" i="46"/>
  <c r="W81" i="46"/>
  <c r="AL94" i="46"/>
  <c r="AL98" i="46" s="1"/>
  <c r="J427" i="46"/>
  <c r="R427" i="46"/>
  <c r="F121" i="46"/>
  <c r="N121" i="46"/>
  <c r="AI136" i="46"/>
  <c r="AI140" i="46" s="1"/>
  <c r="E441" i="46"/>
  <c r="E455" i="46" s="1"/>
  <c r="E473" i="46" s="1"/>
  <c r="N163" i="46"/>
  <c r="AI177" i="46"/>
  <c r="AI181" i="46" s="1"/>
  <c r="F441" i="46"/>
  <c r="F455" i="46" s="1"/>
  <c r="F473" i="46" s="1"/>
  <c r="BA216" i="46"/>
  <c r="AO222" i="46"/>
  <c r="F245" i="46"/>
  <c r="N245" i="46"/>
  <c r="V245" i="46"/>
  <c r="AD222" i="46"/>
  <c r="AT222" i="46"/>
  <c r="B275" i="46"/>
  <c r="C362" i="46"/>
  <c r="AD341" i="46" s="1"/>
  <c r="O423" i="46"/>
  <c r="AP402" i="46" s="1"/>
  <c r="B443" i="46"/>
  <c r="B457" i="46" s="1"/>
  <c r="B475" i="46" s="1"/>
  <c r="BA276" i="46"/>
  <c r="U306" i="46"/>
  <c r="I41" i="46"/>
  <c r="Q41" i="46"/>
  <c r="Y41" i="46"/>
  <c r="H81" i="46"/>
  <c r="P81" i="46"/>
  <c r="X81" i="46"/>
  <c r="BA92" i="46"/>
  <c r="AL399" i="46"/>
  <c r="K427" i="46"/>
  <c r="J442" i="46"/>
  <c r="J456" i="46" s="1"/>
  <c r="J474" i="46" s="1"/>
  <c r="G121" i="46"/>
  <c r="W121" i="46"/>
  <c r="AV222" i="46"/>
  <c r="C245" i="46"/>
  <c r="AD280" i="46"/>
  <c r="H441" i="46" s="1"/>
  <c r="H455" i="46" s="1"/>
  <c r="H473" i="46" s="1"/>
  <c r="AL280" i="46"/>
  <c r="AT280" i="46"/>
  <c r="M365" i="46"/>
  <c r="AN339" i="46" s="1"/>
  <c r="AN343" i="46" s="1"/>
  <c r="F306" i="46"/>
  <c r="B41" i="46"/>
  <c r="J41" i="46"/>
  <c r="R41" i="46"/>
  <c r="Z41" i="46"/>
  <c r="BA53" i="46"/>
  <c r="C438" i="46" s="1"/>
  <c r="C452" i="46" s="1"/>
  <c r="C470" i="46" s="1"/>
  <c r="AU54" i="46"/>
  <c r="AU58" i="46" s="1"/>
  <c r="C443" i="46"/>
  <c r="C457" i="46" s="1"/>
  <c r="C475" i="46" s="1"/>
  <c r="E366" i="46"/>
  <c r="AF338" i="46"/>
  <c r="I439" i="46" s="1"/>
  <c r="I453" i="46" s="1"/>
  <c r="I471" i="46" s="1"/>
  <c r="M366" i="46"/>
  <c r="U366" i="46"/>
  <c r="I81" i="46"/>
  <c r="Q81" i="46"/>
  <c r="Y81" i="46"/>
  <c r="AR94" i="46"/>
  <c r="AR98" i="46" s="1"/>
  <c r="AC395" i="46"/>
  <c r="D427" i="46"/>
  <c r="L427" i="46"/>
  <c r="AU399" i="46"/>
  <c r="T427" i="46"/>
  <c r="H121" i="46"/>
  <c r="P121" i="46"/>
  <c r="X121" i="46"/>
  <c r="BA134" i="46"/>
  <c r="AK138" i="46"/>
  <c r="AK140" i="46" s="1"/>
  <c r="AS138" i="46"/>
  <c r="AS140" i="46" s="1"/>
  <c r="T204" i="46"/>
  <c r="AU218" i="46"/>
  <c r="AU222" i="46" s="1"/>
  <c r="Z301" i="46"/>
  <c r="BA278" i="46" s="1"/>
  <c r="Z348" i="46"/>
  <c r="S365" i="46"/>
  <c r="AT339" i="46" s="1"/>
  <c r="S426" i="46"/>
  <c r="AT400" i="46" s="1"/>
  <c r="K426" i="46"/>
  <c r="AL400" i="46" s="1"/>
  <c r="C426" i="46"/>
  <c r="AD400" i="46" s="1"/>
  <c r="Y426" i="46"/>
  <c r="AZ400" i="46" s="1"/>
  <c r="Q426" i="46"/>
  <c r="AR400" i="46" s="1"/>
  <c r="AR404" i="46" s="1"/>
  <c r="I426" i="46"/>
  <c r="AJ400" i="46" s="1"/>
  <c r="X426" i="46"/>
  <c r="AY400" i="46" s="1"/>
  <c r="P426" i="46"/>
  <c r="AQ400" i="46" s="1"/>
  <c r="AQ404" i="46" s="1"/>
  <c r="H426" i="46"/>
  <c r="AI400" i="46" s="1"/>
  <c r="W426" i="46"/>
  <c r="AX400" i="46" s="1"/>
  <c r="O426" i="46"/>
  <c r="AP400" i="46" s="1"/>
  <c r="G426" i="46"/>
  <c r="AH400" i="46" s="1"/>
  <c r="U426" i="46"/>
  <c r="AV400" i="46" s="1"/>
  <c r="M426" i="46"/>
  <c r="AN400" i="46" s="1"/>
  <c r="E426" i="46"/>
  <c r="AF400" i="46" s="1"/>
  <c r="F426" i="46"/>
  <c r="AG400" i="46" s="1"/>
  <c r="AG404" i="46" s="1"/>
  <c r="Z426" i="46"/>
  <c r="BA400" i="46" s="1"/>
  <c r="D426" i="46"/>
  <c r="AE400" i="46" s="1"/>
  <c r="R426" i="46"/>
  <c r="AS400" i="46" s="1"/>
  <c r="B426" i="46"/>
  <c r="AC400" i="46" s="1"/>
  <c r="V426" i="46"/>
  <c r="AW400" i="46" s="1"/>
  <c r="AW404" i="46" s="1"/>
  <c r="T426" i="46"/>
  <c r="AU400" i="46" s="1"/>
  <c r="N426" i="46"/>
  <c r="AO400" i="46" s="1"/>
  <c r="L426" i="46"/>
  <c r="AM400" i="46" s="1"/>
  <c r="AC14" i="46"/>
  <c r="BA18" i="46"/>
  <c r="G306" i="46"/>
  <c r="W306" i="46"/>
  <c r="AX278" i="46"/>
  <c r="C41" i="46"/>
  <c r="K41" i="46"/>
  <c r="S41" i="46"/>
  <c r="B366" i="46"/>
  <c r="AX54" i="46"/>
  <c r="AX58" i="46" s="1"/>
  <c r="F366" i="46"/>
  <c r="V366" i="46"/>
  <c r="B81" i="46"/>
  <c r="J81" i="46"/>
  <c r="R81" i="46"/>
  <c r="BA93" i="46"/>
  <c r="D438" i="46" s="1"/>
  <c r="D452" i="46" s="1"/>
  <c r="D470" i="46" s="1"/>
  <c r="AU94" i="46"/>
  <c r="AU98" i="46" s="1"/>
  <c r="D443" i="46"/>
  <c r="D457" i="46" s="1"/>
  <c r="D475" i="46" s="1"/>
  <c r="Z427" i="46"/>
  <c r="BA397" i="46"/>
  <c r="E427" i="46"/>
  <c r="AF399" i="46"/>
  <c r="M427" i="46"/>
  <c r="U427" i="46"/>
  <c r="I121" i="46"/>
  <c r="Q121" i="46"/>
  <c r="Y121" i="46"/>
  <c r="AR136" i="46"/>
  <c r="AR140" i="46" s="1"/>
  <c r="AR177" i="46"/>
  <c r="AR181" i="46" s="1"/>
  <c r="U204" i="46"/>
  <c r="AX218" i="46"/>
  <c r="AX222" i="46" s="1"/>
  <c r="I245" i="46"/>
  <c r="Q245" i="46"/>
  <c r="Y245" i="46"/>
  <c r="J245" i="46"/>
  <c r="B260" i="46"/>
  <c r="Q306" i="46"/>
  <c r="AZ403" i="46"/>
  <c r="AR403" i="46"/>
  <c r="AJ403" i="46"/>
  <c r="AY403" i="46"/>
  <c r="AQ403" i="46"/>
  <c r="AI403" i="46"/>
  <c r="AV403" i="46"/>
  <c r="AN403" i="46"/>
  <c r="AF403" i="46"/>
  <c r="AW403" i="46"/>
  <c r="AK403" i="46"/>
  <c r="AU403" i="46"/>
  <c r="AH403" i="46"/>
  <c r="AP403" i="46"/>
  <c r="AD403" i="46"/>
  <c r="BA403" i="46"/>
  <c r="AE403" i="46"/>
  <c r="AX403" i="46"/>
  <c r="AC403" i="46"/>
  <c r="AT403" i="46"/>
  <c r="AS403" i="46"/>
  <c r="AO403" i="46"/>
  <c r="AM403" i="46"/>
  <c r="AL403" i="46"/>
  <c r="AG403" i="46"/>
  <c r="AL401" i="46"/>
  <c r="AT401" i="46"/>
  <c r="J426" i="46"/>
  <c r="AK400" i="46" s="1"/>
  <c r="AJ15" i="46"/>
  <c r="AJ18" i="46" s="1"/>
  <c r="AR15" i="46"/>
  <c r="AZ15" i="46"/>
  <c r="AZ18" i="46" s="1"/>
  <c r="H306" i="46"/>
  <c r="AI278" i="46"/>
  <c r="D41" i="46"/>
  <c r="L41" i="46"/>
  <c r="T41" i="46"/>
  <c r="AC50" i="46"/>
  <c r="AC54" i="46"/>
  <c r="BA54" i="46"/>
  <c r="AI55" i="46"/>
  <c r="AI58" i="46" s="1"/>
  <c r="AQ55" i="46"/>
  <c r="AQ58" i="46" s="1"/>
  <c r="AY55" i="46"/>
  <c r="AY58" i="46" s="1"/>
  <c r="W366" i="46"/>
  <c r="AX338" i="46"/>
  <c r="K81" i="46"/>
  <c r="S81" i="46"/>
  <c r="B427" i="46"/>
  <c r="AH95" i="46"/>
  <c r="AH98" i="46" s="1"/>
  <c r="AP95" i="46"/>
  <c r="AP98" i="46" s="1"/>
  <c r="AX95" i="46"/>
  <c r="AX98" i="46" s="1"/>
  <c r="F427" i="46"/>
  <c r="N427" i="46"/>
  <c r="AO399" i="46"/>
  <c r="AO404" i="46" s="1"/>
  <c r="B121" i="46"/>
  <c r="J121" i="46"/>
  <c r="R121" i="46"/>
  <c r="Z121" i="46"/>
  <c r="F204" i="46"/>
  <c r="N204" i="46"/>
  <c r="V204" i="46"/>
  <c r="K245" i="46"/>
  <c r="AU278" i="46"/>
  <c r="E301" i="46"/>
  <c r="AG340" i="46"/>
  <c r="I441" i="46" s="1"/>
  <c r="I455" i="46" s="1"/>
  <c r="I473" i="46" s="1"/>
  <c r="Q427" i="46"/>
  <c r="AC11" i="46"/>
  <c r="B436" i="46" s="1"/>
  <c r="B450" i="46" s="1"/>
  <c r="B468" i="46" s="1"/>
  <c r="AI14" i="46"/>
  <c r="AI18" i="46" s="1"/>
  <c r="I306" i="46"/>
  <c r="M41" i="46"/>
  <c r="U41" i="46"/>
  <c r="X366" i="46"/>
  <c r="D81" i="46"/>
  <c r="L81" i="46"/>
  <c r="T81" i="46"/>
  <c r="AC90" i="46"/>
  <c r="D439" i="46"/>
  <c r="D453" i="46" s="1"/>
  <c r="D471" i="46" s="1"/>
  <c r="G427" i="46"/>
  <c r="O427" i="46"/>
  <c r="AX399" i="46"/>
  <c r="AX404" i="46" s="1"/>
  <c r="W427" i="46"/>
  <c r="C121" i="46"/>
  <c r="K121" i="46"/>
  <c r="S121" i="46"/>
  <c r="W204" i="46"/>
  <c r="AF222" i="46"/>
  <c r="AU338" i="46"/>
  <c r="AU343" i="46" s="1"/>
  <c r="N366" i="46"/>
  <c r="AL14" i="46"/>
  <c r="AL18" i="46" s="1"/>
  <c r="J306" i="46"/>
  <c r="R306" i="46"/>
  <c r="I366" i="46"/>
  <c r="Q366" i="46"/>
  <c r="AR338" i="46"/>
  <c r="Y366" i="46"/>
  <c r="H427" i="46"/>
  <c r="AI399" i="46"/>
  <c r="P427" i="46"/>
  <c r="X427" i="46"/>
  <c r="E439" i="46"/>
  <c r="E453" i="46" s="1"/>
  <c r="E471" i="46" s="1"/>
  <c r="F439" i="46"/>
  <c r="F453" i="46" s="1"/>
  <c r="F471" i="46" s="1"/>
  <c r="AC214" i="46"/>
  <c r="G441" i="46"/>
  <c r="G455" i="46" s="1"/>
  <c r="G473" i="46" s="1"/>
  <c r="R245" i="46"/>
  <c r="Z365" i="46"/>
  <c r="BA339" i="46" s="1"/>
  <c r="R365" i="46"/>
  <c r="AS339" i="46" s="1"/>
  <c r="AS343" i="46" s="1"/>
  <c r="J365" i="46"/>
  <c r="AK339" i="46" s="1"/>
  <c r="AK343" i="46" s="1"/>
  <c r="B365" i="46"/>
  <c r="AC339" i="46" s="1"/>
  <c r="Y365" i="46"/>
  <c r="AZ339" i="46" s="1"/>
  <c r="AZ343" i="46" s="1"/>
  <c r="Q365" i="46"/>
  <c r="AR339" i="46" s="1"/>
  <c r="I365" i="46"/>
  <c r="AJ339" i="46" s="1"/>
  <c r="AJ343" i="46" s="1"/>
  <c r="V365" i="46"/>
  <c r="AW339" i="46" s="1"/>
  <c r="AW343" i="46" s="1"/>
  <c r="N365" i="46"/>
  <c r="AO339" i="46" s="1"/>
  <c r="AO343" i="46" s="1"/>
  <c r="F365" i="46"/>
  <c r="AG339" i="46" s="1"/>
  <c r="W365" i="46"/>
  <c r="AX339" i="46" s="1"/>
  <c r="K365" i="46"/>
  <c r="AL339" i="46" s="1"/>
  <c r="U365" i="46"/>
  <c r="AV339" i="46" s="1"/>
  <c r="AV343" i="46" s="1"/>
  <c r="H365" i="46"/>
  <c r="AI339" i="46" s="1"/>
  <c r="P365" i="46"/>
  <c r="AQ339" i="46" s="1"/>
  <c r="AQ343" i="46" s="1"/>
  <c r="D365" i="46"/>
  <c r="AE339" i="46" s="1"/>
  <c r="AE343" i="46" s="1"/>
  <c r="O365" i="46"/>
  <c r="AP339" i="46" s="1"/>
  <c r="AP343" i="46" s="1"/>
  <c r="L365" i="46"/>
  <c r="AM339" i="46" s="1"/>
  <c r="AM343" i="46" s="1"/>
  <c r="G365" i="46"/>
  <c r="AH339" i="46" s="1"/>
  <c r="E365" i="46"/>
  <c r="AF339" i="46" s="1"/>
  <c r="X365" i="46"/>
  <c r="AY339" i="46" s="1"/>
  <c r="AY343" i="46" s="1"/>
  <c r="C365" i="46"/>
  <c r="AD339" i="46" s="1"/>
  <c r="AD343" i="46" s="1"/>
  <c r="G439" i="46"/>
  <c r="G453" i="46" s="1"/>
  <c r="G471" i="46" s="1"/>
  <c r="AE282" i="46"/>
  <c r="H443" i="46" s="1"/>
  <c r="H457" i="46" s="1"/>
  <c r="H475" i="46" s="1"/>
  <c r="AM282" i="46"/>
  <c r="AU282" i="46"/>
  <c r="AF282" i="46"/>
  <c r="AN282" i="46"/>
  <c r="AV282" i="46"/>
  <c r="AG282" i="46"/>
  <c r="AO282" i="46"/>
  <c r="AW282" i="46"/>
  <c r="AX401" i="46"/>
  <c r="AH282" i="46"/>
  <c r="AP282" i="46"/>
  <c r="AX282" i="46"/>
  <c r="AI401" i="46"/>
  <c r="AJ282" i="46"/>
  <c r="AR282" i="46"/>
  <c r="AD401" i="46"/>
  <c r="J441" i="46" s="1"/>
  <c r="J455" i="46" s="1"/>
  <c r="J473" i="46" s="1"/>
  <c r="AD342" i="46"/>
  <c r="AL342" i="46"/>
  <c r="AT342" i="46"/>
  <c r="AG342" i="46"/>
  <c r="AO342" i="46"/>
  <c r="AW342" i="46"/>
  <c r="AE401" i="46"/>
  <c r="AM401" i="46"/>
  <c r="AU401" i="46"/>
  <c r="AH342" i="46"/>
  <c r="I443" i="46" s="1"/>
  <c r="I457" i="46" s="1"/>
  <c r="I475" i="46" s="1"/>
  <c r="AP342" i="46"/>
  <c r="AF401" i="46"/>
  <c r="AN401" i="46"/>
  <c r="AV401" i="46"/>
  <c r="AE220" i="45"/>
  <c r="J245" i="45"/>
  <c r="R245" i="45"/>
  <c r="E245" i="45"/>
  <c r="M245" i="45"/>
  <c r="U245" i="45"/>
  <c r="T245" i="45"/>
  <c r="G442" i="45"/>
  <c r="G456" i="45" s="1"/>
  <c r="G474" i="45" s="1"/>
  <c r="J204" i="45"/>
  <c r="Z204" i="45"/>
  <c r="R204" i="45"/>
  <c r="AS138" i="45"/>
  <c r="Z163" i="45"/>
  <c r="AK138" i="45"/>
  <c r="AK96" i="45"/>
  <c r="D442" i="45" s="1"/>
  <c r="D456" i="45" s="1"/>
  <c r="D474" i="45" s="1"/>
  <c r="AS96" i="45"/>
  <c r="BA96" i="45"/>
  <c r="Y427" i="45"/>
  <c r="AJ98" i="45"/>
  <c r="AC96" i="45"/>
  <c r="AI56" i="45"/>
  <c r="AI58" i="45" s="1"/>
  <c r="AQ56" i="45"/>
  <c r="AY56" i="45"/>
  <c r="AQ58" i="45"/>
  <c r="H81" i="45"/>
  <c r="P81" i="45"/>
  <c r="X81" i="45"/>
  <c r="AY58" i="45"/>
  <c r="AL18" i="45"/>
  <c r="AT18" i="45"/>
  <c r="I306" i="45"/>
  <c r="AH18" i="45"/>
  <c r="AP18" i="45"/>
  <c r="G437" i="45"/>
  <c r="G451" i="45" s="1"/>
  <c r="G469" i="45" s="1"/>
  <c r="BA222" i="45"/>
  <c r="AC274" i="45"/>
  <c r="AP58" i="45"/>
  <c r="E435" i="45"/>
  <c r="E449" i="45" s="1"/>
  <c r="E467" i="45" s="1"/>
  <c r="AC140" i="45"/>
  <c r="F437" i="45"/>
  <c r="F451" i="45" s="1"/>
  <c r="F469" i="45" s="1"/>
  <c r="AR278" i="45"/>
  <c r="BA221" i="45"/>
  <c r="AS221" i="45"/>
  <c r="AS222" i="45" s="1"/>
  <c r="AK221" i="45"/>
  <c r="AK222" i="45" s="1"/>
  <c r="AC221" i="45"/>
  <c r="AV180" i="45"/>
  <c r="AN180" i="45"/>
  <c r="AF180" i="45"/>
  <c r="AY139" i="45"/>
  <c r="AQ139" i="45"/>
  <c r="AI139" i="45"/>
  <c r="AZ221" i="45"/>
  <c r="AR221" i="45"/>
  <c r="AJ221" i="45"/>
  <c r="AJ222" i="45" s="1"/>
  <c r="AU180" i="45"/>
  <c r="AM180" i="45"/>
  <c r="AM181" i="45" s="1"/>
  <c r="AE180" i="45"/>
  <c r="AX139" i="45"/>
  <c r="AP139" i="45"/>
  <c r="AH139" i="45"/>
  <c r="AX221" i="45"/>
  <c r="AP221" i="45"/>
  <c r="AH221" i="45"/>
  <c r="BA180" i="45"/>
  <c r="BA181" i="45" s="1"/>
  <c r="AS180" i="45"/>
  <c r="AK180" i="45"/>
  <c r="AC180" i="45"/>
  <c r="AV139" i="45"/>
  <c r="AN139" i="45"/>
  <c r="AF139" i="45"/>
  <c r="AW221" i="45"/>
  <c r="AW222" i="45" s="1"/>
  <c r="AO221" i="45"/>
  <c r="AO222" i="45" s="1"/>
  <c r="AG221" i="45"/>
  <c r="AG222" i="45" s="1"/>
  <c r="AZ180" i="45"/>
  <c r="AZ181" i="45" s="1"/>
  <c r="AR180" i="45"/>
  <c r="AR181" i="45" s="1"/>
  <c r="AJ180" i="45"/>
  <c r="AJ181" i="45" s="1"/>
  <c r="AU139" i="45"/>
  <c r="AU140" i="45" s="1"/>
  <c r="AM139" i="45"/>
  <c r="AM140" i="45" s="1"/>
  <c r="AE139" i="45"/>
  <c r="AE140" i="45" s="1"/>
  <c r="AU221" i="45"/>
  <c r="AM221" i="45"/>
  <c r="AE221" i="45"/>
  <c r="AX180" i="45"/>
  <c r="AP180" i="45"/>
  <c r="AH180" i="45"/>
  <c r="BA139" i="45"/>
  <c r="AS139" i="45"/>
  <c r="AK139" i="45"/>
  <c r="AC139" i="45"/>
  <c r="AT221" i="45"/>
  <c r="AT222" i="45" s="1"/>
  <c r="AL221" i="45"/>
  <c r="AD221" i="45"/>
  <c r="AD222" i="45" s="1"/>
  <c r="AW180" i="45"/>
  <c r="AW181" i="45" s="1"/>
  <c r="AO180" i="45"/>
  <c r="AO181" i="45" s="1"/>
  <c r="AG180" i="45"/>
  <c r="AG181" i="45" s="1"/>
  <c r="AZ139" i="45"/>
  <c r="AZ140" i="45" s="1"/>
  <c r="AR139" i="45"/>
  <c r="AJ139" i="45"/>
  <c r="AJ140" i="45" s="1"/>
  <c r="AC17" i="45"/>
  <c r="AK17" i="45"/>
  <c r="AK18" i="45" s="1"/>
  <c r="AS17" i="45"/>
  <c r="AS18" i="45" s="1"/>
  <c r="BA17" i="45"/>
  <c r="BA276" i="45"/>
  <c r="E306" i="45"/>
  <c r="AF278" i="45"/>
  <c r="U306" i="45"/>
  <c r="I41" i="45"/>
  <c r="Q41" i="45"/>
  <c r="Y41" i="45"/>
  <c r="AL54" i="45"/>
  <c r="AH57" i="45"/>
  <c r="AH58" i="45" s="1"/>
  <c r="AP57" i="45"/>
  <c r="AX57" i="45"/>
  <c r="F81" i="45"/>
  <c r="N81" i="45"/>
  <c r="V81" i="45"/>
  <c r="AC90" i="45"/>
  <c r="AE97" i="45"/>
  <c r="AE98" i="45" s="1"/>
  <c r="AM97" i="45"/>
  <c r="AM98" i="45" s="1"/>
  <c r="AU97" i="45"/>
  <c r="AX399" i="45"/>
  <c r="C121" i="45"/>
  <c r="K121" i="45"/>
  <c r="S121" i="45"/>
  <c r="AN140" i="45"/>
  <c r="AO139" i="45"/>
  <c r="B163" i="45"/>
  <c r="AC173" i="45"/>
  <c r="AF181" i="45"/>
  <c r="AT180" i="45"/>
  <c r="B245" i="45"/>
  <c r="I245" i="45"/>
  <c r="Q245" i="45"/>
  <c r="Y245" i="45"/>
  <c r="B41" i="45"/>
  <c r="J41" i="45"/>
  <c r="R41" i="45"/>
  <c r="Z41" i="45"/>
  <c r="C442" i="45"/>
  <c r="C456" i="45" s="1"/>
  <c r="C474" i="45" s="1"/>
  <c r="AL338" i="45"/>
  <c r="I442" i="45"/>
  <c r="I456" i="45" s="1"/>
  <c r="I474" i="45" s="1"/>
  <c r="G81" i="45"/>
  <c r="O81" i="45"/>
  <c r="W81" i="45"/>
  <c r="AV97" i="45"/>
  <c r="AV98" i="45" s="1"/>
  <c r="AI399" i="45"/>
  <c r="D121" i="45"/>
  <c r="L121" i="45"/>
  <c r="T121" i="45"/>
  <c r="AP140" i="45"/>
  <c r="AT139" i="45"/>
  <c r="AT140" i="45" s="1"/>
  <c r="AE181" i="45"/>
  <c r="AP181" i="45"/>
  <c r="AY180" i="45"/>
  <c r="G435" i="45"/>
  <c r="G449" i="45" s="1"/>
  <c r="G467" i="45" s="1"/>
  <c r="AC222" i="45"/>
  <c r="AE222" i="45"/>
  <c r="AC10" i="45"/>
  <c r="AC14" i="45"/>
  <c r="B439" i="45" s="1"/>
  <c r="B453" i="45" s="1"/>
  <c r="B471" i="45" s="1"/>
  <c r="BA14" i="45"/>
  <c r="AI15" i="45"/>
  <c r="AI18" i="45" s="1"/>
  <c r="AQ15" i="45"/>
  <c r="AY15" i="45"/>
  <c r="K41" i="45"/>
  <c r="AF55" i="45"/>
  <c r="AN55" i="45"/>
  <c r="AV55" i="45"/>
  <c r="AJ57" i="45"/>
  <c r="AJ58" i="45" s="1"/>
  <c r="AR57" i="45"/>
  <c r="AR58" i="45" s="1"/>
  <c r="AZ57" i="45"/>
  <c r="AZ58" i="45" s="1"/>
  <c r="AC334" i="45"/>
  <c r="AU338" i="45"/>
  <c r="AI94" i="45"/>
  <c r="AC95" i="45"/>
  <c r="D441" i="45" s="1"/>
  <c r="D455" i="45" s="1"/>
  <c r="D473" i="45" s="1"/>
  <c r="AK95" i="45"/>
  <c r="AS95" i="45"/>
  <c r="BA95" i="45"/>
  <c r="AG97" i="45"/>
  <c r="AG98" i="45" s="1"/>
  <c r="AO97" i="45"/>
  <c r="AO98" i="45" s="1"/>
  <c r="AW97" i="45"/>
  <c r="AW98" i="45" s="1"/>
  <c r="AR399" i="45"/>
  <c r="Q427" i="45"/>
  <c r="E121" i="45"/>
  <c r="M121" i="45"/>
  <c r="U121" i="45"/>
  <c r="AF140" i="45"/>
  <c r="E441" i="45"/>
  <c r="E455" i="45" s="1"/>
  <c r="E473" i="45" s="1"/>
  <c r="AQ140" i="45"/>
  <c r="AW139" i="45"/>
  <c r="AW140" i="45" s="1"/>
  <c r="AS181" i="45"/>
  <c r="F442" i="45"/>
  <c r="F456" i="45" s="1"/>
  <c r="F474" i="45" s="1"/>
  <c r="AR222" i="45"/>
  <c r="AH222" i="45"/>
  <c r="AF221" i="45"/>
  <c r="AF222" i="45" s="1"/>
  <c r="AL218" i="45"/>
  <c r="AL222" i="45" s="1"/>
  <c r="K245" i="45"/>
  <c r="AF17" i="45"/>
  <c r="AF18" i="45" s="1"/>
  <c r="AN17" i="45"/>
  <c r="AN18" i="45" s="1"/>
  <c r="AV17" i="45"/>
  <c r="AV18" i="45" s="1"/>
  <c r="AI278" i="45"/>
  <c r="D41" i="45"/>
  <c r="L41" i="45"/>
  <c r="T41" i="45"/>
  <c r="AC57" i="45"/>
  <c r="AK57" i="45"/>
  <c r="AK58" i="45" s="1"/>
  <c r="AS57" i="45"/>
  <c r="AS58" i="45" s="1"/>
  <c r="BA57" i="45"/>
  <c r="BA336" i="45"/>
  <c r="AF338" i="45"/>
  <c r="E366" i="45"/>
  <c r="M366" i="45"/>
  <c r="I81" i="45"/>
  <c r="Q81" i="45"/>
  <c r="Y81" i="45"/>
  <c r="AH97" i="45"/>
  <c r="AH98" i="45" s="1"/>
  <c r="AP97" i="45"/>
  <c r="AP98" i="45" s="1"/>
  <c r="AX97" i="45"/>
  <c r="AX98" i="45" s="1"/>
  <c r="J427" i="45"/>
  <c r="R427" i="45"/>
  <c r="F121" i="45"/>
  <c r="N121" i="45"/>
  <c r="V121" i="45"/>
  <c r="AI140" i="45"/>
  <c r="Q163" i="45"/>
  <c r="AR136" i="45"/>
  <c r="AR140" i="45" s="1"/>
  <c r="M163" i="45"/>
  <c r="AU222" i="45"/>
  <c r="AI221" i="45"/>
  <c r="AG17" i="45"/>
  <c r="AG18" i="45" s="1"/>
  <c r="AO17" i="45"/>
  <c r="AO18" i="45" s="1"/>
  <c r="AW17" i="45"/>
  <c r="AW18" i="45" s="1"/>
  <c r="Y306" i="45"/>
  <c r="E41" i="45"/>
  <c r="M41" i="45"/>
  <c r="U41" i="45"/>
  <c r="AX54" i="45"/>
  <c r="AX58" i="45" s="1"/>
  <c r="AD57" i="45"/>
  <c r="AD58" i="45" s="1"/>
  <c r="AL57" i="45"/>
  <c r="AT57" i="45"/>
  <c r="AT58" i="45" s="1"/>
  <c r="AO338" i="45"/>
  <c r="B81" i="45"/>
  <c r="J81" i="45"/>
  <c r="R81" i="45"/>
  <c r="Z81" i="45"/>
  <c r="BA92" i="45"/>
  <c r="AI97" i="45"/>
  <c r="AQ97" i="45"/>
  <c r="AQ98" i="45" s="1"/>
  <c r="AY97" i="45"/>
  <c r="AY98" i="45" s="1"/>
  <c r="C427" i="45"/>
  <c r="AL399" i="45"/>
  <c r="K427" i="45"/>
  <c r="S427" i="45"/>
  <c r="J442" i="45"/>
  <c r="J456" i="45" s="1"/>
  <c r="J474" i="45" s="1"/>
  <c r="G121" i="45"/>
  <c r="O121" i="45"/>
  <c r="W121" i="45"/>
  <c r="AH140" i="45"/>
  <c r="AS140" i="45"/>
  <c r="AU181" i="45"/>
  <c r="AH181" i="45"/>
  <c r="AV181" i="45"/>
  <c r="AD180" i="45"/>
  <c r="K204" i="45"/>
  <c r="AL177" i="45"/>
  <c r="AY181" i="45"/>
  <c r="AX222" i="45"/>
  <c r="AN221" i="45"/>
  <c r="Z245" i="45"/>
  <c r="Z305" i="45"/>
  <c r="BA279" i="45" s="1"/>
  <c r="R305" i="45"/>
  <c r="AS279" i="45" s="1"/>
  <c r="J305" i="45"/>
  <c r="AK279" i="45" s="1"/>
  <c r="B305" i="45"/>
  <c r="AC279" i="45" s="1"/>
  <c r="Y305" i="45"/>
  <c r="AZ279" i="45" s="1"/>
  <c r="Q305" i="45"/>
  <c r="AR279" i="45" s="1"/>
  <c r="I305" i="45"/>
  <c r="AJ279" i="45" s="1"/>
  <c r="W305" i="45"/>
  <c r="AX279" i="45" s="1"/>
  <c r="AX283" i="45" s="1"/>
  <c r="O305" i="45"/>
  <c r="AP279" i="45" s="1"/>
  <c r="G305" i="45"/>
  <c r="AH279" i="45" s="1"/>
  <c r="V305" i="45"/>
  <c r="AW279" i="45" s="1"/>
  <c r="N305" i="45"/>
  <c r="AO279" i="45" s="1"/>
  <c r="F305" i="45"/>
  <c r="AG279" i="45" s="1"/>
  <c r="U305" i="45"/>
  <c r="AV279" i="45" s="1"/>
  <c r="AV283" i="45" s="1"/>
  <c r="M305" i="45"/>
  <c r="AN279" i="45" s="1"/>
  <c r="E305" i="45"/>
  <c r="AF279" i="45" s="1"/>
  <c r="S305" i="45"/>
  <c r="AT279" i="45" s="1"/>
  <c r="K305" i="45"/>
  <c r="AL279" i="45" s="1"/>
  <c r="AL283" i="45" s="1"/>
  <c r="C305" i="45"/>
  <c r="AD279" i="45" s="1"/>
  <c r="D305" i="45"/>
  <c r="AE279" i="45" s="1"/>
  <c r="X305" i="45"/>
  <c r="AY279" i="45" s="1"/>
  <c r="T305" i="45"/>
  <c r="AU279" i="45" s="1"/>
  <c r="L305" i="45"/>
  <c r="AM279" i="45" s="1"/>
  <c r="H305" i="45"/>
  <c r="AI279" i="45" s="1"/>
  <c r="N301" i="45"/>
  <c r="AV280" i="45"/>
  <c r="AF340" i="45"/>
  <c r="C439" i="45"/>
  <c r="C453" i="45" s="1"/>
  <c r="C471" i="45" s="1"/>
  <c r="BA58" i="45"/>
  <c r="W366" i="45"/>
  <c r="AX338" i="45"/>
  <c r="C81" i="45"/>
  <c r="K81" i="45"/>
  <c r="S81" i="45"/>
  <c r="AZ97" i="45"/>
  <c r="AZ98" i="45" s="1"/>
  <c r="AC395" i="45"/>
  <c r="T427" i="45"/>
  <c r="AU399" i="45"/>
  <c r="H121" i="45"/>
  <c r="P121" i="45"/>
  <c r="X121" i="45"/>
  <c r="AO140" i="45"/>
  <c r="AV140" i="45"/>
  <c r="AD139" i="45"/>
  <c r="AD140" i="45" s="1"/>
  <c r="AX181" i="45"/>
  <c r="AK181" i="45"/>
  <c r="AI180" i="45"/>
  <c r="AI181" i="45" s="1"/>
  <c r="AZ222" i="45"/>
  <c r="AQ221" i="45"/>
  <c r="AQ222" i="45" s="1"/>
  <c r="BA12" i="45"/>
  <c r="AE15" i="45"/>
  <c r="AE18" i="45" s="1"/>
  <c r="AM15" i="45"/>
  <c r="AM18" i="45" s="1"/>
  <c r="AU15" i="45"/>
  <c r="AU18" i="45" s="1"/>
  <c r="B442" i="45"/>
  <c r="B456" i="45" s="1"/>
  <c r="B474" i="45" s="1"/>
  <c r="AI17" i="45"/>
  <c r="AQ17" i="45"/>
  <c r="AY17" i="45"/>
  <c r="H442" i="45"/>
  <c r="H456" i="45" s="1"/>
  <c r="H474" i="45" s="1"/>
  <c r="G41" i="45"/>
  <c r="O41" i="45"/>
  <c r="W41" i="45"/>
  <c r="AF57" i="45"/>
  <c r="AN57" i="45"/>
  <c r="AV57" i="45"/>
  <c r="AI338" i="45"/>
  <c r="D81" i="45"/>
  <c r="L81" i="45"/>
  <c r="T81" i="45"/>
  <c r="BA93" i="45"/>
  <c r="D438" i="45" s="1"/>
  <c r="D452" i="45" s="1"/>
  <c r="D470" i="45" s="1"/>
  <c r="AU94" i="45"/>
  <c r="AU98" i="45" s="1"/>
  <c r="AC97" i="45"/>
  <c r="AK97" i="45"/>
  <c r="AS97" i="45"/>
  <c r="BA97" i="45"/>
  <c r="BA397" i="45"/>
  <c r="Z427" i="45"/>
  <c r="AF399" i="45"/>
  <c r="I121" i="45"/>
  <c r="Q121" i="45"/>
  <c r="Y121" i="45"/>
  <c r="BA134" i="45"/>
  <c r="AG139" i="45"/>
  <c r="AG140" i="45" s="1"/>
  <c r="D163" i="45"/>
  <c r="L163" i="45"/>
  <c r="T163" i="45"/>
  <c r="AL180" i="45"/>
  <c r="E204" i="45"/>
  <c r="M204" i="45"/>
  <c r="U204" i="45"/>
  <c r="AM222" i="45"/>
  <c r="AV221" i="45"/>
  <c r="AU282" i="45"/>
  <c r="AM282" i="45"/>
  <c r="AE282" i="45"/>
  <c r="AT282" i="45"/>
  <c r="AL282" i="45"/>
  <c r="AD282" i="45"/>
  <c r="H443" i="45" s="1"/>
  <c r="H457" i="45" s="1"/>
  <c r="H475" i="45" s="1"/>
  <c r="AZ282" i="45"/>
  <c r="AR282" i="45"/>
  <c r="AJ282" i="45"/>
  <c r="AY282" i="45"/>
  <c r="AQ282" i="45"/>
  <c r="AI282" i="45"/>
  <c r="BA282" i="45"/>
  <c r="AJ17" i="45"/>
  <c r="AJ18" i="45" s="1"/>
  <c r="AR17" i="45"/>
  <c r="AR18" i="45" s="1"/>
  <c r="AZ17" i="45"/>
  <c r="AZ18" i="45" s="1"/>
  <c r="AU278" i="45"/>
  <c r="H41" i="45"/>
  <c r="P41" i="45"/>
  <c r="X41" i="45"/>
  <c r="AC51" i="45"/>
  <c r="C436" i="45" s="1"/>
  <c r="C450" i="45" s="1"/>
  <c r="C468" i="45" s="1"/>
  <c r="C441" i="45"/>
  <c r="C455" i="45" s="1"/>
  <c r="C473" i="45" s="1"/>
  <c r="AG57" i="45"/>
  <c r="AG58" i="45" s="1"/>
  <c r="AO57" i="45"/>
  <c r="AO58" i="45" s="1"/>
  <c r="AW57" i="45"/>
  <c r="AW58" i="45" s="1"/>
  <c r="AR338" i="45"/>
  <c r="E81" i="45"/>
  <c r="M81" i="45"/>
  <c r="U81" i="45"/>
  <c r="B427" i="45"/>
  <c r="AD97" i="45"/>
  <c r="AD98" i="45" s="1"/>
  <c r="AL97" i="45"/>
  <c r="AL98" i="45" s="1"/>
  <c r="AT97" i="45"/>
  <c r="AT98" i="45" s="1"/>
  <c r="AO399" i="45"/>
  <c r="B121" i="45"/>
  <c r="J121" i="45"/>
  <c r="R121" i="45"/>
  <c r="Z121" i="45"/>
  <c r="AX140" i="45"/>
  <c r="AK140" i="45"/>
  <c r="AY140" i="45"/>
  <c r="AL139" i="45"/>
  <c r="AL140" i="45" s="1"/>
  <c r="AN181" i="45"/>
  <c r="AQ180" i="45"/>
  <c r="AQ181" i="45" s="1"/>
  <c r="AD181" i="45"/>
  <c r="AT181" i="45"/>
  <c r="B204" i="45"/>
  <c r="G441" i="45"/>
  <c r="G455" i="45" s="1"/>
  <c r="G473" i="45" s="1"/>
  <c r="AP222" i="45"/>
  <c r="AY221" i="45"/>
  <c r="AY222" i="45" s="1"/>
  <c r="H245" i="45"/>
  <c r="AI218" i="45"/>
  <c r="AI222" i="45" s="1"/>
  <c r="P245" i="45"/>
  <c r="AN222" i="45"/>
  <c r="AV222" i="45"/>
  <c r="F441" i="45"/>
  <c r="F455" i="45" s="1"/>
  <c r="F473" i="45" s="1"/>
  <c r="AY401" i="45"/>
  <c r="AE401" i="45"/>
  <c r="AU401" i="45"/>
  <c r="M304" i="45"/>
  <c r="AN280" i="45" s="1"/>
  <c r="AM340" i="45"/>
  <c r="Q304" i="45"/>
  <c r="AR280" i="45" s="1"/>
  <c r="B320" i="45"/>
  <c r="AT340" i="45"/>
  <c r="F439" i="45"/>
  <c r="F453" i="45" s="1"/>
  <c r="F471" i="45" s="1"/>
  <c r="AG282" i="45"/>
  <c r="AO282" i="45"/>
  <c r="AW282" i="45"/>
  <c r="AX342" i="45"/>
  <c r="AP342" i="45"/>
  <c r="AH342" i="45"/>
  <c r="AW342" i="45"/>
  <c r="AO342" i="45"/>
  <c r="AG342" i="45"/>
  <c r="AU342" i="45"/>
  <c r="AM342" i="45"/>
  <c r="AE342" i="45"/>
  <c r="AT342" i="45"/>
  <c r="AL342" i="45"/>
  <c r="AD342" i="45"/>
  <c r="BA342" i="45"/>
  <c r="AS342" i="45"/>
  <c r="AK342" i="45"/>
  <c r="AC342" i="45"/>
  <c r="AY342" i="45"/>
  <c r="AQ342" i="45"/>
  <c r="AI342" i="45"/>
  <c r="AZ342" i="45"/>
  <c r="AM401" i="45"/>
  <c r="E442" i="45"/>
  <c r="E456" i="45" s="1"/>
  <c r="E474" i="45" s="1"/>
  <c r="S304" i="45"/>
  <c r="AT280" i="45" s="1"/>
  <c r="K304" i="45"/>
  <c r="AL280" i="45" s="1"/>
  <c r="C304" i="45"/>
  <c r="AD280" i="45" s="1"/>
  <c r="Z304" i="45"/>
  <c r="BA280" i="45" s="1"/>
  <c r="R304" i="45"/>
  <c r="AS280" i="45" s="1"/>
  <c r="J304" i="45"/>
  <c r="AK280" i="45" s="1"/>
  <c r="B304" i="45"/>
  <c r="AC280" i="45" s="1"/>
  <c r="X304" i="45"/>
  <c r="AY280" i="45" s="1"/>
  <c r="P304" i="45"/>
  <c r="AQ280" i="45" s="1"/>
  <c r="AQ283" i="45" s="1"/>
  <c r="H304" i="45"/>
  <c r="AI280" i="45" s="1"/>
  <c r="W304" i="45"/>
  <c r="AX280" i="45" s="1"/>
  <c r="O304" i="45"/>
  <c r="AP280" i="45" s="1"/>
  <c r="G304" i="45"/>
  <c r="AH280" i="45" s="1"/>
  <c r="V304" i="45"/>
  <c r="AW280" i="45" s="1"/>
  <c r="N304" i="45"/>
  <c r="AO280" i="45" s="1"/>
  <c r="F304" i="45"/>
  <c r="AG280" i="45" s="1"/>
  <c r="T304" i="45"/>
  <c r="AU280" i="45" s="1"/>
  <c r="L304" i="45"/>
  <c r="AM280" i="45" s="1"/>
  <c r="D304" i="45"/>
  <c r="AE280" i="45" s="1"/>
  <c r="AH282" i="45"/>
  <c r="AP282" i="45"/>
  <c r="AX282" i="45"/>
  <c r="D364" i="45"/>
  <c r="AE340" i="45" s="1"/>
  <c r="O364" i="45"/>
  <c r="AP340" i="45" s="1"/>
  <c r="AK403" i="45"/>
  <c r="BA403" i="45"/>
  <c r="AL401" i="45"/>
  <c r="F364" i="45"/>
  <c r="AG340" i="45" s="1"/>
  <c r="T364" i="45"/>
  <c r="AU340" i="45" s="1"/>
  <c r="AQ403" i="45"/>
  <c r="AR401" i="45"/>
  <c r="G364" i="45"/>
  <c r="AH340" i="45" s="1"/>
  <c r="U364" i="45"/>
  <c r="AV340" i="45" s="1"/>
  <c r="AR403" i="45"/>
  <c r="AC401" i="45"/>
  <c r="AS401" i="45"/>
  <c r="K364" i="45"/>
  <c r="AL340" i="45" s="1"/>
  <c r="V364" i="45"/>
  <c r="AW340" i="45" s="1"/>
  <c r="AC403" i="45"/>
  <c r="AS403" i="45"/>
  <c r="AD401" i="45"/>
  <c r="AT401" i="45"/>
  <c r="B380" i="45"/>
  <c r="AI403" i="45"/>
  <c r="AY403" i="45"/>
  <c r="AJ401" i="45"/>
  <c r="AZ401" i="45"/>
  <c r="Z364" i="45"/>
  <c r="BA340" i="45" s="1"/>
  <c r="R364" i="45"/>
  <c r="AS340" i="45" s="1"/>
  <c r="J364" i="45"/>
  <c r="AK340" i="45" s="1"/>
  <c r="B364" i="45"/>
  <c r="AC340" i="45" s="1"/>
  <c r="Y364" i="45"/>
  <c r="AZ340" i="45" s="1"/>
  <c r="Q364" i="45"/>
  <c r="AR340" i="45" s="1"/>
  <c r="I364" i="45"/>
  <c r="AJ340" i="45" s="1"/>
  <c r="X364" i="45"/>
  <c r="AY340" i="45" s="1"/>
  <c r="P364" i="45"/>
  <c r="AQ340" i="45" s="1"/>
  <c r="H364" i="45"/>
  <c r="AI340" i="45" s="1"/>
  <c r="C364" i="45"/>
  <c r="AD340" i="45" s="1"/>
  <c r="N364" i="45"/>
  <c r="AO340" i="45" s="1"/>
  <c r="AJ403" i="45"/>
  <c r="AK401" i="45"/>
  <c r="BA401" i="45"/>
  <c r="AE403" i="45"/>
  <c r="AM403" i="45"/>
  <c r="AU403" i="45"/>
  <c r="E425" i="45"/>
  <c r="AF401" i="45" s="1"/>
  <c r="M425" i="45"/>
  <c r="AN401" i="45" s="1"/>
  <c r="U425" i="45"/>
  <c r="AV401" i="45" s="1"/>
  <c r="AF403" i="45"/>
  <c r="AN403" i="45"/>
  <c r="AV403" i="45"/>
  <c r="F425" i="45"/>
  <c r="AG401" i="45" s="1"/>
  <c r="N425" i="45"/>
  <c r="AO401" i="45" s="1"/>
  <c r="V425" i="45"/>
  <c r="AW401" i="45" s="1"/>
  <c r="AG403" i="45"/>
  <c r="AO403" i="45"/>
  <c r="AW403" i="45"/>
  <c r="G425" i="45"/>
  <c r="AH401" i="45" s="1"/>
  <c r="O425" i="45"/>
  <c r="AP401" i="45" s="1"/>
  <c r="W425" i="45"/>
  <c r="AX401" i="45" s="1"/>
  <c r="AH403" i="45"/>
  <c r="AP403" i="45"/>
  <c r="AX403" i="45"/>
  <c r="H425" i="45"/>
  <c r="AI401" i="45" s="1"/>
  <c r="P425" i="45"/>
  <c r="AQ401" i="45" s="1"/>
  <c r="C245" i="44"/>
  <c r="K245" i="44"/>
  <c r="S245" i="44"/>
  <c r="J245" i="44"/>
  <c r="R245" i="44"/>
  <c r="B245" i="44"/>
  <c r="J204" i="44"/>
  <c r="R204" i="44"/>
  <c r="Z204" i="44"/>
  <c r="AK138" i="44"/>
  <c r="AS138" i="44"/>
  <c r="Z163" i="44"/>
  <c r="AN98" i="44"/>
  <c r="D442" i="44"/>
  <c r="D456" i="44" s="1"/>
  <c r="D474" i="44" s="1"/>
  <c r="AS56" i="44"/>
  <c r="AU56" i="44"/>
  <c r="AK56" i="44"/>
  <c r="Z362" i="44"/>
  <c r="BA341" i="44" s="1"/>
  <c r="H302" i="44"/>
  <c r="AI281" i="44" s="1"/>
  <c r="P302" i="44"/>
  <c r="AQ281" i="44" s="1"/>
  <c r="X302" i="44"/>
  <c r="AY281" i="44" s="1"/>
  <c r="J302" i="44"/>
  <c r="AK281" i="44" s="1"/>
  <c r="R302" i="44"/>
  <c r="AS281" i="44" s="1"/>
  <c r="Z302" i="44"/>
  <c r="BA281" i="44" s="1"/>
  <c r="H442" i="44" s="1"/>
  <c r="H456" i="44" s="1"/>
  <c r="H474" i="44" s="1"/>
  <c r="R306" i="44"/>
  <c r="J306" i="44"/>
  <c r="AU18" i="44"/>
  <c r="AD18" i="44"/>
  <c r="AO98" i="44"/>
  <c r="AC10" i="44"/>
  <c r="AC14" i="44"/>
  <c r="BA14" i="44"/>
  <c r="AI15" i="44"/>
  <c r="AI18" i="44" s="1"/>
  <c r="AQ15" i="44"/>
  <c r="AY15" i="44"/>
  <c r="AE17" i="44"/>
  <c r="AE18" i="44" s="1"/>
  <c r="AM17" i="44"/>
  <c r="AM18" i="44" s="1"/>
  <c r="AU17" i="44"/>
  <c r="AX278" i="44"/>
  <c r="C41" i="44"/>
  <c r="K41" i="44"/>
  <c r="S41" i="44"/>
  <c r="AC57" i="44"/>
  <c r="AK57" i="44"/>
  <c r="AS57" i="44"/>
  <c r="BA57" i="44"/>
  <c r="D361" i="44"/>
  <c r="D81" i="44"/>
  <c r="L361" i="44"/>
  <c r="L81" i="44"/>
  <c r="T361" i="44"/>
  <c r="T81" i="44"/>
  <c r="AV97" i="44"/>
  <c r="AV98" i="44" s="1"/>
  <c r="B407" i="44"/>
  <c r="AC396" i="44" s="1"/>
  <c r="J436" i="44" s="1"/>
  <c r="J450" i="44" s="1"/>
  <c r="J468" i="44" s="1"/>
  <c r="AC91" i="44"/>
  <c r="D436" i="44" s="1"/>
  <c r="D450" i="44" s="1"/>
  <c r="D468" i="44" s="1"/>
  <c r="C422" i="44"/>
  <c r="C121" i="44"/>
  <c r="K422" i="44"/>
  <c r="K121" i="44"/>
  <c r="AY98" i="44"/>
  <c r="AQ140" i="44"/>
  <c r="F437" i="44"/>
  <c r="F451" i="44" s="1"/>
  <c r="F469" i="44" s="1"/>
  <c r="AJ283" i="44"/>
  <c r="AS280" i="44"/>
  <c r="AF14" i="44"/>
  <c r="AF17" i="44"/>
  <c r="AN17" i="44"/>
  <c r="AV17" i="44"/>
  <c r="AI278" i="44"/>
  <c r="P306" i="44"/>
  <c r="D41" i="44"/>
  <c r="L41" i="44"/>
  <c r="T41" i="44"/>
  <c r="B334" i="44"/>
  <c r="AC334" i="44" s="1"/>
  <c r="B81" i="44"/>
  <c r="AD57" i="44"/>
  <c r="AL57" i="44"/>
  <c r="AT57" i="44"/>
  <c r="Z348" i="44"/>
  <c r="Z81" i="44"/>
  <c r="E361" i="44"/>
  <c r="E81" i="44"/>
  <c r="M361" i="44"/>
  <c r="M81" i="44"/>
  <c r="U361" i="44"/>
  <c r="U81" i="44"/>
  <c r="X81" i="44"/>
  <c r="AX97" i="44"/>
  <c r="AX98" i="44" s="1"/>
  <c r="G437" i="44"/>
  <c r="G451" i="44" s="1"/>
  <c r="G469" i="44" s="1"/>
  <c r="G441" i="44"/>
  <c r="G455" i="44" s="1"/>
  <c r="G473" i="44" s="1"/>
  <c r="AT280" i="44"/>
  <c r="AG17" i="44"/>
  <c r="AG18" i="44" s="1"/>
  <c r="AO17" i="44"/>
  <c r="AO18" i="44" s="1"/>
  <c r="AW17" i="44"/>
  <c r="AW18" i="44" s="1"/>
  <c r="AR278" i="44"/>
  <c r="E41" i="44"/>
  <c r="M41" i="44"/>
  <c r="U41" i="44"/>
  <c r="AC50" i="44"/>
  <c r="AC54" i="44"/>
  <c r="C439" i="44" s="1"/>
  <c r="C453" i="44" s="1"/>
  <c r="C471" i="44" s="1"/>
  <c r="AE57" i="44"/>
  <c r="AE58" i="44" s="1"/>
  <c r="AM57" i="44"/>
  <c r="AM58" i="44" s="1"/>
  <c r="AU57" i="44"/>
  <c r="AU58" i="44" s="1"/>
  <c r="Y81" i="44"/>
  <c r="AF97" i="44"/>
  <c r="AF98" i="44" s="1"/>
  <c r="AY97" i="44"/>
  <c r="AC132" i="44"/>
  <c r="AM140" i="44"/>
  <c r="AK280" i="44"/>
  <c r="BA280" i="44"/>
  <c r="AH17" i="44"/>
  <c r="AH18" i="44" s="1"/>
  <c r="AP17" i="44"/>
  <c r="AP18" i="44" s="1"/>
  <c r="AX17" i="44"/>
  <c r="AF57" i="44"/>
  <c r="AF58" i="44" s="1"/>
  <c r="AN57" i="44"/>
  <c r="AN58" i="44" s="1"/>
  <c r="AV57" i="44"/>
  <c r="AV58" i="44" s="1"/>
  <c r="AH97" i="44"/>
  <c r="BA12" i="44"/>
  <c r="B442" i="44"/>
  <c r="B456" i="44" s="1"/>
  <c r="B474" i="44" s="1"/>
  <c r="AI17" i="44"/>
  <c r="AQ17" i="44"/>
  <c r="AY17" i="44"/>
  <c r="C306" i="44"/>
  <c r="AL278" i="44"/>
  <c r="S306" i="44"/>
  <c r="G41" i="44"/>
  <c r="O41" i="44"/>
  <c r="W41" i="44"/>
  <c r="AC55" i="44"/>
  <c r="AK55" i="44"/>
  <c r="AS55" i="44"/>
  <c r="AS58" i="44" s="1"/>
  <c r="BA55" i="44"/>
  <c r="BA58" i="44" s="1"/>
  <c r="AG57" i="44"/>
  <c r="AG58" i="44" s="1"/>
  <c r="AO57" i="44"/>
  <c r="AO58" i="44" s="1"/>
  <c r="AW57" i="44"/>
  <c r="AW58" i="44" s="1"/>
  <c r="I81" i="44"/>
  <c r="AL94" i="44"/>
  <c r="AI97" i="44"/>
  <c r="AJ140" i="44"/>
  <c r="AR14" i="44"/>
  <c r="AF15" i="44"/>
  <c r="B441" i="44" s="1"/>
  <c r="B455" i="44" s="1"/>
  <c r="B473" i="44" s="1"/>
  <c r="AN15" i="44"/>
  <c r="AN18" i="44" s="1"/>
  <c r="AV15" i="44"/>
  <c r="AV18" i="44" s="1"/>
  <c r="AJ17" i="44"/>
  <c r="AJ18" i="44" s="1"/>
  <c r="AR17" i="44"/>
  <c r="AZ17" i="44"/>
  <c r="AZ18" i="44" s="1"/>
  <c r="AC274" i="44"/>
  <c r="AU278" i="44"/>
  <c r="H41" i="44"/>
  <c r="P41" i="44"/>
  <c r="X41" i="44"/>
  <c r="AJ56" i="44"/>
  <c r="AJ58" i="44" s="1"/>
  <c r="AR56" i="44"/>
  <c r="AZ56" i="44"/>
  <c r="AZ58" i="44" s="1"/>
  <c r="AH57" i="44"/>
  <c r="AH58" i="44" s="1"/>
  <c r="AP57" i="44"/>
  <c r="AP58" i="44" s="1"/>
  <c r="AX57" i="44"/>
  <c r="AX58" i="44" s="1"/>
  <c r="B396" i="44"/>
  <c r="AC90" i="44"/>
  <c r="AG140" i="44"/>
  <c r="AU181" i="44"/>
  <c r="F441" i="44"/>
  <c r="F455" i="44" s="1"/>
  <c r="F473" i="44" s="1"/>
  <c r="AZ181" i="44"/>
  <c r="AJ222" i="44"/>
  <c r="BA221" i="44"/>
  <c r="BA222" i="44" s="1"/>
  <c r="AS221" i="44"/>
  <c r="AS222" i="44" s="1"/>
  <c r="AK221" i="44"/>
  <c r="AK222" i="44" s="1"/>
  <c r="AC221" i="44"/>
  <c r="AU180" i="44"/>
  <c r="AM180" i="44"/>
  <c r="AM181" i="44" s="1"/>
  <c r="AE180" i="44"/>
  <c r="AE181" i="44" s="1"/>
  <c r="AW139" i="44"/>
  <c r="AW140" i="44" s="1"/>
  <c r="AO139" i="44"/>
  <c r="AO140" i="44" s="1"/>
  <c r="AG139" i="44"/>
  <c r="AZ221" i="44"/>
  <c r="AR221" i="44"/>
  <c r="AR222" i="44" s="1"/>
  <c r="AJ221" i="44"/>
  <c r="AT180" i="44"/>
  <c r="AT181" i="44" s="1"/>
  <c r="AL180" i="44"/>
  <c r="AL181" i="44" s="1"/>
  <c r="AD180" i="44"/>
  <c r="AD181" i="44" s="1"/>
  <c r="AV139" i="44"/>
  <c r="AV140" i="44" s="1"/>
  <c r="AN139" i="44"/>
  <c r="AF139" i="44"/>
  <c r="AF140" i="44" s="1"/>
  <c r="AY221" i="44"/>
  <c r="AQ221" i="44"/>
  <c r="AI221" i="44"/>
  <c r="AI222" i="44" s="1"/>
  <c r="BA180" i="44"/>
  <c r="BA181" i="44" s="1"/>
  <c r="AS180" i="44"/>
  <c r="AS181" i="44" s="1"/>
  <c r="AK180" i="44"/>
  <c r="AK181" i="44" s="1"/>
  <c r="AC180" i="44"/>
  <c r="AU139" i="44"/>
  <c r="AU140" i="44" s="1"/>
  <c r="AM139" i="44"/>
  <c r="AE139" i="44"/>
  <c r="AE140" i="44" s="1"/>
  <c r="AW97" i="44"/>
  <c r="AO97" i="44"/>
  <c r="AG97" i="44"/>
  <c r="AX221" i="44"/>
  <c r="AP221" i="44"/>
  <c r="AH221" i="44"/>
  <c r="AZ180" i="44"/>
  <c r="AR180" i="44"/>
  <c r="AR181" i="44" s="1"/>
  <c r="AJ180" i="44"/>
  <c r="AJ181" i="44" s="1"/>
  <c r="AT139" i="44"/>
  <c r="AT140" i="44" s="1"/>
  <c r="AL139" i="44"/>
  <c r="AL140" i="44" s="1"/>
  <c r="AD139" i="44"/>
  <c r="AD140" i="44" s="1"/>
  <c r="AW221" i="44"/>
  <c r="AO221" i="44"/>
  <c r="AO222" i="44" s="1"/>
  <c r="AG221" i="44"/>
  <c r="AG222" i="44" s="1"/>
  <c r="AY180" i="44"/>
  <c r="AY181" i="44" s="1"/>
  <c r="AQ180" i="44"/>
  <c r="AQ181" i="44" s="1"/>
  <c r="AI180" i="44"/>
  <c r="BA139" i="44"/>
  <c r="AS139" i="44"/>
  <c r="AS140" i="44" s="1"/>
  <c r="AK139" i="44"/>
  <c r="AK140" i="44" s="1"/>
  <c r="AC139" i="44"/>
  <c r="AU97" i="44"/>
  <c r="AM97" i="44"/>
  <c r="AM98" i="44" s="1"/>
  <c r="AE97" i="44"/>
  <c r="AE98" i="44" s="1"/>
  <c r="AV221" i="44"/>
  <c r="AV222" i="44" s="1"/>
  <c r="AN221" i="44"/>
  <c r="AN222" i="44" s="1"/>
  <c r="AF221" i="44"/>
  <c r="AX180" i="44"/>
  <c r="AX181" i="44" s="1"/>
  <c r="AP180" i="44"/>
  <c r="AP181" i="44" s="1"/>
  <c r="AH180" i="44"/>
  <c r="AH181" i="44" s="1"/>
  <c r="AZ139" i="44"/>
  <c r="AR139" i="44"/>
  <c r="AJ139" i="44"/>
  <c r="AT97" i="44"/>
  <c r="AT98" i="44" s="1"/>
  <c r="AL97" i="44"/>
  <c r="AD97" i="44"/>
  <c r="AD98" i="44" s="1"/>
  <c r="AU221" i="44"/>
  <c r="AM221" i="44"/>
  <c r="AE221" i="44"/>
  <c r="AE222" i="44" s="1"/>
  <c r="AW180" i="44"/>
  <c r="AW181" i="44" s="1"/>
  <c r="AO180" i="44"/>
  <c r="AO181" i="44" s="1"/>
  <c r="AG180" i="44"/>
  <c r="AY139" i="44"/>
  <c r="AY140" i="44" s="1"/>
  <c r="AQ139" i="44"/>
  <c r="AI139" i="44"/>
  <c r="AI140" i="44" s="1"/>
  <c r="BA97" i="44"/>
  <c r="AS97" i="44"/>
  <c r="AS98" i="44" s="1"/>
  <c r="AK97" i="44"/>
  <c r="AC97" i="44"/>
  <c r="AT221" i="44"/>
  <c r="AT222" i="44" s="1"/>
  <c r="AL221" i="44"/>
  <c r="AL222" i="44" s="1"/>
  <c r="AD221" i="44"/>
  <c r="AD222" i="44" s="1"/>
  <c r="AV180" i="44"/>
  <c r="AV181" i="44" s="1"/>
  <c r="AN180" i="44"/>
  <c r="AN181" i="44" s="1"/>
  <c r="AF180" i="44"/>
  <c r="AX139" i="44"/>
  <c r="AX140" i="44" s="1"/>
  <c r="AP139" i="44"/>
  <c r="AH139" i="44"/>
  <c r="AH140" i="44" s="1"/>
  <c r="AZ97" i="44"/>
  <c r="AZ98" i="44" s="1"/>
  <c r="AR97" i="44"/>
  <c r="AJ97" i="44"/>
  <c r="AJ98" i="44" s="1"/>
  <c r="AC17" i="44"/>
  <c r="AK17" i="44"/>
  <c r="AK18" i="44" s="1"/>
  <c r="AS17" i="44"/>
  <c r="AS18" i="44" s="1"/>
  <c r="BA17" i="44"/>
  <c r="BA276" i="44"/>
  <c r="AF278" i="44"/>
  <c r="I41" i="44"/>
  <c r="Q41" i="44"/>
  <c r="Y41" i="44"/>
  <c r="C437" i="44"/>
  <c r="C451" i="44" s="1"/>
  <c r="C469" i="44" s="1"/>
  <c r="AI57" i="44"/>
  <c r="AI58" i="44" s="1"/>
  <c r="AQ57" i="44"/>
  <c r="AQ58" i="44" s="1"/>
  <c r="AY57" i="44"/>
  <c r="AY58" i="44" s="1"/>
  <c r="J361" i="44"/>
  <c r="J81" i="44"/>
  <c r="R361" i="44"/>
  <c r="R81" i="44"/>
  <c r="P81" i="44"/>
  <c r="AR98" i="44"/>
  <c r="AK98" i="44"/>
  <c r="AP97" i="44"/>
  <c r="AN140" i="44"/>
  <c r="AZ140" i="44"/>
  <c r="AF181" i="44"/>
  <c r="G435" i="44"/>
  <c r="G449" i="44" s="1"/>
  <c r="G467" i="44" s="1"/>
  <c r="AC222" i="44"/>
  <c r="AU222" i="44"/>
  <c r="AW222" i="44"/>
  <c r="AQ222" i="44"/>
  <c r="AY222" i="44"/>
  <c r="AH222" i="44"/>
  <c r="AP222" i="44"/>
  <c r="B306" i="44"/>
  <c r="AX14" i="44"/>
  <c r="AX18" i="44" s="1"/>
  <c r="AD17" i="44"/>
  <c r="AL17" i="44"/>
  <c r="AL18" i="44" s="1"/>
  <c r="AT17" i="44"/>
  <c r="AT18" i="44" s="1"/>
  <c r="AO278" i="44"/>
  <c r="V306" i="44"/>
  <c r="B41" i="44"/>
  <c r="J41" i="44"/>
  <c r="R41" i="44"/>
  <c r="Z41" i="44"/>
  <c r="AD56" i="44"/>
  <c r="AD58" i="44" s="1"/>
  <c r="AL56" i="44"/>
  <c r="AL58" i="44" s="1"/>
  <c r="AT56" i="44"/>
  <c r="AT58" i="44" s="1"/>
  <c r="AJ57" i="44"/>
  <c r="AR57" i="44"/>
  <c r="AZ57" i="44"/>
  <c r="Q81" i="44"/>
  <c r="BA92" i="44"/>
  <c r="AU98" i="44"/>
  <c r="AQ97" i="44"/>
  <c r="AQ98" i="44" s="1"/>
  <c r="B422" i="44"/>
  <c r="AC399" i="44" s="1"/>
  <c r="AC94" i="44"/>
  <c r="J422" i="44"/>
  <c r="J121" i="44"/>
  <c r="R422" i="44"/>
  <c r="R121" i="44"/>
  <c r="Z422" i="44"/>
  <c r="BA399" i="44" s="1"/>
  <c r="BA94" i="44"/>
  <c r="AH98" i="44"/>
  <c r="AP98" i="44"/>
  <c r="AP140" i="44"/>
  <c r="AI181" i="44"/>
  <c r="AG181" i="44"/>
  <c r="AX222" i="44"/>
  <c r="AM222" i="44"/>
  <c r="AZ222" i="44"/>
  <c r="AD280" i="44"/>
  <c r="AO338" i="44"/>
  <c r="AC395" i="44"/>
  <c r="L427" i="44"/>
  <c r="AU399" i="44"/>
  <c r="H121" i="44"/>
  <c r="P121" i="44"/>
  <c r="X121" i="44"/>
  <c r="N163" i="44"/>
  <c r="T204" i="44"/>
  <c r="Z245" i="44"/>
  <c r="AX338" i="44"/>
  <c r="C81" i="44"/>
  <c r="K81" i="44"/>
  <c r="S81" i="44"/>
  <c r="AG95" i="44"/>
  <c r="AG98" i="44" s="1"/>
  <c r="AO95" i="44"/>
  <c r="AW95" i="44"/>
  <c r="BA397" i="44"/>
  <c r="AF399" i="44"/>
  <c r="I121" i="44"/>
  <c r="Q121" i="44"/>
  <c r="Y121" i="44"/>
  <c r="BA134" i="44"/>
  <c r="E442" i="44"/>
  <c r="E456" i="44" s="1"/>
  <c r="E474" i="44" s="1"/>
  <c r="AI338" i="44"/>
  <c r="P366" i="44"/>
  <c r="AO399" i="44"/>
  <c r="B121" i="44"/>
  <c r="Z121" i="44"/>
  <c r="AR136" i="44"/>
  <c r="AF218" i="44"/>
  <c r="AF222" i="44" s="1"/>
  <c r="B305" i="44"/>
  <c r="AC279" i="44" s="1"/>
  <c r="O427" i="44"/>
  <c r="AX399" i="44"/>
  <c r="S121" i="44"/>
  <c r="F442" i="44"/>
  <c r="F456" i="44" s="1"/>
  <c r="F474" i="44" s="1"/>
  <c r="W204" i="44"/>
  <c r="B304" i="44"/>
  <c r="AC280" i="44" s="1"/>
  <c r="AI399" i="44"/>
  <c r="AI404" i="44" s="1"/>
  <c r="B163" i="44"/>
  <c r="W305" i="44"/>
  <c r="AX279" i="44" s="1"/>
  <c r="O305" i="44"/>
  <c r="AP279" i="44" s="1"/>
  <c r="G305" i="44"/>
  <c r="AH279" i="44" s="1"/>
  <c r="V305" i="44"/>
  <c r="AW279" i="44" s="1"/>
  <c r="N305" i="44"/>
  <c r="AO279" i="44" s="1"/>
  <c r="F305" i="44"/>
  <c r="AG279" i="44" s="1"/>
  <c r="U305" i="44"/>
  <c r="AV279" i="44" s="1"/>
  <c r="M305" i="44"/>
  <c r="AN279" i="44" s="1"/>
  <c r="E305" i="44"/>
  <c r="AF279" i="44" s="1"/>
  <c r="T305" i="44"/>
  <c r="AU279" i="44" s="1"/>
  <c r="L305" i="44"/>
  <c r="AM279" i="44" s="1"/>
  <c r="D305" i="44"/>
  <c r="AE279" i="44" s="1"/>
  <c r="S305" i="44"/>
  <c r="AT279" i="44" s="1"/>
  <c r="AT283" i="44" s="1"/>
  <c r="K305" i="44"/>
  <c r="AL279" i="44" s="1"/>
  <c r="C305" i="44"/>
  <c r="AD279" i="44" s="1"/>
  <c r="AD283" i="44" s="1"/>
  <c r="Z305" i="44"/>
  <c r="BA279" i="44" s="1"/>
  <c r="X305" i="44"/>
  <c r="AY279" i="44" s="1"/>
  <c r="P305" i="44"/>
  <c r="AQ279" i="44" s="1"/>
  <c r="H305" i="44"/>
  <c r="AI279" i="44" s="1"/>
  <c r="J305" i="44"/>
  <c r="AK279" i="44" s="1"/>
  <c r="AK283" i="44" s="1"/>
  <c r="Z365" i="44"/>
  <c r="BA339" i="44" s="1"/>
  <c r="R365" i="44"/>
  <c r="AS339" i="44" s="1"/>
  <c r="J365" i="44"/>
  <c r="AK339" i="44" s="1"/>
  <c r="B365" i="44"/>
  <c r="AC339" i="44" s="1"/>
  <c r="X365" i="44"/>
  <c r="AY339" i="44" s="1"/>
  <c r="P365" i="44"/>
  <c r="AQ339" i="44" s="1"/>
  <c r="H365" i="44"/>
  <c r="AI339" i="44" s="1"/>
  <c r="W365" i="44"/>
  <c r="AX339" i="44" s="1"/>
  <c r="O365" i="44"/>
  <c r="AP339" i="44" s="1"/>
  <c r="AP343" i="44" s="1"/>
  <c r="G365" i="44"/>
  <c r="AH339" i="44" s="1"/>
  <c r="Q365" i="44"/>
  <c r="AR339" i="44" s="1"/>
  <c r="D365" i="44"/>
  <c r="AE339" i="44" s="1"/>
  <c r="N365" i="44"/>
  <c r="AO339" i="44" s="1"/>
  <c r="C365" i="44"/>
  <c r="AD339" i="44" s="1"/>
  <c r="M365" i="44"/>
  <c r="AN339" i="44" s="1"/>
  <c r="Y365" i="44"/>
  <c r="AZ339" i="44" s="1"/>
  <c r="L365" i="44"/>
  <c r="AM339" i="44" s="1"/>
  <c r="V365" i="44"/>
  <c r="AW339" i="44" s="1"/>
  <c r="K365" i="44"/>
  <c r="AL339" i="44" s="1"/>
  <c r="U365" i="44"/>
  <c r="AV339" i="44" s="1"/>
  <c r="I365" i="44"/>
  <c r="AJ339" i="44" s="1"/>
  <c r="T365" i="44"/>
  <c r="AU339" i="44" s="1"/>
  <c r="F365" i="44"/>
  <c r="AG339" i="44" s="1"/>
  <c r="S365" i="44"/>
  <c r="AT339" i="44" s="1"/>
  <c r="E365" i="44"/>
  <c r="AF339" i="44" s="1"/>
  <c r="AN401" i="44"/>
  <c r="AL338" i="44"/>
  <c r="I442" i="44"/>
  <c r="I456" i="44" s="1"/>
  <c r="I474" i="44" s="1"/>
  <c r="G81" i="44"/>
  <c r="O81" i="44"/>
  <c r="W81" i="44"/>
  <c r="AI94" i="44"/>
  <c r="AI98" i="44" s="1"/>
  <c r="AR399" i="44"/>
  <c r="E121" i="44"/>
  <c r="M121" i="44"/>
  <c r="U121" i="44"/>
  <c r="E439" i="44"/>
  <c r="E453" i="44" s="1"/>
  <c r="E471" i="44" s="1"/>
  <c r="G442" i="44"/>
  <c r="G456" i="44" s="1"/>
  <c r="G474" i="44" s="1"/>
  <c r="AG282" i="44"/>
  <c r="H443" i="44" s="1"/>
  <c r="H457" i="44" s="1"/>
  <c r="H475" i="44" s="1"/>
  <c r="AO282" i="44"/>
  <c r="AW282" i="44"/>
  <c r="Q305" i="44"/>
  <c r="AR279" i="44" s="1"/>
  <c r="X304" i="44"/>
  <c r="AY280" i="44" s="1"/>
  <c r="P304" i="44"/>
  <c r="AQ280" i="44" s="1"/>
  <c r="H304" i="44"/>
  <c r="AI280" i="44" s="1"/>
  <c r="W304" i="44"/>
  <c r="AX280" i="44" s="1"/>
  <c r="O304" i="44"/>
  <c r="AP280" i="44" s="1"/>
  <c r="G304" i="44"/>
  <c r="AH280" i="44" s="1"/>
  <c r="V304" i="44"/>
  <c r="AW280" i="44" s="1"/>
  <c r="N304" i="44"/>
  <c r="AO280" i="44" s="1"/>
  <c r="F304" i="44"/>
  <c r="AG280" i="44" s="1"/>
  <c r="U304" i="44"/>
  <c r="AV280" i="44" s="1"/>
  <c r="M304" i="44"/>
  <c r="AN280" i="44" s="1"/>
  <c r="E304" i="44"/>
  <c r="AF280" i="44" s="1"/>
  <c r="T304" i="44"/>
  <c r="AU280" i="44" s="1"/>
  <c r="L304" i="44"/>
  <c r="AM280" i="44" s="1"/>
  <c r="D304" i="44"/>
  <c r="AE280" i="44" s="1"/>
  <c r="Y304" i="44"/>
  <c r="AZ280" i="44" s="1"/>
  <c r="Q304" i="44"/>
  <c r="AR280" i="44" s="1"/>
  <c r="I304" i="44"/>
  <c r="AJ280" i="44" s="1"/>
  <c r="AH282" i="44"/>
  <c r="AP282" i="44"/>
  <c r="AX282" i="44"/>
  <c r="K304" i="44"/>
  <c r="AL280" i="44" s="1"/>
  <c r="R305" i="44"/>
  <c r="AS279" i="44" s="1"/>
  <c r="AS283" i="44" s="1"/>
  <c r="AV342" i="44"/>
  <c r="J442" i="44"/>
  <c r="J456" i="44" s="1"/>
  <c r="J474" i="44" s="1"/>
  <c r="G121" i="44"/>
  <c r="O121" i="44"/>
  <c r="W121" i="44"/>
  <c r="E441" i="44"/>
  <c r="E455" i="44" s="1"/>
  <c r="E473" i="44" s="1"/>
  <c r="F439" i="44"/>
  <c r="F453" i="44" s="1"/>
  <c r="F471" i="44" s="1"/>
  <c r="AC181" i="44"/>
  <c r="Y305" i="44"/>
  <c r="AZ279" i="44" s="1"/>
  <c r="S364" i="44"/>
  <c r="AT340" i="44" s="1"/>
  <c r="K364" i="44"/>
  <c r="AL340" i="44" s="1"/>
  <c r="C364" i="44"/>
  <c r="AD340" i="44" s="1"/>
  <c r="Y364" i="44"/>
  <c r="AZ340" i="44" s="1"/>
  <c r="Q364" i="44"/>
  <c r="AR340" i="44" s="1"/>
  <c r="I364" i="44"/>
  <c r="AJ340" i="44" s="1"/>
  <c r="X364" i="44"/>
  <c r="AY340" i="44" s="1"/>
  <c r="P364" i="44"/>
  <c r="AQ340" i="44" s="1"/>
  <c r="H364" i="44"/>
  <c r="AI340" i="44" s="1"/>
  <c r="O364" i="44"/>
  <c r="AP340" i="44" s="1"/>
  <c r="D364" i="44"/>
  <c r="AE340" i="44" s="1"/>
  <c r="N364" i="44"/>
  <c r="AO340" i="44" s="1"/>
  <c r="B364" i="44"/>
  <c r="AC340" i="44" s="1"/>
  <c r="AU342" i="44"/>
  <c r="AM342" i="44"/>
  <c r="AE342" i="44"/>
  <c r="Z364" i="44"/>
  <c r="BA340" i="44" s="1"/>
  <c r="M364" i="44"/>
  <c r="AN340" i="44" s="1"/>
  <c r="W364" i="44"/>
  <c r="AX340" i="44" s="1"/>
  <c r="L364" i="44"/>
  <c r="AM340" i="44" s="1"/>
  <c r="V364" i="44"/>
  <c r="AW340" i="44" s="1"/>
  <c r="J364" i="44"/>
  <c r="AK340" i="44" s="1"/>
  <c r="U364" i="44"/>
  <c r="AV340" i="44" s="1"/>
  <c r="G364" i="44"/>
  <c r="AH340" i="44" s="1"/>
  <c r="T364" i="44"/>
  <c r="AU340" i="44" s="1"/>
  <c r="F364" i="44"/>
  <c r="AG340" i="44" s="1"/>
  <c r="AX342" i="44"/>
  <c r="AP342" i="44"/>
  <c r="AH342" i="44"/>
  <c r="R364" i="44"/>
  <c r="AS340" i="44" s="1"/>
  <c r="E364" i="44"/>
  <c r="AF340" i="44" s="1"/>
  <c r="AG342" i="44"/>
  <c r="AO342" i="44"/>
  <c r="AW342" i="44"/>
  <c r="AH403" i="44"/>
  <c r="K426" i="44"/>
  <c r="AL400" i="44" s="1"/>
  <c r="S425" i="44"/>
  <c r="AT401" i="44" s="1"/>
  <c r="K425" i="44"/>
  <c r="AL401" i="44" s="1"/>
  <c r="C425" i="44"/>
  <c r="AD401" i="44" s="1"/>
  <c r="BA403" i="44"/>
  <c r="AS403" i="44"/>
  <c r="AK403" i="44"/>
  <c r="AC403" i="44"/>
  <c r="Z425" i="44"/>
  <c r="BA401" i="44" s="1"/>
  <c r="R425" i="44"/>
  <c r="AS401" i="44" s="1"/>
  <c r="J425" i="44"/>
  <c r="AK401" i="44" s="1"/>
  <c r="B425" i="44"/>
  <c r="AC401" i="44" s="1"/>
  <c r="AZ403" i="44"/>
  <c r="AR403" i="44"/>
  <c r="AJ403" i="44"/>
  <c r="Y425" i="44"/>
  <c r="AZ401" i="44" s="1"/>
  <c r="Q425" i="44"/>
  <c r="AR401" i="44" s="1"/>
  <c r="I425" i="44"/>
  <c r="AJ401" i="44" s="1"/>
  <c r="AY403" i="44"/>
  <c r="AQ403" i="44"/>
  <c r="AI403" i="44"/>
  <c r="W425" i="44"/>
  <c r="AX401" i="44" s="1"/>
  <c r="O425" i="44"/>
  <c r="AP401" i="44" s="1"/>
  <c r="G425" i="44"/>
  <c r="AH401" i="44" s="1"/>
  <c r="AW403" i="44"/>
  <c r="AO403" i="44"/>
  <c r="AG403" i="44"/>
  <c r="V425" i="44"/>
  <c r="AW401" i="44" s="1"/>
  <c r="N425" i="44"/>
  <c r="AO401" i="44" s="1"/>
  <c r="F425" i="44"/>
  <c r="AG401" i="44" s="1"/>
  <c r="AV403" i="44"/>
  <c r="AN403" i="44"/>
  <c r="AF403" i="44"/>
  <c r="AL403" i="44"/>
  <c r="P425" i="44"/>
  <c r="AQ401" i="44" s="1"/>
  <c r="L426" i="44"/>
  <c r="AM400" i="44" s="1"/>
  <c r="AM404" i="44" s="1"/>
  <c r="AI342" i="44"/>
  <c r="AQ342" i="44"/>
  <c r="AY342" i="44"/>
  <c r="AM403" i="44"/>
  <c r="T425" i="44"/>
  <c r="AU401" i="44" s="1"/>
  <c r="O426" i="44"/>
  <c r="AP400" i="44" s="1"/>
  <c r="AP404" i="44" s="1"/>
  <c r="AJ342" i="44"/>
  <c r="AR342" i="44"/>
  <c r="AR343" i="44" s="1"/>
  <c r="AZ342" i="44"/>
  <c r="AP403" i="44"/>
  <c r="U425" i="44"/>
  <c r="AV401" i="44" s="1"/>
  <c r="S426" i="44"/>
  <c r="AT400" i="44" s="1"/>
  <c r="AT404" i="44" s="1"/>
  <c r="AC342" i="44"/>
  <c r="AK342" i="44"/>
  <c r="AS342" i="44"/>
  <c r="BA342" i="44"/>
  <c r="AT403" i="44"/>
  <c r="D425" i="44"/>
  <c r="AE401" i="44" s="1"/>
  <c r="X425" i="44"/>
  <c r="AY401" i="44" s="1"/>
  <c r="T426" i="44"/>
  <c r="AU400" i="44" s="1"/>
  <c r="AD342" i="44"/>
  <c r="AL342" i="44"/>
  <c r="AT342" i="44"/>
  <c r="AU403" i="44"/>
  <c r="E425" i="44"/>
  <c r="AF401" i="44" s="1"/>
  <c r="C426" i="44"/>
  <c r="AD400" i="44" s="1"/>
  <c r="Z426" i="44"/>
  <c r="BA400" i="44" s="1"/>
  <c r="R426" i="44"/>
  <c r="AS400" i="44" s="1"/>
  <c r="AS404" i="44" s="1"/>
  <c r="J426" i="44"/>
  <c r="AK400" i="44" s="1"/>
  <c r="AK404" i="44" s="1"/>
  <c r="B426" i="44"/>
  <c r="AC400" i="44" s="1"/>
  <c r="Y426" i="44"/>
  <c r="AZ400" i="44" s="1"/>
  <c r="Q426" i="44"/>
  <c r="AR400" i="44" s="1"/>
  <c r="I426" i="44"/>
  <c r="AJ400" i="44" s="1"/>
  <c r="X426" i="44"/>
  <c r="AY400" i="44" s="1"/>
  <c r="AY404" i="44" s="1"/>
  <c r="P426" i="44"/>
  <c r="AQ400" i="44" s="1"/>
  <c r="H426" i="44"/>
  <c r="AI400" i="44" s="1"/>
  <c r="V426" i="44"/>
  <c r="AW400" i="44" s="1"/>
  <c r="N426" i="44"/>
  <c r="AO400" i="44" s="1"/>
  <c r="F426" i="44"/>
  <c r="AG400" i="44" s="1"/>
  <c r="AG404" i="44" s="1"/>
  <c r="U426" i="44"/>
  <c r="AV400" i="44" s="1"/>
  <c r="AV404" i="44" s="1"/>
  <c r="M426" i="44"/>
  <c r="AN400" i="44" s="1"/>
  <c r="E426" i="44"/>
  <c r="AF400" i="44" s="1"/>
  <c r="AD403" i="44"/>
  <c r="AX403" i="44"/>
  <c r="H425" i="44"/>
  <c r="AI401" i="44" s="1"/>
  <c r="D426" i="44"/>
  <c r="AE400" i="44" s="1"/>
  <c r="AE404" i="44" s="1"/>
  <c r="AF342" i="44"/>
  <c r="AN342" i="44"/>
  <c r="AE403" i="44"/>
  <c r="L425" i="44"/>
  <c r="AM401" i="44" s="1"/>
  <c r="G426" i="44"/>
  <c r="AH400" i="44" s="1"/>
  <c r="AZ181" i="47" l="1"/>
  <c r="X366" i="47"/>
  <c r="E427" i="47"/>
  <c r="AF58" i="47"/>
  <c r="AD283" i="47"/>
  <c r="AZ58" i="47"/>
  <c r="D366" i="47"/>
  <c r="AN58" i="47"/>
  <c r="F442" i="47"/>
  <c r="F456" i="47" s="1"/>
  <c r="F474" i="47" s="1"/>
  <c r="AK222" i="47"/>
  <c r="AN401" i="47"/>
  <c r="AD18" i="47"/>
  <c r="AV58" i="47"/>
  <c r="AG98" i="47"/>
  <c r="AI140" i="47"/>
  <c r="E441" i="47"/>
  <c r="E455" i="47" s="1"/>
  <c r="E473" i="47" s="1"/>
  <c r="M306" i="47"/>
  <c r="AW18" i="47"/>
  <c r="AE140" i="47"/>
  <c r="AO140" i="47"/>
  <c r="I443" i="47"/>
  <c r="I457" i="47" s="1"/>
  <c r="R306" i="47"/>
  <c r="AO181" i="47"/>
  <c r="J442" i="47"/>
  <c r="J456" i="47" s="1"/>
  <c r="J474" i="47" s="1"/>
  <c r="L427" i="47"/>
  <c r="D441" i="47"/>
  <c r="D455" i="47" s="1"/>
  <c r="D473" i="47" s="1"/>
  <c r="AX98" i="47"/>
  <c r="R427" i="47"/>
  <c r="AO340" i="47"/>
  <c r="AW140" i="47"/>
  <c r="AO18" i="47"/>
  <c r="AN140" i="47"/>
  <c r="BA58" i="47"/>
  <c r="H441" i="47"/>
  <c r="H455" i="47" s="1"/>
  <c r="H473" i="47" s="1"/>
  <c r="AU58" i="47"/>
  <c r="I427" i="47"/>
  <c r="AM283" i="47"/>
  <c r="AU181" i="47"/>
  <c r="AR140" i="47"/>
  <c r="AI222" i="47"/>
  <c r="AE58" i="47"/>
  <c r="Z306" i="47"/>
  <c r="AL283" i="47"/>
  <c r="BA98" i="47"/>
  <c r="AM181" i="47"/>
  <c r="AD181" i="47"/>
  <c r="AI283" i="47"/>
  <c r="AY98" i="47"/>
  <c r="AJ58" i="47"/>
  <c r="AY222" i="47"/>
  <c r="AT140" i="47"/>
  <c r="AP222" i="47"/>
  <c r="AV18" i="47"/>
  <c r="D442" i="47"/>
  <c r="D456" i="47" s="1"/>
  <c r="D474" i="47" s="1"/>
  <c r="AQ283" i="47"/>
  <c r="V366" i="47"/>
  <c r="AK181" i="47"/>
  <c r="BA140" i="47"/>
  <c r="F427" i="47"/>
  <c r="H442" i="47"/>
  <c r="H456" i="47" s="1"/>
  <c r="H474" i="47" s="1"/>
  <c r="J443" i="47"/>
  <c r="J457" i="47" s="1"/>
  <c r="I442" i="47"/>
  <c r="I456" i="47" s="1"/>
  <c r="I474" i="47" s="1"/>
  <c r="D439" i="47"/>
  <c r="D453" i="47" s="1"/>
  <c r="D471" i="47" s="1"/>
  <c r="AR98" i="47"/>
  <c r="Y306" i="47"/>
  <c r="AT283" i="47"/>
  <c r="N427" i="47"/>
  <c r="G366" i="47"/>
  <c r="AR58" i="47"/>
  <c r="AV98" i="47"/>
  <c r="D427" i="47"/>
  <c r="I306" i="47"/>
  <c r="AK283" i="47"/>
  <c r="J306" i="47"/>
  <c r="AS283" i="47"/>
  <c r="F439" i="47"/>
  <c r="F453" i="47" s="1"/>
  <c r="F471" i="47" s="1"/>
  <c r="D435" i="47"/>
  <c r="D449" i="47" s="1"/>
  <c r="D467" i="47" s="1"/>
  <c r="AC98" i="47"/>
  <c r="J435" i="47"/>
  <c r="J449" i="47" s="1"/>
  <c r="J467" i="47" s="1"/>
  <c r="AX338" i="47"/>
  <c r="W366" i="47"/>
  <c r="AL58" i="47"/>
  <c r="B441" i="47"/>
  <c r="B455" i="47" s="1"/>
  <c r="B473" i="47" s="1"/>
  <c r="Z366" i="47"/>
  <c r="BA336" i="47"/>
  <c r="L366" i="47"/>
  <c r="AL399" i="47"/>
  <c r="K427" i="47"/>
  <c r="H437" i="47"/>
  <c r="H451" i="47" s="1"/>
  <c r="H469" i="47" s="1"/>
  <c r="BA283" i="47"/>
  <c r="AG18" i="47"/>
  <c r="Q427" i="47"/>
  <c r="AR399" i="47"/>
  <c r="AC58" i="47"/>
  <c r="AE283" i="47"/>
  <c r="AF140" i="47"/>
  <c r="AH283" i="47"/>
  <c r="G435" i="47"/>
  <c r="G449" i="47" s="1"/>
  <c r="G467" i="47" s="1"/>
  <c r="AC222" i="47"/>
  <c r="T365" i="47"/>
  <c r="AU339" i="47" s="1"/>
  <c r="L365" i="47"/>
  <c r="AM339" i="47" s="1"/>
  <c r="AM343" i="47" s="1"/>
  <c r="D365" i="47"/>
  <c r="AE339" i="47" s="1"/>
  <c r="AE343" i="47" s="1"/>
  <c r="S365" i="47"/>
  <c r="AT339" i="47" s="1"/>
  <c r="AT343" i="47" s="1"/>
  <c r="K365" i="47"/>
  <c r="AL339" i="47" s="1"/>
  <c r="AL343" i="47" s="1"/>
  <c r="C365" i="47"/>
  <c r="AD339" i="47" s="1"/>
  <c r="AD343" i="47" s="1"/>
  <c r="Z365" i="47"/>
  <c r="BA339" i="47" s="1"/>
  <c r="R365" i="47"/>
  <c r="AS339" i="47" s="1"/>
  <c r="AS343" i="47" s="1"/>
  <c r="J365" i="47"/>
  <c r="AK339" i="47" s="1"/>
  <c r="AK343" i="47" s="1"/>
  <c r="B365" i="47"/>
  <c r="AC339" i="47" s="1"/>
  <c r="Y365" i="47"/>
  <c r="AZ339" i="47" s="1"/>
  <c r="AZ343" i="47" s="1"/>
  <c r="Q365" i="47"/>
  <c r="AR339" i="47" s="1"/>
  <c r="AR343" i="47" s="1"/>
  <c r="I365" i="47"/>
  <c r="AJ339" i="47" s="1"/>
  <c r="AJ343" i="47" s="1"/>
  <c r="W365" i="47"/>
  <c r="AX339" i="47" s="1"/>
  <c r="O365" i="47"/>
  <c r="AP339" i="47" s="1"/>
  <c r="AP343" i="47" s="1"/>
  <c r="G365" i="47"/>
  <c r="AH339" i="47" s="1"/>
  <c r="AH343" i="47" s="1"/>
  <c r="N365" i="47"/>
  <c r="AO339" i="47" s="1"/>
  <c r="M365" i="47"/>
  <c r="AN339" i="47" s="1"/>
  <c r="AN343" i="47" s="1"/>
  <c r="X365" i="47"/>
  <c r="AY339" i="47" s="1"/>
  <c r="AY343" i="47" s="1"/>
  <c r="E365" i="47"/>
  <c r="AF339" i="47" s="1"/>
  <c r="V365" i="47"/>
  <c r="AW339" i="47" s="1"/>
  <c r="AW343" i="47" s="1"/>
  <c r="U365" i="47"/>
  <c r="AV339" i="47" s="1"/>
  <c r="AV343" i="47" s="1"/>
  <c r="P365" i="47"/>
  <c r="AQ339" i="47" s="1"/>
  <c r="AQ343" i="47" s="1"/>
  <c r="H365" i="47"/>
  <c r="AI339" i="47" s="1"/>
  <c r="AI343" i="47" s="1"/>
  <c r="F365" i="47"/>
  <c r="AG339" i="47" s="1"/>
  <c r="AG343" i="47" s="1"/>
  <c r="Y366" i="47"/>
  <c r="B427" i="47"/>
  <c r="O366" i="47"/>
  <c r="AI18" i="47"/>
  <c r="U366" i="47"/>
  <c r="C442" i="47"/>
  <c r="C456" i="47" s="1"/>
  <c r="C474" i="47" s="1"/>
  <c r="S366" i="47"/>
  <c r="F443" i="47"/>
  <c r="F457" i="47" s="1"/>
  <c r="T306" i="47"/>
  <c r="AU278" i="47"/>
  <c r="AU283" i="47" s="1"/>
  <c r="P427" i="47"/>
  <c r="J441" i="47"/>
  <c r="J455" i="47" s="1"/>
  <c r="J473" i="47" s="1"/>
  <c r="S426" i="47"/>
  <c r="AT400" i="47" s="1"/>
  <c r="AT404" i="47" s="1"/>
  <c r="Z426" i="47"/>
  <c r="BA400" i="47" s="1"/>
  <c r="R426" i="47"/>
  <c r="AS400" i="47" s="1"/>
  <c r="AS404" i="47" s="1"/>
  <c r="J426" i="47"/>
  <c r="AK400" i="47" s="1"/>
  <c r="AK404" i="47" s="1"/>
  <c r="B426" i="47"/>
  <c r="AC400" i="47" s="1"/>
  <c r="AC404" i="47" s="1"/>
  <c r="Y426" i="47"/>
  <c r="AZ400" i="47" s="1"/>
  <c r="AZ404" i="47" s="1"/>
  <c r="Q426" i="47"/>
  <c r="AR400" i="47" s="1"/>
  <c r="I426" i="47"/>
  <c r="AJ400" i="47" s="1"/>
  <c r="AJ404" i="47" s="1"/>
  <c r="X426" i="47"/>
  <c r="AY400" i="47" s="1"/>
  <c r="AY404" i="47" s="1"/>
  <c r="P426" i="47"/>
  <c r="AQ400" i="47" s="1"/>
  <c r="AQ404" i="47" s="1"/>
  <c r="H426" i="47"/>
  <c r="AI400" i="47" s="1"/>
  <c r="W426" i="47"/>
  <c r="AX400" i="47" s="1"/>
  <c r="AX404" i="47" s="1"/>
  <c r="O426" i="47"/>
  <c r="AP400" i="47" s="1"/>
  <c r="AP404" i="47" s="1"/>
  <c r="G426" i="47"/>
  <c r="AH400" i="47" s="1"/>
  <c r="AH404" i="47" s="1"/>
  <c r="U426" i="47"/>
  <c r="AV400" i="47" s="1"/>
  <c r="AV404" i="47" s="1"/>
  <c r="M426" i="47"/>
  <c r="AN400" i="47" s="1"/>
  <c r="AN404" i="47" s="1"/>
  <c r="E426" i="47"/>
  <c r="AF400" i="47" s="1"/>
  <c r="AF404" i="47" s="1"/>
  <c r="F426" i="47"/>
  <c r="AG400" i="47" s="1"/>
  <c r="AG404" i="47" s="1"/>
  <c r="D426" i="47"/>
  <c r="AE400" i="47" s="1"/>
  <c r="AE404" i="47" s="1"/>
  <c r="T426" i="47"/>
  <c r="AU400" i="47" s="1"/>
  <c r="AU404" i="47" s="1"/>
  <c r="N426" i="47"/>
  <c r="AO400" i="47" s="1"/>
  <c r="L426" i="47"/>
  <c r="AM400" i="47" s="1"/>
  <c r="AM404" i="47" s="1"/>
  <c r="K426" i="47"/>
  <c r="AL400" i="47" s="1"/>
  <c r="C426" i="47"/>
  <c r="AD400" i="47" s="1"/>
  <c r="AD404" i="47" s="1"/>
  <c r="V426" i="47"/>
  <c r="AW400" i="47" s="1"/>
  <c r="AW404" i="47" s="1"/>
  <c r="F441" i="47"/>
  <c r="F455" i="47" s="1"/>
  <c r="F473" i="47" s="1"/>
  <c r="C427" i="47"/>
  <c r="AJ283" i="47"/>
  <c r="AN283" i="47"/>
  <c r="P366" i="47"/>
  <c r="AO343" i="47"/>
  <c r="AR283" i="47"/>
  <c r="M366" i="47"/>
  <c r="C439" i="47"/>
  <c r="C453" i="47" s="1"/>
  <c r="C471" i="47" s="1"/>
  <c r="B435" i="47"/>
  <c r="B449" i="47" s="1"/>
  <c r="B467" i="47" s="1"/>
  <c r="AC18" i="47"/>
  <c r="I435" i="47"/>
  <c r="I449" i="47" s="1"/>
  <c r="I467" i="47" s="1"/>
  <c r="AC343" i="47"/>
  <c r="K366" i="47"/>
  <c r="AH98" i="47"/>
  <c r="E435" i="47"/>
  <c r="E449" i="47" s="1"/>
  <c r="E467" i="47" s="1"/>
  <c r="AC140" i="47"/>
  <c r="H427" i="47"/>
  <c r="AI399" i="47"/>
  <c r="I441" i="47"/>
  <c r="I455" i="47" s="1"/>
  <c r="I473" i="47" s="1"/>
  <c r="H443" i="47"/>
  <c r="H457" i="47" s="1"/>
  <c r="AV283" i="47"/>
  <c r="AI98" i="47"/>
  <c r="C443" i="47"/>
  <c r="C457" i="47" s="1"/>
  <c r="C366" i="47"/>
  <c r="G443" i="47"/>
  <c r="G457" i="47" s="1"/>
  <c r="B437" i="47"/>
  <c r="B451" i="47" s="1"/>
  <c r="B469" i="47" s="1"/>
  <c r="BA18" i="47"/>
  <c r="AP283" i="47"/>
  <c r="AZ283" i="47"/>
  <c r="AG283" i="47"/>
  <c r="V427" i="47"/>
  <c r="H366" i="47"/>
  <c r="AX181" i="47"/>
  <c r="F366" i="47"/>
  <c r="Z427" i="47"/>
  <c r="BA397" i="47"/>
  <c r="W306" i="47"/>
  <c r="AX278" i="47"/>
  <c r="AX283" i="47" s="1"/>
  <c r="B443" i="47"/>
  <c r="B457" i="47" s="1"/>
  <c r="E443" i="47"/>
  <c r="E457" i="47" s="1"/>
  <c r="J427" i="47"/>
  <c r="R366" i="47"/>
  <c r="Y427" i="47"/>
  <c r="D443" i="47"/>
  <c r="D457" i="47" s="1"/>
  <c r="H440" i="47"/>
  <c r="H454" i="47" s="1"/>
  <c r="H472" i="47" s="1"/>
  <c r="AO404" i="47"/>
  <c r="E439" i="47"/>
  <c r="E453" i="47" s="1"/>
  <c r="E471" i="47" s="1"/>
  <c r="AF338" i="47"/>
  <c r="E366" i="47"/>
  <c r="AU338" i="47"/>
  <c r="T366" i="47"/>
  <c r="N306" i="47"/>
  <c r="AO278" i="47"/>
  <c r="AO283" i="47" s="1"/>
  <c r="AF283" i="47"/>
  <c r="H435" i="47"/>
  <c r="H449" i="47" s="1"/>
  <c r="H467" i="47" s="1"/>
  <c r="AC283" i="47"/>
  <c r="G441" i="47"/>
  <c r="G455" i="47" s="1"/>
  <c r="G473" i="47" s="1"/>
  <c r="AW283" i="47"/>
  <c r="G439" i="47"/>
  <c r="G453" i="47" s="1"/>
  <c r="G471" i="47" s="1"/>
  <c r="F437" i="47"/>
  <c r="F451" i="47" s="1"/>
  <c r="F469" i="47" s="1"/>
  <c r="BA181" i="47"/>
  <c r="C441" i="47"/>
  <c r="C455" i="47" s="1"/>
  <c r="C473" i="47" s="1"/>
  <c r="F435" i="47"/>
  <c r="F449" i="47" s="1"/>
  <c r="F467" i="47" s="1"/>
  <c r="AC181" i="47"/>
  <c r="J439" i="47"/>
  <c r="J453" i="47" s="1"/>
  <c r="J471" i="47" s="1"/>
  <c r="J366" i="47"/>
  <c r="Q366" i="47"/>
  <c r="X427" i="47"/>
  <c r="G442" i="46"/>
  <c r="G456" i="46" s="1"/>
  <c r="G474" i="46" s="1"/>
  <c r="AS98" i="46"/>
  <c r="AI404" i="46"/>
  <c r="B439" i="46"/>
  <c r="B453" i="46" s="1"/>
  <c r="B471" i="46" s="1"/>
  <c r="AT404" i="46"/>
  <c r="E437" i="46"/>
  <c r="E451" i="46" s="1"/>
  <c r="E469" i="46" s="1"/>
  <c r="BA140" i="46"/>
  <c r="J435" i="46"/>
  <c r="J449" i="46" s="1"/>
  <c r="J467" i="46" s="1"/>
  <c r="AC404" i="46"/>
  <c r="I435" i="46"/>
  <c r="I449" i="46" s="1"/>
  <c r="I467" i="46" s="1"/>
  <c r="AC343" i="46"/>
  <c r="AM404" i="46"/>
  <c r="AT343" i="46"/>
  <c r="E306" i="46"/>
  <c r="AF278" i="46"/>
  <c r="AF404" i="46"/>
  <c r="AY404" i="46"/>
  <c r="BA336" i="46"/>
  <c r="Z366" i="46"/>
  <c r="G437" i="46"/>
  <c r="G451" i="46" s="1"/>
  <c r="G469" i="46" s="1"/>
  <c r="BA222" i="46"/>
  <c r="D441" i="46"/>
  <c r="D455" i="46" s="1"/>
  <c r="D473" i="46" s="1"/>
  <c r="AO283" i="46"/>
  <c r="G435" i="46"/>
  <c r="G449" i="46" s="1"/>
  <c r="G467" i="46" s="1"/>
  <c r="AC222" i="46"/>
  <c r="G444" i="46" s="1"/>
  <c r="G458" i="46" s="1"/>
  <c r="G476" i="46" s="1"/>
  <c r="AR343" i="46"/>
  <c r="C439" i="46"/>
  <c r="C453" i="46" s="1"/>
  <c r="C471" i="46" s="1"/>
  <c r="X305" i="46"/>
  <c r="AY279" i="46" s="1"/>
  <c r="AY283" i="46" s="1"/>
  <c r="P305" i="46"/>
  <c r="AQ279" i="46" s="1"/>
  <c r="AQ283" i="46" s="1"/>
  <c r="H305" i="46"/>
  <c r="AI279" i="46" s="1"/>
  <c r="AI283" i="46" s="1"/>
  <c r="W305" i="46"/>
  <c r="AX279" i="46" s="1"/>
  <c r="O305" i="46"/>
  <c r="AP279" i="46" s="1"/>
  <c r="AP283" i="46" s="1"/>
  <c r="G305" i="46"/>
  <c r="AH279" i="46" s="1"/>
  <c r="AH283" i="46" s="1"/>
  <c r="T305" i="46"/>
  <c r="AU279" i="46" s="1"/>
  <c r="AU283" i="46" s="1"/>
  <c r="L305" i="46"/>
  <c r="AM279" i="46" s="1"/>
  <c r="AM283" i="46" s="1"/>
  <c r="D305" i="46"/>
  <c r="AE279" i="46" s="1"/>
  <c r="AE283" i="46" s="1"/>
  <c r="Z305" i="46"/>
  <c r="BA279" i="46" s="1"/>
  <c r="M305" i="46"/>
  <c r="AN279" i="46" s="1"/>
  <c r="AN283" i="46" s="1"/>
  <c r="V305" i="46"/>
  <c r="AW279" i="46" s="1"/>
  <c r="AW283" i="46" s="1"/>
  <c r="J305" i="46"/>
  <c r="AK279" i="46" s="1"/>
  <c r="AK283" i="46" s="1"/>
  <c r="U305" i="46"/>
  <c r="AV279" i="46" s="1"/>
  <c r="AV283" i="46" s="1"/>
  <c r="I305" i="46"/>
  <c r="AJ279" i="46" s="1"/>
  <c r="AJ283" i="46" s="1"/>
  <c r="S305" i="46"/>
  <c r="AT279" i="46" s="1"/>
  <c r="AT283" i="46" s="1"/>
  <c r="F305" i="46"/>
  <c r="AG279" i="46" s="1"/>
  <c r="AG283" i="46" s="1"/>
  <c r="R305" i="46"/>
  <c r="AS279" i="46" s="1"/>
  <c r="AS283" i="46" s="1"/>
  <c r="E305" i="46"/>
  <c r="AF279" i="46" s="1"/>
  <c r="Y305" i="46"/>
  <c r="AZ279" i="46" s="1"/>
  <c r="AZ283" i="46" s="1"/>
  <c r="Q305" i="46"/>
  <c r="AR279" i="46" s="1"/>
  <c r="AR283" i="46" s="1"/>
  <c r="N305" i="46"/>
  <c r="AO279" i="46" s="1"/>
  <c r="K305" i="46"/>
  <c r="AL279" i="46" s="1"/>
  <c r="C305" i="46"/>
  <c r="AD279" i="46" s="1"/>
  <c r="AD283" i="46" s="1"/>
  <c r="B305" i="46"/>
  <c r="AC279" i="46" s="1"/>
  <c r="AN404" i="46"/>
  <c r="AJ404" i="46"/>
  <c r="AL404" i="46"/>
  <c r="B306" i="46"/>
  <c r="AC274" i="46"/>
  <c r="AL343" i="46"/>
  <c r="E442" i="46"/>
  <c r="E456" i="46" s="1"/>
  <c r="E474" i="46" s="1"/>
  <c r="C435" i="46"/>
  <c r="C449" i="46" s="1"/>
  <c r="C467" i="46" s="1"/>
  <c r="AC58" i="46"/>
  <c r="BA404" i="46"/>
  <c r="J437" i="46"/>
  <c r="J451" i="46" s="1"/>
  <c r="J469" i="46" s="1"/>
  <c r="AX283" i="46"/>
  <c r="AV404" i="46"/>
  <c r="J439" i="46"/>
  <c r="J453" i="46" s="1"/>
  <c r="J471" i="46" s="1"/>
  <c r="F444" i="46"/>
  <c r="F458" i="46" s="1"/>
  <c r="F476" i="46" s="1"/>
  <c r="I440" i="46"/>
  <c r="I454" i="46" s="1"/>
  <c r="I472" i="46" s="1"/>
  <c r="AX343" i="46"/>
  <c r="AK404" i="46"/>
  <c r="J440" i="46"/>
  <c r="J454" i="46" s="1"/>
  <c r="J472" i="46" s="1"/>
  <c r="AH404" i="46"/>
  <c r="AZ404" i="46"/>
  <c r="AU404" i="46"/>
  <c r="D437" i="46"/>
  <c r="D451" i="46" s="1"/>
  <c r="D469" i="46" s="1"/>
  <c r="BA98" i="46"/>
  <c r="C366" i="46"/>
  <c r="AR18" i="46"/>
  <c r="AL283" i="46"/>
  <c r="E444" i="46"/>
  <c r="E458" i="46" s="1"/>
  <c r="E476" i="46" s="1"/>
  <c r="B441" i="46"/>
  <c r="B455" i="46" s="1"/>
  <c r="B473" i="46" s="1"/>
  <c r="AH343" i="46"/>
  <c r="C441" i="46"/>
  <c r="C455" i="46" s="1"/>
  <c r="C473" i="46" s="1"/>
  <c r="D435" i="46"/>
  <c r="D449" i="46" s="1"/>
  <c r="D467" i="46" s="1"/>
  <c r="AC98" i="46"/>
  <c r="D444" i="46" s="1"/>
  <c r="D458" i="46" s="1"/>
  <c r="D476" i="46" s="1"/>
  <c r="J443" i="46"/>
  <c r="J457" i="46" s="1"/>
  <c r="J475" i="46" s="1"/>
  <c r="AS404" i="46"/>
  <c r="AP404" i="46"/>
  <c r="AD404" i="46"/>
  <c r="BA283" i="46"/>
  <c r="H437" i="46"/>
  <c r="H451" i="46" s="1"/>
  <c r="H469" i="46" s="1"/>
  <c r="AC18" i="46"/>
  <c r="AG343" i="46"/>
  <c r="AE404" i="46"/>
  <c r="AF343" i="46"/>
  <c r="Z306" i="46"/>
  <c r="C437" i="46"/>
  <c r="C451" i="46" s="1"/>
  <c r="C469" i="46" s="1"/>
  <c r="BA58" i="46"/>
  <c r="AI343" i="46"/>
  <c r="I441" i="45"/>
  <c r="I455" i="45" s="1"/>
  <c r="I473" i="45" s="1"/>
  <c r="W426" i="45"/>
  <c r="AX400" i="45" s="1"/>
  <c r="O426" i="45"/>
  <c r="AP400" i="45" s="1"/>
  <c r="AP404" i="45" s="1"/>
  <c r="G426" i="45"/>
  <c r="AH400" i="45" s="1"/>
  <c r="AH404" i="45" s="1"/>
  <c r="V426" i="45"/>
  <c r="AW400" i="45" s="1"/>
  <c r="AW404" i="45" s="1"/>
  <c r="N426" i="45"/>
  <c r="AO400" i="45" s="1"/>
  <c r="F426" i="45"/>
  <c r="AG400" i="45" s="1"/>
  <c r="AG404" i="45" s="1"/>
  <c r="U426" i="45"/>
  <c r="AV400" i="45" s="1"/>
  <c r="AV404" i="45" s="1"/>
  <c r="M426" i="45"/>
  <c r="AN400" i="45" s="1"/>
  <c r="AN404" i="45" s="1"/>
  <c r="E426" i="45"/>
  <c r="AF400" i="45" s="1"/>
  <c r="T426" i="45"/>
  <c r="AU400" i="45" s="1"/>
  <c r="L426" i="45"/>
  <c r="AM400" i="45" s="1"/>
  <c r="AM404" i="45" s="1"/>
  <c r="D426" i="45"/>
  <c r="AE400" i="45" s="1"/>
  <c r="AE404" i="45" s="1"/>
  <c r="Q426" i="45"/>
  <c r="AR400" i="45" s="1"/>
  <c r="AR404" i="45" s="1"/>
  <c r="P426" i="45"/>
  <c r="AQ400" i="45" s="1"/>
  <c r="AQ404" i="45" s="1"/>
  <c r="Z426" i="45"/>
  <c r="BA400" i="45" s="1"/>
  <c r="J426" i="45"/>
  <c r="AK400" i="45" s="1"/>
  <c r="AK404" i="45" s="1"/>
  <c r="Y426" i="45"/>
  <c r="AZ400" i="45" s="1"/>
  <c r="AZ404" i="45" s="1"/>
  <c r="I426" i="45"/>
  <c r="AJ400" i="45" s="1"/>
  <c r="AJ404" i="45" s="1"/>
  <c r="X426" i="45"/>
  <c r="AY400" i="45" s="1"/>
  <c r="AY404" i="45" s="1"/>
  <c r="H426" i="45"/>
  <c r="AI400" i="45" s="1"/>
  <c r="AI404" i="45" s="1"/>
  <c r="R426" i="45"/>
  <c r="AS400" i="45" s="1"/>
  <c r="AS404" i="45" s="1"/>
  <c r="B426" i="45"/>
  <c r="AC400" i="45" s="1"/>
  <c r="S426" i="45"/>
  <c r="AT400" i="45" s="1"/>
  <c r="AT404" i="45" s="1"/>
  <c r="K426" i="45"/>
  <c r="AL400" i="45" s="1"/>
  <c r="C426" i="45"/>
  <c r="AD400" i="45" s="1"/>
  <c r="AD404" i="45" s="1"/>
  <c r="J441" i="45"/>
  <c r="J455" i="45" s="1"/>
  <c r="J473" i="45" s="1"/>
  <c r="AF404" i="45"/>
  <c r="H366" i="45"/>
  <c r="S306" i="45"/>
  <c r="J435" i="45"/>
  <c r="J449" i="45" s="1"/>
  <c r="J467" i="45" s="1"/>
  <c r="G366" i="45"/>
  <c r="N306" i="45"/>
  <c r="AO278" i="45"/>
  <c r="AO283" i="45" s="1"/>
  <c r="AT283" i="45"/>
  <c r="AP283" i="45"/>
  <c r="V366" i="45"/>
  <c r="B366" i="45"/>
  <c r="B441" i="45"/>
  <c r="B455" i="45" s="1"/>
  <c r="B473" i="45" s="1"/>
  <c r="AF343" i="45"/>
  <c r="AK98" i="45"/>
  <c r="G306" i="45"/>
  <c r="G444" i="45"/>
  <c r="G458" i="45" s="1"/>
  <c r="E439" i="45"/>
  <c r="E453" i="45" s="1"/>
  <c r="E471" i="45" s="1"/>
  <c r="O427" i="45"/>
  <c r="AL58" i="45"/>
  <c r="H437" i="45"/>
  <c r="H451" i="45" s="1"/>
  <c r="H469" i="45" s="1"/>
  <c r="BA283" i="45"/>
  <c r="Q306" i="45"/>
  <c r="F306" i="45"/>
  <c r="I443" i="45"/>
  <c r="I457" i="45" s="1"/>
  <c r="I475" i="45" s="1"/>
  <c r="Q366" i="45"/>
  <c r="E427" i="45"/>
  <c r="K306" i="45"/>
  <c r="Z366" i="45"/>
  <c r="AY18" i="45"/>
  <c r="G427" i="45"/>
  <c r="Z306" i="45"/>
  <c r="I366" i="45"/>
  <c r="W306" i="45"/>
  <c r="E437" i="45"/>
  <c r="E451" i="45" s="1"/>
  <c r="E469" i="45" s="1"/>
  <c r="BA140" i="45"/>
  <c r="C306" i="45"/>
  <c r="B437" i="45"/>
  <c r="B451" i="45" s="1"/>
  <c r="B469" i="45" s="1"/>
  <c r="BA18" i="45"/>
  <c r="AC58" i="45"/>
  <c r="AM283" i="45"/>
  <c r="AN283" i="45"/>
  <c r="AJ283" i="45"/>
  <c r="N366" i="45"/>
  <c r="I437" i="45"/>
  <c r="I451" i="45" s="1"/>
  <c r="I469" i="45" s="1"/>
  <c r="BA343" i="45"/>
  <c r="X306" i="45"/>
  <c r="AI98" i="45"/>
  <c r="AV58" i="45"/>
  <c r="AQ18" i="45"/>
  <c r="R366" i="45"/>
  <c r="E444" i="45"/>
  <c r="E458" i="45" s="1"/>
  <c r="AU283" i="45"/>
  <c r="J437" i="45"/>
  <c r="J451" i="45" s="1"/>
  <c r="J469" i="45" s="1"/>
  <c r="BA404" i="45"/>
  <c r="D437" i="45"/>
  <c r="D451" i="45" s="1"/>
  <c r="D469" i="45" s="1"/>
  <c r="BA98" i="45"/>
  <c r="F366" i="45"/>
  <c r="P306" i="45"/>
  <c r="AN58" i="45"/>
  <c r="J366" i="45"/>
  <c r="G443" i="45"/>
  <c r="G457" i="45" s="1"/>
  <c r="G475" i="45" s="1"/>
  <c r="J443" i="45"/>
  <c r="J457" i="45" s="1"/>
  <c r="J475" i="45" s="1"/>
  <c r="H441" i="45"/>
  <c r="H455" i="45" s="1"/>
  <c r="H473" i="45" s="1"/>
  <c r="V427" i="45"/>
  <c r="T306" i="45"/>
  <c r="R306" i="45"/>
  <c r="AY283" i="45"/>
  <c r="AG283" i="45"/>
  <c r="AZ283" i="45"/>
  <c r="AI283" i="45"/>
  <c r="T366" i="45"/>
  <c r="AF58" i="45"/>
  <c r="P427" i="45"/>
  <c r="AL343" i="45"/>
  <c r="B306" i="45"/>
  <c r="I439" i="45"/>
  <c r="I453" i="45" s="1"/>
  <c r="I471" i="45" s="1"/>
  <c r="G439" i="45"/>
  <c r="G453" i="45" s="1"/>
  <c r="G471" i="45" s="1"/>
  <c r="AO404" i="45"/>
  <c r="L306" i="45"/>
  <c r="X366" i="45"/>
  <c r="J306" i="45"/>
  <c r="AE283" i="45"/>
  <c r="H440" i="45"/>
  <c r="H454" i="45" s="1"/>
  <c r="H472" i="45" s="1"/>
  <c r="AL404" i="45"/>
  <c r="U366" i="45"/>
  <c r="H306" i="45"/>
  <c r="D366" i="45"/>
  <c r="H427" i="45"/>
  <c r="K366" i="45"/>
  <c r="F435" i="45"/>
  <c r="F449" i="45" s="1"/>
  <c r="F467" i="45" s="1"/>
  <c r="AC181" i="45"/>
  <c r="D439" i="45"/>
  <c r="D453" i="45" s="1"/>
  <c r="D471" i="45" s="1"/>
  <c r="M306" i="45"/>
  <c r="B443" i="45"/>
  <c r="B457" i="45" s="1"/>
  <c r="B475" i="45" s="1"/>
  <c r="F443" i="45"/>
  <c r="F457" i="45" s="1"/>
  <c r="F475" i="45" s="1"/>
  <c r="Y365" i="45"/>
  <c r="AZ339" i="45" s="1"/>
  <c r="AZ343" i="45" s="1"/>
  <c r="Q365" i="45"/>
  <c r="AR339" i="45" s="1"/>
  <c r="AR343" i="45" s="1"/>
  <c r="I365" i="45"/>
  <c r="AJ339" i="45" s="1"/>
  <c r="AJ343" i="45" s="1"/>
  <c r="X365" i="45"/>
  <c r="AY339" i="45" s="1"/>
  <c r="AY343" i="45" s="1"/>
  <c r="P365" i="45"/>
  <c r="AQ339" i="45" s="1"/>
  <c r="AQ343" i="45" s="1"/>
  <c r="H365" i="45"/>
  <c r="AI339" i="45" s="1"/>
  <c r="W365" i="45"/>
  <c r="AX339" i="45" s="1"/>
  <c r="AX343" i="45" s="1"/>
  <c r="O365" i="45"/>
  <c r="AP339" i="45" s="1"/>
  <c r="AP343" i="45" s="1"/>
  <c r="G365" i="45"/>
  <c r="AH339" i="45" s="1"/>
  <c r="AH343" i="45" s="1"/>
  <c r="N365" i="45"/>
  <c r="AO339" i="45" s="1"/>
  <c r="AO343" i="45" s="1"/>
  <c r="C365" i="45"/>
  <c r="AD339" i="45" s="1"/>
  <c r="AD343" i="45" s="1"/>
  <c r="M365" i="45"/>
  <c r="AN339" i="45" s="1"/>
  <c r="AN343" i="45" s="1"/>
  <c r="B365" i="45"/>
  <c r="AC339" i="45" s="1"/>
  <c r="V365" i="45"/>
  <c r="AW339" i="45" s="1"/>
  <c r="AW343" i="45" s="1"/>
  <c r="K365" i="45"/>
  <c r="AL339" i="45" s="1"/>
  <c r="U365" i="45"/>
  <c r="AV339" i="45" s="1"/>
  <c r="AV343" i="45" s="1"/>
  <c r="J365" i="45"/>
  <c r="AK339" i="45" s="1"/>
  <c r="AK343" i="45" s="1"/>
  <c r="T365" i="45"/>
  <c r="AU339" i="45" s="1"/>
  <c r="AU343" i="45" s="1"/>
  <c r="F365" i="45"/>
  <c r="AG339" i="45" s="1"/>
  <c r="AG343" i="45" s="1"/>
  <c r="R365" i="45"/>
  <c r="AS339" i="45" s="1"/>
  <c r="AS343" i="45" s="1"/>
  <c r="D365" i="45"/>
  <c r="AE339" i="45" s="1"/>
  <c r="AE343" i="45" s="1"/>
  <c r="L365" i="45"/>
  <c r="AM339" i="45" s="1"/>
  <c r="AM343" i="45" s="1"/>
  <c r="E365" i="45"/>
  <c r="AF339" i="45" s="1"/>
  <c r="Z365" i="45"/>
  <c r="BA339" i="45" s="1"/>
  <c r="S365" i="45"/>
  <c r="AT339" i="45" s="1"/>
  <c r="AT343" i="45" s="1"/>
  <c r="N427" i="45"/>
  <c r="D306" i="45"/>
  <c r="U427" i="45"/>
  <c r="P366" i="45"/>
  <c r="AU404" i="45"/>
  <c r="AD283" i="45"/>
  <c r="AW283" i="45"/>
  <c r="AK283" i="45"/>
  <c r="AL181" i="45"/>
  <c r="J439" i="45"/>
  <c r="J453" i="45" s="1"/>
  <c r="J471" i="45" s="1"/>
  <c r="C443" i="45"/>
  <c r="C457" i="45" s="1"/>
  <c r="C475" i="45" s="1"/>
  <c r="AC343" i="45"/>
  <c r="I435" i="45"/>
  <c r="I449" i="45" s="1"/>
  <c r="I467" i="45" s="1"/>
  <c r="B435" i="45"/>
  <c r="B449" i="45" s="1"/>
  <c r="B467" i="45" s="1"/>
  <c r="AC18" i="45"/>
  <c r="C366" i="45"/>
  <c r="AX404" i="45"/>
  <c r="D435" i="45"/>
  <c r="D449" i="45" s="1"/>
  <c r="D467" i="45" s="1"/>
  <c r="AC98" i="45"/>
  <c r="AF283" i="45"/>
  <c r="V306" i="45"/>
  <c r="H435" i="45"/>
  <c r="H449" i="45" s="1"/>
  <c r="H467" i="45" s="1"/>
  <c r="AC283" i="45"/>
  <c r="F427" i="45"/>
  <c r="Y366" i="45"/>
  <c r="M427" i="45"/>
  <c r="D443" i="45"/>
  <c r="D457" i="45" s="1"/>
  <c r="D475" i="45" s="1"/>
  <c r="AI343" i="45"/>
  <c r="O366" i="45"/>
  <c r="AH283" i="45"/>
  <c r="AS283" i="45"/>
  <c r="AS98" i="45"/>
  <c r="O306" i="45"/>
  <c r="W427" i="45"/>
  <c r="E443" i="45"/>
  <c r="E457" i="45" s="1"/>
  <c r="E475" i="45" s="1"/>
  <c r="AR283" i="45"/>
  <c r="H439" i="45"/>
  <c r="H453" i="45" s="1"/>
  <c r="H471" i="45" s="1"/>
  <c r="AK58" i="44"/>
  <c r="AR58" i="44"/>
  <c r="Z306" i="44"/>
  <c r="AC343" i="44"/>
  <c r="I435" i="44"/>
  <c r="I449" i="44" s="1"/>
  <c r="I467" i="44" s="1"/>
  <c r="J441" i="44"/>
  <c r="J455" i="44" s="1"/>
  <c r="J473" i="44" s="1"/>
  <c r="F444" i="44"/>
  <c r="F458" i="44" s="1"/>
  <c r="F476" i="44" s="1"/>
  <c r="AM343" i="44"/>
  <c r="B437" i="44"/>
  <c r="B451" i="44" s="1"/>
  <c r="B469" i="44" s="1"/>
  <c r="BA18" i="44"/>
  <c r="U366" i="44"/>
  <c r="AZ404" i="44"/>
  <c r="Y427" i="44"/>
  <c r="AT343" i="44"/>
  <c r="AZ343" i="44"/>
  <c r="AE283" i="44"/>
  <c r="AW283" i="44"/>
  <c r="H427" i="44"/>
  <c r="G427" i="44"/>
  <c r="H366" i="44"/>
  <c r="U427" i="44"/>
  <c r="D427" i="44"/>
  <c r="AO283" i="44"/>
  <c r="G444" i="44"/>
  <c r="G458" i="44" s="1"/>
  <c r="G476" i="44" s="1"/>
  <c r="U306" i="44"/>
  <c r="AL283" i="44"/>
  <c r="H306" i="44"/>
  <c r="D366" i="44"/>
  <c r="J440" i="44"/>
  <c r="J454" i="44" s="1"/>
  <c r="J472" i="44" s="1"/>
  <c r="I441" i="44"/>
  <c r="I455" i="44" s="1"/>
  <c r="I473" i="44" s="1"/>
  <c r="AR404" i="44"/>
  <c r="AG343" i="44"/>
  <c r="AN343" i="44"/>
  <c r="AM283" i="44"/>
  <c r="AH283" i="44"/>
  <c r="H441" i="44"/>
  <c r="H455" i="44" s="1"/>
  <c r="H473" i="44" s="1"/>
  <c r="Y366" i="44"/>
  <c r="V427" i="44"/>
  <c r="AI343" i="44"/>
  <c r="AF404" i="44"/>
  <c r="J435" i="44"/>
  <c r="J449" i="44" s="1"/>
  <c r="J467" i="44" s="1"/>
  <c r="AC404" i="44"/>
  <c r="N306" i="44"/>
  <c r="M306" i="44"/>
  <c r="B443" i="44"/>
  <c r="B457" i="44" s="1"/>
  <c r="B475" i="44" s="1"/>
  <c r="G443" i="44"/>
  <c r="G457" i="44" s="1"/>
  <c r="G475" i="44" s="1"/>
  <c r="AU283" i="44"/>
  <c r="K306" i="44"/>
  <c r="M366" i="44"/>
  <c r="AI283" i="44"/>
  <c r="AY18" i="44"/>
  <c r="AW404" i="44"/>
  <c r="I443" i="44"/>
  <c r="I457" i="44" s="1"/>
  <c r="I475" i="44" s="1"/>
  <c r="Q427" i="44"/>
  <c r="S366" i="44"/>
  <c r="AD343" i="44"/>
  <c r="AQ343" i="44"/>
  <c r="AQ283" i="44"/>
  <c r="AP283" i="44"/>
  <c r="Q366" i="44"/>
  <c r="N427" i="44"/>
  <c r="E427" i="44"/>
  <c r="V366" i="44"/>
  <c r="D437" i="44"/>
  <c r="D451" i="44" s="1"/>
  <c r="D469" i="44" s="1"/>
  <c r="BA98" i="44"/>
  <c r="F306" i="44"/>
  <c r="C442" i="44"/>
  <c r="C456" i="44" s="1"/>
  <c r="C474" i="44" s="1"/>
  <c r="AF283" i="44"/>
  <c r="E443" i="44"/>
  <c r="E457" i="44" s="1"/>
  <c r="E475" i="44" s="1"/>
  <c r="T306" i="44"/>
  <c r="AL98" i="44"/>
  <c r="C441" i="44"/>
  <c r="C455" i="44" s="1"/>
  <c r="C473" i="44" s="1"/>
  <c r="Y306" i="44"/>
  <c r="B366" i="44"/>
  <c r="AX283" i="44"/>
  <c r="AQ18" i="44"/>
  <c r="J443" i="44"/>
  <c r="J457" i="44" s="1"/>
  <c r="J475" i="44" s="1"/>
  <c r="I427" i="44"/>
  <c r="K366" i="44"/>
  <c r="AJ343" i="44"/>
  <c r="AY343" i="44"/>
  <c r="AY283" i="44"/>
  <c r="I366" i="44"/>
  <c r="AO404" i="44"/>
  <c r="Z427" i="44"/>
  <c r="AX343" i="44"/>
  <c r="AO343" i="44"/>
  <c r="R427" i="44"/>
  <c r="R366" i="44"/>
  <c r="E306" i="44"/>
  <c r="F443" i="44"/>
  <c r="F457" i="44" s="1"/>
  <c r="F475" i="44" s="1"/>
  <c r="L306" i="44"/>
  <c r="AR283" i="44"/>
  <c r="AF338" i="44"/>
  <c r="E366" i="44"/>
  <c r="AL399" i="44"/>
  <c r="AL404" i="44" s="1"/>
  <c r="K427" i="44"/>
  <c r="W306" i="44"/>
  <c r="AH404" i="44"/>
  <c r="AQ404" i="44"/>
  <c r="D441" i="44"/>
  <c r="D455" i="44" s="1"/>
  <c r="D473" i="44" s="1"/>
  <c r="AL343" i="44"/>
  <c r="AV343" i="44"/>
  <c r="AE343" i="44"/>
  <c r="I440" i="44"/>
  <c r="I454" i="44" s="1"/>
  <c r="I472" i="44" s="1"/>
  <c r="AN283" i="44"/>
  <c r="H440" i="44"/>
  <c r="H454" i="44" s="1"/>
  <c r="H472" i="44" s="1"/>
  <c r="F427" i="44"/>
  <c r="E437" i="44"/>
  <c r="E451" i="44" s="1"/>
  <c r="E469" i="44" s="1"/>
  <c r="BA140" i="44"/>
  <c r="J437" i="44"/>
  <c r="J451" i="44" s="1"/>
  <c r="J469" i="44" s="1"/>
  <c r="BA404" i="44"/>
  <c r="W366" i="44"/>
  <c r="N366" i="44"/>
  <c r="BA283" i="44"/>
  <c r="H437" i="44"/>
  <c r="H451" i="44" s="1"/>
  <c r="H469" i="44" s="1"/>
  <c r="D306" i="44"/>
  <c r="AR18" i="44"/>
  <c r="H439" i="44"/>
  <c r="H453" i="44" s="1"/>
  <c r="H471" i="44" s="1"/>
  <c r="Q306" i="44"/>
  <c r="AU338" i="44"/>
  <c r="AU343" i="44" s="1"/>
  <c r="T366" i="44"/>
  <c r="O306" i="44"/>
  <c r="AD404" i="44"/>
  <c r="C366" i="44"/>
  <c r="AK343" i="44"/>
  <c r="AV283" i="44"/>
  <c r="X427" i="44"/>
  <c r="AX404" i="44"/>
  <c r="B427" i="44"/>
  <c r="AW98" i="44"/>
  <c r="O366" i="44"/>
  <c r="T427" i="44"/>
  <c r="F366" i="44"/>
  <c r="J427" i="44"/>
  <c r="G439" i="44"/>
  <c r="G453" i="44" s="1"/>
  <c r="G471" i="44" s="1"/>
  <c r="J366" i="44"/>
  <c r="D435" i="44"/>
  <c r="D449" i="44" s="1"/>
  <c r="D467" i="44" s="1"/>
  <c r="AC98" i="44"/>
  <c r="D444" i="44" s="1"/>
  <c r="D458" i="44" s="1"/>
  <c r="D476" i="44" s="1"/>
  <c r="H435" i="44"/>
  <c r="H449" i="44" s="1"/>
  <c r="H467" i="44" s="1"/>
  <c r="AC283" i="44"/>
  <c r="E435" i="44"/>
  <c r="E449" i="44" s="1"/>
  <c r="E467" i="44" s="1"/>
  <c r="AC140" i="44"/>
  <c r="I306" i="44"/>
  <c r="Z366" i="44"/>
  <c r="BA336" i="44"/>
  <c r="AF18" i="44"/>
  <c r="C427" i="44"/>
  <c r="C443" i="44"/>
  <c r="C457" i="44" s="1"/>
  <c r="C475" i="44" s="1"/>
  <c r="G306" i="44"/>
  <c r="B439" i="44"/>
  <c r="B453" i="44" s="1"/>
  <c r="B471" i="44" s="1"/>
  <c r="AN404" i="44"/>
  <c r="AJ404" i="44"/>
  <c r="AZ283" i="44"/>
  <c r="S427" i="44"/>
  <c r="AW343" i="44"/>
  <c r="AH343" i="44"/>
  <c r="AS343" i="44"/>
  <c r="AG283" i="44"/>
  <c r="P427" i="44"/>
  <c r="W427" i="44"/>
  <c r="AR140" i="44"/>
  <c r="X366" i="44"/>
  <c r="G366" i="44"/>
  <c r="AU404" i="44"/>
  <c r="D439" i="44"/>
  <c r="D453" i="44" s="1"/>
  <c r="D471" i="44" s="1"/>
  <c r="D443" i="44"/>
  <c r="D457" i="44" s="1"/>
  <c r="D475" i="44" s="1"/>
  <c r="C435" i="44"/>
  <c r="C449" i="44" s="1"/>
  <c r="C467" i="44" s="1"/>
  <c r="AC58" i="44"/>
  <c r="C444" i="44" s="1"/>
  <c r="C458" i="44" s="1"/>
  <c r="C476" i="44" s="1"/>
  <c r="X306" i="44"/>
  <c r="L366" i="44"/>
  <c r="B435" i="44"/>
  <c r="B449" i="44" s="1"/>
  <c r="B467" i="44" s="1"/>
  <c r="AC18" i="44"/>
  <c r="AU343" i="47" l="1"/>
  <c r="F444" i="47"/>
  <c r="F458" i="47" s="1"/>
  <c r="C444" i="47"/>
  <c r="C458" i="47" s="1"/>
  <c r="E444" i="47"/>
  <c r="E458" i="47" s="1"/>
  <c r="G444" i="47"/>
  <c r="G458" i="47" s="1"/>
  <c r="H444" i="47"/>
  <c r="H458" i="47" s="1"/>
  <c r="AX343" i="47"/>
  <c r="AL404" i="47"/>
  <c r="H439" i="47"/>
  <c r="H453" i="47" s="1"/>
  <c r="H471" i="47" s="1"/>
  <c r="AI404" i="47"/>
  <c r="B444" i="47"/>
  <c r="B458" i="47" s="1"/>
  <c r="J440" i="47"/>
  <c r="J454" i="47" s="1"/>
  <c r="J472" i="47" s="1"/>
  <c r="I440" i="47"/>
  <c r="I454" i="47" s="1"/>
  <c r="I472" i="47" s="1"/>
  <c r="AR404" i="47"/>
  <c r="I437" i="47"/>
  <c r="I451" i="47" s="1"/>
  <c r="I469" i="47" s="1"/>
  <c r="BA343" i="47"/>
  <c r="D444" i="47"/>
  <c r="D458" i="47" s="1"/>
  <c r="AF343" i="47"/>
  <c r="I439" i="47"/>
  <c r="I453" i="47" s="1"/>
  <c r="I471" i="47" s="1"/>
  <c r="J437" i="47"/>
  <c r="J451" i="47" s="1"/>
  <c r="J469" i="47" s="1"/>
  <c r="BA404" i="47"/>
  <c r="J444" i="46"/>
  <c r="J458" i="46" s="1"/>
  <c r="J476" i="46" s="1"/>
  <c r="AF283" i="46"/>
  <c r="H439" i="46"/>
  <c r="H453" i="46" s="1"/>
  <c r="H471" i="46" s="1"/>
  <c r="C444" i="46"/>
  <c r="C458" i="46" s="1"/>
  <c r="C476" i="46" s="1"/>
  <c r="B444" i="46"/>
  <c r="B458" i="46" s="1"/>
  <c r="B476" i="46" s="1"/>
  <c r="H440" i="46"/>
  <c r="H454" i="46" s="1"/>
  <c r="H472" i="46" s="1"/>
  <c r="H435" i="46"/>
  <c r="H449" i="46" s="1"/>
  <c r="H467" i="46" s="1"/>
  <c r="AC283" i="46"/>
  <c r="I437" i="46"/>
  <c r="I451" i="46" s="1"/>
  <c r="I469" i="46" s="1"/>
  <c r="BA343" i="46"/>
  <c r="I444" i="46" s="1"/>
  <c r="I458" i="46" s="1"/>
  <c r="I476" i="46" s="1"/>
  <c r="B444" i="45"/>
  <c r="B458" i="45" s="1"/>
  <c r="J440" i="45"/>
  <c r="J454" i="45" s="1"/>
  <c r="J472" i="45" s="1"/>
  <c r="D444" i="45"/>
  <c r="D458" i="45" s="1"/>
  <c r="I444" i="45"/>
  <c r="I458" i="45" s="1"/>
  <c r="I440" i="45"/>
  <c r="I454" i="45" s="1"/>
  <c r="I472" i="45" s="1"/>
  <c r="C444" i="45"/>
  <c r="C458" i="45" s="1"/>
  <c r="F444" i="45"/>
  <c r="F458" i="45" s="1"/>
  <c r="H444" i="45"/>
  <c r="H458" i="45" s="1"/>
  <c r="AC404" i="45"/>
  <c r="J444" i="45" s="1"/>
  <c r="J458" i="45" s="1"/>
  <c r="I437" i="44"/>
  <c r="I451" i="44" s="1"/>
  <c r="I469" i="44" s="1"/>
  <c r="BA343" i="44"/>
  <c r="J439" i="44"/>
  <c r="J453" i="44" s="1"/>
  <c r="J471" i="44" s="1"/>
  <c r="E444" i="44"/>
  <c r="E458" i="44" s="1"/>
  <c r="E476" i="44" s="1"/>
  <c r="J444" i="44"/>
  <c r="J458" i="44" s="1"/>
  <c r="J476" i="44" s="1"/>
  <c r="AF343" i="44"/>
  <c r="I444" i="44" s="1"/>
  <c r="I458" i="44" s="1"/>
  <c r="I476" i="44" s="1"/>
  <c r="I439" i="44"/>
  <c r="I453" i="44" s="1"/>
  <c r="I471" i="44" s="1"/>
  <c r="B444" i="44"/>
  <c r="B458" i="44" s="1"/>
  <c r="B476" i="44" s="1"/>
  <c r="H444" i="44"/>
  <c r="H458" i="44" s="1"/>
  <c r="H476" i="44" s="1"/>
  <c r="D6" i="29"/>
  <c r="D7" i="29"/>
  <c r="D8" i="29"/>
  <c r="D9" i="29"/>
  <c r="D10" i="29"/>
  <c r="D11" i="29"/>
  <c r="D12" i="29"/>
  <c r="D13" i="29"/>
  <c r="D14" i="29"/>
  <c r="D15" i="29"/>
  <c r="D5" i="29"/>
  <c r="C6" i="29"/>
  <c r="C7" i="29"/>
  <c r="C8" i="29"/>
  <c r="C9" i="29"/>
  <c r="C10" i="29"/>
  <c r="C11" i="29"/>
  <c r="C12" i="29"/>
  <c r="C13" i="29"/>
  <c r="C14" i="29"/>
  <c r="C15" i="29"/>
  <c r="C5" i="29"/>
  <c r="B6" i="29"/>
  <c r="B7" i="29"/>
  <c r="B8" i="29"/>
  <c r="B9" i="29"/>
  <c r="B10" i="29"/>
  <c r="B11" i="29"/>
  <c r="B12" i="29"/>
  <c r="B13" i="29"/>
  <c r="B14" i="29"/>
  <c r="B15" i="29"/>
  <c r="B5" i="29"/>
  <c r="I290" i="43"/>
  <c r="H290" i="43"/>
  <c r="G290" i="43"/>
  <c r="I278" i="43"/>
  <c r="H278" i="43"/>
  <c r="G278" i="43"/>
  <c r="L251" i="43"/>
  <c r="K251" i="43"/>
  <c r="J251" i="43"/>
  <c r="I251" i="43"/>
  <c r="H251" i="43"/>
  <c r="G251" i="43"/>
  <c r="F251" i="43"/>
  <c r="E251" i="43"/>
  <c r="D251" i="43"/>
  <c r="L226" i="43"/>
  <c r="K226" i="43"/>
  <c r="J226" i="43"/>
  <c r="I226" i="43"/>
  <c r="H226" i="43"/>
  <c r="G226" i="43"/>
  <c r="F226" i="43"/>
  <c r="E226" i="43"/>
  <c r="D226" i="43"/>
  <c r="L214" i="43"/>
  <c r="K214" i="43"/>
  <c r="J214" i="43"/>
  <c r="I214" i="43"/>
  <c r="H214" i="43"/>
  <c r="G214" i="43"/>
  <c r="F214" i="43"/>
  <c r="E214" i="43"/>
  <c r="D214" i="43"/>
  <c r="I93" i="43"/>
  <c r="I105" i="43" s="1"/>
  <c r="I117" i="43" s="1"/>
  <c r="H93" i="43"/>
  <c r="H105" i="43" s="1"/>
  <c r="H117" i="43" s="1"/>
  <c r="G93" i="43"/>
  <c r="F93" i="43"/>
  <c r="F105" i="43" s="1"/>
  <c r="F117" i="43" s="1"/>
  <c r="E93" i="43"/>
  <c r="D93" i="43"/>
  <c r="D105" i="43" s="1"/>
  <c r="D117" i="43" s="1"/>
  <c r="AV434" i="43"/>
  <c r="AI471" i="43" s="1"/>
  <c r="AU434" i="43"/>
  <c r="AE471" i="43" s="1"/>
  <c r="AT434" i="43"/>
  <c r="AB471" i="43" s="1"/>
  <c r="AQ434" i="43"/>
  <c r="AI470" i="43" s="1"/>
  <c r="AP434" i="43"/>
  <c r="AE470" i="43" s="1"/>
  <c r="AO434" i="43"/>
  <c r="AB470" i="43" s="1"/>
  <c r="AL434" i="43"/>
  <c r="AG469" i="43" s="1"/>
  <c r="AK434" i="43"/>
  <c r="AE469" i="43" s="1"/>
  <c r="AJ434" i="43"/>
  <c r="AB469" i="43" s="1"/>
  <c r="AI434" i="43"/>
  <c r="Z469" i="43" s="1"/>
  <c r="AV433" i="43"/>
  <c r="W471" i="43" s="1"/>
  <c r="AU433" i="43"/>
  <c r="S471" i="43" s="1"/>
  <c r="AT433" i="43"/>
  <c r="P471" i="43" s="1"/>
  <c r="AQ433" i="43"/>
  <c r="W470" i="43" s="1"/>
  <c r="AP433" i="43"/>
  <c r="S470" i="43" s="1"/>
  <c r="AO433" i="43"/>
  <c r="P470" i="43" s="1"/>
  <c r="AL433" i="43"/>
  <c r="U469" i="43" s="1"/>
  <c r="AK433" i="43"/>
  <c r="S469" i="43" s="1"/>
  <c r="AJ433" i="43"/>
  <c r="P469" i="43" s="1"/>
  <c r="AI433" i="43"/>
  <c r="N469" i="43" s="1"/>
  <c r="AV432" i="43"/>
  <c r="K471" i="43" s="1"/>
  <c r="AU432" i="43"/>
  <c r="G471" i="43" s="1"/>
  <c r="AT432" i="43"/>
  <c r="D471" i="43" s="1"/>
  <c r="AQ432" i="43"/>
  <c r="K470" i="43" s="1"/>
  <c r="AP432" i="43"/>
  <c r="G470" i="43" s="1"/>
  <c r="AO432" i="43"/>
  <c r="D470" i="43" s="1"/>
  <c r="AL432" i="43"/>
  <c r="I469" i="43" s="1"/>
  <c r="AK432" i="43"/>
  <c r="G469" i="43" s="1"/>
  <c r="AJ432" i="43"/>
  <c r="D469" i="43" s="1"/>
  <c r="AI432" i="43"/>
  <c r="B469" i="43" s="1"/>
  <c r="I425" i="43"/>
  <c r="G425" i="43"/>
  <c r="C425" i="32"/>
  <c r="D425" i="32"/>
  <c r="E425" i="32"/>
  <c r="F425" i="32"/>
  <c r="G425" i="32"/>
  <c r="H425" i="32"/>
  <c r="I425" i="32"/>
  <c r="J425" i="32"/>
  <c r="K425" i="32"/>
  <c r="L425" i="32"/>
  <c r="M425" i="32"/>
  <c r="N425" i="32"/>
  <c r="O425" i="32"/>
  <c r="P425" i="32"/>
  <c r="Q425" i="32"/>
  <c r="R425" i="32"/>
  <c r="S425" i="32"/>
  <c r="T425" i="32"/>
  <c r="U425" i="32"/>
  <c r="V425" i="32"/>
  <c r="W425" i="32"/>
  <c r="X425" i="32"/>
  <c r="Y425" i="32"/>
  <c r="Z425" i="32"/>
  <c r="B425" i="32"/>
  <c r="C364" i="32"/>
  <c r="D364" i="32"/>
  <c r="E364" i="32"/>
  <c r="F364" i="32"/>
  <c r="G364" i="32"/>
  <c r="H364" i="32"/>
  <c r="I364" i="32"/>
  <c r="J364" i="32"/>
  <c r="K364" i="32"/>
  <c r="L364" i="32"/>
  <c r="M364" i="32"/>
  <c r="N364" i="32"/>
  <c r="O364" i="32"/>
  <c r="P364" i="32"/>
  <c r="Q364" i="32"/>
  <c r="R364" i="32"/>
  <c r="S364" i="32"/>
  <c r="T364" i="32"/>
  <c r="U364" i="32"/>
  <c r="V364" i="32"/>
  <c r="W364" i="32"/>
  <c r="X364" i="32"/>
  <c r="Y364" i="32"/>
  <c r="Z364" i="32"/>
  <c r="B364" i="32"/>
  <c r="C304" i="32"/>
  <c r="D304" i="32"/>
  <c r="E304" i="32"/>
  <c r="F304" i="32"/>
  <c r="G304" i="32"/>
  <c r="H304" i="32"/>
  <c r="I304" i="32"/>
  <c r="J304" i="32"/>
  <c r="K304" i="32"/>
  <c r="L304" i="32"/>
  <c r="M304" i="32"/>
  <c r="N304" i="32"/>
  <c r="O304" i="32"/>
  <c r="P304" i="32"/>
  <c r="Q304" i="32"/>
  <c r="R304" i="32"/>
  <c r="S304" i="32"/>
  <c r="T304" i="32"/>
  <c r="U304" i="32"/>
  <c r="V304" i="32"/>
  <c r="W304" i="32"/>
  <c r="X304" i="32"/>
  <c r="Y304" i="32"/>
  <c r="Z304" i="32"/>
  <c r="B304" i="32"/>
  <c r="B258" i="8"/>
  <c r="I290" i="42"/>
  <c r="H290" i="42"/>
  <c r="G290" i="42"/>
  <c r="I278" i="42"/>
  <c r="H278" i="42"/>
  <c r="G278" i="42"/>
  <c r="L251" i="42"/>
  <c r="K251" i="42"/>
  <c r="J251" i="42"/>
  <c r="I251" i="42"/>
  <c r="H251" i="42"/>
  <c r="G251" i="42"/>
  <c r="F251" i="42"/>
  <c r="E251" i="42"/>
  <c r="D251" i="42"/>
  <c r="I290" i="37"/>
  <c r="G290" i="37"/>
  <c r="H290" i="37"/>
  <c r="I278" i="37"/>
  <c r="H278" i="37"/>
  <c r="G278" i="37"/>
  <c r="L251" i="37"/>
  <c r="K251" i="37"/>
  <c r="J251" i="37"/>
  <c r="I251" i="37"/>
  <c r="H251" i="37"/>
  <c r="G251" i="37"/>
  <c r="F251" i="37"/>
  <c r="E251" i="37"/>
  <c r="D251" i="37"/>
  <c r="E193" i="42"/>
  <c r="F193" i="42"/>
  <c r="G193" i="42"/>
  <c r="H193" i="42"/>
  <c r="I193" i="42"/>
  <c r="J193" i="42"/>
  <c r="K193" i="42"/>
  <c r="L193" i="42"/>
  <c r="D193" i="42"/>
  <c r="E181" i="42"/>
  <c r="F181" i="42"/>
  <c r="G181" i="42"/>
  <c r="H181" i="42"/>
  <c r="I181" i="42"/>
  <c r="J181" i="42"/>
  <c r="K181" i="42"/>
  <c r="L181" i="42"/>
  <c r="D181" i="42"/>
  <c r="E144" i="42"/>
  <c r="F144" i="42"/>
  <c r="G144" i="42"/>
  <c r="H144" i="42"/>
  <c r="I144" i="42"/>
  <c r="J144" i="42"/>
  <c r="K144" i="42"/>
  <c r="L144" i="42"/>
  <c r="D144" i="42"/>
  <c r="AC322" i="8"/>
  <c r="L226" i="42"/>
  <c r="K226" i="42"/>
  <c r="J226" i="42"/>
  <c r="I226" i="42"/>
  <c r="H226" i="42"/>
  <c r="G226" i="42"/>
  <c r="F226" i="42"/>
  <c r="E226" i="42"/>
  <c r="D226" i="42"/>
  <c r="L214" i="42"/>
  <c r="K214" i="42"/>
  <c r="J214" i="42"/>
  <c r="I214" i="42"/>
  <c r="H214" i="42"/>
  <c r="G214" i="42"/>
  <c r="F214" i="42"/>
  <c r="E214" i="42"/>
  <c r="D214" i="42"/>
  <c r="I93" i="42"/>
  <c r="I105" i="42" s="1"/>
  <c r="I117" i="42" s="1"/>
  <c r="H93" i="42"/>
  <c r="H129" i="42" s="1"/>
  <c r="H141" i="42" s="1"/>
  <c r="G93" i="42"/>
  <c r="F93" i="42"/>
  <c r="E93" i="42"/>
  <c r="E105" i="42" s="1"/>
  <c r="E117" i="42" s="1"/>
  <c r="D93" i="42"/>
  <c r="D129" i="42" s="1"/>
  <c r="D141" i="42" s="1"/>
  <c r="AV434" i="42"/>
  <c r="AI471" i="42" s="1"/>
  <c r="AU434" i="42"/>
  <c r="AE471" i="42" s="1"/>
  <c r="AT434" i="42"/>
  <c r="AB471" i="42" s="1"/>
  <c r="AQ434" i="42"/>
  <c r="AI470" i="42" s="1"/>
  <c r="AP434" i="42"/>
  <c r="AE470" i="42" s="1"/>
  <c r="AO434" i="42"/>
  <c r="AB470" i="42" s="1"/>
  <c r="AL434" i="42"/>
  <c r="AG469" i="42" s="1"/>
  <c r="AK434" i="42"/>
  <c r="AE469" i="42" s="1"/>
  <c r="AJ434" i="42"/>
  <c r="AB469" i="42" s="1"/>
  <c r="AI434" i="42"/>
  <c r="Z469" i="42" s="1"/>
  <c r="AV433" i="42"/>
  <c r="W471" i="42" s="1"/>
  <c r="AU433" i="42"/>
  <c r="S471" i="42" s="1"/>
  <c r="AT433" i="42"/>
  <c r="P471" i="42" s="1"/>
  <c r="AQ433" i="42"/>
  <c r="W470" i="42" s="1"/>
  <c r="AP433" i="42"/>
  <c r="S470" i="42" s="1"/>
  <c r="AO433" i="42"/>
  <c r="P470" i="42" s="1"/>
  <c r="AL433" i="42"/>
  <c r="U469" i="42" s="1"/>
  <c r="AK433" i="42"/>
  <c r="S469" i="42" s="1"/>
  <c r="AJ433" i="42"/>
  <c r="P469" i="42" s="1"/>
  <c r="AI433" i="42"/>
  <c r="N469" i="42" s="1"/>
  <c r="AV432" i="42"/>
  <c r="K471" i="42" s="1"/>
  <c r="AU432" i="42"/>
  <c r="G471" i="42" s="1"/>
  <c r="AT432" i="42"/>
  <c r="D471" i="42" s="1"/>
  <c r="AQ432" i="42"/>
  <c r="K470" i="42" s="1"/>
  <c r="AP432" i="42"/>
  <c r="G470" i="42" s="1"/>
  <c r="AO432" i="42"/>
  <c r="D470" i="42" s="1"/>
  <c r="AL432" i="42"/>
  <c r="I469" i="42" s="1"/>
  <c r="AK432" i="42"/>
  <c r="G469" i="42" s="1"/>
  <c r="AJ432" i="42"/>
  <c r="D469" i="42" s="1"/>
  <c r="AI432" i="42"/>
  <c r="B469" i="42" s="1"/>
  <c r="I425" i="42"/>
  <c r="G425" i="42"/>
  <c r="B258" i="7"/>
  <c r="L251" i="41"/>
  <c r="K251" i="41"/>
  <c r="J251" i="41"/>
  <c r="H251" i="41"/>
  <c r="I251" i="41"/>
  <c r="G251" i="41"/>
  <c r="F251" i="41"/>
  <c r="E251" i="41"/>
  <c r="D251" i="41"/>
  <c r="I290" i="41"/>
  <c r="H290" i="41"/>
  <c r="G290" i="41"/>
  <c r="I278" i="41"/>
  <c r="H278" i="41"/>
  <c r="G278" i="41"/>
  <c r="E144" i="41"/>
  <c r="F144" i="41"/>
  <c r="G144" i="41"/>
  <c r="H144" i="41"/>
  <c r="I144" i="41"/>
  <c r="J144" i="41"/>
  <c r="K144" i="41"/>
  <c r="L144" i="41"/>
  <c r="D144" i="41"/>
  <c r="E193" i="41"/>
  <c r="F193" i="41"/>
  <c r="G193" i="41"/>
  <c r="H193" i="41"/>
  <c r="I193" i="41"/>
  <c r="J193" i="41"/>
  <c r="K193" i="41"/>
  <c r="L193" i="41"/>
  <c r="D193" i="41"/>
  <c r="E181" i="41"/>
  <c r="F181" i="41"/>
  <c r="G181" i="41"/>
  <c r="H181" i="41"/>
  <c r="I181" i="41"/>
  <c r="J181" i="41"/>
  <c r="K181" i="41"/>
  <c r="L181" i="41"/>
  <c r="D181" i="41"/>
  <c r="L226" i="41"/>
  <c r="K226" i="41"/>
  <c r="J226" i="41"/>
  <c r="I226" i="41"/>
  <c r="H226" i="41"/>
  <c r="G226" i="41"/>
  <c r="F226" i="41"/>
  <c r="E226" i="41"/>
  <c r="D226" i="41"/>
  <c r="L214" i="41"/>
  <c r="K214" i="41"/>
  <c r="J214" i="41"/>
  <c r="I214" i="41"/>
  <c r="H214" i="41"/>
  <c r="G214" i="41"/>
  <c r="F214" i="41"/>
  <c r="E214" i="41"/>
  <c r="D214" i="41"/>
  <c r="I93" i="41"/>
  <c r="I105" i="41" s="1"/>
  <c r="I117" i="41" s="1"/>
  <c r="H93" i="41"/>
  <c r="G93" i="41"/>
  <c r="G129" i="41" s="1"/>
  <c r="G141" i="41" s="1"/>
  <c r="F93" i="41"/>
  <c r="F129" i="41" s="1"/>
  <c r="F141" i="41" s="1"/>
  <c r="E93" i="41"/>
  <c r="E105" i="41" s="1"/>
  <c r="E117" i="41" s="1"/>
  <c r="D93" i="41"/>
  <c r="D105" i="41" s="1"/>
  <c r="D117" i="41" s="1"/>
  <c r="AV434" i="41"/>
  <c r="AI471" i="41" s="1"/>
  <c r="AU434" i="41"/>
  <c r="AE471" i="41" s="1"/>
  <c r="AT434" i="41"/>
  <c r="AB471" i="41" s="1"/>
  <c r="AQ434" i="41"/>
  <c r="AI470" i="41" s="1"/>
  <c r="AP434" i="41"/>
  <c r="AE470" i="41" s="1"/>
  <c r="AO434" i="41"/>
  <c r="AB470" i="41" s="1"/>
  <c r="AL434" i="41"/>
  <c r="AG469" i="41" s="1"/>
  <c r="AK434" i="41"/>
  <c r="AE469" i="41" s="1"/>
  <c r="AJ434" i="41"/>
  <c r="AB469" i="41" s="1"/>
  <c r="AI434" i="41"/>
  <c r="Z469" i="41" s="1"/>
  <c r="AV433" i="41"/>
  <c r="W471" i="41" s="1"/>
  <c r="AU433" i="41"/>
  <c r="S471" i="41" s="1"/>
  <c r="AT433" i="41"/>
  <c r="P471" i="41" s="1"/>
  <c r="AQ433" i="41"/>
  <c r="W470" i="41" s="1"/>
  <c r="AP433" i="41"/>
  <c r="S470" i="41" s="1"/>
  <c r="AO433" i="41"/>
  <c r="P470" i="41" s="1"/>
  <c r="AL433" i="41"/>
  <c r="U469" i="41" s="1"/>
  <c r="AK433" i="41"/>
  <c r="S469" i="41" s="1"/>
  <c r="AJ433" i="41"/>
  <c r="P469" i="41" s="1"/>
  <c r="AI433" i="41"/>
  <c r="N469" i="41" s="1"/>
  <c r="AV432" i="41"/>
  <c r="K471" i="41" s="1"/>
  <c r="AU432" i="41"/>
  <c r="G470" i="41" s="1"/>
  <c r="AT432" i="41"/>
  <c r="D471" i="41" s="1"/>
  <c r="AQ432" i="41"/>
  <c r="K470" i="41" s="1"/>
  <c r="AP432" i="41"/>
  <c r="AO432" i="41"/>
  <c r="D470" i="41" s="1"/>
  <c r="AL432" i="41"/>
  <c r="I469" i="41" s="1"/>
  <c r="AK432" i="41"/>
  <c r="G469" i="41" s="1"/>
  <c r="AJ432" i="41"/>
  <c r="D469" i="41" s="1"/>
  <c r="AI432" i="41"/>
  <c r="B469" i="41" s="1"/>
  <c r="I425" i="41"/>
  <c r="G425" i="41"/>
  <c r="BA470" i="37"/>
  <c r="AZ470" i="37"/>
  <c r="AY470" i="37"/>
  <c r="BA469" i="37"/>
  <c r="AZ469" i="37"/>
  <c r="AY469" i="37"/>
  <c r="BA468" i="37"/>
  <c r="AZ468" i="37"/>
  <c r="AY468" i="37"/>
  <c r="AV470" i="37"/>
  <c r="AI507" i="37" s="1"/>
  <c r="AU470" i="37"/>
  <c r="AE507" i="37" s="1"/>
  <c r="AT470" i="37"/>
  <c r="AB507" i="37" s="1"/>
  <c r="AV469" i="37"/>
  <c r="W507" i="37" s="1"/>
  <c r="AU469" i="37"/>
  <c r="S507" i="37" s="1"/>
  <c r="AT469" i="37"/>
  <c r="P507" i="37" s="1"/>
  <c r="AV468" i="37"/>
  <c r="K507" i="37" s="1"/>
  <c r="AU468" i="37"/>
  <c r="G507" i="37" s="1"/>
  <c r="AT468" i="37"/>
  <c r="D507" i="37" s="1"/>
  <c r="AQ470" i="37"/>
  <c r="AI506" i="37" s="1"/>
  <c r="AP470" i="37"/>
  <c r="AE506" i="37" s="1"/>
  <c r="AO470" i="37"/>
  <c r="AB506" i="37" s="1"/>
  <c r="AQ469" i="37"/>
  <c r="W506" i="37" s="1"/>
  <c r="AP469" i="37"/>
  <c r="S506" i="37" s="1"/>
  <c r="AO469" i="37"/>
  <c r="P506" i="37" s="1"/>
  <c r="AQ468" i="37"/>
  <c r="K506" i="37" s="1"/>
  <c r="AP468" i="37"/>
  <c r="G506" i="37" s="1"/>
  <c r="AO468" i="37"/>
  <c r="D506" i="37" s="1"/>
  <c r="AL470" i="37"/>
  <c r="AG505" i="37" s="1"/>
  <c r="AK470" i="37"/>
  <c r="AE505" i="37" s="1"/>
  <c r="AJ470" i="37"/>
  <c r="AB505" i="37" s="1"/>
  <c r="AI470" i="37"/>
  <c r="Z505" i="37" s="1"/>
  <c r="AL469" i="37"/>
  <c r="U505" i="37" s="1"/>
  <c r="AK469" i="37"/>
  <c r="S505" i="37" s="1"/>
  <c r="AJ469" i="37"/>
  <c r="P505" i="37" s="1"/>
  <c r="AI469" i="37"/>
  <c r="N505" i="37" s="1"/>
  <c r="AL468" i="37"/>
  <c r="I505" i="37" s="1"/>
  <c r="AK468" i="37"/>
  <c r="G505" i="37" s="1"/>
  <c r="AJ468" i="37"/>
  <c r="D505" i="37" s="1"/>
  <c r="AI468" i="37"/>
  <c r="B505" i="37" s="1"/>
  <c r="I129" i="43" l="1"/>
  <c r="I141" i="43" s="1"/>
  <c r="J444" i="47"/>
  <c r="J458" i="47" s="1"/>
  <c r="I444" i="47"/>
  <c r="I458" i="47" s="1"/>
  <c r="H444" i="46"/>
  <c r="H458" i="46" s="1"/>
  <c r="H476" i="46" s="1"/>
  <c r="E129" i="42"/>
  <c r="E141" i="42" s="1"/>
  <c r="H105" i="42"/>
  <c r="H117" i="42" s="1"/>
  <c r="H129" i="43"/>
  <c r="H141" i="43" s="1"/>
  <c r="I129" i="42"/>
  <c r="I141" i="42" s="1"/>
  <c r="G129" i="43"/>
  <c r="G141" i="43" s="1"/>
  <c r="G105" i="43"/>
  <c r="G117" i="43" s="1"/>
  <c r="E129" i="43"/>
  <c r="E141" i="43" s="1"/>
  <c r="E105" i="43"/>
  <c r="E117" i="43" s="1"/>
  <c r="D129" i="43"/>
  <c r="D141" i="43" s="1"/>
  <c r="F129" i="43"/>
  <c r="F141" i="43" s="1"/>
  <c r="D105" i="42"/>
  <c r="D117" i="42" s="1"/>
  <c r="F105" i="42"/>
  <c r="F117" i="42" s="1"/>
  <c r="F129" i="42"/>
  <c r="F141" i="42" s="1"/>
  <c r="G129" i="42"/>
  <c r="G141" i="42" s="1"/>
  <c r="G105" i="42"/>
  <c r="G117" i="42" s="1"/>
  <c r="G471" i="41"/>
  <c r="I129" i="41"/>
  <c r="I141" i="41" s="1"/>
  <c r="F105" i="41"/>
  <c r="F117" i="41" s="1"/>
  <c r="H129" i="41"/>
  <c r="H141" i="41" s="1"/>
  <c r="H105" i="41"/>
  <c r="H117" i="41" s="1"/>
  <c r="G105" i="41"/>
  <c r="G117" i="41" s="1"/>
  <c r="D129" i="41"/>
  <c r="D141" i="41" s="1"/>
  <c r="E129" i="41"/>
  <c r="E141" i="41" s="1"/>
  <c r="B318" i="9"/>
  <c r="C304" i="9"/>
  <c r="D304" i="9"/>
  <c r="E304" i="9"/>
  <c r="F304" i="9"/>
  <c r="G304" i="9"/>
  <c r="H304" i="9"/>
  <c r="I304" i="9"/>
  <c r="J304" i="9"/>
  <c r="K304" i="9"/>
  <c r="L304" i="9"/>
  <c r="M304" i="9"/>
  <c r="N304" i="9"/>
  <c r="O304" i="9"/>
  <c r="P304" i="9"/>
  <c r="Q304" i="9"/>
  <c r="R304" i="9"/>
  <c r="S304" i="9"/>
  <c r="T304" i="9"/>
  <c r="U304" i="9"/>
  <c r="V304" i="9"/>
  <c r="W304" i="9"/>
  <c r="X304" i="9"/>
  <c r="Y304" i="9"/>
  <c r="Z304" i="9"/>
  <c r="B304" i="9"/>
  <c r="B258" i="9"/>
  <c r="E144" i="37"/>
  <c r="F144" i="37"/>
  <c r="G144" i="37"/>
  <c r="H144" i="37"/>
  <c r="I144" i="37"/>
  <c r="J144" i="37"/>
  <c r="K144" i="37"/>
  <c r="L144" i="37"/>
  <c r="D144" i="37"/>
  <c r="E193" i="37"/>
  <c r="F193" i="37"/>
  <c r="G193" i="37"/>
  <c r="H193" i="37"/>
  <c r="I193" i="37"/>
  <c r="J193" i="37"/>
  <c r="K193" i="37"/>
  <c r="L193" i="37"/>
  <c r="D193" i="37"/>
  <c r="E181" i="37"/>
  <c r="F181" i="37"/>
  <c r="G181" i="37"/>
  <c r="H181" i="37"/>
  <c r="I181" i="37"/>
  <c r="J181" i="37"/>
  <c r="K181" i="37"/>
  <c r="L181" i="37"/>
  <c r="D181" i="37"/>
  <c r="L226" i="37"/>
  <c r="K226" i="37"/>
  <c r="J226" i="37"/>
  <c r="I226" i="37"/>
  <c r="H226" i="37"/>
  <c r="G226" i="37"/>
  <c r="F226" i="37"/>
  <c r="E226" i="37"/>
  <c r="D226" i="37"/>
  <c r="L214" i="37"/>
  <c r="K214" i="37"/>
  <c r="J214" i="37"/>
  <c r="I214" i="37"/>
  <c r="H214" i="37"/>
  <c r="G214" i="37"/>
  <c r="F214" i="37"/>
  <c r="E214" i="37"/>
  <c r="D214" i="37"/>
  <c r="I93" i="37"/>
  <c r="I105" i="37" s="1"/>
  <c r="I117" i="37" s="1"/>
  <c r="H93" i="37"/>
  <c r="H129" i="37" s="1"/>
  <c r="H141" i="37" s="1"/>
  <c r="G93" i="37"/>
  <c r="G105" i="37" s="1"/>
  <c r="G117" i="37" s="1"/>
  <c r="F93" i="37"/>
  <c r="F129" i="37" s="1"/>
  <c r="F141" i="37" s="1"/>
  <c r="E93" i="37"/>
  <c r="E129" i="37" s="1"/>
  <c r="E141" i="37" s="1"/>
  <c r="D93" i="37"/>
  <c r="I461" i="37"/>
  <c r="G461" i="37"/>
  <c r="G129" i="37" l="1"/>
  <c r="G141" i="37" s="1"/>
  <c r="F105" i="37"/>
  <c r="F117" i="37" s="1"/>
  <c r="H105" i="37"/>
  <c r="H117" i="37" s="1"/>
  <c r="E105" i="37"/>
  <c r="E117" i="37" s="1"/>
  <c r="D105" i="37"/>
  <c r="D117" i="37" s="1"/>
  <c r="D129" i="37"/>
  <c r="D141" i="37" s="1"/>
  <c r="I129" i="37"/>
  <c r="I141" i="37" s="1"/>
  <c r="C244" i="27"/>
  <c r="D244" i="27"/>
  <c r="E244" i="27"/>
  <c r="F244" i="27"/>
  <c r="G244" i="27"/>
  <c r="H244" i="27"/>
  <c r="I244" i="27"/>
  <c r="J244" i="27"/>
  <c r="K244" i="27"/>
  <c r="L244" i="27"/>
  <c r="M244" i="27"/>
  <c r="N244" i="27"/>
  <c r="O244" i="27"/>
  <c r="P244" i="27"/>
  <c r="Q244" i="27"/>
  <c r="R244" i="27"/>
  <c r="S244" i="27"/>
  <c r="T244" i="27"/>
  <c r="U244" i="27"/>
  <c r="V244" i="27"/>
  <c r="W244" i="27"/>
  <c r="X244" i="27"/>
  <c r="Y244" i="27"/>
  <c r="Z244" i="27"/>
  <c r="B244" i="27"/>
  <c r="C203" i="27"/>
  <c r="D203" i="27"/>
  <c r="E203" i="27"/>
  <c r="F203" i="27"/>
  <c r="G203" i="27"/>
  <c r="H203" i="27"/>
  <c r="I203" i="27"/>
  <c r="J203" i="27"/>
  <c r="K203" i="27"/>
  <c r="L203" i="27"/>
  <c r="M203" i="27"/>
  <c r="N203" i="27"/>
  <c r="O203" i="27"/>
  <c r="P203" i="27"/>
  <c r="Q203" i="27"/>
  <c r="R203" i="27"/>
  <c r="S203" i="27"/>
  <c r="T203" i="27"/>
  <c r="U203" i="27"/>
  <c r="V203" i="27"/>
  <c r="W203" i="27"/>
  <c r="X203" i="27"/>
  <c r="Y203" i="27"/>
  <c r="Z203" i="27"/>
  <c r="B203" i="27"/>
  <c r="C162" i="27"/>
  <c r="D162" i="27"/>
  <c r="E162" i="27"/>
  <c r="F162" i="27"/>
  <c r="G162" i="27"/>
  <c r="H162" i="27"/>
  <c r="I162" i="27"/>
  <c r="J162" i="27"/>
  <c r="K162" i="27"/>
  <c r="L162" i="27"/>
  <c r="M162" i="27"/>
  <c r="N162" i="27"/>
  <c r="O162" i="27"/>
  <c r="P162" i="27"/>
  <c r="Q162" i="27"/>
  <c r="R162" i="27"/>
  <c r="S162" i="27"/>
  <c r="T162" i="27"/>
  <c r="U162" i="27"/>
  <c r="V162" i="27"/>
  <c r="W162" i="27"/>
  <c r="X162" i="27"/>
  <c r="Y162" i="27"/>
  <c r="Z162" i="27"/>
  <c r="B162" i="27"/>
  <c r="C244" i="23"/>
  <c r="D244" i="23"/>
  <c r="E244" i="23"/>
  <c r="F244" i="23"/>
  <c r="G244" i="23"/>
  <c r="H244" i="23"/>
  <c r="I244" i="23"/>
  <c r="J244" i="23"/>
  <c r="K244" i="23"/>
  <c r="L244" i="23"/>
  <c r="M244" i="23"/>
  <c r="N244" i="23"/>
  <c r="O244" i="23"/>
  <c r="P244" i="23"/>
  <c r="Q244" i="23"/>
  <c r="R244" i="23"/>
  <c r="S244" i="23"/>
  <c r="T244" i="23"/>
  <c r="U244" i="23"/>
  <c r="V244" i="23"/>
  <c r="W244" i="23"/>
  <c r="X244" i="23"/>
  <c r="Y244" i="23"/>
  <c r="Z244" i="23"/>
  <c r="B244" i="23"/>
  <c r="C203" i="23"/>
  <c r="D203" i="23"/>
  <c r="E203" i="23"/>
  <c r="F203" i="23"/>
  <c r="G203" i="23"/>
  <c r="H203" i="23"/>
  <c r="I203" i="23"/>
  <c r="J203" i="23"/>
  <c r="K203" i="23"/>
  <c r="L203" i="23"/>
  <c r="M203" i="23"/>
  <c r="N203" i="23"/>
  <c r="O203" i="23"/>
  <c r="P203" i="23"/>
  <c r="Q203" i="23"/>
  <c r="R203" i="23"/>
  <c r="S203" i="23"/>
  <c r="T203" i="23"/>
  <c r="U203" i="23"/>
  <c r="V203" i="23"/>
  <c r="W203" i="23"/>
  <c r="X203" i="23"/>
  <c r="Y203" i="23"/>
  <c r="Z203" i="23"/>
  <c r="B203" i="23"/>
  <c r="C162" i="23"/>
  <c r="D162" i="23"/>
  <c r="E162" i="23"/>
  <c r="F162" i="23"/>
  <c r="G162" i="23"/>
  <c r="H162" i="23"/>
  <c r="I162" i="23"/>
  <c r="J162" i="23"/>
  <c r="K162" i="23"/>
  <c r="L162" i="23"/>
  <c r="M162" i="23"/>
  <c r="N162" i="23"/>
  <c r="O162" i="23"/>
  <c r="P162" i="23"/>
  <c r="Q162" i="23"/>
  <c r="R162" i="23"/>
  <c r="S162" i="23"/>
  <c r="T162" i="23"/>
  <c r="U162" i="23"/>
  <c r="V162" i="23"/>
  <c r="W162" i="23"/>
  <c r="X162" i="23"/>
  <c r="Y162" i="23"/>
  <c r="Z162" i="23"/>
  <c r="B162" i="23"/>
  <c r="B244" i="8"/>
  <c r="C244" i="8"/>
  <c r="D244" i="8"/>
  <c r="E244" i="8"/>
  <c r="F244" i="8"/>
  <c r="G244" i="8"/>
  <c r="H244" i="8"/>
  <c r="I244" i="8"/>
  <c r="J244" i="8"/>
  <c r="K244" i="8"/>
  <c r="L244" i="8"/>
  <c r="M244" i="8"/>
  <c r="N244" i="8"/>
  <c r="O244" i="8"/>
  <c r="P244" i="8"/>
  <c r="Q244" i="8"/>
  <c r="R244" i="8"/>
  <c r="S244" i="8"/>
  <c r="T244" i="8"/>
  <c r="U244" i="8"/>
  <c r="V244" i="8"/>
  <c r="W244" i="8"/>
  <c r="X244" i="8"/>
  <c r="Y244" i="8"/>
  <c r="Z244" i="8"/>
  <c r="C203" i="8"/>
  <c r="D203" i="8"/>
  <c r="E203" i="8"/>
  <c r="F203" i="8"/>
  <c r="G203" i="8"/>
  <c r="H203" i="8"/>
  <c r="I203" i="8"/>
  <c r="J203" i="8"/>
  <c r="K203" i="8"/>
  <c r="L203" i="8"/>
  <c r="M203" i="8"/>
  <c r="N203" i="8"/>
  <c r="O203" i="8"/>
  <c r="P203" i="8"/>
  <c r="Q203" i="8"/>
  <c r="R203" i="8"/>
  <c r="S203" i="8"/>
  <c r="T203" i="8"/>
  <c r="U203" i="8"/>
  <c r="V203" i="8"/>
  <c r="W203" i="8"/>
  <c r="X203" i="8"/>
  <c r="Y203" i="8"/>
  <c r="Z203" i="8"/>
  <c r="B203" i="8"/>
  <c r="C162" i="8"/>
  <c r="D162" i="8"/>
  <c r="E162" i="8"/>
  <c r="F162" i="8"/>
  <c r="G162" i="8"/>
  <c r="H162" i="8"/>
  <c r="I162" i="8"/>
  <c r="J162" i="8"/>
  <c r="K162" i="8"/>
  <c r="L162" i="8"/>
  <c r="M162" i="8"/>
  <c r="N162" i="8"/>
  <c r="O162" i="8"/>
  <c r="P162" i="8"/>
  <c r="Q162" i="8"/>
  <c r="R162" i="8"/>
  <c r="S162" i="8"/>
  <c r="T162" i="8"/>
  <c r="U162" i="8"/>
  <c r="V162" i="8"/>
  <c r="W162" i="8"/>
  <c r="X162" i="8"/>
  <c r="Y162" i="8"/>
  <c r="Z162" i="8"/>
  <c r="B162" i="8"/>
  <c r="Z425" i="28"/>
  <c r="Y425" i="28"/>
  <c r="X425" i="28"/>
  <c r="W425" i="28"/>
  <c r="V425" i="28"/>
  <c r="U425" i="28"/>
  <c r="T425" i="28"/>
  <c r="S425" i="28"/>
  <c r="AT401" i="28" s="1"/>
  <c r="R425" i="28"/>
  <c r="Q425" i="28"/>
  <c r="P425" i="28"/>
  <c r="O425" i="28"/>
  <c r="N425" i="28"/>
  <c r="M425" i="28"/>
  <c r="L425" i="28"/>
  <c r="K425" i="28"/>
  <c r="AL401" i="28" s="1"/>
  <c r="J425" i="28"/>
  <c r="I425" i="28"/>
  <c r="H425" i="28"/>
  <c r="G425" i="28"/>
  <c r="F425" i="28"/>
  <c r="E425" i="28"/>
  <c r="D425" i="28"/>
  <c r="C425" i="28"/>
  <c r="AD401" i="28" s="1"/>
  <c r="B425" i="28"/>
  <c r="D378" i="28"/>
  <c r="Z364" i="28"/>
  <c r="BA340" i="28" s="1"/>
  <c r="Y364" i="28"/>
  <c r="AZ340" i="28" s="1"/>
  <c r="X364" i="28"/>
  <c r="W364" i="28"/>
  <c r="AX340" i="28" s="1"/>
  <c r="V364" i="28"/>
  <c r="AW340" i="28" s="1"/>
  <c r="U364" i="28"/>
  <c r="T364" i="28"/>
  <c r="S364" i="28"/>
  <c r="R364" i="28"/>
  <c r="Q364" i="28"/>
  <c r="P364" i="28"/>
  <c r="O364" i="28"/>
  <c r="N364" i="28"/>
  <c r="M364" i="28"/>
  <c r="L364" i="28"/>
  <c r="K364" i="28"/>
  <c r="J364" i="28"/>
  <c r="I364" i="28"/>
  <c r="H364" i="28"/>
  <c r="G364" i="28"/>
  <c r="F364" i="28"/>
  <c r="E364" i="28"/>
  <c r="D364" i="28"/>
  <c r="C364" i="28"/>
  <c r="B364" i="28"/>
  <c r="B318" i="28"/>
  <c r="Z304" i="28"/>
  <c r="Y304" i="28"/>
  <c r="X304" i="28"/>
  <c r="W304" i="28"/>
  <c r="V304" i="28"/>
  <c r="U304" i="28"/>
  <c r="T304" i="28"/>
  <c r="S304" i="28"/>
  <c r="R304" i="28"/>
  <c r="Q304" i="28"/>
  <c r="P304" i="28"/>
  <c r="O304" i="28"/>
  <c r="N304" i="28"/>
  <c r="M304" i="28"/>
  <c r="L304" i="28"/>
  <c r="K304" i="28"/>
  <c r="J304" i="28"/>
  <c r="I304" i="28"/>
  <c r="H304" i="28"/>
  <c r="G304" i="28"/>
  <c r="F304" i="28"/>
  <c r="E304" i="28"/>
  <c r="D304" i="28"/>
  <c r="C304" i="28"/>
  <c r="B304" i="28"/>
  <c r="B258" i="28"/>
  <c r="G454" i="28"/>
  <c r="G472" i="28" s="1"/>
  <c r="H11" i="40" s="1"/>
  <c r="F454" i="28"/>
  <c r="F472" i="28" s="1"/>
  <c r="H10" i="40" s="1"/>
  <c r="E454" i="28"/>
  <c r="E472" i="28" s="1"/>
  <c r="H9" i="40" s="1"/>
  <c r="D454" i="28"/>
  <c r="D472" i="28" s="1"/>
  <c r="H8" i="40" s="1"/>
  <c r="C454" i="28"/>
  <c r="C472" i="28" s="1"/>
  <c r="H7" i="40" s="1"/>
  <c r="B454" i="28"/>
  <c r="B472" i="28" s="1"/>
  <c r="H6" i="40" s="1"/>
  <c r="Z424" i="28"/>
  <c r="Y424" i="28"/>
  <c r="X424" i="28"/>
  <c r="W424" i="28"/>
  <c r="V424" i="28"/>
  <c r="AW401" i="28" s="1"/>
  <c r="U424" i="28"/>
  <c r="T424" i="28"/>
  <c r="S424" i="28"/>
  <c r="R424" i="28"/>
  <c r="Q424" i="28"/>
  <c r="P424" i="28"/>
  <c r="O424" i="28"/>
  <c r="N424" i="28"/>
  <c r="AO401" i="28" s="1"/>
  <c r="M424" i="28"/>
  <c r="L424" i="28"/>
  <c r="K424" i="28"/>
  <c r="J424" i="28"/>
  <c r="I424" i="28"/>
  <c r="H424" i="28"/>
  <c r="G424" i="28"/>
  <c r="F424" i="28"/>
  <c r="AG401" i="28" s="1"/>
  <c r="E424" i="28"/>
  <c r="D424" i="28"/>
  <c r="C424" i="28"/>
  <c r="B424" i="28"/>
  <c r="Z422" i="28"/>
  <c r="BA399" i="28" s="1"/>
  <c r="Y422" i="28"/>
  <c r="X422" i="28"/>
  <c r="W422" i="28"/>
  <c r="AX399" i="28" s="1"/>
  <c r="V422" i="28"/>
  <c r="U422" i="28"/>
  <c r="T422" i="28"/>
  <c r="AU399" i="28" s="1"/>
  <c r="S422" i="28"/>
  <c r="R422" i="28"/>
  <c r="Q422" i="28"/>
  <c r="P422" i="28"/>
  <c r="O422" i="28"/>
  <c r="N422" i="28"/>
  <c r="M422" i="28"/>
  <c r="L422" i="28"/>
  <c r="K422" i="28"/>
  <c r="J422" i="28"/>
  <c r="I422" i="28"/>
  <c r="H422" i="28"/>
  <c r="AI399" i="28" s="1"/>
  <c r="G422" i="28"/>
  <c r="F422" i="28"/>
  <c r="E422" i="28"/>
  <c r="AF399" i="28" s="1"/>
  <c r="D422" i="28"/>
  <c r="C422" i="28"/>
  <c r="B422" i="28"/>
  <c r="AC399" i="28" s="1"/>
  <c r="Z420" i="28"/>
  <c r="Z419" i="28"/>
  <c r="Z418" i="28"/>
  <c r="Z417" i="28"/>
  <c r="Z416" i="28"/>
  <c r="Z415" i="28"/>
  <c r="Z414" i="28"/>
  <c r="Z413" i="28"/>
  <c r="Z412" i="28"/>
  <c r="Z411" i="28"/>
  <c r="Z410" i="28"/>
  <c r="Z409" i="28"/>
  <c r="B406" i="28"/>
  <c r="B405" i="28"/>
  <c r="B404" i="28"/>
  <c r="B403" i="28"/>
  <c r="B402" i="28"/>
  <c r="B401" i="28"/>
  <c r="B400" i="28"/>
  <c r="AL399" i="28"/>
  <c r="B399" i="28"/>
  <c r="B398" i="28"/>
  <c r="B397" i="28"/>
  <c r="B396" i="28"/>
  <c r="B395" i="28"/>
  <c r="AC384" i="28"/>
  <c r="AC383" i="28"/>
  <c r="B379" i="28"/>
  <c r="B375" i="28"/>
  <c r="AC389" i="28" s="1"/>
  <c r="AY340" i="28"/>
  <c r="Z363" i="28"/>
  <c r="Y363" i="28"/>
  <c r="X363" i="28"/>
  <c r="W363" i="28"/>
  <c r="V363" i="28"/>
  <c r="U363" i="28"/>
  <c r="T363" i="28"/>
  <c r="S363" i="28"/>
  <c r="R363" i="28"/>
  <c r="Q363" i="28"/>
  <c r="P363" i="28"/>
  <c r="O363" i="28"/>
  <c r="N363" i="28"/>
  <c r="M363" i="28"/>
  <c r="L363" i="28"/>
  <c r="K363" i="28"/>
  <c r="J363" i="28"/>
  <c r="I363" i="28"/>
  <c r="H363" i="28"/>
  <c r="G363" i="28"/>
  <c r="F363" i="28"/>
  <c r="E363" i="28"/>
  <c r="D363" i="28"/>
  <c r="C363" i="28"/>
  <c r="B363" i="28"/>
  <c r="Z361" i="28"/>
  <c r="BA338" i="28" s="1"/>
  <c r="Y361" i="28"/>
  <c r="X361" i="28"/>
  <c r="W361" i="28"/>
  <c r="AX338" i="28" s="1"/>
  <c r="V361" i="28"/>
  <c r="U361" i="28"/>
  <c r="T361" i="28"/>
  <c r="AU338" i="28" s="1"/>
  <c r="S361" i="28"/>
  <c r="R361" i="28"/>
  <c r="Q361" i="28"/>
  <c r="AR338" i="28" s="1"/>
  <c r="P361" i="28"/>
  <c r="O361" i="28"/>
  <c r="N361" i="28"/>
  <c r="AO338" i="28" s="1"/>
  <c r="M361" i="28"/>
  <c r="L361" i="28"/>
  <c r="K361" i="28"/>
  <c r="J361" i="28"/>
  <c r="I361" i="28"/>
  <c r="H361" i="28"/>
  <c r="AI338" i="28" s="1"/>
  <c r="G361" i="28"/>
  <c r="F361" i="28"/>
  <c r="E361" i="28"/>
  <c r="AF338" i="28" s="1"/>
  <c r="D361" i="28"/>
  <c r="C361" i="28"/>
  <c r="B361" i="28"/>
  <c r="AC338" i="28" s="1"/>
  <c r="Z359" i="28"/>
  <c r="Z358" i="28"/>
  <c r="Z357" i="28"/>
  <c r="Z356" i="28"/>
  <c r="Z355" i="28"/>
  <c r="Z354" i="28"/>
  <c r="Z353" i="28"/>
  <c r="Z352" i="28"/>
  <c r="Z351" i="28"/>
  <c r="Z350" i="28"/>
  <c r="Z349" i="28"/>
  <c r="Z348" i="28"/>
  <c r="B345" i="28"/>
  <c r="B344" i="28"/>
  <c r="B343" i="28"/>
  <c r="B342" i="28"/>
  <c r="B341" i="28"/>
  <c r="AL340" i="28"/>
  <c r="B340" i="28"/>
  <c r="B339" i="28"/>
  <c r="B338" i="28"/>
  <c r="B337" i="28"/>
  <c r="B336" i="28"/>
  <c r="B335" i="28"/>
  <c r="B334" i="28"/>
  <c r="AC324" i="28"/>
  <c r="AC323" i="28"/>
  <c r="B319" i="28"/>
  <c r="B315" i="28"/>
  <c r="AC329" i="28" s="1"/>
  <c r="Z303" i="28"/>
  <c r="Y303" i="28"/>
  <c r="X303" i="28"/>
  <c r="W303" i="28"/>
  <c r="V303" i="28"/>
  <c r="U303" i="28"/>
  <c r="T303" i="28"/>
  <c r="S303" i="28"/>
  <c r="AT280" i="28" s="1"/>
  <c r="R303" i="28"/>
  <c r="Q303" i="28"/>
  <c r="P303" i="28"/>
  <c r="O303" i="28"/>
  <c r="N303" i="28"/>
  <c r="M303" i="28"/>
  <c r="L303" i="28"/>
  <c r="K303" i="28"/>
  <c r="AL280" i="28" s="1"/>
  <c r="J303" i="28"/>
  <c r="I303" i="28"/>
  <c r="H303" i="28"/>
  <c r="G303" i="28"/>
  <c r="F303" i="28"/>
  <c r="E303" i="28"/>
  <c r="D303" i="28"/>
  <c r="C303" i="28"/>
  <c r="B303" i="28"/>
  <c r="AC280" i="28" s="1"/>
  <c r="Z301" i="28"/>
  <c r="BA278" i="28" s="1"/>
  <c r="Y301" i="28"/>
  <c r="X301" i="28"/>
  <c r="W301" i="28"/>
  <c r="V301" i="28"/>
  <c r="U301" i="28"/>
  <c r="T301" i="28"/>
  <c r="AU278" i="28" s="1"/>
  <c r="S301" i="28"/>
  <c r="R301" i="28"/>
  <c r="Q301" i="28"/>
  <c r="P301" i="28"/>
  <c r="O301" i="28"/>
  <c r="N301" i="28"/>
  <c r="M301" i="28"/>
  <c r="L301" i="28"/>
  <c r="K301" i="28"/>
  <c r="AL278" i="28" s="1"/>
  <c r="J301" i="28"/>
  <c r="I301" i="28"/>
  <c r="H301" i="28"/>
  <c r="AI278" i="28" s="1"/>
  <c r="G301" i="28"/>
  <c r="F301" i="28"/>
  <c r="E301" i="28"/>
  <c r="D301" i="28"/>
  <c r="C301" i="28"/>
  <c r="B301" i="28"/>
  <c r="Z299" i="28"/>
  <c r="Z298" i="28"/>
  <c r="Z297" i="28"/>
  <c r="Z296" i="28"/>
  <c r="Z295" i="28"/>
  <c r="Z294" i="28"/>
  <c r="Z293" i="28"/>
  <c r="Z292" i="28"/>
  <c r="Z291" i="28"/>
  <c r="Z290" i="28"/>
  <c r="Z289" i="28"/>
  <c r="Z288" i="28"/>
  <c r="B285" i="28"/>
  <c r="B284" i="28"/>
  <c r="B283" i="28"/>
  <c r="B282" i="28"/>
  <c r="B281" i="28"/>
  <c r="B280" i="28"/>
  <c r="B279" i="28"/>
  <c r="AO278" i="28"/>
  <c r="AF278" i="28"/>
  <c r="AC278" i="28"/>
  <c r="B278" i="28"/>
  <c r="B277" i="28"/>
  <c r="B276" i="28"/>
  <c r="B275" i="28"/>
  <c r="B274" i="28"/>
  <c r="AC264" i="28"/>
  <c r="AC263" i="28"/>
  <c r="B259" i="28"/>
  <c r="B255" i="28"/>
  <c r="AC269" i="28" s="1"/>
  <c r="Z425" i="34"/>
  <c r="Y425" i="34"/>
  <c r="AZ401" i="34" s="1"/>
  <c r="X425" i="34"/>
  <c r="W425" i="34"/>
  <c r="AX401" i="34" s="1"/>
  <c r="V425" i="34"/>
  <c r="U425" i="34"/>
  <c r="T425" i="34"/>
  <c r="S425" i="34"/>
  <c r="R425" i="34"/>
  <c r="Q425" i="34"/>
  <c r="AR401" i="34" s="1"/>
  <c r="P425" i="34"/>
  <c r="O425" i="34"/>
  <c r="N425" i="34"/>
  <c r="M425" i="34"/>
  <c r="L425" i="34"/>
  <c r="K425" i="34"/>
  <c r="J425" i="34"/>
  <c r="I425" i="34"/>
  <c r="AJ401" i="34" s="1"/>
  <c r="H425" i="34"/>
  <c r="G425" i="34"/>
  <c r="F425" i="34"/>
  <c r="E425" i="34"/>
  <c r="D425" i="34"/>
  <c r="C425" i="34"/>
  <c r="B425" i="34"/>
  <c r="B378" i="34"/>
  <c r="Z364" i="34"/>
  <c r="BA340" i="34" s="1"/>
  <c r="Y364" i="34"/>
  <c r="AZ340" i="34" s="1"/>
  <c r="X364" i="34"/>
  <c r="AY340" i="34" s="1"/>
  <c r="W364" i="34"/>
  <c r="V364" i="34"/>
  <c r="AW340" i="34" s="1"/>
  <c r="U364" i="34"/>
  <c r="T364" i="34"/>
  <c r="S364" i="34"/>
  <c r="R364" i="34"/>
  <c r="Q364" i="34"/>
  <c r="P364" i="34"/>
  <c r="O364" i="34"/>
  <c r="N364" i="34"/>
  <c r="M364" i="34"/>
  <c r="L364" i="34"/>
  <c r="K364" i="34"/>
  <c r="J364" i="34"/>
  <c r="I364" i="34"/>
  <c r="H364" i="34"/>
  <c r="G364" i="34"/>
  <c r="F364" i="34"/>
  <c r="E364" i="34"/>
  <c r="D364" i="34"/>
  <c r="C364" i="34"/>
  <c r="B364" i="34"/>
  <c r="B318" i="34"/>
  <c r="Z304" i="34"/>
  <c r="Y304" i="34"/>
  <c r="X304" i="34"/>
  <c r="W304" i="34"/>
  <c r="V304" i="34"/>
  <c r="U304" i="34"/>
  <c r="T304" i="34"/>
  <c r="S304" i="34"/>
  <c r="AT280" i="34" s="1"/>
  <c r="R304" i="34"/>
  <c r="Q304" i="34"/>
  <c r="P304" i="34"/>
  <c r="O304" i="34"/>
  <c r="N304" i="34"/>
  <c r="M304" i="34"/>
  <c r="L304" i="34"/>
  <c r="K304" i="34"/>
  <c r="J304" i="34"/>
  <c r="I304" i="34"/>
  <c r="H304" i="34"/>
  <c r="G304" i="34"/>
  <c r="F304" i="34"/>
  <c r="E304" i="34"/>
  <c r="AF280" i="34" s="1"/>
  <c r="D304" i="34"/>
  <c r="C304" i="34"/>
  <c r="B304" i="34"/>
  <c r="B258" i="34"/>
  <c r="G454" i="34"/>
  <c r="G472" i="34" s="1"/>
  <c r="H53" i="40" s="1"/>
  <c r="F454" i="34"/>
  <c r="F472" i="34" s="1"/>
  <c r="H52" i="40" s="1"/>
  <c r="E454" i="34"/>
  <c r="E472" i="34" s="1"/>
  <c r="H51" i="40" s="1"/>
  <c r="D454" i="34"/>
  <c r="D472" i="34" s="1"/>
  <c r="H50" i="40" s="1"/>
  <c r="C454" i="34"/>
  <c r="C472" i="34" s="1"/>
  <c r="H49" i="40" s="1"/>
  <c r="B454" i="34"/>
  <c r="B472" i="34" s="1"/>
  <c r="H48" i="40" s="1"/>
  <c r="G443" i="34"/>
  <c r="G457" i="34" s="1"/>
  <c r="G475" i="34" s="1"/>
  <c r="K53" i="40" s="1"/>
  <c r="F443" i="34"/>
  <c r="F457" i="34" s="1"/>
  <c r="F475" i="34" s="1"/>
  <c r="K52" i="40" s="1"/>
  <c r="E443" i="34"/>
  <c r="E457" i="34" s="1"/>
  <c r="E475" i="34" s="1"/>
  <c r="K51" i="40" s="1"/>
  <c r="Z424" i="34"/>
  <c r="BA401" i="34" s="1"/>
  <c r="Y424" i="34"/>
  <c r="X424" i="34"/>
  <c r="W424" i="34"/>
  <c r="V424" i="34"/>
  <c r="U424" i="34"/>
  <c r="AV401" i="34" s="1"/>
  <c r="T424" i="34"/>
  <c r="S424" i="34"/>
  <c r="R424" i="34"/>
  <c r="Q424" i="34"/>
  <c r="P424" i="34"/>
  <c r="O424" i="34"/>
  <c r="N424" i="34"/>
  <c r="M424" i="34"/>
  <c r="AN401" i="34" s="1"/>
  <c r="L424" i="34"/>
  <c r="K424" i="34"/>
  <c r="J424" i="34"/>
  <c r="AK401" i="34" s="1"/>
  <c r="I424" i="34"/>
  <c r="H424" i="34"/>
  <c r="G424" i="34"/>
  <c r="F424" i="34"/>
  <c r="E424" i="34"/>
  <c r="D424" i="34"/>
  <c r="C424" i="34"/>
  <c r="B424" i="34"/>
  <c r="Z422" i="34"/>
  <c r="Y422" i="34"/>
  <c r="X422" i="34"/>
  <c r="W422" i="34"/>
  <c r="V422" i="34"/>
  <c r="U422" i="34"/>
  <c r="T422" i="34"/>
  <c r="S422" i="34"/>
  <c r="R422" i="34"/>
  <c r="Q422" i="34"/>
  <c r="P422" i="34"/>
  <c r="O422" i="34"/>
  <c r="N422" i="34"/>
  <c r="M422" i="34"/>
  <c r="L422" i="34"/>
  <c r="K422" i="34"/>
  <c r="AL399" i="34" s="1"/>
  <c r="J422" i="34"/>
  <c r="I422" i="34"/>
  <c r="H422" i="34"/>
  <c r="G422" i="34"/>
  <c r="F422" i="34"/>
  <c r="E422" i="34"/>
  <c r="AF399" i="34" s="1"/>
  <c r="D422" i="34"/>
  <c r="C422" i="34"/>
  <c r="B422" i="34"/>
  <c r="Z420" i="34"/>
  <c r="Z419" i="34"/>
  <c r="Z418" i="34"/>
  <c r="Z417" i="34"/>
  <c r="Z416" i="34"/>
  <c r="Z415" i="34"/>
  <c r="Z414" i="34"/>
  <c r="Z413" i="34"/>
  <c r="Z412" i="34"/>
  <c r="Z411" i="34"/>
  <c r="Z410" i="34"/>
  <c r="Z409" i="34"/>
  <c r="B408" i="34"/>
  <c r="B407" i="34"/>
  <c r="B406" i="34"/>
  <c r="B405" i="34"/>
  <c r="B404" i="34"/>
  <c r="B403" i="34"/>
  <c r="B402" i="34"/>
  <c r="B401" i="34"/>
  <c r="B400" i="34"/>
  <c r="BA399" i="34"/>
  <c r="AX399" i="34"/>
  <c r="AU399" i="34"/>
  <c r="AR399" i="34"/>
  <c r="AI399" i="34"/>
  <c r="AC399" i="34"/>
  <c r="B399" i="34"/>
  <c r="B398" i="34"/>
  <c r="B397" i="34"/>
  <c r="AC396" i="34"/>
  <c r="J436" i="34" s="1"/>
  <c r="J450" i="34" s="1"/>
  <c r="J468" i="34" s="1"/>
  <c r="D56" i="40" s="1"/>
  <c r="B396" i="34"/>
  <c r="B395" i="34"/>
  <c r="AC384" i="34"/>
  <c r="AT403" i="34" s="1"/>
  <c r="B379" i="34"/>
  <c r="B375" i="34"/>
  <c r="AC389" i="34" s="1"/>
  <c r="Z363" i="34"/>
  <c r="Y363" i="34"/>
  <c r="X363" i="34"/>
  <c r="W363" i="34"/>
  <c r="V363" i="34"/>
  <c r="U363" i="34"/>
  <c r="T363" i="34"/>
  <c r="AU340" i="34" s="1"/>
  <c r="S363" i="34"/>
  <c r="R363" i="34"/>
  <c r="Q363" i="34"/>
  <c r="P363" i="34"/>
  <c r="O363" i="34"/>
  <c r="N363" i="34"/>
  <c r="M363" i="34"/>
  <c r="L363" i="34"/>
  <c r="K363" i="34"/>
  <c r="J363" i="34"/>
  <c r="I363" i="34"/>
  <c r="H363" i="34"/>
  <c r="G363" i="34"/>
  <c r="F363" i="34"/>
  <c r="E363" i="34"/>
  <c r="D363" i="34"/>
  <c r="AE340" i="34" s="1"/>
  <c r="C363" i="34"/>
  <c r="B363" i="34"/>
  <c r="Z361" i="34"/>
  <c r="BA338" i="34" s="1"/>
  <c r="Y361" i="34"/>
  <c r="X361" i="34"/>
  <c r="W361" i="34"/>
  <c r="AX338" i="34" s="1"/>
  <c r="V361" i="34"/>
  <c r="U361" i="34"/>
  <c r="T361" i="34"/>
  <c r="AU338" i="34" s="1"/>
  <c r="S361" i="34"/>
  <c r="R361" i="34"/>
  <c r="Q361" i="34"/>
  <c r="P361" i="34"/>
  <c r="O361" i="34"/>
  <c r="N361" i="34"/>
  <c r="M361" i="34"/>
  <c r="L361" i="34"/>
  <c r="K361" i="34"/>
  <c r="J361" i="34"/>
  <c r="I361" i="34"/>
  <c r="H361" i="34"/>
  <c r="G361" i="34"/>
  <c r="F361" i="34"/>
  <c r="E361" i="34"/>
  <c r="AF338" i="34" s="1"/>
  <c r="D361" i="34"/>
  <c r="C361" i="34"/>
  <c r="B361" i="34"/>
  <c r="AC338" i="34" s="1"/>
  <c r="Z359" i="34"/>
  <c r="Z358" i="34"/>
  <c r="Z357" i="34"/>
  <c r="Z356" i="34"/>
  <c r="Z355" i="34"/>
  <c r="Z354" i="34"/>
  <c r="Z353" i="34"/>
  <c r="Z352" i="34"/>
  <c r="Z351" i="34"/>
  <c r="Z350" i="34"/>
  <c r="Z349" i="34"/>
  <c r="Z348" i="34"/>
  <c r="B345" i="34"/>
  <c r="B344" i="34"/>
  <c r="B343" i="34"/>
  <c r="B342" i="34"/>
  <c r="B341" i="34"/>
  <c r="AX340" i="34"/>
  <c r="B340" i="34"/>
  <c r="B339" i="34"/>
  <c r="AL338" i="34"/>
  <c r="AI338" i="34"/>
  <c r="B338" i="34"/>
  <c r="B337" i="34"/>
  <c r="B336" i="34"/>
  <c r="B335" i="34"/>
  <c r="B334" i="34"/>
  <c r="AC324" i="34"/>
  <c r="AU342" i="34" s="1"/>
  <c r="B319" i="34"/>
  <c r="B315" i="34"/>
  <c r="AC329" i="34" s="1"/>
  <c r="Z303" i="34"/>
  <c r="Y303" i="34"/>
  <c r="X303" i="34"/>
  <c r="W303" i="34"/>
  <c r="AX280" i="34" s="1"/>
  <c r="V303" i="34"/>
  <c r="U303" i="34"/>
  <c r="T303" i="34"/>
  <c r="S303" i="34"/>
  <c r="R303" i="34"/>
  <c r="Q303" i="34"/>
  <c r="P303" i="34"/>
  <c r="O303" i="34"/>
  <c r="N303" i="34"/>
  <c r="M303" i="34"/>
  <c r="L303" i="34"/>
  <c r="K303" i="34"/>
  <c r="J303" i="34"/>
  <c r="I303" i="34"/>
  <c r="AJ280" i="34" s="1"/>
  <c r="H303" i="34"/>
  <c r="G303" i="34"/>
  <c r="F303" i="34"/>
  <c r="E303" i="34"/>
  <c r="D303" i="34"/>
  <c r="C303" i="34"/>
  <c r="B303" i="34"/>
  <c r="Z301" i="34"/>
  <c r="BA278" i="34" s="1"/>
  <c r="Y301" i="34"/>
  <c r="X301" i="34"/>
  <c r="W301" i="34"/>
  <c r="AX278" i="34" s="1"/>
  <c r="V301" i="34"/>
  <c r="U301" i="34"/>
  <c r="T301" i="34"/>
  <c r="S301" i="34"/>
  <c r="R301" i="34"/>
  <c r="Q301" i="34"/>
  <c r="P301" i="34"/>
  <c r="O301" i="34"/>
  <c r="N301" i="34"/>
  <c r="AO278" i="34" s="1"/>
  <c r="M301" i="34"/>
  <c r="L301" i="34"/>
  <c r="K301" i="34"/>
  <c r="AL278" i="34" s="1"/>
  <c r="J301" i="34"/>
  <c r="I301" i="34"/>
  <c r="H301" i="34"/>
  <c r="G301" i="34"/>
  <c r="F301" i="34"/>
  <c r="E301" i="34"/>
  <c r="AF278" i="34" s="1"/>
  <c r="D301" i="34"/>
  <c r="C301" i="34"/>
  <c r="B301" i="34"/>
  <c r="AC278" i="34" s="1"/>
  <c r="Z299" i="34"/>
  <c r="Z298" i="34"/>
  <c r="Z297" i="34"/>
  <c r="Z296" i="34"/>
  <c r="Z295" i="34"/>
  <c r="Z294" i="34"/>
  <c r="Z293" i="34"/>
  <c r="Z292" i="34"/>
  <c r="Z291" i="34"/>
  <c r="Z290" i="34"/>
  <c r="Z289" i="34"/>
  <c r="Z288" i="34"/>
  <c r="B285" i="34"/>
  <c r="B284" i="34"/>
  <c r="B283" i="34"/>
  <c r="B282" i="34"/>
  <c r="B281" i="34"/>
  <c r="AZ280" i="34"/>
  <c r="AY280" i="34"/>
  <c r="AR280" i="34"/>
  <c r="B280" i="34"/>
  <c r="B279" i="34"/>
  <c r="AU278" i="34"/>
  <c r="AR278" i="34"/>
  <c r="B278" i="34"/>
  <c r="B277" i="34"/>
  <c r="B276" i="34"/>
  <c r="B275" i="34"/>
  <c r="B274" i="34"/>
  <c r="AC264" i="34"/>
  <c r="AT282" i="34" s="1"/>
  <c r="B259" i="34"/>
  <c r="B255" i="34"/>
  <c r="AC269" i="34" s="1"/>
  <c r="B378" i="27"/>
  <c r="B380" i="27" s="1"/>
  <c r="G364" i="27"/>
  <c r="AH340" i="27" s="1"/>
  <c r="B318" i="27"/>
  <c r="M304" i="27"/>
  <c r="E304" i="27"/>
  <c r="B258" i="27"/>
  <c r="AC382" i="27"/>
  <c r="AC383" i="27" s="1"/>
  <c r="AC322" i="27"/>
  <c r="AC323" i="27" s="1"/>
  <c r="AC262" i="27"/>
  <c r="AC263" i="27" s="1"/>
  <c r="G454" i="27"/>
  <c r="G472" i="27" s="1"/>
  <c r="H25" i="40" s="1"/>
  <c r="F454" i="27"/>
  <c r="F472" i="27" s="1"/>
  <c r="H24" i="40" s="1"/>
  <c r="E454" i="27"/>
  <c r="E472" i="27" s="1"/>
  <c r="H23" i="40" s="1"/>
  <c r="D454" i="27"/>
  <c r="D472" i="27" s="1"/>
  <c r="H22" i="40" s="1"/>
  <c r="C454" i="27"/>
  <c r="C472" i="27" s="1"/>
  <c r="H21" i="40" s="1"/>
  <c r="B454" i="27"/>
  <c r="B472" i="27" s="1"/>
  <c r="H20" i="40" s="1"/>
  <c r="Z424" i="27"/>
  <c r="Y424" i="27"/>
  <c r="X424" i="27"/>
  <c r="W424" i="27"/>
  <c r="V424" i="27"/>
  <c r="U424" i="27"/>
  <c r="T424" i="27"/>
  <c r="S424" i="27"/>
  <c r="R424" i="27"/>
  <c r="Q424" i="27"/>
  <c r="P424" i="27"/>
  <c r="O424" i="27"/>
  <c r="N424" i="27"/>
  <c r="M424" i="27"/>
  <c r="L424" i="27"/>
  <c r="K424" i="27"/>
  <c r="J424" i="27"/>
  <c r="I424" i="27"/>
  <c r="H424" i="27"/>
  <c r="G424" i="27"/>
  <c r="F424" i="27"/>
  <c r="E424" i="27"/>
  <c r="D424" i="27"/>
  <c r="C424" i="27"/>
  <c r="B424" i="27"/>
  <c r="Z422" i="27"/>
  <c r="BA399" i="27" s="1"/>
  <c r="Y422" i="27"/>
  <c r="X422" i="27"/>
  <c r="W422" i="27"/>
  <c r="AX399" i="27" s="1"/>
  <c r="V422" i="27"/>
  <c r="U422" i="27"/>
  <c r="T422" i="27"/>
  <c r="S422" i="27"/>
  <c r="R422" i="27"/>
  <c r="Q422" i="27"/>
  <c r="AR399" i="27" s="1"/>
  <c r="P422" i="27"/>
  <c r="O422" i="27"/>
  <c r="N422" i="27"/>
  <c r="M422" i="27"/>
  <c r="L422" i="27"/>
  <c r="K422" i="27"/>
  <c r="AL399" i="27" s="1"/>
  <c r="J422" i="27"/>
  <c r="I422" i="27"/>
  <c r="H422" i="27"/>
  <c r="G422" i="27"/>
  <c r="F422" i="27"/>
  <c r="E422" i="27"/>
  <c r="D422" i="27"/>
  <c r="C422" i="27"/>
  <c r="B422" i="27"/>
  <c r="AC399" i="27" s="1"/>
  <c r="Z420" i="27"/>
  <c r="Z419" i="27"/>
  <c r="Z418" i="27"/>
  <c r="Z417" i="27"/>
  <c r="Z416" i="27"/>
  <c r="Z415" i="27"/>
  <c r="Z414" i="27"/>
  <c r="Z413" i="27"/>
  <c r="Z412" i="27"/>
  <c r="Z411" i="27"/>
  <c r="Z410" i="27"/>
  <c r="Z409" i="27"/>
  <c r="B406" i="27"/>
  <c r="B405" i="27"/>
  <c r="B404" i="27"/>
  <c r="B403" i="27"/>
  <c r="B402" i="27"/>
  <c r="B401" i="27"/>
  <c r="B400" i="27"/>
  <c r="AU399" i="27"/>
  <c r="AI399" i="27"/>
  <c r="B399" i="27"/>
  <c r="B398" i="27"/>
  <c r="B397" i="27"/>
  <c r="B396" i="27"/>
  <c r="B395" i="27"/>
  <c r="AC384" i="27"/>
  <c r="B379" i="27"/>
  <c r="B375" i="27"/>
  <c r="AC389" i="27" s="1"/>
  <c r="Z363" i="27"/>
  <c r="Y363" i="27"/>
  <c r="X363" i="27"/>
  <c r="W363" i="27"/>
  <c r="V363" i="27"/>
  <c r="U363" i="27"/>
  <c r="T363" i="27"/>
  <c r="S363" i="27"/>
  <c r="R363" i="27"/>
  <c r="Q363" i="27"/>
  <c r="P363" i="27"/>
  <c r="O363" i="27"/>
  <c r="N363" i="27"/>
  <c r="M363" i="27"/>
  <c r="L363" i="27"/>
  <c r="K363" i="27"/>
  <c r="J363" i="27"/>
  <c r="I363" i="27"/>
  <c r="H363" i="27"/>
  <c r="G363" i="27"/>
  <c r="F363" i="27"/>
  <c r="E363" i="27"/>
  <c r="D363" i="27"/>
  <c r="C363" i="27"/>
  <c r="B363" i="27"/>
  <c r="Z361" i="27"/>
  <c r="BA338" i="27" s="1"/>
  <c r="Y361" i="27"/>
  <c r="X361" i="27"/>
  <c r="W361" i="27"/>
  <c r="AX338" i="27" s="1"/>
  <c r="V361" i="27"/>
  <c r="U361" i="27"/>
  <c r="T361" i="27"/>
  <c r="AU338" i="27" s="1"/>
  <c r="S361" i="27"/>
  <c r="R361" i="27"/>
  <c r="Q361" i="27"/>
  <c r="P361" i="27"/>
  <c r="O361" i="27"/>
  <c r="N361" i="27"/>
  <c r="AO338" i="27" s="1"/>
  <c r="M361" i="27"/>
  <c r="L361" i="27"/>
  <c r="K361" i="27"/>
  <c r="AL338" i="27" s="1"/>
  <c r="J361" i="27"/>
  <c r="I361" i="27"/>
  <c r="H361" i="27"/>
  <c r="G361" i="27"/>
  <c r="F361" i="27"/>
  <c r="E361" i="27"/>
  <c r="D361" i="27"/>
  <c r="C361" i="27"/>
  <c r="B361" i="27"/>
  <c r="AC338" i="27" s="1"/>
  <c r="Z359" i="27"/>
  <c r="Z358" i="27"/>
  <c r="Z357" i="27"/>
  <c r="Z356" i="27"/>
  <c r="Z355" i="27"/>
  <c r="Z354" i="27"/>
  <c r="BA336" i="27" s="1"/>
  <c r="I437" i="27" s="1"/>
  <c r="I451" i="27" s="1"/>
  <c r="I469" i="27" s="1"/>
  <c r="E27" i="40" s="1"/>
  <c r="Z353" i="27"/>
  <c r="Z352" i="27"/>
  <c r="Z351" i="27"/>
  <c r="Z350" i="27"/>
  <c r="Z349" i="27"/>
  <c r="Z348" i="27"/>
  <c r="B345" i="27"/>
  <c r="B344" i="27"/>
  <c r="B343" i="27"/>
  <c r="B342" i="27"/>
  <c r="B341" i="27"/>
  <c r="B340" i="27"/>
  <c r="B339" i="27"/>
  <c r="AR338" i="27"/>
  <c r="B338" i="27"/>
  <c r="B337" i="27"/>
  <c r="B336" i="27"/>
  <c r="B335" i="27"/>
  <c r="B334" i="27"/>
  <c r="AC324" i="27"/>
  <c r="Y364" i="27" s="1"/>
  <c r="B319" i="27"/>
  <c r="B315" i="27"/>
  <c r="AC329" i="27" s="1"/>
  <c r="Z303" i="27"/>
  <c r="Y303" i="27"/>
  <c r="X303" i="27"/>
  <c r="W303" i="27"/>
  <c r="V303" i="27"/>
  <c r="U303" i="27"/>
  <c r="T303" i="27"/>
  <c r="S303" i="27"/>
  <c r="R303" i="27"/>
  <c r="Q303" i="27"/>
  <c r="P303" i="27"/>
  <c r="O303" i="27"/>
  <c r="N303" i="27"/>
  <c r="M303" i="27"/>
  <c r="L303" i="27"/>
  <c r="K303" i="27"/>
  <c r="J303" i="27"/>
  <c r="I303" i="27"/>
  <c r="H303" i="27"/>
  <c r="G303" i="27"/>
  <c r="F303" i="27"/>
  <c r="E303" i="27"/>
  <c r="D303" i="27"/>
  <c r="C303" i="27"/>
  <c r="B303" i="27"/>
  <c r="Z301" i="27"/>
  <c r="BA278" i="27" s="1"/>
  <c r="Y301" i="27"/>
  <c r="X301" i="27"/>
  <c r="W301" i="27"/>
  <c r="V301" i="27"/>
  <c r="U301" i="27"/>
  <c r="T301" i="27"/>
  <c r="AU278" i="27" s="1"/>
  <c r="S301" i="27"/>
  <c r="R301" i="27"/>
  <c r="Q301" i="27"/>
  <c r="P301" i="27"/>
  <c r="O301" i="27"/>
  <c r="N301" i="27"/>
  <c r="AO278" i="27" s="1"/>
  <c r="M301" i="27"/>
  <c r="L301" i="27"/>
  <c r="K301" i="27"/>
  <c r="J301" i="27"/>
  <c r="I301" i="27"/>
  <c r="H301" i="27"/>
  <c r="AI278" i="27" s="1"/>
  <c r="G301" i="27"/>
  <c r="F301" i="27"/>
  <c r="E301" i="27"/>
  <c r="AF278" i="27" s="1"/>
  <c r="D301" i="27"/>
  <c r="C301" i="27"/>
  <c r="B301" i="27"/>
  <c r="Z299" i="27"/>
  <c r="Z298" i="27"/>
  <c r="Z297" i="27"/>
  <c r="Z296" i="27"/>
  <c r="Z295" i="27"/>
  <c r="Z294" i="27"/>
  <c r="Z293" i="27"/>
  <c r="Z292" i="27"/>
  <c r="Z291" i="27"/>
  <c r="Z290" i="27"/>
  <c r="Z289" i="27"/>
  <c r="Z288" i="27"/>
  <c r="B285" i="27"/>
  <c r="B284" i="27"/>
  <c r="B283" i="27"/>
  <c r="B282" i="27"/>
  <c r="B281" i="27"/>
  <c r="B280" i="27"/>
  <c r="B279" i="27"/>
  <c r="AX278" i="27"/>
  <c r="AR278" i="27"/>
  <c r="AC278" i="27"/>
  <c r="B278" i="27"/>
  <c r="B277" i="27"/>
  <c r="B276" i="27"/>
  <c r="B275" i="27"/>
  <c r="B274" i="27"/>
  <c r="AC264" i="27"/>
  <c r="S304" i="27" s="1"/>
  <c r="B259" i="27"/>
  <c r="B255" i="27"/>
  <c r="AC269" i="27" s="1"/>
  <c r="P425" i="26"/>
  <c r="B378" i="26"/>
  <c r="B364" i="26"/>
  <c r="B318" i="26"/>
  <c r="T304" i="26"/>
  <c r="AU280" i="26" s="1"/>
  <c r="B258" i="26"/>
  <c r="AC383" i="26"/>
  <c r="AC323" i="26"/>
  <c r="AC263" i="26"/>
  <c r="C472" i="26"/>
  <c r="H35" i="40" s="1"/>
  <c r="G454" i="26"/>
  <c r="G472" i="26" s="1"/>
  <c r="H39" i="40" s="1"/>
  <c r="F454" i="26"/>
  <c r="F472" i="26" s="1"/>
  <c r="H38" i="40" s="1"/>
  <c r="E454" i="26"/>
  <c r="E472" i="26" s="1"/>
  <c r="H37" i="40" s="1"/>
  <c r="D454" i="26"/>
  <c r="D472" i="26" s="1"/>
  <c r="H36" i="40" s="1"/>
  <c r="C454" i="26"/>
  <c r="B454" i="26"/>
  <c r="B472" i="26" s="1"/>
  <c r="H34" i="40" s="1"/>
  <c r="Z424" i="26"/>
  <c r="Y424" i="26"/>
  <c r="X424" i="26"/>
  <c r="W424" i="26"/>
  <c r="V424" i="26"/>
  <c r="U424" i="26"/>
  <c r="T424" i="26"/>
  <c r="S424" i="26"/>
  <c r="R424" i="26"/>
  <c r="Q424" i="26"/>
  <c r="P424" i="26"/>
  <c r="O424" i="26"/>
  <c r="N424" i="26"/>
  <c r="M424" i="26"/>
  <c r="L424" i="26"/>
  <c r="K424" i="26"/>
  <c r="J424" i="26"/>
  <c r="I424" i="26"/>
  <c r="H424" i="26"/>
  <c r="G424" i="26"/>
  <c r="F424" i="26"/>
  <c r="E424" i="26"/>
  <c r="D424" i="26"/>
  <c r="C424" i="26"/>
  <c r="B424" i="26"/>
  <c r="Z422" i="26"/>
  <c r="Y422" i="26"/>
  <c r="X422" i="26"/>
  <c r="W422" i="26"/>
  <c r="V422" i="26"/>
  <c r="U422" i="26"/>
  <c r="T422" i="26"/>
  <c r="S422" i="26"/>
  <c r="R422" i="26"/>
  <c r="Q422" i="26"/>
  <c r="AR399" i="26" s="1"/>
  <c r="P422" i="26"/>
  <c r="O422" i="26"/>
  <c r="N422" i="26"/>
  <c r="M422" i="26"/>
  <c r="L422" i="26"/>
  <c r="K422" i="26"/>
  <c r="AL399" i="26" s="1"/>
  <c r="J422" i="26"/>
  <c r="I422" i="26"/>
  <c r="H422" i="26"/>
  <c r="G422" i="26"/>
  <c r="F422" i="26"/>
  <c r="E422" i="26"/>
  <c r="D422" i="26"/>
  <c r="C422" i="26"/>
  <c r="B422" i="26"/>
  <c r="Z420" i="26"/>
  <c r="Z419" i="26"/>
  <c r="Z418" i="26"/>
  <c r="Z417" i="26"/>
  <c r="Z416" i="26"/>
  <c r="Z415" i="26"/>
  <c r="Z414" i="26"/>
  <c r="Z413" i="26"/>
  <c r="Z412" i="26"/>
  <c r="Z411" i="26"/>
  <c r="Z410" i="26"/>
  <c r="Z409" i="26"/>
  <c r="B408" i="26"/>
  <c r="B407" i="26"/>
  <c r="B406" i="26"/>
  <c r="B405" i="26"/>
  <c r="B404" i="26"/>
  <c r="B403" i="26"/>
  <c r="B402" i="26"/>
  <c r="B401" i="26"/>
  <c r="B400" i="26"/>
  <c r="BA399" i="26"/>
  <c r="AX399" i="26"/>
  <c r="AU399" i="26"/>
  <c r="AC399" i="26"/>
  <c r="B399" i="26"/>
  <c r="B398" i="26"/>
  <c r="B397" i="26"/>
  <c r="AC396" i="26"/>
  <c r="J436" i="26" s="1"/>
  <c r="J450" i="26" s="1"/>
  <c r="J468" i="26" s="1"/>
  <c r="D42" i="40" s="1"/>
  <c r="B396" i="26"/>
  <c r="B395" i="26"/>
  <c r="AC384" i="26"/>
  <c r="W425" i="26" s="1"/>
  <c r="B379" i="26"/>
  <c r="B375" i="26"/>
  <c r="AC389" i="26" s="1"/>
  <c r="Z363" i="26"/>
  <c r="Y363" i="26"/>
  <c r="X363" i="26"/>
  <c r="W363" i="26"/>
  <c r="V363" i="26"/>
  <c r="U363" i="26"/>
  <c r="T363" i="26"/>
  <c r="S363" i="26"/>
  <c r="R363" i="26"/>
  <c r="Q363" i="26"/>
  <c r="P363" i="26"/>
  <c r="O363" i="26"/>
  <c r="N363" i="26"/>
  <c r="M363" i="26"/>
  <c r="L363" i="26"/>
  <c r="K363" i="26"/>
  <c r="J363" i="26"/>
  <c r="I363" i="26"/>
  <c r="H363" i="26"/>
  <c r="G363" i="26"/>
  <c r="F363" i="26"/>
  <c r="E363" i="26"/>
  <c r="D363" i="26"/>
  <c r="C363" i="26"/>
  <c r="B363" i="26"/>
  <c r="Z361" i="26"/>
  <c r="BA338" i="26" s="1"/>
  <c r="Y361" i="26"/>
  <c r="X361" i="26"/>
  <c r="W361" i="26"/>
  <c r="V361" i="26"/>
  <c r="U361" i="26"/>
  <c r="T361" i="26"/>
  <c r="S361" i="26"/>
  <c r="R361" i="26"/>
  <c r="Q361" i="26"/>
  <c r="P361" i="26"/>
  <c r="O361" i="26"/>
  <c r="N361" i="26"/>
  <c r="M361" i="26"/>
  <c r="L361" i="26"/>
  <c r="K361" i="26"/>
  <c r="J361" i="26"/>
  <c r="I361" i="26"/>
  <c r="H361" i="26"/>
  <c r="AI338" i="26" s="1"/>
  <c r="G361" i="26"/>
  <c r="F361" i="26"/>
  <c r="E361" i="26"/>
  <c r="D361" i="26"/>
  <c r="C361" i="26"/>
  <c r="B361" i="26"/>
  <c r="AC338" i="26" s="1"/>
  <c r="Z359" i="26"/>
  <c r="Z358" i="26"/>
  <c r="Z357" i="26"/>
  <c r="Z356" i="26"/>
  <c r="Z355" i="26"/>
  <c r="Z354" i="26"/>
  <c r="Z353" i="26"/>
  <c r="Z352" i="26"/>
  <c r="Z351" i="26"/>
  <c r="Z350" i="26"/>
  <c r="Z349" i="26"/>
  <c r="Z348" i="26"/>
  <c r="B345" i="26"/>
  <c r="B344" i="26"/>
  <c r="B343" i="26"/>
  <c r="B342" i="26"/>
  <c r="B341" i="26"/>
  <c r="B340" i="26"/>
  <c r="B339" i="26"/>
  <c r="AU338" i="26"/>
  <c r="AO338" i="26"/>
  <c r="AL338" i="26"/>
  <c r="AF338" i="26"/>
  <c r="B338" i="26"/>
  <c r="B337" i="26"/>
  <c r="B336" i="26"/>
  <c r="B335" i="26"/>
  <c r="B334" i="26"/>
  <c r="AC324" i="26"/>
  <c r="Y364" i="26" s="1"/>
  <c r="B319" i="26"/>
  <c r="B315" i="26"/>
  <c r="AC329" i="26" s="1"/>
  <c r="Z303" i="26"/>
  <c r="Y303" i="26"/>
  <c r="X303" i="26"/>
  <c r="W303" i="26"/>
  <c r="V303" i="26"/>
  <c r="U303" i="26"/>
  <c r="T303" i="26"/>
  <c r="S303" i="26"/>
  <c r="R303" i="26"/>
  <c r="Q303" i="26"/>
  <c r="P303" i="26"/>
  <c r="O303" i="26"/>
  <c r="N303" i="26"/>
  <c r="M303" i="26"/>
  <c r="L303" i="26"/>
  <c r="K303" i="26"/>
  <c r="J303" i="26"/>
  <c r="I303" i="26"/>
  <c r="H303" i="26"/>
  <c r="G303" i="26"/>
  <c r="F303" i="26"/>
  <c r="E303" i="26"/>
  <c r="D303" i="26"/>
  <c r="C303" i="26"/>
  <c r="B303" i="26"/>
  <c r="Z301" i="26"/>
  <c r="BA278" i="26" s="1"/>
  <c r="Y301" i="26"/>
  <c r="X301" i="26"/>
  <c r="W301" i="26"/>
  <c r="V301" i="26"/>
  <c r="U301" i="26"/>
  <c r="T301" i="26"/>
  <c r="S301" i="26"/>
  <c r="R301" i="26"/>
  <c r="Q301" i="26"/>
  <c r="P301" i="26"/>
  <c r="O301" i="26"/>
  <c r="N301" i="26"/>
  <c r="AO278" i="26" s="1"/>
  <c r="M301" i="26"/>
  <c r="L301" i="26"/>
  <c r="K301" i="26"/>
  <c r="J301" i="26"/>
  <c r="I301" i="26"/>
  <c r="H301" i="26"/>
  <c r="AI278" i="26" s="1"/>
  <c r="G301" i="26"/>
  <c r="F301" i="26"/>
  <c r="E301" i="26"/>
  <c r="D301" i="26"/>
  <c r="C301" i="26"/>
  <c r="B301" i="26"/>
  <c r="AC278" i="26" s="1"/>
  <c r="Z299" i="26"/>
  <c r="Z298" i="26"/>
  <c r="Z297" i="26"/>
  <c r="Z296" i="26"/>
  <c r="Z295" i="26"/>
  <c r="Z294" i="26"/>
  <c r="Z293" i="26"/>
  <c r="Z292" i="26"/>
  <c r="Z291" i="26"/>
  <c r="Z290" i="26"/>
  <c r="Z289" i="26"/>
  <c r="Z288" i="26"/>
  <c r="B285" i="26"/>
  <c r="B284" i="26"/>
  <c r="B283" i="26"/>
  <c r="AD282" i="26"/>
  <c r="B282" i="26"/>
  <c r="B281" i="26"/>
  <c r="B280" i="26"/>
  <c r="B279" i="26"/>
  <c r="AU278" i="26"/>
  <c r="AL278" i="26"/>
  <c r="AF278" i="26"/>
  <c r="B278" i="26"/>
  <c r="B277" i="26"/>
  <c r="B276" i="26"/>
  <c r="B275" i="26"/>
  <c r="B274" i="26"/>
  <c r="AC264" i="26"/>
  <c r="S304" i="26" s="1"/>
  <c r="B259" i="26"/>
  <c r="B255" i="26"/>
  <c r="AC269" i="26" s="1"/>
  <c r="Z425" i="24"/>
  <c r="Y425" i="24"/>
  <c r="X425" i="24"/>
  <c r="W425" i="24"/>
  <c r="AX401" i="24" s="1"/>
  <c r="V425" i="24"/>
  <c r="U425" i="24"/>
  <c r="T425" i="24"/>
  <c r="S425" i="24"/>
  <c r="R425" i="24"/>
  <c r="Q425" i="24"/>
  <c r="P425" i="24"/>
  <c r="O425" i="24"/>
  <c r="N425" i="24"/>
  <c r="M425" i="24"/>
  <c r="L425" i="24"/>
  <c r="K425" i="24"/>
  <c r="J425" i="24"/>
  <c r="I425" i="24"/>
  <c r="H425" i="24"/>
  <c r="G425" i="24"/>
  <c r="F425" i="24"/>
  <c r="E425" i="24"/>
  <c r="D425" i="24"/>
  <c r="C425" i="24"/>
  <c r="B425" i="24"/>
  <c r="D378" i="24"/>
  <c r="Z364" i="24"/>
  <c r="BA340" i="24" s="1"/>
  <c r="Y364" i="24"/>
  <c r="AZ340" i="24" s="1"/>
  <c r="X364" i="24"/>
  <c r="AY340" i="24" s="1"/>
  <c r="W364" i="24"/>
  <c r="V364" i="24"/>
  <c r="U364" i="24"/>
  <c r="T364" i="24"/>
  <c r="S364" i="24"/>
  <c r="R364" i="24"/>
  <c r="AS340" i="24" s="1"/>
  <c r="Q364" i="24"/>
  <c r="P364" i="24"/>
  <c r="O364" i="24"/>
  <c r="N364" i="24"/>
  <c r="M364" i="24"/>
  <c r="L364" i="24"/>
  <c r="K364" i="24"/>
  <c r="J364" i="24"/>
  <c r="I364" i="24"/>
  <c r="H364" i="24"/>
  <c r="G364" i="24"/>
  <c r="F364" i="24"/>
  <c r="E364" i="24"/>
  <c r="D364" i="24"/>
  <c r="C364" i="24"/>
  <c r="B364" i="24"/>
  <c r="AC340" i="24" s="1"/>
  <c r="B318" i="24"/>
  <c r="Z304" i="24"/>
  <c r="Y304" i="24"/>
  <c r="X304" i="24"/>
  <c r="W304" i="24"/>
  <c r="V304" i="24"/>
  <c r="U304" i="24"/>
  <c r="T304" i="24"/>
  <c r="S304" i="24"/>
  <c r="R304" i="24"/>
  <c r="Q304" i="24"/>
  <c r="P304" i="24"/>
  <c r="O304" i="24"/>
  <c r="N304" i="24"/>
  <c r="M304" i="24"/>
  <c r="L304" i="24"/>
  <c r="K304" i="24"/>
  <c r="J304" i="24"/>
  <c r="I304" i="24"/>
  <c r="H304" i="24"/>
  <c r="G304" i="24"/>
  <c r="F304" i="24"/>
  <c r="E304" i="24"/>
  <c r="D304" i="24"/>
  <c r="C304" i="24"/>
  <c r="B304" i="24"/>
  <c r="B258" i="24"/>
  <c r="G454" i="24"/>
  <c r="G472" i="24" s="1"/>
  <c r="H11" i="39" s="1"/>
  <c r="F454" i="24"/>
  <c r="F472" i="24" s="1"/>
  <c r="H10" i="39" s="1"/>
  <c r="E454" i="24"/>
  <c r="E472" i="24" s="1"/>
  <c r="H9" i="39" s="1"/>
  <c r="D454" i="24"/>
  <c r="D472" i="24" s="1"/>
  <c r="H8" i="39" s="1"/>
  <c r="C454" i="24"/>
  <c r="C472" i="24" s="1"/>
  <c r="H7" i="39" s="1"/>
  <c r="B454" i="24"/>
  <c r="B472" i="24" s="1"/>
  <c r="H6" i="39" s="1"/>
  <c r="Z424" i="24"/>
  <c r="Y424" i="24"/>
  <c r="AZ401" i="24" s="1"/>
  <c r="X424" i="24"/>
  <c r="W424" i="24"/>
  <c r="V424" i="24"/>
  <c r="U424" i="24"/>
  <c r="T424" i="24"/>
  <c r="S424" i="24"/>
  <c r="R424" i="24"/>
  <c r="Q424" i="24"/>
  <c r="AR401" i="24" s="1"/>
  <c r="P424" i="24"/>
  <c r="O424" i="24"/>
  <c r="N424" i="24"/>
  <c r="M424" i="24"/>
  <c r="L424" i="24"/>
  <c r="AM401" i="24" s="1"/>
  <c r="K424" i="24"/>
  <c r="J424" i="24"/>
  <c r="I424" i="24"/>
  <c r="AJ401" i="24" s="1"/>
  <c r="H424" i="24"/>
  <c r="G424" i="24"/>
  <c r="F424" i="24"/>
  <c r="E424" i="24"/>
  <c r="D424" i="24"/>
  <c r="AE401" i="24" s="1"/>
  <c r="C424" i="24"/>
  <c r="B424" i="24"/>
  <c r="Z422" i="24"/>
  <c r="BA399" i="24" s="1"/>
  <c r="Y422" i="24"/>
  <c r="X422" i="24"/>
  <c r="W422" i="24"/>
  <c r="AX399" i="24" s="1"/>
  <c r="V422" i="24"/>
  <c r="U422" i="24"/>
  <c r="T422" i="24"/>
  <c r="AU399" i="24" s="1"/>
  <c r="S422" i="24"/>
  <c r="R422" i="24"/>
  <c r="Q422" i="24"/>
  <c r="AR399" i="24" s="1"/>
  <c r="P422" i="24"/>
  <c r="O422" i="24"/>
  <c r="N422" i="24"/>
  <c r="M422" i="24"/>
  <c r="L422" i="24"/>
  <c r="K422" i="24"/>
  <c r="J422" i="24"/>
  <c r="I422" i="24"/>
  <c r="H422" i="24"/>
  <c r="G422" i="24"/>
  <c r="F422" i="24"/>
  <c r="E422" i="24"/>
  <c r="AF399" i="24" s="1"/>
  <c r="D422" i="24"/>
  <c r="C422" i="24"/>
  <c r="B422" i="24"/>
  <c r="AC399" i="24" s="1"/>
  <c r="Z420" i="24"/>
  <c r="Z419" i="24"/>
  <c r="Z418" i="24"/>
  <c r="Z417" i="24"/>
  <c r="Z416" i="24"/>
  <c r="Z415" i="24"/>
  <c r="Z414" i="24"/>
  <c r="Z413" i="24"/>
  <c r="Z412" i="24"/>
  <c r="Z411" i="24"/>
  <c r="Z410" i="24"/>
  <c r="Z409" i="24"/>
  <c r="B406" i="24"/>
  <c r="B405" i="24"/>
  <c r="B404" i="24"/>
  <c r="B403" i="24"/>
  <c r="B402" i="24"/>
  <c r="AG401" i="24"/>
  <c r="B401" i="24"/>
  <c r="B400" i="24"/>
  <c r="AO399" i="24"/>
  <c r="AI399" i="24"/>
  <c r="B399" i="24"/>
  <c r="B398" i="24"/>
  <c r="B397" i="24"/>
  <c r="B396" i="24"/>
  <c r="B395" i="24"/>
  <c r="AC384" i="24"/>
  <c r="AW403" i="24" s="1"/>
  <c r="AC383" i="24"/>
  <c r="B379" i="24"/>
  <c r="B375" i="24"/>
  <c r="Z363" i="24"/>
  <c r="Y363" i="24"/>
  <c r="X363" i="24"/>
  <c r="W363" i="24"/>
  <c r="V363" i="24"/>
  <c r="U363" i="24"/>
  <c r="T363" i="24"/>
  <c r="S363" i="24"/>
  <c r="AT340" i="24" s="1"/>
  <c r="R363" i="24"/>
  <c r="Q363" i="24"/>
  <c r="P363" i="24"/>
  <c r="O363" i="24"/>
  <c r="AP340" i="24" s="1"/>
  <c r="N363" i="24"/>
  <c r="M363" i="24"/>
  <c r="L363" i="24"/>
  <c r="K363" i="24"/>
  <c r="AL340" i="24" s="1"/>
  <c r="J363" i="24"/>
  <c r="I363" i="24"/>
  <c r="H363" i="24"/>
  <c r="G363" i="24"/>
  <c r="AH340" i="24" s="1"/>
  <c r="F363" i="24"/>
  <c r="E363" i="24"/>
  <c r="D363" i="24"/>
  <c r="C363" i="24"/>
  <c r="AD340" i="24" s="1"/>
  <c r="B363" i="24"/>
  <c r="Z361" i="24"/>
  <c r="BA338" i="24" s="1"/>
  <c r="Y361" i="24"/>
  <c r="X361" i="24"/>
  <c r="W361" i="24"/>
  <c r="AX338" i="24" s="1"/>
  <c r="V361" i="24"/>
  <c r="U361" i="24"/>
  <c r="T361" i="24"/>
  <c r="S361" i="24"/>
  <c r="R361" i="24"/>
  <c r="Q361" i="24"/>
  <c r="P361" i="24"/>
  <c r="O361" i="24"/>
  <c r="N361" i="24"/>
  <c r="M361" i="24"/>
  <c r="L361" i="24"/>
  <c r="K361" i="24"/>
  <c r="J361" i="24"/>
  <c r="I361" i="24"/>
  <c r="H361" i="24"/>
  <c r="G361" i="24"/>
  <c r="F361" i="24"/>
  <c r="E361" i="24"/>
  <c r="D361" i="24"/>
  <c r="C361" i="24"/>
  <c r="B361" i="24"/>
  <c r="AC338" i="24" s="1"/>
  <c r="Z359" i="24"/>
  <c r="Z358" i="24"/>
  <c r="Z357" i="24"/>
  <c r="Z356" i="24"/>
  <c r="Z355" i="24"/>
  <c r="Z354" i="24"/>
  <c r="Z353" i="24"/>
  <c r="Z352" i="24"/>
  <c r="Z351" i="24"/>
  <c r="Z350" i="24"/>
  <c r="Z349" i="24"/>
  <c r="Z348" i="24"/>
  <c r="B345" i="24"/>
  <c r="B344" i="24"/>
  <c r="B343" i="24"/>
  <c r="B342" i="24"/>
  <c r="B341" i="24"/>
  <c r="AW340" i="24"/>
  <c r="AO340" i="24"/>
  <c r="B340" i="24"/>
  <c r="B339" i="24"/>
  <c r="AR338" i="24"/>
  <c r="AO338" i="24"/>
  <c r="AL338" i="24"/>
  <c r="AI338" i="24"/>
  <c r="B338" i="24"/>
  <c r="B337" i="24"/>
  <c r="B336" i="24"/>
  <c r="B335" i="24"/>
  <c r="B334" i="24"/>
  <c r="AC324" i="24"/>
  <c r="AC323" i="24"/>
  <c r="B319" i="24"/>
  <c r="B315" i="24"/>
  <c r="AC329" i="24" s="1"/>
  <c r="Z303" i="24"/>
  <c r="Y303" i="24"/>
  <c r="X303" i="24"/>
  <c r="W303" i="24"/>
  <c r="V303" i="24"/>
  <c r="U303" i="24"/>
  <c r="T303" i="24"/>
  <c r="S303" i="24"/>
  <c r="R303" i="24"/>
  <c r="Q303" i="24"/>
  <c r="P303" i="24"/>
  <c r="O303" i="24"/>
  <c r="N303" i="24"/>
  <c r="M303" i="24"/>
  <c r="L303" i="24"/>
  <c r="K303" i="24"/>
  <c r="J303" i="24"/>
  <c r="I303" i="24"/>
  <c r="H303" i="24"/>
  <c r="G303" i="24"/>
  <c r="F303" i="24"/>
  <c r="E303" i="24"/>
  <c r="AF280" i="24" s="1"/>
  <c r="D303" i="24"/>
  <c r="C303" i="24"/>
  <c r="B303" i="24"/>
  <c r="Z301" i="24"/>
  <c r="BA278" i="24" s="1"/>
  <c r="Y301" i="24"/>
  <c r="X301" i="24"/>
  <c r="W301" i="24"/>
  <c r="AX278" i="24" s="1"/>
  <c r="V301" i="24"/>
  <c r="U301" i="24"/>
  <c r="T301" i="24"/>
  <c r="S301" i="24"/>
  <c r="R301" i="24"/>
  <c r="Q301" i="24"/>
  <c r="P301" i="24"/>
  <c r="O301" i="24"/>
  <c r="N301" i="24"/>
  <c r="AO278" i="24" s="1"/>
  <c r="M301" i="24"/>
  <c r="L301" i="24"/>
  <c r="K301" i="24"/>
  <c r="J301" i="24"/>
  <c r="I301" i="24"/>
  <c r="H301" i="24"/>
  <c r="AI278" i="24" s="1"/>
  <c r="G301" i="24"/>
  <c r="F301" i="24"/>
  <c r="E301" i="24"/>
  <c r="D301" i="24"/>
  <c r="C301" i="24"/>
  <c r="B301" i="24"/>
  <c r="AC278" i="24" s="1"/>
  <c r="Z299" i="24"/>
  <c r="Z298" i="24"/>
  <c r="Z297" i="24"/>
  <c r="Z296" i="24"/>
  <c r="Z295" i="24"/>
  <c r="Z294" i="24"/>
  <c r="Z293" i="24"/>
  <c r="Z292" i="24"/>
  <c r="Z291" i="24"/>
  <c r="Z290" i="24"/>
  <c r="Z289" i="24"/>
  <c r="Z288" i="24"/>
  <c r="B285" i="24"/>
  <c r="B284" i="24"/>
  <c r="B283" i="24"/>
  <c r="B282" i="24"/>
  <c r="B281" i="24"/>
  <c r="AY280" i="24"/>
  <c r="AQ280" i="24"/>
  <c r="AI280" i="24"/>
  <c r="B280" i="24"/>
  <c r="B279" i="24"/>
  <c r="AU278" i="24"/>
  <c r="AR278" i="24"/>
  <c r="AL278" i="24"/>
  <c r="AF278" i="24"/>
  <c r="B278" i="24"/>
  <c r="B277" i="24"/>
  <c r="B276" i="24"/>
  <c r="B275" i="24"/>
  <c r="B274" i="24"/>
  <c r="AC264" i="24"/>
  <c r="AC263" i="24"/>
  <c r="B259" i="24"/>
  <c r="B255" i="24"/>
  <c r="AC269" i="24" s="1"/>
  <c r="Z425" i="33"/>
  <c r="Y425" i="33"/>
  <c r="X425" i="33"/>
  <c r="W425" i="33"/>
  <c r="V425" i="33"/>
  <c r="U425" i="33"/>
  <c r="T425" i="33"/>
  <c r="S425" i="33"/>
  <c r="R425" i="33"/>
  <c r="Q425" i="33"/>
  <c r="P425" i="33"/>
  <c r="O425" i="33"/>
  <c r="N425" i="33"/>
  <c r="M425" i="33"/>
  <c r="L425" i="33"/>
  <c r="K425" i="33"/>
  <c r="J425" i="33"/>
  <c r="I425" i="33"/>
  <c r="H425" i="33"/>
  <c r="G425" i="33"/>
  <c r="F425" i="33"/>
  <c r="E425" i="33"/>
  <c r="D425" i="33"/>
  <c r="C425" i="33"/>
  <c r="B425" i="33"/>
  <c r="B378" i="33"/>
  <c r="Z364" i="33"/>
  <c r="BA340" i="33" s="1"/>
  <c r="Y364" i="33"/>
  <c r="AZ340" i="33" s="1"/>
  <c r="X364" i="33"/>
  <c r="AY340" i="33" s="1"/>
  <c r="W364" i="33"/>
  <c r="AX340" i="33" s="1"/>
  <c r="V364" i="33"/>
  <c r="AW340" i="33" s="1"/>
  <c r="U364" i="33"/>
  <c r="T364" i="33"/>
  <c r="S364" i="33"/>
  <c r="R364" i="33"/>
  <c r="Q364" i="33"/>
  <c r="P364" i="33"/>
  <c r="O364" i="33"/>
  <c r="N364" i="33"/>
  <c r="M364" i="33"/>
  <c r="L364" i="33"/>
  <c r="K364" i="33"/>
  <c r="J364" i="33"/>
  <c r="I364" i="33"/>
  <c r="H364" i="33"/>
  <c r="G364" i="33"/>
  <c r="F364" i="33"/>
  <c r="E364" i="33"/>
  <c r="D364" i="33"/>
  <c r="C364" i="33"/>
  <c r="B364" i="33"/>
  <c r="B318" i="33"/>
  <c r="Z304" i="33"/>
  <c r="Y304" i="33"/>
  <c r="X304" i="33"/>
  <c r="W304" i="33"/>
  <c r="V304" i="33"/>
  <c r="U304" i="33"/>
  <c r="T304" i="33"/>
  <c r="S304" i="33"/>
  <c r="R304" i="33"/>
  <c r="Q304" i="33"/>
  <c r="P304" i="33"/>
  <c r="O304" i="33"/>
  <c r="N304" i="33"/>
  <c r="M304" i="33"/>
  <c r="L304" i="33"/>
  <c r="K304" i="33"/>
  <c r="J304" i="33"/>
  <c r="I304" i="33"/>
  <c r="H304" i="33"/>
  <c r="G304" i="33"/>
  <c r="F304" i="33"/>
  <c r="E304" i="33"/>
  <c r="D304" i="33"/>
  <c r="C304" i="33"/>
  <c r="B304" i="33"/>
  <c r="B258" i="33"/>
  <c r="G454" i="33"/>
  <c r="G472" i="33" s="1"/>
  <c r="H53" i="39" s="1"/>
  <c r="F454" i="33"/>
  <c r="F472" i="33" s="1"/>
  <c r="H52" i="39" s="1"/>
  <c r="E454" i="33"/>
  <c r="E472" i="33" s="1"/>
  <c r="H51" i="39" s="1"/>
  <c r="D454" i="33"/>
  <c r="D472" i="33" s="1"/>
  <c r="H50" i="39" s="1"/>
  <c r="C454" i="33"/>
  <c r="C472" i="33" s="1"/>
  <c r="H49" i="39" s="1"/>
  <c r="B454" i="33"/>
  <c r="B472" i="33" s="1"/>
  <c r="H48" i="39" s="1"/>
  <c r="G443" i="33"/>
  <c r="G457" i="33" s="1"/>
  <c r="G475" i="33" s="1"/>
  <c r="K53" i="39" s="1"/>
  <c r="F443" i="33"/>
  <c r="F457" i="33" s="1"/>
  <c r="F475" i="33" s="1"/>
  <c r="K52" i="39" s="1"/>
  <c r="E443" i="33"/>
  <c r="E457" i="33" s="1"/>
  <c r="E475" i="33" s="1"/>
  <c r="K51" i="39" s="1"/>
  <c r="Z424" i="33"/>
  <c r="Y424" i="33"/>
  <c r="X424" i="33"/>
  <c r="AY401" i="33" s="1"/>
  <c r="W424" i="33"/>
  <c r="V424" i="33"/>
  <c r="U424" i="33"/>
  <c r="AV401" i="33" s="1"/>
  <c r="T424" i="33"/>
  <c r="S424" i="33"/>
  <c r="R424" i="33"/>
  <c r="AS401" i="33" s="1"/>
  <c r="Q424" i="33"/>
  <c r="P424" i="33"/>
  <c r="AQ401" i="33" s="1"/>
  <c r="O424" i="33"/>
  <c r="N424" i="33"/>
  <c r="M424" i="33"/>
  <c r="AN401" i="33" s="1"/>
  <c r="L424" i="33"/>
  <c r="K424" i="33"/>
  <c r="J424" i="33"/>
  <c r="AK401" i="33" s="1"/>
  <c r="I424" i="33"/>
  <c r="H424" i="33"/>
  <c r="G424" i="33"/>
  <c r="F424" i="33"/>
  <c r="E424" i="33"/>
  <c r="D424" i="33"/>
  <c r="C424" i="33"/>
  <c r="B424" i="33"/>
  <c r="Z422" i="33"/>
  <c r="Y422" i="33"/>
  <c r="X422" i="33"/>
  <c r="W422" i="33"/>
  <c r="AX399" i="33" s="1"/>
  <c r="V422" i="33"/>
  <c r="U422" i="33"/>
  <c r="T422" i="33"/>
  <c r="AU399" i="33" s="1"/>
  <c r="S422" i="33"/>
  <c r="R422" i="33"/>
  <c r="Q422" i="33"/>
  <c r="P422" i="33"/>
  <c r="O422" i="33"/>
  <c r="N422" i="33"/>
  <c r="AO399" i="33" s="1"/>
  <c r="M422" i="33"/>
  <c r="L422" i="33"/>
  <c r="K422" i="33"/>
  <c r="AL399" i="33" s="1"/>
  <c r="J422" i="33"/>
  <c r="I422" i="33"/>
  <c r="H422" i="33"/>
  <c r="G422" i="33"/>
  <c r="F422" i="33"/>
  <c r="E422" i="33"/>
  <c r="AF399" i="33" s="1"/>
  <c r="D422" i="33"/>
  <c r="C422" i="33"/>
  <c r="B422" i="33"/>
  <c r="Z420" i="33"/>
  <c r="Z419" i="33"/>
  <c r="Z418" i="33"/>
  <c r="Z417" i="33"/>
  <c r="Z416" i="33"/>
  <c r="Z415" i="33"/>
  <c r="Z414" i="33"/>
  <c r="Z413" i="33"/>
  <c r="Z412" i="33"/>
  <c r="Z411" i="33"/>
  <c r="Z410" i="33"/>
  <c r="Z409" i="33"/>
  <c r="B408" i="33"/>
  <c r="B407" i="33"/>
  <c r="AC396" i="33" s="1"/>
  <c r="J436" i="33" s="1"/>
  <c r="J450" i="33" s="1"/>
  <c r="J468" i="33" s="1"/>
  <c r="D56" i="39" s="1"/>
  <c r="B406" i="33"/>
  <c r="B405" i="33"/>
  <c r="B404" i="33"/>
  <c r="B403" i="33"/>
  <c r="B402" i="33"/>
  <c r="B401" i="33"/>
  <c r="B400" i="33"/>
  <c r="BA399" i="33"/>
  <c r="AC399" i="33"/>
  <c r="B399" i="33"/>
  <c r="B398" i="33"/>
  <c r="B397" i="33"/>
  <c r="B396" i="33"/>
  <c r="B395" i="33"/>
  <c r="AC384" i="33"/>
  <c r="AT403" i="33" s="1"/>
  <c r="B379" i="33"/>
  <c r="B375" i="33"/>
  <c r="AC389" i="33" s="1"/>
  <c r="Z363" i="33"/>
  <c r="Y363" i="33"/>
  <c r="X363" i="33"/>
  <c r="W363" i="33"/>
  <c r="V363" i="33"/>
  <c r="U363" i="33"/>
  <c r="T363" i="33"/>
  <c r="S363" i="33"/>
  <c r="R363" i="33"/>
  <c r="AS340" i="33" s="1"/>
  <c r="Q363" i="33"/>
  <c r="P363" i="33"/>
  <c r="O363" i="33"/>
  <c r="N363" i="33"/>
  <c r="M363" i="33"/>
  <c r="L363" i="33"/>
  <c r="K363" i="33"/>
  <c r="J363" i="33"/>
  <c r="AK340" i="33" s="1"/>
  <c r="I363" i="33"/>
  <c r="AJ340" i="33" s="1"/>
  <c r="H363" i="33"/>
  <c r="G363" i="33"/>
  <c r="F363" i="33"/>
  <c r="E363" i="33"/>
  <c r="D363" i="33"/>
  <c r="C363" i="33"/>
  <c r="AD340" i="33" s="1"/>
  <c r="B363" i="33"/>
  <c r="AC340" i="33" s="1"/>
  <c r="Z362" i="33"/>
  <c r="BA341" i="33" s="1"/>
  <c r="Y362" i="33"/>
  <c r="AZ341" i="33" s="1"/>
  <c r="X362" i="33"/>
  <c r="AY341" i="33" s="1"/>
  <c r="W362" i="33"/>
  <c r="AX341" i="33" s="1"/>
  <c r="V362" i="33"/>
  <c r="U362" i="33"/>
  <c r="AV341" i="33" s="1"/>
  <c r="T362" i="33"/>
  <c r="AU341" i="33" s="1"/>
  <c r="S362" i="33"/>
  <c r="AT341" i="33" s="1"/>
  <c r="R362" i="33"/>
  <c r="AS341" i="33" s="1"/>
  <c r="Q362" i="33"/>
  <c r="AR341" i="33" s="1"/>
  <c r="P362" i="33"/>
  <c r="AQ341" i="33" s="1"/>
  <c r="O362" i="33"/>
  <c r="AP341" i="33" s="1"/>
  <c r="N362" i="33"/>
  <c r="AO341" i="33" s="1"/>
  <c r="M362" i="33"/>
  <c r="AN341" i="33" s="1"/>
  <c r="L362" i="33"/>
  <c r="AM341" i="33" s="1"/>
  <c r="K362" i="33"/>
  <c r="AL341" i="33" s="1"/>
  <c r="J362" i="33"/>
  <c r="AK341" i="33" s="1"/>
  <c r="I362" i="33"/>
  <c r="AJ341" i="33" s="1"/>
  <c r="H362" i="33"/>
  <c r="AI341" i="33" s="1"/>
  <c r="G362" i="33"/>
  <c r="AH341" i="33" s="1"/>
  <c r="F362" i="33"/>
  <c r="AG341" i="33" s="1"/>
  <c r="E362" i="33"/>
  <c r="AF341" i="33" s="1"/>
  <c r="D362" i="33"/>
  <c r="AE341" i="33" s="1"/>
  <c r="C362" i="33"/>
  <c r="AD341" i="33" s="1"/>
  <c r="B362" i="33"/>
  <c r="AC341" i="33" s="1"/>
  <c r="Z361" i="33"/>
  <c r="BA338" i="33" s="1"/>
  <c r="Y361" i="33"/>
  <c r="X361" i="33"/>
  <c r="W361" i="33"/>
  <c r="AX338" i="33" s="1"/>
  <c r="V361" i="33"/>
  <c r="U361" i="33"/>
  <c r="T361" i="33"/>
  <c r="AU338" i="33" s="1"/>
  <c r="S361" i="33"/>
  <c r="R361" i="33"/>
  <c r="Q361" i="33"/>
  <c r="P361" i="33"/>
  <c r="O361" i="33"/>
  <c r="N361" i="33"/>
  <c r="M361" i="33"/>
  <c r="L361" i="33"/>
  <c r="K361" i="33"/>
  <c r="J361" i="33"/>
  <c r="I361" i="33"/>
  <c r="H361" i="33"/>
  <c r="AI338" i="33" s="1"/>
  <c r="G361" i="33"/>
  <c r="F361" i="33"/>
  <c r="E361" i="33"/>
  <c r="AF338" i="33" s="1"/>
  <c r="D361" i="33"/>
  <c r="C361" i="33"/>
  <c r="B361" i="33"/>
  <c r="AC338" i="33" s="1"/>
  <c r="Z359" i="33"/>
  <c r="Z358" i="33"/>
  <c r="Z357" i="33"/>
  <c r="Z356" i="33"/>
  <c r="Z355" i="33"/>
  <c r="Z354" i="33"/>
  <c r="Z353" i="33"/>
  <c r="Z352" i="33"/>
  <c r="Z351" i="33"/>
  <c r="Z350" i="33"/>
  <c r="Z349" i="33"/>
  <c r="Z348" i="33"/>
  <c r="B345" i="33"/>
  <c r="B344" i="33"/>
  <c r="B343" i="33"/>
  <c r="B342" i="33"/>
  <c r="AW341" i="33"/>
  <c r="B341" i="33"/>
  <c r="B340" i="33"/>
  <c r="B339" i="33"/>
  <c r="AO338" i="33"/>
  <c r="B338" i="33"/>
  <c r="B337" i="33"/>
  <c r="B336" i="33"/>
  <c r="B335" i="33"/>
  <c r="B334" i="33"/>
  <c r="AC324" i="33"/>
  <c r="AU342" i="33" s="1"/>
  <c r="B319" i="33"/>
  <c r="B315" i="33"/>
  <c r="AC329" i="33" s="1"/>
  <c r="Z303" i="33"/>
  <c r="Y303" i="33"/>
  <c r="X303" i="33"/>
  <c r="W303" i="33"/>
  <c r="V303" i="33"/>
  <c r="U303" i="33"/>
  <c r="T303" i="33"/>
  <c r="AU280" i="33" s="1"/>
  <c r="S303" i="33"/>
  <c r="R303" i="33"/>
  <c r="Q303" i="33"/>
  <c r="P303" i="33"/>
  <c r="O303" i="33"/>
  <c r="N303" i="33"/>
  <c r="M303" i="33"/>
  <c r="L303" i="33"/>
  <c r="AM280" i="33" s="1"/>
  <c r="K303" i="33"/>
  <c r="J303" i="33"/>
  <c r="I303" i="33"/>
  <c r="H303" i="33"/>
  <c r="G303" i="33"/>
  <c r="F303" i="33"/>
  <c r="E303" i="33"/>
  <c r="D303" i="33"/>
  <c r="AE280" i="33" s="1"/>
  <c r="C303" i="33"/>
  <c r="B303" i="33"/>
  <c r="Z301" i="33"/>
  <c r="BA278" i="33" s="1"/>
  <c r="Y301" i="33"/>
  <c r="X301" i="33"/>
  <c r="W301" i="33"/>
  <c r="AX278" i="33" s="1"/>
  <c r="V301" i="33"/>
  <c r="U301" i="33"/>
  <c r="T301" i="33"/>
  <c r="S301" i="33"/>
  <c r="R301" i="33"/>
  <c r="Q301" i="33"/>
  <c r="P301" i="33"/>
  <c r="O301" i="33"/>
  <c r="N301" i="33"/>
  <c r="AO278" i="33" s="1"/>
  <c r="M301" i="33"/>
  <c r="L301" i="33"/>
  <c r="K301" i="33"/>
  <c r="AL278" i="33" s="1"/>
  <c r="J301" i="33"/>
  <c r="I301" i="33"/>
  <c r="H301" i="33"/>
  <c r="AI278" i="33" s="1"/>
  <c r="G301" i="33"/>
  <c r="F301" i="33"/>
  <c r="E301" i="33"/>
  <c r="AF278" i="33" s="1"/>
  <c r="D301" i="33"/>
  <c r="C301" i="33"/>
  <c r="B301" i="33"/>
  <c r="AC278" i="33" s="1"/>
  <c r="Z299" i="33"/>
  <c r="Z298" i="33"/>
  <c r="Z297" i="33"/>
  <c r="Z296" i="33"/>
  <c r="Z295" i="33"/>
  <c r="Z294" i="33"/>
  <c r="Z293" i="33"/>
  <c r="Z292" i="33"/>
  <c r="Z291" i="33"/>
  <c r="Z290" i="33"/>
  <c r="Z289" i="33"/>
  <c r="Z288" i="33"/>
  <c r="B285" i="33"/>
  <c r="B284" i="33"/>
  <c r="B283" i="33"/>
  <c r="B282" i="33"/>
  <c r="B281" i="33"/>
  <c r="B280" i="33"/>
  <c r="B279" i="33"/>
  <c r="AR278" i="33"/>
  <c r="B278" i="33"/>
  <c r="B277" i="33"/>
  <c r="B276" i="33"/>
  <c r="B275" i="33"/>
  <c r="B274" i="33"/>
  <c r="AC264" i="33"/>
  <c r="AV282" i="33" s="1"/>
  <c r="B259" i="33"/>
  <c r="B255" i="33"/>
  <c r="T425" i="23"/>
  <c r="AU401" i="23" s="1"/>
  <c r="S425" i="23"/>
  <c r="B378" i="23"/>
  <c r="U364" i="23"/>
  <c r="M364" i="23"/>
  <c r="F364" i="23"/>
  <c r="B318" i="23"/>
  <c r="P304" i="23"/>
  <c r="B258" i="23"/>
  <c r="AC382" i="23"/>
  <c r="AC383" i="23" s="1"/>
  <c r="AC322" i="23"/>
  <c r="AC323" i="23" s="1"/>
  <c r="AC262" i="23"/>
  <c r="AC263" i="23" s="1"/>
  <c r="B472" i="23"/>
  <c r="H20" i="39" s="1"/>
  <c r="G454" i="23"/>
  <c r="G472" i="23" s="1"/>
  <c r="H25" i="39" s="1"/>
  <c r="F454" i="23"/>
  <c r="F472" i="23" s="1"/>
  <c r="H24" i="39" s="1"/>
  <c r="E454" i="23"/>
  <c r="E472" i="23" s="1"/>
  <c r="H23" i="39" s="1"/>
  <c r="D454" i="23"/>
  <c r="D472" i="23" s="1"/>
  <c r="H22" i="39" s="1"/>
  <c r="C454" i="23"/>
  <c r="C472" i="23" s="1"/>
  <c r="H21" i="39" s="1"/>
  <c r="B454" i="23"/>
  <c r="Z424" i="23"/>
  <c r="Y424" i="23"/>
  <c r="X424" i="23"/>
  <c r="W424" i="23"/>
  <c r="V424" i="23"/>
  <c r="U424" i="23"/>
  <c r="T424" i="23"/>
  <c r="S424" i="23"/>
  <c r="R424" i="23"/>
  <c r="Q424" i="23"/>
  <c r="P424" i="23"/>
  <c r="O424" i="23"/>
  <c r="N424" i="23"/>
  <c r="M424" i="23"/>
  <c r="L424" i="23"/>
  <c r="K424" i="23"/>
  <c r="J424" i="23"/>
  <c r="I424" i="23"/>
  <c r="H424" i="23"/>
  <c r="G424" i="23"/>
  <c r="F424" i="23"/>
  <c r="E424" i="23"/>
  <c r="D424" i="23"/>
  <c r="C424" i="23"/>
  <c r="B424" i="23"/>
  <c r="Z422" i="23"/>
  <c r="BA399" i="23" s="1"/>
  <c r="Y422" i="23"/>
  <c r="X422" i="23"/>
  <c r="W422" i="23"/>
  <c r="V422" i="23"/>
  <c r="U422" i="23"/>
  <c r="T422" i="23"/>
  <c r="S422" i="23"/>
  <c r="R422" i="23"/>
  <c r="Q422" i="23"/>
  <c r="AR399" i="23" s="1"/>
  <c r="P422" i="23"/>
  <c r="O422" i="23"/>
  <c r="N422" i="23"/>
  <c r="AO399" i="23" s="1"/>
  <c r="M422" i="23"/>
  <c r="L422" i="23"/>
  <c r="K422" i="23"/>
  <c r="AL399" i="23" s="1"/>
  <c r="J422" i="23"/>
  <c r="I422" i="23"/>
  <c r="H422" i="23"/>
  <c r="AI399" i="23" s="1"/>
  <c r="G422" i="23"/>
  <c r="F422" i="23"/>
  <c r="E422" i="23"/>
  <c r="AF399" i="23" s="1"/>
  <c r="D422" i="23"/>
  <c r="C422" i="23"/>
  <c r="B422" i="23"/>
  <c r="AC399" i="23" s="1"/>
  <c r="Z420" i="23"/>
  <c r="Z419" i="23"/>
  <c r="Z418" i="23"/>
  <c r="Z417" i="23"/>
  <c r="Z416" i="23"/>
  <c r="Z415" i="23"/>
  <c r="Z414" i="23"/>
  <c r="Z413" i="23"/>
  <c r="Z412" i="23"/>
  <c r="Z411" i="23"/>
  <c r="Z410" i="23"/>
  <c r="Z409" i="23"/>
  <c r="B406" i="23"/>
  <c r="B405" i="23"/>
  <c r="B404" i="23"/>
  <c r="B403" i="23"/>
  <c r="B402" i="23"/>
  <c r="B401" i="23"/>
  <c r="B400" i="23"/>
  <c r="AU399" i="23"/>
  <c r="B399" i="23"/>
  <c r="B398" i="23"/>
  <c r="B397" i="23"/>
  <c r="B396" i="23"/>
  <c r="B395" i="23"/>
  <c r="AC384" i="23"/>
  <c r="Y425" i="23" s="1"/>
  <c r="B379" i="23"/>
  <c r="B375" i="23"/>
  <c r="AC389" i="23" s="1"/>
  <c r="Z363" i="23"/>
  <c r="Y363" i="23"/>
  <c r="X363" i="23"/>
  <c r="W363" i="23"/>
  <c r="V363" i="23"/>
  <c r="U363" i="23"/>
  <c r="T363" i="23"/>
  <c r="S363" i="23"/>
  <c r="R363" i="23"/>
  <c r="Q363" i="23"/>
  <c r="P363" i="23"/>
  <c r="O363" i="23"/>
  <c r="N363" i="23"/>
  <c r="M363" i="23"/>
  <c r="L363" i="23"/>
  <c r="K363" i="23"/>
  <c r="J363" i="23"/>
  <c r="I363" i="23"/>
  <c r="H363" i="23"/>
  <c r="G363" i="23"/>
  <c r="F363" i="23"/>
  <c r="E363" i="23"/>
  <c r="D363" i="23"/>
  <c r="C363" i="23"/>
  <c r="B363" i="23"/>
  <c r="Z361" i="23"/>
  <c r="BA338" i="23" s="1"/>
  <c r="Y361" i="23"/>
  <c r="X361" i="23"/>
  <c r="W361" i="23"/>
  <c r="V361" i="23"/>
  <c r="U361" i="23"/>
  <c r="T361" i="23"/>
  <c r="S361" i="23"/>
  <c r="R361" i="23"/>
  <c r="Q361" i="23"/>
  <c r="P361" i="23"/>
  <c r="O361" i="23"/>
  <c r="N361" i="23"/>
  <c r="M361" i="23"/>
  <c r="L361" i="23"/>
  <c r="K361" i="23"/>
  <c r="J361" i="23"/>
  <c r="I361" i="23"/>
  <c r="H361" i="23"/>
  <c r="AI338" i="23" s="1"/>
  <c r="G361" i="23"/>
  <c r="F361" i="23"/>
  <c r="E361" i="23"/>
  <c r="AF338" i="23" s="1"/>
  <c r="D361" i="23"/>
  <c r="C361" i="23"/>
  <c r="B361" i="23"/>
  <c r="AC338" i="23" s="1"/>
  <c r="Z359" i="23"/>
  <c r="Z358" i="23"/>
  <c r="Z357" i="23"/>
  <c r="Z356" i="23"/>
  <c r="Z355" i="23"/>
  <c r="Z354" i="23"/>
  <c r="Z353" i="23"/>
  <c r="Z352" i="23"/>
  <c r="Z351" i="23"/>
  <c r="Z350" i="23"/>
  <c r="Z349" i="23"/>
  <c r="Z348" i="23"/>
  <c r="B345" i="23"/>
  <c r="B344" i="23"/>
  <c r="B343" i="23"/>
  <c r="B342" i="23"/>
  <c r="B341" i="23"/>
  <c r="B340" i="23"/>
  <c r="B339" i="23"/>
  <c r="AX338" i="23"/>
  <c r="AU338" i="23"/>
  <c r="AO338" i="23"/>
  <c r="AL338" i="23"/>
  <c r="B338" i="23"/>
  <c r="B337" i="23"/>
  <c r="B336" i="23"/>
  <c r="B335" i="23"/>
  <c r="B334" i="23"/>
  <c r="AC324" i="23"/>
  <c r="T364" i="23" s="1"/>
  <c r="B319" i="23"/>
  <c r="B315" i="23"/>
  <c r="AC329" i="23" s="1"/>
  <c r="Z303" i="23"/>
  <c r="Y303" i="23"/>
  <c r="X303" i="23"/>
  <c r="W303" i="23"/>
  <c r="V303" i="23"/>
  <c r="U303" i="23"/>
  <c r="T303" i="23"/>
  <c r="S303" i="23"/>
  <c r="R303" i="23"/>
  <c r="Q303" i="23"/>
  <c r="P303" i="23"/>
  <c r="O303" i="23"/>
  <c r="N303" i="23"/>
  <c r="M303" i="23"/>
  <c r="L303" i="23"/>
  <c r="K303" i="23"/>
  <c r="J303" i="23"/>
  <c r="I303" i="23"/>
  <c r="H303" i="23"/>
  <c r="G303" i="23"/>
  <c r="F303" i="23"/>
  <c r="E303" i="23"/>
  <c r="D303" i="23"/>
  <c r="C303" i="23"/>
  <c r="B303" i="23"/>
  <c r="Z301" i="23"/>
  <c r="BA278" i="23" s="1"/>
  <c r="Y301" i="23"/>
  <c r="X301" i="23"/>
  <c r="W301" i="23"/>
  <c r="AX278" i="23" s="1"/>
  <c r="V301" i="23"/>
  <c r="U301" i="23"/>
  <c r="T301" i="23"/>
  <c r="AU278" i="23" s="1"/>
  <c r="S301" i="23"/>
  <c r="R301" i="23"/>
  <c r="Q301" i="23"/>
  <c r="AR278" i="23" s="1"/>
  <c r="P301" i="23"/>
  <c r="O301" i="23"/>
  <c r="N301" i="23"/>
  <c r="M301" i="23"/>
  <c r="L301" i="23"/>
  <c r="K301" i="23"/>
  <c r="J301" i="23"/>
  <c r="I301" i="23"/>
  <c r="H301" i="23"/>
  <c r="AI278" i="23" s="1"/>
  <c r="G301" i="23"/>
  <c r="F301" i="23"/>
  <c r="E301" i="23"/>
  <c r="AF278" i="23" s="1"/>
  <c r="D301" i="23"/>
  <c r="C301" i="23"/>
  <c r="B301" i="23"/>
  <c r="AC278" i="23" s="1"/>
  <c r="Z299" i="23"/>
  <c r="Z298" i="23"/>
  <c r="Z297" i="23"/>
  <c r="Z296" i="23"/>
  <c r="Z295" i="23"/>
  <c r="Z294" i="23"/>
  <c r="Z293" i="23"/>
  <c r="Z292" i="23"/>
  <c r="Z291" i="23"/>
  <c r="Z290" i="23"/>
  <c r="Z289" i="23"/>
  <c r="Z288" i="23"/>
  <c r="B285" i="23"/>
  <c r="B284" i="23"/>
  <c r="B283" i="23"/>
  <c r="B282" i="23"/>
  <c r="B281" i="23"/>
  <c r="B280" i="23"/>
  <c r="B279" i="23"/>
  <c r="AO278" i="23"/>
  <c r="AL278" i="23"/>
  <c r="B278" i="23"/>
  <c r="B277" i="23"/>
  <c r="B276" i="23"/>
  <c r="B275" i="23"/>
  <c r="B274" i="23"/>
  <c r="AC264" i="23"/>
  <c r="U304" i="23" s="1"/>
  <c r="B259" i="23"/>
  <c r="B255" i="23"/>
  <c r="AC269" i="23" s="1"/>
  <c r="B378" i="22"/>
  <c r="S364" i="22"/>
  <c r="C364" i="22"/>
  <c r="B318" i="22"/>
  <c r="B258" i="22"/>
  <c r="AC383" i="22"/>
  <c r="AC323" i="22"/>
  <c r="AC263" i="22"/>
  <c r="G454" i="22"/>
  <c r="G472" i="22" s="1"/>
  <c r="H39" i="39" s="1"/>
  <c r="F454" i="22"/>
  <c r="F472" i="22" s="1"/>
  <c r="H38" i="39" s="1"/>
  <c r="E454" i="22"/>
  <c r="E472" i="22" s="1"/>
  <c r="H37" i="39" s="1"/>
  <c r="D454" i="22"/>
  <c r="D472" i="22" s="1"/>
  <c r="H36" i="39" s="1"/>
  <c r="C454" i="22"/>
  <c r="C472" i="22" s="1"/>
  <c r="H35" i="39" s="1"/>
  <c r="B454" i="22"/>
  <c r="B472" i="22" s="1"/>
  <c r="H34" i="39" s="1"/>
  <c r="Z424" i="22"/>
  <c r="Y424" i="22"/>
  <c r="X424" i="22"/>
  <c r="W424" i="22"/>
  <c r="V424" i="22"/>
  <c r="U424" i="22"/>
  <c r="T424" i="22"/>
  <c r="S424" i="22"/>
  <c r="R424" i="22"/>
  <c r="Q424" i="22"/>
  <c r="P424" i="22"/>
  <c r="O424" i="22"/>
  <c r="N424" i="22"/>
  <c r="M424" i="22"/>
  <c r="L424" i="22"/>
  <c r="K424" i="22"/>
  <c r="J424" i="22"/>
  <c r="I424" i="22"/>
  <c r="H424" i="22"/>
  <c r="G424" i="22"/>
  <c r="F424" i="22"/>
  <c r="E424" i="22"/>
  <c r="D424" i="22"/>
  <c r="C424" i="22"/>
  <c r="B424" i="22"/>
  <c r="Z422" i="22"/>
  <c r="BA399" i="22" s="1"/>
  <c r="Y422" i="22"/>
  <c r="X422" i="22"/>
  <c r="W422" i="22"/>
  <c r="V422" i="22"/>
  <c r="U422" i="22"/>
  <c r="T422" i="22"/>
  <c r="AU399" i="22" s="1"/>
  <c r="S422" i="22"/>
  <c r="R422" i="22"/>
  <c r="Q422" i="22"/>
  <c r="P422" i="22"/>
  <c r="O422" i="22"/>
  <c r="N422" i="22"/>
  <c r="M422" i="22"/>
  <c r="L422" i="22"/>
  <c r="K422" i="22"/>
  <c r="J422" i="22"/>
  <c r="I422" i="22"/>
  <c r="H422" i="22"/>
  <c r="G422" i="22"/>
  <c r="F422" i="22"/>
  <c r="E422" i="22"/>
  <c r="AF399" i="22" s="1"/>
  <c r="D422" i="22"/>
  <c r="C422" i="22"/>
  <c r="B422" i="22"/>
  <c r="AC399" i="22" s="1"/>
  <c r="Z420" i="22"/>
  <c r="Z419" i="22"/>
  <c r="Z418" i="22"/>
  <c r="Z417" i="22"/>
  <c r="Z416" i="22"/>
  <c r="Z415" i="22"/>
  <c r="Z414" i="22"/>
  <c r="Z413" i="22"/>
  <c r="Z412" i="22"/>
  <c r="Z411" i="22"/>
  <c r="Z410" i="22"/>
  <c r="Z409" i="22"/>
  <c r="B408" i="22"/>
  <c r="B407" i="22"/>
  <c r="B406" i="22"/>
  <c r="B405" i="22"/>
  <c r="B404" i="22"/>
  <c r="B403" i="22"/>
  <c r="B402" i="22"/>
  <c r="B401" i="22"/>
  <c r="B400" i="22"/>
  <c r="AX399" i="22"/>
  <c r="AO399" i="22"/>
  <c r="AL399" i="22"/>
  <c r="AI399" i="22"/>
  <c r="B399" i="22"/>
  <c r="B398" i="22"/>
  <c r="B397" i="22"/>
  <c r="AC396" i="22"/>
  <c r="J436" i="22" s="1"/>
  <c r="J450" i="22" s="1"/>
  <c r="J468" i="22" s="1"/>
  <c r="D42" i="39" s="1"/>
  <c r="B396" i="22"/>
  <c r="B395" i="22"/>
  <c r="AC384" i="22"/>
  <c r="W425" i="22" s="1"/>
  <c r="AX401" i="22" s="1"/>
  <c r="B379" i="22"/>
  <c r="B375" i="22"/>
  <c r="AC389" i="22" s="1"/>
  <c r="Z363" i="22"/>
  <c r="Y363" i="22"/>
  <c r="X363" i="22"/>
  <c r="W363" i="22"/>
  <c r="V363" i="22"/>
  <c r="U363" i="22"/>
  <c r="T363" i="22"/>
  <c r="S363" i="22"/>
  <c r="R363" i="22"/>
  <c r="Q363" i="22"/>
  <c r="P363" i="22"/>
  <c r="O363" i="22"/>
  <c r="N363" i="22"/>
  <c r="M363" i="22"/>
  <c r="L363" i="22"/>
  <c r="K363" i="22"/>
  <c r="J363" i="22"/>
  <c r="I363" i="22"/>
  <c r="H363" i="22"/>
  <c r="G363" i="22"/>
  <c r="F363" i="22"/>
  <c r="E363" i="22"/>
  <c r="D363" i="22"/>
  <c r="C363" i="22"/>
  <c r="B363" i="22"/>
  <c r="B362" i="22"/>
  <c r="Z361" i="22"/>
  <c r="BA338" i="22" s="1"/>
  <c r="Y361" i="22"/>
  <c r="X361" i="22"/>
  <c r="W361" i="22"/>
  <c r="AX338" i="22" s="1"/>
  <c r="V361" i="22"/>
  <c r="U361" i="22"/>
  <c r="T361" i="22"/>
  <c r="AU338" i="22" s="1"/>
  <c r="S361" i="22"/>
  <c r="R361" i="22"/>
  <c r="Q361" i="22"/>
  <c r="AR338" i="22" s="1"/>
  <c r="P361" i="22"/>
  <c r="O361" i="22"/>
  <c r="N361" i="22"/>
  <c r="M361" i="22"/>
  <c r="L361" i="22"/>
  <c r="K361" i="22"/>
  <c r="J361" i="22"/>
  <c r="I361" i="22"/>
  <c r="H361" i="22"/>
  <c r="AI338" i="22" s="1"/>
  <c r="G361" i="22"/>
  <c r="F361" i="22"/>
  <c r="E361" i="22"/>
  <c r="D361" i="22"/>
  <c r="C361" i="22"/>
  <c r="B361" i="22"/>
  <c r="AC338" i="22" s="1"/>
  <c r="Z359" i="22"/>
  <c r="Z358" i="22"/>
  <c r="Z357" i="22"/>
  <c r="Z356" i="22"/>
  <c r="Z355" i="22"/>
  <c r="Z354" i="22"/>
  <c r="Z353" i="22"/>
  <c r="Z352" i="22"/>
  <c r="Z351" i="22"/>
  <c r="Z350" i="22"/>
  <c r="Z349" i="22"/>
  <c r="Z348" i="22"/>
  <c r="B345" i="22"/>
  <c r="B344" i="22"/>
  <c r="B343" i="22"/>
  <c r="B342" i="22"/>
  <c r="AC341" i="22"/>
  <c r="B341" i="22"/>
  <c r="B340" i="22"/>
  <c r="B339" i="22"/>
  <c r="AO338" i="22"/>
  <c r="AL338" i="22"/>
  <c r="AF338" i="22"/>
  <c r="B338" i="22"/>
  <c r="B337" i="22"/>
  <c r="B336" i="22"/>
  <c r="B335" i="22"/>
  <c r="B334" i="22"/>
  <c r="AC324" i="22"/>
  <c r="X364" i="22" s="1"/>
  <c r="B319" i="22"/>
  <c r="B315" i="22"/>
  <c r="AC329" i="22" s="1"/>
  <c r="Z303" i="22"/>
  <c r="Y303" i="22"/>
  <c r="X303" i="22"/>
  <c r="W303" i="22"/>
  <c r="V303" i="22"/>
  <c r="U303" i="22"/>
  <c r="T303" i="22"/>
  <c r="S303" i="22"/>
  <c r="R303" i="22"/>
  <c r="Q303" i="22"/>
  <c r="P303" i="22"/>
  <c r="O303" i="22"/>
  <c r="N303" i="22"/>
  <c r="M303" i="22"/>
  <c r="L303" i="22"/>
  <c r="K303" i="22"/>
  <c r="J303" i="22"/>
  <c r="I303" i="22"/>
  <c r="H303" i="22"/>
  <c r="G303" i="22"/>
  <c r="F303" i="22"/>
  <c r="E303" i="22"/>
  <c r="D303" i="22"/>
  <c r="C303" i="22"/>
  <c r="B303" i="22"/>
  <c r="Z301" i="22"/>
  <c r="Y301" i="22"/>
  <c r="X301" i="22"/>
  <c r="W301" i="22"/>
  <c r="V301" i="22"/>
  <c r="U301" i="22"/>
  <c r="T301" i="22"/>
  <c r="AU278" i="22" s="1"/>
  <c r="S301" i="22"/>
  <c r="R301" i="22"/>
  <c r="Q301" i="22"/>
  <c r="AR278" i="22" s="1"/>
  <c r="P301" i="22"/>
  <c r="O301" i="22"/>
  <c r="N301" i="22"/>
  <c r="AO278" i="22" s="1"/>
  <c r="M301" i="22"/>
  <c r="L301" i="22"/>
  <c r="K301" i="22"/>
  <c r="J301" i="22"/>
  <c r="I301" i="22"/>
  <c r="H301" i="22"/>
  <c r="G301" i="22"/>
  <c r="F301" i="22"/>
  <c r="E301" i="22"/>
  <c r="D301" i="22"/>
  <c r="C301" i="22"/>
  <c r="B301" i="22"/>
  <c r="Z299" i="22"/>
  <c r="Z298" i="22"/>
  <c r="Z297" i="22"/>
  <c r="Z296" i="22"/>
  <c r="Z295" i="22"/>
  <c r="Z294" i="22"/>
  <c r="Z293" i="22"/>
  <c r="Z292" i="22"/>
  <c r="Z291" i="22"/>
  <c r="Z290" i="22"/>
  <c r="Z289" i="22"/>
  <c r="Z288" i="22"/>
  <c r="B285" i="22"/>
  <c r="B284" i="22"/>
  <c r="B283" i="22"/>
  <c r="B282" i="22"/>
  <c r="B281" i="22"/>
  <c r="B280" i="22"/>
  <c r="B279" i="22"/>
  <c r="BA278" i="22"/>
  <c r="AL278" i="22"/>
  <c r="AI278" i="22"/>
  <c r="AF278" i="22"/>
  <c r="AC278" i="22"/>
  <c r="B278" i="22"/>
  <c r="B277" i="22"/>
  <c r="B276" i="22"/>
  <c r="B275" i="22"/>
  <c r="B274" i="22"/>
  <c r="AC264" i="22"/>
  <c r="V304" i="22" s="1"/>
  <c r="B259" i="22"/>
  <c r="B260" i="22"/>
  <c r="B255" i="22"/>
  <c r="AC269" i="22" s="1"/>
  <c r="B379" i="7"/>
  <c r="AY340" i="32"/>
  <c r="AZ340" i="32"/>
  <c r="BA340" i="32"/>
  <c r="B244" i="9"/>
  <c r="B378" i="9"/>
  <c r="AC383" i="9"/>
  <c r="AC323" i="9"/>
  <c r="AC263" i="9"/>
  <c r="G454" i="9"/>
  <c r="I154" i="37" s="1"/>
  <c r="I190" i="37" s="1"/>
  <c r="F454" i="9"/>
  <c r="E454" i="9"/>
  <c r="D454" i="9"/>
  <c r="C454" i="9"/>
  <c r="B454" i="9"/>
  <c r="Z424" i="9"/>
  <c r="Y424" i="9"/>
  <c r="X424" i="9"/>
  <c r="W424" i="9"/>
  <c r="V424" i="9"/>
  <c r="U424" i="9"/>
  <c r="T424" i="9"/>
  <c r="S424" i="9"/>
  <c r="R424" i="9"/>
  <c r="Q424" i="9"/>
  <c r="P424" i="9"/>
  <c r="O424" i="9"/>
  <c r="N424" i="9"/>
  <c r="M424" i="9"/>
  <c r="L424" i="9"/>
  <c r="K424" i="9"/>
  <c r="J424" i="9"/>
  <c r="I424" i="9"/>
  <c r="H424" i="9"/>
  <c r="G424" i="9"/>
  <c r="F424" i="9"/>
  <c r="E424" i="9"/>
  <c r="D424" i="9"/>
  <c r="C424" i="9"/>
  <c r="B424" i="9"/>
  <c r="Z422" i="9"/>
  <c r="BA399" i="9" s="1"/>
  <c r="Y422" i="9"/>
  <c r="X422" i="9"/>
  <c r="W422" i="9"/>
  <c r="AX399" i="9" s="1"/>
  <c r="V422" i="9"/>
  <c r="U422" i="9"/>
  <c r="T422" i="9"/>
  <c r="S422" i="9"/>
  <c r="R422" i="9"/>
  <c r="Q422" i="9"/>
  <c r="AR399" i="9" s="1"/>
  <c r="P422" i="9"/>
  <c r="O422" i="9"/>
  <c r="N422" i="9"/>
  <c r="AO399" i="9" s="1"/>
  <c r="M422" i="9"/>
  <c r="L422" i="9"/>
  <c r="K422" i="9"/>
  <c r="AL399" i="9" s="1"/>
  <c r="J422" i="9"/>
  <c r="I422" i="9"/>
  <c r="H422" i="9"/>
  <c r="G422" i="9"/>
  <c r="F422" i="9"/>
  <c r="E422" i="9"/>
  <c r="AF399" i="9" s="1"/>
  <c r="D422" i="9"/>
  <c r="C422" i="9"/>
  <c r="B422" i="9"/>
  <c r="AC399" i="9" s="1"/>
  <c r="Z420" i="9"/>
  <c r="Z419" i="9"/>
  <c r="Z418" i="9"/>
  <c r="Z417" i="9"/>
  <c r="Z416" i="9"/>
  <c r="Z415" i="9"/>
  <c r="Z414" i="9"/>
  <c r="Z413" i="9"/>
  <c r="Z412" i="9"/>
  <c r="Z411" i="9"/>
  <c r="Z410" i="9"/>
  <c r="Z409" i="9"/>
  <c r="B406" i="9"/>
  <c r="B405" i="9"/>
  <c r="B404" i="9"/>
  <c r="B403" i="9"/>
  <c r="B402" i="9"/>
  <c r="B401" i="9"/>
  <c r="B400" i="9"/>
  <c r="AU399" i="9"/>
  <c r="AI399" i="9"/>
  <c r="B399" i="9"/>
  <c r="B398" i="9"/>
  <c r="B397" i="9"/>
  <c r="B396" i="9"/>
  <c r="B395" i="9"/>
  <c r="AC384" i="9"/>
  <c r="B379" i="9"/>
  <c r="B375" i="9"/>
  <c r="AC389" i="9" s="1"/>
  <c r="Z363" i="9"/>
  <c r="Y363" i="9"/>
  <c r="X363" i="9"/>
  <c r="W363" i="9"/>
  <c r="V363" i="9"/>
  <c r="U363" i="9"/>
  <c r="T363" i="9"/>
  <c r="S363" i="9"/>
  <c r="R363" i="9"/>
  <c r="Q363" i="9"/>
  <c r="P363" i="9"/>
  <c r="O363" i="9"/>
  <c r="N363" i="9"/>
  <c r="M363" i="9"/>
  <c r="L363" i="9"/>
  <c r="K363" i="9"/>
  <c r="J363" i="9"/>
  <c r="I363" i="9"/>
  <c r="H363" i="9"/>
  <c r="G363" i="9"/>
  <c r="F363" i="9"/>
  <c r="E363" i="9"/>
  <c r="D363" i="9"/>
  <c r="C363" i="9"/>
  <c r="B363" i="9"/>
  <c r="Z361" i="9"/>
  <c r="BA338" i="9" s="1"/>
  <c r="Y361" i="9"/>
  <c r="X361" i="9"/>
  <c r="W361" i="9"/>
  <c r="AX338" i="9" s="1"/>
  <c r="V361" i="9"/>
  <c r="U361" i="9"/>
  <c r="T361" i="9"/>
  <c r="AU338" i="9" s="1"/>
  <c r="S361" i="9"/>
  <c r="R361" i="9"/>
  <c r="Q361" i="9"/>
  <c r="P361" i="9"/>
  <c r="O361" i="9"/>
  <c r="N361" i="9"/>
  <c r="AO338" i="9" s="1"/>
  <c r="M361" i="9"/>
  <c r="L361" i="9"/>
  <c r="K361" i="9"/>
  <c r="J361" i="9"/>
  <c r="I361" i="9"/>
  <c r="H361" i="9"/>
  <c r="AI338" i="9" s="1"/>
  <c r="G361" i="9"/>
  <c r="F361" i="9"/>
  <c r="E361" i="9"/>
  <c r="D361" i="9"/>
  <c r="C361" i="9"/>
  <c r="B361" i="9"/>
  <c r="AC338" i="9" s="1"/>
  <c r="Z359" i="9"/>
  <c r="Z358" i="9"/>
  <c r="Z357" i="9"/>
  <c r="Z356" i="9"/>
  <c r="Z355" i="9"/>
  <c r="Z354" i="9"/>
  <c r="Z353" i="9"/>
  <c r="Z352" i="9"/>
  <c r="Z351" i="9"/>
  <c r="Z350" i="9"/>
  <c r="Z349" i="9"/>
  <c r="Z348" i="9"/>
  <c r="B345" i="9"/>
  <c r="B344" i="9"/>
  <c r="B343" i="9"/>
  <c r="B342" i="9"/>
  <c r="B341" i="9"/>
  <c r="B340" i="9"/>
  <c r="B339" i="9"/>
  <c r="AR338" i="9"/>
  <c r="AL338" i="9"/>
  <c r="AF338" i="9"/>
  <c r="B338" i="9"/>
  <c r="B337" i="9"/>
  <c r="B336" i="9"/>
  <c r="B335" i="9"/>
  <c r="B334" i="9"/>
  <c r="AC324" i="9"/>
  <c r="B319" i="9"/>
  <c r="B315" i="9"/>
  <c r="AC329" i="9" s="1"/>
  <c r="Z303" i="9"/>
  <c r="Y303" i="9"/>
  <c r="AZ280" i="9" s="1"/>
  <c r="X303" i="9"/>
  <c r="AY280" i="9" s="1"/>
  <c r="W303" i="9"/>
  <c r="V303" i="9"/>
  <c r="AW280" i="9" s="1"/>
  <c r="U303" i="9"/>
  <c r="AV280" i="9" s="1"/>
  <c r="T303" i="9"/>
  <c r="AU280" i="9" s="1"/>
  <c r="S303" i="9"/>
  <c r="R303" i="9"/>
  <c r="Q303" i="9"/>
  <c r="AR280" i="9" s="1"/>
  <c r="P303" i="9"/>
  <c r="O303" i="9"/>
  <c r="AP280" i="9" s="1"/>
  <c r="N303" i="9"/>
  <c r="AO280" i="9" s="1"/>
  <c r="M303" i="9"/>
  <c r="AN280" i="9" s="1"/>
  <c r="L303" i="9"/>
  <c r="AM280" i="9" s="1"/>
  <c r="K303" i="9"/>
  <c r="J303" i="9"/>
  <c r="I303" i="9"/>
  <c r="H303" i="9"/>
  <c r="G303" i="9"/>
  <c r="AH280" i="9" s="1"/>
  <c r="F303" i="9"/>
  <c r="AG280" i="9" s="1"/>
  <c r="E303" i="9"/>
  <c r="AF280" i="9" s="1"/>
  <c r="D303" i="9"/>
  <c r="C303" i="9"/>
  <c r="B303" i="9"/>
  <c r="AC280" i="9" s="1"/>
  <c r="Z301" i="9"/>
  <c r="BA278" i="9" s="1"/>
  <c r="Y301" i="9"/>
  <c r="X301" i="9"/>
  <c r="W301" i="9"/>
  <c r="AX278" i="9" s="1"/>
  <c r="V301" i="9"/>
  <c r="U301" i="9"/>
  <c r="T301" i="9"/>
  <c r="AU278" i="9" s="1"/>
  <c r="S301" i="9"/>
  <c r="R301" i="9"/>
  <c r="Q301" i="9"/>
  <c r="P301" i="9"/>
  <c r="O301" i="9"/>
  <c r="N301" i="9"/>
  <c r="M301" i="9"/>
  <c r="L301" i="9"/>
  <c r="K301" i="9"/>
  <c r="AL278" i="9" s="1"/>
  <c r="J301" i="9"/>
  <c r="I301" i="9"/>
  <c r="H301" i="9"/>
  <c r="AI278" i="9" s="1"/>
  <c r="G301" i="9"/>
  <c r="F301" i="9"/>
  <c r="E301" i="9"/>
  <c r="AF278" i="9" s="1"/>
  <c r="D301" i="9"/>
  <c r="C301" i="9"/>
  <c r="B301" i="9"/>
  <c r="AC278" i="9" s="1"/>
  <c r="Z299" i="9"/>
  <c r="Z298" i="9"/>
  <c r="Z297" i="9"/>
  <c r="Z296" i="9"/>
  <c r="Z295" i="9"/>
  <c r="Z294" i="9"/>
  <c r="Z293" i="9"/>
  <c r="Z292" i="9"/>
  <c r="Z291" i="9"/>
  <c r="Z290" i="9"/>
  <c r="Z289" i="9"/>
  <c r="Z288" i="9"/>
  <c r="B285" i="9"/>
  <c r="B284" i="9"/>
  <c r="B283" i="9"/>
  <c r="B282" i="9"/>
  <c r="B281" i="9"/>
  <c r="AX280" i="9"/>
  <c r="AQ280" i="9"/>
  <c r="AI280" i="9"/>
  <c r="AE280" i="9"/>
  <c r="B280" i="9"/>
  <c r="B279" i="9"/>
  <c r="AR278" i="9"/>
  <c r="B278" i="9"/>
  <c r="B277" i="9"/>
  <c r="B276" i="9"/>
  <c r="B275" i="9"/>
  <c r="B274" i="9"/>
  <c r="AC264" i="9"/>
  <c r="AR282" i="9" s="1"/>
  <c r="B259" i="9"/>
  <c r="B255" i="9"/>
  <c r="AC269" i="9" s="1"/>
  <c r="B378" i="32"/>
  <c r="B318" i="32"/>
  <c r="B258" i="32"/>
  <c r="G454" i="32"/>
  <c r="I154" i="43" s="1"/>
  <c r="F454" i="32"/>
  <c r="E454" i="32"/>
  <c r="D454" i="32"/>
  <c r="C454" i="32"/>
  <c r="B454" i="32"/>
  <c r="G443" i="32"/>
  <c r="G457" i="32" s="1"/>
  <c r="G475" i="32" s="1"/>
  <c r="F443" i="32"/>
  <c r="F457" i="32" s="1"/>
  <c r="F475" i="32" s="1"/>
  <c r="E443" i="32"/>
  <c r="E457" i="32" s="1"/>
  <c r="E475" i="32" s="1"/>
  <c r="Z424" i="32"/>
  <c r="BA401" i="32" s="1"/>
  <c r="Y424" i="32"/>
  <c r="AZ401" i="32" s="1"/>
  <c r="X424" i="32"/>
  <c r="W424" i="32"/>
  <c r="AX401" i="32" s="1"/>
  <c r="V424" i="32"/>
  <c r="AW401" i="32" s="1"/>
  <c r="U424" i="32"/>
  <c r="T424" i="32"/>
  <c r="AU401" i="32" s="1"/>
  <c r="S424" i="32"/>
  <c r="AT401" i="32" s="1"/>
  <c r="R424" i="32"/>
  <c r="AS401" i="32" s="1"/>
  <c r="Q424" i="32"/>
  <c r="AR401" i="32" s="1"/>
  <c r="P424" i="32"/>
  <c r="O424" i="32"/>
  <c r="AP401" i="32" s="1"/>
  <c r="N424" i="32"/>
  <c r="AO401" i="32" s="1"/>
  <c r="M424" i="32"/>
  <c r="AN401" i="32" s="1"/>
  <c r="L424" i="32"/>
  <c r="AM401" i="32" s="1"/>
  <c r="K424" i="32"/>
  <c r="AL401" i="32" s="1"/>
  <c r="J424" i="32"/>
  <c r="AK401" i="32" s="1"/>
  <c r="I424" i="32"/>
  <c r="AJ401" i="32" s="1"/>
  <c r="H424" i="32"/>
  <c r="AI401" i="32" s="1"/>
  <c r="G424" i="32"/>
  <c r="AH401" i="32" s="1"/>
  <c r="F424" i="32"/>
  <c r="AG401" i="32" s="1"/>
  <c r="E424" i="32"/>
  <c r="AF401" i="32" s="1"/>
  <c r="D424" i="32"/>
  <c r="C424" i="32"/>
  <c r="AD401" i="32" s="1"/>
  <c r="B424" i="32"/>
  <c r="AC401" i="32" s="1"/>
  <c r="Z422" i="32"/>
  <c r="BA399" i="32" s="1"/>
  <c r="Y422" i="32"/>
  <c r="X422" i="32"/>
  <c r="W422" i="32"/>
  <c r="AX399" i="32" s="1"/>
  <c r="V422" i="32"/>
  <c r="U422" i="32"/>
  <c r="T422" i="32"/>
  <c r="AU399" i="32" s="1"/>
  <c r="S422" i="32"/>
  <c r="R422" i="32"/>
  <c r="Q422" i="32"/>
  <c r="P422" i="32"/>
  <c r="O422" i="32"/>
  <c r="N422" i="32"/>
  <c r="AO399" i="32" s="1"/>
  <c r="M422" i="32"/>
  <c r="L422" i="32"/>
  <c r="K422" i="32"/>
  <c r="J422" i="32"/>
  <c r="I422" i="32"/>
  <c r="H422" i="32"/>
  <c r="AI399" i="32" s="1"/>
  <c r="G422" i="32"/>
  <c r="F422" i="32"/>
  <c r="E422" i="32"/>
  <c r="AF399" i="32" s="1"/>
  <c r="D422" i="32"/>
  <c r="C422" i="32"/>
  <c r="B422" i="32"/>
  <c r="AC399" i="32" s="1"/>
  <c r="Z420" i="32"/>
  <c r="Z419" i="32"/>
  <c r="Z418" i="32"/>
  <c r="Z417" i="32"/>
  <c r="Z416" i="32"/>
  <c r="Z415" i="32"/>
  <c r="Z414" i="32"/>
  <c r="Z413" i="32"/>
  <c r="Z412" i="32"/>
  <c r="Z411" i="32"/>
  <c r="Z410" i="32"/>
  <c r="Z409" i="32"/>
  <c r="B406" i="32"/>
  <c r="B405" i="32"/>
  <c r="B404" i="32"/>
  <c r="B403" i="32"/>
  <c r="B402" i="32"/>
  <c r="B401" i="32"/>
  <c r="B400" i="32"/>
  <c r="B399" i="32"/>
  <c r="B398" i="32"/>
  <c r="B397" i="32"/>
  <c r="B396" i="32"/>
  <c r="B395" i="32"/>
  <c r="AC384" i="32"/>
  <c r="AW403" i="32" s="1"/>
  <c r="B379" i="32"/>
  <c r="B375" i="32"/>
  <c r="AC389" i="32" s="1"/>
  <c r="Z363" i="32"/>
  <c r="Y363" i="32"/>
  <c r="X363" i="32"/>
  <c r="W363" i="32"/>
  <c r="V363" i="32"/>
  <c r="U363" i="32"/>
  <c r="AV340" i="32" s="1"/>
  <c r="T363" i="32"/>
  <c r="AU340" i="32" s="1"/>
  <c r="S363" i="32"/>
  <c r="AT340" i="32" s="1"/>
  <c r="R363" i="32"/>
  <c r="Q363" i="32"/>
  <c r="AR340" i="32" s="1"/>
  <c r="P363" i="32"/>
  <c r="AQ340" i="32" s="1"/>
  <c r="O363" i="32"/>
  <c r="AP340" i="32" s="1"/>
  <c r="N363" i="32"/>
  <c r="M363" i="32"/>
  <c r="L363" i="32"/>
  <c r="AM340" i="32" s="1"/>
  <c r="K363" i="32"/>
  <c r="AL340" i="32" s="1"/>
  <c r="J363" i="32"/>
  <c r="I363" i="32"/>
  <c r="AJ340" i="32" s="1"/>
  <c r="H363" i="32"/>
  <c r="AI340" i="32" s="1"/>
  <c r="G363" i="32"/>
  <c r="AH340" i="32" s="1"/>
  <c r="F363" i="32"/>
  <c r="E363" i="32"/>
  <c r="AF340" i="32" s="1"/>
  <c r="D363" i="32"/>
  <c r="AE340" i="32" s="1"/>
  <c r="C363" i="32"/>
  <c r="AD340" i="32" s="1"/>
  <c r="B363" i="32"/>
  <c r="Z361" i="32"/>
  <c r="BA338" i="32" s="1"/>
  <c r="Y361" i="32"/>
  <c r="X361" i="32"/>
  <c r="W361" i="32"/>
  <c r="V361" i="32"/>
  <c r="U361" i="32"/>
  <c r="T361" i="32"/>
  <c r="S361" i="32"/>
  <c r="R361" i="32"/>
  <c r="Q361" i="32"/>
  <c r="AR338" i="32" s="1"/>
  <c r="P361" i="32"/>
  <c r="O361" i="32"/>
  <c r="N361" i="32"/>
  <c r="M361" i="32"/>
  <c r="L361" i="32"/>
  <c r="K361" i="32"/>
  <c r="AL338" i="32" s="1"/>
  <c r="J361" i="32"/>
  <c r="I361" i="32"/>
  <c r="H361" i="32"/>
  <c r="AI338" i="32" s="1"/>
  <c r="G361" i="32"/>
  <c r="F361" i="32"/>
  <c r="E361" i="32"/>
  <c r="AF338" i="32" s="1"/>
  <c r="D361" i="32"/>
  <c r="C361" i="32"/>
  <c r="B361" i="32"/>
  <c r="AC338" i="32" s="1"/>
  <c r="Z359" i="32"/>
  <c r="Z358" i="32"/>
  <c r="Z357" i="32"/>
  <c r="Z356" i="32"/>
  <c r="Z355" i="32"/>
  <c r="Z354" i="32"/>
  <c r="Z353" i="32"/>
  <c r="Z352" i="32"/>
  <c r="Z351" i="32"/>
  <c r="Z350" i="32"/>
  <c r="Z349" i="32"/>
  <c r="Z348" i="32"/>
  <c r="B345" i="32"/>
  <c r="B344" i="32"/>
  <c r="B343" i="32"/>
  <c r="B342" i="32"/>
  <c r="B341" i="32"/>
  <c r="B340" i="32"/>
  <c r="B339" i="32"/>
  <c r="B338" i="32"/>
  <c r="B337" i="32"/>
  <c r="B336" i="32"/>
  <c r="B335" i="32"/>
  <c r="B334" i="32"/>
  <c r="AC324" i="32"/>
  <c r="AG342" i="32" s="1"/>
  <c r="B319" i="32"/>
  <c r="B315" i="32"/>
  <c r="AC329" i="32" s="1"/>
  <c r="Z303" i="32"/>
  <c r="Y303" i="32"/>
  <c r="AZ280" i="32" s="1"/>
  <c r="X303" i="32"/>
  <c r="W303" i="32"/>
  <c r="V303" i="32"/>
  <c r="AW280" i="32" s="1"/>
  <c r="U303" i="32"/>
  <c r="AV280" i="32" s="1"/>
  <c r="T303" i="32"/>
  <c r="S303" i="32"/>
  <c r="R303" i="32"/>
  <c r="Q303" i="32"/>
  <c r="AR280" i="32" s="1"/>
  <c r="P303" i="32"/>
  <c r="O303" i="32"/>
  <c r="N303" i="32"/>
  <c r="AO280" i="32" s="1"/>
  <c r="M303" i="32"/>
  <c r="AN280" i="32" s="1"/>
  <c r="L303" i="32"/>
  <c r="K303" i="32"/>
  <c r="AL280" i="32" s="1"/>
  <c r="J303" i="32"/>
  <c r="I303" i="32"/>
  <c r="AJ280" i="32" s="1"/>
  <c r="H303" i="32"/>
  <c r="AI280" i="32" s="1"/>
  <c r="G303" i="32"/>
  <c r="F303" i="32"/>
  <c r="AG280" i="32" s="1"/>
  <c r="E303" i="32"/>
  <c r="AF280" i="32" s="1"/>
  <c r="D303" i="32"/>
  <c r="C303" i="32"/>
  <c r="AD280" i="32" s="1"/>
  <c r="B303" i="32"/>
  <c r="Z301" i="32"/>
  <c r="BA278" i="32" s="1"/>
  <c r="Y301" i="32"/>
  <c r="X301" i="32"/>
  <c r="W301" i="32"/>
  <c r="AX278" i="32" s="1"/>
  <c r="V301" i="32"/>
  <c r="U301" i="32"/>
  <c r="T301" i="32"/>
  <c r="AU278" i="32" s="1"/>
  <c r="S301" i="32"/>
  <c r="R301" i="32"/>
  <c r="Q301" i="32"/>
  <c r="P301" i="32"/>
  <c r="O301" i="32"/>
  <c r="N301" i="32"/>
  <c r="M301" i="32"/>
  <c r="L301" i="32"/>
  <c r="K301" i="32"/>
  <c r="AL278" i="32" s="1"/>
  <c r="J301" i="32"/>
  <c r="I301" i="32"/>
  <c r="H301" i="32"/>
  <c r="G301" i="32"/>
  <c r="F301" i="32"/>
  <c r="E301" i="32"/>
  <c r="D301" i="32"/>
  <c r="C301" i="32"/>
  <c r="B301" i="32"/>
  <c r="AC278" i="32" s="1"/>
  <c r="Z300" i="32"/>
  <c r="BA277" i="32" s="1"/>
  <c r="H438" i="32" s="1"/>
  <c r="Z299" i="32"/>
  <c r="Z298" i="32"/>
  <c r="Z297" i="32"/>
  <c r="Z296" i="32"/>
  <c r="Z295" i="32"/>
  <c r="Z294" i="32"/>
  <c r="Z293" i="32"/>
  <c r="Z292" i="32"/>
  <c r="Z291" i="32"/>
  <c r="Z290" i="32"/>
  <c r="Z289" i="32"/>
  <c r="Z288" i="32"/>
  <c r="B285" i="32"/>
  <c r="B284" i="32"/>
  <c r="B283" i="32"/>
  <c r="B282" i="32"/>
  <c r="B281" i="32"/>
  <c r="AU280" i="32"/>
  <c r="AM280" i="32"/>
  <c r="AE280" i="32"/>
  <c r="B280" i="32"/>
  <c r="B279" i="32"/>
  <c r="AR278" i="32"/>
  <c r="AI278" i="32"/>
  <c r="AF278" i="32"/>
  <c r="B278" i="32"/>
  <c r="B277" i="32"/>
  <c r="B276" i="32"/>
  <c r="B275" i="32"/>
  <c r="B274" i="32"/>
  <c r="AC264" i="32"/>
  <c r="AK282" i="32" s="1"/>
  <c r="B259" i="32"/>
  <c r="B255" i="32"/>
  <c r="AC269" i="32" s="1"/>
  <c r="B378" i="8"/>
  <c r="B318" i="8"/>
  <c r="AC382" i="8"/>
  <c r="AC383" i="8" s="1"/>
  <c r="AC323" i="8"/>
  <c r="AC262" i="8"/>
  <c r="AC263" i="8" s="1"/>
  <c r="G454" i="8"/>
  <c r="F454" i="8"/>
  <c r="E454" i="8"/>
  <c r="D454" i="8"/>
  <c r="C454" i="8"/>
  <c r="B454" i="8"/>
  <c r="AC384" i="8"/>
  <c r="B379" i="8"/>
  <c r="B375" i="8"/>
  <c r="AC389" i="8" s="1"/>
  <c r="AC324" i="8"/>
  <c r="B319" i="8"/>
  <c r="B315" i="8"/>
  <c r="AC329" i="8" s="1"/>
  <c r="AC264" i="8"/>
  <c r="B259" i="8"/>
  <c r="B255" i="8"/>
  <c r="AC269" i="8" s="1"/>
  <c r="C454" i="7"/>
  <c r="D454" i="7"/>
  <c r="E454" i="7"/>
  <c r="F454" i="7"/>
  <c r="G454" i="7"/>
  <c r="B454" i="7"/>
  <c r="B259" i="7"/>
  <c r="B318" i="7"/>
  <c r="AC383" i="7"/>
  <c r="AC384" i="7"/>
  <c r="B375" i="7"/>
  <c r="AC389" i="7" s="1"/>
  <c r="B315" i="7"/>
  <c r="AC329" i="7" s="1"/>
  <c r="B319" i="7"/>
  <c r="AC324" i="7"/>
  <c r="AC323" i="7"/>
  <c r="B255" i="7"/>
  <c r="AC269" i="7" s="1"/>
  <c r="AC264" i="7"/>
  <c r="X425" i="26" l="1"/>
  <c r="AD280" i="34"/>
  <c r="AL280" i="34"/>
  <c r="AJ340" i="34"/>
  <c r="AR340" i="34"/>
  <c r="J364" i="26"/>
  <c r="AK340" i="26" s="1"/>
  <c r="AN280" i="34"/>
  <c r="AD340" i="34"/>
  <c r="AL340" i="34"/>
  <c r="AT340" i="34"/>
  <c r="R364" i="26"/>
  <c r="Z364" i="26"/>
  <c r="D304" i="26"/>
  <c r="AE280" i="26" s="1"/>
  <c r="AU403" i="26"/>
  <c r="L304" i="26"/>
  <c r="AM280" i="26" s="1"/>
  <c r="H425" i="26"/>
  <c r="AG340" i="24"/>
  <c r="AU401" i="24"/>
  <c r="AO342" i="24"/>
  <c r="AC280" i="24"/>
  <c r="AK280" i="24"/>
  <c r="AO401" i="24"/>
  <c r="AW401" i="24"/>
  <c r="BA282" i="24"/>
  <c r="AI340" i="24"/>
  <c r="AQ340" i="24"/>
  <c r="AG280" i="24"/>
  <c r="AO280" i="24"/>
  <c r="AW280" i="24"/>
  <c r="AE340" i="24"/>
  <c r="AM340" i="24"/>
  <c r="AU340" i="24"/>
  <c r="AC401" i="24"/>
  <c r="BA401" i="24"/>
  <c r="AK282" i="24"/>
  <c r="AS280" i="24"/>
  <c r="BA280" i="24"/>
  <c r="AJ340" i="24"/>
  <c r="AR340" i="24"/>
  <c r="AE280" i="24"/>
  <c r="AM280" i="24"/>
  <c r="AU280" i="24"/>
  <c r="B380" i="24"/>
  <c r="O426" i="24" s="1"/>
  <c r="AP400" i="24" s="1"/>
  <c r="AR280" i="24"/>
  <c r="AF401" i="24"/>
  <c r="AN401" i="24"/>
  <c r="AL280" i="24"/>
  <c r="B260" i="24"/>
  <c r="V305" i="24" s="1"/>
  <c r="AW279" i="24" s="1"/>
  <c r="B260" i="27"/>
  <c r="U304" i="27"/>
  <c r="O364" i="27"/>
  <c r="D304" i="27"/>
  <c r="Y304" i="27"/>
  <c r="R364" i="27"/>
  <c r="AS340" i="27" s="1"/>
  <c r="S364" i="27"/>
  <c r="I304" i="27"/>
  <c r="B364" i="27"/>
  <c r="W364" i="27"/>
  <c r="AX340" i="27" s="1"/>
  <c r="L304" i="27"/>
  <c r="C364" i="27"/>
  <c r="Z364" i="27"/>
  <c r="BA340" i="27" s="1"/>
  <c r="BA276" i="27"/>
  <c r="Q304" i="27"/>
  <c r="J364" i="27"/>
  <c r="AK340" i="27" s="1"/>
  <c r="T304" i="27"/>
  <c r="K364" i="27"/>
  <c r="BA342" i="34"/>
  <c r="AE280" i="34"/>
  <c r="AM280" i="34"/>
  <c r="AU280" i="34"/>
  <c r="AC340" i="34"/>
  <c r="AK340" i="34"/>
  <c r="AS340" i="34"/>
  <c r="AI401" i="34"/>
  <c r="AQ401" i="34"/>
  <c r="AY401" i="34"/>
  <c r="AC395" i="34"/>
  <c r="J435" i="34" s="1"/>
  <c r="J449" i="34" s="1"/>
  <c r="J467" i="34" s="1"/>
  <c r="C56" i="40" s="1"/>
  <c r="B380" i="34"/>
  <c r="T426" i="34" s="1"/>
  <c r="AU400" i="34" s="1"/>
  <c r="AC403" i="34"/>
  <c r="AO282" i="34"/>
  <c r="AZ403" i="34"/>
  <c r="AD342" i="34"/>
  <c r="AR401" i="33"/>
  <c r="AM340" i="33"/>
  <c r="AH401" i="33"/>
  <c r="AX401" i="33"/>
  <c r="AI401" i="33"/>
  <c r="AO280" i="33"/>
  <c r="AF401" i="33"/>
  <c r="AK280" i="33"/>
  <c r="B380" i="23"/>
  <c r="L426" i="23" s="1"/>
  <c r="AM400" i="23" s="1"/>
  <c r="W304" i="23"/>
  <c r="AX280" i="23" s="1"/>
  <c r="V364" i="23"/>
  <c r="X304" i="23"/>
  <c r="C425" i="23"/>
  <c r="E364" i="23"/>
  <c r="K425" i="23"/>
  <c r="G304" i="23"/>
  <c r="AH280" i="23" s="1"/>
  <c r="B320" i="23"/>
  <c r="Z365" i="23" s="1"/>
  <c r="BA339" i="23" s="1"/>
  <c r="H304" i="23"/>
  <c r="AI280" i="23" s="1"/>
  <c r="O304" i="23"/>
  <c r="AP280" i="23" s="1"/>
  <c r="N364" i="23"/>
  <c r="B320" i="22"/>
  <c r="K364" i="22"/>
  <c r="AJ280" i="24"/>
  <c r="B380" i="22"/>
  <c r="AJ280" i="33"/>
  <c r="AR280" i="33"/>
  <c r="AZ280" i="33"/>
  <c r="AD280" i="24"/>
  <c r="AT280" i="24"/>
  <c r="E304" i="22"/>
  <c r="AF282" i="22"/>
  <c r="M304" i="22"/>
  <c r="AL280" i="33"/>
  <c r="AT280" i="33"/>
  <c r="AV282" i="22"/>
  <c r="U304" i="22"/>
  <c r="AV280" i="22" s="1"/>
  <c r="AH340" i="33"/>
  <c r="AP340" i="33"/>
  <c r="BA397" i="22"/>
  <c r="J437" i="22" s="1"/>
  <c r="J451" i="22" s="1"/>
  <c r="J469" i="22" s="1"/>
  <c r="E42" i="39" s="1"/>
  <c r="AV280" i="33"/>
  <c r="AH401" i="24"/>
  <c r="AP401" i="24"/>
  <c r="AQ280" i="28"/>
  <c r="AY280" i="28"/>
  <c r="AU401" i="28"/>
  <c r="AG340" i="28"/>
  <c r="AC340" i="28"/>
  <c r="AK340" i="28"/>
  <c r="AS340" i="28"/>
  <c r="AE280" i="28"/>
  <c r="AN280" i="28"/>
  <c r="AN340" i="28"/>
  <c r="AV340" i="28"/>
  <c r="AI401" i="28"/>
  <c r="AQ401" i="28"/>
  <c r="AY401" i="28"/>
  <c r="AM280" i="28"/>
  <c r="AU280" i="28"/>
  <c r="AP342" i="28"/>
  <c r="AP403" i="28"/>
  <c r="C366" i="33"/>
  <c r="K366" i="33"/>
  <c r="S366" i="33"/>
  <c r="AC401" i="33"/>
  <c r="AG282" i="33"/>
  <c r="AL338" i="33"/>
  <c r="B260" i="33"/>
  <c r="K305" i="33" s="1"/>
  <c r="AL279" i="33" s="1"/>
  <c r="BA276" i="33"/>
  <c r="H437" i="33" s="1"/>
  <c r="H451" i="33" s="1"/>
  <c r="H469" i="33" s="1"/>
  <c r="E54" i="39" s="1"/>
  <c r="AO282" i="33"/>
  <c r="AW282" i="33"/>
  <c r="AV342" i="33"/>
  <c r="AC280" i="33"/>
  <c r="AS280" i="33"/>
  <c r="BA280" i="33"/>
  <c r="AI340" i="33"/>
  <c r="AQ340" i="33"/>
  <c r="AC269" i="33"/>
  <c r="D366" i="33"/>
  <c r="AF280" i="33"/>
  <c r="AL340" i="33"/>
  <c r="AT340" i="33"/>
  <c r="B380" i="33"/>
  <c r="T426" i="33" s="1"/>
  <c r="AU400" i="33" s="1"/>
  <c r="AJ401" i="33"/>
  <c r="AZ401" i="33"/>
  <c r="G472" i="32"/>
  <c r="AN403" i="28"/>
  <c r="AG280" i="28"/>
  <c r="AW280" i="28"/>
  <c r="AM403" i="28"/>
  <c r="AO280" i="28"/>
  <c r="AI280" i="28"/>
  <c r="AO340" i="28"/>
  <c r="AE401" i="28"/>
  <c r="AM401" i="28"/>
  <c r="B260" i="28"/>
  <c r="S305" i="28" s="1"/>
  <c r="AT279" i="28" s="1"/>
  <c r="AJ280" i="28"/>
  <c r="AR280" i="28"/>
  <c r="AZ280" i="28"/>
  <c r="AH340" i="28"/>
  <c r="AP340" i="28"/>
  <c r="AF401" i="28"/>
  <c r="AN401" i="28"/>
  <c r="AV401" i="28"/>
  <c r="BA336" i="28"/>
  <c r="I437" i="28" s="1"/>
  <c r="I451" i="28" s="1"/>
  <c r="I469" i="28" s="1"/>
  <c r="E13" i="40" s="1"/>
  <c r="AF403" i="28"/>
  <c r="AR282" i="28"/>
  <c r="AW342" i="28"/>
  <c r="AH280" i="28"/>
  <c r="AP280" i="28"/>
  <c r="AX280" i="28"/>
  <c r="AU282" i="28"/>
  <c r="AC342" i="28"/>
  <c r="AR342" i="28"/>
  <c r="AU403" i="28"/>
  <c r="AG342" i="28"/>
  <c r="B380" i="28"/>
  <c r="S426" i="28" s="1"/>
  <c r="AT400" i="28" s="1"/>
  <c r="AS342" i="28"/>
  <c r="B320" i="28"/>
  <c r="D365" i="28" s="1"/>
  <c r="AE339" i="28" s="1"/>
  <c r="BA276" i="28"/>
  <c r="H437" i="28" s="1"/>
  <c r="H451" i="28" s="1"/>
  <c r="H469" i="28" s="1"/>
  <c r="E12" i="40" s="1"/>
  <c r="AR278" i="28"/>
  <c r="AF280" i="28"/>
  <c r="AV280" i="28"/>
  <c r="AJ401" i="28"/>
  <c r="AR401" i="28"/>
  <c r="AZ401" i="28"/>
  <c r="AE340" i="28"/>
  <c r="AM340" i="28"/>
  <c r="AU340" i="28"/>
  <c r="AT342" i="34"/>
  <c r="AS403" i="34"/>
  <c r="AC280" i="34"/>
  <c r="AK280" i="34"/>
  <c r="AS280" i="34"/>
  <c r="BA280" i="34"/>
  <c r="AI340" i="34"/>
  <c r="AQ340" i="34"/>
  <c r="AD282" i="34"/>
  <c r="AC342" i="34"/>
  <c r="AV342" i="34"/>
  <c r="AU403" i="34"/>
  <c r="AH401" i="34"/>
  <c r="AP401" i="34"/>
  <c r="B260" i="34"/>
  <c r="AW282" i="34"/>
  <c r="BA276" i="34"/>
  <c r="B320" i="34"/>
  <c r="E365" i="34" s="1"/>
  <c r="AF339" i="34" s="1"/>
  <c r="AF342" i="34"/>
  <c r="AE403" i="34"/>
  <c r="BA403" i="34"/>
  <c r="AK342" i="34"/>
  <c r="AJ403" i="34"/>
  <c r="AM340" i="34"/>
  <c r="AC401" i="34"/>
  <c r="AS401" i="34"/>
  <c r="AL342" i="34"/>
  <c r="AK403" i="34"/>
  <c r="AH280" i="34"/>
  <c r="AP280" i="34"/>
  <c r="AL401" i="34"/>
  <c r="AN342" i="34"/>
  <c r="AM403" i="34"/>
  <c r="AG340" i="34"/>
  <c r="AO340" i="34"/>
  <c r="AS342" i="34"/>
  <c r="AR403" i="34"/>
  <c r="AF401" i="34"/>
  <c r="F304" i="27"/>
  <c r="N304" i="27"/>
  <c r="V304" i="27"/>
  <c r="D364" i="27"/>
  <c r="L364" i="27"/>
  <c r="T364" i="27"/>
  <c r="B425" i="27"/>
  <c r="AC401" i="27" s="1"/>
  <c r="J425" i="27"/>
  <c r="AK401" i="27" s="1"/>
  <c r="R425" i="27"/>
  <c r="AS401" i="27" s="1"/>
  <c r="Z425" i="27"/>
  <c r="BA401" i="27" s="1"/>
  <c r="B320" i="27"/>
  <c r="W365" i="27" s="1"/>
  <c r="AX339" i="27" s="1"/>
  <c r="G304" i="27"/>
  <c r="O304" i="27"/>
  <c r="W304" i="27"/>
  <c r="AX280" i="27" s="1"/>
  <c r="E364" i="27"/>
  <c r="M364" i="27"/>
  <c r="AN340" i="27" s="1"/>
  <c r="U364" i="27"/>
  <c r="AV340" i="27" s="1"/>
  <c r="C425" i="27"/>
  <c r="K425" i="27"/>
  <c r="AL401" i="27" s="1"/>
  <c r="S425" i="27"/>
  <c r="I425" i="27"/>
  <c r="H304" i="27"/>
  <c r="P304" i="27"/>
  <c r="X304" i="27"/>
  <c r="AY280" i="27" s="1"/>
  <c r="F364" i="27"/>
  <c r="N364" i="27"/>
  <c r="V364" i="27"/>
  <c r="AW340" i="27" s="1"/>
  <c r="D425" i="27"/>
  <c r="AE401" i="27" s="1"/>
  <c r="L425" i="27"/>
  <c r="AM401" i="27" s="1"/>
  <c r="T425" i="27"/>
  <c r="AU401" i="27" s="1"/>
  <c r="E425" i="27"/>
  <c r="AF401" i="27" s="1"/>
  <c r="M425" i="27"/>
  <c r="AN401" i="27" s="1"/>
  <c r="U425" i="27"/>
  <c r="AV401" i="27" s="1"/>
  <c r="B304" i="27"/>
  <c r="J304" i="27"/>
  <c r="R304" i="27"/>
  <c r="AS280" i="27" s="1"/>
  <c r="Z304" i="27"/>
  <c r="H364" i="27"/>
  <c r="AI340" i="27" s="1"/>
  <c r="P364" i="27"/>
  <c r="X364" i="27"/>
  <c r="AY340" i="27" s="1"/>
  <c r="F425" i="27"/>
  <c r="N425" i="27"/>
  <c r="V425" i="27"/>
  <c r="Y425" i="27"/>
  <c r="AZ401" i="27" s="1"/>
  <c r="C304" i="27"/>
  <c r="K304" i="27"/>
  <c r="AL280" i="27" s="1"/>
  <c r="I364" i="27"/>
  <c r="Q364" i="27"/>
  <c r="G425" i="27"/>
  <c r="AH401" i="27" s="1"/>
  <c r="O425" i="27"/>
  <c r="AP401" i="27" s="1"/>
  <c r="W425" i="27"/>
  <c r="AX401" i="27" s="1"/>
  <c r="Q425" i="27"/>
  <c r="H425" i="27"/>
  <c r="P425" i="27"/>
  <c r="X425" i="27"/>
  <c r="AE282" i="26"/>
  <c r="AZ403" i="26"/>
  <c r="E304" i="26"/>
  <c r="AF280" i="26" s="1"/>
  <c r="M304" i="26"/>
  <c r="AN280" i="26" s="1"/>
  <c r="U304" i="26"/>
  <c r="AV280" i="26" s="1"/>
  <c r="C364" i="26"/>
  <c r="K364" i="26"/>
  <c r="AL340" i="26" s="1"/>
  <c r="S364" i="26"/>
  <c r="AT340" i="26" s="1"/>
  <c r="B380" i="26"/>
  <c r="T426" i="26" s="1"/>
  <c r="AU400" i="26" s="1"/>
  <c r="I425" i="26"/>
  <c r="Q425" i="26"/>
  <c r="Y425" i="26"/>
  <c r="AL282" i="26"/>
  <c r="B320" i="26"/>
  <c r="S365" i="26" s="1"/>
  <c r="AT339" i="26" s="1"/>
  <c r="AV282" i="26"/>
  <c r="F304" i="26"/>
  <c r="AG280" i="26" s="1"/>
  <c r="N304" i="26"/>
  <c r="V304" i="26"/>
  <c r="AW280" i="26" s="1"/>
  <c r="D364" i="26"/>
  <c r="AE340" i="26" s="1"/>
  <c r="L364" i="26"/>
  <c r="AM340" i="26" s="1"/>
  <c r="T364" i="26"/>
  <c r="AU340" i="26" s="1"/>
  <c r="B425" i="26"/>
  <c r="AC401" i="26" s="1"/>
  <c r="J425" i="26"/>
  <c r="AK401" i="26" s="1"/>
  <c r="R425" i="26"/>
  <c r="Z425" i="26"/>
  <c r="BA401" i="26" s="1"/>
  <c r="AF340" i="28"/>
  <c r="AW282" i="26"/>
  <c r="AM282" i="26"/>
  <c r="AF342" i="26"/>
  <c r="G304" i="26"/>
  <c r="AH280" i="26" s="1"/>
  <c r="O304" i="26"/>
  <c r="AP280" i="26" s="1"/>
  <c r="W304" i="26"/>
  <c r="AX280" i="26" s="1"/>
  <c r="E364" i="26"/>
  <c r="M364" i="26"/>
  <c r="U364" i="26"/>
  <c r="AV340" i="26" s="1"/>
  <c r="C425" i="26"/>
  <c r="K425" i="26"/>
  <c r="S425" i="26"/>
  <c r="AQ282" i="26"/>
  <c r="AT403" i="26"/>
  <c r="H304" i="26"/>
  <c r="P304" i="26"/>
  <c r="X304" i="26"/>
  <c r="AY280" i="26" s="1"/>
  <c r="F364" i="26"/>
  <c r="AG340" i="26" s="1"/>
  <c r="N364" i="26"/>
  <c r="AO340" i="26" s="1"/>
  <c r="V364" i="26"/>
  <c r="AW340" i="26" s="1"/>
  <c r="D425" i="26"/>
  <c r="AE401" i="26" s="1"/>
  <c r="L425" i="26"/>
  <c r="AM401" i="26" s="1"/>
  <c r="T425" i="26"/>
  <c r="AU401" i="26" s="1"/>
  <c r="AO280" i="26"/>
  <c r="AS282" i="26"/>
  <c r="AD403" i="26"/>
  <c r="I304" i="26"/>
  <c r="AJ280" i="26" s="1"/>
  <c r="Q304" i="26"/>
  <c r="AR280" i="26" s="1"/>
  <c r="Y304" i="26"/>
  <c r="AZ280" i="26" s="1"/>
  <c r="G364" i="26"/>
  <c r="AH340" i="26" s="1"/>
  <c r="O364" i="26"/>
  <c r="AP340" i="26" s="1"/>
  <c r="W364" i="26"/>
  <c r="AX340" i="26" s="1"/>
  <c r="E425" i="26"/>
  <c r="AF401" i="26" s="1"/>
  <c r="M425" i="26"/>
  <c r="AN401" i="26" s="1"/>
  <c r="U425" i="26"/>
  <c r="AV401" i="26" s="1"/>
  <c r="AY282" i="26"/>
  <c r="BA276" i="26"/>
  <c r="H437" i="26" s="1"/>
  <c r="H451" i="26" s="1"/>
  <c r="H469" i="26" s="1"/>
  <c r="E40" i="40" s="1"/>
  <c r="AG342" i="26"/>
  <c r="AE403" i="26"/>
  <c r="B304" i="26"/>
  <c r="J304" i="26"/>
  <c r="R304" i="26"/>
  <c r="Z304" i="26"/>
  <c r="H364" i="26"/>
  <c r="P364" i="26"/>
  <c r="X364" i="26"/>
  <c r="F425" i="26"/>
  <c r="N425" i="26"/>
  <c r="V425" i="26"/>
  <c r="BA282" i="26"/>
  <c r="AL342" i="26"/>
  <c r="AJ403" i="26"/>
  <c r="C304" i="26"/>
  <c r="AD280" i="26" s="1"/>
  <c r="K304" i="26"/>
  <c r="AL280" i="26" s="1"/>
  <c r="I364" i="26"/>
  <c r="Q364" i="26"/>
  <c r="G425" i="26"/>
  <c r="O425" i="26"/>
  <c r="B320" i="24"/>
  <c r="X365" i="24" s="1"/>
  <c r="AY339" i="24" s="1"/>
  <c r="AP280" i="24"/>
  <c r="AX280" i="24"/>
  <c r="AF340" i="24"/>
  <c r="AN340" i="24"/>
  <c r="AV340" i="24"/>
  <c r="AD401" i="24"/>
  <c r="AL401" i="24"/>
  <c r="AT401" i="24"/>
  <c r="AL282" i="24"/>
  <c r="AZ280" i="24"/>
  <c r="AV401" i="24"/>
  <c r="AS401" i="24"/>
  <c r="AC282" i="24"/>
  <c r="BA336" i="24"/>
  <c r="AH403" i="24"/>
  <c r="H439" i="24"/>
  <c r="H453" i="24" s="1"/>
  <c r="H471" i="24" s="1"/>
  <c r="G12" i="39" s="1"/>
  <c r="AD282" i="24"/>
  <c r="AC389" i="24"/>
  <c r="AS282" i="24"/>
  <c r="AJ342" i="24"/>
  <c r="BA397" i="24"/>
  <c r="J437" i="24" s="1"/>
  <c r="J451" i="24" s="1"/>
  <c r="J469" i="24" s="1"/>
  <c r="E14" i="39" s="1"/>
  <c r="AK340" i="24"/>
  <c r="AK401" i="24"/>
  <c r="AY282" i="24"/>
  <c r="I442" i="33"/>
  <c r="I456" i="33" s="1"/>
  <c r="I474" i="33" s="1"/>
  <c r="J55" i="39" s="1"/>
  <c r="AN342" i="33"/>
  <c r="AU403" i="33"/>
  <c r="AG340" i="33"/>
  <c r="AO340" i="33"/>
  <c r="AE401" i="33"/>
  <c r="AM401" i="33"/>
  <c r="AU401" i="33"/>
  <c r="G366" i="33"/>
  <c r="O366" i="33"/>
  <c r="W366" i="33"/>
  <c r="BA397" i="33"/>
  <c r="J437" i="33" s="1"/>
  <c r="J451" i="33" s="1"/>
  <c r="J469" i="33" s="1"/>
  <c r="E56" i="39" s="1"/>
  <c r="AG401" i="33"/>
  <c r="AO401" i="33"/>
  <c r="AW401" i="33"/>
  <c r="AU278" i="33"/>
  <c r="H439" i="33" s="1"/>
  <c r="H453" i="33" s="1"/>
  <c r="H471" i="33" s="1"/>
  <c r="G54" i="39" s="1"/>
  <c r="BA336" i="33"/>
  <c r="I437" i="33" s="1"/>
  <c r="I451" i="33" s="1"/>
  <c r="I469" i="33" s="1"/>
  <c r="E55" i="39" s="1"/>
  <c r="I366" i="33"/>
  <c r="Y366" i="33"/>
  <c r="AD280" i="33"/>
  <c r="B320" i="33"/>
  <c r="U365" i="33" s="1"/>
  <c r="AV339" i="33" s="1"/>
  <c r="AR340" i="33"/>
  <c r="AP401" i="33"/>
  <c r="J366" i="33"/>
  <c r="R366" i="33"/>
  <c r="AE403" i="33"/>
  <c r="AG280" i="33"/>
  <c r="AW280" i="33"/>
  <c r="AE340" i="33"/>
  <c r="L366" i="33"/>
  <c r="AU340" i="33"/>
  <c r="BA401" i="33"/>
  <c r="AF342" i="33"/>
  <c r="AR399" i="33"/>
  <c r="AM403" i="33"/>
  <c r="AF340" i="33"/>
  <c r="AN340" i="33"/>
  <c r="AV340" i="33"/>
  <c r="AD401" i="33"/>
  <c r="AL401" i="33"/>
  <c r="AT401" i="33"/>
  <c r="I304" i="23"/>
  <c r="AJ280" i="23" s="1"/>
  <c r="Q304" i="23"/>
  <c r="AR280" i="23" s="1"/>
  <c r="Y304" i="23"/>
  <c r="AZ280" i="23" s="1"/>
  <c r="G364" i="23"/>
  <c r="AH340" i="23" s="1"/>
  <c r="O364" i="23"/>
  <c r="AP340" i="23" s="1"/>
  <c r="W364" i="23"/>
  <c r="E425" i="23"/>
  <c r="AF401" i="23" s="1"/>
  <c r="M425" i="23"/>
  <c r="AN401" i="23" s="1"/>
  <c r="U425" i="23"/>
  <c r="L425" i="23"/>
  <c r="AM401" i="23" s="1"/>
  <c r="J304" i="23"/>
  <c r="AK280" i="23" s="1"/>
  <c r="R304" i="23"/>
  <c r="AS280" i="23" s="1"/>
  <c r="Z304" i="23"/>
  <c r="BA280" i="23" s="1"/>
  <c r="H364" i="23"/>
  <c r="P364" i="23"/>
  <c r="AQ340" i="23" s="1"/>
  <c r="X364" i="23"/>
  <c r="AY340" i="23" s="1"/>
  <c r="F425" i="23"/>
  <c r="N425" i="23"/>
  <c r="AO401" i="23" s="1"/>
  <c r="V425" i="23"/>
  <c r="AW401" i="23" s="1"/>
  <c r="BA336" i="23"/>
  <c r="I437" i="23" s="1"/>
  <c r="I451" i="23" s="1"/>
  <c r="I469" i="23" s="1"/>
  <c r="E27" i="39" s="1"/>
  <c r="D425" i="23"/>
  <c r="C304" i="23"/>
  <c r="AD280" i="23" s="1"/>
  <c r="K304" i="23"/>
  <c r="S304" i="23"/>
  <c r="AT280" i="23" s="1"/>
  <c r="I364" i="23"/>
  <c r="Q364" i="23"/>
  <c r="AR340" i="23" s="1"/>
  <c r="Y364" i="23"/>
  <c r="AZ340" i="23" s="1"/>
  <c r="G425" i="23"/>
  <c r="O425" i="23"/>
  <c r="AP401" i="23" s="1"/>
  <c r="W425" i="23"/>
  <c r="B260" i="23"/>
  <c r="D304" i="23"/>
  <c r="AE280" i="23" s="1"/>
  <c r="L304" i="23"/>
  <c r="T304" i="23"/>
  <c r="AU280" i="23" s="1"/>
  <c r="B364" i="23"/>
  <c r="J364" i="23"/>
  <c r="AK340" i="23" s="1"/>
  <c r="R364" i="23"/>
  <c r="Z364" i="23"/>
  <c r="H425" i="23"/>
  <c r="AI401" i="23" s="1"/>
  <c r="P425" i="23"/>
  <c r="AQ401" i="23" s="1"/>
  <c r="X425" i="23"/>
  <c r="AY401" i="23" s="1"/>
  <c r="B304" i="23"/>
  <c r="AC280" i="23" s="1"/>
  <c r="E304" i="23"/>
  <c r="M304" i="23"/>
  <c r="C364" i="23"/>
  <c r="K364" i="23"/>
  <c r="AL340" i="23" s="1"/>
  <c r="S364" i="23"/>
  <c r="AT340" i="23" s="1"/>
  <c r="I425" i="23"/>
  <c r="AJ401" i="23" s="1"/>
  <c r="Q425" i="23"/>
  <c r="AR401" i="23" s="1"/>
  <c r="F304" i="23"/>
  <c r="AG280" i="23" s="1"/>
  <c r="N304" i="23"/>
  <c r="AO280" i="23" s="1"/>
  <c r="V304" i="23"/>
  <c r="AW280" i="23" s="1"/>
  <c r="D364" i="23"/>
  <c r="L364" i="23"/>
  <c r="AM340" i="23" s="1"/>
  <c r="B425" i="23"/>
  <c r="AC401" i="23" s="1"/>
  <c r="J425" i="23"/>
  <c r="AK401" i="23" s="1"/>
  <c r="R425" i="23"/>
  <c r="Z425" i="23"/>
  <c r="BA401" i="23" s="1"/>
  <c r="AY282" i="22"/>
  <c r="BA336" i="22"/>
  <c r="I439" i="22"/>
  <c r="I453" i="22" s="1"/>
  <c r="I471" i="22" s="1"/>
  <c r="G41" i="39" s="1"/>
  <c r="AN282" i="22"/>
  <c r="F304" i="22"/>
  <c r="AG280" i="22" s="1"/>
  <c r="N304" i="22"/>
  <c r="AO280" i="22" s="1"/>
  <c r="D364" i="22"/>
  <c r="AE340" i="22" s="1"/>
  <c r="L364" i="22"/>
  <c r="AM340" i="22" s="1"/>
  <c r="T364" i="22"/>
  <c r="AU340" i="22" s="1"/>
  <c r="B425" i="22"/>
  <c r="AC401" i="22" s="1"/>
  <c r="J425" i="22"/>
  <c r="AK401" i="22" s="1"/>
  <c r="R425" i="22"/>
  <c r="AS401" i="22" s="1"/>
  <c r="Z425" i="22"/>
  <c r="BA401" i="22" s="1"/>
  <c r="I425" i="22"/>
  <c r="AJ401" i="22" s="1"/>
  <c r="AT342" i="22"/>
  <c r="G304" i="22"/>
  <c r="O304" i="22"/>
  <c r="W304" i="22"/>
  <c r="E364" i="22"/>
  <c r="M364" i="22"/>
  <c r="AN340" i="22" s="1"/>
  <c r="U364" i="22"/>
  <c r="AV340" i="22" s="1"/>
  <c r="C425" i="22"/>
  <c r="K425" i="22"/>
  <c r="AL401" i="22" s="1"/>
  <c r="S425" i="22"/>
  <c r="P365" i="22"/>
  <c r="AQ339" i="22" s="1"/>
  <c r="AZ403" i="22"/>
  <c r="H304" i="22"/>
  <c r="P304" i="22"/>
  <c r="AQ280" i="22" s="1"/>
  <c r="X304" i="22"/>
  <c r="AY280" i="22" s="1"/>
  <c r="F364" i="22"/>
  <c r="N364" i="22"/>
  <c r="V364" i="22"/>
  <c r="D425" i="22"/>
  <c r="L425" i="22"/>
  <c r="T425" i="22"/>
  <c r="AU401" i="22" s="1"/>
  <c r="Q425" i="22"/>
  <c r="AR401" i="22" s="1"/>
  <c r="I304" i="22"/>
  <c r="AJ280" i="22" s="1"/>
  <c r="Q304" i="22"/>
  <c r="AR280" i="22" s="1"/>
  <c r="Y304" i="22"/>
  <c r="AZ280" i="22" s="1"/>
  <c r="G364" i="22"/>
  <c r="AH340" i="22" s="1"/>
  <c r="O364" i="22"/>
  <c r="AP340" i="22" s="1"/>
  <c r="W364" i="22"/>
  <c r="AX340" i="22" s="1"/>
  <c r="E425" i="22"/>
  <c r="AF401" i="22" s="1"/>
  <c r="M425" i="22"/>
  <c r="AN401" i="22" s="1"/>
  <c r="U425" i="22"/>
  <c r="AV401" i="22" s="1"/>
  <c r="AQ342" i="22"/>
  <c r="AG342" i="22"/>
  <c r="AE403" i="22"/>
  <c r="B304" i="22"/>
  <c r="J304" i="22"/>
  <c r="R304" i="22"/>
  <c r="Z304" i="22"/>
  <c r="BA280" i="22" s="1"/>
  <c r="H364" i="22"/>
  <c r="AI340" i="22" s="1"/>
  <c r="P364" i="22"/>
  <c r="AQ340" i="22" s="1"/>
  <c r="F425" i="22"/>
  <c r="N425" i="22"/>
  <c r="V425" i="22"/>
  <c r="BA276" i="22"/>
  <c r="AW340" i="22"/>
  <c r="AW342" i="22"/>
  <c r="AM403" i="22"/>
  <c r="C304" i="22"/>
  <c r="K304" i="22"/>
  <c r="S304" i="22"/>
  <c r="I364" i="22"/>
  <c r="AJ340" i="22" s="1"/>
  <c r="Q364" i="22"/>
  <c r="AR340" i="22" s="1"/>
  <c r="Y364" i="22"/>
  <c r="AZ340" i="22" s="1"/>
  <c r="G425" i="22"/>
  <c r="AH401" i="22" s="1"/>
  <c r="O425" i="22"/>
  <c r="AP401" i="22" s="1"/>
  <c r="Y425" i="22"/>
  <c r="AQ282" i="22"/>
  <c r="AU403" i="22"/>
  <c r="D304" i="22"/>
  <c r="L304" i="22"/>
  <c r="T304" i="22"/>
  <c r="AU280" i="22" s="1"/>
  <c r="B364" i="22"/>
  <c r="AC340" i="22" s="1"/>
  <c r="J364" i="22"/>
  <c r="AK340" i="22" s="1"/>
  <c r="R364" i="22"/>
  <c r="Z364" i="22"/>
  <c r="H425" i="22"/>
  <c r="P425" i="22"/>
  <c r="X425" i="22"/>
  <c r="H452" i="32"/>
  <c r="J91" i="43"/>
  <c r="H255" i="43"/>
  <c r="K52" i="1"/>
  <c r="AE403" i="32"/>
  <c r="D472" i="32"/>
  <c r="F154" i="43"/>
  <c r="C472" i="32"/>
  <c r="E154" i="43"/>
  <c r="E472" i="32"/>
  <c r="G154" i="43"/>
  <c r="AI282" i="32"/>
  <c r="AO338" i="32"/>
  <c r="AG403" i="32"/>
  <c r="F472" i="32"/>
  <c r="H154" i="43"/>
  <c r="B260" i="32"/>
  <c r="W305" i="32" s="1"/>
  <c r="AX279" i="32" s="1"/>
  <c r="AS282" i="32"/>
  <c r="BA276" i="32"/>
  <c r="H437" i="32" s="1"/>
  <c r="AL399" i="32"/>
  <c r="I166" i="43"/>
  <c r="I190" i="43"/>
  <c r="I178" i="43"/>
  <c r="BA282" i="32"/>
  <c r="AX338" i="32"/>
  <c r="BA336" i="32"/>
  <c r="BA397" i="32"/>
  <c r="J437" i="32" s="1"/>
  <c r="G255" i="43"/>
  <c r="K51" i="1"/>
  <c r="B320" i="32"/>
  <c r="V365" i="32" s="1"/>
  <c r="AW339" i="32" s="1"/>
  <c r="I277" i="43"/>
  <c r="I255" i="43"/>
  <c r="K53" i="1"/>
  <c r="B472" i="32"/>
  <c r="D154" i="43"/>
  <c r="B260" i="8"/>
  <c r="N305" i="8" s="1"/>
  <c r="AO279" i="8" s="1"/>
  <c r="E304" i="8"/>
  <c r="M304" i="8"/>
  <c r="U304" i="8"/>
  <c r="F304" i="8"/>
  <c r="N304" i="8"/>
  <c r="V304" i="8"/>
  <c r="G304" i="8"/>
  <c r="O304" i="8"/>
  <c r="W304" i="8"/>
  <c r="H304" i="8"/>
  <c r="P304" i="8"/>
  <c r="X304" i="8"/>
  <c r="I304" i="8"/>
  <c r="Q304" i="8"/>
  <c r="Y304" i="8"/>
  <c r="J304" i="8"/>
  <c r="R304" i="8"/>
  <c r="Z304" i="8"/>
  <c r="C304" i="8"/>
  <c r="K304" i="8"/>
  <c r="S304" i="8"/>
  <c r="B304" i="8"/>
  <c r="L304" i="8"/>
  <c r="T304" i="8"/>
  <c r="D304" i="8"/>
  <c r="B472" i="8"/>
  <c r="D154" i="42"/>
  <c r="AH403" i="8"/>
  <c r="C472" i="8"/>
  <c r="E154" i="42"/>
  <c r="F364" i="8"/>
  <c r="N364" i="8"/>
  <c r="V364" i="8"/>
  <c r="AW340" i="8" s="1"/>
  <c r="G364" i="8"/>
  <c r="O364" i="8"/>
  <c r="W364" i="8"/>
  <c r="AX340" i="8" s="1"/>
  <c r="H364" i="8"/>
  <c r="P364" i="8"/>
  <c r="X364" i="8"/>
  <c r="AY340" i="8" s="1"/>
  <c r="I364" i="8"/>
  <c r="Q364" i="8"/>
  <c r="Y364" i="8"/>
  <c r="AZ340" i="8" s="1"/>
  <c r="J364" i="8"/>
  <c r="R364" i="8"/>
  <c r="Z364" i="8"/>
  <c r="BA340" i="8" s="1"/>
  <c r="C364" i="8"/>
  <c r="K364" i="8"/>
  <c r="S364" i="8"/>
  <c r="B364" i="8"/>
  <c r="D364" i="8"/>
  <c r="L364" i="8"/>
  <c r="T364" i="8"/>
  <c r="E364" i="8"/>
  <c r="M364" i="8"/>
  <c r="U364" i="8"/>
  <c r="D472" i="8"/>
  <c r="F154" i="42"/>
  <c r="E472" i="8"/>
  <c r="G154" i="42"/>
  <c r="F472" i="8"/>
  <c r="H154" i="42"/>
  <c r="AZ282" i="8"/>
  <c r="G472" i="8"/>
  <c r="I154" i="42"/>
  <c r="G425" i="8"/>
  <c r="O425" i="8"/>
  <c r="W425" i="8"/>
  <c r="H425" i="8"/>
  <c r="P425" i="8"/>
  <c r="X425" i="8"/>
  <c r="I425" i="8"/>
  <c r="Q425" i="8"/>
  <c r="Y425" i="8"/>
  <c r="J425" i="8"/>
  <c r="R425" i="8"/>
  <c r="Z425" i="8"/>
  <c r="C425" i="8"/>
  <c r="K425" i="8"/>
  <c r="S425" i="8"/>
  <c r="B425" i="8"/>
  <c r="D425" i="8"/>
  <c r="L425" i="8"/>
  <c r="T425" i="8"/>
  <c r="E425" i="8"/>
  <c r="M425" i="8"/>
  <c r="U425" i="8"/>
  <c r="F425" i="8"/>
  <c r="N425" i="8"/>
  <c r="V425" i="8"/>
  <c r="AE342" i="8"/>
  <c r="E304" i="7"/>
  <c r="M304" i="7"/>
  <c r="U304" i="7"/>
  <c r="T304" i="7"/>
  <c r="F304" i="7"/>
  <c r="N304" i="7"/>
  <c r="V304" i="7"/>
  <c r="K304" i="7"/>
  <c r="D304" i="7"/>
  <c r="G304" i="7"/>
  <c r="O304" i="7"/>
  <c r="W304" i="7"/>
  <c r="H304" i="7"/>
  <c r="P304" i="7"/>
  <c r="X304" i="7"/>
  <c r="C304" i="7"/>
  <c r="L304" i="7"/>
  <c r="I304" i="7"/>
  <c r="Q304" i="7"/>
  <c r="Y304" i="7"/>
  <c r="J304" i="7"/>
  <c r="R304" i="7"/>
  <c r="Z304" i="7"/>
  <c r="S304" i="7"/>
  <c r="B304" i="7"/>
  <c r="F364" i="7"/>
  <c r="N364" i="7"/>
  <c r="V364" i="7"/>
  <c r="E364" i="7"/>
  <c r="G364" i="7"/>
  <c r="O364" i="7"/>
  <c r="W364" i="7"/>
  <c r="T364" i="7"/>
  <c r="H364" i="7"/>
  <c r="P364" i="7"/>
  <c r="X364" i="7"/>
  <c r="D364" i="7"/>
  <c r="I364" i="7"/>
  <c r="Q364" i="7"/>
  <c r="Y364" i="7"/>
  <c r="J364" i="7"/>
  <c r="R364" i="7"/>
  <c r="Z364" i="7"/>
  <c r="M364" i="7"/>
  <c r="C364" i="7"/>
  <c r="K364" i="7"/>
  <c r="S364" i="7"/>
  <c r="B364" i="7"/>
  <c r="L364" i="7"/>
  <c r="U364" i="7"/>
  <c r="G425" i="7"/>
  <c r="O425" i="7"/>
  <c r="W425" i="7"/>
  <c r="H425" i="7"/>
  <c r="P425" i="7"/>
  <c r="X425" i="7"/>
  <c r="U425" i="7"/>
  <c r="V425" i="7"/>
  <c r="I425" i="7"/>
  <c r="Q425" i="7"/>
  <c r="Y425" i="7"/>
  <c r="J425" i="7"/>
  <c r="R425" i="7"/>
  <c r="Z425" i="7"/>
  <c r="F425" i="7"/>
  <c r="C425" i="7"/>
  <c r="K425" i="7"/>
  <c r="S425" i="7"/>
  <c r="E425" i="7"/>
  <c r="D425" i="7"/>
  <c r="L425" i="7"/>
  <c r="T425" i="7"/>
  <c r="M425" i="7"/>
  <c r="N425" i="7"/>
  <c r="BA336" i="9"/>
  <c r="I437" i="9" s="1"/>
  <c r="AK342" i="7"/>
  <c r="AW340" i="32"/>
  <c r="E154" i="41"/>
  <c r="D154" i="41"/>
  <c r="I154" i="41"/>
  <c r="H154" i="41"/>
  <c r="G154" i="41"/>
  <c r="F154" i="41"/>
  <c r="BA397" i="9"/>
  <c r="G472" i="9"/>
  <c r="H11" i="1" s="1"/>
  <c r="B380" i="9"/>
  <c r="B260" i="9"/>
  <c r="P305" i="9" s="1"/>
  <c r="AQ279" i="9" s="1"/>
  <c r="G472" i="7"/>
  <c r="F472" i="7"/>
  <c r="AX340" i="32"/>
  <c r="AQ401" i="32"/>
  <c r="C472" i="9"/>
  <c r="E154" i="37"/>
  <c r="E472" i="9"/>
  <c r="G154" i="37"/>
  <c r="AU282" i="9"/>
  <c r="B320" i="9"/>
  <c r="M365" i="9" s="1"/>
  <c r="AN339" i="9" s="1"/>
  <c r="J439" i="9"/>
  <c r="F472" i="9"/>
  <c r="H154" i="37"/>
  <c r="I178" i="37"/>
  <c r="I166" i="37"/>
  <c r="I240" i="37"/>
  <c r="B472" i="9"/>
  <c r="D154" i="37"/>
  <c r="D472" i="9"/>
  <c r="F154" i="37"/>
  <c r="N426" i="9"/>
  <c r="AO400" i="9" s="1"/>
  <c r="J425" i="9"/>
  <c r="AK401" i="9" s="1"/>
  <c r="R425" i="9"/>
  <c r="AS401" i="9" s="1"/>
  <c r="Z425" i="9"/>
  <c r="BA401" i="9" s="1"/>
  <c r="C425" i="9"/>
  <c r="AD401" i="9" s="1"/>
  <c r="K425" i="9"/>
  <c r="AL401" i="9" s="1"/>
  <c r="S425" i="9"/>
  <c r="AT401" i="9" s="1"/>
  <c r="B425" i="9"/>
  <c r="AC401" i="9" s="1"/>
  <c r="D425" i="9"/>
  <c r="AE401" i="9" s="1"/>
  <c r="L425" i="9"/>
  <c r="AM401" i="9" s="1"/>
  <c r="T425" i="9"/>
  <c r="AU401" i="9" s="1"/>
  <c r="E425" i="9"/>
  <c r="AF401" i="9" s="1"/>
  <c r="M425" i="9"/>
  <c r="AN401" i="9" s="1"/>
  <c r="U425" i="9"/>
  <c r="AV401" i="9" s="1"/>
  <c r="F425" i="9"/>
  <c r="AG401" i="9" s="1"/>
  <c r="N425" i="9"/>
  <c r="AO401" i="9" s="1"/>
  <c r="V425" i="9"/>
  <c r="AW401" i="9" s="1"/>
  <c r="G425" i="9"/>
  <c r="AH401" i="9" s="1"/>
  <c r="O425" i="9"/>
  <c r="AP401" i="9" s="1"/>
  <c r="W425" i="9"/>
  <c r="AX401" i="9" s="1"/>
  <c r="H425" i="9"/>
  <c r="AI401" i="9" s="1"/>
  <c r="P425" i="9"/>
  <c r="AQ401" i="9" s="1"/>
  <c r="X425" i="9"/>
  <c r="AY401" i="9" s="1"/>
  <c r="I425" i="9"/>
  <c r="AJ401" i="9" s="1"/>
  <c r="Q425" i="9"/>
  <c r="AR401" i="9" s="1"/>
  <c r="Y425" i="9"/>
  <c r="AZ401" i="9" s="1"/>
  <c r="AE403" i="9"/>
  <c r="J364" i="9"/>
  <c r="AK340" i="9" s="1"/>
  <c r="R364" i="9"/>
  <c r="AS340" i="9" s="1"/>
  <c r="Z364" i="9"/>
  <c r="BA340" i="9" s="1"/>
  <c r="C364" i="9"/>
  <c r="AD340" i="9" s="1"/>
  <c r="K364" i="9"/>
  <c r="AL340" i="9" s="1"/>
  <c r="S364" i="9"/>
  <c r="AT340" i="9" s="1"/>
  <c r="B364" i="9"/>
  <c r="AC340" i="9" s="1"/>
  <c r="D364" i="9"/>
  <c r="AE340" i="9" s="1"/>
  <c r="L364" i="9"/>
  <c r="AM340" i="9" s="1"/>
  <c r="T364" i="9"/>
  <c r="AU340" i="9" s="1"/>
  <c r="E364" i="9"/>
  <c r="AF340" i="9" s="1"/>
  <c r="M364" i="9"/>
  <c r="AN340" i="9" s="1"/>
  <c r="U364" i="9"/>
  <c r="AV340" i="9" s="1"/>
  <c r="F364" i="9"/>
  <c r="AG340" i="9" s="1"/>
  <c r="N364" i="9"/>
  <c r="AO340" i="9" s="1"/>
  <c r="V364" i="9"/>
  <c r="AW340" i="9" s="1"/>
  <c r="Y364" i="9"/>
  <c r="AZ340" i="9" s="1"/>
  <c r="G364" i="9"/>
  <c r="O364" i="9"/>
  <c r="AP340" i="9" s="1"/>
  <c r="W364" i="9"/>
  <c r="AX340" i="9" s="1"/>
  <c r="Q364" i="9"/>
  <c r="AR340" i="9" s="1"/>
  <c r="H364" i="9"/>
  <c r="AI340" i="9" s="1"/>
  <c r="P364" i="9"/>
  <c r="AQ340" i="9" s="1"/>
  <c r="X364" i="9"/>
  <c r="AY340" i="9" s="1"/>
  <c r="I364" i="9"/>
  <c r="AJ340" i="9" s="1"/>
  <c r="AC342" i="9"/>
  <c r="AQ342" i="9"/>
  <c r="AE282" i="9"/>
  <c r="B305" i="9"/>
  <c r="AC279" i="9" s="1"/>
  <c r="B260" i="7"/>
  <c r="B305" i="7" s="1"/>
  <c r="E472" i="7"/>
  <c r="AQ280" i="32"/>
  <c r="D472" i="7"/>
  <c r="AX280" i="32"/>
  <c r="AP280" i="32"/>
  <c r="C472" i="7"/>
  <c r="AU342" i="7"/>
  <c r="B472" i="7"/>
  <c r="AG280" i="34"/>
  <c r="AO280" i="34"/>
  <c r="AW280" i="34"/>
  <c r="AE401" i="34"/>
  <c r="AM401" i="34"/>
  <c r="AU401" i="34"/>
  <c r="AI280" i="34"/>
  <c r="AQ280" i="34"/>
  <c r="AC401" i="28"/>
  <c r="AK401" i="28"/>
  <c r="AS401" i="28"/>
  <c r="BA401" i="28"/>
  <c r="AG401" i="34"/>
  <c r="AO401" i="34"/>
  <c r="AW401" i="34"/>
  <c r="F366" i="33"/>
  <c r="N366" i="33"/>
  <c r="V366" i="33"/>
  <c r="AH280" i="24"/>
  <c r="AI280" i="33"/>
  <c r="AQ280" i="33"/>
  <c r="AY280" i="33"/>
  <c r="AV401" i="32"/>
  <c r="AG340" i="32"/>
  <c r="AO340" i="32"/>
  <c r="AJ340" i="28"/>
  <c r="AR340" i="28"/>
  <c r="AH401" i="28"/>
  <c r="AP401" i="28"/>
  <c r="AX401" i="28"/>
  <c r="AD340" i="28"/>
  <c r="AT340" i="28"/>
  <c r="M365" i="28"/>
  <c r="AN339" i="28" s="1"/>
  <c r="AI282" i="28"/>
  <c r="AJ282" i="28"/>
  <c r="AT282" i="28"/>
  <c r="AV342" i="28"/>
  <c r="AN342" i="28"/>
  <c r="AF342" i="28"/>
  <c r="AU342" i="28"/>
  <c r="AM342" i="28"/>
  <c r="AE342" i="28"/>
  <c r="AT342" i="28"/>
  <c r="AL342" i="28"/>
  <c r="AD342" i="28"/>
  <c r="AY342" i="28"/>
  <c r="AQ342" i="28"/>
  <c r="AI342" i="28"/>
  <c r="AH342" i="28"/>
  <c r="AX342" i="28"/>
  <c r="AR399" i="28"/>
  <c r="AF282" i="28"/>
  <c r="AX278" i="28"/>
  <c r="AK282" i="28"/>
  <c r="AJ342" i="28"/>
  <c r="AZ342" i="28"/>
  <c r="AV403" i="28"/>
  <c r="AX282" i="28"/>
  <c r="AP282" i="28"/>
  <c r="AH282" i="28"/>
  <c r="AW282" i="28"/>
  <c r="AO282" i="28"/>
  <c r="AG282" i="28"/>
  <c r="AL282" i="28"/>
  <c r="AV282" i="28"/>
  <c r="AK342" i="28"/>
  <c r="BA342" i="28"/>
  <c r="AL338" i="28"/>
  <c r="I439" i="28" s="1"/>
  <c r="I453" i="28" s="1"/>
  <c r="I471" i="28" s="1"/>
  <c r="G13" i="40" s="1"/>
  <c r="AI340" i="28"/>
  <c r="AQ340" i="28"/>
  <c r="Z426" i="28"/>
  <c r="BA400" i="28" s="1"/>
  <c r="AE403" i="28"/>
  <c r="AX403" i="28"/>
  <c r="AC282" i="28"/>
  <c r="AM282" i="28"/>
  <c r="AY282" i="28"/>
  <c r="AK280" i="28"/>
  <c r="AS280" i="28"/>
  <c r="BA280" i="28"/>
  <c r="AO342" i="28"/>
  <c r="BA397" i="28"/>
  <c r="AD282" i="28"/>
  <c r="AN282" i="28"/>
  <c r="AZ282" i="28"/>
  <c r="AD280" i="28"/>
  <c r="AT403" i="28"/>
  <c r="AL403" i="28"/>
  <c r="AD403" i="28"/>
  <c r="BA403" i="28"/>
  <c r="AS403" i="28"/>
  <c r="AK403" i="28"/>
  <c r="AC403" i="28"/>
  <c r="AZ403" i="28"/>
  <c r="AR403" i="28"/>
  <c r="AJ403" i="28"/>
  <c r="AY403" i="28"/>
  <c r="AQ403" i="28"/>
  <c r="AI403" i="28"/>
  <c r="AW403" i="28"/>
  <c r="AO403" i="28"/>
  <c r="AG403" i="28"/>
  <c r="AH403" i="28"/>
  <c r="AS282" i="28"/>
  <c r="AE282" i="28"/>
  <c r="AQ282" i="28"/>
  <c r="BA282" i="28"/>
  <c r="AO399" i="28"/>
  <c r="AT401" i="34"/>
  <c r="AD401" i="34"/>
  <c r="AF340" i="34"/>
  <c r="AN340" i="34"/>
  <c r="AV340" i="34"/>
  <c r="L426" i="34"/>
  <c r="AM400" i="34" s="1"/>
  <c r="AH340" i="34"/>
  <c r="AP340" i="34"/>
  <c r="H437" i="34"/>
  <c r="H451" i="34" s="1"/>
  <c r="H469" i="34" s="1"/>
  <c r="E54" i="40" s="1"/>
  <c r="U305" i="34"/>
  <c r="AV279" i="34" s="1"/>
  <c r="M305" i="34"/>
  <c r="AN279" i="34" s="1"/>
  <c r="E305" i="34"/>
  <c r="AF279" i="34" s="1"/>
  <c r="Z305" i="34"/>
  <c r="BA279" i="34" s="1"/>
  <c r="R305" i="34"/>
  <c r="AS279" i="34" s="1"/>
  <c r="J305" i="34"/>
  <c r="AK279" i="34" s="1"/>
  <c r="B305" i="34"/>
  <c r="AC279" i="34" s="1"/>
  <c r="Y305" i="34"/>
  <c r="AZ279" i="34" s="1"/>
  <c r="Q305" i="34"/>
  <c r="AR279" i="34" s="1"/>
  <c r="I305" i="34"/>
  <c r="AJ279" i="34" s="1"/>
  <c r="X305" i="34"/>
  <c r="AY279" i="34" s="1"/>
  <c r="P305" i="34"/>
  <c r="AQ279" i="34" s="1"/>
  <c r="H305" i="34"/>
  <c r="AI279" i="34" s="1"/>
  <c r="W305" i="34"/>
  <c r="AX279" i="34" s="1"/>
  <c r="O305" i="34"/>
  <c r="AP279" i="34" s="1"/>
  <c r="G305" i="34"/>
  <c r="AH279" i="34" s="1"/>
  <c r="S305" i="34"/>
  <c r="AT279" i="34" s="1"/>
  <c r="T305" i="34"/>
  <c r="AU279" i="34" s="1"/>
  <c r="N305" i="34"/>
  <c r="AO279" i="34" s="1"/>
  <c r="L305" i="34"/>
  <c r="AM279" i="34" s="1"/>
  <c r="K305" i="34"/>
  <c r="AL279" i="34" s="1"/>
  <c r="F305" i="34"/>
  <c r="AG279" i="34" s="1"/>
  <c r="D305" i="34"/>
  <c r="AE279" i="34" s="1"/>
  <c r="V305" i="34"/>
  <c r="AW279" i="34" s="1"/>
  <c r="C305" i="34"/>
  <c r="AD279" i="34" s="1"/>
  <c r="AE282" i="34"/>
  <c r="AG282" i="34"/>
  <c r="AL282" i="34"/>
  <c r="AV280" i="34"/>
  <c r="AI278" i="34"/>
  <c r="H439" i="34" s="1"/>
  <c r="H453" i="34" s="1"/>
  <c r="H471" i="34" s="1"/>
  <c r="G54" i="40" s="1"/>
  <c r="AM282" i="34"/>
  <c r="L365" i="34"/>
  <c r="AM339" i="34" s="1"/>
  <c r="B365" i="34"/>
  <c r="AC339" i="34" s="1"/>
  <c r="O365" i="34"/>
  <c r="AP339" i="34" s="1"/>
  <c r="S426" i="34"/>
  <c r="AT400" i="34" s="1"/>
  <c r="K426" i="34"/>
  <c r="AL400" i="34" s="1"/>
  <c r="C426" i="34"/>
  <c r="AD400" i="34" s="1"/>
  <c r="Z426" i="34"/>
  <c r="BA400" i="34" s="1"/>
  <c r="R426" i="34"/>
  <c r="AS400" i="34" s="1"/>
  <c r="J426" i="34"/>
  <c r="AK400" i="34" s="1"/>
  <c r="B426" i="34"/>
  <c r="AC400" i="34" s="1"/>
  <c r="Y426" i="34"/>
  <c r="AZ400" i="34" s="1"/>
  <c r="Q426" i="34"/>
  <c r="AR400" i="34" s="1"/>
  <c r="I426" i="34"/>
  <c r="AJ400" i="34" s="1"/>
  <c r="X426" i="34"/>
  <c r="AY400" i="34" s="1"/>
  <c r="P426" i="34"/>
  <c r="AQ400" i="34" s="1"/>
  <c r="H426" i="34"/>
  <c r="AI400" i="34" s="1"/>
  <c r="W426" i="34"/>
  <c r="AX400" i="34" s="1"/>
  <c r="O426" i="34"/>
  <c r="AP400" i="34" s="1"/>
  <c r="G426" i="34"/>
  <c r="AH400" i="34" s="1"/>
  <c r="V426" i="34"/>
  <c r="AW400" i="34" s="1"/>
  <c r="N426" i="34"/>
  <c r="AO400" i="34" s="1"/>
  <c r="F426" i="34"/>
  <c r="AG400" i="34" s="1"/>
  <c r="U426" i="34"/>
  <c r="AV400" i="34" s="1"/>
  <c r="M426" i="34"/>
  <c r="AN400" i="34" s="1"/>
  <c r="E426" i="34"/>
  <c r="AF400" i="34" s="1"/>
  <c r="AV282" i="34"/>
  <c r="AN282" i="34"/>
  <c r="AF282" i="34"/>
  <c r="BA282" i="34"/>
  <c r="AS282" i="34"/>
  <c r="AK282" i="34"/>
  <c r="AC282" i="34"/>
  <c r="AZ282" i="34"/>
  <c r="AR282" i="34"/>
  <c r="AJ282" i="34"/>
  <c r="AY282" i="34"/>
  <c r="AQ282" i="34"/>
  <c r="AI282" i="34"/>
  <c r="AX282" i="34"/>
  <c r="AP282" i="34"/>
  <c r="AH282" i="34"/>
  <c r="AU282" i="34"/>
  <c r="AR338" i="34"/>
  <c r="D426" i="34"/>
  <c r="AE400" i="34" s="1"/>
  <c r="BA336" i="34"/>
  <c r="AO338" i="34"/>
  <c r="AG342" i="34"/>
  <c r="AO342" i="34"/>
  <c r="AW342" i="34"/>
  <c r="AF403" i="34"/>
  <c r="AN403" i="34"/>
  <c r="AV403" i="34"/>
  <c r="AH342" i="34"/>
  <c r="AP342" i="34"/>
  <c r="AX342" i="34"/>
  <c r="BA397" i="34"/>
  <c r="AO399" i="34"/>
  <c r="AG403" i="34"/>
  <c r="AO403" i="34"/>
  <c r="AW403" i="34"/>
  <c r="AI342" i="34"/>
  <c r="AQ342" i="34"/>
  <c r="AY342" i="34"/>
  <c r="AH403" i="34"/>
  <c r="AP403" i="34"/>
  <c r="AX403" i="34"/>
  <c r="AJ342" i="34"/>
  <c r="AR342" i="34"/>
  <c r="AZ342" i="34"/>
  <c r="AI403" i="34"/>
  <c r="AQ403" i="34"/>
  <c r="AY403" i="34"/>
  <c r="AE342" i="34"/>
  <c r="AM342" i="34"/>
  <c r="AD403" i="34"/>
  <c r="AL403" i="34"/>
  <c r="AS403" i="27"/>
  <c r="AU403" i="27"/>
  <c r="AR403" i="27"/>
  <c r="AM403" i="27"/>
  <c r="AK403" i="27"/>
  <c r="AJ403" i="27"/>
  <c r="BA403" i="27"/>
  <c r="AE403" i="27"/>
  <c r="AT403" i="27"/>
  <c r="AZ403" i="27"/>
  <c r="AC403" i="27"/>
  <c r="AR342" i="27"/>
  <c r="AO342" i="27"/>
  <c r="AF342" i="27"/>
  <c r="V305" i="27"/>
  <c r="AW279" i="27" s="1"/>
  <c r="N305" i="27"/>
  <c r="AO279" i="27" s="1"/>
  <c r="F305" i="27"/>
  <c r="AG279" i="27" s="1"/>
  <c r="S305" i="27"/>
  <c r="AT279" i="27" s="1"/>
  <c r="K305" i="27"/>
  <c r="AL279" i="27" s="1"/>
  <c r="C305" i="27"/>
  <c r="AD279" i="27" s="1"/>
  <c r="Y305" i="27"/>
  <c r="AZ279" i="27" s="1"/>
  <c r="O305" i="27"/>
  <c r="AP279" i="27" s="1"/>
  <c r="D305" i="27"/>
  <c r="AE279" i="27" s="1"/>
  <c r="X305" i="27"/>
  <c r="AY279" i="27" s="1"/>
  <c r="M305" i="27"/>
  <c r="AN279" i="27" s="1"/>
  <c r="B305" i="27"/>
  <c r="AC279" i="27" s="1"/>
  <c r="W305" i="27"/>
  <c r="AX279" i="27" s="1"/>
  <c r="L305" i="27"/>
  <c r="AM279" i="27" s="1"/>
  <c r="U305" i="27"/>
  <c r="AV279" i="27" s="1"/>
  <c r="J305" i="27"/>
  <c r="AK279" i="27" s="1"/>
  <c r="T305" i="27"/>
  <c r="AU279" i="27" s="1"/>
  <c r="I305" i="27"/>
  <c r="AJ279" i="27" s="1"/>
  <c r="R305" i="27"/>
  <c r="AS279" i="27" s="1"/>
  <c r="H305" i="27"/>
  <c r="AI279" i="27" s="1"/>
  <c r="Q305" i="27"/>
  <c r="AR279" i="27" s="1"/>
  <c r="G305" i="27"/>
  <c r="AH279" i="27" s="1"/>
  <c r="Z305" i="27"/>
  <c r="BA279" i="27" s="1"/>
  <c r="P305" i="27"/>
  <c r="AQ279" i="27" s="1"/>
  <c r="E305" i="27"/>
  <c r="AF279" i="27" s="1"/>
  <c r="H437" i="27"/>
  <c r="H451" i="27" s="1"/>
  <c r="H469" i="27" s="1"/>
  <c r="E26" i="40" s="1"/>
  <c r="S426" i="27"/>
  <c r="AT400" i="27" s="1"/>
  <c r="K426" i="27"/>
  <c r="AL400" i="27" s="1"/>
  <c r="C426" i="27"/>
  <c r="AD400" i="27" s="1"/>
  <c r="X426" i="27"/>
  <c r="AY400" i="27" s="1"/>
  <c r="P426" i="27"/>
  <c r="AQ400" i="27" s="1"/>
  <c r="H426" i="27"/>
  <c r="AI400" i="27" s="1"/>
  <c r="W426" i="27"/>
  <c r="AX400" i="27" s="1"/>
  <c r="O426" i="27"/>
  <c r="AP400" i="27" s="1"/>
  <c r="G426" i="27"/>
  <c r="AH400" i="27" s="1"/>
  <c r="V426" i="27"/>
  <c r="AW400" i="27" s="1"/>
  <c r="N426" i="27"/>
  <c r="AO400" i="27" s="1"/>
  <c r="F426" i="27"/>
  <c r="AG400" i="27" s="1"/>
  <c r="U426" i="27"/>
  <c r="AV400" i="27" s="1"/>
  <c r="M426" i="27"/>
  <c r="AN400" i="27" s="1"/>
  <c r="E426" i="27"/>
  <c r="AF400" i="27" s="1"/>
  <c r="T426" i="27"/>
  <c r="AU400" i="27" s="1"/>
  <c r="R426" i="27"/>
  <c r="AS400" i="27" s="1"/>
  <c r="Q426" i="27"/>
  <c r="AR400" i="27" s="1"/>
  <c r="L426" i="27"/>
  <c r="AM400" i="27" s="1"/>
  <c r="J426" i="27"/>
  <c r="AK400" i="27" s="1"/>
  <c r="I426" i="27"/>
  <c r="AJ400" i="27" s="1"/>
  <c r="Z426" i="27"/>
  <c r="BA400" i="27" s="1"/>
  <c r="D426" i="27"/>
  <c r="AE400" i="27" s="1"/>
  <c r="Y426" i="27"/>
  <c r="AZ400" i="27" s="1"/>
  <c r="B426" i="27"/>
  <c r="AC400" i="27" s="1"/>
  <c r="AD282" i="27"/>
  <c r="AL282" i="27"/>
  <c r="AT282" i="27"/>
  <c r="AE280" i="27"/>
  <c r="AM280" i="27"/>
  <c r="AU280" i="27"/>
  <c r="AT342" i="27"/>
  <c r="AL342" i="27"/>
  <c r="AD342" i="27"/>
  <c r="BA342" i="27"/>
  <c r="AS342" i="27"/>
  <c r="AK342" i="27"/>
  <c r="AC342" i="27"/>
  <c r="AY342" i="27"/>
  <c r="AQ342" i="27"/>
  <c r="AI342" i="27"/>
  <c r="AH342" i="27"/>
  <c r="AV342" i="27"/>
  <c r="AO340" i="27"/>
  <c r="N365" i="27"/>
  <c r="AO339" i="27" s="1"/>
  <c r="BA397" i="27"/>
  <c r="AF399" i="27"/>
  <c r="AE282" i="27"/>
  <c r="AM282" i="27"/>
  <c r="AU282" i="27"/>
  <c r="AF280" i="27"/>
  <c r="AN280" i="27"/>
  <c r="AV280" i="27"/>
  <c r="AM340" i="27"/>
  <c r="AL340" i="27"/>
  <c r="AZ340" i="27"/>
  <c r="AR340" i="27"/>
  <c r="AJ340" i="27"/>
  <c r="AI338" i="27"/>
  <c r="AJ342" i="27"/>
  <c r="AW342" i="27"/>
  <c r="AF338" i="27"/>
  <c r="I439" i="27" s="1"/>
  <c r="I453" i="27" s="1"/>
  <c r="I471" i="27" s="1"/>
  <c r="G27" i="40" s="1"/>
  <c r="AC340" i="27"/>
  <c r="AP340" i="27"/>
  <c r="D365" i="27"/>
  <c r="AE339" i="27" s="1"/>
  <c r="O365" i="27"/>
  <c r="AP339" i="27" s="1"/>
  <c r="AO399" i="27"/>
  <c r="AD401" i="27"/>
  <c r="AL278" i="27"/>
  <c r="AF282" i="27"/>
  <c r="AN282" i="27"/>
  <c r="AV282" i="27"/>
  <c r="AG280" i="27"/>
  <c r="AO280" i="27"/>
  <c r="AW280" i="27"/>
  <c r="AM342" i="27"/>
  <c r="AX342" i="27"/>
  <c r="AF340" i="27"/>
  <c r="AQ340" i="27"/>
  <c r="E365" i="27"/>
  <c r="AF339" i="27" s="1"/>
  <c r="T365" i="27"/>
  <c r="AU339" i="27" s="1"/>
  <c r="AG282" i="27"/>
  <c r="AO282" i="27"/>
  <c r="AW282" i="27"/>
  <c r="AP280" i="27"/>
  <c r="AN342" i="27"/>
  <c r="AZ342" i="27"/>
  <c r="AG340" i="27"/>
  <c r="F365" i="27"/>
  <c r="AG339" i="27" s="1"/>
  <c r="U365" i="27"/>
  <c r="AV339" i="27" s="1"/>
  <c r="AT401" i="27"/>
  <c r="AH282" i="27"/>
  <c r="AP282" i="27"/>
  <c r="AX282" i="27"/>
  <c r="AQ280" i="27"/>
  <c r="AZ280" i="27"/>
  <c r="G365" i="27"/>
  <c r="AH339" i="27" s="1"/>
  <c r="V365" i="27"/>
  <c r="AW339" i="27" s="1"/>
  <c r="AI282" i="27"/>
  <c r="AQ282" i="27"/>
  <c r="AY282" i="27"/>
  <c r="AJ280" i="27"/>
  <c r="AR280" i="27"/>
  <c r="BA280" i="27"/>
  <c r="AE342" i="27"/>
  <c r="AP342" i="27"/>
  <c r="I365" i="27"/>
  <c r="AJ339" i="27" s="1"/>
  <c r="AJ282" i="27"/>
  <c r="AR282" i="27"/>
  <c r="AZ282" i="27"/>
  <c r="AC280" i="27"/>
  <c r="AK280" i="27"/>
  <c r="S365" i="27"/>
  <c r="AT339" i="27" s="1"/>
  <c r="K365" i="27"/>
  <c r="AL339" i="27" s="1"/>
  <c r="C365" i="27"/>
  <c r="AD339" i="27" s="1"/>
  <c r="Z365" i="27"/>
  <c r="BA339" i="27" s="1"/>
  <c r="R365" i="27"/>
  <c r="AS339" i="27" s="1"/>
  <c r="J365" i="27"/>
  <c r="AK339" i="27" s="1"/>
  <c r="B365" i="27"/>
  <c r="AC339" i="27" s="1"/>
  <c r="Y365" i="27"/>
  <c r="AZ339" i="27" s="1"/>
  <c r="Q365" i="27"/>
  <c r="AR339" i="27" s="1"/>
  <c r="X365" i="27"/>
  <c r="AY339" i="27" s="1"/>
  <c r="P365" i="27"/>
  <c r="AQ339" i="27" s="1"/>
  <c r="H365" i="27"/>
  <c r="AI339" i="27" s="1"/>
  <c r="L365" i="27"/>
  <c r="AM339" i="27" s="1"/>
  <c r="H439" i="27"/>
  <c r="H453" i="27" s="1"/>
  <c r="H471" i="27" s="1"/>
  <c r="G26" i="40" s="1"/>
  <c r="AC282" i="27"/>
  <c r="AK282" i="27"/>
  <c r="AS282" i="27"/>
  <c r="BA282" i="27"/>
  <c r="AD280" i="27"/>
  <c r="AT280" i="27"/>
  <c r="AG342" i="27"/>
  <c r="AU342" i="27"/>
  <c r="M365" i="27"/>
  <c r="AN339" i="27" s="1"/>
  <c r="AF403" i="27"/>
  <c r="AN403" i="27"/>
  <c r="AV403" i="27"/>
  <c r="AG401" i="27"/>
  <c r="AO401" i="27"/>
  <c r="AW401" i="27"/>
  <c r="AG403" i="27"/>
  <c r="AO403" i="27"/>
  <c r="AW403" i="27"/>
  <c r="AH403" i="27"/>
  <c r="AP403" i="27"/>
  <c r="AX403" i="27"/>
  <c r="AI401" i="27"/>
  <c r="AY401" i="27"/>
  <c r="AI403" i="27"/>
  <c r="AQ403" i="27"/>
  <c r="AY403" i="27"/>
  <c r="AD403" i="27"/>
  <c r="AL403" i="27"/>
  <c r="B260" i="26"/>
  <c r="Z305" i="26" s="1"/>
  <c r="BA279" i="26" s="1"/>
  <c r="AT401" i="26"/>
  <c r="AL403" i="26"/>
  <c r="AM403" i="26"/>
  <c r="AR403" i="26"/>
  <c r="AN342" i="26"/>
  <c r="AT342" i="26"/>
  <c r="AO342" i="26"/>
  <c r="AV342" i="26"/>
  <c r="AC282" i="26"/>
  <c r="AN282" i="26"/>
  <c r="AF282" i="26"/>
  <c r="AT282" i="26"/>
  <c r="AI282" i="26"/>
  <c r="AU282" i="26"/>
  <c r="AK282" i="26"/>
  <c r="T305" i="26"/>
  <c r="AU279" i="26" s="1"/>
  <c r="N305" i="26"/>
  <c r="AO279" i="26" s="1"/>
  <c r="W305" i="26"/>
  <c r="AX279" i="26" s="1"/>
  <c r="L305" i="26"/>
  <c r="AM279" i="26" s="1"/>
  <c r="AT280" i="26"/>
  <c r="BA280" i="26"/>
  <c r="AR278" i="26"/>
  <c r="AH282" i="26"/>
  <c r="AP282" i="26"/>
  <c r="AX282" i="26"/>
  <c r="AI280" i="26"/>
  <c r="AQ280" i="26"/>
  <c r="BA336" i="26"/>
  <c r="D426" i="26"/>
  <c r="AE400" i="26" s="1"/>
  <c r="T365" i="26"/>
  <c r="AU339" i="26" s="1"/>
  <c r="L365" i="26"/>
  <c r="AM339" i="26" s="1"/>
  <c r="D365" i="26"/>
  <c r="AE339" i="26" s="1"/>
  <c r="Z365" i="26"/>
  <c r="BA339" i="26" s="1"/>
  <c r="R365" i="26"/>
  <c r="AS339" i="26" s="1"/>
  <c r="J365" i="26"/>
  <c r="AK339" i="26" s="1"/>
  <c r="B365" i="26"/>
  <c r="AC339" i="26" s="1"/>
  <c r="Y365" i="26"/>
  <c r="AZ339" i="26" s="1"/>
  <c r="Q365" i="26"/>
  <c r="AR339" i="26" s="1"/>
  <c r="I365" i="26"/>
  <c r="AJ339" i="26" s="1"/>
  <c r="X365" i="26"/>
  <c r="AY339" i="26" s="1"/>
  <c r="P365" i="26"/>
  <c r="AQ339" i="26" s="1"/>
  <c r="H365" i="26"/>
  <c r="AI339" i="26" s="1"/>
  <c r="W365" i="26"/>
  <c r="AX339" i="26" s="1"/>
  <c r="O365" i="26"/>
  <c r="AP339" i="26" s="1"/>
  <c r="G365" i="26"/>
  <c r="AH339" i="26" s="1"/>
  <c r="U365" i="26"/>
  <c r="AV339" i="26" s="1"/>
  <c r="L426" i="26"/>
  <c r="AM400" i="26" s="1"/>
  <c r="AX278" i="26"/>
  <c r="AJ282" i="26"/>
  <c r="AR282" i="26"/>
  <c r="AZ282" i="26"/>
  <c r="AC280" i="26"/>
  <c r="AK280" i="26"/>
  <c r="AS280" i="26"/>
  <c r="AU342" i="26"/>
  <c r="AM342" i="26"/>
  <c r="AE342" i="26"/>
  <c r="BA342" i="26"/>
  <c r="AS342" i="26"/>
  <c r="AK342" i="26"/>
  <c r="AC342" i="26"/>
  <c r="AZ342" i="26"/>
  <c r="AR342" i="26"/>
  <c r="AJ342" i="26"/>
  <c r="AY342" i="26"/>
  <c r="AQ342" i="26"/>
  <c r="AI342" i="26"/>
  <c r="AX342" i="26"/>
  <c r="AP342" i="26"/>
  <c r="AH342" i="26"/>
  <c r="AD342" i="26"/>
  <c r="AW342" i="26"/>
  <c r="C365" i="26"/>
  <c r="AD339" i="26" s="1"/>
  <c r="V365" i="26"/>
  <c r="AW339" i="26" s="1"/>
  <c r="AC395" i="26"/>
  <c r="AF399" i="26"/>
  <c r="AX338" i="26"/>
  <c r="E365" i="26"/>
  <c r="AF339" i="26" s="1"/>
  <c r="AI399" i="26"/>
  <c r="F365" i="26"/>
  <c r="AG339" i="26" s="1"/>
  <c r="AS401" i="26"/>
  <c r="AR338" i="26"/>
  <c r="I439" i="26" s="1"/>
  <c r="I453" i="26" s="1"/>
  <c r="I471" i="26" s="1"/>
  <c r="G41" i="40" s="1"/>
  <c r="K365" i="26"/>
  <c r="AL339" i="26" s="1"/>
  <c r="M365" i="26"/>
  <c r="AN339" i="26" s="1"/>
  <c r="S426" i="26"/>
  <c r="AT400" i="26" s="1"/>
  <c r="K426" i="26"/>
  <c r="AL400" i="26" s="1"/>
  <c r="C426" i="26"/>
  <c r="AD400" i="26" s="1"/>
  <c r="Z426" i="26"/>
  <c r="BA400" i="26" s="1"/>
  <c r="R426" i="26"/>
  <c r="AS400" i="26" s="1"/>
  <c r="J426" i="26"/>
  <c r="AK400" i="26" s="1"/>
  <c r="B426" i="26"/>
  <c r="AC400" i="26" s="1"/>
  <c r="Y426" i="26"/>
  <c r="AZ400" i="26" s="1"/>
  <c r="Q426" i="26"/>
  <c r="AR400" i="26" s="1"/>
  <c r="I426" i="26"/>
  <c r="AJ400" i="26" s="1"/>
  <c r="X426" i="26"/>
  <c r="AY400" i="26" s="1"/>
  <c r="P426" i="26"/>
  <c r="AQ400" i="26" s="1"/>
  <c r="H426" i="26"/>
  <c r="AI400" i="26" s="1"/>
  <c r="W426" i="26"/>
  <c r="AX400" i="26" s="1"/>
  <c r="O426" i="26"/>
  <c r="AP400" i="26" s="1"/>
  <c r="G426" i="26"/>
  <c r="AH400" i="26" s="1"/>
  <c r="V426" i="26"/>
  <c r="AW400" i="26" s="1"/>
  <c r="N426" i="26"/>
  <c r="AO400" i="26" s="1"/>
  <c r="F426" i="26"/>
  <c r="AG400" i="26" s="1"/>
  <c r="U426" i="26"/>
  <c r="AV400" i="26" s="1"/>
  <c r="M426" i="26"/>
  <c r="AN400" i="26" s="1"/>
  <c r="E426" i="26"/>
  <c r="AF400" i="26" s="1"/>
  <c r="BA397" i="26"/>
  <c r="AG282" i="26"/>
  <c r="AO282" i="26"/>
  <c r="N365" i="26"/>
  <c r="AO339" i="26" s="1"/>
  <c r="AI340" i="26"/>
  <c r="AQ340" i="26"/>
  <c r="AY340" i="26"/>
  <c r="AF403" i="26"/>
  <c r="AN403" i="26"/>
  <c r="AV403" i="26"/>
  <c r="AG401" i="26"/>
  <c r="AO401" i="26"/>
  <c r="AW401" i="26"/>
  <c r="AJ340" i="26"/>
  <c r="AR340" i="26"/>
  <c r="AZ340" i="26"/>
  <c r="AO399" i="26"/>
  <c r="AG403" i="26"/>
  <c r="AO403" i="26"/>
  <c r="AW403" i="26"/>
  <c r="AH401" i="26"/>
  <c r="AP401" i="26"/>
  <c r="AX401" i="26"/>
  <c r="AC340" i="26"/>
  <c r="AS340" i="26"/>
  <c r="BA340" i="26"/>
  <c r="AH403" i="26"/>
  <c r="AP403" i="26"/>
  <c r="AX403" i="26"/>
  <c r="AI401" i="26"/>
  <c r="AQ401" i="26"/>
  <c r="AY401" i="26"/>
  <c r="AD340" i="26"/>
  <c r="AI403" i="26"/>
  <c r="AQ403" i="26"/>
  <c r="AY403" i="26"/>
  <c r="AJ401" i="26"/>
  <c r="AR401" i="26"/>
  <c r="AZ401" i="26"/>
  <c r="AF340" i="26"/>
  <c r="AN340" i="26"/>
  <c r="AC403" i="26"/>
  <c r="AK403" i="26"/>
  <c r="AS403" i="26"/>
  <c r="BA403" i="26"/>
  <c r="AD401" i="26"/>
  <c r="AL401" i="26"/>
  <c r="AN280" i="24"/>
  <c r="AV280" i="24"/>
  <c r="AX340" i="24"/>
  <c r="I437" i="24"/>
  <c r="I451" i="24" s="1"/>
  <c r="I469" i="24" s="1"/>
  <c r="E13" i="39" s="1"/>
  <c r="G305" i="24"/>
  <c r="AH279" i="24" s="1"/>
  <c r="L305" i="24"/>
  <c r="AM279" i="24" s="1"/>
  <c r="Z305" i="24"/>
  <c r="BA279" i="24" s="1"/>
  <c r="AT282" i="24"/>
  <c r="AU338" i="24"/>
  <c r="Q365" i="24"/>
  <c r="AR339" i="24" s="1"/>
  <c r="AX403" i="24"/>
  <c r="AV342" i="24"/>
  <c r="AN342" i="24"/>
  <c r="AF342" i="24"/>
  <c r="AU342" i="24"/>
  <c r="AM342" i="24"/>
  <c r="AE342" i="24"/>
  <c r="AT342" i="24"/>
  <c r="AL342" i="24"/>
  <c r="AD342" i="24"/>
  <c r="BA342" i="24"/>
  <c r="AS342" i="24"/>
  <c r="AK342" i="24"/>
  <c r="AC342" i="24"/>
  <c r="AX342" i="24"/>
  <c r="AP342" i="24"/>
  <c r="AH342" i="24"/>
  <c r="AQ342" i="24"/>
  <c r="S426" i="24"/>
  <c r="AT400" i="24" s="1"/>
  <c r="K426" i="24"/>
  <c r="AL400" i="24" s="1"/>
  <c r="Z426" i="24"/>
  <c r="BA400" i="24" s="1"/>
  <c r="R426" i="24"/>
  <c r="AS400" i="24" s="1"/>
  <c r="J426" i="24"/>
  <c r="AK400" i="24" s="1"/>
  <c r="Y426" i="24"/>
  <c r="AZ400" i="24" s="1"/>
  <c r="Q426" i="24"/>
  <c r="AR400" i="24" s="1"/>
  <c r="I426" i="24"/>
  <c r="AJ400" i="24" s="1"/>
  <c r="P426" i="24"/>
  <c r="AQ400" i="24" s="1"/>
  <c r="H426" i="24"/>
  <c r="AI400" i="24" s="1"/>
  <c r="U426" i="24"/>
  <c r="AV400" i="24" s="1"/>
  <c r="E426" i="24"/>
  <c r="AF400" i="24" s="1"/>
  <c r="T426" i="24"/>
  <c r="AU400" i="24" s="1"/>
  <c r="L426" i="24"/>
  <c r="AM400" i="24" s="1"/>
  <c r="V426" i="24"/>
  <c r="AW400" i="24" s="1"/>
  <c r="M365" i="24"/>
  <c r="AN339" i="24" s="1"/>
  <c r="T365" i="24"/>
  <c r="AU339" i="24" s="1"/>
  <c r="D365" i="24"/>
  <c r="AE339" i="24" s="1"/>
  <c r="S365" i="24"/>
  <c r="AT339" i="24" s="1"/>
  <c r="Z365" i="24"/>
  <c r="BA339" i="24" s="1"/>
  <c r="J365" i="24"/>
  <c r="AK339" i="24" s="1"/>
  <c r="W365" i="24"/>
  <c r="AX339" i="24" s="1"/>
  <c r="O365" i="24"/>
  <c r="AP339" i="24" s="1"/>
  <c r="N365" i="24"/>
  <c r="AO339" i="24" s="1"/>
  <c r="AR342" i="24"/>
  <c r="AL399" i="24"/>
  <c r="AI401" i="24"/>
  <c r="AQ401" i="24"/>
  <c r="AY401" i="24"/>
  <c r="W426" i="24"/>
  <c r="AX400" i="24" s="1"/>
  <c r="AI282" i="24"/>
  <c r="AW342" i="24"/>
  <c r="AG403" i="24"/>
  <c r="AY342" i="24"/>
  <c r="AF338" i="24"/>
  <c r="BA276" i="24"/>
  <c r="AG342" i="24"/>
  <c r="AZ342" i="24"/>
  <c r="H365" i="24"/>
  <c r="AI339" i="24" s="1"/>
  <c r="AT403" i="24"/>
  <c r="AL403" i="24"/>
  <c r="AD403" i="24"/>
  <c r="BA403" i="24"/>
  <c r="AS403" i="24"/>
  <c r="AK403" i="24"/>
  <c r="AC403" i="24"/>
  <c r="AZ403" i="24"/>
  <c r="AR403" i="24"/>
  <c r="AJ403" i="24"/>
  <c r="AY403" i="24"/>
  <c r="AQ403" i="24"/>
  <c r="AI403" i="24"/>
  <c r="AV403" i="24"/>
  <c r="AN403" i="24"/>
  <c r="AF403" i="24"/>
  <c r="AU403" i="24"/>
  <c r="AM403" i="24"/>
  <c r="AE403" i="24"/>
  <c r="AO403" i="24"/>
  <c r="F426" i="24"/>
  <c r="AG400" i="24" s="1"/>
  <c r="AX282" i="24"/>
  <c r="AP282" i="24"/>
  <c r="AH282" i="24"/>
  <c r="AW282" i="24"/>
  <c r="AO282" i="24"/>
  <c r="AG282" i="24"/>
  <c r="AV282" i="24"/>
  <c r="AN282" i="24"/>
  <c r="AF282" i="24"/>
  <c r="AU282" i="24"/>
  <c r="AM282" i="24"/>
  <c r="AE282" i="24"/>
  <c r="AZ282" i="24"/>
  <c r="AR282" i="24"/>
  <c r="AJ282" i="24"/>
  <c r="AQ282" i="24"/>
  <c r="AI342" i="24"/>
  <c r="I365" i="24"/>
  <c r="AJ339" i="24" s="1"/>
  <c r="AP403" i="24"/>
  <c r="G426" i="24"/>
  <c r="AH400" i="24" s="1"/>
  <c r="AN280" i="33"/>
  <c r="E366" i="33"/>
  <c r="M366" i="33"/>
  <c r="U366" i="33"/>
  <c r="T366" i="33"/>
  <c r="H366" i="33"/>
  <c r="P366" i="33"/>
  <c r="X366" i="33"/>
  <c r="D426" i="33"/>
  <c r="AE400" i="33" s="1"/>
  <c r="AH280" i="33"/>
  <c r="AP280" i="33"/>
  <c r="AX280" i="33"/>
  <c r="D305" i="33"/>
  <c r="AE279" i="33" s="1"/>
  <c r="S305" i="33"/>
  <c r="AT279" i="33" s="1"/>
  <c r="Q305" i="33"/>
  <c r="AR279" i="33" s="1"/>
  <c r="H305" i="33"/>
  <c r="AI279" i="33" s="1"/>
  <c r="Q366" i="33"/>
  <c r="AR338" i="33"/>
  <c r="I439" i="33" s="1"/>
  <c r="I453" i="33" s="1"/>
  <c r="I471" i="33" s="1"/>
  <c r="G55" i="39" s="1"/>
  <c r="AI399" i="33"/>
  <c r="J439" i="33" s="1"/>
  <c r="J453" i="33" s="1"/>
  <c r="J471" i="33" s="1"/>
  <c r="G56" i="39" s="1"/>
  <c r="K426" i="33"/>
  <c r="AL400" i="33" s="1"/>
  <c r="C426" i="33"/>
  <c r="AD400" i="33" s="1"/>
  <c r="Z426" i="33"/>
  <c r="BA400" i="33" s="1"/>
  <c r="J426" i="33"/>
  <c r="AK400" i="33" s="1"/>
  <c r="Y426" i="33"/>
  <c r="AZ400" i="33" s="1"/>
  <c r="I426" i="33"/>
  <c r="AJ400" i="33" s="1"/>
  <c r="X426" i="33"/>
  <c r="AY400" i="33" s="1"/>
  <c r="P426" i="33"/>
  <c r="AQ400" i="33" s="1"/>
  <c r="W426" i="33"/>
  <c r="AX400" i="33" s="1"/>
  <c r="G426" i="33"/>
  <c r="AH400" i="33" s="1"/>
  <c r="N426" i="33"/>
  <c r="AO400" i="33" s="1"/>
  <c r="F426" i="33"/>
  <c r="AG400" i="33" s="1"/>
  <c r="U426" i="33"/>
  <c r="AV400" i="33" s="1"/>
  <c r="E426" i="33"/>
  <c r="AF400" i="33" s="1"/>
  <c r="AH282" i="33"/>
  <c r="AP282" i="33"/>
  <c r="AX282" i="33"/>
  <c r="AG342" i="33"/>
  <c r="AO342" i="33"/>
  <c r="AW342" i="33"/>
  <c r="AF403" i="33"/>
  <c r="AN403" i="33"/>
  <c r="AV403" i="33"/>
  <c r="AI282" i="33"/>
  <c r="AQ282" i="33"/>
  <c r="AY282" i="33"/>
  <c r="AH342" i="33"/>
  <c r="AP342" i="33"/>
  <c r="AX342" i="33"/>
  <c r="AG403" i="33"/>
  <c r="AO403" i="33"/>
  <c r="AW403" i="33"/>
  <c r="AJ282" i="33"/>
  <c r="AR282" i="33"/>
  <c r="AZ282" i="33"/>
  <c r="AI342" i="33"/>
  <c r="AQ342" i="33"/>
  <c r="AY342" i="33"/>
  <c r="AH403" i="33"/>
  <c r="AP403" i="33"/>
  <c r="AX403" i="33"/>
  <c r="AC282" i="33"/>
  <c r="AK282" i="33"/>
  <c r="AS282" i="33"/>
  <c r="BA282" i="33"/>
  <c r="AJ342" i="33"/>
  <c r="AR342" i="33"/>
  <c r="AZ342" i="33"/>
  <c r="AI403" i="33"/>
  <c r="AQ403" i="33"/>
  <c r="AY403" i="33"/>
  <c r="AD282" i="33"/>
  <c r="AL282" i="33"/>
  <c r="AT282" i="33"/>
  <c r="AC342" i="33"/>
  <c r="AK342" i="33"/>
  <c r="AS342" i="33"/>
  <c r="BA342" i="33"/>
  <c r="AJ403" i="33"/>
  <c r="AR403" i="33"/>
  <c r="AZ403" i="33"/>
  <c r="AE282" i="33"/>
  <c r="AM282" i="33"/>
  <c r="AU282" i="33"/>
  <c r="AD342" i="33"/>
  <c r="AL342" i="33"/>
  <c r="AT342" i="33"/>
  <c r="AC395" i="33"/>
  <c r="AC403" i="33"/>
  <c r="AK403" i="33"/>
  <c r="AS403" i="33"/>
  <c r="BA403" i="33"/>
  <c r="AF282" i="33"/>
  <c r="AN282" i="33"/>
  <c r="AE342" i="33"/>
  <c r="AM342" i="33"/>
  <c r="AD403" i="33"/>
  <c r="AL403" i="33"/>
  <c r="G365" i="23"/>
  <c r="AH339" i="23" s="1"/>
  <c r="AM403" i="23"/>
  <c r="AU403" i="23"/>
  <c r="AT403" i="23"/>
  <c r="AP403" i="23"/>
  <c r="AL403" i="23"/>
  <c r="AH403" i="23"/>
  <c r="AH342" i="23"/>
  <c r="AW342" i="23"/>
  <c r="BA342" i="23"/>
  <c r="V305" i="23"/>
  <c r="AW279" i="23" s="1"/>
  <c r="N305" i="23"/>
  <c r="AO279" i="23" s="1"/>
  <c r="F305" i="23"/>
  <c r="AG279" i="23" s="1"/>
  <c r="T305" i="23"/>
  <c r="AU279" i="23" s="1"/>
  <c r="L305" i="23"/>
  <c r="AM279" i="23" s="1"/>
  <c r="S305" i="23"/>
  <c r="AT279" i="23" s="1"/>
  <c r="K305" i="23"/>
  <c r="AL279" i="23" s="1"/>
  <c r="Y305" i="23"/>
  <c r="AZ279" i="23" s="1"/>
  <c r="M305" i="23"/>
  <c r="AN279" i="23" s="1"/>
  <c r="B305" i="23"/>
  <c r="AC279" i="23" s="1"/>
  <c r="X305" i="23"/>
  <c r="AY279" i="23" s="1"/>
  <c r="J305" i="23"/>
  <c r="AK279" i="23" s="1"/>
  <c r="W305" i="23"/>
  <c r="AX279" i="23" s="1"/>
  <c r="I305" i="23"/>
  <c r="AJ279" i="23" s="1"/>
  <c r="U305" i="23"/>
  <c r="AV279" i="23" s="1"/>
  <c r="H305" i="23"/>
  <c r="AI279" i="23" s="1"/>
  <c r="R305" i="23"/>
  <c r="AS279" i="23" s="1"/>
  <c r="G305" i="23"/>
  <c r="AH279" i="23" s="1"/>
  <c r="Q305" i="23"/>
  <c r="AR279" i="23" s="1"/>
  <c r="E305" i="23"/>
  <c r="AF279" i="23" s="1"/>
  <c r="P305" i="23"/>
  <c r="AQ279" i="23" s="1"/>
  <c r="D305" i="23"/>
  <c r="AE279" i="23" s="1"/>
  <c r="Z305" i="23"/>
  <c r="BA279" i="23" s="1"/>
  <c r="O305" i="23"/>
  <c r="AP279" i="23" s="1"/>
  <c r="C305" i="23"/>
  <c r="AD279" i="23" s="1"/>
  <c r="AZ282" i="23"/>
  <c r="AY282" i="23"/>
  <c r="AQ282" i="23"/>
  <c r="AI282" i="23"/>
  <c r="AW282" i="23"/>
  <c r="AO282" i="23"/>
  <c r="AG282" i="23"/>
  <c r="AV282" i="23"/>
  <c r="AN282" i="23"/>
  <c r="AF282" i="23"/>
  <c r="AJ282" i="23"/>
  <c r="AR282" i="23"/>
  <c r="H439" i="23"/>
  <c r="H453" i="23" s="1"/>
  <c r="H471" i="23" s="1"/>
  <c r="G26" i="39" s="1"/>
  <c r="AD282" i="23"/>
  <c r="AL282" i="23"/>
  <c r="AT282" i="23"/>
  <c r="AM280" i="23"/>
  <c r="AF342" i="23"/>
  <c r="AS342" i="23"/>
  <c r="B365" i="23"/>
  <c r="AC339" i="23" s="1"/>
  <c r="W365" i="23"/>
  <c r="AX339" i="23" s="1"/>
  <c r="AD403" i="23"/>
  <c r="AX403" i="23"/>
  <c r="BA397" i="23"/>
  <c r="AE401" i="23"/>
  <c r="T426" i="23"/>
  <c r="AU400" i="23" s="1"/>
  <c r="AE282" i="23"/>
  <c r="AM282" i="23"/>
  <c r="AU282" i="23"/>
  <c r="AF280" i="23"/>
  <c r="AN280" i="23"/>
  <c r="AV280" i="23"/>
  <c r="AG342" i="23"/>
  <c r="AV342" i="23"/>
  <c r="AI340" i="23"/>
  <c r="F365" i="23"/>
  <c r="AG339" i="23" s="1"/>
  <c r="AT401" i="23"/>
  <c r="AL401" i="23"/>
  <c r="AD401" i="23"/>
  <c r="BA403" i="23"/>
  <c r="AS403" i="23"/>
  <c r="AK403" i="23"/>
  <c r="AC403" i="23"/>
  <c r="AS401" i="23"/>
  <c r="AZ403" i="23"/>
  <c r="AR403" i="23"/>
  <c r="AJ403" i="23"/>
  <c r="AZ401" i="23"/>
  <c r="AY403" i="23"/>
  <c r="AQ403" i="23"/>
  <c r="AI403" i="23"/>
  <c r="AX401" i="23"/>
  <c r="AH401" i="23"/>
  <c r="AW403" i="23"/>
  <c r="AO403" i="23"/>
  <c r="AG403" i="23"/>
  <c r="AG401" i="23"/>
  <c r="AV403" i="23"/>
  <c r="AN403" i="23"/>
  <c r="AF403" i="23"/>
  <c r="AE403" i="23"/>
  <c r="C426" i="23"/>
  <c r="AD400" i="23" s="1"/>
  <c r="W426" i="23"/>
  <c r="AX400" i="23" s="1"/>
  <c r="AX399" i="23"/>
  <c r="J439" i="23" s="1"/>
  <c r="J453" i="23" s="1"/>
  <c r="J471" i="23" s="1"/>
  <c r="G28" i="39" s="1"/>
  <c r="D426" i="23"/>
  <c r="AE400" i="23" s="1"/>
  <c r="BA276" i="23"/>
  <c r="U365" i="23"/>
  <c r="AV339" i="23" s="1"/>
  <c r="M365" i="23"/>
  <c r="AN339" i="23" s="1"/>
  <c r="E365" i="23"/>
  <c r="AF339" i="23" s="1"/>
  <c r="T365" i="23"/>
  <c r="AU339" i="23" s="1"/>
  <c r="L365" i="23"/>
  <c r="AM339" i="23" s="1"/>
  <c r="D365" i="23"/>
  <c r="AE339" i="23" s="1"/>
  <c r="S365" i="23"/>
  <c r="AT339" i="23" s="1"/>
  <c r="K365" i="23"/>
  <c r="AL339" i="23" s="1"/>
  <c r="C365" i="23"/>
  <c r="AD339" i="23" s="1"/>
  <c r="Y365" i="23"/>
  <c r="AZ339" i="23" s="1"/>
  <c r="Q365" i="23"/>
  <c r="AR339" i="23" s="1"/>
  <c r="I365" i="23"/>
  <c r="AJ339" i="23" s="1"/>
  <c r="X365" i="23"/>
  <c r="AY339" i="23" s="1"/>
  <c r="P365" i="23"/>
  <c r="AQ339" i="23" s="1"/>
  <c r="H365" i="23"/>
  <c r="AI339" i="23" s="1"/>
  <c r="AK342" i="23"/>
  <c r="AX342" i="23"/>
  <c r="J365" i="23"/>
  <c r="AK339" i="23" s="1"/>
  <c r="G426" i="23"/>
  <c r="AH400" i="23" s="1"/>
  <c r="AH282" i="23"/>
  <c r="AP282" i="23"/>
  <c r="AX282" i="23"/>
  <c r="AQ280" i="23"/>
  <c r="AY280" i="23"/>
  <c r="AR338" i="23"/>
  <c r="I439" i="23" s="1"/>
  <c r="I453" i="23" s="1"/>
  <c r="I471" i="23" s="1"/>
  <c r="G27" i="39" s="1"/>
  <c r="AM342" i="23"/>
  <c r="N365" i="23"/>
  <c r="AO339" i="23" s="1"/>
  <c r="K426" i="23"/>
  <c r="AL400" i="23" s="1"/>
  <c r="AU342" i="23"/>
  <c r="AT342" i="23"/>
  <c r="AL342" i="23"/>
  <c r="AD342" i="23"/>
  <c r="AZ342" i="23"/>
  <c r="AR342" i="23"/>
  <c r="AJ342" i="23"/>
  <c r="AY342" i="23"/>
  <c r="AQ342" i="23"/>
  <c r="AI342" i="23"/>
  <c r="AN342" i="23"/>
  <c r="O365" i="23"/>
  <c r="AP339" i="23" s="1"/>
  <c r="AW340" i="23"/>
  <c r="AV340" i="23"/>
  <c r="AU340" i="23"/>
  <c r="AE340" i="23"/>
  <c r="BA340" i="23"/>
  <c r="AS340" i="23"/>
  <c r="AC340" i="23"/>
  <c r="AJ340" i="23"/>
  <c r="AC342" i="23"/>
  <c r="AO342" i="23"/>
  <c r="AD340" i="23"/>
  <c r="AX340" i="23"/>
  <c r="R365" i="23"/>
  <c r="AS339" i="23" s="1"/>
  <c r="Z426" i="23"/>
  <c r="BA400" i="23" s="1"/>
  <c r="R426" i="23"/>
  <c r="AS400" i="23" s="1"/>
  <c r="J426" i="23"/>
  <c r="AK400" i="23" s="1"/>
  <c r="B426" i="23"/>
  <c r="AC400" i="23" s="1"/>
  <c r="Y426" i="23"/>
  <c r="AZ400" i="23" s="1"/>
  <c r="Q426" i="23"/>
  <c r="AR400" i="23" s="1"/>
  <c r="I426" i="23"/>
  <c r="AJ400" i="23" s="1"/>
  <c r="X426" i="23"/>
  <c r="AY400" i="23" s="1"/>
  <c r="P426" i="23"/>
  <c r="AQ400" i="23" s="1"/>
  <c r="H426" i="23"/>
  <c r="AI400" i="23" s="1"/>
  <c r="V426" i="23"/>
  <c r="AW400" i="23" s="1"/>
  <c r="N426" i="23"/>
  <c r="AO400" i="23" s="1"/>
  <c r="F426" i="23"/>
  <c r="AG400" i="23" s="1"/>
  <c r="U426" i="23"/>
  <c r="AV400" i="23" s="1"/>
  <c r="M426" i="23"/>
  <c r="AN400" i="23" s="1"/>
  <c r="E426" i="23"/>
  <c r="AF400" i="23" s="1"/>
  <c r="O426" i="23"/>
  <c r="AP400" i="23" s="1"/>
  <c r="AC282" i="23"/>
  <c r="AK282" i="23"/>
  <c r="AS282" i="23"/>
  <c r="BA282" i="23"/>
  <c r="AL280" i="23"/>
  <c r="AE342" i="23"/>
  <c r="AP342" i="23"/>
  <c r="V365" i="23"/>
  <c r="AW339" i="23" s="1"/>
  <c r="AV401" i="23"/>
  <c r="S426" i="23"/>
  <c r="AT400" i="23" s="1"/>
  <c r="N365" i="22"/>
  <c r="AO339" i="22" s="1"/>
  <c r="AG403" i="22"/>
  <c r="AR403" i="22"/>
  <c r="AW403" i="22"/>
  <c r="AI342" i="22"/>
  <c r="AL342" i="22"/>
  <c r="AO342" i="22"/>
  <c r="AD282" i="22"/>
  <c r="AI282" i="22"/>
  <c r="AT282" i="22"/>
  <c r="W305" i="22"/>
  <c r="AX279" i="22" s="1"/>
  <c r="O305" i="22"/>
  <c r="AP279" i="22" s="1"/>
  <c r="V305" i="22"/>
  <c r="AW279" i="22" s="1"/>
  <c r="N305" i="22"/>
  <c r="AO279" i="22" s="1"/>
  <c r="T305" i="22"/>
  <c r="AU279" i="22" s="1"/>
  <c r="L305" i="22"/>
  <c r="AM279" i="22" s="1"/>
  <c r="S305" i="22"/>
  <c r="AT279" i="22" s="1"/>
  <c r="K305" i="22"/>
  <c r="AL279" i="22" s="1"/>
  <c r="Y305" i="22"/>
  <c r="AZ279" i="22" s="1"/>
  <c r="Q305" i="22"/>
  <c r="AR279" i="22" s="1"/>
  <c r="I305" i="22"/>
  <c r="AJ279" i="22" s="1"/>
  <c r="Z305" i="22"/>
  <c r="BA279" i="22" s="1"/>
  <c r="G305" i="22"/>
  <c r="AH279" i="22" s="1"/>
  <c r="X305" i="22"/>
  <c r="AY279" i="22" s="1"/>
  <c r="F305" i="22"/>
  <c r="AG279" i="22" s="1"/>
  <c r="U305" i="22"/>
  <c r="AV279" i="22" s="1"/>
  <c r="E305" i="22"/>
  <c r="AF279" i="22" s="1"/>
  <c r="R305" i="22"/>
  <c r="AS279" i="22" s="1"/>
  <c r="D305" i="22"/>
  <c r="AE279" i="22" s="1"/>
  <c r="H305" i="22"/>
  <c r="AI279" i="22" s="1"/>
  <c r="P305" i="22"/>
  <c r="AQ279" i="22" s="1"/>
  <c r="C305" i="22"/>
  <c r="AD279" i="22" s="1"/>
  <c r="M305" i="22"/>
  <c r="AN279" i="22" s="1"/>
  <c r="B305" i="22"/>
  <c r="AC279" i="22" s="1"/>
  <c r="J305" i="22"/>
  <c r="AK279" i="22" s="1"/>
  <c r="I437" i="22"/>
  <c r="I451" i="22" s="1"/>
  <c r="I469" i="22" s="1"/>
  <c r="E41" i="39" s="1"/>
  <c r="H437" i="22"/>
  <c r="H451" i="22" s="1"/>
  <c r="H469" i="22" s="1"/>
  <c r="E40" i="39" s="1"/>
  <c r="S426" i="22"/>
  <c r="AT400" i="22" s="1"/>
  <c r="K426" i="22"/>
  <c r="AL400" i="22" s="1"/>
  <c r="C426" i="22"/>
  <c r="AD400" i="22" s="1"/>
  <c r="Z426" i="22"/>
  <c r="BA400" i="22" s="1"/>
  <c r="R426" i="22"/>
  <c r="AS400" i="22" s="1"/>
  <c r="J426" i="22"/>
  <c r="AK400" i="22" s="1"/>
  <c r="B426" i="22"/>
  <c r="AC400" i="22" s="1"/>
  <c r="Y426" i="22"/>
  <c r="AZ400" i="22" s="1"/>
  <c r="Q426" i="22"/>
  <c r="AR400" i="22" s="1"/>
  <c r="I426" i="22"/>
  <c r="AJ400" i="22" s="1"/>
  <c r="X426" i="22"/>
  <c r="AY400" i="22" s="1"/>
  <c r="P426" i="22"/>
  <c r="AQ400" i="22" s="1"/>
  <c r="H426" i="22"/>
  <c r="AI400" i="22" s="1"/>
  <c r="W426" i="22"/>
  <c r="AX400" i="22" s="1"/>
  <c r="O426" i="22"/>
  <c r="AP400" i="22" s="1"/>
  <c r="G426" i="22"/>
  <c r="AH400" i="22" s="1"/>
  <c r="U426" i="22"/>
  <c r="AV400" i="22" s="1"/>
  <c r="M426" i="22"/>
  <c r="AN400" i="22" s="1"/>
  <c r="E426" i="22"/>
  <c r="AF400" i="22" s="1"/>
  <c r="AX278" i="22"/>
  <c r="H439" i="22" s="1"/>
  <c r="H453" i="22" s="1"/>
  <c r="H471" i="22" s="1"/>
  <c r="G40" i="39" s="1"/>
  <c r="AJ282" i="22"/>
  <c r="AR282" i="22"/>
  <c r="AZ282" i="22"/>
  <c r="AC280" i="22"/>
  <c r="AK280" i="22"/>
  <c r="AS280" i="22"/>
  <c r="AC282" i="22"/>
  <c r="AK282" i="22"/>
  <c r="AS282" i="22"/>
  <c r="BA282" i="22"/>
  <c r="AD280" i="22"/>
  <c r="AL280" i="22"/>
  <c r="AT280" i="22"/>
  <c r="U365" i="22"/>
  <c r="AV339" i="22" s="1"/>
  <c r="M365" i="22"/>
  <c r="AN339" i="22" s="1"/>
  <c r="E365" i="22"/>
  <c r="AF339" i="22" s="1"/>
  <c r="T365" i="22"/>
  <c r="AU339" i="22" s="1"/>
  <c r="L365" i="22"/>
  <c r="AM339" i="22" s="1"/>
  <c r="D365" i="22"/>
  <c r="AE339" i="22" s="1"/>
  <c r="Z365" i="22"/>
  <c r="BA339" i="22" s="1"/>
  <c r="R365" i="22"/>
  <c r="AS339" i="22" s="1"/>
  <c r="J365" i="22"/>
  <c r="AK339" i="22" s="1"/>
  <c r="B365" i="22"/>
  <c r="AC339" i="22" s="1"/>
  <c r="Y365" i="22"/>
  <c r="AZ339" i="22" s="1"/>
  <c r="Q365" i="22"/>
  <c r="AR339" i="22" s="1"/>
  <c r="I365" i="22"/>
  <c r="AJ339" i="22" s="1"/>
  <c r="W365" i="22"/>
  <c r="AX339" i="22" s="1"/>
  <c r="O365" i="22"/>
  <c r="AP339" i="22" s="1"/>
  <c r="G365" i="22"/>
  <c r="AH339" i="22" s="1"/>
  <c r="S365" i="22"/>
  <c r="AT339" i="22" s="1"/>
  <c r="AV403" i="22"/>
  <c r="AN403" i="22"/>
  <c r="AF403" i="22"/>
  <c r="AJ403" i="22"/>
  <c r="D426" i="22"/>
  <c r="AE400" i="22" s="1"/>
  <c r="AL282" i="22"/>
  <c r="AE280" i="22"/>
  <c r="AM280" i="22"/>
  <c r="V365" i="22"/>
  <c r="AW339" i="22" s="1"/>
  <c r="F426" i="22"/>
  <c r="AG400" i="22" s="1"/>
  <c r="AE282" i="22"/>
  <c r="AM282" i="22"/>
  <c r="AU282" i="22"/>
  <c r="AF280" i="22"/>
  <c r="AN280" i="22"/>
  <c r="AV342" i="22"/>
  <c r="AN342" i="22"/>
  <c r="AF342" i="22"/>
  <c r="AU342" i="22"/>
  <c r="AM342" i="22"/>
  <c r="AE342" i="22"/>
  <c r="BA342" i="22"/>
  <c r="AS342" i="22"/>
  <c r="AK342" i="22"/>
  <c r="AC342" i="22"/>
  <c r="AZ342" i="22"/>
  <c r="AR342" i="22"/>
  <c r="AJ342" i="22"/>
  <c r="AX342" i="22"/>
  <c r="AP342" i="22"/>
  <c r="AH342" i="22"/>
  <c r="AD342" i="22"/>
  <c r="AY342" i="22"/>
  <c r="C365" i="22"/>
  <c r="AD339" i="22" s="1"/>
  <c r="X365" i="22"/>
  <c r="AY339" i="22" s="1"/>
  <c r="AC395" i="22"/>
  <c r="AO403" i="22"/>
  <c r="L426" i="22"/>
  <c r="AM400" i="22" s="1"/>
  <c r="AW280" i="22"/>
  <c r="F365" i="22"/>
  <c r="AG339" i="22" s="1"/>
  <c r="N426" i="22"/>
  <c r="AO400" i="22" s="1"/>
  <c r="AG282" i="22"/>
  <c r="AO282" i="22"/>
  <c r="AW282" i="22"/>
  <c r="AH280" i="22"/>
  <c r="AP280" i="22"/>
  <c r="AX280" i="22"/>
  <c r="H365" i="22"/>
  <c r="AI339" i="22" s="1"/>
  <c r="T426" i="22"/>
  <c r="AU400" i="22" s="1"/>
  <c r="AH282" i="22"/>
  <c r="AP282" i="22"/>
  <c r="AX282" i="22"/>
  <c r="AI280" i="22"/>
  <c r="K365" i="22"/>
  <c r="AL339" i="22" s="1"/>
  <c r="V426" i="22"/>
  <c r="AW400" i="22" s="1"/>
  <c r="AY340" i="22"/>
  <c r="AG401" i="22"/>
  <c r="AO401" i="22"/>
  <c r="AW401" i="22"/>
  <c r="AS340" i="22"/>
  <c r="BA340" i="22"/>
  <c r="AR399" i="22"/>
  <c r="J439" i="22" s="1"/>
  <c r="J453" i="22" s="1"/>
  <c r="J471" i="22" s="1"/>
  <c r="G42" i="39" s="1"/>
  <c r="AH403" i="22"/>
  <c r="AP403" i="22"/>
  <c r="AX403" i="22"/>
  <c r="AI401" i="22"/>
  <c r="AQ401" i="22"/>
  <c r="AY401" i="22"/>
  <c r="AD340" i="22"/>
  <c r="AL340" i="22"/>
  <c r="AT340" i="22"/>
  <c r="AI403" i="22"/>
  <c r="AQ403" i="22"/>
  <c r="AY403" i="22"/>
  <c r="AZ401" i="22"/>
  <c r="AF340" i="22"/>
  <c r="AC403" i="22"/>
  <c r="AK403" i="22"/>
  <c r="AS403" i="22"/>
  <c r="BA403" i="22"/>
  <c r="AD401" i="22"/>
  <c r="AT401" i="22"/>
  <c r="AG340" i="22"/>
  <c r="AO340" i="22"/>
  <c r="AD403" i="22"/>
  <c r="AL403" i="22"/>
  <c r="AT403" i="22"/>
  <c r="AE401" i="22"/>
  <c r="AM401" i="22"/>
  <c r="AK280" i="9"/>
  <c r="AS280" i="9"/>
  <c r="BA280" i="9"/>
  <c r="AJ280" i="9"/>
  <c r="AY342" i="9"/>
  <c r="AI342" i="9"/>
  <c r="AY282" i="9"/>
  <c r="H305" i="9"/>
  <c r="AI279" i="9" s="1"/>
  <c r="BA276" i="9"/>
  <c r="AO278" i="9"/>
  <c r="H439" i="9" s="1"/>
  <c r="AI282" i="9"/>
  <c r="J305" i="9"/>
  <c r="AK279" i="9" s="1"/>
  <c r="AO342" i="9"/>
  <c r="AT403" i="9"/>
  <c r="AM403" i="9"/>
  <c r="AX282" i="9"/>
  <c r="AP282" i="9"/>
  <c r="AH282" i="9"/>
  <c r="AW282" i="9"/>
  <c r="AO282" i="9"/>
  <c r="AG282" i="9"/>
  <c r="AV282" i="9"/>
  <c r="AN282" i="9"/>
  <c r="AF282" i="9"/>
  <c r="AT282" i="9"/>
  <c r="AL282" i="9"/>
  <c r="AD282" i="9"/>
  <c r="AJ282" i="9"/>
  <c r="AZ282" i="9"/>
  <c r="AO403" i="9"/>
  <c r="D426" i="9"/>
  <c r="AE400" i="9" s="1"/>
  <c r="W305" i="9"/>
  <c r="AX279" i="9" s="1"/>
  <c r="O305" i="9"/>
  <c r="AP279" i="9" s="1"/>
  <c r="G305" i="9"/>
  <c r="AH279" i="9" s="1"/>
  <c r="V305" i="9"/>
  <c r="AW279" i="9" s="1"/>
  <c r="N305" i="9"/>
  <c r="AO279" i="9" s="1"/>
  <c r="F305" i="9"/>
  <c r="AG279" i="9" s="1"/>
  <c r="U305" i="9"/>
  <c r="AV279" i="9" s="1"/>
  <c r="M305" i="9"/>
  <c r="AN279" i="9" s="1"/>
  <c r="E305" i="9"/>
  <c r="AF279" i="9" s="1"/>
  <c r="T305" i="9"/>
  <c r="AU279" i="9" s="1"/>
  <c r="L305" i="9"/>
  <c r="AM279" i="9" s="1"/>
  <c r="D305" i="9"/>
  <c r="AE279" i="9" s="1"/>
  <c r="S305" i="9"/>
  <c r="AT279" i="9" s="1"/>
  <c r="K305" i="9"/>
  <c r="AL279" i="9" s="1"/>
  <c r="C305" i="9"/>
  <c r="AD279" i="9" s="1"/>
  <c r="Y305" i="9"/>
  <c r="AZ279" i="9" s="1"/>
  <c r="Q305" i="9"/>
  <c r="AR279" i="9" s="1"/>
  <c r="I305" i="9"/>
  <c r="AJ279" i="9" s="1"/>
  <c r="AK282" i="9"/>
  <c r="BA282" i="9"/>
  <c r="R305" i="9"/>
  <c r="AS279" i="9" s="1"/>
  <c r="AW342" i="9"/>
  <c r="AU403" i="9"/>
  <c r="F426" i="9"/>
  <c r="AG400" i="9" s="1"/>
  <c r="J437" i="9"/>
  <c r="AG403" i="9"/>
  <c r="AM282" i="9"/>
  <c r="X305" i="9"/>
  <c r="AY279" i="9" s="1"/>
  <c r="AW403" i="9"/>
  <c r="L426" i="9"/>
  <c r="AM400" i="9" s="1"/>
  <c r="AQ282" i="9"/>
  <c r="Z305" i="9"/>
  <c r="BA279" i="9" s="1"/>
  <c r="U365" i="9"/>
  <c r="AV339" i="9" s="1"/>
  <c r="K365" i="9"/>
  <c r="AL339" i="9" s="1"/>
  <c r="C365" i="9"/>
  <c r="AD339" i="9" s="1"/>
  <c r="I365" i="9"/>
  <c r="AJ339" i="9" s="1"/>
  <c r="W365" i="9"/>
  <c r="AX339" i="9" s="1"/>
  <c r="I439" i="9"/>
  <c r="S426" i="9"/>
  <c r="AT400" i="9" s="1"/>
  <c r="K426" i="9"/>
  <c r="AL400" i="9" s="1"/>
  <c r="C426" i="9"/>
  <c r="AD400" i="9" s="1"/>
  <c r="Z426" i="9"/>
  <c r="BA400" i="9" s="1"/>
  <c r="R426" i="9"/>
  <c r="AS400" i="9" s="1"/>
  <c r="J426" i="9"/>
  <c r="AK400" i="9" s="1"/>
  <c r="B426" i="9"/>
  <c r="AC400" i="9" s="1"/>
  <c r="Y426" i="9"/>
  <c r="AZ400" i="9" s="1"/>
  <c r="Q426" i="9"/>
  <c r="AR400" i="9" s="1"/>
  <c r="I426" i="9"/>
  <c r="AJ400" i="9" s="1"/>
  <c r="X426" i="9"/>
  <c r="AY400" i="9" s="1"/>
  <c r="P426" i="9"/>
  <c r="AQ400" i="9" s="1"/>
  <c r="H426" i="9"/>
  <c r="AI400" i="9" s="1"/>
  <c r="W426" i="9"/>
  <c r="AX400" i="9" s="1"/>
  <c r="O426" i="9"/>
  <c r="AP400" i="9" s="1"/>
  <c r="G426" i="9"/>
  <c r="AH400" i="9" s="1"/>
  <c r="U426" i="9"/>
  <c r="AV400" i="9" s="1"/>
  <c r="M426" i="9"/>
  <c r="AN400" i="9" s="1"/>
  <c r="E426" i="9"/>
  <c r="AF400" i="9" s="1"/>
  <c r="T426" i="9"/>
  <c r="AU400" i="9" s="1"/>
  <c r="AC282" i="9"/>
  <c r="AS282" i="9"/>
  <c r="AD280" i="9"/>
  <c r="AL280" i="9"/>
  <c r="AT280" i="9"/>
  <c r="AV342" i="9"/>
  <c r="AN342" i="9"/>
  <c r="AF342" i="9"/>
  <c r="AU342" i="9"/>
  <c r="AM342" i="9"/>
  <c r="AE342" i="9"/>
  <c r="AT342" i="9"/>
  <c r="AL342" i="9"/>
  <c r="AD342" i="9"/>
  <c r="BA342" i="9"/>
  <c r="AS342" i="9"/>
  <c r="AK342" i="9"/>
  <c r="AZ342" i="9"/>
  <c r="AR342" i="9"/>
  <c r="AJ342" i="9"/>
  <c r="AX342" i="9"/>
  <c r="AP342" i="9"/>
  <c r="AH342" i="9"/>
  <c r="AG342" i="9"/>
  <c r="V426" i="9"/>
  <c r="AW400" i="9" s="1"/>
  <c r="AF403" i="9"/>
  <c r="AN403" i="9"/>
  <c r="AV403" i="9"/>
  <c r="AH403" i="9"/>
  <c r="AP403" i="9"/>
  <c r="AX403" i="9"/>
  <c r="AI403" i="9"/>
  <c r="AQ403" i="9"/>
  <c r="AY403" i="9"/>
  <c r="AJ403" i="9"/>
  <c r="AR403" i="9"/>
  <c r="AZ403" i="9"/>
  <c r="AC403" i="9"/>
  <c r="AK403" i="9"/>
  <c r="AS403" i="9"/>
  <c r="BA403" i="9"/>
  <c r="AD403" i="9"/>
  <c r="AL403" i="9"/>
  <c r="AE401" i="32"/>
  <c r="AY401" i="32"/>
  <c r="B380" i="32"/>
  <c r="R426" i="32" s="1"/>
  <c r="AS400" i="32" s="1"/>
  <c r="AK340" i="32"/>
  <c r="AS340" i="32"/>
  <c r="AN340" i="32"/>
  <c r="AC340" i="32"/>
  <c r="AY280" i="32"/>
  <c r="AH280" i="32"/>
  <c r="I437" i="32"/>
  <c r="AY282" i="32"/>
  <c r="AV342" i="32"/>
  <c r="AN342" i="32"/>
  <c r="AF342" i="32"/>
  <c r="AU342" i="32"/>
  <c r="AM342" i="32"/>
  <c r="AE342" i="32"/>
  <c r="AT342" i="32"/>
  <c r="AL342" i="32"/>
  <c r="AD342" i="32"/>
  <c r="BA342" i="32"/>
  <c r="AS342" i="32"/>
  <c r="AK342" i="32"/>
  <c r="AC342" i="32"/>
  <c r="AZ342" i="32"/>
  <c r="AR342" i="32"/>
  <c r="AJ342" i="32"/>
  <c r="AX342" i="32"/>
  <c r="AP342" i="32"/>
  <c r="AH342" i="32"/>
  <c r="AI342" i="32"/>
  <c r="AC282" i="32"/>
  <c r="AZ282" i="32"/>
  <c r="AC280" i="32"/>
  <c r="AK280" i="32"/>
  <c r="AS280" i="32"/>
  <c r="BA280" i="32"/>
  <c r="AO342" i="32"/>
  <c r="F365" i="32"/>
  <c r="AG339" i="32" s="1"/>
  <c r="AT280" i="32"/>
  <c r="AQ342" i="32"/>
  <c r="AJ282" i="32"/>
  <c r="AW342" i="32"/>
  <c r="AY403" i="32"/>
  <c r="AQ403" i="32"/>
  <c r="AI403" i="32"/>
  <c r="AV403" i="32"/>
  <c r="AN403" i="32"/>
  <c r="AF403" i="32"/>
  <c r="AM403" i="32"/>
  <c r="AO278" i="32"/>
  <c r="H439" i="32" s="1"/>
  <c r="AY342" i="32"/>
  <c r="P365" i="32"/>
  <c r="AQ339" i="32" s="1"/>
  <c r="AT403" i="32"/>
  <c r="AO403" i="32"/>
  <c r="AX282" i="32"/>
  <c r="AP282" i="32"/>
  <c r="AH282" i="32"/>
  <c r="AW282" i="32"/>
  <c r="AO282" i="32"/>
  <c r="AG282" i="32"/>
  <c r="AV282" i="32"/>
  <c r="AN282" i="32"/>
  <c r="AF282" i="32"/>
  <c r="AU282" i="32"/>
  <c r="AM282" i="32"/>
  <c r="AE282" i="32"/>
  <c r="AT282" i="32"/>
  <c r="AL282" i="32"/>
  <c r="AD282" i="32"/>
  <c r="AQ282" i="32"/>
  <c r="AU403" i="32"/>
  <c r="AR282" i="32"/>
  <c r="E365" i="32"/>
  <c r="AF339" i="32" s="1"/>
  <c r="T365" i="32"/>
  <c r="AU339" i="32" s="1"/>
  <c r="L365" i="32"/>
  <c r="AM339" i="32" s="1"/>
  <c r="R365" i="32"/>
  <c r="AS339" i="32" s="1"/>
  <c r="J365" i="32"/>
  <c r="AK339" i="32" s="1"/>
  <c r="B365" i="32"/>
  <c r="AC339" i="32" s="1"/>
  <c r="G365" i="32"/>
  <c r="AH339" i="32" s="1"/>
  <c r="AU338" i="32"/>
  <c r="X365" i="32"/>
  <c r="AY339" i="32" s="1"/>
  <c r="AR399" i="32"/>
  <c r="AH403" i="32"/>
  <c r="AP403" i="32"/>
  <c r="AX403" i="32"/>
  <c r="AJ403" i="32"/>
  <c r="AR403" i="32"/>
  <c r="AZ403" i="32"/>
  <c r="AC403" i="32"/>
  <c r="AK403" i="32"/>
  <c r="AS403" i="32"/>
  <c r="BA403" i="32"/>
  <c r="AD403" i="32"/>
  <c r="AL403" i="32"/>
  <c r="AU342" i="8"/>
  <c r="AF282" i="8"/>
  <c r="AK342" i="8"/>
  <c r="AN342" i="8"/>
  <c r="T305" i="8"/>
  <c r="AU279" i="8" s="1"/>
  <c r="AS342" i="8"/>
  <c r="AT403" i="8"/>
  <c r="AY282" i="8"/>
  <c r="AJ282" i="8"/>
  <c r="AN282" i="8"/>
  <c r="AC342" i="8"/>
  <c r="AV342" i="8"/>
  <c r="AS403" i="8"/>
  <c r="AR282" i="8"/>
  <c r="B320" i="8"/>
  <c r="G365" i="8" s="1"/>
  <c r="AH339" i="8" s="1"/>
  <c r="AM342" i="8"/>
  <c r="AV282" i="8"/>
  <c r="AT342" i="8"/>
  <c r="AF342" i="8"/>
  <c r="AC282" i="8"/>
  <c r="AK282" i="8"/>
  <c r="AS282" i="8"/>
  <c r="BA282" i="8"/>
  <c r="AD282" i="8"/>
  <c r="AL282" i="8"/>
  <c r="AT282" i="8"/>
  <c r="AE282" i="8"/>
  <c r="AM282" i="8"/>
  <c r="AU282" i="8"/>
  <c r="E305" i="8"/>
  <c r="AF279" i="8" s="1"/>
  <c r="AG282" i="8"/>
  <c r="AO282" i="8"/>
  <c r="AW282" i="8"/>
  <c r="S305" i="8"/>
  <c r="AT279" i="8" s="1"/>
  <c r="AH282" i="8"/>
  <c r="AP282" i="8"/>
  <c r="AX282" i="8"/>
  <c r="O305" i="8"/>
  <c r="AP279" i="8" s="1"/>
  <c r="AI282" i="8"/>
  <c r="AQ282" i="8"/>
  <c r="AG342" i="8"/>
  <c r="AO342" i="8"/>
  <c r="AW342" i="8"/>
  <c r="AJ403" i="8"/>
  <c r="AH342" i="8"/>
  <c r="AP342" i="8"/>
  <c r="AX342" i="8"/>
  <c r="AY403" i="8"/>
  <c r="AQ403" i="8"/>
  <c r="AI403" i="8"/>
  <c r="AV403" i="8"/>
  <c r="AN403" i="8"/>
  <c r="AF403" i="8"/>
  <c r="AK403" i="8"/>
  <c r="AU403" i="8"/>
  <c r="AI342" i="8"/>
  <c r="AQ342" i="8"/>
  <c r="AY342" i="8"/>
  <c r="AL403" i="8"/>
  <c r="AW403" i="8"/>
  <c r="AJ342" i="8"/>
  <c r="AR342" i="8"/>
  <c r="AZ342" i="8"/>
  <c r="AC403" i="8"/>
  <c r="AM403" i="8"/>
  <c r="AX403" i="8"/>
  <c r="BA342" i="8"/>
  <c r="AD403" i="8"/>
  <c r="AO403" i="8"/>
  <c r="AZ403" i="8"/>
  <c r="AD342" i="8"/>
  <c r="AL342" i="8"/>
  <c r="AE403" i="8"/>
  <c r="AP403" i="8"/>
  <c r="BA403" i="8"/>
  <c r="B380" i="8"/>
  <c r="AG403" i="8"/>
  <c r="AR403" i="8"/>
  <c r="AJ403" i="7"/>
  <c r="AD403" i="7"/>
  <c r="AT403" i="7"/>
  <c r="AL403" i="7"/>
  <c r="AC403" i="7"/>
  <c r="AM342" i="7"/>
  <c r="AE342" i="7"/>
  <c r="AY403" i="7"/>
  <c r="AQ403" i="7"/>
  <c r="AI403" i="7"/>
  <c r="AZ342" i="7"/>
  <c r="AR342" i="7"/>
  <c r="AJ342" i="7"/>
  <c r="AX403" i="7"/>
  <c r="AP403" i="7"/>
  <c r="AH403" i="7"/>
  <c r="AY342" i="7"/>
  <c r="AQ342" i="7"/>
  <c r="AI342" i="7"/>
  <c r="AW403" i="7"/>
  <c r="AO403" i="7"/>
  <c r="AG403" i="7"/>
  <c r="AX342" i="7"/>
  <c r="AP342" i="7"/>
  <c r="AH342" i="7"/>
  <c r="AV403" i="7"/>
  <c r="AN403" i="7"/>
  <c r="AF403" i="7"/>
  <c r="AW342" i="7"/>
  <c r="AO342" i="7"/>
  <c r="AG342" i="7"/>
  <c r="AU403" i="7"/>
  <c r="AM403" i="7"/>
  <c r="AE403" i="7"/>
  <c r="AV342" i="7"/>
  <c r="AN342" i="7"/>
  <c r="AF342" i="7"/>
  <c r="BA403" i="7"/>
  <c r="AS403" i="7"/>
  <c r="AK403" i="7"/>
  <c r="AC342" i="7"/>
  <c r="AT342" i="7"/>
  <c r="AL342" i="7"/>
  <c r="AD342" i="7"/>
  <c r="AZ403" i="7"/>
  <c r="AR403" i="7"/>
  <c r="BA342" i="7"/>
  <c r="AS342" i="7"/>
  <c r="B320" i="7"/>
  <c r="G426" i="7" l="1"/>
  <c r="AH400" i="7" s="1"/>
  <c r="R305" i="26"/>
  <c r="AS279" i="26" s="1"/>
  <c r="O305" i="26"/>
  <c r="AP279" i="26" s="1"/>
  <c r="F305" i="26"/>
  <c r="AG279" i="26" s="1"/>
  <c r="U305" i="26"/>
  <c r="AV279" i="26" s="1"/>
  <c r="V305" i="26"/>
  <c r="AW279" i="26" s="1"/>
  <c r="I305" i="26"/>
  <c r="AJ279" i="26" s="1"/>
  <c r="Y365" i="24"/>
  <c r="AZ339" i="24" s="1"/>
  <c r="B365" i="24"/>
  <c r="AC339" i="24" s="1"/>
  <c r="L365" i="24"/>
  <c r="AM339" i="24" s="1"/>
  <c r="H305" i="24"/>
  <c r="AI279" i="24" s="1"/>
  <c r="T305" i="24"/>
  <c r="AU279" i="24" s="1"/>
  <c r="O305" i="24"/>
  <c r="AP279" i="24" s="1"/>
  <c r="R305" i="24"/>
  <c r="AS279" i="24" s="1"/>
  <c r="W305" i="24"/>
  <c r="AX279" i="24" s="1"/>
  <c r="F365" i="24"/>
  <c r="AG339" i="24" s="1"/>
  <c r="R365" i="24"/>
  <c r="AS339" i="24" s="1"/>
  <c r="E365" i="24"/>
  <c r="AF339" i="24" s="1"/>
  <c r="S305" i="24"/>
  <c r="AT279" i="24" s="1"/>
  <c r="K305" i="24"/>
  <c r="AL279" i="24" s="1"/>
  <c r="M305" i="24"/>
  <c r="AN279" i="24" s="1"/>
  <c r="I305" i="24"/>
  <c r="AJ279" i="24" s="1"/>
  <c r="E305" i="24"/>
  <c r="AF279" i="24" s="1"/>
  <c r="U305" i="24"/>
  <c r="AV279" i="24" s="1"/>
  <c r="V365" i="24"/>
  <c r="AW339" i="24" s="1"/>
  <c r="C365" i="24"/>
  <c r="AD339" i="24" s="1"/>
  <c r="I440" i="24" s="1"/>
  <c r="I454" i="24" s="1"/>
  <c r="I472" i="24" s="1"/>
  <c r="H13" i="39" s="1"/>
  <c r="U365" i="24"/>
  <c r="AV339" i="24" s="1"/>
  <c r="X305" i="24"/>
  <c r="AY279" i="24" s="1"/>
  <c r="Q305" i="24"/>
  <c r="AR279" i="24" s="1"/>
  <c r="F305" i="24"/>
  <c r="AG279" i="24" s="1"/>
  <c r="J305" i="24"/>
  <c r="AK279" i="24" s="1"/>
  <c r="B305" i="24"/>
  <c r="AC279" i="24" s="1"/>
  <c r="P365" i="24"/>
  <c r="AQ339" i="24" s="1"/>
  <c r="G365" i="24"/>
  <c r="AH339" i="24" s="1"/>
  <c r="K365" i="24"/>
  <c r="AL339" i="24" s="1"/>
  <c r="P305" i="24"/>
  <c r="AQ279" i="24" s="1"/>
  <c r="Y305" i="24"/>
  <c r="AZ279" i="24" s="1"/>
  <c r="N305" i="24"/>
  <c r="AO279" i="24" s="1"/>
  <c r="C305" i="24"/>
  <c r="AD279" i="24" s="1"/>
  <c r="D305" i="24"/>
  <c r="AE279" i="24" s="1"/>
  <c r="D426" i="24"/>
  <c r="AE400" i="24" s="1"/>
  <c r="X426" i="24"/>
  <c r="AY400" i="24" s="1"/>
  <c r="C426" i="24"/>
  <c r="AD400" i="24" s="1"/>
  <c r="M426" i="24"/>
  <c r="AN400" i="24" s="1"/>
  <c r="B426" i="24"/>
  <c r="AC400" i="24" s="1"/>
  <c r="N426" i="24"/>
  <c r="AO400" i="24" s="1"/>
  <c r="L305" i="8"/>
  <c r="AM279" i="8" s="1"/>
  <c r="J305" i="8"/>
  <c r="AK279" i="8" s="1"/>
  <c r="X305" i="8"/>
  <c r="AY279" i="8" s="1"/>
  <c r="Y305" i="8"/>
  <c r="AZ279" i="8" s="1"/>
  <c r="K305" i="8"/>
  <c r="AL279" i="8" s="1"/>
  <c r="E305" i="33"/>
  <c r="AF279" i="33" s="1"/>
  <c r="G305" i="33"/>
  <c r="AH279" i="33" s="1"/>
  <c r="F305" i="33"/>
  <c r="AG279" i="33" s="1"/>
  <c r="Y305" i="33"/>
  <c r="AZ279" i="33" s="1"/>
  <c r="R305" i="33"/>
  <c r="AS279" i="33" s="1"/>
  <c r="I441" i="24"/>
  <c r="I455" i="24" s="1"/>
  <c r="I473" i="24" s="1"/>
  <c r="I13" i="39" s="1"/>
  <c r="AV343" i="33"/>
  <c r="I19" i="43"/>
  <c r="I31" i="43" s="1"/>
  <c r="F305" i="8"/>
  <c r="AG279" i="8" s="1"/>
  <c r="D305" i="8"/>
  <c r="AE279" i="8" s="1"/>
  <c r="R305" i="8"/>
  <c r="AS279" i="8" s="1"/>
  <c r="I305" i="8"/>
  <c r="AJ279" i="8" s="1"/>
  <c r="H305" i="8"/>
  <c r="AI279" i="8" s="1"/>
  <c r="P305" i="8"/>
  <c r="AQ279" i="8" s="1"/>
  <c r="U305" i="8"/>
  <c r="AV279" i="8" s="1"/>
  <c r="Q305" i="8"/>
  <c r="AR279" i="8" s="1"/>
  <c r="M305" i="8"/>
  <c r="AN279" i="8" s="1"/>
  <c r="V305" i="8"/>
  <c r="AW279" i="8" s="1"/>
  <c r="B305" i="8"/>
  <c r="AC279" i="8" s="1"/>
  <c r="G305" i="8"/>
  <c r="AH279" i="8" s="1"/>
  <c r="Z305" i="8"/>
  <c r="BA279" i="8" s="1"/>
  <c r="W305" i="8"/>
  <c r="AX279" i="8" s="1"/>
  <c r="C305" i="8"/>
  <c r="AD279" i="8" s="1"/>
  <c r="F305" i="28"/>
  <c r="AG279" i="28" s="1"/>
  <c r="Y426" i="28"/>
  <c r="AZ400" i="28" s="1"/>
  <c r="V365" i="28"/>
  <c r="AW339" i="28" s="1"/>
  <c r="G426" i="28"/>
  <c r="AH400" i="28" s="1"/>
  <c r="J439" i="28"/>
  <c r="J453" i="28" s="1"/>
  <c r="J471" i="28" s="1"/>
  <c r="G14" i="40" s="1"/>
  <c r="P426" i="28"/>
  <c r="AQ400" i="28" s="1"/>
  <c r="Z365" i="28"/>
  <c r="BA339" i="28" s="1"/>
  <c r="D426" i="28"/>
  <c r="AE400" i="28" s="1"/>
  <c r="O426" i="28"/>
  <c r="AP400" i="28" s="1"/>
  <c r="B426" i="28"/>
  <c r="AC400" i="28" s="1"/>
  <c r="W426" i="28"/>
  <c r="AX400" i="28" s="1"/>
  <c r="J426" i="28"/>
  <c r="AK400" i="28" s="1"/>
  <c r="E426" i="28"/>
  <c r="AF400" i="28" s="1"/>
  <c r="H426" i="28"/>
  <c r="AI400" i="28" s="1"/>
  <c r="R426" i="28"/>
  <c r="AS400" i="28" s="1"/>
  <c r="F426" i="28"/>
  <c r="AG400" i="28" s="1"/>
  <c r="X426" i="28"/>
  <c r="AY400" i="28" s="1"/>
  <c r="C426" i="28"/>
  <c r="AD400" i="28" s="1"/>
  <c r="N426" i="28"/>
  <c r="AO400" i="28" s="1"/>
  <c r="I426" i="28"/>
  <c r="AJ400" i="28" s="1"/>
  <c r="K426" i="28"/>
  <c r="AL400" i="28" s="1"/>
  <c r="V426" i="28"/>
  <c r="AW400" i="28" s="1"/>
  <c r="Q426" i="28"/>
  <c r="AR400" i="28" s="1"/>
  <c r="V305" i="33"/>
  <c r="AW279" i="33" s="1"/>
  <c r="O305" i="33"/>
  <c r="AP279" i="33" s="1"/>
  <c r="B305" i="33"/>
  <c r="AC279" i="33" s="1"/>
  <c r="L305" i="33"/>
  <c r="AM279" i="33" s="1"/>
  <c r="N305" i="33"/>
  <c r="AO279" i="33" s="1"/>
  <c r="W305" i="33"/>
  <c r="AX279" i="33" s="1"/>
  <c r="J305" i="33"/>
  <c r="AK279" i="33" s="1"/>
  <c r="T305" i="33"/>
  <c r="AU279" i="33" s="1"/>
  <c r="P305" i="33"/>
  <c r="AQ279" i="33" s="1"/>
  <c r="Z305" i="33"/>
  <c r="BA279" i="33" s="1"/>
  <c r="M305" i="33"/>
  <c r="AN279" i="33" s="1"/>
  <c r="X305" i="33"/>
  <c r="AY279" i="33" s="1"/>
  <c r="C305" i="33"/>
  <c r="AD279" i="33" s="1"/>
  <c r="U305" i="33"/>
  <c r="AV279" i="33" s="1"/>
  <c r="I305" i="33"/>
  <c r="AJ279" i="33" s="1"/>
  <c r="K365" i="33"/>
  <c r="AL339" i="33" s="1"/>
  <c r="AL343" i="33" s="1"/>
  <c r="Q365" i="33"/>
  <c r="AR339" i="33" s="1"/>
  <c r="G365" i="33"/>
  <c r="AH339" i="33" s="1"/>
  <c r="Y365" i="33"/>
  <c r="AZ339" i="33" s="1"/>
  <c r="AZ343" i="33" s="1"/>
  <c r="D365" i="33"/>
  <c r="AE339" i="33" s="1"/>
  <c r="AE343" i="33" s="1"/>
  <c r="S365" i="33"/>
  <c r="AT339" i="33" s="1"/>
  <c r="V426" i="33"/>
  <c r="AW400" i="33" s="1"/>
  <c r="Q426" i="33"/>
  <c r="AR400" i="33" s="1"/>
  <c r="S426" i="33"/>
  <c r="AT400" i="33" s="1"/>
  <c r="O365" i="33"/>
  <c r="AP339" i="33" s="1"/>
  <c r="B365" i="33"/>
  <c r="AC339" i="33" s="1"/>
  <c r="L365" i="33"/>
  <c r="AM339" i="33" s="1"/>
  <c r="AM343" i="33" s="1"/>
  <c r="L426" i="33"/>
  <c r="AM400" i="33" s="1"/>
  <c r="N365" i="33"/>
  <c r="AO339" i="33" s="1"/>
  <c r="I365" i="33"/>
  <c r="AJ339" i="33" s="1"/>
  <c r="J365" i="33"/>
  <c r="AK339" i="33" s="1"/>
  <c r="AK343" i="33" s="1"/>
  <c r="T365" i="33"/>
  <c r="AU339" i="33" s="1"/>
  <c r="AU343" i="33" s="1"/>
  <c r="W365" i="33"/>
  <c r="AX339" i="33" s="1"/>
  <c r="AX343" i="33" s="1"/>
  <c r="O426" i="33"/>
  <c r="AP400" i="33" s="1"/>
  <c r="B426" i="33"/>
  <c r="AC400" i="33" s="1"/>
  <c r="H365" i="33"/>
  <c r="AI339" i="33" s="1"/>
  <c r="AI343" i="33" s="1"/>
  <c r="R365" i="33"/>
  <c r="AS339" i="33" s="1"/>
  <c r="E365" i="33"/>
  <c r="AF339" i="33" s="1"/>
  <c r="AF343" i="33" s="1"/>
  <c r="V365" i="33"/>
  <c r="AW339" i="33" s="1"/>
  <c r="AW343" i="33" s="1"/>
  <c r="P365" i="33"/>
  <c r="AQ339" i="33" s="1"/>
  <c r="AQ343" i="33" s="1"/>
  <c r="Z365" i="33"/>
  <c r="BA339" i="33" s="1"/>
  <c r="M365" i="33"/>
  <c r="AN339" i="33" s="1"/>
  <c r="AN343" i="33" s="1"/>
  <c r="M426" i="33"/>
  <c r="AN400" i="33" s="1"/>
  <c r="H426" i="33"/>
  <c r="AI400" i="33" s="1"/>
  <c r="R426" i="33"/>
  <c r="AS400" i="33" s="1"/>
  <c r="F365" i="33"/>
  <c r="AG339" i="33" s="1"/>
  <c r="X365" i="33"/>
  <c r="AY339" i="33" s="1"/>
  <c r="AY343" i="33" s="1"/>
  <c r="C365" i="33"/>
  <c r="AD339" i="33" s="1"/>
  <c r="AD343" i="33" s="1"/>
  <c r="I441" i="33"/>
  <c r="I455" i="33" s="1"/>
  <c r="I473" i="33" s="1"/>
  <c r="I55" i="39" s="1"/>
  <c r="J441" i="33"/>
  <c r="J455" i="33" s="1"/>
  <c r="J473" i="33" s="1"/>
  <c r="I56" i="39" s="1"/>
  <c r="O365" i="32"/>
  <c r="AP339" i="32" s="1"/>
  <c r="Z365" i="32"/>
  <c r="BA339" i="32" s="1"/>
  <c r="M365" i="32"/>
  <c r="AN339" i="32" s="1"/>
  <c r="N365" i="32"/>
  <c r="AO339" i="32" s="1"/>
  <c r="W365" i="32"/>
  <c r="AX339" i="32" s="1"/>
  <c r="C365" i="32"/>
  <c r="AD339" i="32" s="1"/>
  <c r="U365" i="32"/>
  <c r="AV339" i="32" s="1"/>
  <c r="I365" i="32"/>
  <c r="AJ339" i="32" s="1"/>
  <c r="K365" i="32"/>
  <c r="AL339" i="32" s="1"/>
  <c r="I265" i="43"/>
  <c r="S365" i="32"/>
  <c r="AT339" i="32" s="1"/>
  <c r="H365" i="32"/>
  <c r="AI339" i="32" s="1"/>
  <c r="I56" i="43"/>
  <c r="I68" i="43" s="1"/>
  <c r="Q365" i="32"/>
  <c r="AR339" i="32" s="1"/>
  <c r="Y365" i="32"/>
  <c r="AZ339" i="32" s="1"/>
  <c r="D365" i="32"/>
  <c r="AE339" i="32" s="1"/>
  <c r="M305" i="32"/>
  <c r="AN279" i="32" s="1"/>
  <c r="I289" i="43"/>
  <c r="H53" i="1"/>
  <c r="I252" i="43"/>
  <c r="I203" i="43"/>
  <c r="I227" i="43" s="1"/>
  <c r="I439" i="32"/>
  <c r="I453" i="32" s="1"/>
  <c r="I240" i="43"/>
  <c r="X305" i="32"/>
  <c r="AY279" i="32" s="1"/>
  <c r="P305" i="32"/>
  <c r="AQ279" i="32" s="1"/>
  <c r="B305" i="32"/>
  <c r="AC279" i="32" s="1"/>
  <c r="C305" i="32"/>
  <c r="AD279" i="32" s="1"/>
  <c r="U305" i="32"/>
  <c r="AV279" i="32" s="1"/>
  <c r="Y305" i="32"/>
  <c r="AZ279" i="32" s="1"/>
  <c r="K305" i="32"/>
  <c r="AL279" i="32" s="1"/>
  <c r="F305" i="32"/>
  <c r="AG279" i="32" s="1"/>
  <c r="H305" i="32"/>
  <c r="AI279" i="32" s="1"/>
  <c r="S305" i="32"/>
  <c r="AT279" i="32" s="1"/>
  <c r="N305" i="32"/>
  <c r="AO279" i="32" s="1"/>
  <c r="Z305" i="32"/>
  <c r="BA279" i="32" s="1"/>
  <c r="D305" i="32"/>
  <c r="AE279" i="32" s="1"/>
  <c r="V305" i="32"/>
  <c r="AW279" i="32" s="1"/>
  <c r="I305" i="32"/>
  <c r="AJ279" i="32" s="1"/>
  <c r="L305" i="32"/>
  <c r="AM279" i="32" s="1"/>
  <c r="G305" i="32"/>
  <c r="AH279" i="32" s="1"/>
  <c r="J305" i="32"/>
  <c r="AK279" i="32" s="1"/>
  <c r="T305" i="32"/>
  <c r="AU279" i="32" s="1"/>
  <c r="O305" i="32"/>
  <c r="AP279" i="32" s="1"/>
  <c r="R305" i="32"/>
  <c r="AS279" i="32" s="1"/>
  <c r="Q305" i="32"/>
  <c r="AR279" i="32" s="1"/>
  <c r="E305" i="32"/>
  <c r="AF279" i="32" s="1"/>
  <c r="O305" i="28"/>
  <c r="AP279" i="28" s="1"/>
  <c r="H439" i="28"/>
  <c r="H453" i="28" s="1"/>
  <c r="H471" i="28" s="1"/>
  <c r="G12" i="40" s="1"/>
  <c r="T305" i="28"/>
  <c r="AU279" i="28" s="1"/>
  <c r="B305" i="28"/>
  <c r="AC279" i="28" s="1"/>
  <c r="C305" i="28"/>
  <c r="AD279" i="28" s="1"/>
  <c r="Z305" i="28"/>
  <c r="BA279" i="28" s="1"/>
  <c r="N305" i="28"/>
  <c r="AO279" i="28" s="1"/>
  <c r="J305" i="28"/>
  <c r="AK279" i="28" s="1"/>
  <c r="V305" i="28"/>
  <c r="AW279" i="28" s="1"/>
  <c r="I305" i="28"/>
  <c r="AJ279" i="28" s="1"/>
  <c r="L305" i="28"/>
  <c r="AM279" i="28" s="1"/>
  <c r="X305" i="28"/>
  <c r="AY279" i="28" s="1"/>
  <c r="R305" i="28"/>
  <c r="AS279" i="28" s="1"/>
  <c r="G305" i="28"/>
  <c r="AH279" i="28" s="1"/>
  <c r="Q305" i="28"/>
  <c r="AR279" i="28" s="1"/>
  <c r="H305" i="28"/>
  <c r="AI279" i="28" s="1"/>
  <c r="D305" i="28"/>
  <c r="AE279" i="28" s="1"/>
  <c r="E305" i="28"/>
  <c r="AF279" i="28" s="1"/>
  <c r="W305" i="28"/>
  <c r="AX279" i="28" s="1"/>
  <c r="P305" i="28"/>
  <c r="AQ279" i="28" s="1"/>
  <c r="K305" i="28"/>
  <c r="AL279" i="28" s="1"/>
  <c r="M305" i="28"/>
  <c r="AN279" i="28" s="1"/>
  <c r="Y305" i="28"/>
  <c r="AZ279" i="28" s="1"/>
  <c r="U305" i="28"/>
  <c r="AV279" i="28" s="1"/>
  <c r="I443" i="28"/>
  <c r="I457" i="28" s="1"/>
  <c r="I475" i="28" s="1"/>
  <c r="K13" i="40" s="1"/>
  <c r="B365" i="28"/>
  <c r="AC339" i="28" s="1"/>
  <c r="L365" i="28"/>
  <c r="AM339" i="28" s="1"/>
  <c r="U426" i="28"/>
  <c r="AV400" i="28" s="1"/>
  <c r="T426" i="28"/>
  <c r="AU400" i="28" s="1"/>
  <c r="M426" i="28"/>
  <c r="AN400" i="28" s="1"/>
  <c r="L426" i="28"/>
  <c r="AM400" i="28" s="1"/>
  <c r="Y365" i="28"/>
  <c r="AZ339" i="28" s="1"/>
  <c r="W365" i="28"/>
  <c r="AX339" i="28" s="1"/>
  <c r="O365" i="28"/>
  <c r="AP339" i="28" s="1"/>
  <c r="J365" i="28"/>
  <c r="AK339" i="28" s="1"/>
  <c r="T365" i="28"/>
  <c r="AU339" i="28" s="1"/>
  <c r="F365" i="28"/>
  <c r="AG339" i="28" s="1"/>
  <c r="N365" i="28"/>
  <c r="AO339" i="28" s="1"/>
  <c r="R365" i="28"/>
  <c r="AS339" i="28" s="1"/>
  <c r="E365" i="28"/>
  <c r="AF339" i="28" s="1"/>
  <c r="C365" i="28"/>
  <c r="AD339" i="28" s="1"/>
  <c r="U365" i="28"/>
  <c r="AV339" i="28" s="1"/>
  <c r="G365" i="28"/>
  <c r="AH339" i="28" s="1"/>
  <c r="H365" i="28"/>
  <c r="AI339" i="28" s="1"/>
  <c r="K365" i="28"/>
  <c r="AL339" i="28" s="1"/>
  <c r="P365" i="28"/>
  <c r="AQ339" i="28" s="1"/>
  <c r="S365" i="28"/>
  <c r="AT339" i="28" s="1"/>
  <c r="Q365" i="28"/>
  <c r="AR339" i="28" s="1"/>
  <c r="I365" i="28"/>
  <c r="AJ339" i="28" s="1"/>
  <c r="X365" i="28"/>
  <c r="AY339" i="28" s="1"/>
  <c r="W365" i="34"/>
  <c r="AX339" i="34" s="1"/>
  <c r="J365" i="34"/>
  <c r="AK339" i="34" s="1"/>
  <c r="T365" i="34"/>
  <c r="AU339" i="34" s="1"/>
  <c r="H365" i="34"/>
  <c r="AI339" i="34" s="1"/>
  <c r="R365" i="34"/>
  <c r="AS339" i="34" s="1"/>
  <c r="M365" i="34"/>
  <c r="AN339" i="34" s="1"/>
  <c r="P365" i="34"/>
  <c r="AQ339" i="34" s="1"/>
  <c r="Z365" i="34"/>
  <c r="BA339" i="34" s="1"/>
  <c r="F365" i="34"/>
  <c r="AG339" i="34" s="1"/>
  <c r="X365" i="34"/>
  <c r="AY339" i="34" s="1"/>
  <c r="C365" i="34"/>
  <c r="AD339" i="34" s="1"/>
  <c r="I443" i="34"/>
  <c r="I457" i="34" s="1"/>
  <c r="I475" i="34" s="1"/>
  <c r="K55" i="40" s="1"/>
  <c r="N365" i="34"/>
  <c r="AO339" i="34" s="1"/>
  <c r="I365" i="34"/>
  <c r="AJ339" i="34" s="1"/>
  <c r="K365" i="34"/>
  <c r="AL339" i="34" s="1"/>
  <c r="V365" i="34"/>
  <c r="AW339" i="34" s="1"/>
  <c r="Q365" i="34"/>
  <c r="AR339" i="34" s="1"/>
  <c r="S365" i="34"/>
  <c r="AT339" i="34" s="1"/>
  <c r="I441" i="34"/>
  <c r="I455" i="34" s="1"/>
  <c r="I473" i="34" s="1"/>
  <c r="I55" i="40" s="1"/>
  <c r="U365" i="34"/>
  <c r="AV339" i="34" s="1"/>
  <c r="G365" i="34"/>
  <c r="AH339" i="34" s="1"/>
  <c r="Y365" i="34"/>
  <c r="AZ339" i="34" s="1"/>
  <c r="D365" i="34"/>
  <c r="AE339" i="34" s="1"/>
  <c r="C305" i="26"/>
  <c r="AD279" i="26" s="1"/>
  <c r="P305" i="26"/>
  <c r="AQ279" i="26" s="1"/>
  <c r="Q305" i="26"/>
  <c r="AR279" i="26" s="1"/>
  <c r="M305" i="26"/>
  <c r="AN279" i="26" s="1"/>
  <c r="G305" i="26"/>
  <c r="AH279" i="26" s="1"/>
  <c r="Y305" i="26"/>
  <c r="AZ279" i="26" s="1"/>
  <c r="X305" i="26"/>
  <c r="AY279" i="26" s="1"/>
  <c r="S305" i="26"/>
  <c r="AT279" i="26" s="1"/>
  <c r="B305" i="26"/>
  <c r="AC279" i="26" s="1"/>
  <c r="I441" i="28"/>
  <c r="I455" i="28" s="1"/>
  <c r="I473" i="28" s="1"/>
  <c r="I13" i="40" s="1"/>
  <c r="J441" i="28"/>
  <c r="J455" i="28" s="1"/>
  <c r="J473" i="28" s="1"/>
  <c r="I14" i="40" s="1"/>
  <c r="D305" i="26"/>
  <c r="AE279" i="26" s="1"/>
  <c r="H305" i="26"/>
  <c r="AI279" i="26" s="1"/>
  <c r="J305" i="26"/>
  <c r="AK279" i="26" s="1"/>
  <c r="E305" i="26"/>
  <c r="AF279" i="26" s="1"/>
  <c r="K305" i="26"/>
  <c r="AL279" i="26" s="1"/>
  <c r="H443" i="24"/>
  <c r="H457" i="24" s="1"/>
  <c r="H475" i="24" s="1"/>
  <c r="K12" i="39" s="1"/>
  <c r="AP343" i="33"/>
  <c r="AG343" i="33"/>
  <c r="H441" i="24"/>
  <c r="H455" i="24" s="1"/>
  <c r="H473" i="24" s="1"/>
  <c r="I12" i="39" s="1"/>
  <c r="J439" i="32"/>
  <c r="H451" i="32"/>
  <c r="J90" i="43"/>
  <c r="F178" i="43"/>
  <c r="F166" i="43"/>
  <c r="F190" i="43"/>
  <c r="J451" i="32"/>
  <c r="L90" i="43"/>
  <c r="H453" i="32"/>
  <c r="J92" i="43"/>
  <c r="Z426" i="32"/>
  <c r="BA400" i="32" s="1"/>
  <c r="G178" i="43"/>
  <c r="G166" i="43"/>
  <c r="G190" i="43"/>
  <c r="F426" i="32"/>
  <c r="AG400" i="32" s="1"/>
  <c r="G240" i="43"/>
  <c r="G265" i="43"/>
  <c r="G252" i="43"/>
  <c r="G19" i="43"/>
  <c r="G277" i="43"/>
  <c r="G289" i="43"/>
  <c r="G203" i="43"/>
  <c r="G56" i="43"/>
  <c r="H51" i="1"/>
  <c r="H265" i="43"/>
  <c r="H252" i="43"/>
  <c r="H19" i="43"/>
  <c r="H277" i="43"/>
  <c r="H289" i="43"/>
  <c r="H203" i="43"/>
  <c r="H56" i="43"/>
  <c r="H240" i="43"/>
  <c r="H52" i="1"/>
  <c r="E178" i="43"/>
  <c r="E190" i="43"/>
  <c r="E166" i="43"/>
  <c r="J103" i="43"/>
  <c r="J115" i="43" s="1"/>
  <c r="J127" i="43"/>
  <c r="J139" i="43" s="1"/>
  <c r="D203" i="43"/>
  <c r="D56" i="43"/>
  <c r="D240" i="43"/>
  <c r="D252" i="43"/>
  <c r="D19" i="43"/>
  <c r="H48" i="1"/>
  <c r="F240" i="43"/>
  <c r="F252" i="43"/>
  <c r="F19" i="43"/>
  <c r="F203" i="43"/>
  <c r="F56" i="43"/>
  <c r="H50" i="1"/>
  <c r="I451" i="32"/>
  <c r="K90" i="43"/>
  <c r="D166" i="43"/>
  <c r="D178" i="43"/>
  <c r="D190" i="43"/>
  <c r="H166" i="43"/>
  <c r="H190" i="43"/>
  <c r="H178" i="43"/>
  <c r="E203" i="43"/>
  <c r="E56" i="43"/>
  <c r="E240" i="43"/>
  <c r="E252" i="43"/>
  <c r="E19" i="43"/>
  <c r="H49" i="1"/>
  <c r="H470" i="32"/>
  <c r="J152" i="43"/>
  <c r="Q365" i="9"/>
  <c r="AR339" i="9" s="1"/>
  <c r="S365" i="9"/>
  <c r="AT339" i="9" s="1"/>
  <c r="H365" i="9"/>
  <c r="AI339" i="9" s="1"/>
  <c r="Y365" i="9"/>
  <c r="AZ339" i="9" s="1"/>
  <c r="D365" i="9"/>
  <c r="AE339" i="9" s="1"/>
  <c r="N365" i="9"/>
  <c r="AO339" i="9" s="1"/>
  <c r="X365" i="9"/>
  <c r="AY339" i="9" s="1"/>
  <c r="I277" i="37"/>
  <c r="V365" i="9"/>
  <c r="AW339" i="9" s="1"/>
  <c r="B365" i="9"/>
  <c r="AC339" i="9" s="1"/>
  <c r="L365" i="9"/>
  <c r="AM339" i="9" s="1"/>
  <c r="F365" i="9"/>
  <c r="AG339" i="9" s="1"/>
  <c r="P365" i="9"/>
  <c r="AQ339" i="9" s="1"/>
  <c r="J365" i="9"/>
  <c r="AK339" i="9" s="1"/>
  <c r="T365" i="9"/>
  <c r="AU339" i="9" s="1"/>
  <c r="G365" i="9"/>
  <c r="AH339" i="9" s="1"/>
  <c r="R365" i="9"/>
  <c r="AS339" i="9" s="1"/>
  <c r="E365" i="9"/>
  <c r="AF339" i="9" s="1"/>
  <c r="I19" i="37"/>
  <c r="I43" i="37" s="1"/>
  <c r="O365" i="9"/>
  <c r="AP339" i="9" s="1"/>
  <c r="Z365" i="9"/>
  <c r="BA339" i="9" s="1"/>
  <c r="I252" i="37"/>
  <c r="I166" i="42"/>
  <c r="I190" i="42"/>
  <c r="I178" i="42"/>
  <c r="F203" i="42"/>
  <c r="F252" i="42"/>
  <c r="F240" i="42"/>
  <c r="F19" i="42"/>
  <c r="F56" i="42"/>
  <c r="H22" i="1"/>
  <c r="I289" i="42"/>
  <c r="I277" i="42"/>
  <c r="I203" i="42"/>
  <c r="I265" i="42"/>
  <c r="I252" i="42"/>
  <c r="I240" i="42"/>
  <c r="I56" i="42"/>
  <c r="I19" i="42"/>
  <c r="H25" i="1"/>
  <c r="H178" i="42"/>
  <c r="H190" i="42"/>
  <c r="H166" i="42"/>
  <c r="E203" i="42"/>
  <c r="E252" i="42"/>
  <c r="E240" i="42"/>
  <c r="E19" i="42"/>
  <c r="E56" i="42"/>
  <c r="H21" i="1"/>
  <c r="H289" i="42"/>
  <c r="H277" i="42"/>
  <c r="H203" i="42"/>
  <c r="H265" i="42"/>
  <c r="H252" i="42"/>
  <c r="H240" i="42"/>
  <c r="H19" i="42"/>
  <c r="H56" i="42"/>
  <c r="H24" i="1"/>
  <c r="G166" i="42"/>
  <c r="G190" i="42"/>
  <c r="G178" i="42"/>
  <c r="D166" i="42"/>
  <c r="D178" i="42"/>
  <c r="D190" i="42"/>
  <c r="E190" i="42"/>
  <c r="E166" i="42"/>
  <c r="E178" i="42"/>
  <c r="G289" i="42"/>
  <c r="G277" i="42"/>
  <c r="G203" i="42"/>
  <c r="G265" i="42"/>
  <c r="G252" i="42"/>
  <c r="G240" i="42"/>
  <c r="G19" i="42"/>
  <c r="G56" i="42"/>
  <c r="H23" i="1"/>
  <c r="D252" i="42"/>
  <c r="D240" i="42"/>
  <c r="D19" i="42"/>
  <c r="D203" i="42"/>
  <c r="D56" i="42"/>
  <c r="H20" i="1"/>
  <c r="F178" i="42"/>
  <c r="F166" i="42"/>
  <c r="F190" i="42"/>
  <c r="F426" i="7"/>
  <c r="AG400" i="7" s="1"/>
  <c r="W426" i="7"/>
  <c r="AX400" i="7" s="1"/>
  <c r="M426" i="7"/>
  <c r="AN400" i="7" s="1"/>
  <c r="H426" i="7"/>
  <c r="AI400" i="7" s="1"/>
  <c r="I426" i="7"/>
  <c r="AJ400" i="7" s="1"/>
  <c r="N426" i="7"/>
  <c r="AO400" i="7" s="1"/>
  <c r="X426" i="7"/>
  <c r="AY400" i="7" s="1"/>
  <c r="R426" i="7"/>
  <c r="AS400" i="7" s="1"/>
  <c r="V426" i="7"/>
  <c r="AW400" i="7" s="1"/>
  <c r="P426" i="7"/>
  <c r="AQ400" i="7" s="1"/>
  <c r="U426" i="7"/>
  <c r="AV400" i="7" s="1"/>
  <c r="Z426" i="7"/>
  <c r="BA400" i="7" s="1"/>
  <c r="C426" i="7"/>
  <c r="AD400" i="7" s="1"/>
  <c r="Y426" i="7"/>
  <c r="AZ400" i="7" s="1"/>
  <c r="Q426" i="7"/>
  <c r="AR400" i="7" s="1"/>
  <c r="K426" i="7"/>
  <c r="AL400" i="7" s="1"/>
  <c r="J426" i="7"/>
  <c r="AK400" i="7" s="1"/>
  <c r="S426" i="7"/>
  <c r="AT400" i="7" s="1"/>
  <c r="D426" i="7"/>
  <c r="AE400" i="7" s="1"/>
  <c r="AC400" i="7"/>
  <c r="L426" i="7"/>
  <c r="AM400" i="7" s="1"/>
  <c r="O426" i="7"/>
  <c r="AP400" i="7" s="1"/>
  <c r="T426" i="7"/>
  <c r="AU400" i="7" s="1"/>
  <c r="E426" i="7"/>
  <c r="AF400" i="7" s="1"/>
  <c r="P426" i="32"/>
  <c r="AQ400" i="32" s="1"/>
  <c r="M426" i="32"/>
  <c r="AN400" i="32" s="1"/>
  <c r="I426" i="32"/>
  <c r="AJ400" i="32" s="1"/>
  <c r="K426" i="32"/>
  <c r="AL400" i="32" s="1"/>
  <c r="E426" i="32"/>
  <c r="AF400" i="32" s="1"/>
  <c r="U426" i="32"/>
  <c r="AV400" i="32" s="1"/>
  <c r="Q426" i="32"/>
  <c r="AR400" i="32" s="1"/>
  <c r="S426" i="32"/>
  <c r="AT400" i="32" s="1"/>
  <c r="C426" i="32"/>
  <c r="AD400" i="32" s="1"/>
  <c r="G426" i="32"/>
  <c r="AH400" i="32" s="1"/>
  <c r="Y426" i="32"/>
  <c r="AZ400" i="32" s="1"/>
  <c r="O426" i="32"/>
  <c r="AP400" i="32" s="1"/>
  <c r="B426" i="32"/>
  <c r="AC400" i="32" s="1"/>
  <c r="X426" i="32"/>
  <c r="AY400" i="32" s="1"/>
  <c r="L426" i="32"/>
  <c r="AM400" i="32" s="1"/>
  <c r="D426" i="32"/>
  <c r="AE400" i="32" s="1"/>
  <c r="W426" i="32"/>
  <c r="AX400" i="32" s="1"/>
  <c r="J426" i="32"/>
  <c r="AK400" i="32" s="1"/>
  <c r="T426" i="32"/>
  <c r="AU400" i="32" s="1"/>
  <c r="H426" i="32"/>
  <c r="AI400" i="32" s="1"/>
  <c r="I56" i="37"/>
  <c r="I68" i="37" s="1"/>
  <c r="I289" i="37"/>
  <c r="I265" i="37"/>
  <c r="I203" i="37"/>
  <c r="I227" i="37" s="1"/>
  <c r="H34" i="1"/>
  <c r="D240" i="41"/>
  <c r="D203" i="41"/>
  <c r="D252" i="41"/>
  <c r="D56" i="41"/>
  <c r="D19" i="41"/>
  <c r="H35" i="1"/>
  <c r="E203" i="41"/>
  <c r="E252" i="41"/>
  <c r="E56" i="41"/>
  <c r="E19" i="41"/>
  <c r="E240" i="41"/>
  <c r="I178" i="41"/>
  <c r="I166" i="41"/>
  <c r="I190" i="41"/>
  <c r="H36" i="1"/>
  <c r="F203" i="41"/>
  <c r="F252" i="41"/>
  <c r="F240" i="41"/>
  <c r="F19" i="41"/>
  <c r="F56" i="41"/>
  <c r="G277" i="41"/>
  <c r="G265" i="41"/>
  <c r="G252" i="41"/>
  <c r="G240" i="41"/>
  <c r="G289" i="41"/>
  <c r="G203" i="41"/>
  <c r="G19" i="41"/>
  <c r="G56" i="41"/>
  <c r="H277" i="41"/>
  <c r="H203" i="41"/>
  <c r="H265" i="41"/>
  <c r="H252" i="41"/>
  <c r="H240" i="41"/>
  <c r="H289" i="41"/>
  <c r="H56" i="41"/>
  <c r="H19" i="41"/>
  <c r="F190" i="41"/>
  <c r="F178" i="41"/>
  <c r="F166" i="41"/>
  <c r="D166" i="41"/>
  <c r="D178" i="41"/>
  <c r="D190" i="41"/>
  <c r="I265" i="41"/>
  <c r="I252" i="41"/>
  <c r="I240" i="41"/>
  <c r="I289" i="41"/>
  <c r="I203" i="41"/>
  <c r="I56" i="41"/>
  <c r="I19" i="41"/>
  <c r="I277" i="41"/>
  <c r="G178" i="41"/>
  <c r="G166" i="41"/>
  <c r="G190" i="41"/>
  <c r="E178" i="41"/>
  <c r="E166" i="41"/>
  <c r="E190" i="41"/>
  <c r="H166" i="41"/>
  <c r="H178" i="41"/>
  <c r="H190" i="41"/>
  <c r="H37" i="1"/>
  <c r="H38" i="1"/>
  <c r="H39" i="1"/>
  <c r="H453" i="9"/>
  <c r="J92" i="37"/>
  <c r="I451" i="9"/>
  <c r="K90" i="37"/>
  <c r="J451" i="9"/>
  <c r="L90" i="37"/>
  <c r="G190" i="37"/>
  <c r="G166" i="37"/>
  <c r="G178" i="37"/>
  <c r="G252" i="37"/>
  <c r="G56" i="37"/>
  <c r="G289" i="37"/>
  <c r="G277" i="37"/>
  <c r="G203" i="37"/>
  <c r="G19" i="37"/>
  <c r="G240" i="37"/>
  <c r="G265" i="37"/>
  <c r="H9" i="1"/>
  <c r="F166" i="37"/>
  <c r="F190" i="37"/>
  <c r="F178" i="37"/>
  <c r="I453" i="9"/>
  <c r="K92" i="37"/>
  <c r="F252" i="37"/>
  <c r="F56" i="37"/>
  <c r="F203" i="37"/>
  <c r="F19" i="37"/>
  <c r="F240" i="37"/>
  <c r="H8" i="1"/>
  <c r="I31" i="37"/>
  <c r="H178" i="37"/>
  <c r="H166" i="37"/>
  <c r="H190" i="37"/>
  <c r="E166" i="37"/>
  <c r="E178" i="37"/>
  <c r="E190" i="37"/>
  <c r="D178" i="37"/>
  <c r="D190" i="37"/>
  <c r="D166" i="37"/>
  <c r="H252" i="37"/>
  <c r="H56" i="37"/>
  <c r="H289" i="37"/>
  <c r="H277" i="37"/>
  <c r="H203" i="37"/>
  <c r="H19" i="37"/>
  <c r="H240" i="37"/>
  <c r="H265" i="37"/>
  <c r="H10" i="1"/>
  <c r="E252" i="37"/>
  <c r="E56" i="37"/>
  <c r="E203" i="37"/>
  <c r="E19" i="37"/>
  <c r="E240" i="37"/>
  <c r="H7" i="1"/>
  <c r="D252" i="37"/>
  <c r="D56" i="37"/>
  <c r="D203" i="37"/>
  <c r="D19" i="37"/>
  <c r="D240" i="37"/>
  <c r="H6" i="1"/>
  <c r="J453" i="9"/>
  <c r="L92" i="37"/>
  <c r="AH340" i="9"/>
  <c r="I441" i="9" s="1"/>
  <c r="J441" i="9"/>
  <c r="J455" i="9" s="1"/>
  <c r="J443" i="7"/>
  <c r="L96" i="41" s="1"/>
  <c r="C365" i="7"/>
  <c r="AD339" i="7" s="1"/>
  <c r="B365" i="7"/>
  <c r="AC339" i="7" s="1"/>
  <c r="I443" i="7"/>
  <c r="K96" i="41" s="1"/>
  <c r="H441" i="34"/>
  <c r="H455" i="34" s="1"/>
  <c r="H473" i="34" s="1"/>
  <c r="I54" i="40" s="1"/>
  <c r="H441" i="28"/>
  <c r="H455" i="28" s="1"/>
  <c r="H473" i="28" s="1"/>
  <c r="I12" i="40" s="1"/>
  <c r="H441" i="33"/>
  <c r="H455" i="33" s="1"/>
  <c r="H473" i="33" s="1"/>
  <c r="I54" i="39" s="1"/>
  <c r="H441" i="23"/>
  <c r="H455" i="23" s="1"/>
  <c r="H473" i="23" s="1"/>
  <c r="I26" i="39" s="1"/>
  <c r="J441" i="32"/>
  <c r="J443" i="28"/>
  <c r="J457" i="28" s="1"/>
  <c r="J475" i="28" s="1"/>
  <c r="K14" i="40" s="1"/>
  <c r="J437" i="28"/>
  <c r="J451" i="28" s="1"/>
  <c r="J469" i="28" s="1"/>
  <c r="E14" i="40" s="1"/>
  <c r="H443" i="28"/>
  <c r="H457" i="28" s="1"/>
  <c r="H475" i="28" s="1"/>
  <c r="K12" i="40" s="1"/>
  <c r="J441" i="34"/>
  <c r="J455" i="34" s="1"/>
  <c r="J473" i="34" s="1"/>
  <c r="I56" i="40" s="1"/>
  <c r="J437" i="34"/>
  <c r="J451" i="34" s="1"/>
  <c r="J469" i="34" s="1"/>
  <c r="E56" i="40" s="1"/>
  <c r="J443" i="34"/>
  <c r="J457" i="34" s="1"/>
  <c r="J475" i="34" s="1"/>
  <c r="K56" i="40" s="1"/>
  <c r="I437" i="34"/>
  <c r="I451" i="34" s="1"/>
  <c r="I469" i="34" s="1"/>
  <c r="E55" i="40" s="1"/>
  <c r="H443" i="34"/>
  <c r="H457" i="34" s="1"/>
  <c r="H475" i="34" s="1"/>
  <c r="K54" i="40" s="1"/>
  <c r="I439" i="34"/>
  <c r="I453" i="34" s="1"/>
  <c r="I471" i="34" s="1"/>
  <c r="G55" i="40" s="1"/>
  <c r="H440" i="34"/>
  <c r="H454" i="34" s="1"/>
  <c r="H472" i="34" s="1"/>
  <c r="H54" i="40" s="1"/>
  <c r="J439" i="34"/>
  <c r="J453" i="34" s="1"/>
  <c r="J471" i="34" s="1"/>
  <c r="G56" i="40" s="1"/>
  <c r="J440" i="34"/>
  <c r="J454" i="34" s="1"/>
  <c r="J472" i="34" s="1"/>
  <c r="H56" i="40" s="1"/>
  <c r="J443" i="27"/>
  <c r="J457" i="27" s="1"/>
  <c r="J475" i="27" s="1"/>
  <c r="K28" i="40" s="1"/>
  <c r="AE340" i="27"/>
  <c r="H443" i="27"/>
  <c r="H457" i="27" s="1"/>
  <c r="H475" i="27" s="1"/>
  <c r="K26" i="40" s="1"/>
  <c r="AU340" i="27"/>
  <c r="AI280" i="27"/>
  <c r="J437" i="27"/>
  <c r="J451" i="27" s="1"/>
  <c r="J469" i="27" s="1"/>
  <c r="E28" i="40" s="1"/>
  <c r="AQ401" i="27"/>
  <c r="J439" i="27"/>
  <c r="J453" i="27" s="1"/>
  <c r="J471" i="27" s="1"/>
  <c r="G28" i="40" s="1"/>
  <c r="AH280" i="27"/>
  <c r="AD340" i="27"/>
  <c r="H440" i="27"/>
  <c r="H454" i="27" s="1"/>
  <c r="H472" i="27" s="1"/>
  <c r="H26" i="40" s="1"/>
  <c r="I440" i="27"/>
  <c r="I454" i="27" s="1"/>
  <c r="I472" i="27" s="1"/>
  <c r="H27" i="40" s="1"/>
  <c r="I443" i="27"/>
  <c r="I457" i="27" s="1"/>
  <c r="I475" i="27" s="1"/>
  <c r="K27" i="40" s="1"/>
  <c r="J440" i="27"/>
  <c r="J454" i="27" s="1"/>
  <c r="J472" i="27" s="1"/>
  <c r="H28" i="40" s="1"/>
  <c r="AR401" i="27"/>
  <c r="AT340" i="27"/>
  <c r="AJ401" i="27"/>
  <c r="J441" i="26"/>
  <c r="J455" i="26" s="1"/>
  <c r="J473" i="26" s="1"/>
  <c r="I42" i="40" s="1"/>
  <c r="H443" i="26"/>
  <c r="H457" i="26" s="1"/>
  <c r="H475" i="26" s="1"/>
  <c r="K40" i="40" s="1"/>
  <c r="J440" i="26"/>
  <c r="J454" i="26" s="1"/>
  <c r="J472" i="26" s="1"/>
  <c r="H42" i="40" s="1"/>
  <c r="I443" i="26"/>
  <c r="I457" i="26" s="1"/>
  <c r="I475" i="26" s="1"/>
  <c r="K41" i="40" s="1"/>
  <c r="H441" i="26"/>
  <c r="H455" i="26" s="1"/>
  <c r="H473" i="26" s="1"/>
  <c r="I40" i="40" s="1"/>
  <c r="I437" i="26"/>
  <c r="I451" i="26" s="1"/>
  <c r="I469" i="26" s="1"/>
  <c r="E41" i="40" s="1"/>
  <c r="I441" i="26"/>
  <c r="I455" i="26" s="1"/>
  <c r="I473" i="26" s="1"/>
  <c r="I41" i="40" s="1"/>
  <c r="H439" i="26"/>
  <c r="H453" i="26" s="1"/>
  <c r="H471" i="26" s="1"/>
  <c r="G40" i="40" s="1"/>
  <c r="J435" i="26"/>
  <c r="J449" i="26" s="1"/>
  <c r="J467" i="26" s="1"/>
  <c r="C42" i="40" s="1"/>
  <c r="I440" i="26"/>
  <c r="I454" i="26" s="1"/>
  <c r="I472" i="26" s="1"/>
  <c r="H41" i="40" s="1"/>
  <c r="J443" i="26"/>
  <c r="J457" i="26" s="1"/>
  <c r="J475" i="26" s="1"/>
  <c r="K42" i="40" s="1"/>
  <c r="J437" i="26"/>
  <c r="J451" i="26" s="1"/>
  <c r="J469" i="26" s="1"/>
  <c r="E42" i="40" s="1"/>
  <c r="J439" i="26"/>
  <c r="J453" i="26" s="1"/>
  <c r="J471" i="26" s="1"/>
  <c r="G42" i="40" s="1"/>
  <c r="J441" i="24"/>
  <c r="J455" i="24" s="1"/>
  <c r="J473" i="24" s="1"/>
  <c r="I14" i="39" s="1"/>
  <c r="J443" i="24"/>
  <c r="J457" i="24" s="1"/>
  <c r="J475" i="24" s="1"/>
  <c r="K14" i="39" s="1"/>
  <c r="I439" i="24"/>
  <c r="I453" i="24" s="1"/>
  <c r="I471" i="24" s="1"/>
  <c r="G13" i="39" s="1"/>
  <c r="H437" i="24"/>
  <c r="H451" i="24" s="1"/>
  <c r="H469" i="24" s="1"/>
  <c r="E12" i="39" s="1"/>
  <c r="I443" i="24"/>
  <c r="I457" i="24" s="1"/>
  <c r="I475" i="24" s="1"/>
  <c r="K13" i="39" s="1"/>
  <c r="J439" i="24"/>
  <c r="J453" i="24" s="1"/>
  <c r="J471" i="24" s="1"/>
  <c r="G14" i="39" s="1"/>
  <c r="H440" i="24"/>
  <c r="H454" i="24" s="1"/>
  <c r="H472" i="24" s="1"/>
  <c r="H12" i="39" s="1"/>
  <c r="AO343" i="33"/>
  <c r="H443" i="33"/>
  <c r="H457" i="33" s="1"/>
  <c r="H475" i="33" s="1"/>
  <c r="K54" i="39" s="1"/>
  <c r="AT343" i="33"/>
  <c r="AH343" i="33"/>
  <c r="I443" i="33"/>
  <c r="I457" i="33" s="1"/>
  <c r="I475" i="33" s="1"/>
  <c r="K55" i="39" s="1"/>
  <c r="J443" i="33"/>
  <c r="J457" i="33" s="1"/>
  <c r="J475" i="33" s="1"/>
  <c r="K56" i="39" s="1"/>
  <c r="AS343" i="33"/>
  <c r="J435" i="33"/>
  <c r="J449" i="33" s="1"/>
  <c r="J467" i="33" s="1"/>
  <c r="C56" i="39" s="1"/>
  <c r="AR343" i="33"/>
  <c r="AJ343" i="33"/>
  <c r="J440" i="23"/>
  <c r="J454" i="23" s="1"/>
  <c r="J472" i="23" s="1"/>
  <c r="H28" i="39" s="1"/>
  <c r="AO340" i="23"/>
  <c r="I443" i="23"/>
  <c r="I457" i="23" s="1"/>
  <c r="I475" i="23" s="1"/>
  <c r="K27" i="39" s="1"/>
  <c r="H443" i="23"/>
  <c r="H457" i="23" s="1"/>
  <c r="H475" i="23" s="1"/>
  <c r="K26" i="39" s="1"/>
  <c r="J441" i="23"/>
  <c r="J455" i="23" s="1"/>
  <c r="J473" i="23" s="1"/>
  <c r="I28" i="39" s="1"/>
  <c r="I440" i="23"/>
  <c r="I454" i="23" s="1"/>
  <c r="I472" i="23" s="1"/>
  <c r="H27" i="39" s="1"/>
  <c r="AF340" i="23"/>
  <c r="H440" i="23"/>
  <c r="H454" i="23" s="1"/>
  <c r="H472" i="23" s="1"/>
  <c r="H26" i="39" s="1"/>
  <c r="J437" i="23"/>
  <c r="J451" i="23" s="1"/>
  <c r="J469" i="23" s="1"/>
  <c r="E28" i="39" s="1"/>
  <c r="H437" i="23"/>
  <c r="H451" i="23" s="1"/>
  <c r="H469" i="23" s="1"/>
  <c r="E26" i="39" s="1"/>
  <c r="AN340" i="23"/>
  <c r="AG340" i="23"/>
  <c r="J443" i="23"/>
  <c r="J457" i="23" s="1"/>
  <c r="J475" i="23" s="1"/>
  <c r="K28" i="39" s="1"/>
  <c r="J441" i="22"/>
  <c r="J455" i="22" s="1"/>
  <c r="J473" i="22" s="1"/>
  <c r="I42" i="39" s="1"/>
  <c r="I441" i="22"/>
  <c r="I455" i="22" s="1"/>
  <c r="I473" i="22" s="1"/>
  <c r="I41" i="39" s="1"/>
  <c r="J435" i="22"/>
  <c r="J449" i="22" s="1"/>
  <c r="J467" i="22" s="1"/>
  <c r="C42" i="39" s="1"/>
  <c r="J443" i="22"/>
  <c r="J457" i="22" s="1"/>
  <c r="J475" i="22" s="1"/>
  <c r="K42" i="39" s="1"/>
  <c r="H441" i="22"/>
  <c r="H455" i="22" s="1"/>
  <c r="H473" i="22" s="1"/>
  <c r="I40" i="39" s="1"/>
  <c r="I440" i="22"/>
  <c r="I454" i="22" s="1"/>
  <c r="I472" i="22" s="1"/>
  <c r="H41" i="39" s="1"/>
  <c r="H440" i="22"/>
  <c r="H454" i="22" s="1"/>
  <c r="H472" i="22" s="1"/>
  <c r="H40" i="39" s="1"/>
  <c r="H443" i="22"/>
  <c r="H457" i="22" s="1"/>
  <c r="H475" i="22" s="1"/>
  <c r="K40" i="39" s="1"/>
  <c r="I443" i="22"/>
  <c r="I457" i="22" s="1"/>
  <c r="I475" i="22" s="1"/>
  <c r="K41" i="39" s="1"/>
  <c r="J440" i="22"/>
  <c r="J454" i="22" s="1"/>
  <c r="J472" i="22" s="1"/>
  <c r="H42" i="39" s="1"/>
  <c r="H441" i="9"/>
  <c r="J443" i="9"/>
  <c r="H443" i="9"/>
  <c r="H440" i="9"/>
  <c r="H437" i="9"/>
  <c r="I443" i="9"/>
  <c r="J440" i="9"/>
  <c r="V426" i="32"/>
  <c r="AW400" i="32" s="1"/>
  <c r="N426" i="32"/>
  <c r="AO400" i="32" s="1"/>
  <c r="I441" i="32"/>
  <c r="H441" i="32"/>
  <c r="I443" i="32"/>
  <c r="I457" i="32" s="1"/>
  <c r="I475" i="32" s="1"/>
  <c r="J443" i="32"/>
  <c r="J457" i="32" s="1"/>
  <c r="J475" i="32" s="1"/>
  <c r="H443" i="32"/>
  <c r="H457" i="32" s="1"/>
  <c r="H475" i="32" s="1"/>
  <c r="Q365" i="8"/>
  <c r="AR339" i="8" s="1"/>
  <c r="O365" i="8"/>
  <c r="AP339" i="8" s="1"/>
  <c r="M365" i="8"/>
  <c r="AN339" i="8" s="1"/>
  <c r="X365" i="8"/>
  <c r="AY339" i="8" s="1"/>
  <c r="H365" i="8"/>
  <c r="AI339" i="8" s="1"/>
  <c r="W365" i="8"/>
  <c r="AX339" i="8" s="1"/>
  <c r="D365" i="8"/>
  <c r="AE339" i="8" s="1"/>
  <c r="S365" i="8"/>
  <c r="AT339" i="8" s="1"/>
  <c r="B365" i="8"/>
  <c r="AC339" i="8" s="1"/>
  <c r="Y365" i="8"/>
  <c r="AZ339" i="8" s="1"/>
  <c r="L365" i="8"/>
  <c r="AM339" i="8" s="1"/>
  <c r="E365" i="8"/>
  <c r="AF339" i="8" s="1"/>
  <c r="K365" i="8"/>
  <c r="AL339" i="8" s="1"/>
  <c r="Z365" i="8"/>
  <c r="BA339" i="8" s="1"/>
  <c r="N365" i="8"/>
  <c r="AO339" i="8" s="1"/>
  <c r="J365" i="8"/>
  <c r="AK339" i="8" s="1"/>
  <c r="T365" i="8"/>
  <c r="AU339" i="8" s="1"/>
  <c r="I443" i="8"/>
  <c r="V365" i="8"/>
  <c r="AW339" i="8" s="1"/>
  <c r="P365" i="8"/>
  <c r="AQ339" i="8" s="1"/>
  <c r="U365" i="8"/>
  <c r="AV339" i="8" s="1"/>
  <c r="I365" i="8"/>
  <c r="AJ339" i="8" s="1"/>
  <c r="R365" i="8"/>
  <c r="AS339" i="8" s="1"/>
  <c r="C365" i="8"/>
  <c r="AD339" i="8" s="1"/>
  <c r="F365" i="8"/>
  <c r="AG339" i="8" s="1"/>
  <c r="J443" i="8"/>
  <c r="H443" i="8"/>
  <c r="X426" i="8"/>
  <c r="AY400" i="8" s="1"/>
  <c r="P426" i="8"/>
  <c r="AQ400" i="8" s="1"/>
  <c r="H426" i="8"/>
  <c r="AI400" i="8" s="1"/>
  <c r="U426" i="8"/>
  <c r="AV400" i="8" s="1"/>
  <c r="M426" i="8"/>
  <c r="AN400" i="8" s="1"/>
  <c r="E426" i="8"/>
  <c r="AF400" i="8" s="1"/>
  <c r="V426" i="8"/>
  <c r="AW400" i="8" s="1"/>
  <c r="K426" i="8"/>
  <c r="AL400" i="8" s="1"/>
  <c r="T426" i="8"/>
  <c r="AU400" i="8" s="1"/>
  <c r="J426" i="8"/>
  <c r="AK400" i="8" s="1"/>
  <c r="S426" i="8"/>
  <c r="AT400" i="8" s="1"/>
  <c r="I426" i="8"/>
  <c r="AJ400" i="8" s="1"/>
  <c r="R426" i="8"/>
  <c r="AS400" i="8" s="1"/>
  <c r="G426" i="8"/>
  <c r="AH400" i="8" s="1"/>
  <c r="Q426" i="8"/>
  <c r="AR400" i="8" s="1"/>
  <c r="F426" i="8"/>
  <c r="AG400" i="8" s="1"/>
  <c r="Z426" i="8"/>
  <c r="BA400" i="8" s="1"/>
  <c r="O426" i="8"/>
  <c r="AP400" i="8" s="1"/>
  <c r="D426" i="8"/>
  <c r="AE400" i="8" s="1"/>
  <c r="Y426" i="8"/>
  <c r="AZ400" i="8" s="1"/>
  <c r="N426" i="8"/>
  <c r="AO400" i="8" s="1"/>
  <c r="C426" i="8"/>
  <c r="AD400" i="8" s="1"/>
  <c r="L426" i="8"/>
  <c r="AM400" i="8" s="1"/>
  <c r="B426" i="8"/>
  <c r="AC400" i="8" s="1"/>
  <c r="W426" i="8"/>
  <c r="AX400" i="8" s="1"/>
  <c r="D365" i="7"/>
  <c r="AE339" i="7" s="1"/>
  <c r="J365" i="7"/>
  <c r="AK339" i="7" s="1"/>
  <c r="F365" i="7"/>
  <c r="AG339" i="7" s="1"/>
  <c r="Y365" i="7"/>
  <c r="AZ339" i="7" s="1"/>
  <c r="W365" i="7"/>
  <c r="AX339" i="7" s="1"/>
  <c r="G365" i="7"/>
  <c r="AH339" i="7" s="1"/>
  <c r="O365" i="7"/>
  <c r="AP339" i="7" s="1"/>
  <c r="U365" i="7"/>
  <c r="AV339" i="7" s="1"/>
  <c r="Q365" i="7"/>
  <c r="AR339" i="7" s="1"/>
  <c r="M365" i="7"/>
  <c r="AN339" i="7" s="1"/>
  <c r="K365" i="7"/>
  <c r="AL339" i="7" s="1"/>
  <c r="X365" i="7"/>
  <c r="AY339" i="7" s="1"/>
  <c r="T365" i="7"/>
  <c r="AU339" i="7" s="1"/>
  <c r="P365" i="7"/>
  <c r="AQ339" i="7" s="1"/>
  <c r="H365" i="7"/>
  <c r="AI339" i="7" s="1"/>
  <c r="I365" i="7"/>
  <c r="AJ339" i="7" s="1"/>
  <c r="E365" i="7"/>
  <c r="AF339" i="7" s="1"/>
  <c r="Z365" i="7"/>
  <c r="BA339" i="7" s="1"/>
  <c r="V365" i="7"/>
  <c r="AW339" i="7" s="1"/>
  <c r="R365" i="7"/>
  <c r="AS339" i="7" s="1"/>
  <c r="N365" i="7"/>
  <c r="AO339" i="7" s="1"/>
  <c r="L365" i="7"/>
  <c r="AM339" i="7" s="1"/>
  <c r="S365" i="7"/>
  <c r="AT339" i="7" s="1"/>
  <c r="C305" i="7"/>
  <c r="AD279" i="7" s="1"/>
  <c r="K305" i="7"/>
  <c r="AL279" i="7" s="1"/>
  <c r="S305" i="7"/>
  <c r="AT279" i="7" s="1"/>
  <c r="AC279" i="7"/>
  <c r="T305" i="7"/>
  <c r="AU279" i="7" s="1"/>
  <c r="N305" i="7"/>
  <c r="AO279" i="7" s="1"/>
  <c r="D305" i="7"/>
  <c r="AE279" i="7" s="1"/>
  <c r="L305" i="7"/>
  <c r="AM279" i="7" s="1"/>
  <c r="M305" i="7"/>
  <c r="AN279" i="7" s="1"/>
  <c r="V305" i="7"/>
  <c r="AW279" i="7" s="1"/>
  <c r="G305" i="7"/>
  <c r="AH279" i="7" s="1"/>
  <c r="O305" i="7"/>
  <c r="AP279" i="7" s="1"/>
  <c r="W305" i="7"/>
  <c r="AX279" i="7" s="1"/>
  <c r="R305" i="7"/>
  <c r="AS279" i="7" s="1"/>
  <c r="E305" i="7"/>
  <c r="AF279" i="7" s="1"/>
  <c r="H305" i="7"/>
  <c r="AI279" i="7" s="1"/>
  <c r="P305" i="7"/>
  <c r="AQ279" i="7" s="1"/>
  <c r="X305" i="7"/>
  <c r="AY279" i="7" s="1"/>
  <c r="J305" i="7"/>
  <c r="AK279" i="7" s="1"/>
  <c r="Z305" i="7"/>
  <c r="BA279" i="7" s="1"/>
  <c r="U305" i="7"/>
  <c r="AV279" i="7" s="1"/>
  <c r="I305" i="7"/>
  <c r="AJ279" i="7" s="1"/>
  <c r="Q305" i="7"/>
  <c r="AR279" i="7" s="1"/>
  <c r="Y305" i="7"/>
  <c r="AZ279" i="7" s="1"/>
  <c r="F305" i="7"/>
  <c r="AG279" i="7" s="1"/>
  <c r="AC263" i="7"/>
  <c r="AC208" i="27"/>
  <c r="AC209" i="27" s="1"/>
  <c r="AC167" i="27"/>
  <c r="AC168" i="27" s="1"/>
  <c r="AC126" i="27"/>
  <c r="AC127" i="27" s="1"/>
  <c r="AC209" i="26"/>
  <c r="AC168" i="26"/>
  <c r="AC127" i="26"/>
  <c r="AC208" i="23"/>
  <c r="AC209" i="23" s="1"/>
  <c r="AC167" i="23"/>
  <c r="AC168" i="23" s="1"/>
  <c r="AC126" i="23"/>
  <c r="AC127" i="23" s="1"/>
  <c r="AC209" i="22"/>
  <c r="AC168" i="22"/>
  <c r="AC127" i="22"/>
  <c r="Z244" i="28"/>
  <c r="BA219" i="28" s="1"/>
  <c r="Y244" i="28"/>
  <c r="X244" i="28"/>
  <c r="AY219" i="28" s="1"/>
  <c r="W244" i="28"/>
  <c r="AX219" i="28" s="1"/>
  <c r="V244" i="28"/>
  <c r="U244" i="28"/>
  <c r="T244" i="28"/>
  <c r="S244" i="28"/>
  <c r="AT219" i="28" s="1"/>
  <c r="R244" i="28"/>
  <c r="Q244" i="28"/>
  <c r="P244" i="28"/>
  <c r="AQ219" i="28" s="1"/>
  <c r="O244" i="28"/>
  <c r="AP219" i="28" s="1"/>
  <c r="N244" i="28"/>
  <c r="M244" i="28"/>
  <c r="L244" i="28"/>
  <c r="K244" i="28"/>
  <c r="AL219" i="28" s="1"/>
  <c r="J244" i="28"/>
  <c r="AK219" i="28" s="1"/>
  <c r="I244" i="28"/>
  <c r="H244" i="28"/>
  <c r="AI219" i="28" s="1"/>
  <c r="G244" i="28"/>
  <c r="AH219" i="28" s="1"/>
  <c r="F244" i="28"/>
  <c r="E244" i="28"/>
  <c r="D244" i="28"/>
  <c r="AE219" i="28" s="1"/>
  <c r="C244" i="28"/>
  <c r="AD219" i="28" s="1"/>
  <c r="B244" i="28"/>
  <c r="AC219" i="28" s="1"/>
  <c r="Z243" i="28"/>
  <c r="Y243" i="28"/>
  <c r="X243" i="28"/>
  <c r="W243" i="28"/>
  <c r="V243" i="28"/>
  <c r="U243" i="28"/>
  <c r="T243" i="28"/>
  <c r="S243" i="28"/>
  <c r="R243" i="28"/>
  <c r="Q243" i="28"/>
  <c r="P243" i="28"/>
  <c r="O243" i="28"/>
  <c r="N243" i="28"/>
  <c r="M243" i="28"/>
  <c r="L243" i="28"/>
  <c r="K243" i="28"/>
  <c r="J243" i="28"/>
  <c r="I243" i="28"/>
  <c r="H243" i="28"/>
  <c r="G243" i="28"/>
  <c r="F243" i="28"/>
  <c r="E243" i="28"/>
  <c r="D243" i="28"/>
  <c r="C243" i="28"/>
  <c r="B243" i="28"/>
  <c r="Z242" i="28"/>
  <c r="BA220" i="28" s="1"/>
  <c r="Y242" i="28"/>
  <c r="AZ220" i="28" s="1"/>
  <c r="X242" i="28"/>
  <c r="AY220" i="28" s="1"/>
  <c r="W242" i="28"/>
  <c r="AX220" i="28" s="1"/>
  <c r="V242" i="28"/>
  <c r="AW220" i="28" s="1"/>
  <c r="U242" i="28"/>
  <c r="AV220" i="28" s="1"/>
  <c r="T242" i="28"/>
  <c r="AU220" i="28" s="1"/>
  <c r="S242" i="28"/>
  <c r="AT220" i="28" s="1"/>
  <c r="R242" i="28"/>
  <c r="AS220" i="28" s="1"/>
  <c r="Q242" i="28"/>
  <c r="AR220" i="28" s="1"/>
  <c r="P242" i="28"/>
  <c r="AQ220" i="28" s="1"/>
  <c r="O242" i="28"/>
  <c r="AP220" i="28" s="1"/>
  <c r="N242" i="28"/>
  <c r="AO220" i="28" s="1"/>
  <c r="M242" i="28"/>
  <c r="L242" i="28"/>
  <c r="AM220" i="28" s="1"/>
  <c r="K242" i="28"/>
  <c r="AL220" i="28" s="1"/>
  <c r="J242" i="28"/>
  <c r="I242" i="28"/>
  <c r="AJ220" i="28" s="1"/>
  <c r="H242" i="28"/>
  <c r="AI220" i="28" s="1"/>
  <c r="G242" i="28"/>
  <c r="AH220" i="28" s="1"/>
  <c r="F242" i="28"/>
  <c r="AG220" i="28" s="1"/>
  <c r="E242" i="28"/>
  <c r="AF220" i="28" s="1"/>
  <c r="D242" i="28"/>
  <c r="AE220" i="28" s="1"/>
  <c r="C242" i="28"/>
  <c r="B242" i="28"/>
  <c r="AC220" i="28" s="1"/>
  <c r="Z241" i="28"/>
  <c r="Y241" i="28"/>
  <c r="X241" i="28"/>
  <c r="W241" i="28"/>
  <c r="AX218" i="28" s="1"/>
  <c r="V241" i="28"/>
  <c r="U241" i="28"/>
  <c r="T241" i="28"/>
  <c r="S241" i="28"/>
  <c r="R241" i="28"/>
  <c r="Q241" i="28"/>
  <c r="P241" i="28"/>
  <c r="O241" i="28"/>
  <c r="N241" i="28"/>
  <c r="AO218" i="28" s="1"/>
  <c r="M241" i="28"/>
  <c r="L241" i="28"/>
  <c r="K241" i="28"/>
  <c r="J241" i="28"/>
  <c r="I241" i="28"/>
  <c r="H241" i="28"/>
  <c r="G241" i="28"/>
  <c r="F241" i="28"/>
  <c r="E241" i="28"/>
  <c r="D241" i="28"/>
  <c r="C241" i="28"/>
  <c r="B241" i="28"/>
  <c r="BA217" i="28"/>
  <c r="G438" i="28" s="1"/>
  <c r="G452" i="28" s="1"/>
  <c r="G470" i="28" s="1"/>
  <c r="F11" i="40" s="1"/>
  <c r="Z239" i="28"/>
  <c r="Z238" i="28"/>
  <c r="Z237" i="28"/>
  <c r="Z236" i="28"/>
  <c r="Z235" i="28"/>
  <c r="Z234" i="28"/>
  <c r="Z233" i="28"/>
  <c r="Z232" i="28"/>
  <c r="Z231" i="28"/>
  <c r="Z230" i="28"/>
  <c r="Z229" i="28"/>
  <c r="Z228" i="28"/>
  <c r="B227" i="28"/>
  <c r="B226" i="28"/>
  <c r="B225" i="28"/>
  <c r="B224" i="28"/>
  <c r="B223" i="28"/>
  <c r="B222" i="28"/>
  <c r="B221" i="28"/>
  <c r="B220" i="28"/>
  <c r="B219" i="28"/>
  <c r="B218" i="28"/>
  <c r="B217" i="28"/>
  <c r="B216" i="28"/>
  <c r="B215" i="28"/>
  <c r="B214" i="28"/>
  <c r="Z203" i="28"/>
  <c r="BA178" i="28" s="1"/>
  <c r="Y203" i="28"/>
  <c r="AZ178" i="28" s="1"/>
  <c r="X203" i="28"/>
  <c r="AY178" i="28" s="1"/>
  <c r="W203" i="28"/>
  <c r="AX178" i="28" s="1"/>
  <c r="V203" i="28"/>
  <c r="AW178" i="28" s="1"/>
  <c r="U203" i="28"/>
  <c r="T203" i="28"/>
  <c r="S203" i="28"/>
  <c r="R203" i="28"/>
  <c r="Q203" i="28"/>
  <c r="AR178" i="28" s="1"/>
  <c r="P203" i="28"/>
  <c r="O203" i="28"/>
  <c r="N203" i="28"/>
  <c r="AO178" i="28" s="1"/>
  <c r="M203" i="28"/>
  <c r="L203" i="28"/>
  <c r="K203" i="28"/>
  <c r="AL178" i="28" s="1"/>
  <c r="J203" i="28"/>
  <c r="I203" i="28"/>
  <c r="AJ178" i="28" s="1"/>
  <c r="H203" i="28"/>
  <c r="G203" i="28"/>
  <c r="F203" i="28"/>
  <c r="AG178" i="28" s="1"/>
  <c r="E203" i="28"/>
  <c r="D203" i="28"/>
  <c r="C203" i="28"/>
  <c r="B203" i="28"/>
  <c r="AC178" i="28" s="1"/>
  <c r="Z202" i="28"/>
  <c r="Y202" i="28"/>
  <c r="X202" i="28"/>
  <c r="W202" i="28"/>
  <c r="V202" i="28"/>
  <c r="U202" i="28"/>
  <c r="T202" i="28"/>
  <c r="S202" i="28"/>
  <c r="R202" i="28"/>
  <c r="Q202" i="28"/>
  <c r="P202" i="28"/>
  <c r="O202" i="28"/>
  <c r="N202" i="28"/>
  <c r="M202" i="28"/>
  <c r="L202" i="28"/>
  <c r="K202" i="28"/>
  <c r="J202" i="28"/>
  <c r="I202" i="28"/>
  <c r="H202" i="28"/>
  <c r="G202" i="28"/>
  <c r="F202" i="28"/>
  <c r="E202" i="28"/>
  <c r="D202" i="28"/>
  <c r="C202" i="28"/>
  <c r="B202" i="28"/>
  <c r="Z201" i="28"/>
  <c r="BA179" i="28" s="1"/>
  <c r="Y201" i="28"/>
  <c r="X201" i="28"/>
  <c r="W201" i="28"/>
  <c r="V201" i="28"/>
  <c r="AW179" i="28" s="1"/>
  <c r="U201" i="28"/>
  <c r="T201" i="28"/>
  <c r="AU179" i="28" s="1"/>
  <c r="S201" i="28"/>
  <c r="AT179" i="28" s="1"/>
  <c r="R201" i="28"/>
  <c r="AS179" i="28" s="1"/>
  <c r="Q201" i="28"/>
  <c r="P201" i="28"/>
  <c r="AQ179" i="28" s="1"/>
  <c r="O201" i="28"/>
  <c r="AP179" i="28" s="1"/>
  <c r="N201" i="28"/>
  <c r="M201" i="28"/>
  <c r="AN179" i="28" s="1"/>
  <c r="L201" i="28"/>
  <c r="AM179" i="28" s="1"/>
  <c r="K201" i="28"/>
  <c r="AL179" i="28" s="1"/>
  <c r="J201" i="28"/>
  <c r="AK179" i="28" s="1"/>
  <c r="I201" i="28"/>
  <c r="AJ179" i="28" s="1"/>
  <c r="H201" i="28"/>
  <c r="AI179" i="28" s="1"/>
  <c r="G201" i="28"/>
  <c r="F201" i="28"/>
  <c r="AG179" i="28" s="1"/>
  <c r="E201" i="28"/>
  <c r="D201" i="28"/>
  <c r="AE179" i="28" s="1"/>
  <c r="C201" i="28"/>
  <c r="AD179" i="28" s="1"/>
  <c r="B201" i="28"/>
  <c r="AC179" i="28" s="1"/>
  <c r="Z200" i="28"/>
  <c r="Y200" i="28"/>
  <c r="X200" i="28"/>
  <c r="W200" i="28"/>
  <c r="AX177" i="28" s="1"/>
  <c r="V200" i="28"/>
  <c r="U200" i="28"/>
  <c r="T200" i="28"/>
  <c r="S200" i="28"/>
  <c r="R200" i="28"/>
  <c r="Q200" i="28"/>
  <c r="P200" i="28"/>
  <c r="O200" i="28"/>
  <c r="N200" i="28"/>
  <c r="AO177" i="28" s="1"/>
  <c r="M200" i="28"/>
  <c r="L200" i="28"/>
  <c r="K200" i="28"/>
  <c r="J200" i="28"/>
  <c r="I200" i="28"/>
  <c r="H200" i="28"/>
  <c r="G200" i="28"/>
  <c r="F200" i="28"/>
  <c r="E200" i="28"/>
  <c r="D200" i="28"/>
  <c r="C200" i="28"/>
  <c r="B200" i="28"/>
  <c r="Z199" i="28"/>
  <c r="BA176" i="28" s="1"/>
  <c r="F438" i="28" s="1"/>
  <c r="F452" i="28" s="1"/>
  <c r="F470" i="28" s="1"/>
  <c r="F10" i="40" s="1"/>
  <c r="Z198" i="28"/>
  <c r="Z197" i="28"/>
  <c r="Z196" i="28"/>
  <c r="Z195" i="28"/>
  <c r="Z194" i="28"/>
  <c r="Z193" i="28"/>
  <c r="Z192" i="28"/>
  <c r="Z191" i="28"/>
  <c r="Z190" i="28"/>
  <c r="Z189" i="28"/>
  <c r="Z188" i="28"/>
  <c r="Z187" i="28"/>
  <c r="B186" i="28"/>
  <c r="B185" i="28"/>
  <c r="AC174" i="28" s="1"/>
  <c r="F436" i="28" s="1"/>
  <c r="F450" i="28" s="1"/>
  <c r="F468" i="28" s="1"/>
  <c r="D10" i="40" s="1"/>
  <c r="B184" i="28"/>
  <c r="B183" i="28"/>
  <c r="B182" i="28"/>
  <c r="B181" i="28"/>
  <c r="B180" i="28"/>
  <c r="B179" i="28"/>
  <c r="B178" i="28"/>
  <c r="B177" i="28"/>
  <c r="B176" i="28"/>
  <c r="B175" i="28"/>
  <c r="B174" i="28"/>
  <c r="B173" i="28"/>
  <c r="Z162" i="28"/>
  <c r="Y162" i="28"/>
  <c r="AZ137" i="28" s="1"/>
  <c r="X162" i="28"/>
  <c r="AY137" i="28" s="1"/>
  <c r="W162" i="28"/>
  <c r="AX137" i="28" s="1"/>
  <c r="V162" i="28"/>
  <c r="U162" i="28"/>
  <c r="AV137" i="28" s="1"/>
  <c r="T162" i="28"/>
  <c r="S162" i="28"/>
  <c r="R162" i="28"/>
  <c r="Q162" i="28"/>
  <c r="P162" i="28"/>
  <c r="AQ137" i="28" s="1"/>
  <c r="O162" i="28"/>
  <c r="AP137" i="28" s="1"/>
  <c r="N162" i="28"/>
  <c r="M162" i="28"/>
  <c r="AN137" i="28" s="1"/>
  <c r="L162" i="28"/>
  <c r="K162" i="28"/>
  <c r="J162" i="28"/>
  <c r="I162" i="28"/>
  <c r="AJ137" i="28" s="1"/>
  <c r="H162" i="28"/>
  <c r="AI137" i="28" s="1"/>
  <c r="G162" i="28"/>
  <c r="AH137" i="28" s="1"/>
  <c r="F162" i="28"/>
  <c r="E162" i="28"/>
  <c r="AF137" i="28" s="1"/>
  <c r="D162" i="28"/>
  <c r="C162" i="28"/>
  <c r="B162" i="28"/>
  <c r="Z161" i="28"/>
  <c r="Y161" i="28"/>
  <c r="X161" i="28"/>
  <c r="W161" i="28"/>
  <c r="V161" i="28"/>
  <c r="U161" i="28"/>
  <c r="T161" i="28"/>
  <c r="S161" i="28"/>
  <c r="R161" i="28"/>
  <c r="Q161" i="28"/>
  <c r="P161" i="28"/>
  <c r="O161" i="28"/>
  <c r="N161" i="28"/>
  <c r="M161" i="28"/>
  <c r="L161" i="28"/>
  <c r="K161" i="28"/>
  <c r="J161" i="28"/>
  <c r="I161" i="28"/>
  <c r="H161" i="28"/>
  <c r="G161" i="28"/>
  <c r="F161" i="28"/>
  <c r="E161" i="28"/>
  <c r="D161" i="28"/>
  <c r="C161" i="28"/>
  <c r="B161" i="28"/>
  <c r="Z160" i="28"/>
  <c r="Y160" i="28"/>
  <c r="AZ138" i="28" s="1"/>
  <c r="X160" i="28"/>
  <c r="W160" i="28"/>
  <c r="AX138" i="28" s="1"/>
  <c r="V160" i="28"/>
  <c r="AW138" i="28" s="1"/>
  <c r="U160" i="28"/>
  <c r="T160" i="28"/>
  <c r="AU138" i="28" s="1"/>
  <c r="S160" i="28"/>
  <c r="R160" i="28"/>
  <c r="AS138" i="28" s="1"/>
  <c r="Q160" i="28"/>
  <c r="AR138" i="28" s="1"/>
  <c r="P160" i="28"/>
  <c r="AQ138" i="28" s="1"/>
  <c r="O160" i="28"/>
  <c r="AP138" i="28" s="1"/>
  <c r="N160" i="28"/>
  <c r="AO138" i="28" s="1"/>
  <c r="M160" i="28"/>
  <c r="AN138" i="28" s="1"/>
  <c r="L160" i="28"/>
  <c r="AM138" i="28" s="1"/>
  <c r="K160" i="28"/>
  <c r="AL138" i="28" s="1"/>
  <c r="J160" i="28"/>
  <c r="AK138" i="28" s="1"/>
  <c r="I160" i="28"/>
  <c r="AJ138" i="28" s="1"/>
  <c r="H160" i="28"/>
  <c r="G160" i="28"/>
  <c r="AH138" i="28" s="1"/>
  <c r="F160" i="28"/>
  <c r="AG138" i="28" s="1"/>
  <c r="E160" i="28"/>
  <c r="AF138" i="28" s="1"/>
  <c r="D160" i="28"/>
  <c r="AE138" i="28" s="1"/>
  <c r="C160" i="28"/>
  <c r="B160" i="28"/>
  <c r="AC138" i="28" s="1"/>
  <c r="Z159" i="28"/>
  <c r="Y159" i="28"/>
  <c r="X159" i="28"/>
  <c r="W159" i="28"/>
  <c r="V159" i="28"/>
  <c r="U159" i="28"/>
  <c r="T159" i="28"/>
  <c r="S159" i="28"/>
  <c r="R159" i="28"/>
  <c r="Q159" i="28"/>
  <c r="P159" i="28"/>
  <c r="O159" i="28"/>
  <c r="N159" i="28"/>
  <c r="AO136" i="28" s="1"/>
  <c r="M159" i="28"/>
  <c r="L159" i="28"/>
  <c r="K159" i="28"/>
  <c r="J159" i="28"/>
  <c r="I159" i="28"/>
  <c r="H159" i="28"/>
  <c r="G159" i="28"/>
  <c r="F159" i="28"/>
  <c r="E159" i="28"/>
  <c r="AF136" i="28" s="1"/>
  <c r="D159" i="28"/>
  <c r="C159" i="28"/>
  <c r="B159" i="28"/>
  <c r="Z158" i="28"/>
  <c r="BA135" i="28" s="1"/>
  <c r="E438" i="28" s="1"/>
  <c r="E452" i="28" s="1"/>
  <c r="E470" i="28" s="1"/>
  <c r="F9" i="40" s="1"/>
  <c r="Z157" i="28"/>
  <c r="Z156" i="28"/>
  <c r="Z155" i="28"/>
  <c r="Z154" i="28"/>
  <c r="Z153" i="28"/>
  <c r="Z152" i="28"/>
  <c r="Z151" i="28"/>
  <c r="Z150" i="28"/>
  <c r="Z149" i="28"/>
  <c r="Z148" i="28"/>
  <c r="Z147" i="28"/>
  <c r="Z146" i="28"/>
  <c r="B145" i="28"/>
  <c r="B144" i="28"/>
  <c r="AC133" i="28" s="1"/>
  <c r="E436" i="28" s="1"/>
  <c r="E450" i="28" s="1"/>
  <c r="E468" i="28" s="1"/>
  <c r="D9" i="40" s="1"/>
  <c r="B143" i="28"/>
  <c r="B142" i="28"/>
  <c r="B141" i="28"/>
  <c r="B140" i="28"/>
  <c r="B139" i="28"/>
  <c r="B138" i="28"/>
  <c r="B137" i="28"/>
  <c r="AC132" i="28" s="1"/>
  <c r="E435" i="28" s="1"/>
  <c r="E449" i="28" s="1"/>
  <c r="E467" i="28" s="1"/>
  <c r="C9" i="40" s="1"/>
  <c r="B136" i="28"/>
  <c r="B135" i="28"/>
  <c r="B134" i="28"/>
  <c r="B133" i="28"/>
  <c r="B132" i="28"/>
  <c r="AS219" i="28"/>
  <c r="BA218" i="28"/>
  <c r="AU218" i="28"/>
  <c r="AR218" i="28"/>
  <c r="AL218" i="28"/>
  <c r="AC218" i="28"/>
  <c r="AC215" i="28"/>
  <c r="G436" i="28" s="1"/>
  <c r="G450" i="28" s="1"/>
  <c r="G468" i="28" s="1"/>
  <c r="D11" i="40" s="1"/>
  <c r="AC209" i="28"/>
  <c r="AX179" i="28"/>
  <c r="AH179" i="28"/>
  <c r="AF179" i="28"/>
  <c r="BA177" i="28"/>
  <c r="AU177" i="28"/>
  <c r="AI177" i="28"/>
  <c r="AC177" i="28"/>
  <c r="AC168" i="28"/>
  <c r="BA136" i="28"/>
  <c r="AL136" i="28"/>
  <c r="AC136" i="28"/>
  <c r="BA138" i="28"/>
  <c r="AI138" i="28"/>
  <c r="AX136" i="28"/>
  <c r="AR136" i="28"/>
  <c r="AI136" i="28"/>
  <c r="AC127" i="28"/>
  <c r="Z244" i="34"/>
  <c r="BA219" i="34" s="1"/>
  <c r="Y244" i="34"/>
  <c r="X244" i="34"/>
  <c r="W244" i="34"/>
  <c r="AX219" i="34" s="1"/>
  <c r="V244" i="34"/>
  <c r="U244" i="34"/>
  <c r="AV219" i="34" s="1"/>
  <c r="T244" i="34"/>
  <c r="S244" i="34"/>
  <c r="R244" i="34"/>
  <c r="AS219" i="34" s="1"/>
  <c r="Q244" i="34"/>
  <c r="AR219" i="34" s="1"/>
  <c r="P244" i="34"/>
  <c r="O244" i="34"/>
  <c r="AP219" i="34" s="1"/>
  <c r="N244" i="34"/>
  <c r="M244" i="34"/>
  <c r="L244" i="34"/>
  <c r="K244" i="34"/>
  <c r="J244" i="34"/>
  <c r="J245" i="34" s="1"/>
  <c r="I244" i="34"/>
  <c r="H244" i="34"/>
  <c r="G244" i="34"/>
  <c r="AH219" i="34" s="1"/>
  <c r="F244" i="34"/>
  <c r="E244" i="34"/>
  <c r="AF219" i="34" s="1"/>
  <c r="D244" i="34"/>
  <c r="C244" i="34"/>
  <c r="B244" i="34"/>
  <c r="AC219" i="34" s="1"/>
  <c r="Z243" i="34"/>
  <c r="Y243" i="34"/>
  <c r="X243" i="34"/>
  <c r="W243" i="34"/>
  <c r="V243" i="34"/>
  <c r="U243" i="34"/>
  <c r="T243" i="34"/>
  <c r="AU219" i="34" s="1"/>
  <c r="S243" i="34"/>
  <c r="R243" i="34"/>
  <c r="Q243" i="34"/>
  <c r="P243" i="34"/>
  <c r="O243" i="34"/>
  <c r="N243" i="34"/>
  <c r="M243" i="34"/>
  <c r="L243" i="34"/>
  <c r="K243" i="34"/>
  <c r="J243" i="34"/>
  <c r="I243" i="34"/>
  <c r="H243" i="34"/>
  <c r="G243" i="34"/>
  <c r="F243" i="34"/>
  <c r="E243" i="34"/>
  <c r="D243" i="34"/>
  <c r="AE219" i="34" s="1"/>
  <c r="C243" i="34"/>
  <c r="B243" i="34"/>
  <c r="Z242" i="34"/>
  <c r="Y242" i="34"/>
  <c r="AZ220" i="34" s="1"/>
  <c r="X242" i="34"/>
  <c r="W242" i="34"/>
  <c r="V242" i="34"/>
  <c r="U242" i="34"/>
  <c r="AV220" i="34" s="1"/>
  <c r="T242" i="34"/>
  <c r="AU220" i="34" s="1"/>
  <c r="S242" i="34"/>
  <c r="AT220" i="34" s="1"/>
  <c r="R242" i="34"/>
  <c r="Q242" i="34"/>
  <c r="P242" i="34"/>
  <c r="O242" i="34"/>
  <c r="AP220" i="34" s="1"/>
  <c r="N242" i="34"/>
  <c r="M242" i="34"/>
  <c r="AN220" i="34" s="1"/>
  <c r="L242" i="34"/>
  <c r="AM220" i="34" s="1"/>
  <c r="K242" i="34"/>
  <c r="AL220" i="34" s="1"/>
  <c r="J242" i="34"/>
  <c r="I242" i="34"/>
  <c r="AJ220" i="34" s="1"/>
  <c r="H242" i="34"/>
  <c r="G242" i="34"/>
  <c r="F242" i="34"/>
  <c r="E242" i="34"/>
  <c r="AF220" i="34" s="1"/>
  <c r="D242" i="34"/>
  <c r="AE220" i="34" s="1"/>
  <c r="C242" i="34"/>
  <c r="AD220" i="34" s="1"/>
  <c r="B242" i="34"/>
  <c r="Z241" i="34"/>
  <c r="Y241" i="34"/>
  <c r="X241" i="34"/>
  <c r="W241" i="34"/>
  <c r="V241" i="34"/>
  <c r="V245" i="34" s="1"/>
  <c r="U241" i="34"/>
  <c r="T241" i="34"/>
  <c r="AU218" i="34" s="1"/>
  <c r="S241" i="34"/>
  <c r="R241" i="34"/>
  <c r="Q241" i="34"/>
  <c r="P241" i="34"/>
  <c r="O241" i="34"/>
  <c r="N241" i="34"/>
  <c r="AO218" i="34" s="1"/>
  <c r="M241" i="34"/>
  <c r="L241" i="34"/>
  <c r="K241" i="34"/>
  <c r="J241" i="34"/>
  <c r="I241" i="34"/>
  <c r="H241" i="34"/>
  <c r="G241" i="34"/>
  <c r="F241" i="34"/>
  <c r="F245" i="34" s="1"/>
  <c r="E241" i="34"/>
  <c r="D241" i="34"/>
  <c r="C241" i="34"/>
  <c r="B241" i="34"/>
  <c r="Z239" i="34"/>
  <c r="Z238" i="34"/>
  <c r="Z237" i="34"/>
  <c r="Z236" i="34"/>
  <c r="Z235" i="34"/>
  <c r="Z234" i="34"/>
  <c r="Z233" i="34"/>
  <c r="Z232" i="34"/>
  <c r="Z231" i="34"/>
  <c r="Z230" i="34"/>
  <c r="Z229" i="34"/>
  <c r="Z228" i="34"/>
  <c r="B227" i="34"/>
  <c r="B226" i="34"/>
  <c r="B225" i="34"/>
  <c r="B224" i="34"/>
  <c r="B223" i="34"/>
  <c r="B222" i="34"/>
  <c r="B221" i="34"/>
  <c r="B220" i="34"/>
  <c r="B219" i="34"/>
  <c r="B218" i="34"/>
  <c r="B217" i="34"/>
  <c r="B216" i="34"/>
  <c r="B215" i="34"/>
  <c r="B214" i="34"/>
  <c r="Z203" i="34"/>
  <c r="BA178" i="34" s="1"/>
  <c r="Y203" i="34"/>
  <c r="X203" i="34"/>
  <c r="W203" i="34"/>
  <c r="V203" i="34"/>
  <c r="AW178" i="34" s="1"/>
  <c r="U203" i="34"/>
  <c r="T203" i="34"/>
  <c r="AU178" i="34" s="1"/>
  <c r="S203" i="34"/>
  <c r="R203" i="34"/>
  <c r="Q203" i="34"/>
  <c r="AR178" i="34" s="1"/>
  <c r="P203" i="34"/>
  <c r="O203" i="34"/>
  <c r="N203" i="34"/>
  <c r="AO178" i="34" s="1"/>
  <c r="M203" i="34"/>
  <c r="AN178" i="34" s="1"/>
  <c r="L203" i="34"/>
  <c r="K203" i="34"/>
  <c r="J203" i="34"/>
  <c r="I203" i="34"/>
  <c r="AJ178" i="34" s="1"/>
  <c r="H203" i="34"/>
  <c r="G203" i="34"/>
  <c r="AH178" i="34" s="1"/>
  <c r="F203" i="34"/>
  <c r="AG178" i="34" s="1"/>
  <c r="E203" i="34"/>
  <c r="AF178" i="34" s="1"/>
  <c r="D203" i="34"/>
  <c r="AE178" i="34" s="1"/>
  <c r="C203" i="34"/>
  <c r="B203" i="34"/>
  <c r="Z202" i="34"/>
  <c r="Y202" i="34"/>
  <c r="X202" i="34"/>
  <c r="W202" i="34"/>
  <c r="V202" i="34"/>
  <c r="U202" i="34"/>
  <c r="T202" i="34"/>
  <c r="S202" i="34"/>
  <c r="R202" i="34"/>
  <c r="Q202" i="34"/>
  <c r="P202" i="34"/>
  <c r="O202" i="34"/>
  <c r="N202" i="34"/>
  <c r="M202" i="34"/>
  <c r="L202" i="34"/>
  <c r="K202" i="34"/>
  <c r="J202" i="34"/>
  <c r="I202" i="34"/>
  <c r="H202" i="34"/>
  <c r="G202" i="34"/>
  <c r="F202" i="34"/>
  <c r="E202" i="34"/>
  <c r="D202" i="34"/>
  <c r="C202" i="34"/>
  <c r="B202" i="34"/>
  <c r="Z201" i="34"/>
  <c r="BA179" i="34" s="1"/>
  <c r="Y201" i="34"/>
  <c r="X201" i="34"/>
  <c r="AY179" i="34" s="1"/>
  <c r="W201" i="34"/>
  <c r="V201" i="34"/>
  <c r="U201" i="34"/>
  <c r="T201" i="34"/>
  <c r="AU179" i="34" s="1"/>
  <c r="S201" i="34"/>
  <c r="AT179" i="34" s="1"/>
  <c r="R201" i="34"/>
  <c r="AS179" i="34" s="1"/>
  <c r="Q201" i="34"/>
  <c r="P201" i="34"/>
  <c r="AQ179" i="34" s="1"/>
  <c r="O201" i="34"/>
  <c r="N201" i="34"/>
  <c r="AO179" i="34" s="1"/>
  <c r="M201" i="34"/>
  <c r="L201" i="34"/>
  <c r="AM179" i="34" s="1"/>
  <c r="K201" i="34"/>
  <c r="AL179" i="34" s="1"/>
  <c r="J201" i="34"/>
  <c r="AK179" i="34" s="1"/>
  <c r="I201" i="34"/>
  <c r="H201" i="34"/>
  <c r="AI179" i="34" s="1"/>
  <c r="G201" i="34"/>
  <c r="F201" i="34"/>
  <c r="E201" i="34"/>
  <c r="D201" i="34"/>
  <c r="AE179" i="34" s="1"/>
  <c r="C201" i="34"/>
  <c r="AD179" i="34" s="1"/>
  <c r="B201" i="34"/>
  <c r="AC179" i="34" s="1"/>
  <c r="Z200" i="34"/>
  <c r="Y200" i="34"/>
  <c r="X200" i="34"/>
  <c r="W200" i="34"/>
  <c r="V200" i="34"/>
  <c r="U200" i="34"/>
  <c r="U204" i="34" s="1"/>
  <c r="T200" i="34"/>
  <c r="AU177" i="34" s="1"/>
  <c r="S200" i="34"/>
  <c r="R200" i="34"/>
  <c r="Q200" i="34"/>
  <c r="P200" i="34"/>
  <c r="O200" i="34"/>
  <c r="N200" i="34"/>
  <c r="M200" i="34"/>
  <c r="M204" i="34" s="1"/>
  <c r="L200" i="34"/>
  <c r="K200" i="34"/>
  <c r="AL177" i="34" s="1"/>
  <c r="J200" i="34"/>
  <c r="I200" i="34"/>
  <c r="H200" i="34"/>
  <c r="G200" i="34"/>
  <c r="F200" i="34"/>
  <c r="E200" i="34"/>
  <c r="AF177" i="34" s="1"/>
  <c r="D200" i="34"/>
  <c r="C200" i="34"/>
  <c r="B200" i="34"/>
  <c r="Z199" i="34"/>
  <c r="BA176" i="34" s="1"/>
  <c r="F438" i="34" s="1"/>
  <c r="F452" i="34" s="1"/>
  <c r="F470" i="34" s="1"/>
  <c r="F52" i="40" s="1"/>
  <c r="Z198" i="34"/>
  <c r="Z197" i="34"/>
  <c r="Z196" i="34"/>
  <c r="Z195" i="34"/>
  <c r="Z194" i="34"/>
  <c r="Z193" i="34"/>
  <c r="Z192" i="34"/>
  <c r="Z191" i="34"/>
  <c r="Z190" i="34"/>
  <c r="Z189" i="34"/>
  <c r="Z188" i="34"/>
  <c r="Z187" i="34"/>
  <c r="B186" i="34"/>
  <c r="B185" i="34"/>
  <c r="AC174" i="34" s="1"/>
  <c r="F436" i="34" s="1"/>
  <c r="F450" i="34" s="1"/>
  <c r="F468" i="34" s="1"/>
  <c r="D52" i="40" s="1"/>
  <c r="B184" i="34"/>
  <c r="B183" i="34"/>
  <c r="B182" i="34"/>
  <c r="B181" i="34"/>
  <c r="B180" i="34"/>
  <c r="B179" i="34"/>
  <c r="B178" i="34"/>
  <c r="B177" i="34"/>
  <c r="B176" i="34"/>
  <c r="B175" i="34"/>
  <c r="B174" i="34"/>
  <c r="B173" i="34"/>
  <c r="Z162" i="34"/>
  <c r="Y162" i="34"/>
  <c r="X162" i="34"/>
  <c r="W162" i="34"/>
  <c r="V162" i="34"/>
  <c r="U162" i="34"/>
  <c r="AV137" i="34" s="1"/>
  <c r="T162" i="34"/>
  <c r="S162" i="34"/>
  <c r="AT137" i="34" s="1"/>
  <c r="R162" i="34"/>
  <c r="Q162" i="34"/>
  <c r="P162" i="34"/>
  <c r="O162" i="34"/>
  <c r="N162" i="34"/>
  <c r="AO137" i="34" s="1"/>
  <c r="M162" i="34"/>
  <c r="L162" i="34"/>
  <c r="AM137" i="34" s="1"/>
  <c r="K162" i="34"/>
  <c r="AL137" i="34" s="1"/>
  <c r="J162" i="34"/>
  <c r="I162" i="34"/>
  <c r="H162" i="34"/>
  <c r="AI137" i="34" s="1"/>
  <c r="G162" i="34"/>
  <c r="F162" i="34"/>
  <c r="E162" i="34"/>
  <c r="AF137" i="34" s="1"/>
  <c r="D162" i="34"/>
  <c r="C162" i="34"/>
  <c r="AD137" i="34" s="1"/>
  <c r="B162" i="34"/>
  <c r="AC137" i="34" s="1"/>
  <c r="Z161" i="34"/>
  <c r="Y161" i="34"/>
  <c r="X161" i="34"/>
  <c r="W161" i="34"/>
  <c r="V161" i="34"/>
  <c r="U161" i="34"/>
  <c r="T161" i="34"/>
  <c r="S161" i="34"/>
  <c r="R161" i="34"/>
  <c r="Q161" i="34"/>
  <c r="P161" i="34"/>
  <c r="O161" i="34"/>
  <c r="N161" i="34"/>
  <c r="M161" i="34"/>
  <c r="L161" i="34"/>
  <c r="K161" i="34"/>
  <c r="J161" i="34"/>
  <c r="I161" i="34"/>
  <c r="H161" i="34"/>
  <c r="G161" i="34"/>
  <c r="F161" i="34"/>
  <c r="E161" i="34"/>
  <c r="D161" i="34"/>
  <c r="C161" i="34"/>
  <c r="B161" i="34"/>
  <c r="Z160" i="34"/>
  <c r="BA138" i="34" s="1"/>
  <c r="Y160" i="34"/>
  <c r="AZ138" i="34" s="1"/>
  <c r="X160" i="34"/>
  <c r="W160" i="34"/>
  <c r="AX138" i="34" s="1"/>
  <c r="V160" i="34"/>
  <c r="U160" i="34"/>
  <c r="AV138" i="34" s="1"/>
  <c r="T160" i="34"/>
  <c r="S160" i="34"/>
  <c r="AT138" i="34" s="1"/>
  <c r="R160" i="34"/>
  <c r="AS138" i="34" s="1"/>
  <c r="Q160" i="34"/>
  <c r="AR138" i="34" s="1"/>
  <c r="P160" i="34"/>
  <c r="O160" i="34"/>
  <c r="AP138" i="34" s="1"/>
  <c r="N160" i="34"/>
  <c r="M160" i="34"/>
  <c r="L160" i="34"/>
  <c r="K160" i="34"/>
  <c r="AL138" i="34" s="1"/>
  <c r="J160" i="34"/>
  <c r="AK138" i="34" s="1"/>
  <c r="I160" i="34"/>
  <c r="AJ138" i="34" s="1"/>
  <c r="H160" i="34"/>
  <c r="G160" i="34"/>
  <c r="F160" i="34"/>
  <c r="E160" i="34"/>
  <c r="D160" i="34"/>
  <c r="C160" i="34"/>
  <c r="AD138" i="34" s="1"/>
  <c r="B160" i="34"/>
  <c r="AC138" i="34" s="1"/>
  <c r="Z159" i="34"/>
  <c r="Y159" i="34"/>
  <c r="X159" i="34"/>
  <c r="W159" i="34"/>
  <c r="V159" i="34"/>
  <c r="U159" i="34"/>
  <c r="T159" i="34"/>
  <c r="AU136" i="34" s="1"/>
  <c r="S159" i="34"/>
  <c r="R159" i="34"/>
  <c r="Q159" i="34"/>
  <c r="P159" i="34"/>
  <c r="O159" i="34"/>
  <c r="N159" i="34"/>
  <c r="M159" i="34"/>
  <c r="L159" i="34"/>
  <c r="L163" i="34" s="1"/>
  <c r="K159" i="34"/>
  <c r="J159" i="34"/>
  <c r="I159" i="34"/>
  <c r="H159" i="34"/>
  <c r="G159" i="34"/>
  <c r="F159" i="34"/>
  <c r="E159" i="34"/>
  <c r="D159" i="34"/>
  <c r="D163" i="34" s="1"/>
  <c r="C159" i="34"/>
  <c r="B159" i="34"/>
  <c r="AC136" i="34" s="1"/>
  <c r="Z158" i="34"/>
  <c r="Z157" i="34"/>
  <c r="Z156" i="34"/>
  <c r="Z155" i="34"/>
  <c r="Z154" i="34"/>
  <c r="Z153" i="34"/>
  <c r="Z152" i="34"/>
  <c r="Z151" i="34"/>
  <c r="Z150" i="34"/>
  <c r="Z149" i="34"/>
  <c r="Z148" i="34"/>
  <c r="Z147" i="34"/>
  <c r="Z146" i="34"/>
  <c r="B145" i="34"/>
  <c r="B144" i="34"/>
  <c r="AC133" i="34" s="1"/>
  <c r="E436" i="34" s="1"/>
  <c r="E450" i="34" s="1"/>
  <c r="E468" i="34" s="1"/>
  <c r="D51" i="40" s="1"/>
  <c r="B143" i="34"/>
  <c r="B142" i="34"/>
  <c r="B141" i="34"/>
  <c r="B140" i="34"/>
  <c r="B139" i="34"/>
  <c r="B138" i="34"/>
  <c r="B137" i="34"/>
  <c r="B136" i="34"/>
  <c r="B135" i="34"/>
  <c r="B134" i="34"/>
  <c r="B133" i="34"/>
  <c r="B132" i="34"/>
  <c r="AY219" i="34"/>
  <c r="AQ219" i="34"/>
  <c r="AN219" i="34"/>
  <c r="AI219" i="34"/>
  <c r="AW220" i="34"/>
  <c r="AR220" i="34"/>
  <c r="AO220" i="34"/>
  <c r="AG220" i="34"/>
  <c r="BA218" i="34"/>
  <c r="X245" i="34"/>
  <c r="P245" i="34"/>
  <c r="H245" i="34"/>
  <c r="AC218" i="34"/>
  <c r="BA220" i="34"/>
  <c r="AY220" i="34"/>
  <c r="AS220" i="34"/>
  <c r="AQ220" i="34"/>
  <c r="AK220" i="34"/>
  <c r="AI220" i="34"/>
  <c r="AH220" i="34"/>
  <c r="AC220" i="34"/>
  <c r="AW219" i="34"/>
  <c r="AO219" i="34"/>
  <c r="AG219" i="34"/>
  <c r="AX218" i="34"/>
  <c r="AR218" i="34"/>
  <c r="AL218" i="34"/>
  <c r="AI218" i="34"/>
  <c r="AF218" i="34"/>
  <c r="BA217" i="34"/>
  <c r="G438" i="34" s="1"/>
  <c r="G452" i="34" s="1"/>
  <c r="G470" i="34" s="1"/>
  <c r="F53" i="40" s="1"/>
  <c r="AC215" i="34"/>
  <c r="G436" i="34" s="1"/>
  <c r="G450" i="34" s="1"/>
  <c r="G468" i="34" s="1"/>
  <c r="D53" i="40" s="1"/>
  <c r="AM178" i="34"/>
  <c r="AV178" i="34"/>
  <c r="AZ179" i="34"/>
  <c r="AW179" i="34"/>
  <c r="AR179" i="34"/>
  <c r="AJ179" i="34"/>
  <c r="AG179" i="34"/>
  <c r="BA177" i="34"/>
  <c r="AO177" i="34"/>
  <c r="G204" i="34"/>
  <c r="AC177" i="34"/>
  <c r="AX179" i="34"/>
  <c r="AV179" i="34"/>
  <c r="AP179" i="34"/>
  <c r="AN179" i="34"/>
  <c r="AH179" i="34"/>
  <c r="AF179" i="34"/>
  <c r="AP178" i="34"/>
  <c r="AP181" i="34" s="1"/>
  <c r="AX177" i="34"/>
  <c r="AR177" i="34"/>
  <c r="AI177" i="34"/>
  <c r="AU137" i="34"/>
  <c r="AE137" i="34"/>
  <c r="AN137" i="34"/>
  <c r="AW138" i="34"/>
  <c r="AO138" i="34"/>
  <c r="AG138" i="34"/>
  <c r="BA136" i="34"/>
  <c r="V163" i="34"/>
  <c r="AO136" i="34"/>
  <c r="AY138" i="34"/>
  <c r="AU138" i="34"/>
  <c r="AQ138" i="34"/>
  <c r="AM138" i="34"/>
  <c r="AI138" i="34"/>
  <c r="AH138" i="34"/>
  <c r="AE138" i="34"/>
  <c r="AW137" i="34"/>
  <c r="AW140" i="34" s="1"/>
  <c r="AX136" i="34"/>
  <c r="AR136" i="34"/>
  <c r="AI136" i="34"/>
  <c r="AF136" i="34"/>
  <c r="BA135" i="34"/>
  <c r="E438" i="34" s="1"/>
  <c r="E452" i="34" s="1"/>
  <c r="E470" i="34" s="1"/>
  <c r="F51" i="40" s="1"/>
  <c r="AV219" i="27"/>
  <c r="AP219" i="27"/>
  <c r="AO219" i="27"/>
  <c r="AN219" i="27"/>
  <c r="AF219" i="27"/>
  <c r="AC219" i="27"/>
  <c r="Z243" i="27"/>
  <c r="Y243" i="27"/>
  <c r="X243" i="27"/>
  <c r="W243" i="27"/>
  <c r="V243" i="27"/>
  <c r="U243" i="27"/>
  <c r="T243" i="27"/>
  <c r="AU219" i="27" s="1"/>
  <c r="S243" i="27"/>
  <c r="R243" i="27"/>
  <c r="Q243" i="27"/>
  <c r="P243" i="27"/>
  <c r="AQ219" i="27" s="1"/>
  <c r="O243" i="27"/>
  <c r="N243" i="27"/>
  <c r="M243" i="27"/>
  <c r="L243" i="27"/>
  <c r="AM219" i="27" s="1"/>
  <c r="K243" i="27"/>
  <c r="J243" i="27"/>
  <c r="I243" i="27"/>
  <c r="H243" i="27"/>
  <c r="AI219" i="27" s="1"/>
  <c r="G243" i="27"/>
  <c r="AH219" i="27" s="1"/>
  <c r="F243" i="27"/>
  <c r="E243" i="27"/>
  <c r="D243" i="27"/>
  <c r="AE219" i="27" s="1"/>
  <c r="C243" i="27"/>
  <c r="B243" i="27"/>
  <c r="Z242" i="27"/>
  <c r="Y242" i="27"/>
  <c r="AZ220" i="27" s="1"/>
  <c r="X242" i="27"/>
  <c r="AY220" i="27" s="1"/>
  <c r="W242" i="27"/>
  <c r="AX220" i="27" s="1"/>
  <c r="V242" i="27"/>
  <c r="U242" i="27"/>
  <c r="AV220" i="27" s="1"/>
  <c r="T242" i="27"/>
  <c r="AU220" i="27" s="1"/>
  <c r="S242" i="27"/>
  <c r="R242" i="27"/>
  <c r="Q242" i="27"/>
  <c r="AR220" i="27" s="1"/>
  <c r="P242" i="27"/>
  <c r="AQ220" i="27" s="1"/>
  <c r="O242" i="27"/>
  <c r="O245" i="27" s="1"/>
  <c r="N242" i="27"/>
  <c r="M242" i="27"/>
  <c r="AN220" i="27" s="1"/>
  <c r="L242" i="27"/>
  <c r="AM220" i="27" s="1"/>
  <c r="K242" i="27"/>
  <c r="J242" i="27"/>
  <c r="I242" i="27"/>
  <c r="H242" i="27"/>
  <c r="AI220" i="27" s="1"/>
  <c r="G242" i="27"/>
  <c r="AH220" i="27" s="1"/>
  <c r="F242" i="27"/>
  <c r="E242" i="27"/>
  <c r="AF220" i="27" s="1"/>
  <c r="D242" i="27"/>
  <c r="D245" i="27" s="1"/>
  <c r="C242" i="27"/>
  <c r="B242" i="27"/>
  <c r="Z241" i="27"/>
  <c r="BA218" i="27" s="1"/>
  <c r="Y241" i="27"/>
  <c r="Y245" i="27" s="1"/>
  <c r="X241" i="27"/>
  <c r="X245" i="27" s="1"/>
  <c r="W241" i="27"/>
  <c r="V241" i="27"/>
  <c r="U241" i="27"/>
  <c r="T241" i="27"/>
  <c r="S241" i="27"/>
  <c r="R241" i="27"/>
  <c r="Q241" i="27"/>
  <c r="Q245" i="27" s="1"/>
  <c r="P241" i="27"/>
  <c r="O241" i="27"/>
  <c r="N241" i="27"/>
  <c r="AO218" i="27" s="1"/>
  <c r="M241" i="27"/>
  <c r="L241" i="27"/>
  <c r="K241" i="27"/>
  <c r="J241" i="27"/>
  <c r="I241" i="27"/>
  <c r="I245" i="27" s="1"/>
  <c r="H241" i="27"/>
  <c r="AI218" i="27" s="1"/>
  <c r="G241" i="27"/>
  <c r="F241" i="27"/>
  <c r="E241" i="27"/>
  <c r="D241" i="27"/>
  <c r="C241" i="27"/>
  <c r="B241" i="27"/>
  <c r="Z239" i="27"/>
  <c r="Z238" i="27"/>
  <c r="Z237" i="27"/>
  <c r="Z236" i="27"/>
  <c r="Z235" i="27"/>
  <c r="Z234" i="27"/>
  <c r="Z233" i="27"/>
  <c r="Z232" i="27"/>
  <c r="Z231" i="27"/>
  <c r="Z230" i="27"/>
  <c r="Z229" i="27"/>
  <c r="Z228" i="27"/>
  <c r="B227" i="27"/>
  <c r="B226" i="27"/>
  <c r="B225" i="27"/>
  <c r="B224" i="27"/>
  <c r="B223" i="27"/>
  <c r="B222" i="27"/>
  <c r="B221" i="27"/>
  <c r="B220" i="27"/>
  <c r="B219" i="27"/>
  <c r="B218" i="27"/>
  <c r="B217" i="27"/>
  <c r="B216" i="27"/>
  <c r="B215" i="27"/>
  <c r="B214" i="27"/>
  <c r="BA178" i="27"/>
  <c r="AX178" i="27"/>
  <c r="AV178" i="27"/>
  <c r="AU178" i="27"/>
  <c r="AR178" i="27"/>
  <c r="AO178" i="27"/>
  <c r="AN178" i="27"/>
  <c r="AM178" i="27"/>
  <c r="AG178" i="27"/>
  <c r="AE178" i="27"/>
  <c r="Z202" i="27"/>
  <c r="Y202" i="27"/>
  <c r="X202" i="27"/>
  <c r="W202" i="27"/>
  <c r="V202" i="27"/>
  <c r="U202" i="27"/>
  <c r="T202" i="27"/>
  <c r="S202" i="27"/>
  <c r="R202" i="27"/>
  <c r="Q202" i="27"/>
  <c r="P202" i="27"/>
  <c r="O202" i="27"/>
  <c r="N202" i="27"/>
  <c r="M202" i="27"/>
  <c r="L202" i="27"/>
  <c r="K202" i="27"/>
  <c r="AL178" i="27" s="1"/>
  <c r="J202" i="27"/>
  <c r="J204" i="27" s="1"/>
  <c r="I202" i="27"/>
  <c r="H202" i="27"/>
  <c r="G202" i="27"/>
  <c r="F202" i="27"/>
  <c r="E202" i="27"/>
  <c r="D202" i="27"/>
  <c r="C202" i="27"/>
  <c r="B202" i="27"/>
  <c r="Z201" i="27"/>
  <c r="Y201" i="27"/>
  <c r="X201" i="27"/>
  <c r="W201" i="27"/>
  <c r="V201" i="27"/>
  <c r="V204" i="27" s="1"/>
  <c r="U201" i="27"/>
  <c r="AV179" i="27" s="1"/>
  <c r="T201" i="27"/>
  <c r="AU179" i="27" s="1"/>
  <c r="S201" i="27"/>
  <c r="S204" i="27" s="1"/>
  <c r="R201" i="27"/>
  <c r="Q201" i="27"/>
  <c r="P201" i="27"/>
  <c r="AQ179" i="27" s="1"/>
  <c r="O201" i="27"/>
  <c r="AP179" i="27" s="1"/>
  <c r="N201" i="27"/>
  <c r="AO179" i="27" s="1"/>
  <c r="M201" i="27"/>
  <c r="L201" i="27"/>
  <c r="AM179" i="27" s="1"/>
  <c r="K201" i="27"/>
  <c r="AL179" i="27" s="1"/>
  <c r="J201" i="27"/>
  <c r="I201" i="27"/>
  <c r="H201" i="27"/>
  <c r="AI179" i="27" s="1"/>
  <c r="G201" i="27"/>
  <c r="AH179" i="27" s="1"/>
  <c r="F201" i="27"/>
  <c r="F204" i="27" s="1"/>
  <c r="E201" i="27"/>
  <c r="AF179" i="27" s="1"/>
  <c r="D201" i="27"/>
  <c r="AE179" i="27" s="1"/>
  <c r="C201" i="27"/>
  <c r="AD179" i="27" s="1"/>
  <c r="B201" i="27"/>
  <c r="Z200" i="27"/>
  <c r="Y200" i="27"/>
  <c r="X200" i="27"/>
  <c r="W200" i="27"/>
  <c r="AX177" i="27" s="1"/>
  <c r="V200" i="27"/>
  <c r="U200" i="27"/>
  <c r="T200" i="27"/>
  <c r="AU177" i="27" s="1"/>
  <c r="S200" i="27"/>
  <c r="R200" i="27"/>
  <c r="Q200" i="27"/>
  <c r="P200" i="27"/>
  <c r="O200" i="27"/>
  <c r="N200" i="27"/>
  <c r="M200" i="27"/>
  <c r="L200" i="27"/>
  <c r="K200" i="27"/>
  <c r="J200" i="27"/>
  <c r="I200" i="27"/>
  <c r="H200" i="27"/>
  <c r="G200" i="27"/>
  <c r="F200" i="27"/>
  <c r="E200" i="27"/>
  <c r="D200" i="27"/>
  <c r="C200" i="27"/>
  <c r="B200" i="27"/>
  <c r="Z199" i="27"/>
  <c r="Z198" i="27"/>
  <c r="Z197" i="27"/>
  <c r="Z196" i="27"/>
  <c r="Z195" i="27"/>
  <c r="Z194" i="27"/>
  <c r="Z193" i="27"/>
  <c r="Z192" i="27"/>
  <c r="Z191" i="27"/>
  <c r="Z190" i="27"/>
  <c r="Z189" i="27"/>
  <c r="Z188" i="27"/>
  <c r="Z187" i="27"/>
  <c r="B186" i="27"/>
  <c r="B185" i="27"/>
  <c r="B184" i="27"/>
  <c r="B183" i="27"/>
  <c r="B182" i="27"/>
  <c r="B181" i="27"/>
  <c r="B180" i="27"/>
  <c r="B179" i="27"/>
  <c r="B178" i="27"/>
  <c r="B177" i="27"/>
  <c r="B176" i="27"/>
  <c r="B175" i="27"/>
  <c r="B174" i="27"/>
  <c r="B173" i="27"/>
  <c r="AQ137" i="27"/>
  <c r="AN137" i="27"/>
  <c r="AM137" i="27"/>
  <c r="AL137" i="27"/>
  <c r="AF137" i="27"/>
  <c r="AE137" i="27"/>
  <c r="AD137" i="27"/>
  <c r="Z161" i="27"/>
  <c r="Y161" i="27"/>
  <c r="X161" i="27"/>
  <c r="W161" i="27"/>
  <c r="V161" i="27"/>
  <c r="U161" i="27"/>
  <c r="T161" i="27"/>
  <c r="S161" i="27"/>
  <c r="R161" i="27"/>
  <c r="AS137" i="27" s="1"/>
  <c r="Q161" i="27"/>
  <c r="P161" i="27"/>
  <c r="O161" i="27"/>
  <c r="N161" i="27"/>
  <c r="M161" i="27"/>
  <c r="L161" i="27"/>
  <c r="K161" i="27"/>
  <c r="J161" i="27"/>
  <c r="AK137" i="27" s="1"/>
  <c r="I161" i="27"/>
  <c r="H161" i="27"/>
  <c r="G161" i="27"/>
  <c r="F161" i="27"/>
  <c r="E161" i="27"/>
  <c r="D161" i="27"/>
  <c r="C161" i="27"/>
  <c r="B161" i="27"/>
  <c r="Z160" i="27"/>
  <c r="BA138" i="27" s="1"/>
  <c r="Y160" i="27"/>
  <c r="X160" i="27"/>
  <c r="AY138" i="27" s="1"/>
  <c r="W160" i="27"/>
  <c r="V160" i="27"/>
  <c r="U160" i="27"/>
  <c r="AV138" i="27" s="1"/>
  <c r="T160" i="27"/>
  <c r="S160" i="27"/>
  <c r="AT138" i="27" s="1"/>
  <c r="R160" i="27"/>
  <c r="R163" i="27" s="1"/>
  <c r="Q160" i="27"/>
  <c r="P160" i="27"/>
  <c r="O160" i="27"/>
  <c r="AP138" i="27" s="1"/>
  <c r="N160" i="27"/>
  <c r="AO138" i="27" s="1"/>
  <c r="M160" i="27"/>
  <c r="AN138" i="27" s="1"/>
  <c r="L160" i="27"/>
  <c r="K160" i="27"/>
  <c r="AL138" i="27" s="1"/>
  <c r="J160" i="27"/>
  <c r="J163" i="27" s="1"/>
  <c r="I160" i="27"/>
  <c r="H160" i="27"/>
  <c r="AI138" i="27" s="1"/>
  <c r="G160" i="27"/>
  <c r="AH138" i="27" s="1"/>
  <c r="F160" i="27"/>
  <c r="AG138" i="27" s="1"/>
  <c r="E160" i="27"/>
  <c r="E163" i="27" s="1"/>
  <c r="D160" i="27"/>
  <c r="C160" i="27"/>
  <c r="AD138" i="27" s="1"/>
  <c r="B160" i="27"/>
  <c r="AC138" i="27" s="1"/>
  <c r="Z159" i="27"/>
  <c r="Y159" i="27"/>
  <c r="X159" i="27"/>
  <c r="W159" i="27"/>
  <c r="V159" i="27"/>
  <c r="U159" i="27"/>
  <c r="T159" i="27"/>
  <c r="AU136" i="27" s="1"/>
  <c r="S159" i="27"/>
  <c r="R159" i="27"/>
  <c r="Q159" i="27"/>
  <c r="P159" i="27"/>
  <c r="O159" i="27"/>
  <c r="N159" i="27"/>
  <c r="AO136" i="27" s="1"/>
  <c r="M159" i="27"/>
  <c r="L159" i="27"/>
  <c r="K159" i="27"/>
  <c r="J159" i="27"/>
  <c r="I159" i="27"/>
  <c r="H159" i="27"/>
  <c r="G159" i="27"/>
  <c r="F159" i="27"/>
  <c r="E159" i="27"/>
  <c r="D159" i="27"/>
  <c r="C159" i="27"/>
  <c r="B159" i="27"/>
  <c r="Z158" i="27"/>
  <c r="BA135" i="27" s="1"/>
  <c r="E438" i="27" s="1"/>
  <c r="E452" i="27" s="1"/>
  <c r="E470" i="27" s="1"/>
  <c r="F23" i="40" s="1"/>
  <c r="Z157" i="27"/>
  <c r="Z156" i="27"/>
  <c r="Z155" i="27"/>
  <c r="Z154" i="27"/>
  <c r="Z153" i="27"/>
  <c r="Z152" i="27"/>
  <c r="Z151" i="27"/>
  <c r="Z150" i="27"/>
  <c r="Z149" i="27"/>
  <c r="Z148" i="27"/>
  <c r="Z147" i="27"/>
  <c r="Z146" i="27"/>
  <c r="B145" i="27"/>
  <c r="B144" i="27"/>
  <c r="AC133" i="27" s="1"/>
  <c r="E436" i="27" s="1"/>
  <c r="E450" i="27" s="1"/>
  <c r="E468" i="27" s="1"/>
  <c r="D23" i="40" s="1"/>
  <c r="B143" i="27"/>
  <c r="B142" i="27"/>
  <c r="B141" i="27"/>
  <c r="B140" i="27"/>
  <c r="B139" i="27"/>
  <c r="B138" i="27"/>
  <c r="B137" i="27"/>
  <c r="B136" i="27"/>
  <c r="B135" i="27"/>
  <c r="B134" i="27"/>
  <c r="B133" i="27"/>
  <c r="B132" i="27"/>
  <c r="C245" i="27"/>
  <c r="AZ219" i="27"/>
  <c r="AR219" i="27"/>
  <c r="AJ219" i="27"/>
  <c r="H245" i="27"/>
  <c r="AX218" i="27"/>
  <c r="R245" i="27"/>
  <c r="G245" i="27"/>
  <c r="BA220" i="27"/>
  <c r="AW220" i="27"/>
  <c r="AT220" i="27"/>
  <c r="AS220" i="27"/>
  <c r="AO220" i="27"/>
  <c r="AL220" i="27"/>
  <c r="AK220" i="27"/>
  <c r="AJ220" i="27"/>
  <c r="AG220" i="27"/>
  <c r="AD220" i="27"/>
  <c r="AC220" i="27"/>
  <c r="AY219" i="27"/>
  <c r="AX219" i="27"/>
  <c r="AW219" i="27"/>
  <c r="AT219" i="27"/>
  <c r="AD219" i="27"/>
  <c r="AU218" i="27"/>
  <c r="AL218" i="27"/>
  <c r="AC218" i="27"/>
  <c r="BA217" i="27"/>
  <c r="G438" i="27" s="1"/>
  <c r="G452" i="27" s="1"/>
  <c r="G470" i="27" s="1"/>
  <c r="F25" i="40" s="1"/>
  <c r="AC215" i="27"/>
  <c r="G436" i="27" s="1"/>
  <c r="G450" i="27" s="1"/>
  <c r="G468" i="27" s="1"/>
  <c r="D25" i="40" s="1"/>
  <c r="AF178" i="27"/>
  <c r="AQ178" i="27"/>
  <c r="AI178" i="27"/>
  <c r="BA177" i="27"/>
  <c r="P204" i="27"/>
  <c r="AC177" i="27"/>
  <c r="BA179" i="27"/>
  <c r="AZ179" i="27"/>
  <c r="AY179" i="27"/>
  <c r="AX179" i="27"/>
  <c r="AW179" i="27"/>
  <c r="AS179" i="27"/>
  <c r="AR179" i="27"/>
  <c r="AN179" i="27"/>
  <c r="AK179" i="27"/>
  <c r="AJ179" i="27"/>
  <c r="AC179" i="27"/>
  <c r="AY178" i="27"/>
  <c r="AW178" i="27"/>
  <c r="AT178" i="27"/>
  <c r="AD178" i="27"/>
  <c r="AO177" i="27"/>
  <c r="AL177" i="27"/>
  <c r="AI177" i="27"/>
  <c r="BA176" i="27"/>
  <c r="F438" i="27" s="1"/>
  <c r="F452" i="27" s="1"/>
  <c r="F470" i="27" s="1"/>
  <c r="F24" i="40" s="1"/>
  <c r="AC174" i="27"/>
  <c r="F436" i="27" s="1"/>
  <c r="F450" i="27" s="1"/>
  <c r="F468" i="27" s="1"/>
  <c r="D24" i="40" s="1"/>
  <c r="BA137" i="27"/>
  <c r="AX137" i="27"/>
  <c r="AP137" i="27"/>
  <c r="AH137" i="27"/>
  <c r="AC137" i="27"/>
  <c r="AT137" i="27"/>
  <c r="BA136" i="27"/>
  <c r="M163" i="27"/>
  <c r="AC136" i="27"/>
  <c r="AZ138" i="27"/>
  <c r="AX138" i="27"/>
  <c r="AW138" i="27"/>
  <c r="AU138" i="27"/>
  <c r="AR138" i="27"/>
  <c r="AQ138" i="27"/>
  <c r="AM138" i="27"/>
  <c r="AJ138" i="27"/>
  <c r="AE138" i="27"/>
  <c r="AV137" i="27"/>
  <c r="AU137" i="27"/>
  <c r="AR136" i="27"/>
  <c r="Z244" i="26"/>
  <c r="Y244" i="26"/>
  <c r="X244" i="26"/>
  <c r="W244" i="26"/>
  <c r="V244" i="26"/>
  <c r="U244" i="26"/>
  <c r="T244" i="26"/>
  <c r="S244" i="26"/>
  <c r="R244" i="26"/>
  <c r="Q244" i="26"/>
  <c r="P244" i="26"/>
  <c r="O244" i="26"/>
  <c r="N244" i="26"/>
  <c r="M244" i="26"/>
  <c r="L244" i="26"/>
  <c r="K244" i="26"/>
  <c r="AL219" i="26" s="1"/>
  <c r="J244" i="26"/>
  <c r="I244" i="26"/>
  <c r="AJ219" i="26" s="1"/>
  <c r="H244" i="26"/>
  <c r="G244" i="26"/>
  <c r="F244" i="26"/>
  <c r="AG219" i="26" s="1"/>
  <c r="E244" i="26"/>
  <c r="D244" i="26"/>
  <c r="C244" i="26"/>
  <c r="AD219" i="26" s="1"/>
  <c r="B244" i="26"/>
  <c r="Z243" i="26"/>
  <c r="Y243" i="26"/>
  <c r="X243" i="26"/>
  <c r="W243" i="26"/>
  <c r="AX219" i="26" s="1"/>
  <c r="V243" i="26"/>
  <c r="U243" i="26"/>
  <c r="T243" i="26"/>
  <c r="S243" i="26"/>
  <c r="R243" i="26"/>
  <c r="Q243" i="26"/>
  <c r="P243" i="26"/>
  <c r="O243" i="26"/>
  <c r="AP219" i="26" s="1"/>
  <c r="N243" i="26"/>
  <c r="M243" i="26"/>
  <c r="L243" i="26"/>
  <c r="K243" i="26"/>
  <c r="J243" i="26"/>
  <c r="I243" i="26"/>
  <c r="H243" i="26"/>
  <c r="G243" i="26"/>
  <c r="F243" i="26"/>
  <c r="E243" i="26"/>
  <c r="D243" i="26"/>
  <c r="C243" i="26"/>
  <c r="B243" i="26"/>
  <c r="Z242" i="26"/>
  <c r="Y242" i="26"/>
  <c r="X242" i="26"/>
  <c r="AY220" i="26" s="1"/>
  <c r="W242" i="26"/>
  <c r="V242" i="26"/>
  <c r="AW220" i="26" s="1"/>
  <c r="U242" i="26"/>
  <c r="T242" i="26"/>
  <c r="AU220" i="26" s="1"/>
  <c r="S242" i="26"/>
  <c r="AT220" i="26" s="1"/>
  <c r="R242" i="26"/>
  <c r="Q242" i="26"/>
  <c r="P242" i="26"/>
  <c r="AQ220" i="26" s="1"/>
  <c r="O242" i="26"/>
  <c r="N242" i="26"/>
  <c r="M242" i="26"/>
  <c r="AN220" i="26" s="1"/>
  <c r="L242" i="26"/>
  <c r="AM220" i="26" s="1"/>
  <c r="K242" i="26"/>
  <c r="AL220" i="26" s="1"/>
  <c r="J242" i="26"/>
  <c r="I242" i="26"/>
  <c r="H242" i="26"/>
  <c r="AI220" i="26" s="1"/>
  <c r="G242" i="26"/>
  <c r="F242" i="26"/>
  <c r="AG220" i="26" s="1"/>
  <c r="E242" i="26"/>
  <c r="AF220" i="26" s="1"/>
  <c r="D242" i="26"/>
  <c r="AE220" i="26" s="1"/>
  <c r="C242" i="26"/>
  <c r="AD220" i="26" s="1"/>
  <c r="B242" i="26"/>
  <c r="Z241" i="26"/>
  <c r="Y241" i="26"/>
  <c r="X241" i="26"/>
  <c r="W241" i="26"/>
  <c r="AX218" i="26" s="1"/>
  <c r="V241" i="26"/>
  <c r="U241" i="26"/>
  <c r="T241" i="26"/>
  <c r="AU218" i="26" s="1"/>
  <c r="S241" i="26"/>
  <c r="R241" i="26"/>
  <c r="Q241" i="26"/>
  <c r="P241" i="26"/>
  <c r="O241" i="26"/>
  <c r="N241" i="26"/>
  <c r="AO218" i="26" s="1"/>
  <c r="M241" i="26"/>
  <c r="L241" i="26"/>
  <c r="K241" i="26"/>
  <c r="J241" i="26"/>
  <c r="I241" i="26"/>
  <c r="H241" i="26"/>
  <c r="G241" i="26"/>
  <c r="F241" i="26"/>
  <c r="E241" i="26"/>
  <c r="D241" i="26"/>
  <c r="C241" i="26"/>
  <c r="B241" i="26"/>
  <c r="BA217" i="26"/>
  <c r="G438" i="26" s="1"/>
  <c r="G452" i="26" s="1"/>
  <c r="G470" i="26" s="1"/>
  <c r="F39" i="40" s="1"/>
  <c r="Z239" i="26"/>
  <c r="Z238" i="26"/>
  <c r="Z237" i="26"/>
  <c r="Z236" i="26"/>
  <c r="Z235" i="26"/>
  <c r="Z234" i="26"/>
  <c r="Z233" i="26"/>
  <c r="Z232" i="26"/>
  <c r="Z231" i="26"/>
  <c r="Z230" i="26"/>
  <c r="Z229" i="26"/>
  <c r="Z228" i="26"/>
  <c r="B227" i="26"/>
  <c r="B226" i="26"/>
  <c r="B225" i="26"/>
  <c r="B224" i="26"/>
  <c r="B223" i="26"/>
  <c r="B222" i="26"/>
  <c r="B221" i="26"/>
  <c r="B220" i="26"/>
  <c r="B219" i="26"/>
  <c r="B218" i="26"/>
  <c r="B217" i="26"/>
  <c r="B216" i="26"/>
  <c r="B215" i="26"/>
  <c r="B214" i="26"/>
  <c r="Z203" i="26"/>
  <c r="BA178" i="26" s="1"/>
  <c r="Y203" i="26"/>
  <c r="X203" i="26"/>
  <c r="AY178" i="26" s="1"/>
  <c r="W203" i="26"/>
  <c r="V203" i="26"/>
  <c r="U203" i="26"/>
  <c r="AV178" i="26" s="1"/>
  <c r="T203" i="26"/>
  <c r="S203" i="26"/>
  <c r="R203" i="26"/>
  <c r="AS178" i="26" s="1"/>
  <c r="Q203" i="26"/>
  <c r="P203" i="26"/>
  <c r="AQ178" i="26" s="1"/>
  <c r="O203" i="26"/>
  <c r="N203" i="26"/>
  <c r="M203" i="26"/>
  <c r="AN178" i="26" s="1"/>
  <c r="L203" i="26"/>
  <c r="K203" i="26"/>
  <c r="AL178" i="26" s="1"/>
  <c r="J203" i="26"/>
  <c r="AK178" i="26" s="1"/>
  <c r="I203" i="26"/>
  <c r="AJ178" i="26" s="1"/>
  <c r="H203" i="26"/>
  <c r="AI178" i="26" s="1"/>
  <c r="G203" i="26"/>
  <c r="F203" i="26"/>
  <c r="E203" i="26"/>
  <c r="AF178" i="26" s="1"/>
  <c r="D203" i="26"/>
  <c r="C203" i="26"/>
  <c r="B203" i="26"/>
  <c r="AC178" i="26" s="1"/>
  <c r="Z202" i="26"/>
  <c r="Y202" i="26"/>
  <c r="X202" i="26"/>
  <c r="W202" i="26"/>
  <c r="V202" i="26"/>
  <c r="U202" i="26"/>
  <c r="T202" i="26"/>
  <c r="S202" i="26"/>
  <c r="R202" i="26"/>
  <c r="Q202" i="26"/>
  <c r="P202" i="26"/>
  <c r="O202" i="26"/>
  <c r="N202" i="26"/>
  <c r="M202" i="26"/>
  <c r="L202" i="26"/>
  <c r="K202" i="26"/>
  <c r="J202" i="26"/>
  <c r="I202" i="26"/>
  <c r="H202" i="26"/>
  <c r="G202" i="26"/>
  <c r="F202" i="26"/>
  <c r="E202" i="26"/>
  <c r="D202" i="26"/>
  <c r="C202" i="26"/>
  <c r="B202" i="26"/>
  <c r="Z201" i="26"/>
  <c r="BA179" i="26" s="1"/>
  <c r="Y201" i="26"/>
  <c r="X201" i="26"/>
  <c r="W201" i="26"/>
  <c r="V201" i="26"/>
  <c r="AW179" i="26" s="1"/>
  <c r="U201" i="26"/>
  <c r="AV179" i="26" s="1"/>
  <c r="T201" i="26"/>
  <c r="AU179" i="26" s="1"/>
  <c r="S201" i="26"/>
  <c r="R201" i="26"/>
  <c r="AS179" i="26" s="1"/>
  <c r="Q201" i="26"/>
  <c r="P201" i="26"/>
  <c r="O201" i="26"/>
  <c r="AP179" i="26" s="1"/>
  <c r="N201" i="26"/>
  <c r="AO179" i="26" s="1"/>
  <c r="M201" i="26"/>
  <c r="AN179" i="26" s="1"/>
  <c r="L201" i="26"/>
  <c r="AM179" i="26" s="1"/>
  <c r="K201" i="26"/>
  <c r="J201" i="26"/>
  <c r="AK179" i="26" s="1"/>
  <c r="I201" i="26"/>
  <c r="H201" i="26"/>
  <c r="G201" i="26"/>
  <c r="AH179" i="26" s="1"/>
  <c r="F201" i="26"/>
  <c r="E201" i="26"/>
  <c r="AF179" i="26" s="1"/>
  <c r="D201" i="26"/>
  <c r="AE179" i="26" s="1"/>
  <c r="C201" i="26"/>
  <c r="B201" i="26"/>
  <c r="AC179" i="26" s="1"/>
  <c r="Z200" i="26"/>
  <c r="Y200" i="26"/>
  <c r="X200" i="26"/>
  <c r="W200" i="26"/>
  <c r="AX177" i="26" s="1"/>
  <c r="V200" i="26"/>
  <c r="U200" i="26"/>
  <c r="T200" i="26"/>
  <c r="AU177" i="26" s="1"/>
  <c r="S200" i="26"/>
  <c r="R200" i="26"/>
  <c r="Q200" i="26"/>
  <c r="P200" i="26"/>
  <c r="O200" i="26"/>
  <c r="N200" i="26"/>
  <c r="AO177" i="26" s="1"/>
  <c r="M200" i="26"/>
  <c r="L200" i="26"/>
  <c r="K200" i="26"/>
  <c r="J200" i="26"/>
  <c r="I200" i="26"/>
  <c r="H200" i="26"/>
  <c r="G200" i="26"/>
  <c r="F200" i="26"/>
  <c r="E200" i="26"/>
  <c r="AF177" i="26" s="1"/>
  <c r="D200" i="26"/>
  <c r="C200" i="26"/>
  <c r="B200" i="26"/>
  <c r="Z199" i="26"/>
  <c r="Z198" i="26"/>
  <c r="Z197" i="26"/>
  <c r="Z196" i="26"/>
  <c r="Z195" i="26"/>
  <c r="Z194" i="26"/>
  <c r="Z193" i="26"/>
  <c r="Z192" i="26"/>
  <c r="Z191" i="26"/>
  <c r="Z190" i="26"/>
  <c r="Z189" i="26"/>
  <c r="Z188" i="26"/>
  <c r="Z187" i="26"/>
  <c r="B186" i="26"/>
  <c r="B185" i="26"/>
  <c r="AC174" i="26" s="1"/>
  <c r="F436" i="26" s="1"/>
  <c r="F450" i="26" s="1"/>
  <c r="F468" i="26" s="1"/>
  <c r="D38" i="40" s="1"/>
  <c r="B184" i="26"/>
  <c r="B183" i="26"/>
  <c r="B182" i="26"/>
  <c r="B181" i="26"/>
  <c r="B180" i="26"/>
  <c r="B179" i="26"/>
  <c r="B178" i="26"/>
  <c r="B177" i="26"/>
  <c r="B176" i="26"/>
  <c r="B175" i="26"/>
  <c r="B174" i="26"/>
  <c r="B173" i="26"/>
  <c r="Z162" i="26"/>
  <c r="BA137" i="26" s="1"/>
  <c r="Y162" i="26"/>
  <c r="AZ137" i="26" s="1"/>
  <c r="X162" i="26"/>
  <c r="W162" i="26"/>
  <c r="AX137" i="26" s="1"/>
  <c r="V162" i="26"/>
  <c r="U162" i="26"/>
  <c r="T162" i="26"/>
  <c r="AU137" i="26" s="1"/>
  <c r="S162" i="26"/>
  <c r="R162" i="26"/>
  <c r="Q162" i="26"/>
  <c r="P162" i="26"/>
  <c r="O162" i="26"/>
  <c r="AP137" i="26" s="1"/>
  <c r="N162" i="26"/>
  <c r="M162" i="26"/>
  <c r="L162" i="26"/>
  <c r="AM137" i="26" s="1"/>
  <c r="K162" i="26"/>
  <c r="J162" i="26"/>
  <c r="AK137" i="26" s="1"/>
  <c r="I162" i="26"/>
  <c r="H162" i="26"/>
  <c r="G162" i="26"/>
  <c r="AH137" i="26" s="1"/>
  <c r="F162" i="26"/>
  <c r="E162" i="26"/>
  <c r="D162" i="26"/>
  <c r="AE137" i="26" s="1"/>
  <c r="C162" i="26"/>
  <c r="B162" i="26"/>
  <c r="Z161" i="26"/>
  <c r="Y161" i="26"/>
  <c r="X161" i="26"/>
  <c r="X163" i="26" s="1"/>
  <c r="W161" i="26"/>
  <c r="V161" i="26"/>
  <c r="U161" i="26"/>
  <c r="T161" i="26"/>
  <c r="S161" i="26"/>
  <c r="R161" i="26"/>
  <c r="Q161" i="26"/>
  <c r="P161" i="26"/>
  <c r="O161" i="26"/>
  <c r="N161" i="26"/>
  <c r="M161" i="26"/>
  <c r="L161" i="26"/>
  <c r="K161" i="26"/>
  <c r="J161" i="26"/>
  <c r="I161" i="26"/>
  <c r="H161" i="26"/>
  <c r="G161" i="26"/>
  <c r="F161" i="26"/>
  <c r="E161" i="26"/>
  <c r="D161" i="26"/>
  <c r="C161" i="26"/>
  <c r="B161" i="26"/>
  <c r="Z160" i="26"/>
  <c r="BA138" i="26" s="1"/>
  <c r="Y160" i="26"/>
  <c r="AZ138" i="26" s="1"/>
  <c r="X160" i="26"/>
  <c r="W160" i="26"/>
  <c r="V160" i="26"/>
  <c r="AW138" i="26" s="1"/>
  <c r="U160" i="26"/>
  <c r="AV138" i="26" s="1"/>
  <c r="T160" i="26"/>
  <c r="AU138" i="26" s="1"/>
  <c r="S160" i="26"/>
  <c r="AT138" i="26" s="1"/>
  <c r="R160" i="26"/>
  <c r="AS138" i="26" s="1"/>
  <c r="Q160" i="26"/>
  <c r="AR138" i="26" s="1"/>
  <c r="P160" i="26"/>
  <c r="O160" i="26"/>
  <c r="N160" i="26"/>
  <c r="AO138" i="26" s="1"/>
  <c r="M160" i="26"/>
  <c r="AN138" i="26" s="1"/>
  <c r="L160" i="26"/>
  <c r="K160" i="26"/>
  <c r="AL138" i="26" s="1"/>
  <c r="J160" i="26"/>
  <c r="AK138" i="26" s="1"/>
  <c r="I160" i="26"/>
  <c r="H160" i="26"/>
  <c r="G160" i="26"/>
  <c r="F160" i="26"/>
  <c r="AG138" i="26" s="1"/>
  <c r="E160" i="26"/>
  <c r="AF138" i="26" s="1"/>
  <c r="D160" i="26"/>
  <c r="AE138" i="26" s="1"/>
  <c r="C160" i="26"/>
  <c r="B160" i="26"/>
  <c r="AC138" i="26" s="1"/>
  <c r="Z159" i="26"/>
  <c r="Y159" i="26"/>
  <c r="X159" i="26"/>
  <c r="W159" i="26"/>
  <c r="V159" i="26"/>
  <c r="U159" i="26"/>
  <c r="T159" i="26"/>
  <c r="S159" i="26"/>
  <c r="R159" i="26"/>
  <c r="Q159" i="26"/>
  <c r="P159" i="26"/>
  <c r="O159" i="26"/>
  <c r="N159" i="26"/>
  <c r="M159" i="26"/>
  <c r="L159" i="26"/>
  <c r="K159" i="26"/>
  <c r="AL136" i="26" s="1"/>
  <c r="J159" i="26"/>
  <c r="I159" i="26"/>
  <c r="H159" i="26"/>
  <c r="G159" i="26"/>
  <c r="F159" i="26"/>
  <c r="E159" i="26"/>
  <c r="D159" i="26"/>
  <c r="C159" i="26"/>
  <c r="B159" i="26"/>
  <c r="Z158" i="26"/>
  <c r="Z157" i="26"/>
  <c r="Z156" i="26"/>
  <c r="Z155" i="26"/>
  <c r="Z154" i="26"/>
  <c r="Z153" i="26"/>
  <c r="Z152" i="26"/>
  <c r="Z151" i="26"/>
  <c r="Z150" i="26"/>
  <c r="Z149" i="26"/>
  <c r="Z148" i="26"/>
  <c r="Z147" i="26"/>
  <c r="Z146" i="26"/>
  <c r="B145" i="26"/>
  <c r="B144" i="26"/>
  <c r="AC133" i="26" s="1"/>
  <c r="E436" i="26" s="1"/>
  <c r="E450" i="26" s="1"/>
  <c r="E468" i="26" s="1"/>
  <c r="D37" i="40" s="1"/>
  <c r="B143" i="26"/>
  <c r="B142" i="26"/>
  <c r="B141" i="26"/>
  <c r="B140" i="26"/>
  <c r="B139" i="26"/>
  <c r="B138" i="26"/>
  <c r="B137" i="26"/>
  <c r="B136" i="26"/>
  <c r="B135" i="26"/>
  <c r="B134" i="26"/>
  <c r="B133" i="26"/>
  <c r="B132" i="26"/>
  <c r="AN219" i="26"/>
  <c r="AH219" i="26"/>
  <c r="P245" i="26"/>
  <c r="J245" i="26"/>
  <c r="BA220" i="26"/>
  <c r="AZ220" i="26"/>
  <c r="AX220" i="26"/>
  <c r="AS220" i="26"/>
  <c r="AR220" i="26"/>
  <c r="AP220" i="26"/>
  <c r="AO220" i="26"/>
  <c r="AK220" i="26"/>
  <c r="AJ220" i="26"/>
  <c r="AH220" i="26"/>
  <c r="AC220" i="26"/>
  <c r="BA219" i="26"/>
  <c r="AY219" i="26"/>
  <c r="AW219" i="26"/>
  <c r="AS219" i="26"/>
  <c r="AQ219" i="26"/>
  <c r="AO219" i="26"/>
  <c r="AK219" i="26"/>
  <c r="AI219" i="26"/>
  <c r="AC219" i="26"/>
  <c r="BA218" i="26"/>
  <c r="AL218" i="26"/>
  <c r="AI218" i="26"/>
  <c r="AC218" i="26"/>
  <c r="AC215" i="26"/>
  <c r="G436" i="26" s="1"/>
  <c r="G450" i="26" s="1"/>
  <c r="G468" i="26" s="1"/>
  <c r="D39" i="40" s="1"/>
  <c r="AW178" i="26"/>
  <c r="AO178" i="26"/>
  <c r="AG178" i="26"/>
  <c r="AP178" i="26"/>
  <c r="AH178" i="26"/>
  <c r="Y204" i="26"/>
  <c r="Q204" i="26"/>
  <c r="P204" i="26"/>
  <c r="I204" i="26"/>
  <c r="G204" i="26"/>
  <c r="BA176" i="26"/>
  <c r="F438" i="26" s="1"/>
  <c r="F452" i="26" s="1"/>
  <c r="F470" i="26" s="1"/>
  <c r="F38" i="40" s="1"/>
  <c r="AZ179" i="26"/>
  <c r="AY179" i="26"/>
  <c r="AX179" i="26"/>
  <c r="AT179" i="26"/>
  <c r="AR179" i="26"/>
  <c r="AQ179" i="26"/>
  <c r="AL179" i="26"/>
  <c r="AJ179" i="26"/>
  <c r="AI179" i="26"/>
  <c r="AG179" i="26"/>
  <c r="AD179" i="26"/>
  <c r="AZ178" i="26"/>
  <c r="AX178" i="26"/>
  <c r="BA177" i="26"/>
  <c r="AI177" i="26"/>
  <c r="AC177" i="26"/>
  <c r="O163" i="26"/>
  <c r="AY137" i="26"/>
  <c r="P163" i="26"/>
  <c r="H163" i="26"/>
  <c r="F163" i="26"/>
  <c r="AY138" i="26"/>
  <c r="AX138" i="26"/>
  <c r="AQ138" i="26"/>
  <c r="AP138" i="26"/>
  <c r="AM138" i="26"/>
  <c r="AJ138" i="26"/>
  <c r="AI138" i="26"/>
  <c r="AH138" i="26"/>
  <c r="AW137" i="26"/>
  <c r="AV137" i="26"/>
  <c r="AO137" i="26"/>
  <c r="AN137" i="26"/>
  <c r="AG137" i="26"/>
  <c r="AF137" i="26"/>
  <c r="BA136" i="26"/>
  <c r="AX136" i="26"/>
  <c r="AO136" i="26"/>
  <c r="AI136" i="26"/>
  <c r="AC136" i="26"/>
  <c r="BA135" i="26"/>
  <c r="E438" i="26" s="1"/>
  <c r="E452" i="26" s="1"/>
  <c r="E470" i="26" s="1"/>
  <c r="F37" i="40" s="1"/>
  <c r="Z244" i="24"/>
  <c r="Y244" i="24"/>
  <c r="X244" i="24"/>
  <c r="AY219" i="24" s="1"/>
  <c r="W244" i="24"/>
  <c r="V244" i="24"/>
  <c r="U244" i="24"/>
  <c r="AV219" i="24" s="1"/>
  <c r="T244" i="24"/>
  <c r="S244" i="24"/>
  <c r="R244" i="24"/>
  <c r="Q244" i="24"/>
  <c r="P244" i="24"/>
  <c r="O244" i="24"/>
  <c r="N244" i="24"/>
  <c r="M244" i="24"/>
  <c r="AN219" i="24" s="1"/>
  <c r="L244" i="24"/>
  <c r="K244" i="24"/>
  <c r="AL219" i="24" s="1"/>
  <c r="J244" i="24"/>
  <c r="I244" i="24"/>
  <c r="H244" i="24"/>
  <c r="AI219" i="24" s="1"/>
  <c r="G244" i="24"/>
  <c r="F244" i="24"/>
  <c r="E244" i="24"/>
  <c r="AF219" i="24" s="1"/>
  <c r="D244" i="24"/>
  <c r="C244" i="24"/>
  <c r="AD219" i="24" s="1"/>
  <c r="B244" i="24"/>
  <c r="Z243" i="24"/>
  <c r="Y243" i="24"/>
  <c r="X243" i="24"/>
  <c r="W243" i="24"/>
  <c r="AX219" i="24" s="1"/>
  <c r="V243" i="24"/>
  <c r="U243" i="24"/>
  <c r="T243" i="24"/>
  <c r="S243" i="24"/>
  <c r="R243" i="24"/>
  <c r="Q243" i="24"/>
  <c r="P243" i="24"/>
  <c r="O243" i="24"/>
  <c r="AP219" i="24" s="1"/>
  <c r="N243" i="24"/>
  <c r="M243" i="24"/>
  <c r="L243" i="24"/>
  <c r="K243" i="24"/>
  <c r="J243" i="24"/>
  <c r="I243" i="24"/>
  <c r="H243" i="24"/>
  <c r="G243" i="24"/>
  <c r="F243" i="24"/>
  <c r="E243" i="24"/>
  <c r="D243" i="24"/>
  <c r="C243" i="24"/>
  <c r="B243" i="24"/>
  <c r="Z242" i="24"/>
  <c r="BA220" i="24" s="1"/>
  <c r="Y242" i="24"/>
  <c r="X242" i="24"/>
  <c r="W242" i="24"/>
  <c r="AX220" i="24" s="1"/>
  <c r="V242" i="24"/>
  <c r="U242" i="24"/>
  <c r="T242" i="24"/>
  <c r="AU220" i="24" s="1"/>
  <c r="S242" i="24"/>
  <c r="R242" i="24"/>
  <c r="AS220" i="24" s="1"/>
  <c r="Q242" i="24"/>
  <c r="P242" i="24"/>
  <c r="AQ220" i="24" s="1"/>
  <c r="O242" i="24"/>
  <c r="N242" i="24"/>
  <c r="AO220" i="24" s="1"/>
  <c r="M242" i="24"/>
  <c r="L242" i="24"/>
  <c r="AM220" i="24" s="1"/>
  <c r="K242" i="24"/>
  <c r="AL220" i="24" s="1"/>
  <c r="J242" i="24"/>
  <c r="AK220" i="24" s="1"/>
  <c r="I242" i="24"/>
  <c r="AJ220" i="24" s="1"/>
  <c r="H242" i="24"/>
  <c r="AI220" i="24" s="1"/>
  <c r="G242" i="24"/>
  <c r="AH220" i="24" s="1"/>
  <c r="F242" i="24"/>
  <c r="E242" i="24"/>
  <c r="D242" i="24"/>
  <c r="AE220" i="24" s="1"/>
  <c r="C242" i="24"/>
  <c r="AD220" i="24" s="1"/>
  <c r="B242" i="24"/>
  <c r="AC220" i="24" s="1"/>
  <c r="Z241" i="24"/>
  <c r="Y241" i="24"/>
  <c r="X241" i="24"/>
  <c r="W241" i="24"/>
  <c r="V241" i="24"/>
  <c r="U241" i="24"/>
  <c r="T241" i="24"/>
  <c r="S241" i="24"/>
  <c r="R241" i="24"/>
  <c r="Q241" i="24"/>
  <c r="P241" i="24"/>
  <c r="O241" i="24"/>
  <c r="N241" i="24"/>
  <c r="M241" i="24"/>
  <c r="L241" i="24"/>
  <c r="K241" i="24"/>
  <c r="AL218" i="24" s="1"/>
  <c r="J241" i="24"/>
  <c r="I241" i="24"/>
  <c r="H241" i="24"/>
  <c r="AI218" i="24" s="1"/>
  <c r="G241" i="24"/>
  <c r="F241" i="24"/>
  <c r="E241" i="24"/>
  <c r="D241" i="24"/>
  <c r="C241" i="24"/>
  <c r="B241" i="24"/>
  <c r="BA217" i="24"/>
  <c r="G438" i="24" s="1"/>
  <c r="G452" i="24" s="1"/>
  <c r="G470" i="24" s="1"/>
  <c r="F11" i="39" s="1"/>
  <c r="Z239" i="24"/>
  <c r="Z238" i="24"/>
  <c r="Z237" i="24"/>
  <c r="Z236" i="24"/>
  <c r="Z235" i="24"/>
  <c r="Z234" i="24"/>
  <c r="Z233" i="24"/>
  <c r="Z232" i="24"/>
  <c r="Z231" i="24"/>
  <c r="Z230" i="24"/>
  <c r="Z229" i="24"/>
  <c r="Z228" i="24"/>
  <c r="B227" i="24"/>
  <c r="B226" i="24"/>
  <c r="AC215" i="24" s="1"/>
  <c r="G436" i="24" s="1"/>
  <c r="G450" i="24" s="1"/>
  <c r="G468" i="24" s="1"/>
  <c r="D11" i="39" s="1"/>
  <c r="B225" i="24"/>
  <c r="B224" i="24"/>
  <c r="B223" i="24"/>
  <c r="B222" i="24"/>
  <c r="B221" i="24"/>
  <c r="B220" i="24"/>
  <c r="B219" i="24"/>
  <c r="B218" i="24"/>
  <c r="B217" i="24"/>
  <c r="B216" i="24"/>
  <c r="B215" i="24"/>
  <c r="B214" i="24"/>
  <c r="Z203" i="24"/>
  <c r="BA178" i="24" s="1"/>
  <c r="Y203" i="24"/>
  <c r="AZ178" i="24" s="1"/>
  <c r="X203" i="24"/>
  <c r="W203" i="24"/>
  <c r="AX178" i="24" s="1"/>
  <c r="V203" i="24"/>
  <c r="AW178" i="24" s="1"/>
  <c r="U203" i="24"/>
  <c r="T203" i="24"/>
  <c r="AU178" i="24" s="1"/>
  <c r="S203" i="24"/>
  <c r="R203" i="24"/>
  <c r="AS178" i="24" s="1"/>
  <c r="Q203" i="24"/>
  <c r="AR178" i="24" s="1"/>
  <c r="P203" i="24"/>
  <c r="O203" i="24"/>
  <c r="AP178" i="24" s="1"/>
  <c r="N203" i="24"/>
  <c r="AO178" i="24" s="1"/>
  <c r="M203" i="24"/>
  <c r="L203" i="24"/>
  <c r="AM178" i="24" s="1"/>
  <c r="K203" i="24"/>
  <c r="J203" i="24"/>
  <c r="AK178" i="24" s="1"/>
  <c r="I203" i="24"/>
  <c r="H203" i="24"/>
  <c r="G203" i="24"/>
  <c r="AH178" i="24" s="1"/>
  <c r="F203" i="24"/>
  <c r="AG178" i="24" s="1"/>
  <c r="E203" i="24"/>
  <c r="D203" i="24"/>
  <c r="AE178" i="24" s="1"/>
  <c r="C203" i="24"/>
  <c r="B203" i="24"/>
  <c r="AC178" i="24" s="1"/>
  <c r="Z202" i="24"/>
  <c r="Y202" i="24"/>
  <c r="X202" i="24"/>
  <c r="W202" i="24"/>
  <c r="V202" i="24"/>
  <c r="U202" i="24"/>
  <c r="T202" i="24"/>
  <c r="S202" i="24"/>
  <c r="R202" i="24"/>
  <c r="Q202" i="24"/>
  <c r="P202" i="24"/>
  <c r="O202" i="24"/>
  <c r="N202" i="24"/>
  <c r="M202" i="24"/>
  <c r="L202" i="24"/>
  <c r="K202" i="24"/>
  <c r="J202" i="24"/>
  <c r="I202" i="24"/>
  <c r="H202" i="24"/>
  <c r="G202" i="24"/>
  <c r="F202" i="24"/>
  <c r="E202" i="24"/>
  <c r="D202" i="24"/>
  <c r="C202" i="24"/>
  <c r="B202" i="24"/>
  <c r="Z201" i="24"/>
  <c r="BA179" i="24" s="1"/>
  <c r="Y201" i="24"/>
  <c r="AZ179" i="24" s="1"/>
  <c r="X201" i="24"/>
  <c r="W201" i="24"/>
  <c r="AX179" i="24" s="1"/>
  <c r="V201" i="24"/>
  <c r="AW179" i="24" s="1"/>
  <c r="U201" i="24"/>
  <c r="AV179" i="24" s="1"/>
  <c r="T201" i="24"/>
  <c r="AU179" i="24" s="1"/>
  <c r="S201" i="24"/>
  <c r="R201" i="24"/>
  <c r="AS179" i="24" s="1"/>
  <c r="Q201" i="24"/>
  <c r="P201" i="24"/>
  <c r="AQ179" i="24" s="1"/>
  <c r="O201" i="24"/>
  <c r="N201" i="24"/>
  <c r="M201" i="24"/>
  <c r="AN179" i="24" s="1"/>
  <c r="L201" i="24"/>
  <c r="K201" i="24"/>
  <c r="J201" i="24"/>
  <c r="AK179" i="24" s="1"/>
  <c r="I201" i="24"/>
  <c r="AJ179" i="24" s="1"/>
  <c r="H201" i="24"/>
  <c r="G201" i="24"/>
  <c r="AH179" i="24" s="1"/>
  <c r="F201" i="24"/>
  <c r="AG179" i="24" s="1"/>
  <c r="E201" i="24"/>
  <c r="AF179" i="24" s="1"/>
  <c r="D201" i="24"/>
  <c r="C201" i="24"/>
  <c r="B201" i="24"/>
  <c r="AC179" i="24" s="1"/>
  <c r="Z200" i="24"/>
  <c r="Y200" i="24"/>
  <c r="X200" i="24"/>
  <c r="W200" i="24"/>
  <c r="AX177" i="24" s="1"/>
  <c r="V200" i="24"/>
  <c r="U200" i="24"/>
  <c r="T200" i="24"/>
  <c r="S200" i="24"/>
  <c r="R200" i="24"/>
  <c r="Q200" i="24"/>
  <c r="P200" i="24"/>
  <c r="O200" i="24"/>
  <c r="N200" i="24"/>
  <c r="M200" i="24"/>
  <c r="L200" i="24"/>
  <c r="K200" i="24"/>
  <c r="AL177" i="24" s="1"/>
  <c r="J200" i="24"/>
  <c r="I200" i="24"/>
  <c r="H200" i="24"/>
  <c r="G200" i="24"/>
  <c r="F200" i="24"/>
  <c r="E200" i="24"/>
  <c r="AF177" i="24" s="1"/>
  <c r="D200" i="24"/>
  <c r="C200" i="24"/>
  <c r="B200" i="24"/>
  <c r="AC177" i="24" s="1"/>
  <c r="Z199" i="24"/>
  <c r="Z198" i="24"/>
  <c r="Z197" i="24"/>
  <c r="Z196" i="24"/>
  <c r="Z195" i="24"/>
  <c r="Z194" i="24"/>
  <c r="Z193" i="24"/>
  <c r="Z192" i="24"/>
  <c r="Z191" i="24"/>
  <c r="Z190" i="24"/>
  <c r="Z189" i="24"/>
  <c r="Z188" i="24"/>
  <c r="Z187" i="24"/>
  <c r="B186" i="24"/>
  <c r="B185" i="24"/>
  <c r="AC174" i="24" s="1"/>
  <c r="F436" i="24" s="1"/>
  <c r="F450" i="24" s="1"/>
  <c r="F468" i="24" s="1"/>
  <c r="D10" i="39" s="1"/>
  <c r="B184" i="24"/>
  <c r="B183" i="24"/>
  <c r="B182" i="24"/>
  <c r="B181" i="24"/>
  <c r="B180" i="24"/>
  <c r="B179" i="24"/>
  <c r="B178" i="24"/>
  <c r="B177" i="24"/>
  <c r="B176" i="24"/>
  <c r="B175" i="24"/>
  <c r="B174" i="24"/>
  <c r="B173" i="24"/>
  <c r="AC173" i="24" s="1"/>
  <c r="F435" i="24" s="1"/>
  <c r="F449" i="24" s="1"/>
  <c r="F467" i="24" s="1"/>
  <c r="C10" i="39" s="1"/>
  <c r="Z162" i="24"/>
  <c r="BA137" i="24" s="1"/>
  <c r="Y162" i="24"/>
  <c r="AZ137" i="24" s="1"/>
  <c r="X162" i="24"/>
  <c r="AY137" i="24" s="1"/>
  <c r="W162" i="24"/>
  <c r="V162" i="24"/>
  <c r="AW137" i="24" s="1"/>
  <c r="U162" i="24"/>
  <c r="T162" i="24"/>
  <c r="S162" i="24"/>
  <c r="AT137" i="24" s="1"/>
  <c r="R162" i="24"/>
  <c r="Q162" i="24"/>
  <c r="AR137" i="24" s="1"/>
  <c r="P162" i="24"/>
  <c r="O162" i="24"/>
  <c r="N162" i="24"/>
  <c r="AO137" i="24" s="1"/>
  <c r="M162" i="24"/>
  <c r="L162" i="24"/>
  <c r="K162" i="24"/>
  <c r="AL137" i="24" s="1"/>
  <c r="J162" i="24"/>
  <c r="I162" i="24"/>
  <c r="AJ137" i="24" s="1"/>
  <c r="H162" i="24"/>
  <c r="G162" i="24"/>
  <c r="F162" i="24"/>
  <c r="AG137" i="24" s="1"/>
  <c r="E162" i="24"/>
  <c r="D162" i="24"/>
  <c r="C162" i="24"/>
  <c r="AD137" i="24" s="1"/>
  <c r="B162" i="24"/>
  <c r="Z161" i="24"/>
  <c r="Y161" i="24"/>
  <c r="X161" i="24"/>
  <c r="W161" i="24"/>
  <c r="V161" i="24"/>
  <c r="U161" i="24"/>
  <c r="T161" i="24"/>
  <c r="S161" i="24"/>
  <c r="R161" i="24"/>
  <c r="Q161" i="24"/>
  <c r="P161" i="24"/>
  <c r="O161" i="24"/>
  <c r="N161" i="24"/>
  <c r="M161" i="24"/>
  <c r="L161" i="24"/>
  <c r="K161" i="24"/>
  <c r="J161" i="24"/>
  <c r="I161" i="24"/>
  <c r="H161" i="24"/>
  <c r="G161" i="24"/>
  <c r="F161" i="24"/>
  <c r="E161" i="24"/>
  <c r="D161" i="24"/>
  <c r="C161" i="24"/>
  <c r="B161" i="24"/>
  <c r="Z160" i="24"/>
  <c r="Y160" i="24"/>
  <c r="AZ138" i="24" s="1"/>
  <c r="X160" i="24"/>
  <c r="AY138" i="24" s="1"/>
  <c r="W160" i="24"/>
  <c r="AX138" i="24" s="1"/>
  <c r="V160" i="24"/>
  <c r="AW138" i="24" s="1"/>
  <c r="U160" i="24"/>
  <c r="AV138" i="24" s="1"/>
  <c r="T160" i="24"/>
  <c r="AU138" i="24" s="1"/>
  <c r="S160" i="24"/>
  <c r="R160" i="24"/>
  <c r="Q160" i="24"/>
  <c r="AR138" i="24" s="1"/>
  <c r="P160" i="24"/>
  <c r="AQ138" i="24" s="1"/>
  <c r="O160" i="24"/>
  <c r="AP138" i="24" s="1"/>
  <c r="N160" i="24"/>
  <c r="AO138" i="24" s="1"/>
  <c r="M160" i="24"/>
  <c r="L160" i="24"/>
  <c r="AM138" i="24" s="1"/>
  <c r="K160" i="24"/>
  <c r="AL138" i="24" s="1"/>
  <c r="J160" i="24"/>
  <c r="AK138" i="24" s="1"/>
  <c r="I160" i="24"/>
  <c r="AJ138" i="24" s="1"/>
  <c r="H160" i="24"/>
  <c r="AI138" i="24" s="1"/>
  <c r="G160" i="24"/>
  <c r="AH138" i="24" s="1"/>
  <c r="F160" i="24"/>
  <c r="AG138" i="24" s="1"/>
  <c r="E160" i="24"/>
  <c r="D160" i="24"/>
  <c r="AE138" i="24" s="1"/>
  <c r="C160" i="24"/>
  <c r="B160" i="24"/>
  <c r="AC138" i="24" s="1"/>
  <c r="Z159" i="24"/>
  <c r="Y159" i="24"/>
  <c r="X159" i="24"/>
  <c r="W159" i="24"/>
  <c r="AX136" i="24" s="1"/>
  <c r="V159" i="24"/>
  <c r="U159" i="24"/>
  <c r="T159" i="24"/>
  <c r="AU136" i="24" s="1"/>
  <c r="S159" i="24"/>
  <c r="R159" i="24"/>
  <c r="Q159" i="24"/>
  <c r="P159" i="24"/>
  <c r="O159" i="24"/>
  <c r="N159" i="24"/>
  <c r="AO136" i="24" s="1"/>
  <c r="M159" i="24"/>
  <c r="L159" i="24"/>
  <c r="K159" i="24"/>
  <c r="J159" i="24"/>
  <c r="I159" i="24"/>
  <c r="H159" i="24"/>
  <c r="AI136" i="24" s="1"/>
  <c r="G159" i="24"/>
  <c r="F159" i="24"/>
  <c r="E159" i="24"/>
  <c r="D159" i="24"/>
  <c r="C159" i="24"/>
  <c r="B159" i="24"/>
  <c r="AC136" i="24" s="1"/>
  <c r="Z158" i="24"/>
  <c r="BA135" i="24" s="1"/>
  <c r="E438" i="24" s="1"/>
  <c r="E452" i="24" s="1"/>
  <c r="E470" i="24" s="1"/>
  <c r="F9" i="39" s="1"/>
  <c r="Z157" i="24"/>
  <c r="Z156" i="24"/>
  <c r="Z155" i="24"/>
  <c r="Z154" i="24"/>
  <c r="Z153" i="24"/>
  <c r="Z152" i="24"/>
  <c r="Z151" i="24"/>
  <c r="Z150" i="24"/>
  <c r="Z149" i="24"/>
  <c r="Z148" i="24"/>
  <c r="Z147" i="24"/>
  <c r="BA134" i="24" s="1"/>
  <c r="E437" i="24" s="1"/>
  <c r="E451" i="24" s="1"/>
  <c r="E469" i="24" s="1"/>
  <c r="E9" i="39" s="1"/>
  <c r="Z146" i="24"/>
  <c r="B145" i="24"/>
  <c r="B144" i="24"/>
  <c r="AC133" i="24" s="1"/>
  <c r="E436" i="24" s="1"/>
  <c r="E450" i="24" s="1"/>
  <c r="E468" i="24" s="1"/>
  <c r="D9" i="39" s="1"/>
  <c r="B143" i="24"/>
  <c r="B142" i="24"/>
  <c r="B141" i="24"/>
  <c r="B140" i="24"/>
  <c r="B139" i="24"/>
  <c r="B138" i="24"/>
  <c r="B137" i="24"/>
  <c r="B136" i="24"/>
  <c r="B135" i="24"/>
  <c r="B134" i="24"/>
  <c r="B133" i="24"/>
  <c r="B132" i="24"/>
  <c r="AK219" i="24"/>
  <c r="AX218" i="24"/>
  <c r="AZ220" i="24"/>
  <c r="AW220" i="24"/>
  <c r="AR220" i="24"/>
  <c r="AQ219" i="24"/>
  <c r="BA218" i="24"/>
  <c r="AU218" i="24"/>
  <c r="AC218" i="24"/>
  <c r="AC209" i="24"/>
  <c r="BA176" i="24"/>
  <c r="F438" i="24" s="1"/>
  <c r="F452" i="24" s="1"/>
  <c r="F470" i="24" s="1"/>
  <c r="F10" i="39" s="1"/>
  <c r="AY179" i="24"/>
  <c r="AT179" i="24"/>
  <c r="AL179" i="24"/>
  <c r="AI179" i="24"/>
  <c r="AD179" i="24"/>
  <c r="BA177" i="24"/>
  <c r="AU177" i="24"/>
  <c r="AO177" i="24"/>
  <c r="AI177" i="24"/>
  <c r="AC168" i="24"/>
  <c r="AL136" i="24"/>
  <c r="BA138" i="24"/>
  <c r="AS138" i="24"/>
  <c r="BA136" i="24"/>
  <c r="AF136" i="24"/>
  <c r="AC127" i="24"/>
  <c r="Z244" i="33"/>
  <c r="BA219" i="33" s="1"/>
  <c r="Y244" i="33"/>
  <c r="AZ219" i="33" s="1"/>
  <c r="X244" i="33"/>
  <c r="AY219" i="33" s="1"/>
  <c r="W244" i="33"/>
  <c r="V244" i="33"/>
  <c r="U244" i="33"/>
  <c r="T244" i="33"/>
  <c r="S244" i="33"/>
  <c r="R244" i="33"/>
  <c r="Q244" i="33"/>
  <c r="P244" i="33"/>
  <c r="O244" i="33"/>
  <c r="N244" i="33"/>
  <c r="M244" i="33"/>
  <c r="AN219" i="33" s="1"/>
  <c r="L244" i="33"/>
  <c r="K244" i="33"/>
  <c r="J244" i="33"/>
  <c r="AK219" i="33" s="1"/>
  <c r="I244" i="33"/>
  <c r="AJ219" i="33" s="1"/>
  <c r="H244" i="33"/>
  <c r="AI219" i="33" s="1"/>
  <c r="G244" i="33"/>
  <c r="F244" i="33"/>
  <c r="E244" i="33"/>
  <c r="AF219" i="33" s="1"/>
  <c r="D244" i="33"/>
  <c r="C244" i="33"/>
  <c r="AD219" i="33" s="1"/>
  <c r="B244" i="33"/>
  <c r="AC219" i="33" s="1"/>
  <c r="Z243" i="33"/>
  <c r="Y243" i="33"/>
  <c r="X243" i="33"/>
  <c r="W243" i="33"/>
  <c r="V243" i="33"/>
  <c r="AW219" i="33" s="1"/>
  <c r="U243" i="33"/>
  <c r="T243" i="33"/>
  <c r="S243" i="33"/>
  <c r="R243" i="33"/>
  <c r="Q243" i="33"/>
  <c r="P243" i="33"/>
  <c r="O243" i="33"/>
  <c r="N243" i="33"/>
  <c r="AO219" i="33" s="1"/>
  <c r="M243" i="33"/>
  <c r="L243" i="33"/>
  <c r="K243" i="33"/>
  <c r="J243" i="33"/>
  <c r="I243" i="33"/>
  <c r="H243" i="33"/>
  <c r="G243" i="33"/>
  <c r="F243" i="33"/>
  <c r="AG219" i="33" s="1"/>
  <c r="E243" i="33"/>
  <c r="D243" i="33"/>
  <c r="C243" i="33"/>
  <c r="B243" i="33"/>
  <c r="Z242" i="33"/>
  <c r="BA220" i="33" s="1"/>
  <c r="Y242" i="33"/>
  <c r="X242" i="33"/>
  <c r="W242" i="33"/>
  <c r="AX220" i="33" s="1"/>
  <c r="V242" i="33"/>
  <c r="AW220" i="33" s="1"/>
  <c r="U242" i="33"/>
  <c r="T242" i="33"/>
  <c r="AU220" i="33" s="1"/>
  <c r="S242" i="33"/>
  <c r="AT220" i="33" s="1"/>
  <c r="R242" i="33"/>
  <c r="AS220" i="33" s="1"/>
  <c r="Q242" i="33"/>
  <c r="P242" i="33"/>
  <c r="AQ220" i="33" s="1"/>
  <c r="O242" i="33"/>
  <c r="AP220" i="33" s="1"/>
  <c r="N242" i="33"/>
  <c r="AO220" i="33" s="1"/>
  <c r="M242" i="33"/>
  <c r="AN220" i="33" s="1"/>
  <c r="L242" i="33"/>
  <c r="AM220" i="33" s="1"/>
  <c r="K242" i="33"/>
  <c r="AL220" i="33" s="1"/>
  <c r="J242" i="33"/>
  <c r="AK220" i="33" s="1"/>
  <c r="I242" i="33"/>
  <c r="H242" i="33"/>
  <c r="G242" i="33"/>
  <c r="G245" i="33" s="1"/>
  <c r="F242" i="33"/>
  <c r="AG220" i="33" s="1"/>
  <c r="E242" i="33"/>
  <c r="AF220" i="33" s="1"/>
  <c r="D242" i="33"/>
  <c r="AE220" i="33" s="1"/>
  <c r="C242" i="33"/>
  <c r="B242" i="33"/>
  <c r="AC220" i="33" s="1"/>
  <c r="Z241" i="33"/>
  <c r="Y241" i="33"/>
  <c r="X241" i="33"/>
  <c r="W241" i="33"/>
  <c r="V241" i="33"/>
  <c r="U241" i="33"/>
  <c r="T241" i="33"/>
  <c r="AU218" i="33" s="1"/>
  <c r="S241" i="33"/>
  <c r="R241" i="33"/>
  <c r="Q241" i="33"/>
  <c r="P241" i="33"/>
  <c r="O241" i="33"/>
  <c r="N241" i="33"/>
  <c r="AO218" i="33" s="1"/>
  <c r="M241" i="33"/>
  <c r="L241" i="33"/>
  <c r="K241" i="33"/>
  <c r="J241" i="33"/>
  <c r="I241" i="33"/>
  <c r="H241" i="33"/>
  <c r="G241" i="33"/>
  <c r="F241" i="33"/>
  <c r="E241" i="33"/>
  <c r="D241" i="33"/>
  <c r="C241" i="33"/>
  <c r="B241" i="33"/>
  <c r="BA217" i="33"/>
  <c r="G438" i="33" s="1"/>
  <c r="G452" i="33" s="1"/>
  <c r="G470" i="33" s="1"/>
  <c r="F53" i="39" s="1"/>
  <c r="Z239" i="33"/>
  <c r="Z238" i="33"/>
  <c r="Z237" i="33"/>
  <c r="Z236" i="33"/>
  <c r="Z235" i="33"/>
  <c r="Z234" i="33"/>
  <c r="Z233" i="33"/>
  <c r="Z232" i="33"/>
  <c r="Z231" i="33"/>
  <c r="Z230" i="33"/>
  <c r="Z229" i="33"/>
  <c r="Z228" i="33"/>
  <c r="B227" i="33"/>
  <c r="B226" i="33"/>
  <c r="AC215" i="33" s="1"/>
  <c r="G436" i="33" s="1"/>
  <c r="G450" i="33" s="1"/>
  <c r="G468" i="33" s="1"/>
  <c r="D53" i="39" s="1"/>
  <c r="B225" i="33"/>
  <c r="B224" i="33"/>
  <c r="B223" i="33"/>
  <c r="B222" i="33"/>
  <c r="B221" i="33"/>
  <c r="B220" i="33"/>
  <c r="B219" i="33"/>
  <c r="B218" i="33"/>
  <c r="B217" i="33"/>
  <c r="B216" i="33"/>
  <c r="B215" i="33"/>
  <c r="B214" i="33"/>
  <c r="Z203" i="33"/>
  <c r="BA178" i="33" s="1"/>
  <c r="Y203" i="33"/>
  <c r="AZ178" i="33" s="1"/>
  <c r="X203" i="33"/>
  <c r="W203" i="33"/>
  <c r="V203" i="33"/>
  <c r="AW178" i="33" s="1"/>
  <c r="U203" i="33"/>
  <c r="T203" i="33"/>
  <c r="AU178" i="33" s="1"/>
  <c r="S203" i="33"/>
  <c r="R203" i="33"/>
  <c r="AS178" i="33" s="1"/>
  <c r="Q203" i="33"/>
  <c r="AR178" i="33" s="1"/>
  <c r="P203" i="33"/>
  <c r="O203" i="33"/>
  <c r="AP178" i="33" s="1"/>
  <c r="N203" i="33"/>
  <c r="M203" i="33"/>
  <c r="L203" i="33"/>
  <c r="AM178" i="33" s="1"/>
  <c r="K203" i="33"/>
  <c r="J203" i="33"/>
  <c r="AK178" i="33" s="1"/>
  <c r="I203" i="33"/>
  <c r="AJ178" i="33" s="1"/>
  <c r="H203" i="33"/>
  <c r="G203" i="33"/>
  <c r="F203" i="33"/>
  <c r="AG178" i="33" s="1"/>
  <c r="E203" i="33"/>
  <c r="D203" i="33"/>
  <c r="AE178" i="33" s="1"/>
  <c r="C203" i="33"/>
  <c r="B203" i="33"/>
  <c r="AC178" i="33" s="1"/>
  <c r="Z202" i="33"/>
  <c r="Y202" i="33"/>
  <c r="X202" i="33"/>
  <c r="W202" i="33"/>
  <c r="V202" i="33"/>
  <c r="U202" i="33"/>
  <c r="T202" i="33"/>
  <c r="S202" i="33"/>
  <c r="R202" i="33"/>
  <c r="Q202" i="33"/>
  <c r="P202" i="33"/>
  <c r="O202" i="33"/>
  <c r="N202" i="33"/>
  <c r="M202" i="33"/>
  <c r="L202" i="33"/>
  <c r="K202" i="33"/>
  <c r="J202" i="33"/>
  <c r="I202" i="33"/>
  <c r="H202" i="33"/>
  <c r="G202" i="33"/>
  <c r="F202" i="33"/>
  <c r="E202" i="33"/>
  <c r="D202" i="33"/>
  <c r="C202" i="33"/>
  <c r="B202" i="33"/>
  <c r="Z201" i="33"/>
  <c r="BA179" i="33" s="1"/>
  <c r="Y201" i="33"/>
  <c r="X201" i="33"/>
  <c r="AY179" i="33" s="1"/>
  <c r="W201" i="33"/>
  <c r="V201" i="33"/>
  <c r="AW179" i="33" s="1"/>
  <c r="U201" i="33"/>
  <c r="AV179" i="33" s="1"/>
  <c r="T201" i="33"/>
  <c r="S201" i="33"/>
  <c r="AT179" i="33" s="1"/>
  <c r="R201" i="33"/>
  <c r="AS179" i="33" s="1"/>
  <c r="Q201" i="33"/>
  <c r="AR179" i="33" s="1"/>
  <c r="P201" i="33"/>
  <c r="O201" i="33"/>
  <c r="AP179" i="33" s="1"/>
  <c r="N201" i="33"/>
  <c r="AO179" i="33" s="1"/>
  <c r="M201" i="33"/>
  <c r="AN179" i="33" s="1"/>
  <c r="L201" i="33"/>
  <c r="AM179" i="33" s="1"/>
  <c r="K201" i="33"/>
  <c r="AL179" i="33" s="1"/>
  <c r="J201" i="33"/>
  <c r="AK179" i="33" s="1"/>
  <c r="I201" i="33"/>
  <c r="AJ179" i="33" s="1"/>
  <c r="H201" i="33"/>
  <c r="G201" i="33"/>
  <c r="AH179" i="33" s="1"/>
  <c r="F201" i="33"/>
  <c r="AG179" i="33" s="1"/>
  <c r="E201" i="33"/>
  <c r="AF179" i="33" s="1"/>
  <c r="D201" i="33"/>
  <c r="C201" i="33"/>
  <c r="AD179" i="33" s="1"/>
  <c r="B201" i="33"/>
  <c r="AC179" i="33" s="1"/>
  <c r="Z200" i="33"/>
  <c r="Y200" i="33"/>
  <c r="X200" i="33"/>
  <c r="W200" i="33"/>
  <c r="AX177" i="33" s="1"/>
  <c r="V200" i="33"/>
  <c r="U200" i="33"/>
  <c r="T200" i="33"/>
  <c r="AU177" i="33" s="1"/>
  <c r="S200" i="33"/>
  <c r="R200" i="33"/>
  <c r="Q200" i="33"/>
  <c r="P200" i="33"/>
  <c r="O200" i="33"/>
  <c r="N200" i="33"/>
  <c r="AO177" i="33" s="1"/>
  <c r="M200" i="33"/>
  <c r="L200" i="33"/>
  <c r="K200" i="33"/>
  <c r="J200" i="33"/>
  <c r="I200" i="33"/>
  <c r="H200" i="33"/>
  <c r="G200" i="33"/>
  <c r="F200" i="33"/>
  <c r="E200" i="33"/>
  <c r="D200" i="33"/>
  <c r="C200" i="33"/>
  <c r="B200" i="33"/>
  <c r="Z199" i="33"/>
  <c r="BA176" i="33" s="1"/>
  <c r="F438" i="33" s="1"/>
  <c r="F452" i="33" s="1"/>
  <c r="F470" i="33" s="1"/>
  <c r="F52" i="39" s="1"/>
  <c r="Z198" i="33"/>
  <c r="Z197" i="33"/>
  <c r="Z196" i="33"/>
  <c r="Z195" i="33"/>
  <c r="Z194" i="33"/>
  <c r="Z193" i="33"/>
  <c r="Z192" i="33"/>
  <c r="Z191" i="33"/>
  <c r="Z190" i="33"/>
  <c r="Z189" i="33"/>
  <c r="Z188" i="33"/>
  <c r="Z187" i="33"/>
  <c r="B186" i="33"/>
  <c r="B185" i="33"/>
  <c r="AC174" i="33" s="1"/>
  <c r="F436" i="33" s="1"/>
  <c r="F450" i="33" s="1"/>
  <c r="F468" i="33" s="1"/>
  <c r="D52" i="39" s="1"/>
  <c r="B184" i="33"/>
  <c r="B183" i="33"/>
  <c r="B182" i="33"/>
  <c r="B181" i="33"/>
  <c r="B180" i="33"/>
  <c r="B179" i="33"/>
  <c r="B178" i="33"/>
  <c r="B177" i="33"/>
  <c r="B176" i="33"/>
  <c r="B175" i="33"/>
  <c r="B174" i="33"/>
  <c r="B173" i="33"/>
  <c r="Z162" i="33"/>
  <c r="BA137" i="33" s="1"/>
  <c r="Y162" i="33"/>
  <c r="X162" i="33"/>
  <c r="AY137" i="33" s="1"/>
  <c r="W162" i="33"/>
  <c r="AX137" i="33" s="1"/>
  <c r="V162" i="33"/>
  <c r="U162" i="33"/>
  <c r="T162" i="33"/>
  <c r="S162" i="33"/>
  <c r="AT137" i="33" s="1"/>
  <c r="R162" i="33"/>
  <c r="Q162" i="33"/>
  <c r="P162" i="33"/>
  <c r="O162" i="33"/>
  <c r="AP137" i="33" s="1"/>
  <c r="N162" i="33"/>
  <c r="AO137" i="33" s="1"/>
  <c r="M162" i="33"/>
  <c r="L162" i="33"/>
  <c r="K162" i="33"/>
  <c r="AL137" i="33" s="1"/>
  <c r="J162" i="33"/>
  <c r="I162" i="33"/>
  <c r="AJ137" i="33" s="1"/>
  <c r="H162" i="33"/>
  <c r="AI137" i="33" s="1"/>
  <c r="G162" i="33"/>
  <c r="F162" i="33"/>
  <c r="AG137" i="33" s="1"/>
  <c r="E162" i="33"/>
  <c r="D162" i="33"/>
  <c r="C162" i="33"/>
  <c r="AD137" i="33" s="1"/>
  <c r="B162" i="33"/>
  <c r="Z161" i="33"/>
  <c r="Y161" i="33"/>
  <c r="X161" i="33"/>
  <c r="W161" i="33"/>
  <c r="V161" i="33"/>
  <c r="U161" i="33"/>
  <c r="T161" i="33"/>
  <c r="AU137" i="33" s="1"/>
  <c r="S161" i="33"/>
  <c r="R161" i="33"/>
  <c r="Q161" i="33"/>
  <c r="P161" i="33"/>
  <c r="O161" i="33"/>
  <c r="N161" i="33"/>
  <c r="M161" i="33"/>
  <c r="L161" i="33"/>
  <c r="AM137" i="33" s="1"/>
  <c r="K161" i="33"/>
  <c r="J161" i="33"/>
  <c r="I161" i="33"/>
  <c r="H161" i="33"/>
  <c r="G161" i="33"/>
  <c r="F161" i="33"/>
  <c r="E161" i="33"/>
  <c r="D161" i="33"/>
  <c r="AE137" i="33" s="1"/>
  <c r="C161" i="33"/>
  <c r="B161" i="33"/>
  <c r="Z160" i="33"/>
  <c r="BA138" i="33" s="1"/>
  <c r="Y160" i="33"/>
  <c r="AZ138" i="33" s="1"/>
  <c r="X160" i="33"/>
  <c r="AY138" i="33" s="1"/>
  <c r="W160" i="33"/>
  <c r="AX138" i="33" s="1"/>
  <c r="V160" i="33"/>
  <c r="U160" i="33"/>
  <c r="U163" i="33" s="1"/>
  <c r="T160" i="33"/>
  <c r="AU138" i="33" s="1"/>
  <c r="S160" i="33"/>
  <c r="R160" i="33"/>
  <c r="AS138" i="33" s="1"/>
  <c r="Q160" i="33"/>
  <c r="AR138" i="33" s="1"/>
  <c r="P160" i="33"/>
  <c r="AQ138" i="33" s="1"/>
  <c r="O160" i="33"/>
  <c r="N160" i="33"/>
  <c r="AO138" i="33" s="1"/>
  <c r="M160" i="33"/>
  <c r="AN138" i="33" s="1"/>
  <c r="L160" i="33"/>
  <c r="AM138" i="33" s="1"/>
  <c r="K160" i="33"/>
  <c r="AL138" i="33" s="1"/>
  <c r="J160" i="33"/>
  <c r="AK138" i="33" s="1"/>
  <c r="I160" i="33"/>
  <c r="AJ138" i="33" s="1"/>
  <c r="H160" i="33"/>
  <c r="AI138" i="33" s="1"/>
  <c r="G160" i="33"/>
  <c r="F160" i="33"/>
  <c r="E160" i="33"/>
  <c r="E163" i="33" s="1"/>
  <c r="D160" i="33"/>
  <c r="AE138" i="33" s="1"/>
  <c r="C160" i="33"/>
  <c r="AD138" i="33" s="1"/>
  <c r="B160" i="33"/>
  <c r="AC138" i="33" s="1"/>
  <c r="Z159" i="33"/>
  <c r="Y159" i="33"/>
  <c r="X159" i="33"/>
  <c r="W159" i="33"/>
  <c r="V159" i="33"/>
  <c r="U159" i="33"/>
  <c r="T159" i="33"/>
  <c r="S159" i="33"/>
  <c r="R159" i="33"/>
  <c r="Q159" i="33"/>
  <c r="P159" i="33"/>
  <c r="O159" i="33"/>
  <c r="N159" i="33"/>
  <c r="M159" i="33"/>
  <c r="L159" i="33"/>
  <c r="K159" i="33"/>
  <c r="AL136" i="33" s="1"/>
  <c r="J159" i="33"/>
  <c r="I159" i="33"/>
  <c r="H159" i="33"/>
  <c r="G159" i="33"/>
  <c r="F159" i="33"/>
  <c r="E159" i="33"/>
  <c r="D159" i="33"/>
  <c r="C159" i="33"/>
  <c r="B159" i="33"/>
  <c r="AC136" i="33" s="1"/>
  <c r="Z158" i="33"/>
  <c r="Z157" i="33"/>
  <c r="Z156" i="33"/>
  <c r="Z155" i="33"/>
  <c r="Z154" i="33"/>
  <c r="Z153" i="33"/>
  <c r="Z152" i="33"/>
  <c r="Z151" i="33"/>
  <c r="Z150" i="33"/>
  <c r="Z149" i="33"/>
  <c r="Z148" i="33"/>
  <c r="Z147" i="33"/>
  <c r="Z146" i="33"/>
  <c r="B145" i="33"/>
  <c r="B144" i="33"/>
  <c r="AC133" i="33" s="1"/>
  <c r="E436" i="33" s="1"/>
  <c r="E450" i="33" s="1"/>
  <c r="E468" i="33" s="1"/>
  <c r="D51" i="39" s="1"/>
  <c r="B143" i="33"/>
  <c r="B142" i="33"/>
  <c r="B141" i="33"/>
  <c r="B140" i="33"/>
  <c r="B139" i="33"/>
  <c r="B138" i="33"/>
  <c r="B137" i="33"/>
  <c r="B136" i="33"/>
  <c r="B135" i="33"/>
  <c r="B134" i="33"/>
  <c r="B133" i="33"/>
  <c r="B132" i="33"/>
  <c r="AV219" i="33"/>
  <c r="AZ220" i="33"/>
  <c r="AY220" i="33"/>
  <c r="AR220" i="33"/>
  <c r="AJ220" i="33"/>
  <c r="AI220" i="33"/>
  <c r="I245" i="33"/>
  <c r="AC218" i="33"/>
  <c r="AX219" i="33"/>
  <c r="AQ219" i="33"/>
  <c r="AP219" i="33"/>
  <c r="AH219" i="33"/>
  <c r="BA218" i="33"/>
  <c r="AX218" i="33"/>
  <c r="AR218" i="33"/>
  <c r="AL218" i="33"/>
  <c r="AI218" i="33"/>
  <c r="AF218" i="33"/>
  <c r="AO178" i="33"/>
  <c r="AZ179" i="33"/>
  <c r="AQ179" i="33"/>
  <c r="AI179" i="33"/>
  <c r="AX179" i="33"/>
  <c r="AX178" i="33"/>
  <c r="AH178" i="33"/>
  <c r="BA177" i="33"/>
  <c r="AR177" i="33"/>
  <c r="AL177" i="33"/>
  <c r="AI177" i="33"/>
  <c r="AC177" i="33"/>
  <c r="AV137" i="33"/>
  <c r="AN137" i="33"/>
  <c r="AF137" i="33"/>
  <c r="AW138" i="33"/>
  <c r="AG138" i="33"/>
  <c r="AP138" i="33"/>
  <c r="AH138" i="33"/>
  <c r="AW137" i="33"/>
  <c r="BA136" i="33"/>
  <c r="AX136" i="33"/>
  <c r="AU136" i="33"/>
  <c r="AR136" i="33"/>
  <c r="AI136" i="33"/>
  <c r="BA135" i="33"/>
  <c r="E438" i="33" s="1"/>
  <c r="E452" i="33" s="1"/>
  <c r="E470" i="33" s="1"/>
  <c r="F51" i="39" s="1"/>
  <c r="AT219" i="23"/>
  <c r="AP219" i="23"/>
  <c r="AL219" i="23"/>
  <c r="AI219" i="23"/>
  <c r="AD219" i="23"/>
  <c r="Z243" i="23"/>
  <c r="BA219" i="23" s="1"/>
  <c r="Y243" i="23"/>
  <c r="X243" i="23"/>
  <c r="W243" i="23"/>
  <c r="V243" i="23"/>
  <c r="U243" i="23"/>
  <c r="T243" i="23"/>
  <c r="AU219" i="23" s="1"/>
  <c r="S243" i="23"/>
  <c r="R243" i="23"/>
  <c r="AS219" i="23" s="1"/>
  <c r="Q243" i="23"/>
  <c r="P243" i="23"/>
  <c r="O243" i="23"/>
  <c r="N243" i="23"/>
  <c r="M243" i="23"/>
  <c r="L243" i="23"/>
  <c r="AM219" i="23" s="1"/>
  <c r="K243" i="23"/>
  <c r="J243" i="23"/>
  <c r="I243" i="23"/>
  <c r="H243" i="23"/>
  <c r="G243" i="23"/>
  <c r="F243" i="23"/>
  <c r="E243" i="23"/>
  <c r="AF219" i="23" s="1"/>
  <c r="D243" i="23"/>
  <c r="AE219" i="23" s="1"/>
  <c r="C243" i="23"/>
  <c r="B243" i="23"/>
  <c r="AC219" i="23" s="1"/>
  <c r="Z242" i="23"/>
  <c r="Y242" i="23"/>
  <c r="Y245" i="23" s="1"/>
  <c r="X242" i="23"/>
  <c r="W242" i="23"/>
  <c r="AX220" i="23" s="1"/>
  <c r="V242" i="23"/>
  <c r="AW220" i="23" s="1"/>
  <c r="U242" i="23"/>
  <c r="AV220" i="23" s="1"/>
  <c r="T242" i="23"/>
  <c r="AU220" i="23" s="1"/>
  <c r="S242" i="23"/>
  <c r="AT220" i="23" s="1"/>
  <c r="R242" i="23"/>
  <c r="Q242" i="23"/>
  <c r="Q245" i="23" s="1"/>
  <c r="P242" i="23"/>
  <c r="O242" i="23"/>
  <c r="AP220" i="23" s="1"/>
  <c r="N242" i="23"/>
  <c r="AO220" i="23" s="1"/>
  <c r="M242" i="23"/>
  <c r="AN220" i="23" s="1"/>
  <c r="L242" i="23"/>
  <c r="AM220" i="23" s="1"/>
  <c r="K242" i="23"/>
  <c r="K245" i="23" s="1"/>
  <c r="J242" i="23"/>
  <c r="I242" i="23"/>
  <c r="AJ220" i="23" s="1"/>
  <c r="H242" i="23"/>
  <c r="G242" i="23"/>
  <c r="AH220" i="23" s="1"/>
  <c r="F242" i="23"/>
  <c r="AG220" i="23" s="1"/>
  <c r="E242" i="23"/>
  <c r="AF220" i="23" s="1"/>
  <c r="D242" i="23"/>
  <c r="AE220" i="23" s="1"/>
  <c r="C242" i="23"/>
  <c r="C245" i="23" s="1"/>
  <c r="B242" i="23"/>
  <c r="AC220" i="23" s="1"/>
  <c r="Z241" i="23"/>
  <c r="Y241" i="23"/>
  <c r="X241" i="23"/>
  <c r="W241" i="23"/>
  <c r="AX218" i="23" s="1"/>
  <c r="V241" i="23"/>
  <c r="U241" i="23"/>
  <c r="T241" i="23"/>
  <c r="S241" i="23"/>
  <c r="R241" i="23"/>
  <c r="Q241" i="23"/>
  <c r="P241" i="23"/>
  <c r="O241" i="23"/>
  <c r="N241" i="23"/>
  <c r="AO218" i="23" s="1"/>
  <c r="M241" i="23"/>
  <c r="L241" i="23"/>
  <c r="K241" i="23"/>
  <c r="J241" i="23"/>
  <c r="I241" i="23"/>
  <c r="H241" i="23"/>
  <c r="AI218" i="23" s="1"/>
  <c r="G241" i="23"/>
  <c r="F241" i="23"/>
  <c r="E241" i="23"/>
  <c r="D241" i="23"/>
  <c r="C241" i="23"/>
  <c r="B241" i="23"/>
  <c r="Z239" i="23"/>
  <c r="Z238" i="23"/>
  <c r="Z237" i="23"/>
  <c r="Z236" i="23"/>
  <c r="Z235" i="23"/>
  <c r="Z234" i="23"/>
  <c r="Z233" i="23"/>
  <c r="Z232" i="23"/>
  <c r="Z231" i="23"/>
  <c r="Z230" i="23"/>
  <c r="Z229" i="23"/>
  <c r="Z228" i="23"/>
  <c r="B227" i="23"/>
  <c r="B226" i="23"/>
  <c r="AC215" i="23" s="1"/>
  <c r="G436" i="23" s="1"/>
  <c r="G450" i="23" s="1"/>
  <c r="G468" i="23" s="1"/>
  <c r="D25" i="39" s="1"/>
  <c r="B225" i="23"/>
  <c r="B224" i="23"/>
  <c r="B223" i="23"/>
  <c r="B222" i="23"/>
  <c r="B221" i="23"/>
  <c r="B220" i="23"/>
  <c r="B219" i="23"/>
  <c r="B218" i="23"/>
  <c r="B217" i="23"/>
  <c r="B216" i="23"/>
  <c r="B215" i="23"/>
  <c r="B214" i="23"/>
  <c r="BA178" i="23"/>
  <c r="AZ178" i="23"/>
  <c r="X204" i="23"/>
  <c r="AX178" i="23"/>
  <c r="AS178" i="23"/>
  <c r="AQ178" i="23"/>
  <c r="AI178" i="23"/>
  <c r="AH178" i="23"/>
  <c r="AG178" i="23"/>
  <c r="AC178" i="23"/>
  <c r="Z202" i="23"/>
  <c r="Y202" i="23"/>
  <c r="X202" i="23"/>
  <c r="W202" i="23"/>
  <c r="V202" i="23"/>
  <c r="U202" i="23"/>
  <c r="T202" i="23"/>
  <c r="S202" i="23"/>
  <c r="R202" i="23"/>
  <c r="Q202" i="23"/>
  <c r="Q204" i="23" s="1"/>
  <c r="P202" i="23"/>
  <c r="O202" i="23"/>
  <c r="N202" i="23"/>
  <c r="M202" i="23"/>
  <c r="L202" i="23"/>
  <c r="K202" i="23"/>
  <c r="J202" i="23"/>
  <c r="I202" i="23"/>
  <c r="H202" i="23"/>
  <c r="G202" i="23"/>
  <c r="F202" i="23"/>
  <c r="E202" i="23"/>
  <c r="D202" i="23"/>
  <c r="C202" i="23"/>
  <c r="B202" i="23"/>
  <c r="Z201" i="23"/>
  <c r="BA179" i="23" s="1"/>
  <c r="Y201" i="23"/>
  <c r="X201" i="23"/>
  <c r="AY179" i="23" s="1"/>
  <c r="W201" i="23"/>
  <c r="AX179" i="23" s="1"/>
  <c r="V201" i="23"/>
  <c r="AW179" i="23" s="1"/>
  <c r="U201" i="23"/>
  <c r="AV179" i="23" s="1"/>
  <c r="T201" i="23"/>
  <c r="AU179" i="23" s="1"/>
  <c r="S201" i="23"/>
  <c r="R201" i="23"/>
  <c r="R204" i="23" s="1"/>
  <c r="Q201" i="23"/>
  <c r="AR179" i="23" s="1"/>
  <c r="P201" i="23"/>
  <c r="AQ179" i="23" s="1"/>
  <c r="O201" i="23"/>
  <c r="N201" i="23"/>
  <c r="AO179" i="23" s="1"/>
  <c r="M201" i="23"/>
  <c r="AN179" i="23" s="1"/>
  <c r="L201" i="23"/>
  <c r="AM179" i="23" s="1"/>
  <c r="K201" i="23"/>
  <c r="J201" i="23"/>
  <c r="AK179" i="23" s="1"/>
  <c r="I201" i="23"/>
  <c r="H201" i="23"/>
  <c r="G201" i="23"/>
  <c r="AH179" i="23" s="1"/>
  <c r="F201" i="23"/>
  <c r="E201" i="23"/>
  <c r="AF179" i="23" s="1"/>
  <c r="D201" i="23"/>
  <c r="D204" i="23" s="1"/>
  <c r="C201" i="23"/>
  <c r="B201" i="23"/>
  <c r="AC179" i="23" s="1"/>
  <c r="Z200" i="23"/>
  <c r="BA177" i="23" s="1"/>
  <c r="Y200" i="23"/>
  <c r="X200" i="23"/>
  <c r="W200" i="23"/>
  <c r="AX177" i="23" s="1"/>
  <c r="V200" i="23"/>
  <c r="U200" i="23"/>
  <c r="U204" i="23" s="1"/>
  <c r="T200" i="23"/>
  <c r="S200" i="23"/>
  <c r="R200" i="23"/>
  <c r="Q200" i="23"/>
  <c r="P200" i="23"/>
  <c r="O200" i="23"/>
  <c r="N200" i="23"/>
  <c r="M200" i="23"/>
  <c r="M204" i="23" s="1"/>
  <c r="L200" i="23"/>
  <c r="K200" i="23"/>
  <c r="AL177" i="23" s="1"/>
  <c r="J200" i="23"/>
  <c r="I200" i="23"/>
  <c r="H200" i="23"/>
  <c r="G200" i="23"/>
  <c r="F200" i="23"/>
  <c r="E200" i="23"/>
  <c r="E204" i="23" s="1"/>
  <c r="D200" i="23"/>
  <c r="C200" i="23"/>
  <c r="B200" i="23"/>
  <c r="Z199" i="23"/>
  <c r="Z198" i="23"/>
  <c r="Z197" i="23"/>
  <c r="Z196" i="23"/>
  <c r="Z195" i="23"/>
  <c r="Z194" i="23"/>
  <c r="Z193" i="23"/>
  <c r="Z192" i="23"/>
  <c r="Z191" i="23"/>
  <c r="Z190" i="23"/>
  <c r="Z189" i="23"/>
  <c r="Z188" i="23"/>
  <c r="Z187" i="23"/>
  <c r="B186" i="23"/>
  <c r="B185" i="23"/>
  <c r="AC174" i="23" s="1"/>
  <c r="F436" i="23" s="1"/>
  <c r="F450" i="23" s="1"/>
  <c r="F468" i="23" s="1"/>
  <c r="D24" i="39" s="1"/>
  <c r="B184" i="23"/>
  <c r="B183" i="23"/>
  <c r="B182" i="23"/>
  <c r="B181" i="23"/>
  <c r="B180" i="23"/>
  <c r="B179" i="23"/>
  <c r="B178" i="23"/>
  <c r="B177" i="23"/>
  <c r="B176" i="23"/>
  <c r="B175" i="23"/>
  <c r="B174" i="23"/>
  <c r="B173" i="23"/>
  <c r="AZ137" i="23"/>
  <c r="AW137" i="23"/>
  <c r="AV137" i="23"/>
  <c r="AR137" i="23"/>
  <c r="AJ137" i="23"/>
  <c r="Z161" i="23"/>
  <c r="Y161" i="23"/>
  <c r="X161" i="23"/>
  <c r="W161" i="23"/>
  <c r="V161" i="23"/>
  <c r="V163" i="23" s="1"/>
  <c r="U161" i="23"/>
  <c r="T161" i="23"/>
  <c r="AU137" i="23" s="1"/>
  <c r="S161" i="23"/>
  <c r="R161" i="23"/>
  <c r="Q161" i="23"/>
  <c r="P161" i="23"/>
  <c r="O161" i="23"/>
  <c r="N161" i="23"/>
  <c r="M161" i="23"/>
  <c r="L161" i="23"/>
  <c r="K161" i="23"/>
  <c r="J161" i="23"/>
  <c r="I161" i="23"/>
  <c r="H161" i="23"/>
  <c r="G161" i="23"/>
  <c r="F161" i="23"/>
  <c r="E161" i="23"/>
  <c r="D161" i="23"/>
  <c r="AE137" i="23" s="1"/>
  <c r="C161" i="23"/>
  <c r="B161" i="23"/>
  <c r="Z160" i="23"/>
  <c r="BA138" i="23" s="1"/>
  <c r="Y160" i="23"/>
  <c r="AZ138" i="23" s="1"/>
  <c r="X160" i="23"/>
  <c r="AY138" i="23" s="1"/>
  <c r="W160" i="23"/>
  <c r="W163" i="23" s="1"/>
  <c r="V160" i="23"/>
  <c r="U160" i="23"/>
  <c r="T160" i="23"/>
  <c r="AU138" i="23" s="1"/>
  <c r="S160" i="23"/>
  <c r="S163" i="23" s="1"/>
  <c r="R160" i="23"/>
  <c r="AS138" i="23" s="1"/>
  <c r="Q160" i="23"/>
  <c r="AR138" i="23" s="1"/>
  <c r="P160" i="23"/>
  <c r="AQ138" i="23" s="1"/>
  <c r="O160" i="23"/>
  <c r="O163" i="23" s="1"/>
  <c r="N160" i="23"/>
  <c r="M160" i="23"/>
  <c r="AN138" i="23" s="1"/>
  <c r="L160" i="23"/>
  <c r="AM138" i="23" s="1"/>
  <c r="K160" i="23"/>
  <c r="K163" i="23" s="1"/>
  <c r="J160" i="23"/>
  <c r="AK138" i="23" s="1"/>
  <c r="I160" i="23"/>
  <c r="I163" i="23" s="1"/>
  <c r="H160" i="23"/>
  <c r="G160" i="23"/>
  <c r="AH138" i="23" s="1"/>
  <c r="F160" i="23"/>
  <c r="E160" i="23"/>
  <c r="AF138" i="23" s="1"/>
  <c r="D160" i="23"/>
  <c r="C160" i="23"/>
  <c r="C163" i="23" s="1"/>
  <c r="B160" i="23"/>
  <c r="AC138" i="23" s="1"/>
  <c r="Z159" i="23"/>
  <c r="BA136" i="23" s="1"/>
  <c r="Y159" i="23"/>
  <c r="X159" i="23"/>
  <c r="W159" i="23"/>
  <c r="V159" i="23"/>
  <c r="U159" i="23"/>
  <c r="T159" i="23"/>
  <c r="AU136" i="23" s="1"/>
  <c r="S159" i="23"/>
  <c r="R159" i="23"/>
  <c r="Q159" i="23"/>
  <c r="AR136" i="23" s="1"/>
  <c r="P159" i="23"/>
  <c r="O159" i="23"/>
  <c r="N159" i="23"/>
  <c r="AO136" i="23" s="1"/>
  <c r="M159" i="23"/>
  <c r="L159" i="23"/>
  <c r="L163" i="23" s="1"/>
  <c r="K159" i="23"/>
  <c r="J159" i="23"/>
  <c r="I159" i="23"/>
  <c r="H159" i="23"/>
  <c r="G159" i="23"/>
  <c r="F159" i="23"/>
  <c r="E159" i="23"/>
  <c r="D159" i="23"/>
  <c r="D163" i="23" s="1"/>
  <c r="C159" i="23"/>
  <c r="B159" i="23"/>
  <c r="AC136" i="23" s="1"/>
  <c r="Z158" i="23"/>
  <c r="BA135" i="23" s="1"/>
  <c r="E438" i="23" s="1"/>
  <c r="E452" i="23" s="1"/>
  <c r="E470" i="23" s="1"/>
  <c r="F23" i="39" s="1"/>
  <c r="Z157" i="23"/>
  <c r="Z156" i="23"/>
  <c r="Z155" i="23"/>
  <c r="Z154" i="23"/>
  <c r="Z153" i="23"/>
  <c r="Z152" i="23"/>
  <c r="Z151" i="23"/>
  <c r="Z150" i="23"/>
  <c r="Z149" i="23"/>
  <c r="Z148" i="23"/>
  <c r="Z147" i="23"/>
  <c r="Z146" i="23"/>
  <c r="B145" i="23"/>
  <c r="B144" i="23"/>
  <c r="AC133" i="23" s="1"/>
  <c r="E436" i="23" s="1"/>
  <c r="E450" i="23" s="1"/>
  <c r="E468" i="23" s="1"/>
  <c r="D23" i="39" s="1"/>
  <c r="B143" i="23"/>
  <c r="B142" i="23"/>
  <c r="B141" i="23"/>
  <c r="B140" i="23"/>
  <c r="B139" i="23"/>
  <c r="B138" i="23"/>
  <c r="B137" i="23"/>
  <c r="B136" i="23"/>
  <c r="B135" i="23"/>
  <c r="B134" i="23"/>
  <c r="B133" i="23"/>
  <c r="B132" i="23"/>
  <c r="P245" i="23"/>
  <c r="H245" i="23"/>
  <c r="AK219" i="23"/>
  <c r="AV219" i="23"/>
  <c r="AN219" i="23"/>
  <c r="BA220" i="23"/>
  <c r="AZ220" i="23"/>
  <c r="AY220" i="23"/>
  <c r="AS220" i="23"/>
  <c r="AR220" i="23"/>
  <c r="AQ220" i="23"/>
  <c r="AK220" i="23"/>
  <c r="AI220" i="23"/>
  <c r="AY219" i="23"/>
  <c r="AX219" i="23"/>
  <c r="AQ219" i="23"/>
  <c r="AH219" i="23"/>
  <c r="BA218" i="23"/>
  <c r="AR218" i="23"/>
  <c r="AL218" i="23"/>
  <c r="AC218" i="23"/>
  <c r="BA217" i="23"/>
  <c r="G438" i="23" s="1"/>
  <c r="G452" i="23" s="1"/>
  <c r="G470" i="23" s="1"/>
  <c r="F25" i="39" s="1"/>
  <c r="AP178" i="23"/>
  <c r="AF178" i="23"/>
  <c r="AO178" i="23"/>
  <c r="AI177" i="23"/>
  <c r="AC177" i="23"/>
  <c r="AZ179" i="23"/>
  <c r="AT179" i="23"/>
  <c r="AP179" i="23"/>
  <c r="AL179" i="23"/>
  <c r="AJ179" i="23"/>
  <c r="AI179" i="23"/>
  <c r="AD179" i="23"/>
  <c r="AW178" i="23"/>
  <c r="AU177" i="23"/>
  <c r="AR177" i="23"/>
  <c r="AO177" i="23"/>
  <c r="BA176" i="23"/>
  <c r="F438" i="23" s="1"/>
  <c r="F452" i="23" s="1"/>
  <c r="F470" i="23" s="1"/>
  <c r="F24" i="39" s="1"/>
  <c r="N163" i="23"/>
  <c r="F163" i="23"/>
  <c r="AT137" i="23"/>
  <c r="AL137" i="23"/>
  <c r="AD137" i="23"/>
  <c r="AX138" i="23"/>
  <c r="AW138" i="23"/>
  <c r="AO138" i="23"/>
  <c r="AI138" i="23"/>
  <c r="AG138" i="23"/>
  <c r="AE138" i="23"/>
  <c r="AO137" i="23"/>
  <c r="AN137" i="23"/>
  <c r="AM137" i="23"/>
  <c r="AG137" i="23"/>
  <c r="AF137" i="23"/>
  <c r="AX136" i="23"/>
  <c r="AL136" i="23"/>
  <c r="AI136" i="23"/>
  <c r="Z244" i="22"/>
  <c r="Y244" i="22"/>
  <c r="AZ219" i="22" s="1"/>
  <c r="X244" i="22"/>
  <c r="W244" i="22"/>
  <c r="AX219" i="22" s="1"/>
  <c r="V244" i="22"/>
  <c r="V245" i="22" s="1"/>
  <c r="U244" i="22"/>
  <c r="T244" i="22"/>
  <c r="AU219" i="22" s="1"/>
  <c r="S244" i="22"/>
  <c r="R244" i="22"/>
  <c r="Q244" i="22"/>
  <c r="AR219" i="22" s="1"/>
  <c r="P244" i="22"/>
  <c r="O244" i="22"/>
  <c r="AP219" i="22" s="1"/>
  <c r="N244" i="22"/>
  <c r="AO219" i="22" s="1"/>
  <c r="M244" i="22"/>
  <c r="AN219" i="22" s="1"/>
  <c r="L244" i="22"/>
  <c r="K244" i="22"/>
  <c r="J244" i="22"/>
  <c r="I244" i="22"/>
  <c r="AJ219" i="22" s="1"/>
  <c r="H244" i="22"/>
  <c r="G244" i="22"/>
  <c r="F244" i="22"/>
  <c r="AG219" i="22" s="1"/>
  <c r="E244" i="22"/>
  <c r="D244" i="22"/>
  <c r="AE219" i="22" s="1"/>
  <c r="C244" i="22"/>
  <c r="AD219" i="22" s="1"/>
  <c r="B244" i="22"/>
  <c r="Z243" i="22"/>
  <c r="Y243" i="22"/>
  <c r="X243" i="22"/>
  <c r="W243" i="22"/>
  <c r="V243" i="22"/>
  <c r="U243" i="22"/>
  <c r="T243" i="22"/>
  <c r="S243" i="22"/>
  <c r="R243" i="22"/>
  <c r="Q243" i="22"/>
  <c r="P243" i="22"/>
  <c r="O243" i="22"/>
  <c r="N243" i="22"/>
  <c r="M243" i="22"/>
  <c r="L243" i="22"/>
  <c r="K243" i="22"/>
  <c r="J243" i="22"/>
  <c r="I243" i="22"/>
  <c r="H243" i="22"/>
  <c r="AI219" i="22" s="1"/>
  <c r="G243" i="22"/>
  <c r="F243" i="22"/>
  <c r="E243" i="22"/>
  <c r="D243" i="22"/>
  <c r="C243" i="22"/>
  <c r="B243" i="22"/>
  <c r="Z242" i="22"/>
  <c r="Y242" i="22"/>
  <c r="Y245" i="22" s="1"/>
  <c r="X242" i="22"/>
  <c r="W242" i="22"/>
  <c r="AX220" i="22" s="1"/>
  <c r="V242" i="22"/>
  <c r="AW220" i="22" s="1"/>
  <c r="U242" i="22"/>
  <c r="AV220" i="22" s="1"/>
  <c r="T242" i="22"/>
  <c r="AU220" i="22" s="1"/>
  <c r="S242" i="22"/>
  <c r="AT220" i="22" s="1"/>
  <c r="R242" i="22"/>
  <c r="Q242" i="22"/>
  <c r="AR220" i="22" s="1"/>
  <c r="P242" i="22"/>
  <c r="AQ220" i="22" s="1"/>
  <c r="O242" i="22"/>
  <c r="AP220" i="22" s="1"/>
  <c r="N242" i="22"/>
  <c r="AO220" i="22" s="1"/>
  <c r="M242" i="22"/>
  <c r="AN220" i="22" s="1"/>
  <c r="L242" i="22"/>
  <c r="AM220" i="22" s="1"/>
  <c r="K242" i="22"/>
  <c r="AL220" i="22" s="1"/>
  <c r="J242" i="22"/>
  <c r="I242" i="22"/>
  <c r="AJ220" i="22" s="1"/>
  <c r="H242" i="22"/>
  <c r="AI220" i="22" s="1"/>
  <c r="G242" i="22"/>
  <c r="AH220" i="22" s="1"/>
  <c r="F242" i="22"/>
  <c r="AG220" i="22" s="1"/>
  <c r="E242" i="22"/>
  <c r="D242" i="22"/>
  <c r="AE220" i="22" s="1"/>
  <c r="C242" i="22"/>
  <c r="AD220" i="22" s="1"/>
  <c r="B242" i="22"/>
  <c r="Z241" i="22"/>
  <c r="BA218" i="22" s="1"/>
  <c r="Y241" i="22"/>
  <c r="X241" i="22"/>
  <c r="W241" i="22"/>
  <c r="AX218" i="22" s="1"/>
  <c r="V241" i="22"/>
  <c r="U241" i="22"/>
  <c r="T241" i="22"/>
  <c r="AU218" i="22" s="1"/>
  <c r="S241" i="22"/>
  <c r="R241" i="22"/>
  <c r="Q241" i="22"/>
  <c r="P241" i="22"/>
  <c r="O241" i="22"/>
  <c r="N241" i="22"/>
  <c r="M241" i="22"/>
  <c r="L241" i="22"/>
  <c r="K241" i="22"/>
  <c r="AL218" i="22" s="1"/>
  <c r="J241" i="22"/>
  <c r="J245" i="22" s="1"/>
  <c r="I241" i="22"/>
  <c r="H241" i="22"/>
  <c r="G241" i="22"/>
  <c r="F241" i="22"/>
  <c r="E241" i="22"/>
  <c r="D241" i="22"/>
  <c r="C241" i="22"/>
  <c r="B241" i="22"/>
  <c r="AC218" i="22" s="1"/>
  <c r="BA217" i="22"/>
  <c r="G438" i="22" s="1"/>
  <c r="G452" i="22" s="1"/>
  <c r="G470" i="22" s="1"/>
  <c r="F39" i="39" s="1"/>
  <c r="Z239" i="22"/>
  <c r="Z238" i="22"/>
  <c r="Z237" i="22"/>
  <c r="Z236" i="22"/>
  <c r="Z235" i="22"/>
  <c r="Z234" i="22"/>
  <c r="Z233" i="22"/>
  <c r="BA216" i="22" s="1"/>
  <c r="G437" i="22" s="1"/>
  <c r="G451" i="22" s="1"/>
  <c r="G469" i="22" s="1"/>
  <c r="E39" i="39" s="1"/>
  <c r="Z232" i="22"/>
  <c r="Z231" i="22"/>
  <c r="Z230" i="22"/>
  <c r="Z229" i="22"/>
  <c r="Z228" i="22"/>
  <c r="B227" i="22"/>
  <c r="B226" i="22"/>
  <c r="AC215" i="22" s="1"/>
  <c r="G436" i="22" s="1"/>
  <c r="G450" i="22" s="1"/>
  <c r="G468" i="22" s="1"/>
  <c r="D39" i="39" s="1"/>
  <c r="B225" i="22"/>
  <c r="B224" i="22"/>
  <c r="B223" i="22"/>
  <c r="B222" i="22"/>
  <c r="B221" i="22"/>
  <c r="B220" i="22"/>
  <c r="B219" i="22"/>
  <c r="B218" i="22"/>
  <c r="B217" i="22"/>
  <c r="B216" i="22"/>
  <c r="B215" i="22"/>
  <c r="B214" i="22"/>
  <c r="Z203" i="22"/>
  <c r="BA178" i="22" s="1"/>
  <c r="Y203" i="22"/>
  <c r="X203" i="22"/>
  <c r="AY178" i="22" s="1"/>
  <c r="W203" i="22"/>
  <c r="V203" i="22"/>
  <c r="AW178" i="22" s="1"/>
  <c r="U203" i="22"/>
  <c r="T203" i="22"/>
  <c r="S203" i="22"/>
  <c r="AT178" i="22" s="1"/>
  <c r="R203" i="22"/>
  <c r="Q203" i="22"/>
  <c r="P203" i="22"/>
  <c r="O203" i="22"/>
  <c r="N203" i="22"/>
  <c r="AO178" i="22" s="1"/>
  <c r="M203" i="22"/>
  <c r="AN178" i="22" s="1"/>
  <c r="L203" i="22"/>
  <c r="K203" i="22"/>
  <c r="AL178" i="22" s="1"/>
  <c r="J203" i="22"/>
  <c r="I203" i="22"/>
  <c r="H203" i="22"/>
  <c r="G203" i="22"/>
  <c r="F203" i="22"/>
  <c r="AG178" i="22" s="1"/>
  <c r="E203" i="22"/>
  <c r="AF178" i="22" s="1"/>
  <c r="D203" i="22"/>
  <c r="C203" i="22"/>
  <c r="B203" i="22"/>
  <c r="AC178" i="22" s="1"/>
  <c r="Z202" i="22"/>
  <c r="Y202" i="22"/>
  <c r="X202" i="22"/>
  <c r="W202" i="22"/>
  <c r="V202" i="22"/>
  <c r="U202" i="22"/>
  <c r="T202" i="22"/>
  <c r="S202" i="22"/>
  <c r="R202" i="22"/>
  <c r="Q202" i="22"/>
  <c r="P202" i="22"/>
  <c r="O202" i="22"/>
  <c r="N202" i="22"/>
  <c r="M202" i="22"/>
  <c r="L202" i="22"/>
  <c r="K202" i="22"/>
  <c r="J202" i="22"/>
  <c r="I202" i="22"/>
  <c r="H202" i="22"/>
  <c r="G202" i="22"/>
  <c r="AH178" i="22" s="1"/>
  <c r="F202" i="22"/>
  <c r="E202" i="22"/>
  <c r="D202" i="22"/>
  <c r="C202" i="22"/>
  <c r="B202" i="22"/>
  <c r="Z201" i="22"/>
  <c r="BA179" i="22" s="1"/>
  <c r="Y201" i="22"/>
  <c r="X201" i="22"/>
  <c r="AY179" i="22" s="1"/>
  <c r="W201" i="22"/>
  <c r="AX179" i="22" s="1"/>
  <c r="V201" i="22"/>
  <c r="AW179" i="22" s="1"/>
  <c r="U201" i="22"/>
  <c r="AV179" i="22" s="1"/>
  <c r="T201" i="22"/>
  <c r="S201" i="22"/>
  <c r="R201" i="22"/>
  <c r="AS179" i="22" s="1"/>
  <c r="Q201" i="22"/>
  <c r="P201" i="22"/>
  <c r="P204" i="22" s="1"/>
  <c r="O201" i="22"/>
  <c r="AP179" i="22" s="1"/>
  <c r="N201" i="22"/>
  <c r="AO179" i="22" s="1"/>
  <c r="M201" i="22"/>
  <c r="L201" i="22"/>
  <c r="K201" i="22"/>
  <c r="J201" i="22"/>
  <c r="AK179" i="22" s="1"/>
  <c r="I201" i="22"/>
  <c r="H201" i="22"/>
  <c r="AI179" i="22" s="1"/>
  <c r="G201" i="22"/>
  <c r="AH179" i="22" s="1"/>
  <c r="F201" i="22"/>
  <c r="AG179" i="22" s="1"/>
  <c r="E201" i="22"/>
  <c r="E204" i="22" s="1"/>
  <c r="D201" i="22"/>
  <c r="C201" i="22"/>
  <c r="B201" i="22"/>
  <c r="AC179" i="22" s="1"/>
  <c r="Z200" i="22"/>
  <c r="Y200" i="22"/>
  <c r="X200" i="22"/>
  <c r="W200" i="22"/>
  <c r="V200" i="22"/>
  <c r="U200" i="22"/>
  <c r="T200" i="22"/>
  <c r="S200" i="22"/>
  <c r="R200" i="22"/>
  <c r="Q200" i="22"/>
  <c r="Q204" i="22" s="1"/>
  <c r="P200" i="22"/>
  <c r="O200" i="22"/>
  <c r="N200" i="22"/>
  <c r="AO177" i="22" s="1"/>
  <c r="M200" i="22"/>
  <c r="L200" i="22"/>
  <c r="K200" i="22"/>
  <c r="AL177" i="22" s="1"/>
  <c r="J200" i="22"/>
  <c r="I200" i="22"/>
  <c r="H200" i="22"/>
  <c r="G200" i="22"/>
  <c r="F200" i="22"/>
  <c r="E200" i="22"/>
  <c r="AF177" i="22" s="1"/>
  <c r="D200" i="22"/>
  <c r="C200" i="22"/>
  <c r="B200" i="22"/>
  <c r="Z199" i="22"/>
  <c r="BA176" i="22" s="1"/>
  <c r="F438" i="22" s="1"/>
  <c r="F452" i="22" s="1"/>
  <c r="F470" i="22" s="1"/>
  <c r="F38" i="39" s="1"/>
  <c r="Z198" i="22"/>
  <c r="Z197" i="22"/>
  <c r="Z196" i="22"/>
  <c r="Z195" i="22"/>
  <c r="Z194" i="22"/>
  <c r="Z193" i="22"/>
  <c r="Z192" i="22"/>
  <c r="Z191" i="22"/>
  <c r="Z190" i="22"/>
  <c r="Z189" i="22"/>
  <c r="Z188" i="22"/>
  <c r="Z187" i="22"/>
  <c r="B186" i="22"/>
  <c r="B185" i="22"/>
  <c r="AC174" i="22" s="1"/>
  <c r="F436" i="22" s="1"/>
  <c r="F450" i="22" s="1"/>
  <c r="F468" i="22" s="1"/>
  <c r="D38" i="39" s="1"/>
  <c r="B184" i="22"/>
  <c r="B183" i="22"/>
  <c r="B182" i="22"/>
  <c r="B181" i="22"/>
  <c r="B180" i="22"/>
  <c r="B179" i="22"/>
  <c r="B178" i="22"/>
  <c r="B177" i="22"/>
  <c r="B176" i="22"/>
  <c r="B175" i="22"/>
  <c r="B174" i="22"/>
  <c r="B173" i="22"/>
  <c r="Z162" i="22"/>
  <c r="Y162" i="22"/>
  <c r="AZ137" i="22" s="1"/>
  <c r="X162" i="22"/>
  <c r="W162" i="22"/>
  <c r="V162" i="22"/>
  <c r="U162" i="22"/>
  <c r="AV137" i="22" s="1"/>
  <c r="T162" i="22"/>
  <c r="AU137" i="22" s="1"/>
  <c r="S162" i="22"/>
  <c r="R162" i="22"/>
  <c r="Q162" i="22"/>
  <c r="P162" i="22"/>
  <c r="O162" i="22"/>
  <c r="N162" i="22"/>
  <c r="M162" i="22"/>
  <c r="AN137" i="22" s="1"/>
  <c r="L162" i="22"/>
  <c r="K162" i="22"/>
  <c r="J162" i="22"/>
  <c r="I162" i="22"/>
  <c r="H162" i="22"/>
  <c r="G162" i="22"/>
  <c r="F162" i="22"/>
  <c r="E162" i="22"/>
  <c r="AF137" i="22" s="1"/>
  <c r="D162" i="22"/>
  <c r="AE137" i="22" s="1"/>
  <c r="C162" i="22"/>
  <c r="B162" i="22"/>
  <c r="Z161" i="22"/>
  <c r="Y161" i="22"/>
  <c r="X161" i="22"/>
  <c r="W161" i="22"/>
  <c r="V161" i="22"/>
  <c r="AW137" i="22" s="1"/>
  <c r="U161" i="22"/>
  <c r="T161" i="22"/>
  <c r="S161" i="22"/>
  <c r="R161" i="22"/>
  <c r="Q161" i="22"/>
  <c r="P161" i="22"/>
  <c r="AQ137" i="22" s="1"/>
  <c r="O161" i="22"/>
  <c r="N161" i="22"/>
  <c r="AO137" i="22" s="1"/>
  <c r="M161" i="22"/>
  <c r="L161" i="22"/>
  <c r="K161" i="22"/>
  <c r="J161" i="22"/>
  <c r="I161" i="22"/>
  <c r="H161" i="22"/>
  <c r="G161" i="22"/>
  <c r="F161" i="22"/>
  <c r="AG137" i="22" s="1"/>
  <c r="E161" i="22"/>
  <c r="D161" i="22"/>
  <c r="C161" i="22"/>
  <c r="B161" i="22"/>
  <c r="Z160" i="22"/>
  <c r="BA138" i="22" s="1"/>
  <c r="Y160" i="22"/>
  <c r="X160" i="22"/>
  <c r="W160" i="22"/>
  <c r="AX138" i="22" s="1"/>
  <c r="V160" i="22"/>
  <c r="AW138" i="22" s="1"/>
  <c r="U160" i="22"/>
  <c r="AV138" i="22" s="1"/>
  <c r="T160" i="22"/>
  <c r="AU138" i="22" s="1"/>
  <c r="S160" i="22"/>
  <c r="AT138" i="22" s="1"/>
  <c r="R160" i="22"/>
  <c r="Q160" i="22"/>
  <c r="AR138" i="22" s="1"/>
  <c r="P160" i="22"/>
  <c r="O160" i="22"/>
  <c r="AP138" i="22" s="1"/>
  <c r="N160" i="22"/>
  <c r="AO138" i="22" s="1"/>
  <c r="M160" i="22"/>
  <c r="AN138" i="22" s="1"/>
  <c r="L160" i="22"/>
  <c r="AM138" i="22" s="1"/>
  <c r="K160" i="22"/>
  <c r="AL138" i="22" s="1"/>
  <c r="J160" i="22"/>
  <c r="AK138" i="22" s="1"/>
  <c r="I160" i="22"/>
  <c r="AJ138" i="22" s="1"/>
  <c r="H160" i="22"/>
  <c r="G160" i="22"/>
  <c r="AH138" i="22" s="1"/>
  <c r="F160" i="22"/>
  <c r="AG138" i="22" s="1"/>
  <c r="E160" i="22"/>
  <c r="AF138" i="22" s="1"/>
  <c r="B137" i="22"/>
  <c r="B136" i="22"/>
  <c r="B135" i="22"/>
  <c r="B134" i="22"/>
  <c r="B133" i="22"/>
  <c r="D160" i="22"/>
  <c r="AE138" i="22" s="1"/>
  <c r="C160" i="22"/>
  <c r="AD138" i="22" s="1"/>
  <c r="B160" i="22"/>
  <c r="AC138" i="22" s="1"/>
  <c r="Z159" i="22"/>
  <c r="BA136" i="22" s="1"/>
  <c r="Y159" i="22"/>
  <c r="X159" i="22"/>
  <c r="W159" i="22"/>
  <c r="AX136" i="22" s="1"/>
  <c r="V159" i="22"/>
  <c r="U159" i="22"/>
  <c r="T159" i="22"/>
  <c r="S159" i="22"/>
  <c r="R159" i="22"/>
  <c r="Q159" i="22"/>
  <c r="Q163" i="22" s="1"/>
  <c r="P159" i="22"/>
  <c r="O159" i="22"/>
  <c r="N159" i="22"/>
  <c r="M159" i="22"/>
  <c r="L159" i="22"/>
  <c r="K159" i="22"/>
  <c r="AL136" i="22" s="1"/>
  <c r="J159" i="22"/>
  <c r="I159" i="22"/>
  <c r="H159" i="22"/>
  <c r="G159" i="22"/>
  <c r="F159" i="22"/>
  <c r="E159" i="22"/>
  <c r="D159" i="22"/>
  <c r="C159" i="22"/>
  <c r="B159" i="22"/>
  <c r="Z158" i="22"/>
  <c r="BA135" i="22" s="1"/>
  <c r="E438" i="22" s="1"/>
  <c r="E452" i="22" s="1"/>
  <c r="E470" i="22" s="1"/>
  <c r="F37" i="39" s="1"/>
  <c r="Z157" i="22"/>
  <c r="Z156" i="22"/>
  <c r="Z155" i="22"/>
  <c r="Z154" i="22"/>
  <c r="Z153" i="22"/>
  <c r="Z152" i="22"/>
  <c r="Z151" i="22"/>
  <c r="Z150" i="22"/>
  <c r="Z149" i="22"/>
  <c r="Z148" i="22"/>
  <c r="Z147" i="22"/>
  <c r="Z146" i="22"/>
  <c r="B145" i="22"/>
  <c r="B144" i="22"/>
  <c r="AC133" i="22" s="1"/>
  <c r="E436" i="22" s="1"/>
  <c r="E450" i="22" s="1"/>
  <c r="E468" i="22" s="1"/>
  <c r="D37" i="39" s="1"/>
  <c r="B143" i="22"/>
  <c r="B142" i="22"/>
  <c r="B141" i="22"/>
  <c r="B140" i="22"/>
  <c r="B139" i="22"/>
  <c r="B138" i="22"/>
  <c r="B132" i="22"/>
  <c r="AH219" i="22"/>
  <c r="BA220" i="22"/>
  <c r="AY220" i="22"/>
  <c r="AS220" i="22"/>
  <c r="AK220" i="22"/>
  <c r="AC220" i="22"/>
  <c r="AS219" i="22"/>
  <c r="AQ219" i="22"/>
  <c r="AL219" i="22"/>
  <c r="AO218" i="22"/>
  <c r="AF218" i="22"/>
  <c r="AZ178" i="22"/>
  <c r="AX178" i="22"/>
  <c r="AP178" i="22"/>
  <c r="BA177" i="22"/>
  <c r="AC177" i="22"/>
  <c r="AZ179" i="22"/>
  <c r="AU179" i="22"/>
  <c r="AT179" i="22"/>
  <c r="AR179" i="22"/>
  <c r="AN179" i="22"/>
  <c r="AM179" i="22"/>
  <c r="AL179" i="22"/>
  <c r="AJ179" i="22"/>
  <c r="AE179" i="22"/>
  <c r="AD179" i="22"/>
  <c r="AV178" i="22"/>
  <c r="AX177" i="22"/>
  <c r="AU177" i="22"/>
  <c r="AI177" i="22"/>
  <c r="AR137" i="22"/>
  <c r="AZ138" i="22"/>
  <c r="AY138" i="22"/>
  <c r="AQ138" i="22"/>
  <c r="AI138" i="22"/>
  <c r="AM137" i="22"/>
  <c r="AI136" i="22"/>
  <c r="AC136" i="22"/>
  <c r="AC209" i="9"/>
  <c r="AC168" i="9"/>
  <c r="AC127" i="9"/>
  <c r="C244" i="9"/>
  <c r="D244" i="9"/>
  <c r="E244" i="9"/>
  <c r="F244" i="9"/>
  <c r="G244" i="9"/>
  <c r="H244" i="9"/>
  <c r="I244" i="9"/>
  <c r="J244" i="9"/>
  <c r="AK219" i="9" s="1"/>
  <c r="K244" i="9"/>
  <c r="L244" i="9"/>
  <c r="M244" i="9"/>
  <c r="N244" i="9"/>
  <c r="O244" i="9"/>
  <c r="P244" i="9"/>
  <c r="Q244" i="9"/>
  <c r="R244" i="9"/>
  <c r="S244" i="9"/>
  <c r="T244" i="9"/>
  <c r="U244" i="9"/>
  <c r="V244" i="9"/>
  <c r="W244" i="9"/>
  <c r="X244" i="9"/>
  <c r="Y244" i="9"/>
  <c r="Z244" i="9"/>
  <c r="C243" i="9"/>
  <c r="D243" i="9"/>
  <c r="E243" i="9"/>
  <c r="F243" i="9"/>
  <c r="G243" i="9"/>
  <c r="H243" i="9"/>
  <c r="I243" i="9"/>
  <c r="J243" i="9"/>
  <c r="K243" i="9"/>
  <c r="L243" i="9"/>
  <c r="M243" i="9"/>
  <c r="AN219" i="9" s="1"/>
  <c r="N243" i="9"/>
  <c r="O243" i="9"/>
  <c r="P243" i="9"/>
  <c r="AQ219" i="9" s="1"/>
  <c r="Q243" i="9"/>
  <c r="R243" i="9"/>
  <c r="S243" i="9"/>
  <c r="T243" i="9"/>
  <c r="U243" i="9"/>
  <c r="AV219" i="9" s="1"/>
  <c r="V243" i="9"/>
  <c r="W243" i="9"/>
  <c r="X243" i="9"/>
  <c r="Y243" i="9"/>
  <c r="Z243" i="9"/>
  <c r="C242" i="9"/>
  <c r="AD220" i="9" s="1"/>
  <c r="D242" i="9"/>
  <c r="E242" i="9"/>
  <c r="F242" i="9"/>
  <c r="G242" i="9"/>
  <c r="H242" i="9"/>
  <c r="I242" i="9"/>
  <c r="J242" i="9"/>
  <c r="AK220" i="9" s="1"/>
  <c r="K242" i="9"/>
  <c r="AL220" i="9" s="1"/>
  <c r="L242" i="9"/>
  <c r="M242" i="9"/>
  <c r="N242" i="9"/>
  <c r="AO220" i="9" s="1"/>
  <c r="O242" i="9"/>
  <c r="AP220" i="9" s="1"/>
  <c r="P242" i="9"/>
  <c r="Q242" i="9"/>
  <c r="R242" i="9"/>
  <c r="AS220" i="9" s="1"/>
  <c r="S242" i="9"/>
  <c r="T242" i="9"/>
  <c r="U242" i="9"/>
  <c r="V242" i="9"/>
  <c r="W242" i="9"/>
  <c r="AX220" i="9" s="1"/>
  <c r="X242" i="9"/>
  <c r="Y242" i="9"/>
  <c r="Z242" i="9"/>
  <c r="BA220" i="9" s="1"/>
  <c r="C241" i="9"/>
  <c r="C245" i="9" s="1"/>
  <c r="D241" i="9"/>
  <c r="E241" i="9"/>
  <c r="F241" i="9"/>
  <c r="F245" i="9" s="1"/>
  <c r="G241" i="9"/>
  <c r="H241" i="9"/>
  <c r="AI218" i="9" s="1"/>
  <c r="I241" i="9"/>
  <c r="J241" i="9"/>
  <c r="J245" i="9" s="1"/>
  <c r="K241" i="9"/>
  <c r="AL218" i="9" s="1"/>
  <c r="L241" i="9"/>
  <c r="M241" i="9"/>
  <c r="N241" i="9"/>
  <c r="AO218" i="9" s="1"/>
  <c r="O241" i="9"/>
  <c r="P241" i="9"/>
  <c r="Q241" i="9"/>
  <c r="R241" i="9"/>
  <c r="S241" i="9"/>
  <c r="T241" i="9"/>
  <c r="U241" i="9"/>
  <c r="V241" i="9"/>
  <c r="V245" i="9" s="1"/>
  <c r="W241" i="9"/>
  <c r="X241" i="9"/>
  <c r="Y241" i="9"/>
  <c r="Z241" i="9"/>
  <c r="BA218" i="9" s="1"/>
  <c r="B243" i="9"/>
  <c r="B242" i="9"/>
  <c r="B241" i="9"/>
  <c r="BA217" i="9"/>
  <c r="G438" i="9" s="1"/>
  <c r="Z229" i="9"/>
  <c r="Z230" i="9"/>
  <c r="Z231" i="9"/>
  <c r="Z232" i="9"/>
  <c r="Z233" i="9"/>
  <c r="Z234" i="9"/>
  <c r="Z235" i="9"/>
  <c r="Z236" i="9"/>
  <c r="Z237" i="9"/>
  <c r="Z238" i="9"/>
  <c r="Z239" i="9"/>
  <c r="Z228" i="9"/>
  <c r="B227" i="9"/>
  <c r="B226" i="9"/>
  <c r="B215" i="9"/>
  <c r="B216" i="9"/>
  <c r="B217" i="9"/>
  <c r="B218" i="9"/>
  <c r="B219" i="9"/>
  <c r="B220" i="9"/>
  <c r="B221" i="9"/>
  <c r="B222" i="9"/>
  <c r="B223" i="9"/>
  <c r="B224" i="9"/>
  <c r="B225" i="9"/>
  <c r="B214" i="9"/>
  <c r="C203" i="9"/>
  <c r="AD178" i="9" s="1"/>
  <c r="D203" i="9"/>
  <c r="AE178" i="9" s="1"/>
  <c r="E203" i="9"/>
  <c r="F203" i="9"/>
  <c r="G203" i="9"/>
  <c r="H203" i="9"/>
  <c r="I203" i="9"/>
  <c r="J203" i="9"/>
  <c r="K203" i="9"/>
  <c r="L203" i="9"/>
  <c r="M203" i="9"/>
  <c r="N203" i="9"/>
  <c r="O203" i="9"/>
  <c r="P203" i="9"/>
  <c r="Q203" i="9"/>
  <c r="R203" i="9"/>
  <c r="S203" i="9"/>
  <c r="AT178" i="9" s="1"/>
  <c r="T203" i="9"/>
  <c r="U203" i="9"/>
  <c r="V203" i="9"/>
  <c r="AW178" i="9" s="1"/>
  <c r="W203" i="9"/>
  <c r="AX178" i="9" s="1"/>
  <c r="X203" i="9"/>
  <c r="AY178" i="9" s="1"/>
  <c r="Y203" i="9"/>
  <c r="Z203" i="9"/>
  <c r="BA178" i="9" s="1"/>
  <c r="C202" i="9"/>
  <c r="D202" i="9"/>
  <c r="E202" i="9"/>
  <c r="F202" i="9"/>
  <c r="G202" i="9"/>
  <c r="H202" i="9"/>
  <c r="I202" i="9"/>
  <c r="J202" i="9"/>
  <c r="K202" i="9"/>
  <c r="L202" i="9"/>
  <c r="M202" i="9"/>
  <c r="N202" i="9"/>
  <c r="O202" i="9"/>
  <c r="P202" i="9"/>
  <c r="Q202" i="9"/>
  <c r="R202" i="9"/>
  <c r="S202" i="9"/>
  <c r="T202" i="9"/>
  <c r="U202" i="9"/>
  <c r="V202" i="9"/>
  <c r="W202" i="9"/>
  <c r="X202" i="9"/>
  <c r="Y202" i="9"/>
  <c r="Z202" i="9"/>
  <c r="C201" i="9"/>
  <c r="D201" i="9"/>
  <c r="AE179" i="9" s="1"/>
  <c r="E201" i="9"/>
  <c r="AF179" i="9" s="1"/>
  <c r="F201" i="9"/>
  <c r="G201" i="9"/>
  <c r="AH179" i="9" s="1"/>
  <c r="H201" i="9"/>
  <c r="AI179" i="9" s="1"/>
  <c r="I201" i="9"/>
  <c r="J201" i="9"/>
  <c r="K201" i="9"/>
  <c r="L201" i="9"/>
  <c r="AM179" i="9" s="1"/>
  <c r="M201" i="9"/>
  <c r="AN179" i="9" s="1"/>
  <c r="N201" i="9"/>
  <c r="O201" i="9"/>
  <c r="P201" i="9"/>
  <c r="AQ179" i="9" s="1"/>
  <c r="Q201" i="9"/>
  <c r="R201" i="9"/>
  <c r="AS179" i="9" s="1"/>
  <c r="S201" i="9"/>
  <c r="T201" i="9"/>
  <c r="AU179" i="9" s="1"/>
  <c r="U201" i="9"/>
  <c r="AV179" i="9" s="1"/>
  <c r="V201" i="9"/>
  <c r="W201" i="9"/>
  <c r="AX179" i="9" s="1"/>
  <c r="X201" i="9"/>
  <c r="Y201" i="9"/>
  <c r="Z201" i="9"/>
  <c r="BA179" i="9" s="1"/>
  <c r="C200" i="9"/>
  <c r="D200" i="9"/>
  <c r="E200" i="9"/>
  <c r="F200" i="9"/>
  <c r="F204" i="9" s="1"/>
  <c r="G200" i="9"/>
  <c r="H200" i="9"/>
  <c r="I200" i="9"/>
  <c r="J200" i="9"/>
  <c r="K200" i="9"/>
  <c r="L200" i="9"/>
  <c r="M200" i="9"/>
  <c r="N200" i="9"/>
  <c r="O200" i="9"/>
  <c r="P200" i="9"/>
  <c r="Q200" i="9"/>
  <c r="R200" i="9"/>
  <c r="S200" i="9"/>
  <c r="T200" i="9"/>
  <c r="AU177" i="9" s="1"/>
  <c r="U200" i="9"/>
  <c r="V200" i="9"/>
  <c r="W200" i="9"/>
  <c r="X200" i="9"/>
  <c r="Y200" i="9"/>
  <c r="Z200" i="9"/>
  <c r="BA177" i="9" s="1"/>
  <c r="B203" i="9"/>
  <c r="B202" i="9"/>
  <c r="B201" i="9"/>
  <c r="AC179" i="9" s="1"/>
  <c r="B200" i="9"/>
  <c r="Z199" i="9"/>
  <c r="BA176" i="9" s="1"/>
  <c r="F438" i="9" s="1"/>
  <c r="Z188" i="9"/>
  <c r="Z189" i="9"/>
  <c r="Z190" i="9"/>
  <c r="Z191" i="9"/>
  <c r="Z192" i="9"/>
  <c r="Z193" i="9"/>
  <c r="Z194" i="9"/>
  <c r="Z195" i="9"/>
  <c r="Z196" i="9"/>
  <c r="Z197" i="9"/>
  <c r="Z198" i="9"/>
  <c r="Z187" i="9"/>
  <c r="B186" i="9"/>
  <c r="B185" i="9"/>
  <c r="AC174" i="9" s="1"/>
  <c r="F436" i="9" s="1"/>
  <c r="B174" i="9"/>
  <c r="B175" i="9"/>
  <c r="B176" i="9"/>
  <c r="B177" i="9"/>
  <c r="B178" i="9"/>
  <c r="B179" i="9"/>
  <c r="B180" i="9"/>
  <c r="B181" i="9"/>
  <c r="B182" i="9"/>
  <c r="B183" i="9"/>
  <c r="B184" i="9"/>
  <c r="B173" i="9"/>
  <c r="C162" i="9"/>
  <c r="D162" i="9"/>
  <c r="E162" i="9"/>
  <c r="F162" i="9"/>
  <c r="G162" i="9"/>
  <c r="H162" i="9"/>
  <c r="I162" i="9"/>
  <c r="J162" i="9"/>
  <c r="K162" i="9"/>
  <c r="L162" i="9"/>
  <c r="M162" i="9"/>
  <c r="N162" i="9"/>
  <c r="O162" i="9"/>
  <c r="P162" i="9"/>
  <c r="Q162" i="9"/>
  <c r="R162" i="9"/>
  <c r="S162" i="9"/>
  <c r="T162" i="9"/>
  <c r="U162" i="9"/>
  <c r="V162" i="9"/>
  <c r="W162" i="9"/>
  <c r="X162" i="9"/>
  <c r="Y162" i="9"/>
  <c r="Z162" i="9"/>
  <c r="C161" i="9"/>
  <c r="D161" i="9"/>
  <c r="E161" i="9"/>
  <c r="F161" i="9"/>
  <c r="G161" i="9"/>
  <c r="H161" i="9"/>
  <c r="I161" i="9"/>
  <c r="J161" i="9"/>
  <c r="K161" i="9"/>
  <c r="L161" i="9"/>
  <c r="M161" i="9"/>
  <c r="N161" i="9"/>
  <c r="O161" i="9"/>
  <c r="P161" i="9"/>
  <c r="Q161" i="9"/>
  <c r="R161" i="9"/>
  <c r="S161" i="9"/>
  <c r="T161" i="9"/>
  <c r="U161" i="9"/>
  <c r="V161" i="9"/>
  <c r="W161" i="9"/>
  <c r="X161" i="9"/>
  <c r="Y161" i="9"/>
  <c r="Z161" i="9"/>
  <c r="C160" i="9"/>
  <c r="D160" i="9"/>
  <c r="AE138" i="9" s="1"/>
  <c r="E160" i="9"/>
  <c r="AF138" i="9" s="1"/>
  <c r="F160" i="9"/>
  <c r="AG138" i="9" s="1"/>
  <c r="G160" i="9"/>
  <c r="H160" i="9"/>
  <c r="I160" i="9"/>
  <c r="J160" i="9"/>
  <c r="K160" i="9"/>
  <c r="L160" i="9"/>
  <c r="L163" i="9" s="1"/>
  <c r="M160" i="9"/>
  <c r="AN138" i="9" s="1"/>
  <c r="N160" i="9"/>
  <c r="AO138" i="9" s="1"/>
  <c r="O160" i="9"/>
  <c r="P160" i="9"/>
  <c r="AQ138" i="9" s="1"/>
  <c r="Q160" i="9"/>
  <c r="R160" i="9"/>
  <c r="AS138" i="9" s="1"/>
  <c r="S160" i="9"/>
  <c r="T160" i="9"/>
  <c r="U160" i="9"/>
  <c r="AV138" i="9" s="1"/>
  <c r="V160" i="9"/>
  <c r="AW138" i="9" s="1"/>
  <c r="W160" i="9"/>
  <c r="X160" i="9"/>
  <c r="AY138" i="9" s="1"/>
  <c r="Y160" i="9"/>
  <c r="AZ138" i="9" s="1"/>
  <c r="Z160" i="9"/>
  <c r="BA138" i="9" s="1"/>
  <c r="C159" i="9"/>
  <c r="D159" i="9"/>
  <c r="E159" i="9"/>
  <c r="AF136" i="9" s="1"/>
  <c r="F159" i="9"/>
  <c r="G159" i="9"/>
  <c r="H159" i="9"/>
  <c r="I159" i="9"/>
  <c r="J159" i="9"/>
  <c r="K159" i="9"/>
  <c r="L159" i="9"/>
  <c r="M159" i="9"/>
  <c r="N159" i="9"/>
  <c r="O159" i="9"/>
  <c r="P159" i="9"/>
  <c r="Q159" i="9"/>
  <c r="R159" i="9"/>
  <c r="S159" i="9"/>
  <c r="T159" i="9"/>
  <c r="U159" i="9"/>
  <c r="V159" i="9"/>
  <c r="W159" i="9"/>
  <c r="X159" i="9"/>
  <c r="Y159" i="9"/>
  <c r="Z159" i="9"/>
  <c r="BA136" i="9" s="1"/>
  <c r="B162" i="9"/>
  <c r="B161" i="9"/>
  <c r="B160" i="9"/>
  <c r="AC138" i="9" s="1"/>
  <c r="B159" i="9"/>
  <c r="Z158" i="9"/>
  <c r="BA135" i="9" s="1"/>
  <c r="E438" i="9" s="1"/>
  <c r="Z147" i="9"/>
  <c r="Z148" i="9"/>
  <c r="Z149" i="9"/>
  <c r="Z150" i="9"/>
  <c r="Z151" i="9"/>
  <c r="Z152" i="9"/>
  <c r="Z153" i="9"/>
  <c r="Z154" i="9"/>
  <c r="Z155" i="9"/>
  <c r="Z156" i="9"/>
  <c r="Z157" i="9"/>
  <c r="Z146" i="9"/>
  <c r="B145" i="9"/>
  <c r="B144" i="9"/>
  <c r="AC133" i="9" s="1"/>
  <c r="E436" i="9" s="1"/>
  <c r="B133" i="9"/>
  <c r="B134" i="9"/>
  <c r="B135" i="9"/>
  <c r="B136" i="9"/>
  <c r="B137" i="9"/>
  <c r="B138" i="9"/>
  <c r="B139" i="9"/>
  <c r="B140" i="9"/>
  <c r="B141" i="9"/>
  <c r="B142" i="9"/>
  <c r="B143" i="9"/>
  <c r="B132" i="9"/>
  <c r="AR219" i="9"/>
  <c r="AJ219" i="9"/>
  <c r="AF219" i="9"/>
  <c r="AX218" i="9"/>
  <c r="U245" i="9"/>
  <c r="O245" i="9"/>
  <c r="L245" i="9"/>
  <c r="I245" i="9"/>
  <c r="G245" i="9"/>
  <c r="E245" i="9"/>
  <c r="AZ220" i="9"/>
  <c r="AY220" i="9"/>
  <c r="AW220" i="9"/>
  <c r="AV220" i="9"/>
  <c r="AU220" i="9"/>
  <c r="AR220" i="9"/>
  <c r="AQ220" i="9"/>
  <c r="AN220" i="9"/>
  <c r="AM220" i="9"/>
  <c r="AJ220" i="9"/>
  <c r="AI220" i="9"/>
  <c r="AH220" i="9"/>
  <c r="AG220" i="9"/>
  <c r="AF220" i="9"/>
  <c r="AE220" i="9"/>
  <c r="AC220" i="9"/>
  <c r="AY219" i="9"/>
  <c r="AX219" i="9"/>
  <c r="AW219" i="9"/>
  <c r="AP219" i="9"/>
  <c r="AI219" i="9"/>
  <c r="AH219" i="9"/>
  <c r="AC219" i="9"/>
  <c r="AU218" i="9"/>
  <c r="AR218" i="9"/>
  <c r="AC218" i="9"/>
  <c r="AC215" i="9"/>
  <c r="G436" i="9" s="1"/>
  <c r="AZ179" i="9"/>
  <c r="AW179" i="9"/>
  <c r="AR179" i="9"/>
  <c r="AP179" i="9"/>
  <c r="AO179" i="9"/>
  <c r="AK179" i="9"/>
  <c r="AJ179" i="9"/>
  <c r="AG179" i="9"/>
  <c r="AX177" i="9"/>
  <c r="AO177" i="9"/>
  <c r="AI177" i="9"/>
  <c r="AF177" i="9"/>
  <c r="AC177" i="9"/>
  <c r="AL136" i="9"/>
  <c r="AC136" i="9"/>
  <c r="AX138" i="9"/>
  <c r="AU138" i="9"/>
  <c r="AT138" i="9"/>
  <c r="AR138" i="9"/>
  <c r="AP138" i="9"/>
  <c r="AL138" i="9"/>
  <c r="AJ138" i="9"/>
  <c r="AH138" i="9"/>
  <c r="AD138" i="9"/>
  <c r="AX136" i="9"/>
  <c r="AU136" i="9"/>
  <c r="AO136" i="9"/>
  <c r="AI136" i="9"/>
  <c r="C244" i="32"/>
  <c r="AD219" i="32" s="1"/>
  <c r="D244" i="32"/>
  <c r="AE219" i="32" s="1"/>
  <c r="E244" i="32"/>
  <c r="F244" i="32"/>
  <c r="AG219" i="32" s="1"/>
  <c r="G244" i="32"/>
  <c r="H244" i="32"/>
  <c r="I244" i="32"/>
  <c r="J244" i="32"/>
  <c r="K244" i="32"/>
  <c r="AL219" i="32" s="1"/>
  <c r="L244" i="32"/>
  <c r="AM219" i="32" s="1"/>
  <c r="M244" i="32"/>
  <c r="AN219" i="32" s="1"/>
  <c r="N244" i="32"/>
  <c r="AO219" i="32" s="1"/>
  <c r="O244" i="32"/>
  <c r="P244" i="32"/>
  <c r="Q244" i="32"/>
  <c r="R244" i="32"/>
  <c r="S244" i="32"/>
  <c r="AT219" i="32" s="1"/>
  <c r="T244" i="32"/>
  <c r="AU219" i="32" s="1"/>
  <c r="U244" i="32"/>
  <c r="V244" i="32"/>
  <c r="AW219" i="32" s="1"/>
  <c r="W244" i="32"/>
  <c r="X244" i="32"/>
  <c r="AY219" i="32" s="1"/>
  <c r="Y244" i="32"/>
  <c r="AZ219" i="32" s="1"/>
  <c r="Z244" i="32"/>
  <c r="C243" i="32"/>
  <c r="D243" i="32"/>
  <c r="E243" i="32"/>
  <c r="AF219" i="32" s="1"/>
  <c r="F243" i="32"/>
  <c r="G243" i="32"/>
  <c r="H243" i="32"/>
  <c r="AI219" i="32" s="1"/>
  <c r="I243" i="32"/>
  <c r="J243" i="32"/>
  <c r="K243" i="32"/>
  <c r="L243" i="32"/>
  <c r="M243" i="32"/>
  <c r="N243" i="32"/>
  <c r="O243" i="32"/>
  <c r="P243" i="32"/>
  <c r="AQ219" i="32" s="1"/>
  <c r="Q243" i="32"/>
  <c r="R243" i="32"/>
  <c r="S243" i="32"/>
  <c r="T243" i="32"/>
  <c r="U243" i="32"/>
  <c r="V243" i="32"/>
  <c r="W243" i="32"/>
  <c r="X243" i="32"/>
  <c r="Y243" i="32"/>
  <c r="Z243" i="32"/>
  <c r="C242" i="32"/>
  <c r="AD220" i="32" s="1"/>
  <c r="D242" i="32"/>
  <c r="E242" i="32"/>
  <c r="AF220" i="32" s="1"/>
  <c r="F242" i="32"/>
  <c r="F245" i="32" s="1"/>
  <c r="G242" i="32"/>
  <c r="AH220" i="32" s="1"/>
  <c r="H242" i="32"/>
  <c r="AI220" i="32" s="1"/>
  <c r="I242" i="32"/>
  <c r="J242" i="32"/>
  <c r="AK220" i="32" s="1"/>
  <c r="K242" i="32"/>
  <c r="AL220" i="32" s="1"/>
  <c r="L242" i="32"/>
  <c r="L245" i="32" s="1"/>
  <c r="M242" i="32"/>
  <c r="AN220" i="32" s="1"/>
  <c r="N242" i="32"/>
  <c r="AO220" i="32" s="1"/>
  <c r="O242" i="32"/>
  <c r="AP220" i="32" s="1"/>
  <c r="P242" i="32"/>
  <c r="AQ220" i="32" s="1"/>
  <c r="Q242" i="32"/>
  <c r="R242" i="32"/>
  <c r="AS220" i="32" s="1"/>
  <c r="S242" i="32"/>
  <c r="S245" i="32" s="1"/>
  <c r="T242" i="32"/>
  <c r="T245" i="32" s="1"/>
  <c r="U242" i="32"/>
  <c r="U245" i="32" s="1"/>
  <c r="V242" i="32"/>
  <c r="AW220" i="32" s="1"/>
  <c r="W242" i="32"/>
  <c r="AX220" i="32" s="1"/>
  <c r="X242" i="32"/>
  <c r="AY220" i="32" s="1"/>
  <c r="Y242" i="32"/>
  <c r="AZ220" i="32" s="1"/>
  <c r="Z242" i="32"/>
  <c r="BA220" i="32" s="1"/>
  <c r="C241" i="32"/>
  <c r="C245" i="32" s="1"/>
  <c r="D241" i="32"/>
  <c r="D245" i="32" s="1"/>
  <c r="E241" i="32"/>
  <c r="F241" i="32"/>
  <c r="G241" i="32"/>
  <c r="G245" i="32" s="1"/>
  <c r="H241" i="32"/>
  <c r="AI218" i="32" s="1"/>
  <c r="I241" i="32"/>
  <c r="J241" i="32"/>
  <c r="K241" i="32"/>
  <c r="AL218" i="32" s="1"/>
  <c r="L241" i="32"/>
  <c r="M241" i="32"/>
  <c r="N241" i="32"/>
  <c r="O241" i="32"/>
  <c r="P241" i="32"/>
  <c r="Q241" i="32"/>
  <c r="R241" i="32"/>
  <c r="R245" i="32" s="1"/>
  <c r="S241" i="32"/>
  <c r="T241" i="32"/>
  <c r="AU218" i="32" s="1"/>
  <c r="U241" i="32"/>
  <c r="V241" i="32"/>
  <c r="W241" i="32"/>
  <c r="AX218" i="32" s="1"/>
  <c r="X241" i="32"/>
  <c r="Y241" i="32"/>
  <c r="Z241" i="32"/>
  <c r="BA218" i="32" s="1"/>
  <c r="B244" i="32"/>
  <c r="AC219" i="32" s="1"/>
  <c r="B243" i="32"/>
  <c r="B242" i="32"/>
  <c r="AC220" i="32" s="1"/>
  <c r="B241" i="32"/>
  <c r="Z229" i="32"/>
  <c r="Z230" i="32"/>
  <c r="Z231" i="32"/>
  <c r="Z232" i="32"/>
  <c r="Z233" i="32"/>
  <c r="Z234" i="32"/>
  <c r="Z235" i="32"/>
  <c r="Z236" i="32"/>
  <c r="Z237" i="32"/>
  <c r="Z238" i="32"/>
  <c r="Z239" i="32"/>
  <c r="Z228" i="32"/>
  <c r="B227" i="32"/>
  <c r="B226" i="32"/>
  <c r="AC215" i="32" s="1"/>
  <c r="G436" i="32" s="1"/>
  <c r="B215" i="32"/>
  <c r="B216" i="32"/>
  <c r="B217" i="32"/>
  <c r="B218" i="32"/>
  <c r="B219" i="32"/>
  <c r="B220" i="32"/>
  <c r="B221" i="32"/>
  <c r="B222" i="32"/>
  <c r="B223" i="32"/>
  <c r="B224" i="32"/>
  <c r="B225" i="32"/>
  <c r="B214" i="32"/>
  <c r="C203" i="32"/>
  <c r="D203" i="32"/>
  <c r="E203" i="32"/>
  <c r="F203" i="32"/>
  <c r="G203" i="32"/>
  <c r="H203" i="32"/>
  <c r="I203" i="32"/>
  <c r="J203" i="32"/>
  <c r="K203" i="32"/>
  <c r="L203" i="32"/>
  <c r="M203" i="32"/>
  <c r="N203" i="32"/>
  <c r="O203" i="32"/>
  <c r="P203" i="32"/>
  <c r="Q203" i="32"/>
  <c r="R203" i="32"/>
  <c r="S203" i="32"/>
  <c r="T203" i="32"/>
  <c r="U203" i="32"/>
  <c r="V203" i="32"/>
  <c r="AW178" i="32" s="1"/>
  <c r="W203" i="32"/>
  <c r="AX178" i="32" s="1"/>
  <c r="X203" i="32"/>
  <c r="AY178" i="32" s="1"/>
  <c r="Y203" i="32"/>
  <c r="AZ178" i="32" s="1"/>
  <c r="Z203" i="32"/>
  <c r="BA178" i="32" s="1"/>
  <c r="C202" i="32"/>
  <c r="D202" i="32"/>
  <c r="E202" i="32"/>
  <c r="F202" i="32"/>
  <c r="G202" i="32"/>
  <c r="H202" i="32"/>
  <c r="I202" i="32"/>
  <c r="J202" i="32"/>
  <c r="K202" i="32"/>
  <c r="L202" i="32"/>
  <c r="M202" i="32"/>
  <c r="N202" i="32"/>
  <c r="O202" i="32"/>
  <c r="P202" i="32"/>
  <c r="Q202" i="32"/>
  <c r="R202" i="32"/>
  <c r="S202" i="32"/>
  <c r="T202" i="32"/>
  <c r="U202" i="32"/>
  <c r="V202" i="32"/>
  <c r="W202" i="32"/>
  <c r="X202" i="32"/>
  <c r="Y202" i="32"/>
  <c r="Z202" i="32"/>
  <c r="C201" i="32"/>
  <c r="AD179" i="32" s="1"/>
  <c r="D201" i="32"/>
  <c r="AE179" i="32" s="1"/>
  <c r="E201" i="32"/>
  <c r="F201" i="32"/>
  <c r="AG179" i="32" s="1"/>
  <c r="G201" i="32"/>
  <c r="AH179" i="32" s="1"/>
  <c r="H201" i="32"/>
  <c r="I201" i="32"/>
  <c r="AJ179" i="32" s="1"/>
  <c r="J201" i="32"/>
  <c r="AK179" i="32" s="1"/>
  <c r="K201" i="32"/>
  <c r="AL179" i="32" s="1"/>
  <c r="L201" i="32"/>
  <c r="AM179" i="32" s="1"/>
  <c r="M201" i="32"/>
  <c r="AN179" i="32" s="1"/>
  <c r="N201" i="32"/>
  <c r="AO179" i="32" s="1"/>
  <c r="O201" i="32"/>
  <c r="AP179" i="32" s="1"/>
  <c r="P201" i="32"/>
  <c r="Q201" i="32"/>
  <c r="AR179" i="32" s="1"/>
  <c r="R201" i="32"/>
  <c r="AS179" i="32" s="1"/>
  <c r="S201" i="32"/>
  <c r="T201" i="32"/>
  <c r="AU179" i="32" s="1"/>
  <c r="U201" i="32"/>
  <c r="AV179" i="32" s="1"/>
  <c r="V201" i="32"/>
  <c r="AW179" i="32" s="1"/>
  <c r="W201" i="32"/>
  <c r="AX179" i="32" s="1"/>
  <c r="X201" i="32"/>
  <c r="Y201" i="32"/>
  <c r="AZ179" i="32" s="1"/>
  <c r="Z201" i="32"/>
  <c r="BA179" i="32" s="1"/>
  <c r="C200" i="32"/>
  <c r="D200" i="32"/>
  <c r="D204" i="32" s="1"/>
  <c r="E200" i="32"/>
  <c r="AF177" i="32" s="1"/>
  <c r="F200" i="32"/>
  <c r="G200" i="32"/>
  <c r="H200" i="32"/>
  <c r="I200" i="32"/>
  <c r="J200" i="32"/>
  <c r="K200" i="32"/>
  <c r="L200" i="32"/>
  <c r="M200" i="32"/>
  <c r="N200" i="32"/>
  <c r="O200" i="32"/>
  <c r="P200" i="32"/>
  <c r="Q200" i="32"/>
  <c r="R200" i="32"/>
  <c r="S200" i="32"/>
  <c r="T200" i="32"/>
  <c r="AU177" i="32" s="1"/>
  <c r="U200" i="32"/>
  <c r="V200" i="32"/>
  <c r="W200" i="32"/>
  <c r="X200" i="32"/>
  <c r="Y200" i="32"/>
  <c r="Z200" i="32"/>
  <c r="BA177" i="32" s="1"/>
  <c r="B203" i="32"/>
  <c r="B202" i="32"/>
  <c r="B201" i="32"/>
  <c r="AC179" i="32" s="1"/>
  <c r="B200" i="32"/>
  <c r="AC177" i="32" s="1"/>
  <c r="Z199" i="32"/>
  <c r="BA176" i="32" s="1"/>
  <c r="F438" i="32" s="1"/>
  <c r="Z188" i="32"/>
  <c r="Z189" i="32"/>
  <c r="Z190" i="32"/>
  <c r="Z191" i="32"/>
  <c r="Z192" i="32"/>
  <c r="Z193" i="32"/>
  <c r="Z194" i="32"/>
  <c r="Z195" i="32"/>
  <c r="Z196" i="32"/>
  <c r="Z197" i="32"/>
  <c r="Z198" i="32"/>
  <c r="Z187" i="32"/>
  <c r="B186" i="32"/>
  <c r="B185" i="32"/>
  <c r="AC174" i="32" s="1"/>
  <c r="F436" i="32" s="1"/>
  <c r="B174" i="32"/>
  <c r="B175" i="32"/>
  <c r="B176" i="32"/>
  <c r="B177" i="32"/>
  <c r="B178" i="32"/>
  <c r="B179" i="32"/>
  <c r="B180" i="32"/>
  <c r="B181" i="32"/>
  <c r="B182" i="32"/>
  <c r="B183" i="32"/>
  <c r="B184" i="32"/>
  <c r="B173" i="32"/>
  <c r="C162" i="32"/>
  <c r="D162" i="32"/>
  <c r="E162" i="32"/>
  <c r="F162" i="32"/>
  <c r="G162" i="32"/>
  <c r="H162" i="32"/>
  <c r="I162" i="32"/>
  <c r="J162" i="32"/>
  <c r="K162" i="32"/>
  <c r="L162" i="32"/>
  <c r="M162" i="32"/>
  <c r="N162" i="32"/>
  <c r="O162" i="32"/>
  <c r="P162" i="32"/>
  <c r="Q162" i="32"/>
  <c r="R162" i="32"/>
  <c r="S162" i="32"/>
  <c r="T162" i="32"/>
  <c r="U162" i="32"/>
  <c r="V162" i="32"/>
  <c r="W162" i="32"/>
  <c r="X162" i="32"/>
  <c r="Y162" i="32"/>
  <c r="Z162" i="32"/>
  <c r="C161" i="32"/>
  <c r="D161" i="32"/>
  <c r="E161" i="32"/>
  <c r="F161" i="32"/>
  <c r="G161" i="32"/>
  <c r="H161" i="32"/>
  <c r="I161" i="32"/>
  <c r="J161" i="32"/>
  <c r="K161" i="32"/>
  <c r="L161" i="32"/>
  <c r="M161" i="32"/>
  <c r="N161" i="32"/>
  <c r="O161" i="32"/>
  <c r="P161" i="32"/>
  <c r="Q161" i="32"/>
  <c r="R161" i="32"/>
  <c r="S161" i="32"/>
  <c r="T161" i="32"/>
  <c r="U161" i="32"/>
  <c r="V161" i="32"/>
  <c r="W161" i="32"/>
  <c r="X161" i="32"/>
  <c r="Y161" i="32"/>
  <c r="Z161" i="32"/>
  <c r="C160" i="32"/>
  <c r="AD138" i="32" s="1"/>
  <c r="D160" i="32"/>
  <c r="AE138" i="32" s="1"/>
  <c r="E160" i="32"/>
  <c r="AF138" i="32" s="1"/>
  <c r="F160" i="32"/>
  <c r="AG138" i="32" s="1"/>
  <c r="G160" i="32"/>
  <c r="AH138" i="32" s="1"/>
  <c r="H160" i="32"/>
  <c r="I160" i="32"/>
  <c r="J160" i="32"/>
  <c r="AK138" i="32" s="1"/>
  <c r="K160" i="32"/>
  <c r="AL138" i="32" s="1"/>
  <c r="L160" i="32"/>
  <c r="AM138" i="32" s="1"/>
  <c r="M160" i="32"/>
  <c r="AN138" i="32" s="1"/>
  <c r="N160" i="32"/>
  <c r="O160" i="32"/>
  <c r="AP138" i="32" s="1"/>
  <c r="P160" i="32"/>
  <c r="AQ138" i="32" s="1"/>
  <c r="Q160" i="32"/>
  <c r="R160" i="32"/>
  <c r="AS138" i="32" s="1"/>
  <c r="S160" i="32"/>
  <c r="AT138" i="32" s="1"/>
  <c r="T160" i="32"/>
  <c r="AU138" i="32" s="1"/>
  <c r="U160" i="32"/>
  <c r="AV138" i="32" s="1"/>
  <c r="V160" i="32"/>
  <c r="AW138" i="32" s="1"/>
  <c r="W160" i="32"/>
  <c r="AX138" i="32" s="1"/>
  <c r="X160" i="32"/>
  <c r="Y160" i="32"/>
  <c r="Z160" i="32"/>
  <c r="BA138" i="32" s="1"/>
  <c r="C159" i="32"/>
  <c r="D159" i="32"/>
  <c r="E159" i="32"/>
  <c r="F159" i="32"/>
  <c r="G159" i="32"/>
  <c r="H159" i="32"/>
  <c r="I159" i="32"/>
  <c r="J159" i="32"/>
  <c r="K159" i="32"/>
  <c r="AL136" i="32" s="1"/>
  <c r="L159" i="32"/>
  <c r="M159" i="32"/>
  <c r="N159" i="32"/>
  <c r="O159" i="32"/>
  <c r="P159" i="32"/>
  <c r="Q159" i="32"/>
  <c r="AR136" i="32" s="1"/>
  <c r="R159" i="32"/>
  <c r="S159" i="32"/>
  <c r="T159" i="32"/>
  <c r="U159" i="32"/>
  <c r="V159" i="32"/>
  <c r="W159" i="32"/>
  <c r="X159" i="32"/>
  <c r="Y159" i="32"/>
  <c r="Z159" i="32"/>
  <c r="BA136" i="32" s="1"/>
  <c r="B162" i="32"/>
  <c r="AC137" i="32" s="1"/>
  <c r="B161" i="32"/>
  <c r="B160" i="32"/>
  <c r="AC138" i="32" s="1"/>
  <c r="B159" i="32"/>
  <c r="AC136" i="32" s="1"/>
  <c r="Z158" i="32"/>
  <c r="BA135" i="32" s="1"/>
  <c r="E438" i="32" s="1"/>
  <c r="Z147" i="32"/>
  <c r="Z148" i="32"/>
  <c r="Z149" i="32"/>
  <c r="Z150" i="32"/>
  <c r="Z151" i="32"/>
  <c r="Z152" i="32"/>
  <c r="Z153" i="32"/>
  <c r="Z154" i="32"/>
  <c r="Z155" i="32"/>
  <c r="Z156" i="32"/>
  <c r="Z157" i="32"/>
  <c r="Z146" i="32"/>
  <c r="B145" i="32"/>
  <c r="B144" i="32"/>
  <c r="AC133" i="32" s="1"/>
  <c r="E436" i="32" s="1"/>
  <c r="B133" i="32"/>
  <c r="B134" i="32"/>
  <c r="B135" i="32"/>
  <c r="B136" i="32"/>
  <c r="B137" i="32"/>
  <c r="B138" i="32"/>
  <c r="B139" i="32"/>
  <c r="B140" i="32"/>
  <c r="B141" i="32"/>
  <c r="B142" i="32"/>
  <c r="B143" i="32"/>
  <c r="B132" i="32"/>
  <c r="AR219" i="32"/>
  <c r="AJ219" i="32"/>
  <c r="AX219" i="32"/>
  <c r="AP219" i="32"/>
  <c r="AH219" i="32"/>
  <c r="Y245" i="32"/>
  <c r="Q245" i="32"/>
  <c r="AO218" i="32"/>
  <c r="I245" i="32"/>
  <c r="AF218" i="32"/>
  <c r="BA217" i="32"/>
  <c r="G438" i="32" s="1"/>
  <c r="AT220" i="32"/>
  <c r="AR220" i="32"/>
  <c r="AJ220" i="32"/>
  <c r="AE220" i="32"/>
  <c r="AC218" i="32"/>
  <c r="AY179" i="32"/>
  <c r="AQ179" i="32"/>
  <c r="AI179" i="32"/>
  <c r="AX177" i="32"/>
  <c r="AO177" i="32"/>
  <c r="AI177" i="32"/>
  <c r="AZ138" i="32"/>
  <c r="AR138" i="32"/>
  <c r="AJ138" i="32"/>
  <c r="AX136" i="32"/>
  <c r="AU136" i="32"/>
  <c r="AO136" i="32"/>
  <c r="AI136" i="32"/>
  <c r="AH219" i="8"/>
  <c r="C243" i="8"/>
  <c r="D243" i="8"/>
  <c r="E243" i="8"/>
  <c r="F243" i="8"/>
  <c r="G243" i="8"/>
  <c r="H243" i="8"/>
  <c r="I243" i="8"/>
  <c r="J243" i="8"/>
  <c r="K243" i="8"/>
  <c r="L243" i="8"/>
  <c r="M243" i="8"/>
  <c r="N243" i="8"/>
  <c r="O243" i="8"/>
  <c r="AP219" i="8" s="1"/>
  <c r="P243" i="8"/>
  <c r="Q243" i="8"/>
  <c r="R243" i="8"/>
  <c r="S243" i="8"/>
  <c r="T243" i="8"/>
  <c r="U243" i="8"/>
  <c r="V243" i="8"/>
  <c r="W243" i="8"/>
  <c r="AX219" i="8" s="1"/>
  <c r="X243" i="8"/>
  <c r="Y243" i="8"/>
  <c r="Z243" i="8"/>
  <c r="C242" i="8"/>
  <c r="D242" i="8"/>
  <c r="E242" i="8"/>
  <c r="AF220" i="8" s="1"/>
  <c r="F242" i="8"/>
  <c r="G242" i="8"/>
  <c r="AH220" i="8" s="1"/>
  <c r="H242" i="8"/>
  <c r="I242" i="8"/>
  <c r="J242" i="8"/>
  <c r="AK220" i="8" s="1"/>
  <c r="K242" i="8"/>
  <c r="L242" i="8"/>
  <c r="M242" i="8"/>
  <c r="AN220" i="8" s="1"/>
  <c r="N242" i="8"/>
  <c r="O242" i="8"/>
  <c r="AP220" i="8" s="1"/>
  <c r="P242" i="8"/>
  <c r="Q242" i="8"/>
  <c r="R242" i="8"/>
  <c r="AS220" i="8" s="1"/>
  <c r="S242" i="8"/>
  <c r="T242" i="8"/>
  <c r="U242" i="8"/>
  <c r="AV220" i="8" s="1"/>
  <c r="V242" i="8"/>
  <c r="W242" i="8"/>
  <c r="AX220" i="8" s="1"/>
  <c r="X242" i="8"/>
  <c r="Y242" i="8"/>
  <c r="Z242" i="8"/>
  <c r="BA220" i="8" s="1"/>
  <c r="B243" i="8"/>
  <c r="B242" i="8"/>
  <c r="AC220" i="8" s="1"/>
  <c r="C241" i="8"/>
  <c r="D241" i="8"/>
  <c r="E241" i="8"/>
  <c r="F241" i="8"/>
  <c r="G241" i="8"/>
  <c r="H241" i="8"/>
  <c r="AI218" i="8" s="1"/>
  <c r="I241" i="8"/>
  <c r="J241" i="8"/>
  <c r="K241" i="8"/>
  <c r="L241" i="8"/>
  <c r="M241" i="8"/>
  <c r="N241" i="8"/>
  <c r="O241" i="8"/>
  <c r="P241" i="8"/>
  <c r="Q241" i="8"/>
  <c r="R241" i="8"/>
  <c r="S241" i="8"/>
  <c r="T241" i="8"/>
  <c r="AU218" i="8" s="1"/>
  <c r="U241" i="8"/>
  <c r="V241" i="8"/>
  <c r="W241" i="8"/>
  <c r="AX218" i="8" s="1"/>
  <c r="X241" i="8"/>
  <c r="Y241" i="8"/>
  <c r="Z241" i="8"/>
  <c r="BA218" i="8" s="1"/>
  <c r="B241" i="8"/>
  <c r="AC218" i="8" s="1"/>
  <c r="Z229" i="8"/>
  <c r="Z230" i="8"/>
  <c r="Z231" i="8"/>
  <c r="Z232" i="8"/>
  <c r="Z233" i="8"/>
  <c r="Z234" i="8"/>
  <c r="Z235" i="8"/>
  <c r="Z236" i="8"/>
  <c r="Z237" i="8"/>
  <c r="Z238" i="8"/>
  <c r="Z239" i="8"/>
  <c r="Z228" i="8"/>
  <c r="BA217" i="8"/>
  <c r="G438" i="8" s="1"/>
  <c r="B227" i="8"/>
  <c r="B226" i="8"/>
  <c r="AC215" i="8" s="1"/>
  <c r="G436" i="8" s="1"/>
  <c r="B215" i="8"/>
  <c r="B216" i="8"/>
  <c r="B217" i="8"/>
  <c r="B218" i="8"/>
  <c r="B219" i="8"/>
  <c r="B220" i="8"/>
  <c r="B221" i="8"/>
  <c r="B222" i="8"/>
  <c r="B223" i="8"/>
  <c r="B224" i="8"/>
  <c r="B225" i="8"/>
  <c r="B214" i="8"/>
  <c r="AW178" i="8"/>
  <c r="AX178" i="8"/>
  <c r="AY178" i="8"/>
  <c r="AZ178" i="8"/>
  <c r="BA178" i="8"/>
  <c r="C202" i="8"/>
  <c r="D202" i="8"/>
  <c r="E202" i="8"/>
  <c r="F202" i="8"/>
  <c r="G202" i="8"/>
  <c r="H202" i="8"/>
  <c r="I202" i="8"/>
  <c r="J202" i="8"/>
  <c r="K202" i="8"/>
  <c r="L202" i="8"/>
  <c r="M202" i="8"/>
  <c r="N202" i="8"/>
  <c r="O202" i="8"/>
  <c r="P202" i="8"/>
  <c r="Q202" i="8"/>
  <c r="R202" i="8"/>
  <c r="S202" i="8"/>
  <c r="T202" i="8"/>
  <c r="U202" i="8"/>
  <c r="V202" i="8"/>
  <c r="W202" i="8"/>
  <c r="X202" i="8"/>
  <c r="Y202" i="8"/>
  <c r="Z202" i="8"/>
  <c r="B202" i="8"/>
  <c r="C201" i="8"/>
  <c r="AD179" i="8" s="1"/>
  <c r="D201" i="8"/>
  <c r="AE179" i="8" s="1"/>
  <c r="E201" i="8"/>
  <c r="F201" i="8"/>
  <c r="AG179" i="8" s="1"/>
  <c r="G201" i="8"/>
  <c r="AH179" i="8" s="1"/>
  <c r="H201" i="8"/>
  <c r="AI179" i="8" s="1"/>
  <c r="I201" i="8"/>
  <c r="AJ179" i="8" s="1"/>
  <c r="J201" i="8"/>
  <c r="K201" i="8"/>
  <c r="AL179" i="8" s="1"/>
  <c r="L201" i="8"/>
  <c r="AM179" i="8" s="1"/>
  <c r="M201" i="8"/>
  <c r="N201" i="8"/>
  <c r="AO179" i="8" s="1"/>
  <c r="O201" i="8"/>
  <c r="P201" i="8"/>
  <c r="AQ179" i="8" s="1"/>
  <c r="Q201" i="8"/>
  <c r="AR179" i="8" s="1"/>
  <c r="R201" i="8"/>
  <c r="AS179" i="8" s="1"/>
  <c r="S201" i="8"/>
  <c r="AT179" i="8" s="1"/>
  <c r="T201" i="8"/>
  <c r="AU179" i="8" s="1"/>
  <c r="U201" i="8"/>
  <c r="V201" i="8"/>
  <c r="AW179" i="8" s="1"/>
  <c r="W201" i="8"/>
  <c r="X201" i="8"/>
  <c r="AY179" i="8" s="1"/>
  <c r="Y201" i="8"/>
  <c r="Z201" i="8"/>
  <c r="BA179" i="8" s="1"/>
  <c r="B201" i="8"/>
  <c r="AC179" i="8" s="1"/>
  <c r="C200" i="8"/>
  <c r="D200" i="8"/>
  <c r="E200" i="8"/>
  <c r="AF177" i="8" s="1"/>
  <c r="F200" i="8"/>
  <c r="G200" i="8"/>
  <c r="H200" i="8"/>
  <c r="I200" i="8"/>
  <c r="J200" i="8"/>
  <c r="K200" i="8"/>
  <c r="L200" i="8"/>
  <c r="M200" i="8"/>
  <c r="N200" i="8"/>
  <c r="O200" i="8"/>
  <c r="P200" i="8"/>
  <c r="Q200" i="8"/>
  <c r="R200" i="8"/>
  <c r="S200" i="8"/>
  <c r="T200" i="8"/>
  <c r="U200" i="8"/>
  <c r="V200" i="8"/>
  <c r="W200" i="8"/>
  <c r="AX177" i="8" s="1"/>
  <c r="X200" i="8"/>
  <c r="Y200" i="8"/>
  <c r="Z200" i="8"/>
  <c r="BA177" i="8" s="1"/>
  <c r="B200" i="8"/>
  <c r="AC177" i="8" s="1"/>
  <c r="Z199" i="8"/>
  <c r="BA176" i="8" s="1"/>
  <c r="F438" i="8" s="1"/>
  <c r="Z188" i="8"/>
  <c r="Z189" i="8"/>
  <c r="Z190" i="8"/>
  <c r="Z191" i="8"/>
  <c r="Z192" i="8"/>
  <c r="Z193" i="8"/>
  <c r="Z194" i="8"/>
  <c r="Z195" i="8"/>
  <c r="Z196" i="8"/>
  <c r="Z197" i="8"/>
  <c r="Z198" i="8"/>
  <c r="Z187" i="8"/>
  <c r="B186" i="8"/>
  <c r="B185" i="8"/>
  <c r="AC174" i="8" s="1"/>
  <c r="F436" i="8" s="1"/>
  <c r="B174" i="8"/>
  <c r="B175" i="8"/>
  <c r="B176" i="8"/>
  <c r="B177" i="8"/>
  <c r="B178" i="8"/>
  <c r="B179" i="8"/>
  <c r="B180" i="8"/>
  <c r="B181" i="8"/>
  <c r="B182" i="8"/>
  <c r="B183" i="8"/>
  <c r="B184" i="8"/>
  <c r="B173" i="8"/>
  <c r="C160" i="8"/>
  <c r="AD138" i="8" s="1"/>
  <c r="D160" i="8"/>
  <c r="AE138" i="8" s="1"/>
  <c r="E160" i="8"/>
  <c r="AF138" i="8" s="1"/>
  <c r="F160" i="8"/>
  <c r="AG138" i="8" s="1"/>
  <c r="G160" i="8"/>
  <c r="AH138" i="8" s="1"/>
  <c r="H160" i="8"/>
  <c r="AI138" i="8" s="1"/>
  <c r="I160" i="8"/>
  <c r="J160" i="8"/>
  <c r="AK138" i="8" s="1"/>
  <c r="K160" i="8"/>
  <c r="AL138" i="8" s="1"/>
  <c r="L160" i="8"/>
  <c r="AM138" i="8" s="1"/>
  <c r="M160" i="8"/>
  <c r="AN138" i="8" s="1"/>
  <c r="N160" i="8"/>
  <c r="AO138" i="8" s="1"/>
  <c r="O160" i="8"/>
  <c r="AP138" i="8" s="1"/>
  <c r="P160" i="8"/>
  <c r="AQ138" i="8" s="1"/>
  <c r="Q160" i="8"/>
  <c r="AR138" i="8" s="1"/>
  <c r="R160" i="8"/>
  <c r="AS138" i="8" s="1"/>
  <c r="S160" i="8"/>
  <c r="AT138" i="8" s="1"/>
  <c r="T160" i="8"/>
  <c r="U160" i="8"/>
  <c r="AV138" i="8" s="1"/>
  <c r="V160" i="8"/>
  <c r="AW138" i="8" s="1"/>
  <c r="W160" i="8"/>
  <c r="AX138" i="8" s="1"/>
  <c r="X160" i="8"/>
  <c r="AY138" i="8" s="1"/>
  <c r="Y160" i="8"/>
  <c r="AZ138" i="8" s="1"/>
  <c r="Z160" i="8"/>
  <c r="BA138" i="8" s="1"/>
  <c r="C161" i="8"/>
  <c r="D161" i="8"/>
  <c r="E161" i="8"/>
  <c r="F161" i="8"/>
  <c r="G161" i="8"/>
  <c r="H161" i="8"/>
  <c r="I161" i="8"/>
  <c r="J161" i="8"/>
  <c r="K161" i="8"/>
  <c r="L161" i="8"/>
  <c r="M161" i="8"/>
  <c r="N161" i="8"/>
  <c r="O161" i="8"/>
  <c r="P161" i="8"/>
  <c r="Q161" i="8"/>
  <c r="R161" i="8"/>
  <c r="S161" i="8"/>
  <c r="T161" i="8"/>
  <c r="U161" i="8"/>
  <c r="V161" i="8"/>
  <c r="W161" i="8"/>
  <c r="X161" i="8"/>
  <c r="Y161" i="8"/>
  <c r="Z161" i="8"/>
  <c r="B161" i="8"/>
  <c r="B160" i="8"/>
  <c r="AC138" i="8" s="1"/>
  <c r="C159" i="8"/>
  <c r="D159" i="8"/>
  <c r="E159" i="8"/>
  <c r="F159" i="8"/>
  <c r="G159" i="8"/>
  <c r="H159" i="8"/>
  <c r="AI136" i="8" s="1"/>
  <c r="I159" i="8"/>
  <c r="J159" i="8"/>
  <c r="K159" i="8"/>
  <c r="AL136" i="8" s="1"/>
  <c r="L159" i="8"/>
  <c r="M159" i="8"/>
  <c r="N159" i="8"/>
  <c r="AO136" i="8" s="1"/>
  <c r="O159" i="8"/>
  <c r="P159" i="8"/>
  <c r="Q159" i="8"/>
  <c r="R159" i="8"/>
  <c r="S159" i="8"/>
  <c r="T159" i="8"/>
  <c r="U159" i="8"/>
  <c r="V159" i="8"/>
  <c r="W159" i="8"/>
  <c r="X159" i="8"/>
  <c r="Y159" i="8"/>
  <c r="Z159" i="8"/>
  <c r="BA136" i="8" s="1"/>
  <c r="B159" i="8"/>
  <c r="AC136" i="8" s="1"/>
  <c r="Z158" i="8"/>
  <c r="BA135" i="8" s="1"/>
  <c r="E438" i="8" s="1"/>
  <c r="Z147" i="8"/>
  <c r="Z148" i="8"/>
  <c r="Z149" i="8"/>
  <c r="Z150" i="8"/>
  <c r="Z151" i="8"/>
  <c r="Z152" i="8"/>
  <c r="Z153" i="8"/>
  <c r="Z154" i="8"/>
  <c r="Z155" i="8"/>
  <c r="Z156" i="8"/>
  <c r="Z157" i="8"/>
  <c r="Z146" i="8"/>
  <c r="B145" i="8"/>
  <c r="B144" i="8"/>
  <c r="AC133" i="8" s="1"/>
  <c r="E436" i="8" s="1"/>
  <c r="B133" i="8"/>
  <c r="B134" i="8"/>
  <c r="B135" i="8"/>
  <c r="B136" i="8"/>
  <c r="B137" i="8"/>
  <c r="B138" i="8"/>
  <c r="B139" i="8"/>
  <c r="B140" i="8"/>
  <c r="B141" i="8"/>
  <c r="B142" i="8"/>
  <c r="B143" i="8"/>
  <c r="B132" i="8"/>
  <c r="AC208" i="8"/>
  <c r="AC209" i="8" s="1"/>
  <c r="AC167" i="8"/>
  <c r="AC168" i="8" s="1"/>
  <c r="AC126" i="8"/>
  <c r="AC127" i="8" s="1"/>
  <c r="AO219" i="8"/>
  <c r="AG219" i="8"/>
  <c r="AW220" i="8"/>
  <c r="AU220" i="8"/>
  <c r="AT220" i="8"/>
  <c r="AO220" i="8"/>
  <c r="AM220" i="8"/>
  <c r="AL220" i="8"/>
  <c r="AG220" i="8"/>
  <c r="AE220" i="8"/>
  <c r="AD220" i="8"/>
  <c r="AO218" i="8"/>
  <c r="AZ220" i="8"/>
  <c r="AR220" i="8"/>
  <c r="AJ220" i="8"/>
  <c r="AC219" i="8"/>
  <c r="AZ179" i="8"/>
  <c r="AX179" i="8"/>
  <c r="AV179" i="8"/>
  <c r="AP179" i="8"/>
  <c r="AN179" i="8"/>
  <c r="AK179" i="8"/>
  <c r="AF179" i="8"/>
  <c r="AU177" i="8"/>
  <c r="AO177" i="8"/>
  <c r="AI177" i="8"/>
  <c r="AJ138" i="8"/>
  <c r="AF136" i="8"/>
  <c r="AU136" i="8"/>
  <c r="B160" i="7"/>
  <c r="C244" i="7"/>
  <c r="D244" i="7"/>
  <c r="E244" i="7"/>
  <c r="F244" i="7"/>
  <c r="G244" i="7"/>
  <c r="H244" i="7"/>
  <c r="I244" i="7"/>
  <c r="J244" i="7"/>
  <c r="K244" i="7"/>
  <c r="L244" i="7"/>
  <c r="M244" i="7"/>
  <c r="N244" i="7"/>
  <c r="O244" i="7"/>
  <c r="P244" i="7"/>
  <c r="Q244" i="7"/>
  <c r="R244" i="7"/>
  <c r="S244" i="7"/>
  <c r="T244" i="7"/>
  <c r="U244" i="7"/>
  <c r="V244" i="7"/>
  <c r="W244" i="7"/>
  <c r="X244" i="7"/>
  <c r="Y244" i="7"/>
  <c r="Z244" i="7"/>
  <c r="B244" i="7"/>
  <c r="C243" i="7"/>
  <c r="D243" i="7"/>
  <c r="E243" i="7"/>
  <c r="F243" i="7"/>
  <c r="G243" i="7"/>
  <c r="H243" i="7"/>
  <c r="I243" i="7"/>
  <c r="J243" i="7"/>
  <c r="K243" i="7"/>
  <c r="L243" i="7"/>
  <c r="M243" i="7"/>
  <c r="N243" i="7"/>
  <c r="O243" i="7"/>
  <c r="P243" i="7"/>
  <c r="Q243" i="7"/>
  <c r="R243" i="7"/>
  <c r="S243" i="7"/>
  <c r="T243" i="7"/>
  <c r="U243" i="7"/>
  <c r="V243" i="7"/>
  <c r="W243" i="7"/>
  <c r="X243" i="7"/>
  <c r="Y243" i="7"/>
  <c r="Z243" i="7"/>
  <c r="B243" i="7"/>
  <c r="C242" i="7"/>
  <c r="D242" i="7"/>
  <c r="E242" i="7"/>
  <c r="F242" i="7"/>
  <c r="G242" i="7"/>
  <c r="H242" i="7"/>
  <c r="I242" i="7"/>
  <c r="J242" i="7"/>
  <c r="K242" i="7"/>
  <c r="L242" i="7"/>
  <c r="M242" i="7"/>
  <c r="N242" i="7"/>
  <c r="O242" i="7"/>
  <c r="P242" i="7"/>
  <c r="Q242" i="7"/>
  <c r="R242" i="7"/>
  <c r="S242" i="7"/>
  <c r="T242" i="7"/>
  <c r="U242" i="7"/>
  <c r="V242" i="7"/>
  <c r="W242" i="7"/>
  <c r="X242" i="7"/>
  <c r="Y242" i="7"/>
  <c r="Z242" i="7"/>
  <c r="B242" i="7"/>
  <c r="AC220" i="7" s="1"/>
  <c r="B226" i="7"/>
  <c r="C203" i="7"/>
  <c r="D203" i="7"/>
  <c r="E203" i="7"/>
  <c r="F203" i="7"/>
  <c r="G203" i="7"/>
  <c r="H203" i="7"/>
  <c r="I203" i="7"/>
  <c r="J203" i="7"/>
  <c r="K203" i="7"/>
  <c r="L203" i="7"/>
  <c r="M203" i="7"/>
  <c r="N203" i="7"/>
  <c r="O203" i="7"/>
  <c r="P203" i="7"/>
  <c r="Q203" i="7"/>
  <c r="R203" i="7"/>
  <c r="S203" i="7"/>
  <c r="T203" i="7"/>
  <c r="U203" i="7"/>
  <c r="V203" i="7"/>
  <c r="W203" i="7"/>
  <c r="X203" i="7"/>
  <c r="Y203" i="7"/>
  <c r="Z203" i="7"/>
  <c r="B203" i="7"/>
  <c r="B162" i="7"/>
  <c r="C202" i="7"/>
  <c r="D202" i="7"/>
  <c r="E202" i="7"/>
  <c r="F202" i="7"/>
  <c r="G202" i="7"/>
  <c r="H202" i="7"/>
  <c r="I202" i="7"/>
  <c r="J202" i="7"/>
  <c r="K202" i="7"/>
  <c r="L202" i="7"/>
  <c r="M202" i="7"/>
  <c r="N202" i="7"/>
  <c r="O202" i="7"/>
  <c r="P202" i="7"/>
  <c r="Q202" i="7"/>
  <c r="R202" i="7"/>
  <c r="S202" i="7"/>
  <c r="T202" i="7"/>
  <c r="U202" i="7"/>
  <c r="V202" i="7"/>
  <c r="W202" i="7"/>
  <c r="X202" i="7"/>
  <c r="Y202" i="7"/>
  <c r="Z202" i="7"/>
  <c r="B202" i="7"/>
  <c r="C201" i="7"/>
  <c r="D201" i="7"/>
  <c r="E201" i="7"/>
  <c r="F201" i="7"/>
  <c r="G201" i="7"/>
  <c r="H201" i="7"/>
  <c r="I201" i="7"/>
  <c r="J201" i="7"/>
  <c r="K201" i="7"/>
  <c r="L201" i="7"/>
  <c r="M201" i="7"/>
  <c r="N201" i="7"/>
  <c r="O201" i="7"/>
  <c r="P201" i="7"/>
  <c r="Q201" i="7"/>
  <c r="R201" i="7"/>
  <c r="S201" i="7"/>
  <c r="T201" i="7"/>
  <c r="U201" i="7"/>
  <c r="V201" i="7"/>
  <c r="W201" i="7"/>
  <c r="X201" i="7"/>
  <c r="Y201" i="7"/>
  <c r="Z201" i="7"/>
  <c r="B201" i="7"/>
  <c r="B186" i="7"/>
  <c r="C162" i="7"/>
  <c r="D162" i="7"/>
  <c r="E162" i="7"/>
  <c r="F162" i="7"/>
  <c r="G162" i="7"/>
  <c r="H162" i="7"/>
  <c r="I162" i="7"/>
  <c r="J162" i="7"/>
  <c r="K162" i="7"/>
  <c r="L162" i="7"/>
  <c r="M162" i="7"/>
  <c r="N162" i="7"/>
  <c r="O162" i="7"/>
  <c r="P162" i="7"/>
  <c r="Q162" i="7"/>
  <c r="R162" i="7"/>
  <c r="S162" i="7"/>
  <c r="T162" i="7"/>
  <c r="U162" i="7"/>
  <c r="V162" i="7"/>
  <c r="W162" i="7"/>
  <c r="X162" i="7"/>
  <c r="Y162" i="7"/>
  <c r="Z162" i="7"/>
  <c r="C161" i="7"/>
  <c r="D161" i="7"/>
  <c r="E161" i="7"/>
  <c r="F161" i="7"/>
  <c r="G161" i="7"/>
  <c r="H161" i="7"/>
  <c r="I161" i="7"/>
  <c r="J161" i="7"/>
  <c r="K161" i="7"/>
  <c r="L161" i="7"/>
  <c r="M161" i="7"/>
  <c r="N161" i="7"/>
  <c r="O161" i="7"/>
  <c r="P161" i="7"/>
  <c r="Q161" i="7"/>
  <c r="R161" i="7"/>
  <c r="S161" i="7"/>
  <c r="T161" i="7"/>
  <c r="U161" i="7"/>
  <c r="V161" i="7"/>
  <c r="W161" i="7"/>
  <c r="X161" i="7"/>
  <c r="Y161" i="7"/>
  <c r="Z161" i="7"/>
  <c r="B161" i="7"/>
  <c r="C160" i="7"/>
  <c r="D160" i="7"/>
  <c r="E160" i="7"/>
  <c r="F160" i="7"/>
  <c r="G160" i="7"/>
  <c r="H160" i="7"/>
  <c r="I160" i="7"/>
  <c r="J160" i="7"/>
  <c r="K160" i="7"/>
  <c r="L160" i="7"/>
  <c r="M160" i="7"/>
  <c r="N160" i="7"/>
  <c r="O160" i="7"/>
  <c r="P160" i="7"/>
  <c r="Q160" i="7"/>
  <c r="R160" i="7"/>
  <c r="S160" i="7"/>
  <c r="T160" i="7"/>
  <c r="U160" i="7"/>
  <c r="V160" i="7"/>
  <c r="W160" i="7"/>
  <c r="X160" i="7"/>
  <c r="Y160" i="7"/>
  <c r="Z160" i="7"/>
  <c r="C120" i="34"/>
  <c r="D120" i="34"/>
  <c r="E120" i="34"/>
  <c r="F120" i="34"/>
  <c r="G120" i="34"/>
  <c r="H120" i="34"/>
  <c r="I120" i="34"/>
  <c r="J120" i="34"/>
  <c r="K120" i="34"/>
  <c r="L120" i="34"/>
  <c r="M120" i="34"/>
  <c r="N120" i="34"/>
  <c r="O120" i="34"/>
  <c r="P120" i="34"/>
  <c r="Q120" i="34"/>
  <c r="R120" i="34"/>
  <c r="S120" i="34"/>
  <c r="T120" i="34"/>
  <c r="U120" i="34"/>
  <c r="V120" i="34"/>
  <c r="W120" i="34"/>
  <c r="X120" i="34"/>
  <c r="Y120" i="34"/>
  <c r="Z120" i="34"/>
  <c r="C119" i="34"/>
  <c r="D119" i="34"/>
  <c r="E119" i="34"/>
  <c r="F119" i="34"/>
  <c r="G119" i="34"/>
  <c r="H119" i="34"/>
  <c r="I119" i="34"/>
  <c r="J119" i="34"/>
  <c r="K119" i="34"/>
  <c r="L119" i="34"/>
  <c r="M119" i="34"/>
  <c r="N119" i="34"/>
  <c r="O119" i="34"/>
  <c r="P119" i="34"/>
  <c r="Q119" i="34"/>
  <c r="R119" i="34"/>
  <c r="S119" i="34"/>
  <c r="T119" i="34"/>
  <c r="U119" i="34"/>
  <c r="V119" i="34"/>
  <c r="W119" i="34"/>
  <c r="X119" i="34"/>
  <c r="Y119" i="34"/>
  <c r="Z119" i="34"/>
  <c r="C118" i="34"/>
  <c r="C423" i="34" s="1"/>
  <c r="D118" i="34"/>
  <c r="E118" i="34"/>
  <c r="E423" i="34" s="1"/>
  <c r="F118" i="34"/>
  <c r="G118" i="34"/>
  <c r="H118" i="34"/>
  <c r="H423" i="34" s="1"/>
  <c r="I118" i="34"/>
  <c r="J118" i="34"/>
  <c r="K118" i="34"/>
  <c r="K423" i="34" s="1"/>
  <c r="L118" i="34"/>
  <c r="M118" i="34"/>
  <c r="N118" i="34"/>
  <c r="N423" i="34" s="1"/>
  <c r="O118" i="34"/>
  <c r="P118" i="34"/>
  <c r="P423" i="34" s="1"/>
  <c r="Q118" i="34"/>
  <c r="R118" i="34"/>
  <c r="S118" i="34"/>
  <c r="S423" i="34" s="1"/>
  <c r="T118" i="34"/>
  <c r="U118" i="34"/>
  <c r="V118" i="34"/>
  <c r="W118" i="34"/>
  <c r="X118" i="34"/>
  <c r="X423" i="34" s="1"/>
  <c r="Y118" i="34"/>
  <c r="Z118" i="34"/>
  <c r="C117" i="34"/>
  <c r="D117" i="34"/>
  <c r="D121" i="34" s="1"/>
  <c r="E117" i="34"/>
  <c r="AF94" i="34" s="1"/>
  <c r="F117" i="34"/>
  <c r="G117" i="34"/>
  <c r="H117" i="34"/>
  <c r="AI94" i="34" s="1"/>
  <c r="I117" i="34"/>
  <c r="J117" i="34"/>
  <c r="K117" i="34"/>
  <c r="L117" i="34"/>
  <c r="L121" i="34" s="1"/>
  <c r="M117" i="34"/>
  <c r="M121" i="34" s="1"/>
  <c r="N117" i="34"/>
  <c r="AO94" i="34" s="1"/>
  <c r="O117" i="34"/>
  <c r="P117" i="34"/>
  <c r="Q117" i="34"/>
  <c r="R117" i="34"/>
  <c r="R121" i="34" s="1"/>
  <c r="S117" i="34"/>
  <c r="T117" i="34"/>
  <c r="U117" i="34"/>
  <c r="U121" i="34" s="1"/>
  <c r="V117" i="34"/>
  <c r="W117" i="34"/>
  <c r="AX94" i="34" s="1"/>
  <c r="X117" i="34"/>
  <c r="Y117" i="34"/>
  <c r="Z117" i="34"/>
  <c r="BA94" i="34" s="1"/>
  <c r="B120" i="34"/>
  <c r="B119" i="34"/>
  <c r="B118" i="34"/>
  <c r="B117" i="34"/>
  <c r="AC94" i="34" s="1"/>
  <c r="Z116" i="34"/>
  <c r="Z105" i="34"/>
  <c r="Z106" i="34"/>
  <c r="Z107" i="34"/>
  <c r="Z108" i="34"/>
  <c r="Z109" i="34"/>
  <c r="Z110" i="34"/>
  <c r="Z111" i="34"/>
  <c r="Z112" i="34"/>
  <c r="Z113" i="34"/>
  <c r="Z114" i="34"/>
  <c r="Z115" i="34"/>
  <c r="Z104" i="34"/>
  <c r="B103" i="34"/>
  <c r="B102" i="34"/>
  <c r="AC91" i="34" s="1"/>
  <c r="D436" i="34" s="1"/>
  <c r="D450" i="34" s="1"/>
  <c r="D468" i="34" s="1"/>
  <c r="D50" i="40" s="1"/>
  <c r="B91" i="34"/>
  <c r="B92" i="34"/>
  <c r="B93" i="34"/>
  <c r="B94" i="34"/>
  <c r="B95" i="34"/>
  <c r="B96" i="34"/>
  <c r="B97" i="34"/>
  <c r="B98" i="34"/>
  <c r="B99" i="34"/>
  <c r="B100" i="34"/>
  <c r="B101" i="34"/>
  <c r="B90" i="34"/>
  <c r="C80" i="34"/>
  <c r="D80" i="34"/>
  <c r="E80" i="34"/>
  <c r="F80" i="34"/>
  <c r="G80" i="34"/>
  <c r="H80" i="34"/>
  <c r="I80" i="34"/>
  <c r="J80" i="34"/>
  <c r="K80" i="34"/>
  <c r="L80" i="34"/>
  <c r="M80" i="34"/>
  <c r="N80" i="34"/>
  <c r="O80" i="34"/>
  <c r="P80" i="34"/>
  <c r="Q80" i="34"/>
  <c r="R80" i="34"/>
  <c r="S80" i="34"/>
  <c r="T80" i="34"/>
  <c r="U80" i="34"/>
  <c r="V80" i="34"/>
  <c r="W80" i="34"/>
  <c r="AX55" i="34" s="1"/>
  <c r="X80" i="34"/>
  <c r="Y80" i="34"/>
  <c r="Z80" i="34"/>
  <c r="C79" i="34"/>
  <c r="D79" i="34"/>
  <c r="E79" i="34"/>
  <c r="F79" i="34"/>
  <c r="G79" i="34"/>
  <c r="H79" i="34"/>
  <c r="I79" i="34"/>
  <c r="J79" i="34"/>
  <c r="K79" i="34"/>
  <c r="AL55" i="34" s="1"/>
  <c r="L79" i="34"/>
  <c r="M79" i="34"/>
  <c r="N79" i="34"/>
  <c r="O79" i="34"/>
  <c r="P79" i="34"/>
  <c r="AQ55" i="34" s="1"/>
  <c r="Q79" i="34"/>
  <c r="R79" i="34"/>
  <c r="S79" i="34"/>
  <c r="T79" i="34"/>
  <c r="U79" i="34"/>
  <c r="V79" i="34"/>
  <c r="W79" i="34"/>
  <c r="X79" i="34"/>
  <c r="Y79" i="34"/>
  <c r="Z79" i="34"/>
  <c r="C78" i="34"/>
  <c r="C362" i="34" s="1"/>
  <c r="D78" i="34"/>
  <c r="D362" i="34" s="1"/>
  <c r="E78" i="34"/>
  <c r="F78" i="34"/>
  <c r="G78" i="34"/>
  <c r="H78" i="34"/>
  <c r="I78" i="34"/>
  <c r="J78" i="34"/>
  <c r="K78" i="34"/>
  <c r="K362" i="34" s="1"/>
  <c r="L78" i="34"/>
  <c r="M78" i="34"/>
  <c r="N78" i="34"/>
  <c r="O78" i="34"/>
  <c r="P78" i="34"/>
  <c r="Q78" i="34"/>
  <c r="R78" i="34"/>
  <c r="S78" i="34"/>
  <c r="S362" i="34" s="1"/>
  <c r="T78" i="34"/>
  <c r="U78" i="34"/>
  <c r="V78" i="34"/>
  <c r="W78" i="34"/>
  <c r="W362" i="34" s="1"/>
  <c r="X78" i="34"/>
  <c r="Y78" i="34"/>
  <c r="Z78" i="34"/>
  <c r="C77" i="34"/>
  <c r="D77" i="34"/>
  <c r="D81" i="34" s="1"/>
  <c r="E77" i="34"/>
  <c r="E81" i="34" s="1"/>
  <c r="F77" i="34"/>
  <c r="F81" i="34" s="1"/>
  <c r="G77" i="34"/>
  <c r="H77" i="34"/>
  <c r="AI54" i="34" s="1"/>
  <c r="I77" i="34"/>
  <c r="I81" i="34" s="1"/>
  <c r="J77" i="34"/>
  <c r="K77" i="34"/>
  <c r="L77" i="34"/>
  <c r="M77" i="34"/>
  <c r="M81" i="34" s="1"/>
  <c r="N77" i="34"/>
  <c r="O77" i="34"/>
  <c r="O81" i="34" s="1"/>
  <c r="P77" i="34"/>
  <c r="Q77" i="34"/>
  <c r="R77" i="34"/>
  <c r="S77" i="34"/>
  <c r="T77" i="34"/>
  <c r="U77" i="34"/>
  <c r="V77" i="34"/>
  <c r="V81" i="34" s="1"/>
  <c r="W77" i="34"/>
  <c r="AX54" i="34" s="1"/>
  <c r="X77" i="34"/>
  <c r="Y77" i="34"/>
  <c r="Z77" i="34"/>
  <c r="BA54" i="34" s="1"/>
  <c r="B80" i="34"/>
  <c r="B79" i="34"/>
  <c r="AC55" i="34" s="1"/>
  <c r="B78" i="34"/>
  <c r="B77" i="34"/>
  <c r="AC54" i="34" s="1"/>
  <c r="Z76" i="34"/>
  <c r="Z65" i="34"/>
  <c r="Z66" i="34"/>
  <c r="Z67" i="34"/>
  <c r="Z68" i="34"/>
  <c r="Z69" i="34"/>
  <c r="Z70" i="34"/>
  <c r="Z71" i="34"/>
  <c r="Z72" i="34"/>
  <c r="Z73" i="34"/>
  <c r="Z74" i="34"/>
  <c r="Z75" i="34"/>
  <c r="Z64" i="34"/>
  <c r="B63" i="34"/>
  <c r="B347" i="34" s="1"/>
  <c r="AC334" i="34" s="1"/>
  <c r="I435" i="34" s="1"/>
  <c r="I449" i="34" s="1"/>
  <c r="I467" i="34" s="1"/>
  <c r="C55" i="40" s="1"/>
  <c r="B62" i="34"/>
  <c r="B51" i="34"/>
  <c r="B52" i="34"/>
  <c r="B53" i="34"/>
  <c r="B54" i="34"/>
  <c r="B55" i="34"/>
  <c r="B56" i="34"/>
  <c r="B57" i="34"/>
  <c r="B58" i="34"/>
  <c r="B59" i="34"/>
  <c r="B60" i="34"/>
  <c r="B61" i="34"/>
  <c r="B50" i="34"/>
  <c r="C40" i="34"/>
  <c r="D40" i="34"/>
  <c r="E40" i="34"/>
  <c r="F40" i="34"/>
  <c r="G40" i="34"/>
  <c r="H40" i="34"/>
  <c r="AI15" i="34" s="1"/>
  <c r="I40" i="34"/>
  <c r="J40" i="34"/>
  <c r="K40" i="34"/>
  <c r="L40" i="34"/>
  <c r="M40" i="34"/>
  <c r="N40" i="34"/>
  <c r="O40" i="34"/>
  <c r="P40" i="34"/>
  <c r="Q40" i="34"/>
  <c r="R40" i="34"/>
  <c r="S40" i="34"/>
  <c r="T40" i="34"/>
  <c r="U40" i="34"/>
  <c r="V40" i="34"/>
  <c r="W40" i="34"/>
  <c r="X40" i="34"/>
  <c r="Y40" i="34"/>
  <c r="Z40" i="34"/>
  <c r="C39" i="34"/>
  <c r="D39" i="34"/>
  <c r="E39" i="34"/>
  <c r="F39" i="34"/>
  <c r="G39" i="34"/>
  <c r="AH15" i="34" s="1"/>
  <c r="H39" i="34"/>
  <c r="I39" i="34"/>
  <c r="J39" i="34"/>
  <c r="AK15" i="34" s="1"/>
  <c r="K39" i="34"/>
  <c r="L39" i="34"/>
  <c r="M39" i="34"/>
  <c r="N39" i="34"/>
  <c r="O39" i="34"/>
  <c r="AP15" i="34" s="1"/>
  <c r="P39" i="34"/>
  <c r="Q39" i="34"/>
  <c r="R39" i="34"/>
  <c r="S39" i="34"/>
  <c r="T39" i="34"/>
  <c r="U39" i="34"/>
  <c r="V39" i="34"/>
  <c r="W39" i="34"/>
  <c r="AX15" i="34" s="1"/>
  <c r="X39" i="34"/>
  <c r="Y39" i="34"/>
  <c r="Z39" i="34"/>
  <c r="BA15" i="34" s="1"/>
  <c r="C38" i="34"/>
  <c r="D38" i="34"/>
  <c r="D302" i="34" s="1"/>
  <c r="E38" i="34"/>
  <c r="E302" i="34" s="1"/>
  <c r="F38" i="34"/>
  <c r="G38" i="34"/>
  <c r="G302" i="34" s="1"/>
  <c r="H38" i="34"/>
  <c r="I38" i="34"/>
  <c r="I302" i="34" s="1"/>
  <c r="J38" i="34"/>
  <c r="J302" i="34" s="1"/>
  <c r="K38" i="34"/>
  <c r="L38" i="34"/>
  <c r="L302" i="34" s="1"/>
  <c r="M38" i="34"/>
  <c r="N38" i="34"/>
  <c r="O38" i="34"/>
  <c r="P38" i="34"/>
  <c r="Q38" i="34"/>
  <c r="Q302" i="34" s="1"/>
  <c r="R38" i="34"/>
  <c r="S38" i="34"/>
  <c r="S302" i="34" s="1"/>
  <c r="T38" i="34"/>
  <c r="T302" i="34" s="1"/>
  <c r="U38" i="34"/>
  <c r="U302" i="34" s="1"/>
  <c r="V38" i="34"/>
  <c r="W38" i="34"/>
  <c r="X38" i="34"/>
  <c r="Y38" i="34"/>
  <c r="Y302" i="34" s="1"/>
  <c r="Z38" i="34"/>
  <c r="C37" i="34"/>
  <c r="C41" i="34" s="1"/>
  <c r="D37" i="34"/>
  <c r="E37" i="34"/>
  <c r="E41" i="34" s="1"/>
  <c r="F37" i="34"/>
  <c r="F41" i="34" s="1"/>
  <c r="G37" i="34"/>
  <c r="H37" i="34"/>
  <c r="H41" i="34" s="1"/>
  <c r="I37" i="34"/>
  <c r="J37" i="34"/>
  <c r="K37" i="34"/>
  <c r="AL14" i="34" s="1"/>
  <c r="L37" i="34"/>
  <c r="M37" i="34"/>
  <c r="M41" i="34" s="1"/>
  <c r="N37" i="34"/>
  <c r="N41" i="34" s="1"/>
  <c r="O37" i="34"/>
  <c r="P37" i="34"/>
  <c r="Q37" i="34"/>
  <c r="R37" i="34"/>
  <c r="S37" i="34"/>
  <c r="S41" i="34" s="1"/>
  <c r="T37" i="34"/>
  <c r="U37" i="34"/>
  <c r="U41" i="34" s="1"/>
  <c r="V37" i="34"/>
  <c r="V41" i="34" s="1"/>
  <c r="W37" i="34"/>
  <c r="X37" i="34"/>
  <c r="Y37" i="34"/>
  <c r="Z37" i="34"/>
  <c r="BA14" i="34" s="1"/>
  <c r="B40" i="34"/>
  <c r="B39" i="34"/>
  <c r="B38" i="34"/>
  <c r="B37" i="34"/>
  <c r="AC14" i="34" s="1"/>
  <c r="Z36" i="34"/>
  <c r="Z25" i="34"/>
  <c r="Z26" i="34"/>
  <c r="Z27" i="34"/>
  <c r="Z28" i="34"/>
  <c r="Z29" i="34"/>
  <c r="Z30" i="34"/>
  <c r="Z31" i="34"/>
  <c r="Z32" i="34"/>
  <c r="Z33" i="34"/>
  <c r="Z34" i="34"/>
  <c r="Z35" i="34"/>
  <c r="Z24" i="34"/>
  <c r="B23" i="34"/>
  <c r="B287" i="34" s="1"/>
  <c r="AC274" i="34" s="1"/>
  <c r="H435" i="34" s="1"/>
  <c r="H449" i="34" s="1"/>
  <c r="H467" i="34" s="1"/>
  <c r="C54" i="40" s="1"/>
  <c r="B22" i="34"/>
  <c r="B11" i="34"/>
  <c r="B12" i="34"/>
  <c r="B13" i="34"/>
  <c r="B14" i="34"/>
  <c r="B15" i="34"/>
  <c r="B16" i="34"/>
  <c r="B17" i="34"/>
  <c r="B18" i="34"/>
  <c r="B19" i="34"/>
  <c r="B20" i="34"/>
  <c r="B21" i="34"/>
  <c r="B10" i="34"/>
  <c r="B10" i="28"/>
  <c r="AY96" i="34"/>
  <c r="AI96" i="34"/>
  <c r="AL94" i="34"/>
  <c r="AT96" i="34"/>
  <c r="AO96" i="34"/>
  <c r="AL96" i="34"/>
  <c r="AF96" i="34"/>
  <c r="AD96" i="34"/>
  <c r="AC95" i="34"/>
  <c r="Q81" i="34"/>
  <c r="N81" i="34"/>
  <c r="AG55" i="34"/>
  <c r="AT55" i="34"/>
  <c r="AD55" i="34"/>
  <c r="Y81" i="34"/>
  <c r="AR54" i="34"/>
  <c r="AX56" i="34"/>
  <c r="AE56" i="34"/>
  <c r="AU55" i="34"/>
  <c r="AJ55" i="34"/>
  <c r="AU54" i="34"/>
  <c r="AO54" i="34"/>
  <c r="AL54" i="34"/>
  <c r="AV15" i="34"/>
  <c r="AN15" i="34"/>
  <c r="L41" i="34"/>
  <c r="AV16" i="34"/>
  <c r="AT16" i="34"/>
  <c r="AH16" i="34"/>
  <c r="AF16" i="34"/>
  <c r="AU15" i="34"/>
  <c r="AM15" i="34"/>
  <c r="AE15" i="34"/>
  <c r="AX14" i="34"/>
  <c r="AU14" i="34"/>
  <c r="AF14" i="34"/>
  <c r="AT97" i="34"/>
  <c r="C39" i="28"/>
  <c r="D39" i="28"/>
  <c r="E39" i="28"/>
  <c r="F39" i="28"/>
  <c r="G39" i="28"/>
  <c r="H39" i="28"/>
  <c r="I39" i="28"/>
  <c r="J39" i="28"/>
  <c r="K39" i="28"/>
  <c r="L39" i="28"/>
  <c r="M39" i="28"/>
  <c r="N39" i="28"/>
  <c r="O39" i="28"/>
  <c r="P39" i="28"/>
  <c r="Q39" i="28"/>
  <c r="R39" i="28"/>
  <c r="S39" i="28"/>
  <c r="T39" i="28"/>
  <c r="U39" i="28"/>
  <c r="V39" i="28"/>
  <c r="W39" i="28"/>
  <c r="X39" i="28"/>
  <c r="Y39" i="28"/>
  <c r="Z39" i="28"/>
  <c r="B39" i="28"/>
  <c r="C79" i="28"/>
  <c r="D79" i="28"/>
  <c r="E79" i="28"/>
  <c r="F79" i="28"/>
  <c r="G79" i="28"/>
  <c r="H79" i="28"/>
  <c r="I79" i="28"/>
  <c r="J79" i="28"/>
  <c r="K79" i="28"/>
  <c r="L79" i="28"/>
  <c r="M79" i="28"/>
  <c r="N79" i="28"/>
  <c r="O79" i="28"/>
  <c r="P79" i="28"/>
  <c r="Q79" i="28"/>
  <c r="R79" i="28"/>
  <c r="S79" i="28"/>
  <c r="T79" i="28"/>
  <c r="U79" i="28"/>
  <c r="V79" i="28"/>
  <c r="W79" i="28"/>
  <c r="X79" i="28"/>
  <c r="Y79" i="28"/>
  <c r="Z79" i="28"/>
  <c r="B79" i="28"/>
  <c r="C119" i="28"/>
  <c r="D119" i="28"/>
  <c r="E119" i="28"/>
  <c r="F119" i="28"/>
  <c r="G119" i="28"/>
  <c r="H119" i="28"/>
  <c r="I119" i="28"/>
  <c r="J119" i="28"/>
  <c r="K119" i="28"/>
  <c r="L119" i="28"/>
  <c r="M119" i="28"/>
  <c r="N119" i="28"/>
  <c r="O119" i="28"/>
  <c r="P119" i="28"/>
  <c r="Q119" i="28"/>
  <c r="R119" i="28"/>
  <c r="S119" i="28"/>
  <c r="T119" i="28"/>
  <c r="U119" i="28"/>
  <c r="V119" i="28"/>
  <c r="W119" i="28"/>
  <c r="X119" i="28"/>
  <c r="Y119" i="28"/>
  <c r="Z119" i="28"/>
  <c r="B119" i="28"/>
  <c r="B103" i="28"/>
  <c r="B408" i="28" s="1"/>
  <c r="AC395" i="28" s="1"/>
  <c r="J435" i="28" s="1"/>
  <c r="J449" i="28" s="1"/>
  <c r="J467" i="28" s="1"/>
  <c r="C14" i="40" s="1"/>
  <c r="B63" i="28"/>
  <c r="B347" i="28" s="1"/>
  <c r="AC334" i="28" s="1"/>
  <c r="I435" i="28" s="1"/>
  <c r="I449" i="28" s="1"/>
  <c r="I467" i="28" s="1"/>
  <c r="C13" i="40" s="1"/>
  <c r="B23" i="28"/>
  <c r="B287" i="28" s="1"/>
  <c r="AC274" i="28" s="1"/>
  <c r="H435" i="28" s="1"/>
  <c r="H449" i="28" s="1"/>
  <c r="H467" i="28" s="1"/>
  <c r="C12" i="40" s="1"/>
  <c r="C39" i="27"/>
  <c r="D39" i="27"/>
  <c r="E39" i="27"/>
  <c r="F39" i="27"/>
  <c r="G39" i="27"/>
  <c r="H39" i="27"/>
  <c r="I39" i="27"/>
  <c r="J39" i="27"/>
  <c r="K39" i="27"/>
  <c r="L39" i="27"/>
  <c r="M39" i="27"/>
  <c r="N39" i="27"/>
  <c r="O39" i="27"/>
  <c r="P39" i="27"/>
  <c r="Q39" i="27"/>
  <c r="R39" i="27"/>
  <c r="S39" i="27"/>
  <c r="T39" i="27"/>
  <c r="U39" i="27"/>
  <c r="V39" i="27"/>
  <c r="W39" i="27"/>
  <c r="X39" i="27"/>
  <c r="Y39" i="27"/>
  <c r="Z39" i="27"/>
  <c r="B39" i="27"/>
  <c r="C79" i="27"/>
  <c r="D79" i="27"/>
  <c r="E79" i="27"/>
  <c r="F79" i="27"/>
  <c r="G79" i="27"/>
  <c r="H79" i="27"/>
  <c r="I79" i="27"/>
  <c r="J79" i="27"/>
  <c r="K79" i="27"/>
  <c r="L79" i="27"/>
  <c r="M79" i="27"/>
  <c r="N79" i="27"/>
  <c r="O79" i="27"/>
  <c r="P79" i="27"/>
  <c r="Q79" i="27"/>
  <c r="R79" i="27"/>
  <c r="S79" i="27"/>
  <c r="T79" i="27"/>
  <c r="U79" i="27"/>
  <c r="V79" i="27"/>
  <c r="W79" i="27"/>
  <c r="X79" i="27"/>
  <c r="Y79" i="27"/>
  <c r="Z79" i="27"/>
  <c r="B79" i="27"/>
  <c r="C119" i="27"/>
  <c r="D119" i="27"/>
  <c r="E119" i="27"/>
  <c r="F119" i="27"/>
  <c r="G119" i="27"/>
  <c r="H119" i="27"/>
  <c r="I119" i="27"/>
  <c r="J119" i="27"/>
  <c r="K119" i="27"/>
  <c r="L119" i="27"/>
  <c r="M119" i="27"/>
  <c r="N119" i="27"/>
  <c r="O119" i="27"/>
  <c r="P119" i="27"/>
  <c r="Q119" i="27"/>
  <c r="R119" i="27"/>
  <c r="S119" i="27"/>
  <c r="T119" i="27"/>
  <c r="U119" i="27"/>
  <c r="V119" i="27"/>
  <c r="W119" i="27"/>
  <c r="X119" i="27"/>
  <c r="Y119" i="27"/>
  <c r="Z119" i="27"/>
  <c r="B119" i="27"/>
  <c r="B103" i="27"/>
  <c r="B408" i="27" s="1"/>
  <c r="AC395" i="27" s="1"/>
  <c r="J435" i="27" s="1"/>
  <c r="J449" i="27" s="1"/>
  <c r="J467" i="27" s="1"/>
  <c r="C28" i="40" s="1"/>
  <c r="B63" i="27"/>
  <c r="B347" i="27" s="1"/>
  <c r="AC334" i="27" s="1"/>
  <c r="I435" i="27" s="1"/>
  <c r="I449" i="27" s="1"/>
  <c r="I467" i="27" s="1"/>
  <c r="C27" i="40" s="1"/>
  <c r="B23" i="27"/>
  <c r="B287" i="27" s="1"/>
  <c r="AC274" i="27" s="1"/>
  <c r="H435" i="27" s="1"/>
  <c r="H449" i="27" s="1"/>
  <c r="H467" i="27" s="1"/>
  <c r="C26" i="40" s="1"/>
  <c r="C119" i="26"/>
  <c r="D119" i="26"/>
  <c r="E119" i="26"/>
  <c r="F119" i="26"/>
  <c r="G119" i="26"/>
  <c r="H119" i="26"/>
  <c r="I119" i="26"/>
  <c r="J119" i="26"/>
  <c r="K119" i="26"/>
  <c r="L119" i="26"/>
  <c r="M119" i="26"/>
  <c r="N119" i="26"/>
  <c r="O119" i="26"/>
  <c r="P119" i="26"/>
  <c r="Q119" i="26"/>
  <c r="R119" i="26"/>
  <c r="S119" i="26"/>
  <c r="T119" i="26"/>
  <c r="U119" i="26"/>
  <c r="V119" i="26"/>
  <c r="W119" i="26"/>
  <c r="X119" i="26"/>
  <c r="Y119" i="26"/>
  <c r="Z119" i="26"/>
  <c r="B119" i="26"/>
  <c r="C79" i="26"/>
  <c r="D79" i="26"/>
  <c r="E79" i="26"/>
  <c r="F79" i="26"/>
  <c r="G79" i="26"/>
  <c r="H79" i="26"/>
  <c r="I79" i="26"/>
  <c r="J79" i="26"/>
  <c r="K79" i="26"/>
  <c r="L79" i="26"/>
  <c r="M79" i="26"/>
  <c r="N79" i="26"/>
  <c r="O79" i="26"/>
  <c r="P79" i="26"/>
  <c r="Q79" i="26"/>
  <c r="R79" i="26"/>
  <c r="S79" i="26"/>
  <c r="T79" i="26"/>
  <c r="U79" i="26"/>
  <c r="V79" i="26"/>
  <c r="W79" i="26"/>
  <c r="X79" i="26"/>
  <c r="Y79" i="26"/>
  <c r="Z79" i="26"/>
  <c r="B79" i="26"/>
  <c r="B78" i="26"/>
  <c r="B362" i="26" s="1"/>
  <c r="AC341" i="26" s="1"/>
  <c r="C39" i="26"/>
  <c r="D39" i="26"/>
  <c r="E39" i="26"/>
  <c r="F39" i="26"/>
  <c r="G39" i="26"/>
  <c r="H39" i="26"/>
  <c r="I39" i="26"/>
  <c r="J39" i="26"/>
  <c r="K39" i="26"/>
  <c r="L39" i="26"/>
  <c r="M39" i="26"/>
  <c r="N39" i="26"/>
  <c r="O39" i="26"/>
  <c r="P39" i="26"/>
  <c r="Q39" i="26"/>
  <c r="R39" i="26"/>
  <c r="S39" i="26"/>
  <c r="T39" i="26"/>
  <c r="U39" i="26"/>
  <c r="V39" i="26"/>
  <c r="W39" i="26"/>
  <c r="X39" i="26"/>
  <c r="Y39" i="26"/>
  <c r="Z39" i="26"/>
  <c r="B39" i="26"/>
  <c r="B103" i="26"/>
  <c r="B63" i="26"/>
  <c r="B347" i="26" s="1"/>
  <c r="AC334" i="26" s="1"/>
  <c r="I435" i="26" s="1"/>
  <c r="I449" i="26" s="1"/>
  <c r="I467" i="26" s="1"/>
  <c r="C41" i="40" s="1"/>
  <c r="B62" i="26"/>
  <c r="B346" i="26" s="1"/>
  <c r="B23" i="26"/>
  <c r="B287" i="26" s="1"/>
  <c r="AC274" i="26" s="1"/>
  <c r="H435" i="26" s="1"/>
  <c r="H449" i="26" s="1"/>
  <c r="H467" i="26" s="1"/>
  <c r="C40" i="40" s="1"/>
  <c r="M245" i="26" l="1"/>
  <c r="H440" i="26"/>
  <c r="H454" i="26" s="1"/>
  <c r="H472" i="26" s="1"/>
  <c r="H40" i="40" s="1"/>
  <c r="Y245" i="26"/>
  <c r="J440" i="24"/>
  <c r="J454" i="24" s="1"/>
  <c r="J472" i="24" s="1"/>
  <c r="H14" i="39" s="1"/>
  <c r="K204" i="24"/>
  <c r="H440" i="8"/>
  <c r="J93" i="42" s="1"/>
  <c r="I163" i="27"/>
  <c r="Q163" i="27"/>
  <c r="Y163" i="27"/>
  <c r="P245" i="27"/>
  <c r="D163" i="27"/>
  <c r="G163" i="27"/>
  <c r="O163" i="27"/>
  <c r="W163" i="27"/>
  <c r="K245" i="27"/>
  <c r="S245" i="27"/>
  <c r="E163" i="34"/>
  <c r="M163" i="34"/>
  <c r="F204" i="34"/>
  <c r="V204" i="34"/>
  <c r="G245" i="34"/>
  <c r="W245" i="34"/>
  <c r="AG17" i="34"/>
  <c r="AW97" i="34"/>
  <c r="AW98" i="34" s="1"/>
  <c r="U81" i="34"/>
  <c r="AE16" i="34"/>
  <c r="D41" i="34"/>
  <c r="BA57" i="34"/>
  <c r="G439" i="34"/>
  <c r="G453" i="34" s="1"/>
  <c r="G471" i="34" s="1"/>
  <c r="G53" i="40" s="1"/>
  <c r="U163" i="34"/>
  <c r="O245" i="34"/>
  <c r="F163" i="34"/>
  <c r="J121" i="34"/>
  <c r="AM16" i="34"/>
  <c r="AD56" i="34"/>
  <c r="G163" i="34"/>
  <c r="O163" i="34"/>
  <c r="W163" i="34"/>
  <c r="H204" i="34"/>
  <c r="P204" i="34"/>
  <c r="X204" i="34"/>
  <c r="I245" i="34"/>
  <c r="Y245" i="34"/>
  <c r="C163" i="34"/>
  <c r="K163" i="34"/>
  <c r="S163" i="34"/>
  <c r="P163" i="34"/>
  <c r="X163" i="34"/>
  <c r="Y204" i="34"/>
  <c r="AS222" i="34"/>
  <c r="T41" i="34"/>
  <c r="AU16" i="34"/>
  <c r="AL56" i="34"/>
  <c r="AT56" i="34"/>
  <c r="AW222" i="34"/>
  <c r="F163" i="33"/>
  <c r="N163" i="33"/>
  <c r="G204" i="33"/>
  <c r="O204" i="33"/>
  <c r="H245" i="33"/>
  <c r="P245" i="33"/>
  <c r="X245" i="33"/>
  <c r="V163" i="33"/>
  <c r="H440" i="33"/>
  <c r="H454" i="33" s="1"/>
  <c r="H472" i="33" s="1"/>
  <c r="H54" i="39" s="1"/>
  <c r="AP138" i="23"/>
  <c r="L204" i="23"/>
  <c r="M163" i="23"/>
  <c r="D245" i="23"/>
  <c r="L245" i="23"/>
  <c r="T245" i="23"/>
  <c r="R163" i="23"/>
  <c r="I245" i="23"/>
  <c r="E163" i="24"/>
  <c r="M163" i="24"/>
  <c r="AW219" i="22"/>
  <c r="C163" i="22"/>
  <c r="P245" i="22"/>
  <c r="X245" i="22"/>
  <c r="AF178" i="33"/>
  <c r="AN178" i="33"/>
  <c r="AN181" i="33" s="1"/>
  <c r="AV178" i="33"/>
  <c r="AV181" i="33" s="1"/>
  <c r="AF179" i="22"/>
  <c r="R163" i="22"/>
  <c r="AC137" i="22"/>
  <c r="AS137" i="22"/>
  <c r="M204" i="22"/>
  <c r="U204" i="22"/>
  <c r="U163" i="24"/>
  <c r="AU220" i="32"/>
  <c r="I80" i="43"/>
  <c r="J245" i="32"/>
  <c r="I43" i="43"/>
  <c r="I440" i="32"/>
  <c r="K93" i="43" s="1"/>
  <c r="I440" i="9"/>
  <c r="T245" i="28"/>
  <c r="D245" i="28"/>
  <c r="P163" i="28"/>
  <c r="F245" i="28"/>
  <c r="AF178" i="28"/>
  <c r="AN178" i="28"/>
  <c r="H163" i="28"/>
  <c r="X163" i="28"/>
  <c r="Q204" i="28"/>
  <c r="Y204" i="28"/>
  <c r="J245" i="28"/>
  <c r="C245" i="28"/>
  <c r="U204" i="28"/>
  <c r="AE178" i="28"/>
  <c r="AU178" i="28"/>
  <c r="AF219" i="28"/>
  <c r="AV178" i="28"/>
  <c r="J440" i="28"/>
  <c r="J454" i="28" s="1"/>
  <c r="J472" i="28" s="1"/>
  <c r="H14" i="40" s="1"/>
  <c r="J440" i="33"/>
  <c r="J454" i="33" s="1"/>
  <c r="J472" i="33" s="1"/>
  <c r="H56" i="39" s="1"/>
  <c r="H204" i="33"/>
  <c r="AW140" i="33"/>
  <c r="I440" i="33"/>
  <c r="I454" i="33" s="1"/>
  <c r="I472" i="33" s="1"/>
  <c r="H55" i="39" s="1"/>
  <c r="P204" i="33"/>
  <c r="Q245" i="33"/>
  <c r="I204" i="33"/>
  <c r="C245" i="33"/>
  <c r="G163" i="33"/>
  <c r="X204" i="33"/>
  <c r="AZ222" i="33"/>
  <c r="P163" i="33"/>
  <c r="L163" i="33"/>
  <c r="AC137" i="33"/>
  <c r="AC140" i="33" s="1"/>
  <c r="AS137" i="33"/>
  <c r="AS140" i="33" s="1"/>
  <c r="AL178" i="33"/>
  <c r="AL181" i="33" s="1"/>
  <c r="AE219" i="33"/>
  <c r="AD220" i="33"/>
  <c r="AD222" i="33" s="1"/>
  <c r="M245" i="33"/>
  <c r="R245" i="33"/>
  <c r="AR219" i="33"/>
  <c r="Y245" i="33"/>
  <c r="AV219" i="32"/>
  <c r="AV220" i="32"/>
  <c r="AM220" i="32"/>
  <c r="K92" i="43"/>
  <c r="K104" i="43" s="1"/>
  <c r="K116" i="43" s="1"/>
  <c r="K245" i="32"/>
  <c r="I215" i="43"/>
  <c r="H440" i="32"/>
  <c r="J93" i="43" s="1"/>
  <c r="AM222" i="32"/>
  <c r="P245" i="28"/>
  <c r="I440" i="28"/>
  <c r="I454" i="28" s="1"/>
  <c r="I472" i="28" s="1"/>
  <c r="H13" i="40" s="1"/>
  <c r="H440" i="28"/>
  <c r="H454" i="28" s="1"/>
  <c r="H472" i="28" s="1"/>
  <c r="H12" i="40" s="1"/>
  <c r="AZ179" i="28"/>
  <c r="AK220" i="28"/>
  <c r="X204" i="28"/>
  <c r="G163" i="28"/>
  <c r="AE137" i="28"/>
  <c r="AM137" i="28"/>
  <c r="AU137" i="28"/>
  <c r="H204" i="28"/>
  <c r="I245" i="28"/>
  <c r="AY179" i="28"/>
  <c r="P204" i="28"/>
  <c r="Q245" i="28"/>
  <c r="AL137" i="28"/>
  <c r="O245" i="28"/>
  <c r="AJ219" i="28"/>
  <c r="AG219" i="28"/>
  <c r="AO219" i="28"/>
  <c r="AW219" i="28"/>
  <c r="Y245" i="28"/>
  <c r="AY138" i="28"/>
  <c r="R245" i="28"/>
  <c r="Q163" i="28"/>
  <c r="J204" i="28"/>
  <c r="R204" i="28"/>
  <c r="O163" i="28"/>
  <c r="AI178" i="28"/>
  <c r="AR179" i="28"/>
  <c r="AZ219" i="28"/>
  <c r="B245" i="28"/>
  <c r="W163" i="28"/>
  <c r="I204" i="28"/>
  <c r="AD220" i="28"/>
  <c r="H245" i="28"/>
  <c r="X245" i="28"/>
  <c r="AQ178" i="28"/>
  <c r="AI17" i="34"/>
  <c r="AC11" i="34"/>
  <c r="B436" i="34" s="1"/>
  <c r="B450" i="34" s="1"/>
  <c r="B468" i="34" s="1"/>
  <c r="D48" i="40" s="1"/>
  <c r="B286" i="34"/>
  <c r="AC16" i="34"/>
  <c r="B302" i="34"/>
  <c r="AC281" i="34" s="1"/>
  <c r="AV281" i="34"/>
  <c r="AV283" i="34" s="1"/>
  <c r="U306" i="34"/>
  <c r="AN16" i="34"/>
  <c r="M302" i="34"/>
  <c r="AF281" i="34"/>
  <c r="AF283" i="34" s="1"/>
  <c r="E306" i="34"/>
  <c r="AU56" i="34"/>
  <c r="T362" i="34"/>
  <c r="AM56" i="34"/>
  <c r="L362" i="34"/>
  <c r="AE341" i="34"/>
  <c r="AE343" i="34" s="1"/>
  <c r="D366" i="34"/>
  <c r="AT402" i="34"/>
  <c r="AT404" i="34" s="1"/>
  <c r="S427" i="34"/>
  <c r="AL402" i="34"/>
  <c r="AL404" i="34" s="1"/>
  <c r="K427" i="34"/>
  <c r="AD402" i="34"/>
  <c r="AD404" i="34" s="1"/>
  <c r="C427" i="34"/>
  <c r="F439" i="34"/>
  <c r="F453" i="34" s="1"/>
  <c r="F471" i="34" s="1"/>
  <c r="G52" i="40" s="1"/>
  <c r="AH222" i="34"/>
  <c r="AQ222" i="34"/>
  <c r="AL17" i="34"/>
  <c r="AU281" i="34"/>
  <c r="AU283" i="34" s="1"/>
  <c r="T306" i="34"/>
  <c r="AM281" i="34"/>
  <c r="AM283" i="34" s="1"/>
  <c r="L306" i="34"/>
  <c r="AE281" i="34"/>
  <c r="AE283" i="34" s="1"/>
  <c r="D306" i="34"/>
  <c r="AT341" i="34"/>
  <c r="S366" i="34"/>
  <c r="AL341" i="34"/>
  <c r="K366" i="34"/>
  <c r="AD341" i="34"/>
  <c r="AD343" i="34" s="1"/>
  <c r="C366" i="34"/>
  <c r="BA96" i="34"/>
  <c r="Z423" i="34"/>
  <c r="BA402" i="34" s="1"/>
  <c r="AS96" i="34"/>
  <c r="R423" i="34"/>
  <c r="AK96" i="34"/>
  <c r="J423" i="34"/>
  <c r="AF138" i="34"/>
  <c r="J163" i="34"/>
  <c r="AO16" i="34"/>
  <c r="N302" i="34"/>
  <c r="AC51" i="34"/>
  <c r="C436" i="34" s="1"/>
  <c r="C450" i="34" s="1"/>
  <c r="C468" i="34" s="1"/>
  <c r="D49" i="40" s="1"/>
  <c r="B346" i="34"/>
  <c r="AV56" i="34"/>
  <c r="U362" i="34"/>
  <c r="AE96" i="34"/>
  <c r="D423" i="34"/>
  <c r="I440" i="34"/>
  <c r="I454" i="34" s="1"/>
  <c r="I472" i="34" s="1"/>
  <c r="H55" i="40" s="1"/>
  <c r="AQ17" i="34"/>
  <c r="AT281" i="34"/>
  <c r="AT283" i="34" s="1"/>
  <c r="S306" i="34"/>
  <c r="AL16" i="34"/>
  <c r="K302" i="34"/>
  <c r="AD16" i="34"/>
  <c r="C302" i="34"/>
  <c r="BA56" i="34"/>
  <c r="Z362" i="34"/>
  <c r="BA341" i="34" s="1"/>
  <c r="AS56" i="34"/>
  <c r="R362" i="34"/>
  <c r="AK56" i="34"/>
  <c r="J362" i="34"/>
  <c r="AZ95" i="34"/>
  <c r="Y423" i="34"/>
  <c r="AR96" i="34"/>
  <c r="Q423" i="34"/>
  <c r="AJ95" i="34"/>
  <c r="I423" i="34"/>
  <c r="AU17" i="34"/>
  <c r="BA16" i="34"/>
  <c r="Z302" i="34"/>
  <c r="BA281" i="34" s="1"/>
  <c r="AS16" i="34"/>
  <c r="R302" i="34"/>
  <c r="AK281" i="34"/>
  <c r="AK283" i="34" s="1"/>
  <c r="J306" i="34"/>
  <c r="AZ56" i="34"/>
  <c r="Y362" i="34"/>
  <c r="AR56" i="34"/>
  <c r="Q362" i="34"/>
  <c r="AJ56" i="34"/>
  <c r="I362" i="34"/>
  <c r="AY402" i="34"/>
  <c r="AY404" i="34" s="1"/>
  <c r="X427" i="34"/>
  <c r="AQ402" i="34"/>
  <c r="AQ404" i="34" s="1"/>
  <c r="P427" i="34"/>
  <c r="AI402" i="34"/>
  <c r="AI404" i="34" s="1"/>
  <c r="H427" i="34"/>
  <c r="AL343" i="34"/>
  <c r="AW16" i="34"/>
  <c r="V302" i="34"/>
  <c r="AG16" i="34"/>
  <c r="F302" i="34"/>
  <c r="AN56" i="34"/>
  <c r="M362" i="34"/>
  <c r="AU96" i="34"/>
  <c r="T423" i="34"/>
  <c r="AE57" i="34"/>
  <c r="AZ281" i="34"/>
  <c r="AZ283" i="34" s="1"/>
  <c r="Y306" i="34"/>
  <c r="AR281" i="34"/>
  <c r="AR283" i="34" s="1"/>
  <c r="Q306" i="34"/>
  <c r="AJ281" i="34"/>
  <c r="AJ283" i="34" s="1"/>
  <c r="I306" i="34"/>
  <c r="AY56" i="34"/>
  <c r="X362" i="34"/>
  <c r="AQ56" i="34"/>
  <c r="P362" i="34"/>
  <c r="AI56" i="34"/>
  <c r="H362" i="34"/>
  <c r="BA93" i="34"/>
  <c r="D438" i="34" s="1"/>
  <c r="D452" i="34" s="1"/>
  <c r="D470" i="34" s="1"/>
  <c r="F50" i="40" s="1"/>
  <c r="Z421" i="34"/>
  <c r="AX96" i="34"/>
  <c r="W423" i="34"/>
  <c r="AP96" i="34"/>
  <c r="O423" i="34"/>
  <c r="AH96" i="34"/>
  <c r="G423" i="34"/>
  <c r="AX220" i="34"/>
  <c r="AX222" i="34" s="1"/>
  <c r="AN57" i="34"/>
  <c r="AY16" i="34"/>
  <c r="X302" i="34"/>
  <c r="AQ16" i="34"/>
  <c r="P302" i="34"/>
  <c r="AI16" i="34"/>
  <c r="H302" i="34"/>
  <c r="BA53" i="34"/>
  <c r="C438" i="34" s="1"/>
  <c r="C452" i="34" s="1"/>
  <c r="C470" i="34" s="1"/>
  <c r="F49" i="40" s="1"/>
  <c r="Z360" i="34"/>
  <c r="AX341" i="34"/>
  <c r="AX343" i="34" s="1"/>
  <c r="W366" i="34"/>
  <c r="AP56" i="34"/>
  <c r="O362" i="34"/>
  <c r="AH56" i="34"/>
  <c r="G362" i="34"/>
  <c r="AW96" i="34"/>
  <c r="V423" i="34"/>
  <c r="AO402" i="34"/>
  <c r="AO404" i="34" s="1"/>
  <c r="N427" i="34"/>
  <c r="AG96" i="34"/>
  <c r="F423" i="34"/>
  <c r="AW95" i="34"/>
  <c r="AO95" i="34"/>
  <c r="AN138" i="34"/>
  <c r="G442" i="34"/>
  <c r="G456" i="34" s="1"/>
  <c r="G474" i="34" s="1"/>
  <c r="J53" i="40" s="1"/>
  <c r="AH181" i="34"/>
  <c r="O204" i="34"/>
  <c r="W204" i="34"/>
  <c r="AC56" i="34"/>
  <c r="B362" i="34"/>
  <c r="AC341" i="34" s="1"/>
  <c r="AF56" i="34"/>
  <c r="E362" i="34"/>
  <c r="AM96" i="34"/>
  <c r="L423" i="34"/>
  <c r="AR57" i="34"/>
  <c r="AD97" i="34"/>
  <c r="BA13" i="34"/>
  <c r="B438" i="34" s="1"/>
  <c r="B452" i="34" s="1"/>
  <c r="B470" i="34" s="1"/>
  <c r="F48" i="40" s="1"/>
  <c r="Z300" i="34"/>
  <c r="AX16" i="34"/>
  <c r="W302" i="34"/>
  <c r="AP16" i="34"/>
  <c r="O302" i="34"/>
  <c r="AH281" i="34"/>
  <c r="AH283" i="34" s="1"/>
  <c r="G306" i="34"/>
  <c r="AW56" i="34"/>
  <c r="V362" i="34"/>
  <c r="AO56" i="34"/>
  <c r="N362" i="34"/>
  <c r="AG56" i="34"/>
  <c r="F362" i="34"/>
  <c r="AC96" i="34"/>
  <c r="B423" i="34"/>
  <c r="AV96" i="34"/>
  <c r="U423" i="34"/>
  <c r="AN96" i="34"/>
  <c r="M423" i="34"/>
  <c r="AF402" i="34"/>
  <c r="AF404" i="34" s="1"/>
  <c r="E427" i="34"/>
  <c r="AN140" i="34"/>
  <c r="F442" i="34"/>
  <c r="F456" i="34" s="1"/>
  <c r="F474" i="34" s="1"/>
  <c r="J52" i="40" s="1"/>
  <c r="I204" i="34"/>
  <c r="Q204" i="34"/>
  <c r="R245" i="34"/>
  <c r="AT343" i="34"/>
  <c r="R204" i="27"/>
  <c r="AC173" i="27"/>
  <c r="F435" i="27" s="1"/>
  <c r="F449" i="27" s="1"/>
  <c r="F467" i="27" s="1"/>
  <c r="C24" i="40" s="1"/>
  <c r="E204" i="27"/>
  <c r="H204" i="27"/>
  <c r="X204" i="27"/>
  <c r="F245" i="27"/>
  <c r="B163" i="27"/>
  <c r="F442" i="26"/>
  <c r="F456" i="26" s="1"/>
  <c r="F474" i="26" s="1"/>
  <c r="J38" i="40" s="1"/>
  <c r="H204" i="26"/>
  <c r="AX178" i="34"/>
  <c r="AX181" i="34" s="1"/>
  <c r="G163" i="26"/>
  <c r="AY178" i="34"/>
  <c r="AY181" i="34" s="1"/>
  <c r="AK137" i="34"/>
  <c r="AK140" i="34" s="1"/>
  <c r="BA137" i="34"/>
  <c r="AD178" i="34"/>
  <c r="AD181" i="34" s="1"/>
  <c r="AL178" i="34"/>
  <c r="AT178" i="34"/>
  <c r="V204" i="28"/>
  <c r="J441" i="27"/>
  <c r="J455" i="27" s="1"/>
  <c r="J473" i="27" s="1"/>
  <c r="I28" i="40" s="1"/>
  <c r="X245" i="26"/>
  <c r="E442" i="26"/>
  <c r="E456" i="26" s="1"/>
  <c r="E474" i="26" s="1"/>
  <c r="J37" i="40" s="1"/>
  <c r="AR137" i="26"/>
  <c r="AG137" i="34"/>
  <c r="AG140" i="34" s="1"/>
  <c r="AI178" i="34"/>
  <c r="R204" i="26"/>
  <c r="AH137" i="34"/>
  <c r="AH140" i="34" s="1"/>
  <c r="AQ178" i="34"/>
  <c r="AQ181" i="34" s="1"/>
  <c r="V163" i="26"/>
  <c r="M163" i="26"/>
  <c r="U163" i="26"/>
  <c r="AD137" i="26"/>
  <c r="AL137" i="26"/>
  <c r="Z204" i="26"/>
  <c r="V204" i="26"/>
  <c r="G245" i="26"/>
  <c r="O245" i="26"/>
  <c r="AV219" i="26"/>
  <c r="D245" i="26"/>
  <c r="AC335" i="26"/>
  <c r="I436" i="26" s="1"/>
  <c r="I450" i="26" s="1"/>
  <c r="I468" i="26" s="1"/>
  <c r="D41" i="40" s="1"/>
  <c r="B366" i="26"/>
  <c r="W163" i="26"/>
  <c r="X204" i="26"/>
  <c r="I245" i="26"/>
  <c r="Q245" i="26"/>
  <c r="Z163" i="34"/>
  <c r="C204" i="34"/>
  <c r="F204" i="28"/>
  <c r="I204" i="24"/>
  <c r="J245" i="24"/>
  <c r="N204" i="24"/>
  <c r="O245" i="24"/>
  <c r="AQ137" i="33"/>
  <c r="Q204" i="33"/>
  <c r="H163" i="33"/>
  <c r="X163" i="33"/>
  <c r="Y204" i="33"/>
  <c r="D245" i="33"/>
  <c r="G439" i="33"/>
  <c r="G453" i="33" s="1"/>
  <c r="G471" i="33" s="1"/>
  <c r="G53" i="39" s="1"/>
  <c r="AS219" i="33"/>
  <c r="J163" i="33"/>
  <c r="Q163" i="33"/>
  <c r="Y163" i="33"/>
  <c r="C204" i="33"/>
  <c r="S204" i="33"/>
  <c r="L245" i="33"/>
  <c r="M163" i="33"/>
  <c r="F204" i="33"/>
  <c r="V204" i="33"/>
  <c r="O245" i="33"/>
  <c r="AJ222" i="33"/>
  <c r="J245" i="33"/>
  <c r="AC132" i="33"/>
  <c r="E435" i="33" s="1"/>
  <c r="E449" i="33" s="1"/>
  <c r="E467" i="33" s="1"/>
  <c r="C51" i="39" s="1"/>
  <c r="AG222" i="33"/>
  <c r="AG140" i="33"/>
  <c r="G163" i="23"/>
  <c r="O204" i="23"/>
  <c r="X245" i="23"/>
  <c r="J245" i="23"/>
  <c r="AC132" i="23"/>
  <c r="E435" i="23" s="1"/>
  <c r="E449" i="23" s="1"/>
  <c r="E467" i="23" s="1"/>
  <c r="C23" i="39" s="1"/>
  <c r="F245" i="23"/>
  <c r="V245" i="23"/>
  <c r="O163" i="33"/>
  <c r="M163" i="22"/>
  <c r="U163" i="22"/>
  <c r="AX181" i="33"/>
  <c r="X163" i="24"/>
  <c r="Q204" i="24"/>
  <c r="O163" i="22"/>
  <c r="AJ178" i="22"/>
  <c r="AC219" i="22"/>
  <c r="AK219" i="22"/>
  <c r="BA219" i="22"/>
  <c r="AI137" i="24"/>
  <c r="AJ178" i="24"/>
  <c r="L204" i="22"/>
  <c r="AD137" i="22"/>
  <c r="AL137" i="22"/>
  <c r="AT137" i="22"/>
  <c r="AE178" i="22"/>
  <c r="AM178" i="22"/>
  <c r="AU178" i="22"/>
  <c r="AF219" i="22"/>
  <c r="AV219" i="22"/>
  <c r="H89" i="43"/>
  <c r="F450" i="32"/>
  <c r="D227" i="43"/>
  <c r="D215" i="43"/>
  <c r="H68" i="43"/>
  <c r="H80" i="43"/>
  <c r="G452" i="32"/>
  <c r="I91" i="43"/>
  <c r="V245" i="32"/>
  <c r="AE222" i="32"/>
  <c r="J255" i="43"/>
  <c r="K54" i="1"/>
  <c r="H215" i="43"/>
  <c r="H227" i="43"/>
  <c r="G80" i="43"/>
  <c r="G68" i="43"/>
  <c r="J102" i="43"/>
  <c r="J114" i="43" s="1"/>
  <c r="J126" i="43"/>
  <c r="J138" i="43" s="1"/>
  <c r="F452" i="32"/>
  <c r="H91" i="43"/>
  <c r="D80" i="43"/>
  <c r="D68" i="43"/>
  <c r="AG220" i="32"/>
  <c r="G89" i="43"/>
  <c r="E450" i="32"/>
  <c r="F68" i="43"/>
  <c r="F80" i="43"/>
  <c r="D43" i="43"/>
  <c r="D31" i="43"/>
  <c r="G215" i="43"/>
  <c r="G227" i="43"/>
  <c r="L126" i="43"/>
  <c r="L138" i="43" s="1"/>
  <c r="L102" i="43"/>
  <c r="L114" i="43" s="1"/>
  <c r="H469" i="32"/>
  <c r="J151" i="43"/>
  <c r="G91" i="43"/>
  <c r="E452" i="32"/>
  <c r="L255" i="43"/>
  <c r="K56" i="1"/>
  <c r="J188" i="43"/>
  <c r="J176" i="43"/>
  <c r="J164" i="43"/>
  <c r="E68" i="43"/>
  <c r="E80" i="43"/>
  <c r="F227" i="43"/>
  <c r="F215" i="43"/>
  <c r="I471" i="32"/>
  <c r="K153" i="43"/>
  <c r="J469" i="32"/>
  <c r="L151" i="43"/>
  <c r="I89" i="43"/>
  <c r="G450" i="32"/>
  <c r="J17" i="43"/>
  <c r="J201" i="43"/>
  <c r="J54" i="43"/>
  <c r="J250" i="43"/>
  <c r="J238" i="43"/>
  <c r="F54" i="1"/>
  <c r="E227" i="43"/>
  <c r="E215" i="43"/>
  <c r="F31" i="43"/>
  <c r="F43" i="43"/>
  <c r="H31" i="43"/>
  <c r="H43" i="43"/>
  <c r="AN222" i="32"/>
  <c r="K126" i="43"/>
  <c r="K138" i="43" s="1"/>
  <c r="K102" i="43"/>
  <c r="K114" i="43" s="1"/>
  <c r="G43" i="43"/>
  <c r="G31" i="43"/>
  <c r="J128" i="43"/>
  <c r="J140" i="43" s="1"/>
  <c r="J104" i="43"/>
  <c r="J116" i="43" s="1"/>
  <c r="J453" i="32"/>
  <c r="L92" i="43"/>
  <c r="K255" i="43"/>
  <c r="K55" i="1"/>
  <c r="E31" i="43"/>
  <c r="E43" i="43"/>
  <c r="I469" i="32"/>
  <c r="K151" i="43"/>
  <c r="H471" i="32"/>
  <c r="J153" i="43"/>
  <c r="I215" i="37"/>
  <c r="F215" i="42"/>
  <c r="F227" i="42"/>
  <c r="G452" i="8"/>
  <c r="I91" i="42"/>
  <c r="H457" i="8"/>
  <c r="J96" i="42"/>
  <c r="E68" i="42"/>
  <c r="E80" i="42"/>
  <c r="I227" i="42"/>
  <c r="I215" i="42"/>
  <c r="F452" i="8"/>
  <c r="H91" i="42"/>
  <c r="J457" i="8"/>
  <c r="L96" i="42"/>
  <c r="I457" i="8"/>
  <c r="K96" i="42"/>
  <c r="D68" i="42"/>
  <c r="D80" i="42"/>
  <c r="G80" i="42"/>
  <c r="G68" i="42"/>
  <c r="E43" i="42"/>
  <c r="E31" i="42"/>
  <c r="D227" i="42"/>
  <c r="D215" i="42"/>
  <c r="F450" i="8"/>
  <c r="H89" i="42"/>
  <c r="D31" i="42"/>
  <c r="D43" i="42"/>
  <c r="I43" i="42"/>
  <c r="I31" i="42"/>
  <c r="E452" i="8"/>
  <c r="G91" i="42"/>
  <c r="E215" i="42"/>
  <c r="E227" i="42"/>
  <c r="I68" i="42"/>
  <c r="I80" i="42"/>
  <c r="H227" i="42"/>
  <c r="H215" i="42"/>
  <c r="E450" i="8"/>
  <c r="G89" i="42"/>
  <c r="H80" i="42"/>
  <c r="H68" i="42"/>
  <c r="G450" i="8"/>
  <c r="I89" i="42"/>
  <c r="G227" i="42"/>
  <c r="G215" i="42"/>
  <c r="H31" i="42"/>
  <c r="H43" i="42"/>
  <c r="F80" i="42"/>
  <c r="F68" i="42"/>
  <c r="G31" i="42"/>
  <c r="G43" i="42"/>
  <c r="F43" i="42"/>
  <c r="F31" i="42"/>
  <c r="J440" i="7"/>
  <c r="I454" i="32"/>
  <c r="J455" i="32"/>
  <c r="L94" i="43"/>
  <c r="I455" i="32"/>
  <c r="K94" i="43"/>
  <c r="H455" i="32"/>
  <c r="J94" i="43"/>
  <c r="H454" i="8"/>
  <c r="I80" i="37"/>
  <c r="I80" i="41"/>
  <c r="I68" i="41"/>
  <c r="H80" i="41"/>
  <c r="H68" i="41"/>
  <c r="E31" i="41"/>
  <c r="E43" i="41"/>
  <c r="D80" i="41"/>
  <c r="D68" i="41"/>
  <c r="F215" i="41"/>
  <c r="F227" i="41"/>
  <c r="E68" i="41"/>
  <c r="E80" i="41"/>
  <c r="K132" i="41"/>
  <c r="K108" i="41"/>
  <c r="K120" i="41" s="1"/>
  <c r="I227" i="41"/>
  <c r="I215" i="41"/>
  <c r="G68" i="41"/>
  <c r="G80" i="41"/>
  <c r="G43" i="41"/>
  <c r="G31" i="41"/>
  <c r="D227" i="41"/>
  <c r="D215" i="41"/>
  <c r="G215" i="41"/>
  <c r="G227" i="41"/>
  <c r="F80" i="41"/>
  <c r="F68" i="41"/>
  <c r="E215" i="41"/>
  <c r="E227" i="41"/>
  <c r="F43" i="41"/>
  <c r="F31" i="41"/>
  <c r="L93" i="41"/>
  <c r="H227" i="41"/>
  <c r="H215" i="41"/>
  <c r="L132" i="41"/>
  <c r="L108" i="41"/>
  <c r="L120" i="41" s="1"/>
  <c r="I43" i="41"/>
  <c r="I31" i="41"/>
  <c r="H31" i="41"/>
  <c r="H43" i="41"/>
  <c r="D43" i="41"/>
  <c r="D31" i="41"/>
  <c r="AS219" i="9"/>
  <c r="G89" i="37"/>
  <c r="E450" i="9"/>
  <c r="M163" i="9"/>
  <c r="H451" i="9"/>
  <c r="J90" i="37"/>
  <c r="L104" i="37"/>
  <c r="L116" i="37" s="1"/>
  <c r="L128" i="37"/>
  <c r="L140" i="37" s="1"/>
  <c r="E68" i="37"/>
  <c r="E80" i="37"/>
  <c r="H227" i="37"/>
  <c r="H215" i="37"/>
  <c r="K128" i="37"/>
  <c r="K140" i="37" s="1"/>
  <c r="K104" i="37"/>
  <c r="K116" i="37" s="1"/>
  <c r="L102" i="37"/>
  <c r="L114" i="37" s="1"/>
  <c r="L126" i="37"/>
  <c r="L138" i="37" s="1"/>
  <c r="J471" i="9"/>
  <c r="L153" i="37"/>
  <c r="F43" i="37"/>
  <c r="F31" i="37"/>
  <c r="I471" i="9"/>
  <c r="K153" i="37"/>
  <c r="G31" i="37"/>
  <c r="G43" i="37"/>
  <c r="J469" i="9"/>
  <c r="L151" i="37"/>
  <c r="F227" i="37"/>
  <c r="F215" i="37"/>
  <c r="G227" i="37"/>
  <c r="G215" i="37"/>
  <c r="F452" i="9"/>
  <c r="H91" i="37"/>
  <c r="I89" i="37"/>
  <c r="G450" i="9"/>
  <c r="D31" i="37"/>
  <c r="D43" i="37"/>
  <c r="H68" i="37"/>
  <c r="H80" i="37"/>
  <c r="F68" i="37"/>
  <c r="F80" i="37"/>
  <c r="K102" i="37"/>
  <c r="K114" i="37" s="1"/>
  <c r="K126" i="37"/>
  <c r="K138" i="37" s="1"/>
  <c r="G452" i="9"/>
  <c r="I91" i="37"/>
  <c r="D227" i="37"/>
  <c r="D215" i="37"/>
  <c r="E31" i="37"/>
  <c r="E43" i="37"/>
  <c r="I469" i="9"/>
  <c r="K151" i="37"/>
  <c r="F450" i="9"/>
  <c r="H89" i="37"/>
  <c r="G91" i="37"/>
  <c r="E452" i="9"/>
  <c r="E215" i="37"/>
  <c r="E227" i="37"/>
  <c r="G80" i="37"/>
  <c r="G68" i="37"/>
  <c r="J128" i="37"/>
  <c r="J140" i="37" s="1"/>
  <c r="J104" i="37"/>
  <c r="J116" i="37" s="1"/>
  <c r="D68" i="37"/>
  <c r="D80" i="37"/>
  <c r="H31" i="37"/>
  <c r="H43" i="37"/>
  <c r="H471" i="9"/>
  <c r="J153" i="37"/>
  <c r="L94" i="37"/>
  <c r="L130" i="37" s="1"/>
  <c r="J457" i="9"/>
  <c r="L96" i="37"/>
  <c r="I457" i="9"/>
  <c r="K96" i="37"/>
  <c r="H457" i="9"/>
  <c r="J96" i="37"/>
  <c r="I454" i="9"/>
  <c r="K93" i="37"/>
  <c r="I455" i="9"/>
  <c r="K94" i="37"/>
  <c r="H455" i="9"/>
  <c r="J94" i="37"/>
  <c r="H454" i="9"/>
  <c r="J93" i="37"/>
  <c r="J454" i="9"/>
  <c r="L93" i="37"/>
  <c r="J473" i="9"/>
  <c r="L155" i="37"/>
  <c r="J457" i="7"/>
  <c r="L157" i="41" s="1"/>
  <c r="L169" i="41" s="1"/>
  <c r="I457" i="7"/>
  <c r="K157" i="41" s="1"/>
  <c r="K169" i="41" s="1"/>
  <c r="H441" i="27"/>
  <c r="H455" i="27" s="1"/>
  <c r="H473" i="27" s="1"/>
  <c r="I26" i="40" s="1"/>
  <c r="I441" i="27"/>
  <c r="I455" i="27" s="1"/>
  <c r="I473" i="27" s="1"/>
  <c r="I27" i="40" s="1"/>
  <c r="I441" i="23"/>
  <c r="I455" i="23" s="1"/>
  <c r="I473" i="23" s="1"/>
  <c r="I27" i="39" s="1"/>
  <c r="S245" i="28"/>
  <c r="Z163" i="28"/>
  <c r="AD137" i="28"/>
  <c r="AT137" i="28"/>
  <c r="AC173" i="28"/>
  <c r="F435" i="28" s="1"/>
  <c r="F449" i="28" s="1"/>
  <c r="F467" i="28" s="1"/>
  <c r="C10" i="40" s="1"/>
  <c r="AM178" i="28"/>
  <c r="AC214" i="28"/>
  <c r="G435" i="28" s="1"/>
  <c r="G449" i="28" s="1"/>
  <c r="G467" i="28" s="1"/>
  <c r="C11" i="40" s="1"/>
  <c r="AN219" i="28"/>
  <c r="AV219" i="28"/>
  <c r="D204" i="28"/>
  <c r="AV179" i="28"/>
  <c r="L204" i="28"/>
  <c r="AG137" i="28"/>
  <c r="AO137" i="28"/>
  <c r="AW137" i="28"/>
  <c r="AH178" i="28"/>
  <c r="AP178" i="28"/>
  <c r="L245" i="28"/>
  <c r="K245" i="28"/>
  <c r="AR219" i="28"/>
  <c r="D163" i="28"/>
  <c r="L163" i="28"/>
  <c r="T163" i="28"/>
  <c r="C163" i="28"/>
  <c r="S163" i="28"/>
  <c r="AC137" i="28"/>
  <c r="AK137" i="28"/>
  <c r="R163" i="28"/>
  <c r="BA137" i="28"/>
  <c r="BA175" i="28"/>
  <c r="F437" i="28" s="1"/>
  <c r="F451" i="28" s="1"/>
  <c r="F469" i="28" s="1"/>
  <c r="E10" i="40" s="1"/>
  <c r="E204" i="28"/>
  <c r="M204" i="28"/>
  <c r="C204" i="28"/>
  <c r="K204" i="28"/>
  <c r="AT178" i="28"/>
  <c r="Z245" i="28"/>
  <c r="V245" i="28"/>
  <c r="M245" i="28"/>
  <c r="AM219" i="28"/>
  <c r="AU219" i="28"/>
  <c r="AH17" i="34"/>
  <c r="AT17" i="34"/>
  <c r="AC57" i="34"/>
  <c r="AO57" i="34"/>
  <c r="AQ137" i="34"/>
  <c r="AQ140" i="34" s="1"/>
  <c r="AZ178" i="34"/>
  <c r="AZ181" i="34" s="1"/>
  <c r="AJ219" i="34"/>
  <c r="AJ222" i="34" s="1"/>
  <c r="AZ219" i="34"/>
  <c r="AZ222" i="34" s="1"/>
  <c r="R163" i="34"/>
  <c r="I163" i="34"/>
  <c r="AR137" i="34"/>
  <c r="AZ137" i="34"/>
  <c r="AZ140" i="34" s="1"/>
  <c r="B204" i="34"/>
  <c r="AT181" i="34"/>
  <c r="AC178" i="34"/>
  <c r="AK178" i="34"/>
  <c r="AK181" i="34" s="1"/>
  <c r="R204" i="34"/>
  <c r="AC214" i="34"/>
  <c r="G435" i="34" s="1"/>
  <c r="G449" i="34" s="1"/>
  <c r="G467" i="34" s="1"/>
  <c r="C53" i="40" s="1"/>
  <c r="Z245" i="34"/>
  <c r="AO222" i="34"/>
  <c r="AE222" i="34"/>
  <c r="L245" i="34"/>
  <c r="C245" i="34"/>
  <c r="AL219" i="34"/>
  <c r="AL222" i="34" s="1"/>
  <c r="AT219" i="34"/>
  <c r="AT222" i="34" s="1"/>
  <c r="AP137" i="34"/>
  <c r="AP140" i="34" s="1"/>
  <c r="AK219" i="34"/>
  <c r="AK222" i="34" s="1"/>
  <c r="Q245" i="34"/>
  <c r="AV17" i="34"/>
  <c r="AF57" i="34"/>
  <c r="AS57" i="34"/>
  <c r="AG97" i="34"/>
  <c r="AY137" i="34"/>
  <c r="T204" i="34"/>
  <c r="AM17" i="34"/>
  <c r="AW17" i="34"/>
  <c r="AG57" i="34"/>
  <c r="AU57" i="34"/>
  <c r="AU58" i="34" s="1"/>
  <c r="AL97" i="34"/>
  <c r="AX137" i="34"/>
  <c r="AX140" i="34" s="1"/>
  <c r="T163" i="34"/>
  <c r="AN181" i="34"/>
  <c r="AD17" i="34"/>
  <c r="AN17" i="34"/>
  <c r="AN18" i="34" s="1"/>
  <c r="AX17" i="34"/>
  <c r="AJ57" i="34"/>
  <c r="AJ58" i="34" s="1"/>
  <c r="AV57" i="34"/>
  <c r="AN97" i="34"/>
  <c r="AE17" i="34"/>
  <c r="AE18" i="34" s="1"/>
  <c r="AO17" i="34"/>
  <c r="AY17" i="34"/>
  <c r="AK57" i="34"/>
  <c r="AW57" i="34"/>
  <c r="AO97" i="34"/>
  <c r="B163" i="34"/>
  <c r="AF17" i="34"/>
  <c r="AP17" i="34"/>
  <c r="AP18" i="34" s="1"/>
  <c r="AM57" i="34"/>
  <c r="AZ57" i="34"/>
  <c r="AZ15" i="34"/>
  <c r="AG222" i="34"/>
  <c r="AX136" i="27"/>
  <c r="AF138" i="27"/>
  <c r="AG137" i="27"/>
  <c r="N163" i="27"/>
  <c r="V163" i="27"/>
  <c r="G204" i="27"/>
  <c r="AP178" i="27"/>
  <c r="AG179" i="27"/>
  <c r="D204" i="27"/>
  <c r="AP220" i="27"/>
  <c r="AG219" i="27"/>
  <c r="C163" i="27"/>
  <c r="AR218" i="27"/>
  <c r="AC132" i="27"/>
  <c r="E435" i="27" s="1"/>
  <c r="E449" i="27" s="1"/>
  <c r="E467" i="27" s="1"/>
  <c r="C23" i="40" s="1"/>
  <c r="BA134" i="27"/>
  <c r="E437" i="27" s="1"/>
  <c r="E451" i="27" s="1"/>
  <c r="E469" i="27" s="1"/>
  <c r="E23" i="40" s="1"/>
  <c r="K163" i="27"/>
  <c r="S163" i="27"/>
  <c r="H163" i="27"/>
  <c r="X163" i="27"/>
  <c r="B204" i="27"/>
  <c r="L204" i="27"/>
  <c r="I204" i="27"/>
  <c r="Y204" i="27"/>
  <c r="AC214" i="27"/>
  <c r="G435" i="27" s="1"/>
  <c r="G449" i="27" s="1"/>
  <c r="G467" i="27" s="1"/>
  <c r="C25" i="40" s="1"/>
  <c r="Z245" i="27"/>
  <c r="M245" i="27"/>
  <c r="U245" i="27"/>
  <c r="AK219" i="27"/>
  <c r="AS219" i="27"/>
  <c r="BA219" i="27"/>
  <c r="U163" i="27"/>
  <c r="N204" i="27"/>
  <c r="E245" i="27"/>
  <c r="L163" i="27"/>
  <c r="AJ137" i="27"/>
  <c r="AR137" i="27"/>
  <c r="AZ137" i="27"/>
  <c r="Z204" i="27"/>
  <c r="M204" i="27"/>
  <c r="U204" i="27"/>
  <c r="AC178" i="27"/>
  <c r="AK178" i="27"/>
  <c r="AS178" i="27"/>
  <c r="V245" i="27"/>
  <c r="AL219" i="27"/>
  <c r="D163" i="26"/>
  <c r="BA134" i="26"/>
  <c r="E437" i="26" s="1"/>
  <c r="E451" i="26" s="1"/>
  <c r="E469" i="26" s="1"/>
  <c r="E37" i="40" s="1"/>
  <c r="N163" i="26"/>
  <c r="AT137" i="26"/>
  <c r="O204" i="26"/>
  <c r="F204" i="26"/>
  <c r="N204" i="26"/>
  <c r="AE178" i="26"/>
  <c r="AM178" i="26"/>
  <c r="AU178" i="26"/>
  <c r="B245" i="26"/>
  <c r="H245" i="26"/>
  <c r="AF219" i="26"/>
  <c r="AO137" i="27"/>
  <c r="O204" i="27"/>
  <c r="E163" i="28"/>
  <c r="V245" i="26"/>
  <c r="F163" i="27"/>
  <c r="AH178" i="27"/>
  <c r="J204" i="34"/>
  <c r="AW137" i="27"/>
  <c r="P163" i="27"/>
  <c r="AY137" i="27"/>
  <c r="J163" i="26"/>
  <c r="R163" i="26"/>
  <c r="I163" i="26"/>
  <c r="S204" i="26"/>
  <c r="J204" i="26"/>
  <c r="R245" i="26"/>
  <c r="AR219" i="26"/>
  <c r="AZ219" i="26"/>
  <c r="Z204" i="34"/>
  <c r="M163" i="28"/>
  <c r="F163" i="28"/>
  <c r="V163" i="28"/>
  <c r="U163" i="28"/>
  <c r="G204" i="28"/>
  <c r="O204" i="28"/>
  <c r="N204" i="28"/>
  <c r="S163" i="26"/>
  <c r="AI137" i="26"/>
  <c r="AQ137" i="26"/>
  <c r="D204" i="26"/>
  <c r="AR178" i="26"/>
  <c r="E245" i="26"/>
  <c r="AC132" i="26"/>
  <c r="E435" i="26" s="1"/>
  <c r="E449" i="26" s="1"/>
  <c r="E467" i="26" s="1"/>
  <c r="C37" i="40" s="1"/>
  <c r="Z163" i="26"/>
  <c r="L163" i="26"/>
  <c r="T163" i="26"/>
  <c r="C163" i="26"/>
  <c r="AC137" i="26"/>
  <c r="AS137" i="26"/>
  <c r="AJ137" i="26"/>
  <c r="Q163" i="26"/>
  <c r="AC173" i="26"/>
  <c r="F435" i="26" s="1"/>
  <c r="F449" i="26" s="1"/>
  <c r="F467" i="26" s="1"/>
  <c r="C38" i="40" s="1"/>
  <c r="BA175" i="26"/>
  <c r="F437" i="26" s="1"/>
  <c r="F451" i="26" s="1"/>
  <c r="F469" i="26" s="1"/>
  <c r="E38" i="40" s="1"/>
  <c r="M204" i="26"/>
  <c r="U204" i="26"/>
  <c r="AD178" i="26"/>
  <c r="K204" i="26"/>
  <c r="AT178" i="26"/>
  <c r="AC214" i="26"/>
  <c r="G435" i="26" s="1"/>
  <c r="G449" i="26" s="1"/>
  <c r="G467" i="26" s="1"/>
  <c r="C39" i="40" s="1"/>
  <c r="Z245" i="26"/>
  <c r="F245" i="26"/>
  <c r="U245" i="26"/>
  <c r="AE219" i="26"/>
  <c r="L245" i="26"/>
  <c r="AU219" i="26"/>
  <c r="S245" i="26"/>
  <c r="Q163" i="34"/>
  <c r="Y163" i="34"/>
  <c r="AN138" i="24"/>
  <c r="AR179" i="24"/>
  <c r="AE137" i="24"/>
  <c r="AM137" i="24"/>
  <c r="AU137" i="24"/>
  <c r="G204" i="24"/>
  <c r="O204" i="24"/>
  <c r="AF178" i="24"/>
  <c r="AN178" i="24"/>
  <c r="AV178" i="24"/>
  <c r="AG219" i="24"/>
  <c r="AO219" i="24"/>
  <c r="AW219" i="24"/>
  <c r="P163" i="24"/>
  <c r="AH137" i="24"/>
  <c r="AP137" i="24"/>
  <c r="AX137" i="24"/>
  <c r="AI178" i="24"/>
  <c r="AQ178" i="24"/>
  <c r="X204" i="24"/>
  <c r="AC214" i="24"/>
  <c r="G435" i="24" s="1"/>
  <c r="G449" i="24" s="1"/>
  <c r="G467" i="24" s="1"/>
  <c r="C11" i="39" s="1"/>
  <c r="Y245" i="24"/>
  <c r="AP220" i="24"/>
  <c r="AF138" i="24"/>
  <c r="D163" i="24"/>
  <c r="L163" i="24"/>
  <c r="C163" i="24"/>
  <c r="S163" i="24"/>
  <c r="AC137" i="24"/>
  <c r="J163" i="24"/>
  <c r="AS137" i="24"/>
  <c r="Z204" i="24"/>
  <c r="M204" i="24"/>
  <c r="U204" i="24"/>
  <c r="D204" i="24"/>
  <c r="L204" i="24"/>
  <c r="S204" i="24"/>
  <c r="BA216" i="24"/>
  <c r="G437" i="24" s="1"/>
  <c r="G451" i="24" s="1"/>
  <c r="G469" i="24" s="1"/>
  <c r="E11" i="39" s="1"/>
  <c r="N245" i="24"/>
  <c r="V245" i="24"/>
  <c r="E245" i="24"/>
  <c r="M245" i="24"/>
  <c r="U245" i="24"/>
  <c r="D245" i="24"/>
  <c r="AM219" i="24"/>
  <c r="AU219" i="24"/>
  <c r="AT219" i="24"/>
  <c r="AO181" i="33"/>
  <c r="AF138" i="33"/>
  <c r="AV138" i="33"/>
  <c r="AQ178" i="33"/>
  <c r="AQ181" i="33" s="1"/>
  <c r="AP222" i="33"/>
  <c r="AH220" i="33"/>
  <c r="AH222" i="33" s="1"/>
  <c r="W204" i="33"/>
  <c r="AR222" i="33"/>
  <c r="AO136" i="33"/>
  <c r="AO140" i="33" s="1"/>
  <c r="AX222" i="33"/>
  <c r="AP140" i="33"/>
  <c r="AW181" i="33"/>
  <c r="V245" i="33"/>
  <c r="AU140" i="33"/>
  <c r="AN140" i="33"/>
  <c r="AH181" i="33"/>
  <c r="N204" i="33"/>
  <c r="W245" i="33"/>
  <c r="B163" i="33"/>
  <c r="Z163" i="33"/>
  <c r="D163" i="33"/>
  <c r="T163" i="33"/>
  <c r="C163" i="33"/>
  <c r="S163" i="33"/>
  <c r="AJ140" i="33"/>
  <c r="B204" i="33"/>
  <c r="Z204" i="33"/>
  <c r="E204" i="33"/>
  <c r="M204" i="33"/>
  <c r="U204" i="33"/>
  <c r="D204" i="33"/>
  <c r="T204" i="33"/>
  <c r="AK181" i="33"/>
  <c r="AS181" i="33"/>
  <c r="B245" i="33"/>
  <c r="Z245" i="33"/>
  <c r="F245" i="33"/>
  <c r="AO222" i="33"/>
  <c r="U245" i="33"/>
  <c r="AE222" i="33"/>
  <c r="T245" i="33"/>
  <c r="AL219" i="33"/>
  <c r="AL222" i="33" s="1"/>
  <c r="AT219" i="33"/>
  <c r="AT222" i="33" s="1"/>
  <c r="E245" i="23"/>
  <c r="H163" i="23"/>
  <c r="B204" i="23"/>
  <c r="Z204" i="23"/>
  <c r="J204" i="23"/>
  <c r="B245" i="23"/>
  <c r="Z245" i="23"/>
  <c r="AY178" i="23"/>
  <c r="R245" i="23"/>
  <c r="AD178" i="23"/>
  <c r="K204" i="23"/>
  <c r="BA134" i="23"/>
  <c r="E437" i="23" s="1"/>
  <c r="E451" i="23" s="1"/>
  <c r="E469" i="23" s="1"/>
  <c r="E23" i="39" s="1"/>
  <c r="U163" i="23"/>
  <c r="AC173" i="23"/>
  <c r="F435" i="23" s="1"/>
  <c r="F449" i="23" s="1"/>
  <c r="F467" i="23" s="1"/>
  <c r="C24" i="39" s="1"/>
  <c r="G204" i="23"/>
  <c r="F204" i="23"/>
  <c r="AN178" i="23"/>
  <c r="AV178" i="23"/>
  <c r="AC214" i="23"/>
  <c r="G435" i="23" s="1"/>
  <c r="G449" i="23" s="1"/>
  <c r="G467" i="23" s="1"/>
  <c r="C25" i="39" s="1"/>
  <c r="AG219" i="23"/>
  <c r="AO219" i="23"/>
  <c r="AW219" i="23"/>
  <c r="BA175" i="23"/>
  <c r="F437" i="23" s="1"/>
  <c r="F451" i="23" s="1"/>
  <c r="F469" i="23" s="1"/>
  <c r="E24" i="39" s="1"/>
  <c r="W163" i="22"/>
  <c r="X204" i="22"/>
  <c r="B204" i="24"/>
  <c r="G204" i="22"/>
  <c r="AY219" i="22"/>
  <c r="Q245" i="22"/>
  <c r="AI137" i="22"/>
  <c r="AY137" i="22"/>
  <c r="D204" i="22"/>
  <c r="T204" i="22"/>
  <c r="K204" i="22"/>
  <c r="S204" i="22"/>
  <c r="AR178" i="22"/>
  <c r="M245" i="22"/>
  <c r="U245" i="22"/>
  <c r="AH137" i="33"/>
  <c r="AH140" i="33" s="1"/>
  <c r="AY178" i="33"/>
  <c r="AY181" i="33" s="1"/>
  <c r="AZ220" i="22"/>
  <c r="J163" i="22"/>
  <c r="I163" i="22"/>
  <c r="AC173" i="22"/>
  <c r="F435" i="22" s="1"/>
  <c r="F449" i="22" s="1"/>
  <c r="F467" i="22" s="1"/>
  <c r="C38" i="39" s="1"/>
  <c r="Z204" i="22"/>
  <c r="C204" i="22"/>
  <c r="J204" i="22"/>
  <c r="R204" i="22"/>
  <c r="Z245" i="22"/>
  <c r="F245" i="22"/>
  <c r="N245" i="22"/>
  <c r="E245" i="22"/>
  <c r="AM219" i="22"/>
  <c r="K245" i="22"/>
  <c r="AT219" i="22"/>
  <c r="AI137" i="23"/>
  <c r="AK137" i="22"/>
  <c r="BA137" i="22"/>
  <c r="AD178" i="22"/>
  <c r="AC214" i="22"/>
  <c r="G435" i="22" s="1"/>
  <c r="G449" i="22" s="1"/>
  <c r="G467" i="22" s="1"/>
  <c r="C39" i="39" s="1"/>
  <c r="G245" i="22"/>
  <c r="O245" i="22"/>
  <c r="AQ140" i="33"/>
  <c r="AI178" i="33"/>
  <c r="AI181" i="33" s="1"/>
  <c r="AR136" i="22"/>
  <c r="C245" i="22"/>
  <c r="W163" i="33"/>
  <c r="J163" i="23"/>
  <c r="P163" i="23"/>
  <c r="AY137" i="23"/>
  <c r="S204" i="23"/>
  <c r="I204" i="23"/>
  <c r="AR178" i="23"/>
  <c r="Y204" i="23"/>
  <c r="E163" i="22"/>
  <c r="AX140" i="33"/>
  <c r="AQ179" i="22"/>
  <c r="F442" i="22" s="1"/>
  <c r="F456" i="22" s="1"/>
  <c r="F474" i="22" s="1"/>
  <c r="J38" i="39" s="1"/>
  <c r="F163" i="22"/>
  <c r="N163" i="22"/>
  <c r="G163" i="22"/>
  <c r="AP137" i="22"/>
  <c r="AX137" i="22"/>
  <c r="V163" i="22"/>
  <c r="B204" i="22"/>
  <c r="I204" i="22"/>
  <c r="Y204" i="22"/>
  <c r="AI178" i="22"/>
  <c r="AQ178" i="22"/>
  <c r="O204" i="22"/>
  <c r="W204" i="22"/>
  <c r="S245" i="22"/>
  <c r="R245" i="22"/>
  <c r="I245" i="22"/>
  <c r="H245" i="22"/>
  <c r="AC137" i="23"/>
  <c r="AK137" i="23"/>
  <c r="AS137" i="23"/>
  <c r="BA137" i="23"/>
  <c r="C204" i="23"/>
  <c r="AL178" i="23"/>
  <c r="AT178" i="23"/>
  <c r="AL178" i="9"/>
  <c r="W163" i="9"/>
  <c r="O163" i="9"/>
  <c r="AH137" i="9"/>
  <c r="AN137" i="9"/>
  <c r="AM178" i="9"/>
  <c r="V163" i="9"/>
  <c r="AO137" i="9"/>
  <c r="F163" i="9"/>
  <c r="AV178" i="9"/>
  <c r="AN178" i="9"/>
  <c r="AF178" i="9"/>
  <c r="T245" i="9"/>
  <c r="D245" i="9"/>
  <c r="AM138" i="9"/>
  <c r="AC137" i="9"/>
  <c r="S163" i="9"/>
  <c r="C163" i="9"/>
  <c r="AT137" i="9"/>
  <c r="AL137" i="9"/>
  <c r="AD137" i="9"/>
  <c r="Y245" i="9"/>
  <c r="Q245" i="9"/>
  <c r="AC178" i="9"/>
  <c r="Y204" i="9"/>
  <c r="Q204" i="9"/>
  <c r="I204" i="9"/>
  <c r="AV137" i="9"/>
  <c r="L204" i="9"/>
  <c r="AU178" i="9"/>
  <c r="S245" i="9"/>
  <c r="Y163" i="9"/>
  <c r="Q163" i="9"/>
  <c r="I163" i="9"/>
  <c r="BA175" i="9"/>
  <c r="F437" i="9" s="1"/>
  <c r="X204" i="9"/>
  <c r="H204" i="9"/>
  <c r="E163" i="9"/>
  <c r="X163" i="9"/>
  <c r="AQ137" i="9"/>
  <c r="AI137" i="9"/>
  <c r="AP178" i="9"/>
  <c r="AH178" i="9"/>
  <c r="AC214" i="9"/>
  <c r="G435" i="9" s="1"/>
  <c r="AO219" i="9"/>
  <c r="AG219" i="9"/>
  <c r="J440" i="32"/>
  <c r="AR178" i="32"/>
  <c r="AO222" i="32"/>
  <c r="BA134" i="32"/>
  <c r="E437" i="32" s="1"/>
  <c r="BA175" i="32"/>
  <c r="F437" i="32" s="1"/>
  <c r="X204" i="32"/>
  <c r="H204" i="32"/>
  <c r="AZ181" i="32"/>
  <c r="X163" i="32"/>
  <c r="H163" i="32"/>
  <c r="AY137" i="32"/>
  <c r="P163" i="32"/>
  <c r="AI137" i="32"/>
  <c r="AH178" i="32"/>
  <c r="AH181" i="32" s="1"/>
  <c r="AC214" i="32"/>
  <c r="G435" i="32" s="1"/>
  <c r="AJ178" i="32"/>
  <c r="AJ181" i="32" s="1"/>
  <c r="O163" i="32"/>
  <c r="AX137" i="32"/>
  <c r="AX140" i="32" s="1"/>
  <c r="AP137" i="32"/>
  <c r="AP140" i="32" s="1"/>
  <c r="G163" i="32"/>
  <c r="AO178" i="32"/>
  <c r="AO181" i="32" s="1"/>
  <c r="F204" i="32"/>
  <c r="AV222" i="32"/>
  <c r="N163" i="32"/>
  <c r="V163" i="32"/>
  <c r="AO137" i="32"/>
  <c r="AG137" i="32"/>
  <c r="AG140" i="32" s="1"/>
  <c r="AV178" i="32"/>
  <c r="AV181" i="32" s="1"/>
  <c r="AN178" i="32"/>
  <c r="AN181" i="32" s="1"/>
  <c r="AF178" i="32"/>
  <c r="AV137" i="32"/>
  <c r="AV140" i="32" s="1"/>
  <c r="E163" i="32"/>
  <c r="AU178" i="32"/>
  <c r="AU181" i="32" s="1"/>
  <c r="AU137" i="32"/>
  <c r="AU140" i="32" s="1"/>
  <c r="L163" i="32"/>
  <c r="D163" i="32"/>
  <c r="AT178" i="32"/>
  <c r="AL178" i="32"/>
  <c r="AD178" i="32"/>
  <c r="AD181" i="32" s="1"/>
  <c r="U163" i="32"/>
  <c r="AN137" i="32"/>
  <c r="AN140" i="32" s="1"/>
  <c r="L204" i="32"/>
  <c r="AE178" i="32"/>
  <c r="AE181" i="32" s="1"/>
  <c r="AT137" i="32"/>
  <c r="AT140" i="32" s="1"/>
  <c r="C163" i="32"/>
  <c r="I440" i="8"/>
  <c r="J440" i="8"/>
  <c r="F442" i="8"/>
  <c r="J454" i="7"/>
  <c r="L154" i="41" s="1"/>
  <c r="I440" i="7"/>
  <c r="H440" i="7"/>
  <c r="I204" i="32"/>
  <c r="P204" i="32"/>
  <c r="U163" i="9"/>
  <c r="AN282" i="7"/>
  <c r="AF282" i="7"/>
  <c r="AV282" i="7"/>
  <c r="AW282" i="7"/>
  <c r="AK282" i="7"/>
  <c r="BA282" i="7"/>
  <c r="AT282" i="7"/>
  <c r="AG282" i="7"/>
  <c r="AX282" i="7"/>
  <c r="AS282" i="7"/>
  <c r="AD282" i="7"/>
  <c r="AL282" i="7"/>
  <c r="AC282" i="7"/>
  <c r="AO282" i="7"/>
  <c r="AP282" i="7"/>
  <c r="AH282" i="7"/>
  <c r="AE282" i="7"/>
  <c r="AU282" i="7"/>
  <c r="AQ282" i="7"/>
  <c r="AM282" i="7"/>
  <c r="AZ282" i="7"/>
  <c r="AY282" i="7"/>
  <c r="AR282" i="7"/>
  <c r="AJ282" i="7"/>
  <c r="AI282" i="7"/>
  <c r="O204" i="9"/>
  <c r="H163" i="9"/>
  <c r="AJ137" i="32"/>
  <c r="AJ140" i="32" s="1"/>
  <c r="V204" i="9"/>
  <c r="S163" i="32"/>
  <c r="AK137" i="9"/>
  <c r="F163" i="32"/>
  <c r="E204" i="32"/>
  <c r="W204" i="9"/>
  <c r="AR137" i="32"/>
  <c r="AR140" i="32" s="1"/>
  <c r="AZ137" i="32"/>
  <c r="AZ140" i="32" s="1"/>
  <c r="P163" i="9"/>
  <c r="AK178" i="9"/>
  <c r="AY137" i="9"/>
  <c r="Y204" i="32"/>
  <c r="E204" i="9"/>
  <c r="AG137" i="9"/>
  <c r="M204" i="9"/>
  <c r="AV178" i="7"/>
  <c r="N163" i="9"/>
  <c r="AN178" i="7"/>
  <c r="AF178" i="7"/>
  <c r="K204" i="32"/>
  <c r="U204" i="9"/>
  <c r="T163" i="9"/>
  <c r="BA137" i="7"/>
  <c r="AY219" i="7"/>
  <c r="AQ219" i="7"/>
  <c r="AI219" i="7"/>
  <c r="AM137" i="9"/>
  <c r="D163" i="9"/>
  <c r="AD137" i="32"/>
  <c r="AD140" i="32" s="1"/>
  <c r="AL137" i="32"/>
  <c r="AL140" i="32" s="1"/>
  <c r="S204" i="9"/>
  <c r="K204" i="9"/>
  <c r="AK178" i="32"/>
  <c r="AK181" i="32" s="1"/>
  <c r="AS178" i="32"/>
  <c r="AS181" i="32" s="1"/>
  <c r="AF137" i="32"/>
  <c r="T204" i="32"/>
  <c r="G204" i="9"/>
  <c r="AP178" i="32"/>
  <c r="AP181" i="32" s="1"/>
  <c r="AJ137" i="9"/>
  <c r="AR137" i="9"/>
  <c r="W204" i="32"/>
  <c r="AJ178" i="9"/>
  <c r="N204" i="9"/>
  <c r="AE137" i="32"/>
  <c r="AE140" i="32" s="1"/>
  <c r="C204" i="32"/>
  <c r="AM137" i="32"/>
  <c r="AM140" i="32" s="1"/>
  <c r="T163" i="32"/>
  <c r="S204" i="32"/>
  <c r="AX137" i="9"/>
  <c r="Q204" i="32"/>
  <c r="AG178" i="32"/>
  <c r="AG181" i="32" s="1"/>
  <c r="G163" i="9"/>
  <c r="AH137" i="32"/>
  <c r="AH140" i="32" s="1"/>
  <c r="AW137" i="32"/>
  <c r="AW140" i="32" s="1"/>
  <c r="AM178" i="32"/>
  <c r="AM181" i="32" s="1"/>
  <c r="AW137" i="9"/>
  <c r="AZ137" i="9"/>
  <c r="M204" i="32"/>
  <c r="AF137" i="9"/>
  <c r="AS178" i="9"/>
  <c r="AU137" i="9"/>
  <c r="M163" i="32"/>
  <c r="AQ137" i="32"/>
  <c r="AQ140" i="32" s="1"/>
  <c r="AP137" i="9"/>
  <c r="W163" i="32"/>
  <c r="D204" i="9"/>
  <c r="N204" i="32"/>
  <c r="C204" i="9"/>
  <c r="AU136" i="28"/>
  <c r="E439" i="28" s="1"/>
  <c r="E453" i="28" s="1"/>
  <c r="E471" i="28" s="1"/>
  <c r="G9" i="40" s="1"/>
  <c r="AD138" i="28"/>
  <c r="AT138" i="28"/>
  <c r="N163" i="28"/>
  <c r="Y163" i="28"/>
  <c r="AR137" i="28"/>
  <c r="AF177" i="28"/>
  <c r="AO179" i="28"/>
  <c r="S204" i="28"/>
  <c r="E245" i="28"/>
  <c r="BA134" i="28"/>
  <c r="E437" i="28" s="1"/>
  <c r="E451" i="28" s="1"/>
  <c r="E469" i="28" s="1"/>
  <c r="E9" i="40" s="1"/>
  <c r="AS137" i="28"/>
  <c r="AV138" i="28"/>
  <c r="AK178" i="28"/>
  <c r="W204" i="28"/>
  <c r="G245" i="28"/>
  <c r="U245" i="28"/>
  <c r="Z204" i="28"/>
  <c r="T204" i="28"/>
  <c r="AN220" i="28"/>
  <c r="I163" i="28"/>
  <c r="AD178" i="28"/>
  <c r="J163" i="28"/>
  <c r="AS178" i="28"/>
  <c r="AI218" i="28"/>
  <c r="AL177" i="28"/>
  <c r="AF218" i="28"/>
  <c r="B163" i="28"/>
  <c r="AR177" i="28"/>
  <c r="N245" i="28"/>
  <c r="K163" i="28"/>
  <c r="BA216" i="28"/>
  <c r="G437" i="28" s="1"/>
  <c r="G451" i="28" s="1"/>
  <c r="G469" i="28" s="1"/>
  <c r="E11" i="40" s="1"/>
  <c r="W245" i="28"/>
  <c r="B204" i="28"/>
  <c r="AJ137" i="34"/>
  <c r="AJ140" i="34" s="1"/>
  <c r="AV140" i="34"/>
  <c r="AL181" i="34"/>
  <c r="L204" i="34"/>
  <c r="AV181" i="34"/>
  <c r="K204" i="34"/>
  <c r="D245" i="34"/>
  <c r="M245" i="34"/>
  <c r="AR222" i="34"/>
  <c r="AY222" i="34"/>
  <c r="K245" i="34"/>
  <c r="AL136" i="34"/>
  <c r="AL140" i="34" s="1"/>
  <c r="AR140" i="34"/>
  <c r="AY140" i="34"/>
  <c r="D204" i="34"/>
  <c r="AR181" i="34"/>
  <c r="S204" i="34"/>
  <c r="AU222" i="34"/>
  <c r="AP222" i="34"/>
  <c r="E245" i="34"/>
  <c r="AD219" i="34"/>
  <c r="AD222" i="34" s="1"/>
  <c r="S245" i="34"/>
  <c r="AD140" i="34"/>
  <c r="AU181" i="34"/>
  <c r="E204" i="34"/>
  <c r="AE181" i="34"/>
  <c r="B245" i="34"/>
  <c r="AE140" i="34"/>
  <c r="AF222" i="34"/>
  <c r="U245" i="34"/>
  <c r="AV222" i="34"/>
  <c r="AS178" i="34"/>
  <c r="AS181" i="34" s="1"/>
  <c r="AF181" i="34"/>
  <c r="AM181" i="34"/>
  <c r="AM219" i="34"/>
  <c r="AM222" i="34" s="1"/>
  <c r="AS137" i="34"/>
  <c r="AS140" i="34" s="1"/>
  <c r="H163" i="34"/>
  <c r="AM140" i="34"/>
  <c r="AN222" i="34"/>
  <c r="AJ181" i="34"/>
  <c r="AT140" i="34"/>
  <c r="T245" i="34"/>
  <c r="AO181" i="34"/>
  <c r="AI140" i="34"/>
  <c r="AO140" i="34"/>
  <c r="AI222" i="34"/>
  <c r="AU140" i="34"/>
  <c r="AG181" i="34"/>
  <c r="AW181" i="34"/>
  <c r="AI181" i="34"/>
  <c r="AC132" i="34"/>
  <c r="AC173" i="34"/>
  <c r="AV95" i="34"/>
  <c r="N163" i="34"/>
  <c r="N204" i="34"/>
  <c r="N245" i="34"/>
  <c r="AF15" i="34"/>
  <c r="AF18" i="34" s="1"/>
  <c r="AM55" i="34"/>
  <c r="AE55" i="34"/>
  <c r="BA134" i="34"/>
  <c r="BA175" i="34"/>
  <c r="BA216" i="34"/>
  <c r="Q204" i="27"/>
  <c r="AL136" i="27"/>
  <c r="AI137" i="27"/>
  <c r="AJ178" i="27"/>
  <c r="T204" i="27"/>
  <c r="T245" i="27"/>
  <c r="AK138" i="27"/>
  <c r="AS138" i="27"/>
  <c r="T163" i="27"/>
  <c r="AZ178" i="27"/>
  <c r="C204" i="27"/>
  <c r="J245" i="27"/>
  <c r="L245" i="27"/>
  <c r="K204" i="27"/>
  <c r="AT179" i="27"/>
  <c r="F442" i="27" s="1"/>
  <c r="F456" i="27" s="1"/>
  <c r="F474" i="27" s="1"/>
  <c r="J24" i="40" s="1"/>
  <c r="B245" i="27"/>
  <c r="AE220" i="27"/>
  <c r="G442" i="27" s="1"/>
  <c r="G456" i="27" s="1"/>
  <c r="G474" i="27" s="1"/>
  <c r="J25" i="40" s="1"/>
  <c r="Z163" i="27"/>
  <c r="BA175" i="27"/>
  <c r="F437" i="27" s="1"/>
  <c r="F451" i="27" s="1"/>
  <c r="F469" i="27" s="1"/>
  <c r="E24" i="40" s="1"/>
  <c r="W204" i="27"/>
  <c r="AF218" i="27"/>
  <c r="G439" i="27" s="1"/>
  <c r="G453" i="27" s="1"/>
  <c r="G471" i="27" s="1"/>
  <c r="G25" i="40" s="1"/>
  <c r="AR177" i="27"/>
  <c r="AF136" i="27"/>
  <c r="E439" i="27" s="1"/>
  <c r="E453" i="27" s="1"/>
  <c r="E471" i="27" s="1"/>
  <c r="G23" i="40" s="1"/>
  <c r="N245" i="27"/>
  <c r="AI136" i="27"/>
  <c r="BA216" i="27"/>
  <c r="G437" i="27" s="1"/>
  <c r="G451" i="27" s="1"/>
  <c r="G469" i="27" s="1"/>
  <c r="E25" i="40" s="1"/>
  <c r="W245" i="27"/>
  <c r="AF177" i="27"/>
  <c r="F439" i="27" s="1"/>
  <c r="F453" i="27" s="1"/>
  <c r="F471" i="27" s="1"/>
  <c r="G24" i="40" s="1"/>
  <c r="C245" i="26"/>
  <c r="AU136" i="26"/>
  <c r="E163" i="26"/>
  <c r="E204" i="26"/>
  <c r="K245" i="26"/>
  <c r="AD138" i="26"/>
  <c r="Y163" i="26"/>
  <c r="T204" i="26"/>
  <c r="AT219" i="26"/>
  <c r="B204" i="26"/>
  <c r="C204" i="26"/>
  <c r="L204" i="26"/>
  <c r="AV220" i="26"/>
  <c r="G442" i="26" s="1"/>
  <c r="G456" i="26" s="1"/>
  <c r="G474" i="26" s="1"/>
  <c r="J39" i="40" s="1"/>
  <c r="T245" i="26"/>
  <c r="AM219" i="26"/>
  <c r="AR136" i="26"/>
  <c r="AL177" i="26"/>
  <c r="AF218" i="26"/>
  <c r="W204" i="26"/>
  <c r="B163" i="26"/>
  <c r="AR177" i="26"/>
  <c r="N245" i="26"/>
  <c r="K163" i="26"/>
  <c r="BA216" i="26"/>
  <c r="G437" i="26" s="1"/>
  <c r="G451" i="26" s="1"/>
  <c r="G469" i="26" s="1"/>
  <c r="E39" i="40" s="1"/>
  <c r="W245" i="26"/>
  <c r="AF136" i="26"/>
  <c r="E439" i="26" s="1"/>
  <c r="E453" i="26" s="1"/>
  <c r="E471" i="26" s="1"/>
  <c r="G37" i="40" s="1"/>
  <c r="AR218" i="26"/>
  <c r="T121" i="34"/>
  <c r="AD15" i="34"/>
  <c r="E121" i="34"/>
  <c r="AU95" i="34"/>
  <c r="AN55" i="34"/>
  <c r="AN58" i="34" s="1"/>
  <c r="AE95" i="34"/>
  <c r="AG15" i="34"/>
  <c r="AG18" i="34" s="1"/>
  <c r="AF55" i="34"/>
  <c r="AM95" i="34"/>
  <c r="AO15" i="34"/>
  <c r="AV55" i="34"/>
  <c r="AV58" i="34" s="1"/>
  <c r="AW15" i="34"/>
  <c r="AF54" i="34"/>
  <c r="C439" i="34" s="1"/>
  <c r="C453" i="34" s="1"/>
  <c r="C471" i="34" s="1"/>
  <c r="G49" i="40" s="1"/>
  <c r="AU94" i="34"/>
  <c r="AO14" i="34"/>
  <c r="AO18" i="34" s="1"/>
  <c r="W81" i="34"/>
  <c r="AP55" i="34"/>
  <c r="AH55" i="34"/>
  <c r="AG95" i="34"/>
  <c r="AW55" i="34"/>
  <c r="AW58" i="34" s="1"/>
  <c r="AN95" i="34"/>
  <c r="AF95" i="34"/>
  <c r="O163" i="24"/>
  <c r="G163" i="24"/>
  <c r="H204" i="24"/>
  <c r="P204" i="24"/>
  <c r="F204" i="24"/>
  <c r="V204" i="24"/>
  <c r="I245" i="24"/>
  <c r="Q245" i="24"/>
  <c r="G245" i="24"/>
  <c r="AO179" i="24"/>
  <c r="AY178" i="24"/>
  <c r="F245" i="24"/>
  <c r="AP179" i="24"/>
  <c r="Q163" i="24"/>
  <c r="C245" i="24"/>
  <c r="AC132" i="24"/>
  <c r="E435" i="24" s="1"/>
  <c r="E449" i="24" s="1"/>
  <c r="E467" i="24" s="1"/>
  <c r="C9" i="39" s="1"/>
  <c r="Z163" i="24"/>
  <c r="B245" i="24"/>
  <c r="X245" i="24"/>
  <c r="B163" i="24"/>
  <c r="F163" i="24"/>
  <c r="T204" i="24"/>
  <c r="N163" i="24"/>
  <c r="AE179" i="24"/>
  <c r="AM179" i="24"/>
  <c r="R163" i="24"/>
  <c r="I163" i="24"/>
  <c r="Y163" i="24"/>
  <c r="C204" i="24"/>
  <c r="J204" i="24"/>
  <c r="R204" i="24"/>
  <c r="Y204" i="24"/>
  <c r="L245" i="24"/>
  <c r="S245" i="24"/>
  <c r="AC219" i="24"/>
  <c r="AS219" i="24"/>
  <c r="BA219" i="24"/>
  <c r="AG220" i="24"/>
  <c r="H163" i="24"/>
  <c r="W163" i="24"/>
  <c r="AH219" i="24"/>
  <c r="P245" i="24"/>
  <c r="K245" i="24"/>
  <c r="AK137" i="24"/>
  <c r="AD138" i="24"/>
  <c r="AT138" i="24"/>
  <c r="AT220" i="24"/>
  <c r="H245" i="24"/>
  <c r="R245" i="24"/>
  <c r="AE219" i="24"/>
  <c r="T163" i="24"/>
  <c r="E204" i="24"/>
  <c r="T245" i="24"/>
  <c r="V163" i="24"/>
  <c r="AQ137" i="24"/>
  <c r="AO218" i="24"/>
  <c r="AF220" i="24"/>
  <c r="AN220" i="24"/>
  <c r="AV220" i="24"/>
  <c r="Z245" i="24"/>
  <c r="AR218" i="24"/>
  <c r="AY220" i="24"/>
  <c r="AR136" i="24"/>
  <c r="E439" i="24" s="1"/>
  <c r="E453" i="24" s="1"/>
  <c r="E471" i="24" s="1"/>
  <c r="G9" i="39" s="1"/>
  <c r="AF137" i="24"/>
  <c r="AN137" i="24"/>
  <c r="AV137" i="24"/>
  <c r="AD178" i="24"/>
  <c r="AL178" i="24"/>
  <c r="AT178" i="24"/>
  <c r="AF218" i="24"/>
  <c r="AJ219" i="24"/>
  <c r="AR219" i="24"/>
  <c r="AZ219" i="24"/>
  <c r="BA175" i="24"/>
  <c r="F437" i="24" s="1"/>
  <c r="F451" i="24" s="1"/>
  <c r="F469" i="24" s="1"/>
  <c r="E10" i="39" s="1"/>
  <c r="W204" i="24"/>
  <c r="AR177" i="24"/>
  <c r="F439" i="24" s="1"/>
  <c r="F453" i="24" s="1"/>
  <c r="F471" i="24" s="1"/>
  <c r="G10" i="39" s="1"/>
  <c r="K163" i="24"/>
  <c r="W245" i="24"/>
  <c r="AV140" i="33"/>
  <c r="AE179" i="33"/>
  <c r="AU179" i="33"/>
  <c r="AU181" i="33" s="1"/>
  <c r="E245" i="33"/>
  <c r="N245" i="33"/>
  <c r="AK222" i="33"/>
  <c r="K245" i="33"/>
  <c r="AR137" i="33"/>
  <c r="AR140" i="33" s="1"/>
  <c r="AT138" i="33"/>
  <c r="AT140" i="33" s="1"/>
  <c r="I163" i="33"/>
  <c r="AF177" i="33"/>
  <c r="AD178" i="33"/>
  <c r="AD181" i="33" s="1"/>
  <c r="AT178" i="33"/>
  <c r="AT181" i="33" s="1"/>
  <c r="R204" i="33"/>
  <c r="AG181" i="33"/>
  <c r="AV220" i="33"/>
  <c r="AV222" i="33" s="1"/>
  <c r="AQ222" i="33"/>
  <c r="AM219" i="33"/>
  <c r="AM222" i="33" s="1"/>
  <c r="S245" i="33"/>
  <c r="AY140" i="33"/>
  <c r="K163" i="33"/>
  <c r="J204" i="33"/>
  <c r="K204" i="33"/>
  <c r="AN222" i="33"/>
  <c r="AD140" i="33"/>
  <c r="AK137" i="33"/>
  <c r="AK140" i="33" s="1"/>
  <c r="L204" i="33"/>
  <c r="AS222" i="33"/>
  <c r="AL140" i="33"/>
  <c r="R163" i="33"/>
  <c r="AI140" i="33"/>
  <c r="AU219" i="33"/>
  <c r="AU222" i="33" s="1"/>
  <c r="AZ137" i="33"/>
  <c r="AZ140" i="33" s="1"/>
  <c r="AI222" i="33"/>
  <c r="AY222" i="33"/>
  <c r="AW222" i="33"/>
  <c r="AP181" i="33"/>
  <c r="AE140" i="33"/>
  <c r="AM140" i="33"/>
  <c r="AR181" i="33"/>
  <c r="AJ181" i="33"/>
  <c r="AZ181" i="33"/>
  <c r="AM181" i="33"/>
  <c r="AF222" i="33"/>
  <c r="AC173" i="33"/>
  <c r="AC214" i="33"/>
  <c r="AF136" i="33"/>
  <c r="AF140" i="33" s="1"/>
  <c r="BA134" i="33"/>
  <c r="BA175" i="33"/>
  <c r="BA216" i="33"/>
  <c r="AD138" i="23"/>
  <c r="AL138" i="23"/>
  <c r="AT138" i="23"/>
  <c r="E163" i="23"/>
  <c r="AQ137" i="23"/>
  <c r="Q163" i="23"/>
  <c r="AJ178" i="23"/>
  <c r="P204" i="23"/>
  <c r="N204" i="23"/>
  <c r="G245" i="23"/>
  <c r="S245" i="23"/>
  <c r="T163" i="23"/>
  <c r="AF177" i="23"/>
  <c r="F439" i="23" s="1"/>
  <c r="F453" i="23" s="1"/>
  <c r="F471" i="23" s="1"/>
  <c r="G24" i="39" s="1"/>
  <c r="AK178" i="23"/>
  <c r="U245" i="23"/>
  <c r="AV138" i="23"/>
  <c r="Y163" i="23"/>
  <c r="AS179" i="23"/>
  <c r="T204" i="23"/>
  <c r="V204" i="23"/>
  <c r="AD220" i="23"/>
  <c r="G442" i="23" s="1"/>
  <c r="G456" i="23" s="1"/>
  <c r="G474" i="23" s="1"/>
  <c r="J25" i="39" s="1"/>
  <c r="AL220" i="23"/>
  <c r="X163" i="23"/>
  <c r="M245" i="23"/>
  <c r="N245" i="23"/>
  <c r="AE179" i="23"/>
  <c r="F442" i="23" s="1"/>
  <c r="F456" i="23" s="1"/>
  <c r="F474" i="23" s="1"/>
  <c r="J24" i="39" s="1"/>
  <c r="O245" i="23"/>
  <c r="AJ138" i="23"/>
  <c r="AG179" i="23"/>
  <c r="AU218" i="23"/>
  <c r="AH137" i="23"/>
  <c r="AP137" i="23"/>
  <c r="AX137" i="23"/>
  <c r="B163" i="23"/>
  <c r="Z163" i="23"/>
  <c r="AE178" i="23"/>
  <c r="AM178" i="23"/>
  <c r="AU178" i="23"/>
  <c r="W204" i="23"/>
  <c r="AF218" i="23"/>
  <c r="G439" i="23" s="1"/>
  <c r="G453" i="23" s="1"/>
  <c r="G471" i="23" s="1"/>
  <c r="G25" i="39" s="1"/>
  <c r="AJ219" i="23"/>
  <c r="AR219" i="23"/>
  <c r="AZ219" i="23"/>
  <c r="H204" i="23"/>
  <c r="AF136" i="23"/>
  <c r="E439" i="23" s="1"/>
  <c r="E453" i="23" s="1"/>
  <c r="E471" i="23" s="1"/>
  <c r="G23" i="39" s="1"/>
  <c r="BA216" i="23"/>
  <c r="G437" i="23" s="1"/>
  <c r="G451" i="23" s="1"/>
  <c r="G469" i="23" s="1"/>
  <c r="E25" i="39" s="1"/>
  <c r="W245" i="23"/>
  <c r="AC137" i="8"/>
  <c r="AS178" i="22"/>
  <c r="AH137" i="22"/>
  <c r="E441" i="22" s="1"/>
  <c r="E455" i="22" s="1"/>
  <c r="E473" i="22" s="1"/>
  <c r="I37" i="39" s="1"/>
  <c r="AS138" i="22"/>
  <c r="E442" i="22" s="1"/>
  <c r="E456" i="22" s="1"/>
  <c r="E474" i="22" s="1"/>
  <c r="J37" i="39" s="1"/>
  <c r="S163" i="22"/>
  <c r="AF220" i="22"/>
  <c r="L163" i="22"/>
  <c r="T163" i="22"/>
  <c r="AJ137" i="22"/>
  <c r="B245" i="22"/>
  <c r="AK178" i="22"/>
  <c r="H204" i="22"/>
  <c r="D163" i="22"/>
  <c r="Y163" i="22"/>
  <c r="AO136" i="22"/>
  <c r="BA134" i="22"/>
  <c r="E437" i="22" s="1"/>
  <c r="E451" i="22" s="1"/>
  <c r="E469" i="22" s="1"/>
  <c r="E37" i="39" s="1"/>
  <c r="Z163" i="22"/>
  <c r="B163" i="22"/>
  <c r="AC132" i="22"/>
  <c r="E435" i="22" s="1"/>
  <c r="E449" i="22" s="1"/>
  <c r="E467" i="22" s="1"/>
  <c r="C37" i="39" s="1"/>
  <c r="L245" i="22"/>
  <c r="AU136" i="22"/>
  <c r="BA175" i="22"/>
  <c r="F437" i="22" s="1"/>
  <c r="F451" i="22" s="1"/>
  <c r="F469" i="22" s="1"/>
  <c r="E38" i="39" s="1"/>
  <c r="AI218" i="22"/>
  <c r="H163" i="22"/>
  <c r="P163" i="22"/>
  <c r="X163" i="22"/>
  <c r="F204" i="22"/>
  <c r="N204" i="22"/>
  <c r="V204" i="22"/>
  <c r="D245" i="22"/>
  <c r="T245" i="22"/>
  <c r="AR177" i="22"/>
  <c r="F439" i="22" s="1"/>
  <c r="F453" i="22" s="1"/>
  <c r="F471" i="22" s="1"/>
  <c r="G38" i="39" s="1"/>
  <c r="K163" i="22"/>
  <c r="W245" i="22"/>
  <c r="AF136" i="22"/>
  <c r="E439" i="22" s="1"/>
  <c r="E453" i="22" s="1"/>
  <c r="E471" i="22" s="1"/>
  <c r="G37" i="39" s="1"/>
  <c r="AR218" i="22"/>
  <c r="BA219" i="9"/>
  <c r="AZ219" i="9"/>
  <c r="R245" i="9"/>
  <c r="M245" i="9"/>
  <c r="AD219" i="9"/>
  <c r="AL219" i="9"/>
  <c r="AT219" i="9"/>
  <c r="AE219" i="9"/>
  <c r="AM219" i="9"/>
  <c r="AU219" i="9"/>
  <c r="K245" i="9"/>
  <c r="AT220" i="9"/>
  <c r="G442" i="9" s="1"/>
  <c r="H245" i="9"/>
  <c r="P245" i="9"/>
  <c r="X245" i="9"/>
  <c r="Z245" i="9"/>
  <c r="B245" i="9"/>
  <c r="AR178" i="9"/>
  <c r="AZ178" i="9"/>
  <c r="AQ178" i="9"/>
  <c r="AI178" i="9"/>
  <c r="AG178" i="9"/>
  <c r="AO178" i="9"/>
  <c r="AD179" i="9"/>
  <c r="AL179" i="9"/>
  <c r="AT179" i="9"/>
  <c r="P204" i="9"/>
  <c r="AY179" i="9"/>
  <c r="T204" i="9"/>
  <c r="Z204" i="9"/>
  <c r="J204" i="9"/>
  <c r="R204" i="9"/>
  <c r="AC173" i="9"/>
  <c r="F435" i="9" s="1"/>
  <c r="BA137" i="9"/>
  <c r="AS137" i="9"/>
  <c r="AE137" i="9"/>
  <c r="J163" i="9"/>
  <c r="AI138" i="9"/>
  <c r="R163" i="9"/>
  <c r="AK138" i="9"/>
  <c r="Z163" i="9"/>
  <c r="BA134" i="9"/>
  <c r="E437" i="9" s="1"/>
  <c r="AC132" i="9"/>
  <c r="E435" i="9" s="1"/>
  <c r="AR136" i="9"/>
  <c r="E439" i="9" s="1"/>
  <c r="AL177" i="9"/>
  <c r="AF218" i="9"/>
  <c r="G439" i="9" s="1"/>
  <c r="B163" i="9"/>
  <c r="AR177" i="9"/>
  <c r="N245" i="9"/>
  <c r="K163" i="9"/>
  <c r="BA216" i="9"/>
  <c r="G437" i="9" s="1"/>
  <c r="W245" i="9"/>
  <c r="B204" i="9"/>
  <c r="AK219" i="32"/>
  <c r="AK222" i="32" s="1"/>
  <c r="BA219" i="32"/>
  <c r="AS219" i="32"/>
  <c r="AS222" i="32" s="1"/>
  <c r="AY222" i="32"/>
  <c r="O245" i="32"/>
  <c r="AX222" i="32"/>
  <c r="AD222" i="32"/>
  <c r="AT222" i="32"/>
  <c r="AG222" i="32"/>
  <c r="AW222" i="32"/>
  <c r="AH222" i="32"/>
  <c r="AP222" i="32"/>
  <c r="AQ222" i="32"/>
  <c r="AF222" i="32"/>
  <c r="AI222" i="32"/>
  <c r="AJ222" i="32"/>
  <c r="AZ222" i="32"/>
  <c r="AL222" i="32"/>
  <c r="H245" i="32"/>
  <c r="P245" i="32"/>
  <c r="X245" i="32"/>
  <c r="Z245" i="32"/>
  <c r="AU222" i="32"/>
  <c r="BA216" i="32"/>
  <c r="B245" i="32"/>
  <c r="V204" i="32"/>
  <c r="AX181" i="32"/>
  <c r="AI178" i="32"/>
  <c r="AI181" i="32" s="1"/>
  <c r="AQ178" i="32"/>
  <c r="AQ181" i="32" s="1"/>
  <c r="AT179" i="32"/>
  <c r="AW181" i="32"/>
  <c r="U204" i="32"/>
  <c r="AF179" i="32"/>
  <c r="AY181" i="32"/>
  <c r="J204" i="32"/>
  <c r="R204" i="32"/>
  <c r="AC178" i="32"/>
  <c r="Z204" i="32"/>
  <c r="AC173" i="32"/>
  <c r="F435" i="32" s="1"/>
  <c r="AK137" i="32"/>
  <c r="AK140" i="32" s="1"/>
  <c r="AS137" i="32"/>
  <c r="AS140" i="32" s="1"/>
  <c r="BA137" i="32"/>
  <c r="J163" i="32"/>
  <c r="AO138" i="32"/>
  <c r="AI138" i="32"/>
  <c r="AY138" i="32"/>
  <c r="R163" i="32"/>
  <c r="Z163" i="32"/>
  <c r="B163" i="32"/>
  <c r="AC132" i="32"/>
  <c r="AL177" i="32"/>
  <c r="I163" i="32"/>
  <c r="Q163" i="32"/>
  <c r="Y163" i="32"/>
  <c r="G204" i="32"/>
  <c r="O204" i="32"/>
  <c r="E245" i="32"/>
  <c r="M245" i="32"/>
  <c r="AR177" i="32"/>
  <c r="N245" i="32"/>
  <c r="K163" i="32"/>
  <c r="W245" i="32"/>
  <c r="AF136" i="32"/>
  <c r="E439" i="32" s="1"/>
  <c r="B204" i="32"/>
  <c r="AR218" i="32"/>
  <c r="AR222" i="32" s="1"/>
  <c r="AW219" i="8"/>
  <c r="AI219" i="8"/>
  <c r="AK219" i="8"/>
  <c r="BA219" i="8"/>
  <c r="I245" i="8"/>
  <c r="Q245" i="8"/>
  <c r="Y245" i="8"/>
  <c r="H245" i="8"/>
  <c r="P245" i="8"/>
  <c r="X245" i="8"/>
  <c r="AQ219" i="8"/>
  <c r="AS219" i="8"/>
  <c r="AD178" i="8"/>
  <c r="AC214" i="8"/>
  <c r="AI137" i="8"/>
  <c r="AQ137" i="8"/>
  <c r="AY137" i="8"/>
  <c r="AF178" i="8"/>
  <c r="AN178" i="8"/>
  <c r="AV178" i="8"/>
  <c r="AY219" i="8"/>
  <c r="Z163" i="8"/>
  <c r="AK137" i="8"/>
  <c r="AS137" i="8"/>
  <c r="BA137" i="8"/>
  <c r="AE137" i="8"/>
  <c r="AM137" i="8"/>
  <c r="AU137" i="8"/>
  <c r="AD219" i="8"/>
  <c r="AK178" i="8"/>
  <c r="AS178" i="8"/>
  <c r="AC137" i="7"/>
  <c r="AU178" i="7"/>
  <c r="AM178" i="7"/>
  <c r="AE178" i="7"/>
  <c r="BA219" i="7"/>
  <c r="AS219" i="7"/>
  <c r="AK219" i="7"/>
  <c r="AY137" i="7"/>
  <c r="AW219" i="7"/>
  <c r="AP178" i="7"/>
  <c r="AH178" i="7"/>
  <c r="AV219" i="7"/>
  <c r="AN219" i="7"/>
  <c r="AF219" i="7"/>
  <c r="AO178" i="7"/>
  <c r="AG178" i="7"/>
  <c r="AU219" i="7"/>
  <c r="AM219" i="7"/>
  <c r="AE219" i="7"/>
  <c r="T163" i="8"/>
  <c r="AM137" i="7"/>
  <c r="AT137" i="7"/>
  <c r="AL137" i="7"/>
  <c r="AD137" i="7"/>
  <c r="AC178" i="7"/>
  <c r="AT178" i="7"/>
  <c r="AL178" i="7"/>
  <c r="AD178" i="7"/>
  <c r="AZ219" i="7"/>
  <c r="AR219" i="7"/>
  <c r="AJ219" i="7"/>
  <c r="AK178" i="7"/>
  <c r="AS137" i="7"/>
  <c r="AZ137" i="7"/>
  <c r="AR137" i="7"/>
  <c r="AJ137" i="7"/>
  <c r="AR178" i="7"/>
  <c r="AJ178" i="7"/>
  <c r="AX219" i="7"/>
  <c r="AP219" i="7"/>
  <c r="AH219" i="7"/>
  <c r="W163" i="8"/>
  <c r="AQ137" i="7"/>
  <c r="AI137" i="7"/>
  <c r="AQ178" i="7"/>
  <c r="AI178" i="7"/>
  <c r="AO219" i="7"/>
  <c r="AG219" i="7"/>
  <c r="AU137" i="7"/>
  <c r="AK137" i="7"/>
  <c r="AS178" i="7"/>
  <c r="AX137" i="7"/>
  <c r="AP137" i="7"/>
  <c r="AH137" i="7"/>
  <c r="AO137" i="7"/>
  <c r="AE137" i="7"/>
  <c r="AW137" i="7"/>
  <c r="AG137" i="7"/>
  <c r="AV137" i="7"/>
  <c r="AN137" i="7"/>
  <c r="AF137" i="7"/>
  <c r="AC219" i="7"/>
  <c r="AT219" i="7"/>
  <c r="AL219" i="7"/>
  <c r="AD219" i="7"/>
  <c r="K204" i="8"/>
  <c r="S204" i="8"/>
  <c r="AJ178" i="8"/>
  <c r="AR178" i="8"/>
  <c r="AL137" i="8"/>
  <c r="C245" i="8"/>
  <c r="K245" i="8"/>
  <c r="S245" i="8"/>
  <c r="D245" i="8"/>
  <c r="L245" i="8"/>
  <c r="T245" i="8"/>
  <c r="BA134" i="8"/>
  <c r="E437" i="8" s="1"/>
  <c r="AX136" i="8"/>
  <c r="AU138" i="8"/>
  <c r="E442" i="8" s="1"/>
  <c r="AD137" i="8"/>
  <c r="AT137" i="8"/>
  <c r="AC173" i="8"/>
  <c r="F435" i="8" s="1"/>
  <c r="I204" i="8"/>
  <c r="Q204" i="8"/>
  <c r="Y204" i="8"/>
  <c r="AG178" i="8"/>
  <c r="AO178" i="8"/>
  <c r="AL218" i="8"/>
  <c r="AR218" i="8"/>
  <c r="H163" i="8"/>
  <c r="P163" i="8"/>
  <c r="X163" i="8"/>
  <c r="AF137" i="8"/>
  <c r="AN137" i="8"/>
  <c r="AV137" i="8"/>
  <c r="C204" i="8"/>
  <c r="AI178" i="8"/>
  <c r="AQ178" i="8"/>
  <c r="J245" i="8"/>
  <c r="R245" i="8"/>
  <c r="AJ219" i="8"/>
  <c r="AR219" i="8"/>
  <c r="AZ219" i="8"/>
  <c r="I163" i="8"/>
  <c r="Q163" i="8"/>
  <c r="Y163" i="8"/>
  <c r="F163" i="8"/>
  <c r="N163" i="8"/>
  <c r="AW137" i="8"/>
  <c r="Z245" i="8"/>
  <c r="E245" i="8"/>
  <c r="M245" i="8"/>
  <c r="U245" i="8"/>
  <c r="AH137" i="8"/>
  <c r="AP137" i="8"/>
  <c r="AX137" i="8"/>
  <c r="AC178" i="8"/>
  <c r="F245" i="8"/>
  <c r="V245" i="8"/>
  <c r="AL219" i="8"/>
  <c r="AT219" i="8"/>
  <c r="AC132" i="8"/>
  <c r="E435" i="8" s="1"/>
  <c r="AL178" i="8"/>
  <c r="AT178" i="8"/>
  <c r="G245" i="8"/>
  <c r="O245" i="8"/>
  <c r="AF219" i="8"/>
  <c r="AN219" i="8"/>
  <c r="AV219" i="8"/>
  <c r="AE219" i="8"/>
  <c r="AM219" i="8"/>
  <c r="AU219" i="8"/>
  <c r="BA175" i="8"/>
  <c r="AE178" i="8"/>
  <c r="AM178" i="8"/>
  <c r="AU178" i="8"/>
  <c r="B245" i="8"/>
  <c r="AI220" i="8"/>
  <c r="AQ220" i="8"/>
  <c r="AY220" i="8"/>
  <c r="J204" i="8"/>
  <c r="R204" i="8"/>
  <c r="J163" i="8"/>
  <c r="R163" i="8"/>
  <c r="C163" i="8"/>
  <c r="S163" i="8"/>
  <c r="AJ137" i="8"/>
  <c r="AR137" i="8"/>
  <c r="AZ137" i="8"/>
  <c r="F204" i="8"/>
  <c r="N204" i="8"/>
  <c r="V204" i="8"/>
  <c r="D204" i="8"/>
  <c r="L204" i="8"/>
  <c r="T204" i="8"/>
  <c r="B204" i="8"/>
  <c r="AO137" i="8"/>
  <c r="Z204" i="8"/>
  <c r="E204" i="8"/>
  <c r="E163" i="8"/>
  <c r="M163" i="8"/>
  <c r="U163" i="8"/>
  <c r="D163" i="8"/>
  <c r="L163" i="8"/>
  <c r="G204" i="8"/>
  <c r="O204" i="8"/>
  <c r="M204" i="8"/>
  <c r="G163" i="8"/>
  <c r="H204" i="8"/>
  <c r="P204" i="8"/>
  <c r="X204" i="8"/>
  <c r="U204" i="8"/>
  <c r="AG137" i="8"/>
  <c r="O163" i="8"/>
  <c r="AH178" i="8"/>
  <c r="AP178" i="8"/>
  <c r="V163" i="8"/>
  <c r="AR136" i="8"/>
  <c r="AL177" i="8"/>
  <c r="AF218" i="8"/>
  <c r="W204" i="8"/>
  <c r="B163" i="8"/>
  <c r="AR177" i="8"/>
  <c r="N245" i="8"/>
  <c r="K163" i="8"/>
  <c r="BA216" i="8"/>
  <c r="G437" i="8" s="1"/>
  <c r="W245" i="8"/>
  <c r="AT15" i="34"/>
  <c r="AL15" i="34"/>
  <c r="AS55" i="34"/>
  <c r="AS58" i="34" s="1"/>
  <c r="AK55" i="34"/>
  <c r="AK58" i="34" s="1"/>
  <c r="BA92" i="34"/>
  <c r="D437" i="34" s="1"/>
  <c r="D451" i="34" s="1"/>
  <c r="D469" i="34" s="1"/>
  <c r="E50" i="40" s="1"/>
  <c r="Y121" i="34"/>
  <c r="J41" i="34"/>
  <c r="R41" i="34"/>
  <c r="AZ55" i="34"/>
  <c r="AR55" i="34"/>
  <c r="AR58" i="34" s="1"/>
  <c r="AQ95" i="34"/>
  <c r="Y41" i="34"/>
  <c r="Q41" i="34"/>
  <c r="I41" i="34"/>
  <c r="AR15" i="34"/>
  <c r="AJ15" i="34"/>
  <c r="AY55" i="34"/>
  <c r="AI55" i="34"/>
  <c r="AX95" i="34"/>
  <c r="AP95" i="34"/>
  <c r="AH95" i="34"/>
  <c r="X41" i="34"/>
  <c r="AI14" i="34"/>
  <c r="AI18" i="34" s="1"/>
  <c r="AC50" i="34"/>
  <c r="P41" i="34"/>
  <c r="BA52" i="34"/>
  <c r="C437" i="34" s="1"/>
  <c r="C451" i="34" s="1"/>
  <c r="C469" i="34" s="1"/>
  <c r="E49" i="40" s="1"/>
  <c r="AM18" i="34"/>
  <c r="S121" i="34"/>
  <c r="K121" i="34"/>
  <c r="C121" i="34"/>
  <c r="AV18" i="34"/>
  <c r="AC15" i="34"/>
  <c r="BA95" i="34"/>
  <c r="AK95" i="34"/>
  <c r="AR95" i="34"/>
  <c r="AS95" i="34"/>
  <c r="AZ96" i="34"/>
  <c r="AJ96" i="34"/>
  <c r="I121" i="34"/>
  <c r="AG98" i="34"/>
  <c r="AC90" i="34"/>
  <c r="D435" i="34" s="1"/>
  <c r="D449" i="34" s="1"/>
  <c r="D467" i="34" s="1"/>
  <c r="C50" i="40" s="1"/>
  <c r="AE58" i="34"/>
  <c r="BA55" i="34"/>
  <c r="AG58" i="34"/>
  <c r="L81" i="34"/>
  <c r="T81" i="34"/>
  <c r="AY15" i="34"/>
  <c r="AQ15" i="34"/>
  <c r="AS15" i="34"/>
  <c r="AS18" i="34" s="1"/>
  <c r="AJ16" i="34"/>
  <c r="AR16" i="34"/>
  <c r="AZ16" i="34"/>
  <c r="AX18" i="34"/>
  <c r="AH18" i="34"/>
  <c r="AK16" i="34"/>
  <c r="Z41" i="34"/>
  <c r="BA12" i="34"/>
  <c r="B437" i="34" s="1"/>
  <c r="B451" i="34" s="1"/>
  <c r="B469" i="34" s="1"/>
  <c r="E48" i="40" s="1"/>
  <c r="AC10" i="34"/>
  <c r="B435" i="34" s="1"/>
  <c r="B449" i="34" s="1"/>
  <c r="B467" i="34" s="1"/>
  <c r="C48" i="40" s="1"/>
  <c r="O41" i="34"/>
  <c r="W41" i="34"/>
  <c r="AI95" i="34"/>
  <c r="AJ17" i="34"/>
  <c r="AR17" i="34"/>
  <c r="AZ17" i="34"/>
  <c r="AH57" i="34"/>
  <c r="AH58" i="34" s="1"/>
  <c r="AP57" i="34"/>
  <c r="AX57" i="34"/>
  <c r="AX58" i="34" s="1"/>
  <c r="J81" i="34"/>
  <c r="R81" i="34"/>
  <c r="AE97" i="34"/>
  <c r="AU97" i="34"/>
  <c r="AU98" i="34" s="1"/>
  <c r="G41" i="34"/>
  <c r="G81" i="34"/>
  <c r="AO98" i="34"/>
  <c r="AR14" i="34"/>
  <c r="BA97" i="34"/>
  <c r="AS97" i="34"/>
  <c r="AK97" i="34"/>
  <c r="AK98" i="34" s="1"/>
  <c r="AC97" i="34"/>
  <c r="AZ97" i="34"/>
  <c r="AR97" i="34"/>
  <c r="AJ97" i="34"/>
  <c r="AY97" i="34"/>
  <c r="AQ97" i="34"/>
  <c r="AI97" i="34"/>
  <c r="AX97" i="34"/>
  <c r="AP97" i="34"/>
  <c r="AH97" i="34"/>
  <c r="AK17" i="34"/>
  <c r="AS17" i="34"/>
  <c r="BA17" i="34"/>
  <c r="AI57" i="34"/>
  <c r="AQ57" i="34"/>
  <c r="AY57" i="34"/>
  <c r="C81" i="34"/>
  <c r="K81" i="34"/>
  <c r="S81" i="34"/>
  <c r="AY95" i="34"/>
  <c r="AF97" i="34"/>
  <c r="AV97" i="34"/>
  <c r="AV98" i="34" s="1"/>
  <c r="B41" i="34"/>
  <c r="Z121" i="34"/>
  <c r="F121" i="34"/>
  <c r="N121" i="34"/>
  <c r="V121" i="34"/>
  <c r="K41" i="34"/>
  <c r="AO55" i="34"/>
  <c r="Z81" i="34"/>
  <c r="AQ96" i="34"/>
  <c r="G121" i="34"/>
  <c r="O121" i="34"/>
  <c r="W121" i="34"/>
  <c r="B81" i="34"/>
  <c r="AD57" i="34"/>
  <c r="AL57" i="34"/>
  <c r="AL58" i="34" s="1"/>
  <c r="AT57" i="34"/>
  <c r="AT58" i="34" s="1"/>
  <c r="B121" i="34"/>
  <c r="AM97" i="34"/>
  <c r="H121" i="34"/>
  <c r="P121" i="34"/>
  <c r="X121" i="34"/>
  <c r="AN98" i="34"/>
  <c r="Q121" i="34"/>
  <c r="AR94" i="34"/>
  <c r="D439" i="34" s="1"/>
  <c r="D453" i="34" s="1"/>
  <c r="D471" i="34" s="1"/>
  <c r="G50" i="40" s="1"/>
  <c r="H81" i="34"/>
  <c r="P81" i="34"/>
  <c r="X81" i="34"/>
  <c r="AD95" i="34"/>
  <c r="AL95" i="34"/>
  <c r="AL98" i="34" s="1"/>
  <c r="AT95" i="34"/>
  <c r="AT98" i="34" s="1"/>
  <c r="C120" i="33"/>
  <c r="AD95" i="33" s="1"/>
  <c r="D120" i="33"/>
  <c r="E120" i="33"/>
  <c r="F120" i="33"/>
  <c r="G120" i="33"/>
  <c r="H120" i="33"/>
  <c r="I120" i="33"/>
  <c r="J120" i="33"/>
  <c r="K120" i="33"/>
  <c r="L120" i="33"/>
  <c r="M120" i="33"/>
  <c r="N120" i="33"/>
  <c r="O120" i="33"/>
  <c r="P120" i="33"/>
  <c r="Q120" i="33"/>
  <c r="R120" i="33"/>
  <c r="S120" i="33"/>
  <c r="T120" i="33"/>
  <c r="U120" i="33"/>
  <c r="V120" i="33"/>
  <c r="W120" i="33"/>
  <c r="X120" i="33"/>
  <c r="Y120" i="33"/>
  <c r="Z120" i="33"/>
  <c r="C119" i="33"/>
  <c r="D119" i="33"/>
  <c r="E119" i="33"/>
  <c r="F119" i="33"/>
  <c r="G119" i="33"/>
  <c r="H119" i="33"/>
  <c r="I119" i="33"/>
  <c r="J119" i="33"/>
  <c r="K119" i="33"/>
  <c r="L119" i="33"/>
  <c r="M119" i="33"/>
  <c r="N119" i="33"/>
  <c r="O119" i="33"/>
  <c r="P119" i="33"/>
  <c r="Q119" i="33"/>
  <c r="R119" i="33"/>
  <c r="AS95" i="33" s="1"/>
  <c r="S119" i="33"/>
  <c r="T119" i="33"/>
  <c r="U119" i="33"/>
  <c r="V119" i="33"/>
  <c r="W119" i="33"/>
  <c r="X119" i="33"/>
  <c r="Y119" i="33"/>
  <c r="Z119" i="33"/>
  <c r="BA95" i="33" s="1"/>
  <c r="C118" i="33"/>
  <c r="D118" i="33"/>
  <c r="D423" i="33" s="1"/>
  <c r="E118" i="33"/>
  <c r="E423" i="33" s="1"/>
  <c r="F118" i="33"/>
  <c r="G118" i="33"/>
  <c r="H118" i="33"/>
  <c r="I118" i="33"/>
  <c r="I423" i="33" s="1"/>
  <c r="J118" i="33"/>
  <c r="K118" i="33"/>
  <c r="K423" i="33" s="1"/>
  <c r="L118" i="33"/>
  <c r="L423" i="33" s="1"/>
  <c r="M118" i="33"/>
  <c r="M423" i="33" s="1"/>
  <c r="N118" i="33"/>
  <c r="O118" i="33"/>
  <c r="P118" i="33"/>
  <c r="Q118" i="33"/>
  <c r="R118" i="33"/>
  <c r="S118" i="33"/>
  <c r="T118" i="33"/>
  <c r="T423" i="33" s="1"/>
  <c r="U118" i="33"/>
  <c r="U423" i="33" s="1"/>
  <c r="V118" i="33"/>
  <c r="V423" i="33" s="1"/>
  <c r="W118" i="33"/>
  <c r="X118" i="33"/>
  <c r="Y118" i="33"/>
  <c r="Z118" i="33"/>
  <c r="C117" i="33"/>
  <c r="D117" i="33"/>
  <c r="E117" i="33"/>
  <c r="F117" i="33"/>
  <c r="G117" i="33"/>
  <c r="H117" i="33"/>
  <c r="H121" i="33" s="1"/>
  <c r="I117" i="33"/>
  <c r="I121" i="33" s="1"/>
  <c r="J117" i="33"/>
  <c r="K117" i="33"/>
  <c r="L117" i="33"/>
  <c r="M117" i="33"/>
  <c r="N117" i="33"/>
  <c r="O117" i="33"/>
  <c r="O121" i="33" s="1"/>
  <c r="P117" i="33"/>
  <c r="P121" i="33" s="1"/>
  <c r="Q117" i="33"/>
  <c r="R117" i="33"/>
  <c r="R121" i="33" s="1"/>
  <c r="S117" i="33"/>
  <c r="T117" i="33"/>
  <c r="AU94" i="33" s="1"/>
  <c r="U117" i="33"/>
  <c r="V117" i="33"/>
  <c r="W117" i="33"/>
  <c r="W121" i="33" s="1"/>
  <c r="X117" i="33"/>
  <c r="X121" i="33" s="1"/>
  <c r="Y117" i="33"/>
  <c r="Z117" i="33"/>
  <c r="BA94" i="33" s="1"/>
  <c r="B120" i="33"/>
  <c r="AC95" i="33" s="1"/>
  <c r="B119" i="33"/>
  <c r="B118" i="33"/>
  <c r="B423" i="33" s="1"/>
  <c r="B117" i="33"/>
  <c r="AC94" i="33" s="1"/>
  <c r="Z116" i="33"/>
  <c r="Z421" i="33" s="1"/>
  <c r="Z105" i="33"/>
  <c r="Z106" i="33"/>
  <c r="Z107" i="33"/>
  <c r="Z108" i="33"/>
  <c r="Z109" i="33"/>
  <c r="Z110" i="33"/>
  <c r="Z111" i="33"/>
  <c r="Z112" i="33"/>
  <c r="Z113" i="33"/>
  <c r="Z114" i="33"/>
  <c r="Z115" i="33"/>
  <c r="Z104" i="33"/>
  <c r="B103" i="33"/>
  <c r="B102" i="33"/>
  <c r="B91" i="33"/>
  <c r="B92" i="33"/>
  <c r="B93" i="33"/>
  <c r="B94" i="33"/>
  <c r="B95" i="33"/>
  <c r="B96" i="33"/>
  <c r="B97" i="33"/>
  <c r="B98" i="33"/>
  <c r="B99" i="33"/>
  <c r="B100" i="33"/>
  <c r="B101" i="33"/>
  <c r="B90" i="33"/>
  <c r="C80" i="33"/>
  <c r="D80" i="33"/>
  <c r="E80" i="33"/>
  <c r="F80" i="33"/>
  <c r="G80" i="33"/>
  <c r="H80" i="33"/>
  <c r="I80" i="33"/>
  <c r="J80" i="33"/>
  <c r="K80" i="33"/>
  <c r="AL55" i="33" s="1"/>
  <c r="L80" i="33"/>
  <c r="M80" i="33"/>
  <c r="N80" i="33"/>
  <c r="O80" i="33"/>
  <c r="P80" i="33"/>
  <c r="Q80" i="33"/>
  <c r="R80" i="33"/>
  <c r="S80" i="33"/>
  <c r="T80" i="33"/>
  <c r="AU55" i="33" s="1"/>
  <c r="U80" i="33"/>
  <c r="V80" i="33"/>
  <c r="W80" i="33"/>
  <c r="X80" i="33"/>
  <c r="Y80" i="33"/>
  <c r="Z80" i="33"/>
  <c r="C79" i="33"/>
  <c r="D79" i="33"/>
  <c r="E79" i="33"/>
  <c r="F79" i="33"/>
  <c r="G79" i="33"/>
  <c r="H79" i="33"/>
  <c r="I79" i="33"/>
  <c r="AJ55" i="33" s="1"/>
  <c r="J79" i="33"/>
  <c r="AK55" i="33" s="1"/>
  <c r="K79" i="33"/>
  <c r="L79" i="33"/>
  <c r="M79" i="33"/>
  <c r="N79" i="33"/>
  <c r="O79" i="33"/>
  <c r="P79" i="33"/>
  <c r="Q79" i="33"/>
  <c r="AR55" i="33" s="1"/>
  <c r="R79" i="33"/>
  <c r="S79" i="33"/>
  <c r="T79" i="33"/>
  <c r="U79" i="33"/>
  <c r="V79" i="33"/>
  <c r="W79" i="33"/>
  <c r="X79" i="33"/>
  <c r="Y79" i="33"/>
  <c r="AZ55" i="33" s="1"/>
  <c r="Z79" i="33"/>
  <c r="C78" i="33"/>
  <c r="AD56" i="33" s="1"/>
  <c r="D78" i="33"/>
  <c r="AE56" i="33" s="1"/>
  <c r="E78" i="33"/>
  <c r="F78" i="33"/>
  <c r="G78" i="33"/>
  <c r="H78" i="33"/>
  <c r="AI56" i="33" s="1"/>
  <c r="I78" i="33"/>
  <c r="AJ56" i="33" s="1"/>
  <c r="J78" i="33"/>
  <c r="K78" i="33"/>
  <c r="AL56" i="33" s="1"/>
  <c r="L78" i="33"/>
  <c r="M78" i="33"/>
  <c r="AN56" i="33" s="1"/>
  <c r="N78" i="33"/>
  <c r="O78" i="33"/>
  <c r="AP56" i="33" s="1"/>
  <c r="P78" i="33"/>
  <c r="AQ56" i="33" s="1"/>
  <c r="Q78" i="33"/>
  <c r="AR56" i="33" s="1"/>
  <c r="R78" i="33"/>
  <c r="AS56" i="33" s="1"/>
  <c r="S78" i="33"/>
  <c r="AT56" i="33" s="1"/>
  <c r="T78" i="33"/>
  <c r="AU56" i="33" s="1"/>
  <c r="U78" i="33"/>
  <c r="AV56" i="33" s="1"/>
  <c r="V78" i="33"/>
  <c r="W78" i="33"/>
  <c r="X78" i="33"/>
  <c r="AY56" i="33" s="1"/>
  <c r="Y78" i="33"/>
  <c r="AZ56" i="33" s="1"/>
  <c r="Z78" i="33"/>
  <c r="BA56" i="33" s="1"/>
  <c r="C77" i="33"/>
  <c r="C81" i="33" s="1"/>
  <c r="D77" i="33"/>
  <c r="E77" i="33"/>
  <c r="F77" i="33"/>
  <c r="G77" i="33"/>
  <c r="H77" i="33"/>
  <c r="AI54" i="33" s="1"/>
  <c r="I77" i="33"/>
  <c r="J77" i="33"/>
  <c r="K77" i="33"/>
  <c r="K81" i="33" s="1"/>
  <c r="L77" i="33"/>
  <c r="M77" i="33"/>
  <c r="N77" i="33"/>
  <c r="O77" i="33"/>
  <c r="O81" i="33" s="1"/>
  <c r="P77" i="33"/>
  <c r="Q77" i="33"/>
  <c r="AR54" i="33" s="1"/>
  <c r="R77" i="33"/>
  <c r="S77" i="33"/>
  <c r="S81" i="33" s="1"/>
  <c r="T77" i="33"/>
  <c r="U77" i="33"/>
  <c r="V77" i="33"/>
  <c r="W77" i="33"/>
  <c r="X77" i="33"/>
  <c r="Y77" i="33"/>
  <c r="Z77" i="33"/>
  <c r="BA54" i="33" s="1"/>
  <c r="B80" i="33"/>
  <c r="B79" i="33"/>
  <c r="B78" i="33"/>
  <c r="B77" i="33"/>
  <c r="Z76" i="33"/>
  <c r="Z360" i="33" s="1"/>
  <c r="Z65" i="33"/>
  <c r="Z66" i="33"/>
  <c r="Z67" i="33"/>
  <c r="Z68" i="33"/>
  <c r="Z69" i="33"/>
  <c r="Z70" i="33"/>
  <c r="Z71" i="33"/>
  <c r="Z72" i="33"/>
  <c r="Z73" i="33"/>
  <c r="Z74" i="33"/>
  <c r="Z75" i="33"/>
  <c r="Z64" i="33"/>
  <c r="B63" i="33"/>
  <c r="B347" i="33" s="1"/>
  <c r="AC334" i="33" s="1"/>
  <c r="B62" i="33"/>
  <c r="B346" i="33" s="1"/>
  <c r="B51" i="33"/>
  <c r="B52" i="33"/>
  <c r="B53" i="33"/>
  <c r="B54" i="33"/>
  <c r="B55" i="33"/>
  <c r="B56" i="33"/>
  <c r="B57" i="33"/>
  <c r="B58" i="33"/>
  <c r="B59" i="33"/>
  <c r="B60" i="33"/>
  <c r="B61" i="33"/>
  <c r="B50" i="33"/>
  <c r="C40" i="33"/>
  <c r="D40" i="33"/>
  <c r="E40" i="33"/>
  <c r="F40" i="33"/>
  <c r="G40" i="33"/>
  <c r="H40" i="33"/>
  <c r="I40" i="33"/>
  <c r="J40" i="33"/>
  <c r="K40" i="33"/>
  <c r="L40" i="33"/>
  <c r="M40" i="33"/>
  <c r="N40" i="33"/>
  <c r="O40" i="33"/>
  <c r="P40" i="33"/>
  <c r="Q40" i="33"/>
  <c r="R40" i="33"/>
  <c r="S40" i="33"/>
  <c r="T40" i="33"/>
  <c r="U40" i="33"/>
  <c r="V40" i="33"/>
  <c r="W40" i="33"/>
  <c r="X40" i="33"/>
  <c r="Y40" i="33"/>
  <c r="Z40" i="33"/>
  <c r="C39" i="33"/>
  <c r="D39" i="33"/>
  <c r="E39" i="33"/>
  <c r="F39" i="33"/>
  <c r="G39" i="33"/>
  <c r="H39" i="33"/>
  <c r="I39" i="33"/>
  <c r="J39" i="33"/>
  <c r="AK15" i="33" s="1"/>
  <c r="K39" i="33"/>
  <c r="L39" i="33"/>
  <c r="M39" i="33"/>
  <c r="AN15" i="33" s="1"/>
  <c r="N39" i="33"/>
  <c r="O39" i="33"/>
  <c r="P39" i="33"/>
  <c r="Q39" i="33"/>
  <c r="R39" i="33"/>
  <c r="S39" i="33"/>
  <c r="T39" i="33"/>
  <c r="U39" i="33"/>
  <c r="V39" i="33"/>
  <c r="W39" i="33"/>
  <c r="X39" i="33"/>
  <c r="Y39" i="33"/>
  <c r="Z39" i="33"/>
  <c r="BA15" i="33" s="1"/>
  <c r="C38" i="33"/>
  <c r="D38" i="33"/>
  <c r="E38" i="33"/>
  <c r="E41" i="33" s="1"/>
  <c r="F38" i="33"/>
  <c r="F302" i="33" s="1"/>
  <c r="G38" i="33"/>
  <c r="G302" i="33" s="1"/>
  <c r="H38" i="33"/>
  <c r="I38" i="33"/>
  <c r="J38" i="33"/>
  <c r="J302" i="33" s="1"/>
  <c r="K38" i="33"/>
  <c r="L38" i="33"/>
  <c r="M38" i="33"/>
  <c r="M302" i="33" s="1"/>
  <c r="N38" i="33"/>
  <c r="N302" i="33" s="1"/>
  <c r="O38" i="33"/>
  <c r="O302" i="33" s="1"/>
  <c r="P38" i="33"/>
  <c r="P302" i="33" s="1"/>
  <c r="Q38" i="33"/>
  <c r="R38" i="33"/>
  <c r="S38" i="33"/>
  <c r="T38" i="33"/>
  <c r="U38" i="33"/>
  <c r="V38" i="33"/>
  <c r="V302" i="33" s="1"/>
  <c r="W38" i="33"/>
  <c r="W302" i="33" s="1"/>
  <c r="X38" i="33"/>
  <c r="X302" i="33" s="1"/>
  <c r="Y38" i="33"/>
  <c r="Z38" i="33"/>
  <c r="C37" i="33"/>
  <c r="D37" i="33"/>
  <c r="D41" i="33" s="1"/>
  <c r="E37" i="33"/>
  <c r="F37" i="33"/>
  <c r="F41" i="33" s="1"/>
  <c r="G37" i="33"/>
  <c r="H37" i="33"/>
  <c r="I37" i="33"/>
  <c r="I41" i="33" s="1"/>
  <c r="J37" i="33"/>
  <c r="J41" i="33" s="1"/>
  <c r="K37" i="33"/>
  <c r="AL14" i="33" s="1"/>
  <c r="L37" i="33"/>
  <c r="M37" i="33"/>
  <c r="N37" i="33"/>
  <c r="O37" i="33"/>
  <c r="P37" i="33"/>
  <c r="Q37" i="33"/>
  <c r="Q41" i="33" s="1"/>
  <c r="R37" i="33"/>
  <c r="R41" i="33" s="1"/>
  <c r="S37" i="33"/>
  <c r="S41" i="33" s="1"/>
  <c r="T37" i="33"/>
  <c r="AU14" i="33" s="1"/>
  <c r="U37" i="33"/>
  <c r="V37" i="33"/>
  <c r="W37" i="33"/>
  <c r="X37" i="33"/>
  <c r="Y37" i="33"/>
  <c r="Y41" i="33" s="1"/>
  <c r="Z37" i="33"/>
  <c r="BA14" i="33" s="1"/>
  <c r="B40" i="33"/>
  <c r="AC15" i="33" s="1"/>
  <c r="B39" i="33"/>
  <c r="B38" i="33"/>
  <c r="B37" i="33"/>
  <c r="AC14" i="33" s="1"/>
  <c r="Z25" i="33"/>
  <c r="Z26" i="33"/>
  <c r="Z27" i="33"/>
  <c r="Z28" i="33"/>
  <c r="Z29" i="33"/>
  <c r="Z30" i="33"/>
  <c r="Z31" i="33"/>
  <c r="Z32" i="33"/>
  <c r="Z33" i="33"/>
  <c r="Z34" i="33"/>
  <c r="Z35" i="33"/>
  <c r="Z36" i="33"/>
  <c r="Z24" i="33"/>
  <c r="B23" i="33"/>
  <c r="B287" i="33" s="1"/>
  <c r="AC274" i="33" s="1"/>
  <c r="B22" i="33"/>
  <c r="B11" i="33"/>
  <c r="B12" i="33"/>
  <c r="B13" i="33"/>
  <c r="B14" i="33"/>
  <c r="B15" i="33"/>
  <c r="B16" i="33"/>
  <c r="B17" i="33"/>
  <c r="B18" i="33"/>
  <c r="B19" i="33"/>
  <c r="B20" i="33"/>
  <c r="B21" i="33"/>
  <c r="B10" i="33"/>
  <c r="T121" i="33"/>
  <c r="L121" i="33"/>
  <c r="D121" i="33"/>
  <c r="AV95" i="33"/>
  <c r="AN95" i="33"/>
  <c r="AF95" i="33"/>
  <c r="AO97" i="33"/>
  <c r="AN97" i="33"/>
  <c r="AU96" i="33"/>
  <c r="AM96" i="33"/>
  <c r="AE96" i="33"/>
  <c r="AU95" i="33"/>
  <c r="AT95" i="33"/>
  <c r="AM95" i="33"/>
  <c r="AL95" i="33"/>
  <c r="AE95" i="33"/>
  <c r="AO94" i="33"/>
  <c r="AF94" i="33"/>
  <c r="AC91" i="33"/>
  <c r="D436" i="33" s="1"/>
  <c r="D450" i="33" s="1"/>
  <c r="D468" i="33" s="1"/>
  <c r="D50" i="39" s="1"/>
  <c r="N81" i="33"/>
  <c r="AX55" i="33"/>
  <c r="AP55" i="33"/>
  <c r="G81" i="33"/>
  <c r="AC51" i="33"/>
  <c r="C436" i="33" s="1"/>
  <c r="C450" i="33" s="1"/>
  <c r="C468" i="33" s="1"/>
  <c r="D49" i="39" s="1"/>
  <c r="AX57" i="33"/>
  <c r="AS57" i="33"/>
  <c r="AX56" i="33"/>
  <c r="AW56" i="33"/>
  <c r="AO56" i="33"/>
  <c r="AM56" i="33"/>
  <c r="AH56" i="33"/>
  <c r="AG56" i="33"/>
  <c r="AF56" i="33"/>
  <c r="AC56" i="33"/>
  <c r="AW55" i="33"/>
  <c r="AO55" i="33"/>
  <c r="AN55" i="33"/>
  <c r="AG55" i="33"/>
  <c r="AX54" i="33"/>
  <c r="AU54" i="33"/>
  <c r="AO54" i="33"/>
  <c r="AC54" i="33"/>
  <c r="AV15" i="33"/>
  <c r="AF15" i="33"/>
  <c r="AW15" i="33"/>
  <c r="AO15" i="33"/>
  <c r="AG15" i="33"/>
  <c r="AX14" i="33"/>
  <c r="AX17" i="33"/>
  <c r="AV17" i="33"/>
  <c r="AU17" i="33"/>
  <c r="AP17" i="33"/>
  <c r="AN17" i="33"/>
  <c r="AM17" i="33"/>
  <c r="AH17" i="33"/>
  <c r="AF17" i="33"/>
  <c r="AE17" i="33"/>
  <c r="AX16" i="33"/>
  <c r="AW16" i="33"/>
  <c r="AO16" i="33"/>
  <c r="AN16" i="33"/>
  <c r="AG16" i="33"/>
  <c r="AZ15" i="33"/>
  <c r="AO14" i="33"/>
  <c r="AF14" i="33"/>
  <c r="C119" i="24"/>
  <c r="D119" i="24"/>
  <c r="E119" i="24"/>
  <c r="F119" i="24"/>
  <c r="G119" i="24"/>
  <c r="H119" i="24"/>
  <c r="I119" i="24"/>
  <c r="J119" i="24"/>
  <c r="K119" i="24"/>
  <c r="L119" i="24"/>
  <c r="M119" i="24"/>
  <c r="N119" i="24"/>
  <c r="O119" i="24"/>
  <c r="P119" i="24"/>
  <c r="Q119" i="24"/>
  <c r="R119" i="24"/>
  <c r="S119" i="24"/>
  <c r="T119" i="24"/>
  <c r="U119" i="24"/>
  <c r="V119" i="24"/>
  <c r="W119" i="24"/>
  <c r="X119" i="24"/>
  <c r="Y119" i="24"/>
  <c r="Z119" i="24"/>
  <c r="B119" i="24"/>
  <c r="C79" i="24"/>
  <c r="D79" i="24"/>
  <c r="E79" i="24"/>
  <c r="F79" i="24"/>
  <c r="G79" i="24"/>
  <c r="H79" i="24"/>
  <c r="I79" i="24"/>
  <c r="J79" i="24"/>
  <c r="K79" i="24"/>
  <c r="L79" i="24"/>
  <c r="M79" i="24"/>
  <c r="N79" i="24"/>
  <c r="O79" i="24"/>
  <c r="P79" i="24"/>
  <c r="Q79" i="24"/>
  <c r="R79" i="24"/>
  <c r="S79" i="24"/>
  <c r="T79" i="24"/>
  <c r="U79" i="24"/>
  <c r="V79" i="24"/>
  <c r="W79" i="24"/>
  <c r="X79" i="24"/>
  <c r="Y79" i="24"/>
  <c r="Z79" i="24"/>
  <c r="B79" i="24"/>
  <c r="C39" i="24"/>
  <c r="D39" i="24"/>
  <c r="E39" i="24"/>
  <c r="F39" i="24"/>
  <c r="G39" i="24"/>
  <c r="H39" i="24"/>
  <c r="I39" i="24"/>
  <c r="J39" i="24"/>
  <c r="K39" i="24"/>
  <c r="L39" i="24"/>
  <c r="M39" i="24"/>
  <c r="N39" i="24"/>
  <c r="O39" i="24"/>
  <c r="P39" i="24"/>
  <c r="Q39" i="24"/>
  <c r="R39" i="24"/>
  <c r="S39" i="24"/>
  <c r="T39" i="24"/>
  <c r="U39" i="24"/>
  <c r="V39" i="24"/>
  <c r="W39" i="24"/>
  <c r="X39" i="24"/>
  <c r="Y39" i="24"/>
  <c r="Z39" i="24"/>
  <c r="B39" i="24"/>
  <c r="B103" i="24"/>
  <c r="B408" i="24" s="1"/>
  <c r="AC395" i="24" s="1"/>
  <c r="B63" i="24"/>
  <c r="B347" i="24" s="1"/>
  <c r="AC334" i="24" s="1"/>
  <c r="B23" i="24"/>
  <c r="B287" i="24" s="1"/>
  <c r="AC274" i="24" s="1"/>
  <c r="C119" i="23"/>
  <c r="D119" i="23"/>
  <c r="E119" i="23"/>
  <c r="F119" i="23"/>
  <c r="G119" i="23"/>
  <c r="H119" i="23"/>
  <c r="I119" i="23"/>
  <c r="J119" i="23"/>
  <c r="K119" i="23"/>
  <c r="L119" i="23"/>
  <c r="M119" i="23"/>
  <c r="N119" i="23"/>
  <c r="O119" i="23"/>
  <c r="P119" i="23"/>
  <c r="Q119" i="23"/>
  <c r="R119" i="23"/>
  <c r="S119" i="23"/>
  <c r="T119" i="23"/>
  <c r="U119" i="23"/>
  <c r="V119" i="23"/>
  <c r="W119" i="23"/>
  <c r="X119" i="23"/>
  <c r="Y119" i="23"/>
  <c r="Z119" i="23"/>
  <c r="B119" i="23"/>
  <c r="C79" i="23"/>
  <c r="D79" i="23"/>
  <c r="E79" i="23"/>
  <c r="F79" i="23"/>
  <c r="G79" i="23"/>
  <c r="H79" i="23"/>
  <c r="I79" i="23"/>
  <c r="J79" i="23"/>
  <c r="K79" i="23"/>
  <c r="L79" i="23"/>
  <c r="M79" i="23"/>
  <c r="N79" i="23"/>
  <c r="O79" i="23"/>
  <c r="P79" i="23"/>
  <c r="Q79" i="23"/>
  <c r="R79" i="23"/>
  <c r="S79" i="23"/>
  <c r="T79" i="23"/>
  <c r="U79" i="23"/>
  <c r="V79" i="23"/>
  <c r="W79" i="23"/>
  <c r="X79" i="23"/>
  <c r="Y79" i="23"/>
  <c r="Z79" i="23"/>
  <c r="B79" i="23"/>
  <c r="C39" i="23"/>
  <c r="D39" i="23"/>
  <c r="E39" i="23"/>
  <c r="F39" i="23"/>
  <c r="G39" i="23"/>
  <c r="H39" i="23"/>
  <c r="I39" i="23"/>
  <c r="J39" i="23"/>
  <c r="K39" i="23"/>
  <c r="L39" i="23"/>
  <c r="M39" i="23"/>
  <c r="N39" i="23"/>
  <c r="O39" i="23"/>
  <c r="P39" i="23"/>
  <c r="Q39" i="23"/>
  <c r="R39" i="23"/>
  <c r="S39" i="23"/>
  <c r="T39" i="23"/>
  <c r="U39" i="23"/>
  <c r="V39" i="23"/>
  <c r="W39" i="23"/>
  <c r="X39" i="23"/>
  <c r="Y39" i="23"/>
  <c r="Z39" i="23"/>
  <c r="B39" i="23"/>
  <c r="B103" i="23"/>
  <c r="B408" i="23" s="1"/>
  <c r="AC395" i="23" s="1"/>
  <c r="B63" i="23"/>
  <c r="B347" i="23" s="1"/>
  <c r="AC334" i="23" s="1"/>
  <c r="B23" i="23"/>
  <c r="B287" i="23" s="1"/>
  <c r="AC274" i="23" s="1"/>
  <c r="C79" i="22"/>
  <c r="D79" i="22"/>
  <c r="E79" i="22"/>
  <c r="F79" i="22"/>
  <c r="G79" i="22"/>
  <c r="H79" i="22"/>
  <c r="I79" i="22"/>
  <c r="J79" i="22"/>
  <c r="K79" i="22"/>
  <c r="L79" i="22"/>
  <c r="M79" i="22"/>
  <c r="N79" i="22"/>
  <c r="O79" i="22"/>
  <c r="P79" i="22"/>
  <c r="Q79" i="22"/>
  <c r="R79" i="22"/>
  <c r="S79" i="22"/>
  <c r="T79" i="22"/>
  <c r="U79" i="22"/>
  <c r="V79" i="22"/>
  <c r="W79" i="22"/>
  <c r="X79" i="22"/>
  <c r="Y79" i="22"/>
  <c r="Z79" i="22"/>
  <c r="B79" i="22"/>
  <c r="C119" i="22"/>
  <c r="D119" i="22"/>
  <c r="E119" i="22"/>
  <c r="F119" i="22"/>
  <c r="G119" i="22"/>
  <c r="H119" i="22"/>
  <c r="I119" i="22"/>
  <c r="J119" i="22"/>
  <c r="K119" i="22"/>
  <c r="L119" i="22"/>
  <c r="M119" i="22"/>
  <c r="N119" i="22"/>
  <c r="O119" i="22"/>
  <c r="P119" i="22"/>
  <c r="Q119" i="22"/>
  <c r="R119" i="22"/>
  <c r="S119" i="22"/>
  <c r="T119" i="22"/>
  <c r="U119" i="22"/>
  <c r="V119" i="22"/>
  <c r="W119" i="22"/>
  <c r="X119" i="22"/>
  <c r="Y119" i="22"/>
  <c r="Z119" i="22"/>
  <c r="B119" i="22"/>
  <c r="B103" i="22"/>
  <c r="B63" i="22"/>
  <c r="B347" i="22" s="1"/>
  <c r="AC334" i="22" s="1"/>
  <c r="B62" i="22"/>
  <c r="B346" i="22" s="1"/>
  <c r="B78" i="22"/>
  <c r="C39" i="22"/>
  <c r="D39" i="22"/>
  <c r="E39" i="22"/>
  <c r="F39" i="22"/>
  <c r="G39" i="22"/>
  <c r="H39" i="22"/>
  <c r="I39" i="22"/>
  <c r="J39" i="22"/>
  <c r="K39" i="22"/>
  <c r="L39" i="22"/>
  <c r="M39" i="22"/>
  <c r="N39" i="22"/>
  <c r="O39" i="22"/>
  <c r="P39" i="22"/>
  <c r="Q39" i="22"/>
  <c r="R39" i="22"/>
  <c r="S39" i="22"/>
  <c r="T39" i="22"/>
  <c r="U39" i="22"/>
  <c r="V39" i="22"/>
  <c r="W39" i="22"/>
  <c r="X39" i="22"/>
  <c r="Y39" i="22"/>
  <c r="Z39" i="22"/>
  <c r="B39" i="22"/>
  <c r="B23" i="22"/>
  <c r="B287" i="22" s="1"/>
  <c r="AC274" i="22" s="1"/>
  <c r="K128" i="43" l="1"/>
  <c r="K140" i="43" s="1"/>
  <c r="AM58" i="34"/>
  <c r="AY98" i="34"/>
  <c r="AT18" i="34"/>
  <c r="F439" i="26"/>
  <c r="F453" i="26" s="1"/>
  <c r="F471" i="26" s="1"/>
  <c r="G38" i="40" s="1"/>
  <c r="G441" i="26"/>
  <c r="G455" i="26" s="1"/>
  <c r="G473" i="26" s="1"/>
  <c r="I39" i="40" s="1"/>
  <c r="G439" i="26"/>
  <c r="G453" i="26" s="1"/>
  <c r="G471" i="26" s="1"/>
  <c r="G39" i="40" s="1"/>
  <c r="F441" i="26"/>
  <c r="F455" i="26" s="1"/>
  <c r="F473" i="26" s="1"/>
  <c r="I38" i="40" s="1"/>
  <c r="G442" i="24"/>
  <c r="G456" i="24" s="1"/>
  <c r="G474" i="24" s="1"/>
  <c r="J11" i="39" s="1"/>
  <c r="E442" i="24"/>
  <c r="E456" i="24" s="1"/>
  <c r="E474" i="24" s="1"/>
  <c r="J9" i="39" s="1"/>
  <c r="G439" i="24"/>
  <c r="G453" i="24" s="1"/>
  <c r="G471" i="24" s="1"/>
  <c r="G11" i="39" s="1"/>
  <c r="F442" i="24"/>
  <c r="F456" i="24" s="1"/>
  <c r="F474" i="24" s="1"/>
  <c r="J10" i="39" s="1"/>
  <c r="E442" i="27"/>
  <c r="E456" i="27" s="1"/>
  <c r="E474" i="27" s="1"/>
  <c r="J23" i="40" s="1"/>
  <c r="AU18" i="34"/>
  <c r="B443" i="34"/>
  <c r="B457" i="34" s="1"/>
  <c r="AD18" i="34"/>
  <c r="E442" i="34"/>
  <c r="E456" i="34" s="1"/>
  <c r="E474" i="34" s="1"/>
  <c r="J51" i="40" s="1"/>
  <c r="D441" i="34"/>
  <c r="D455" i="34" s="1"/>
  <c r="D473" i="34" s="1"/>
  <c r="I50" i="40" s="1"/>
  <c r="C441" i="34"/>
  <c r="C455" i="34" s="1"/>
  <c r="C473" i="34" s="1"/>
  <c r="I49" i="40" s="1"/>
  <c r="AK16" i="33"/>
  <c r="AF181" i="33"/>
  <c r="G121" i="33"/>
  <c r="BA93" i="33"/>
  <c r="D438" i="33" s="1"/>
  <c r="D452" i="33" s="1"/>
  <c r="D470" i="33" s="1"/>
  <c r="F50" i="39" s="1"/>
  <c r="BA53" i="33"/>
  <c r="C438" i="33" s="1"/>
  <c r="C452" i="33" s="1"/>
  <c r="C470" i="33" s="1"/>
  <c r="F49" i="39" s="1"/>
  <c r="AW96" i="33"/>
  <c r="E442" i="23"/>
  <c r="E456" i="23" s="1"/>
  <c r="E474" i="23" s="1"/>
  <c r="J23" i="39" s="1"/>
  <c r="F441" i="22"/>
  <c r="F455" i="22" s="1"/>
  <c r="F473" i="22" s="1"/>
  <c r="I38" i="39" s="1"/>
  <c r="G439" i="22"/>
  <c r="G453" i="22" s="1"/>
  <c r="G471" i="22" s="1"/>
  <c r="G39" i="39" s="1"/>
  <c r="G442" i="22"/>
  <c r="G456" i="22" s="1"/>
  <c r="G474" i="22" s="1"/>
  <c r="J39" i="39" s="1"/>
  <c r="H454" i="32"/>
  <c r="J154" i="43" s="1"/>
  <c r="G442" i="32"/>
  <c r="F439" i="9"/>
  <c r="G441" i="9"/>
  <c r="F442" i="33"/>
  <c r="F456" i="33" s="1"/>
  <c r="F474" i="33" s="1"/>
  <c r="J52" i="39" s="1"/>
  <c r="M41" i="33"/>
  <c r="AJ96" i="33"/>
  <c r="AL96" i="33"/>
  <c r="AN96" i="33"/>
  <c r="AN98" i="33" s="1"/>
  <c r="AH16" i="33"/>
  <c r="AC96" i="33"/>
  <c r="AV96" i="33"/>
  <c r="E442" i="33"/>
  <c r="E456" i="33" s="1"/>
  <c r="E474" i="33" s="1"/>
  <c r="J51" i="39" s="1"/>
  <c r="AF96" i="33"/>
  <c r="G41" i="33"/>
  <c r="AP16" i="33"/>
  <c r="G442" i="33"/>
  <c r="G456" i="33" s="1"/>
  <c r="G474" i="33" s="1"/>
  <c r="J53" i="39" s="1"/>
  <c r="AE181" i="33"/>
  <c r="AR181" i="32"/>
  <c r="AI140" i="32"/>
  <c r="BA181" i="32"/>
  <c r="BA140" i="32"/>
  <c r="F442" i="32"/>
  <c r="AO140" i="32"/>
  <c r="F439" i="32"/>
  <c r="F453" i="32" s="1"/>
  <c r="E442" i="32"/>
  <c r="E456" i="32" s="1"/>
  <c r="F442" i="28"/>
  <c r="F456" i="28" s="1"/>
  <c r="F474" i="28" s="1"/>
  <c r="J10" i="40" s="1"/>
  <c r="G439" i="28"/>
  <c r="G453" i="28" s="1"/>
  <c r="G471" i="28" s="1"/>
  <c r="G11" i="40" s="1"/>
  <c r="E442" i="28"/>
  <c r="E456" i="28" s="1"/>
  <c r="E474" i="28" s="1"/>
  <c r="J9" i="40" s="1"/>
  <c r="F439" i="28"/>
  <c r="F453" i="28" s="1"/>
  <c r="F471" i="28" s="1"/>
  <c r="G10" i="40" s="1"/>
  <c r="G441" i="28"/>
  <c r="G455" i="28" s="1"/>
  <c r="G473" i="28" s="1"/>
  <c r="I11" i="40" s="1"/>
  <c r="G442" i="28"/>
  <c r="G456" i="28" s="1"/>
  <c r="G474" i="28" s="1"/>
  <c r="J11" i="40" s="1"/>
  <c r="F441" i="28"/>
  <c r="F455" i="28" s="1"/>
  <c r="F473" i="28" s="1"/>
  <c r="I10" i="40" s="1"/>
  <c r="E441" i="28"/>
  <c r="E455" i="28" s="1"/>
  <c r="E473" i="28" s="1"/>
  <c r="I9" i="40" s="1"/>
  <c r="C443" i="34"/>
  <c r="C457" i="34" s="1"/>
  <c r="C475" i="34" s="1"/>
  <c r="K49" i="40" s="1"/>
  <c r="AW281" i="34"/>
  <c r="AW283" i="34" s="1"/>
  <c r="V306" i="34"/>
  <c r="AK341" i="34"/>
  <c r="AK343" i="34" s="1"/>
  <c r="J366" i="34"/>
  <c r="AL281" i="34"/>
  <c r="AL283" i="34" s="1"/>
  <c r="K306" i="34"/>
  <c r="AQ18" i="34"/>
  <c r="BA181" i="34"/>
  <c r="F437" i="34"/>
  <c r="F451" i="34" s="1"/>
  <c r="F469" i="34" s="1"/>
  <c r="E52" i="40" s="1"/>
  <c r="AF140" i="34"/>
  <c r="AV402" i="34"/>
  <c r="AV404" i="34" s="1"/>
  <c r="U427" i="34"/>
  <c r="AW341" i="34"/>
  <c r="AW343" i="34" s="1"/>
  <c r="V366" i="34"/>
  <c r="AF341" i="34"/>
  <c r="AF343" i="34" s="1"/>
  <c r="E366" i="34"/>
  <c r="BA337" i="34"/>
  <c r="Z366" i="34"/>
  <c r="AX402" i="34"/>
  <c r="AX404" i="34" s="1"/>
  <c r="W427" i="34"/>
  <c r="AY341" i="34"/>
  <c r="AY343" i="34" s="1"/>
  <c r="X366" i="34"/>
  <c r="AK402" i="34"/>
  <c r="AK404" i="34" s="1"/>
  <c r="J427" i="34"/>
  <c r="AM341" i="34"/>
  <c r="AM343" i="34" s="1"/>
  <c r="L366" i="34"/>
  <c r="BA222" i="34"/>
  <c r="G437" i="34"/>
  <c r="G451" i="34" s="1"/>
  <c r="G469" i="34" s="1"/>
  <c r="E53" i="40" s="1"/>
  <c r="AW402" i="34"/>
  <c r="AW404" i="34" s="1"/>
  <c r="V427" i="34"/>
  <c r="AV341" i="34"/>
  <c r="AV343" i="34" s="1"/>
  <c r="U366" i="34"/>
  <c r="AN281" i="34"/>
  <c r="AN283" i="34" s="1"/>
  <c r="M306" i="34"/>
  <c r="AM98" i="34"/>
  <c r="D443" i="34"/>
  <c r="D457" i="34" s="1"/>
  <c r="D475" i="34" s="1"/>
  <c r="K50" i="40" s="1"/>
  <c r="AY18" i="34"/>
  <c r="AZ58" i="34"/>
  <c r="AF98" i="34"/>
  <c r="BA140" i="34"/>
  <c r="E437" i="34"/>
  <c r="E451" i="34" s="1"/>
  <c r="E469" i="34" s="1"/>
  <c r="E51" i="40" s="1"/>
  <c r="AC181" i="34"/>
  <c r="F444" i="34" s="1"/>
  <c r="F458" i="34" s="1"/>
  <c r="F476" i="34" s="1"/>
  <c r="L52" i="40" s="1"/>
  <c r="F435" i="34"/>
  <c r="F449" i="34" s="1"/>
  <c r="F467" i="34" s="1"/>
  <c r="C52" i="40" s="1"/>
  <c r="AC222" i="34"/>
  <c r="BA277" i="34"/>
  <c r="Z306" i="34"/>
  <c r="AU402" i="34"/>
  <c r="AU404" i="34" s="1"/>
  <c r="T427" i="34"/>
  <c r="AJ341" i="34"/>
  <c r="AJ343" i="34" s="1"/>
  <c r="I366" i="34"/>
  <c r="AS281" i="34"/>
  <c r="AS283" i="34" s="1"/>
  <c r="R306" i="34"/>
  <c r="AJ402" i="34"/>
  <c r="AJ404" i="34" s="1"/>
  <c r="I427" i="34"/>
  <c r="AS341" i="34"/>
  <c r="AS343" i="34" s="1"/>
  <c r="R366" i="34"/>
  <c r="AC335" i="34"/>
  <c r="B366" i="34"/>
  <c r="AX281" i="34"/>
  <c r="AX283" i="34" s="1"/>
  <c r="W306" i="34"/>
  <c r="AQ58" i="34"/>
  <c r="B441" i="34"/>
  <c r="B455" i="34" s="1"/>
  <c r="B473" i="34" s="1"/>
  <c r="I48" i="40" s="1"/>
  <c r="AC58" i="34"/>
  <c r="C435" i="34"/>
  <c r="C449" i="34" s="1"/>
  <c r="C467" i="34" s="1"/>
  <c r="C49" i="40" s="1"/>
  <c r="AC140" i="34"/>
  <c r="E435" i="34"/>
  <c r="E449" i="34" s="1"/>
  <c r="E467" i="34" s="1"/>
  <c r="C51" i="40" s="1"/>
  <c r="E439" i="34"/>
  <c r="E453" i="34" s="1"/>
  <c r="E471" i="34" s="1"/>
  <c r="G51" i="40" s="1"/>
  <c r="AC402" i="34"/>
  <c r="B427" i="34"/>
  <c r="AH341" i="34"/>
  <c r="AH343" i="34" s="1"/>
  <c r="G366" i="34"/>
  <c r="AI281" i="34"/>
  <c r="AI283" i="34" s="1"/>
  <c r="H306" i="34"/>
  <c r="BA398" i="34"/>
  <c r="Z427" i="34"/>
  <c r="AS402" i="34"/>
  <c r="AS404" i="34" s="1"/>
  <c r="R427" i="34"/>
  <c r="AU341" i="34"/>
  <c r="AU343" i="34" s="1"/>
  <c r="T366" i="34"/>
  <c r="AI98" i="34"/>
  <c r="D442" i="34"/>
  <c r="D456" i="34" s="1"/>
  <c r="D474" i="34" s="1"/>
  <c r="J50" i="40" s="1"/>
  <c r="C442" i="34"/>
  <c r="C456" i="34" s="1"/>
  <c r="C474" i="34" s="1"/>
  <c r="J49" i="40" s="1"/>
  <c r="AG402" i="34"/>
  <c r="AG404" i="34" s="1"/>
  <c r="F427" i="34"/>
  <c r="AN341" i="34"/>
  <c r="AN343" i="34" s="1"/>
  <c r="M366" i="34"/>
  <c r="AR341" i="34"/>
  <c r="AR343" i="34" s="1"/>
  <c r="Q366" i="34"/>
  <c r="AR402" i="34"/>
  <c r="AR404" i="34" s="1"/>
  <c r="Q427" i="34"/>
  <c r="AO281" i="34"/>
  <c r="AO283" i="34" s="1"/>
  <c r="N306" i="34"/>
  <c r="AO58" i="34"/>
  <c r="AZ18" i="34"/>
  <c r="AG341" i="34"/>
  <c r="F366" i="34"/>
  <c r="AP341" i="34"/>
  <c r="AP343" i="34" s="1"/>
  <c r="O366" i="34"/>
  <c r="AQ281" i="34"/>
  <c r="AQ283" i="34" s="1"/>
  <c r="P306" i="34"/>
  <c r="AH402" i="34"/>
  <c r="AH404" i="34" s="1"/>
  <c r="G427" i="34"/>
  <c r="AI341" i="34"/>
  <c r="AI343" i="34" s="1"/>
  <c r="H366" i="34"/>
  <c r="B442" i="34"/>
  <c r="B456" i="34" s="1"/>
  <c r="B474" i="34" s="1"/>
  <c r="J48" i="40" s="1"/>
  <c r="AP281" i="34"/>
  <c r="AP283" i="34" s="1"/>
  <c r="O306" i="34"/>
  <c r="G441" i="34"/>
  <c r="G455" i="34" s="1"/>
  <c r="G473" i="34" s="1"/>
  <c r="I53" i="40" s="1"/>
  <c r="AG281" i="34"/>
  <c r="AG283" i="34" s="1"/>
  <c r="F306" i="34"/>
  <c r="AZ341" i="34"/>
  <c r="AZ343" i="34" s="1"/>
  <c r="Y366" i="34"/>
  <c r="AZ402" i="34"/>
  <c r="AZ404" i="34" s="1"/>
  <c r="Y427" i="34"/>
  <c r="AD281" i="34"/>
  <c r="AD283" i="34" s="1"/>
  <c r="C306" i="34"/>
  <c r="AE402" i="34"/>
  <c r="AE404" i="34" s="1"/>
  <c r="D427" i="34"/>
  <c r="AC275" i="34"/>
  <c r="B306" i="34"/>
  <c r="AD98" i="34"/>
  <c r="AP58" i="34"/>
  <c r="AJ18" i="34"/>
  <c r="AS98" i="34"/>
  <c r="AN402" i="34"/>
  <c r="AN404" i="34" s="1"/>
  <c r="M427" i="34"/>
  <c r="AO341" i="34"/>
  <c r="AO343" i="34" s="1"/>
  <c r="N366" i="34"/>
  <c r="AM402" i="34"/>
  <c r="AM404" i="34" s="1"/>
  <c r="L427" i="34"/>
  <c r="AY281" i="34"/>
  <c r="AY283" i="34" s="1"/>
  <c r="X306" i="34"/>
  <c r="AP402" i="34"/>
  <c r="AP404" i="34" s="1"/>
  <c r="O427" i="34"/>
  <c r="AQ341" i="34"/>
  <c r="AQ343" i="34" s="1"/>
  <c r="P366" i="34"/>
  <c r="B439" i="34"/>
  <c r="B453" i="34" s="1"/>
  <c r="B471" i="34" s="1"/>
  <c r="G48" i="40" s="1"/>
  <c r="E441" i="27"/>
  <c r="E455" i="27" s="1"/>
  <c r="E473" i="27" s="1"/>
  <c r="I23" i="40" s="1"/>
  <c r="G441" i="27"/>
  <c r="G455" i="27" s="1"/>
  <c r="G473" i="27" s="1"/>
  <c r="I25" i="40" s="1"/>
  <c r="E444" i="34"/>
  <c r="E458" i="34" s="1"/>
  <c r="E476" i="34" s="1"/>
  <c r="L51" i="40" s="1"/>
  <c r="AC343" i="26"/>
  <c r="F441" i="34"/>
  <c r="F455" i="34" s="1"/>
  <c r="F473" i="34" s="1"/>
  <c r="I52" i="40" s="1"/>
  <c r="E441" i="26"/>
  <c r="E455" i="26" s="1"/>
  <c r="E473" i="26" s="1"/>
  <c r="I37" i="40" s="1"/>
  <c r="E441" i="34"/>
  <c r="E455" i="34" s="1"/>
  <c r="E473" i="34" s="1"/>
  <c r="I51" i="40" s="1"/>
  <c r="J435" i="24"/>
  <c r="J449" i="24" s="1"/>
  <c r="J467" i="24" s="1"/>
  <c r="C14" i="39" s="1"/>
  <c r="I435" i="24"/>
  <c r="I449" i="24" s="1"/>
  <c r="I467" i="24" s="1"/>
  <c r="C13" i="39" s="1"/>
  <c r="F441" i="24"/>
  <c r="F455" i="24" s="1"/>
  <c r="F473" i="24" s="1"/>
  <c r="I10" i="39" s="1"/>
  <c r="G441" i="24"/>
  <c r="G455" i="24" s="1"/>
  <c r="G473" i="24" s="1"/>
  <c r="I11" i="39" s="1"/>
  <c r="H435" i="24"/>
  <c r="H449" i="24" s="1"/>
  <c r="H467" i="24" s="1"/>
  <c r="C12" i="39" s="1"/>
  <c r="AE16" i="33"/>
  <c r="D302" i="33"/>
  <c r="AC181" i="33"/>
  <c r="F435" i="33"/>
  <c r="F449" i="33" s="1"/>
  <c r="F467" i="33" s="1"/>
  <c r="C52" i="39" s="1"/>
  <c r="AW281" i="33"/>
  <c r="AW283" i="33" s="1"/>
  <c r="V306" i="33"/>
  <c r="AO281" i="33"/>
  <c r="AO283" i="33" s="1"/>
  <c r="N306" i="33"/>
  <c r="AG281" i="33"/>
  <c r="AG283" i="33" s="1"/>
  <c r="F306" i="33"/>
  <c r="AC335" i="33"/>
  <c r="I436" i="33" s="1"/>
  <c r="I450" i="33" s="1"/>
  <c r="I468" i="33" s="1"/>
  <c r="D55" i="39" s="1"/>
  <c r="B366" i="33"/>
  <c r="AU402" i="33"/>
  <c r="AU404" i="33" s="1"/>
  <c r="T427" i="33"/>
  <c r="AM402" i="33"/>
  <c r="AM404" i="33" s="1"/>
  <c r="L427" i="33"/>
  <c r="AE402" i="33"/>
  <c r="AE404" i="33" s="1"/>
  <c r="D427" i="33"/>
  <c r="G441" i="33"/>
  <c r="G455" i="33" s="1"/>
  <c r="G473" i="33" s="1"/>
  <c r="I53" i="39" s="1"/>
  <c r="BA96" i="33"/>
  <c r="Z423" i="33"/>
  <c r="BA402" i="33" s="1"/>
  <c r="AC11" i="33"/>
  <c r="B436" i="33" s="1"/>
  <c r="B450" i="33" s="1"/>
  <c r="B468" i="33" s="1"/>
  <c r="D48" i="39" s="1"/>
  <c r="B286" i="33"/>
  <c r="AC16" i="33"/>
  <c r="B302" i="33"/>
  <c r="AC281" i="33" s="1"/>
  <c r="AV16" i="33"/>
  <c r="AV18" i="33" s="1"/>
  <c r="U302" i="33"/>
  <c r="AN281" i="33"/>
  <c r="AN283" i="33" s="1"/>
  <c r="M306" i="33"/>
  <c r="AF16" i="33"/>
  <c r="E302" i="33"/>
  <c r="I435" i="33"/>
  <c r="I449" i="33" s="1"/>
  <c r="I467" i="33" s="1"/>
  <c r="C55" i="39" s="1"/>
  <c r="AT96" i="33"/>
  <c r="S423" i="33"/>
  <c r="AL402" i="33"/>
  <c r="AL404" i="33" s="1"/>
  <c r="K427" i="33"/>
  <c r="AD96" i="33"/>
  <c r="C423" i="33"/>
  <c r="AC222" i="33"/>
  <c r="G435" i="33"/>
  <c r="G449" i="33" s="1"/>
  <c r="G467" i="33" s="1"/>
  <c r="C53" i="39" s="1"/>
  <c r="AT16" i="33"/>
  <c r="S302" i="33"/>
  <c r="AL16" i="33"/>
  <c r="K302" i="33"/>
  <c r="AD16" i="33"/>
  <c r="C302" i="33"/>
  <c r="AZ96" i="33"/>
  <c r="Y423" i="33"/>
  <c r="AR96" i="33"/>
  <c r="Q423" i="33"/>
  <c r="AJ402" i="33"/>
  <c r="AJ404" i="33" s="1"/>
  <c r="I427" i="33"/>
  <c r="E439" i="33"/>
  <c r="E453" i="33" s="1"/>
  <c r="E471" i="33" s="1"/>
  <c r="G51" i="39" s="1"/>
  <c r="H435" i="33"/>
  <c r="H449" i="33" s="1"/>
  <c r="H467" i="33" s="1"/>
  <c r="C54" i="39" s="1"/>
  <c r="AM16" i="33"/>
  <c r="L302" i="33"/>
  <c r="AK96" i="33"/>
  <c r="J423" i="33"/>
  <c r="BA13" i="33"/>
  <c r="B438" i="33" s="1"/>
  <c r="B452" i="33" s="1"/>
  <c r="B470" i="33" s="1"/>
  <c r="F48" i="39" s="1"/>
  <c r="Z300" i="33"/>
  <c r="BA16" i="33"/>
  <c r="Z302" i="33"/>
  <c r="BA281" i="33" s="1"/>
  <c r="AS16" i="33"/>
  <c r="R302" i="33"/>
  <c r="AK281" i="33"/>
  <c r="AK283" i="33" s="1"/>
  <c r="J306" i="33"/>
  <c r="AY96" i="33"/>
  <c r="X423" i="33"/>
  <c r="AQ96" i="33"/>
  <c r="P423" i="33"/>
  <c r="AI96" i="33"/>
  <c r="H423" i="33"/>
  <c r="AU16" i="33"/>
  <c r="T302" i="33"/>
  <c r="AS96" i="33"/>
  <c r="R423" i="33"/>
  <c r="AZ16" i="33"/>
  <c r="Y302" i="33"/>
  <c r="AR16" i="33"/>
  <c r="Q302" i="33"/>
  <c r="AJ16" i="33"/>
  <c r="I302" i="33"/>
  <c r="BA398" i="33"/>
  <c r="AX96" i="33"/>
  <c r="W423" i="33"/>
  <c r="AP96" i="33"/>
  <c r="O423" i="33"/>
  <c r="AH96" i="33"/>
  <c r="G423" i="33"/>
  <c r="BA222" i="33"/>
  <c r="G437" i="33"/>
  <c r="G451" i="33" s="1"/>
  <c r="G469" i="33" s="1"/>
  <c r="E53" i="39" s="1"/>
  <c r="AY281" i="33"/>
  <c r="AY283" i="33" s="1"/>
  <c r="X306" i="33"/>
  <c r="AQ281" i="33"/>
  <c r="AQ283" i="33" s="1"/>
  <c r="P306" i="33"/>
  <c r="AI16" i="33"/>
  <c r="H302" i="33"/>
  <c r="BA337" i="33"/>
  <c r="Z366" i="33"/>
  <c r="AW402" i="33"/>
  <c r="AW404" i="33" s="1"/>
  <c r="V427" i="33"/>
  <c r="AO96" i="33"/>
  <c r="N423" i="33"/>
  <c r="AG96" i="33"/>
  <c r="F423" i="33"/>
  <c r="BA181" i="33"/>
  <c r="F437" i="33"/>
  <c r="F451" i="33" s="1"/>
  <c r="F469" i="33" s="1"/>
  <c r="E52" i="39" s="1"/>
  <c r="F439" i="33"/>
  <c r="F453" i="33" s="1"/>
  <c r="F471" i="33" s="1"/>
  <c r="G52" i="39" s="1"/>
  <c r="AX281" i="33"/>
  <c r="AX283" i="33" s="1"/>
  <c r="W306" i="33"/>
  <c r="AP281" i="33"/>
  <c r="AP283" i="33" s="1"/>
  <c r="O306" i="33"/>
  <c r="AH281" i="33"/>
  <c r="AH283" i="33" s="1"/>
  <c r="G306" i="33"/>
  <c r="AC402" i="33"/>
  <c r="B427" i="33"/>
  <c r="AV402" i="33"/>
  <c r="AV404" i="33" s="1"/>
  <c r="U427" i="33"/>
  <c r="AN402" i="33"/>
  <c r="AN404" i="33" s="1"/>
  <c r="M427" i="33"/>
  <c r="AF402" i="33"/>
  <c r="AF404" i="33" s="1"/>
  <c r="E427" i="33"/>
  <c r="BA140" i="33"/>
  <c r="E444" i="33" s="1"/>
  <c r="E458" i="33" s="1"/>
  <c r="E476" i="33" s="1"/>
  <c r="L51" i="39" s="1"/>
  <c r="E437" i="33"/>
  <c r="E451" i="33" s="1"/>
  <c r="E469" i="33" s="1"/>
  <c r="E51" i="39" s="1"/>
  <c r="J435" i="23"/>
  <c r="J449" i="23" s="1"/>
  <c r="J467" i="23" s="1"/>
  <c r="C28" i="39" s="1"/>
  <c r="G441" i="23"/>
  <c r="G455" i="23" s="1"/>
  <c r="G473" i="23" s="1"/>
  <c r="I25" i="39" s="1"/>
  <c r="I435" i="23"/>
  <c r="I449" i="23" s="1"/>
  <c r="I467" i="23" s="1"/>
  <c r="C27" i="39" s="1"/>
  <c r="H435" i="23"/>
  <c r="H449" i="23" s="1"/>
  <c r="H467" i="23" s="1"/>
  <c r="C26" i="39" s="1"/>
  <c r="H435" i="22"/>
  <c r="H449" i="22" s="1"/>
  <c r="H467" i="22" s="1"/>
  <c r="C40" i="39" s="1"/>
  <c r="E441" i="24"/>
  <c r="E455" i="24" s="1"/>
  <c r="E473" i="24" s="1"/>
  <c r="I9" i="39" s="1"/>
  <c r="F441" i="23"/>
  <c r="F455" i="23" s="1"/>
  <c r="F473" i="23" s="1"/>
  <c r="I24" i="39" s="1"/>
  <c r="G441" i="22"/>
  <c r="G455" i="22" s="1"/>
  <c r="G473" i="22" s="1"/>
  <c r="I39" i="39" s="1"/>
  <c r="AC335" i="22"/>
  <c r="I436" i="22" s="1"/>
  <c r="I450" i="22" s="1"/>
  <c r="I468" i="22" s="1"/>
  <c r="D41" i="39" s="1"/>
  <c r="B366" i="22"/>
  <c r="I435" i="22"/>
  <c r="I449" i="22" s="1"/>
  <c r="I467" i="22" s="1"/>
  <c r="C41" i="39" s="1"/>
  <c r="F441" i="33"/>
  <c r="F455" i="33" s="1"/>
  <c r="F473" i="33" s="1"/>
  <c r="I52" i="39" s="1"/>
  <c r="E441" i="33"/>
  <c r="E455" i="33" s="1"/>
  <c r="E473" i="33" s="1"/>
  <c r="I51" i="39" s="1"/>
  <c r="F456" i="32"/>
  <c r="H95" i="43"/>
  <c r="E453" i="32"/>
  <c r="G92" i="43"/>
  <c r="AC140" i="32"/>
  <c r="E435" i="32"/>
  <c r="J78" i="43"/>
  <c r="J66" i="43"/>
  <c r="I95" i="43"/>
  <c r="G456" i="32"/>
  <c r="AT181" i="32"/>
  <c r="H90" i="43"/>
  <c r="F451" i="32"/>
  <c r="J471" i="32"/>
  <c r="L153" i="43"/>
  <c r="J41" i="43"/>
  <c r="J29" i="43"/>
  <c r="K177" i="43"/>
  <c r="K189" i="43"/>
  <c r="K165" i="43"/>
  <c r="J187" i="43"/>
  <c r="J175" i="43"/>
  <c r="J163" i="43"/>
  <c r="E468" i="32"/>
  <c r="G150" i="43"/>
  <c r="I103" i="43"/>
  <c r="I115" i="43" s="1"/>
  <c r="I127" i="43"/>
  <c r="I139" i="43" s="1"/>
  <c r="H88" i="43"/>
  <c r="F449" i="32"/>
  <c r="AC222" i="32"/>
  <c r="E451" i="32"/>
  <c r="G90" i="43"/>
  <c r="K202" i="43"/>
  <c r="K55" i="43"/>
  <c r="K239" i="43"/>
  <c r="K18" i="43"/>
  <c r="G55" i="1"/>
  <c r="J249" i="43"/>
  <c r="J237" i="43"/>
  <c r="J16" i="43"/>
  <c r="J200" i="43"/>
  <c r="J53" i="43"/>
  <c r="E54" i="1"/>
  <c r="G125" i="43"/>
  <c r="G137" i="43" s="1"/>
  <c r="G101" i="43"/>
  <c r="G113" i="43" s="1"/>
  <c r="G470" i="32"/>
  <c r="I152" i="43"/>
  <c r="F468" i="32"/>
  <c r="H150" i="43"/>
  <c r="K16" i="43"/>
  <c r="K200" i="43"/>
  <c r="K53" i="43"/>
  <c r="K249" i="43"/>
  <c r="K237" i="43"/>
  <c r="E55" i="1"/>
  <c r="L187" i="43"/>
  <c r="L163" i="43"/>
  <c r="L175" i="43"/>
  <c r="L16" i="43"/>
  <c r="L200" i="43"/>
  <c r="L249" i="43"/>
  <c r="L237" i="43"/>
  <c r="L53" i="43"/>
  <c r="E56" i="1"/>
  <c r="BA222" i="32"/>
  <c r="G437" i="32"/>
  <c r="G439" i="32"/>
  <c r="H101" i="43"/>
  <c r="H113" i="43" s="1"/>
  <c r="H125" i="43"/>
  <c r="H137" i="43" s="1"/>
  <c r="E470" i="32"/>
  <c r="G152" i="43"/>
  <c r="L128" i="43"/>
  <c r="L140" i="43" s="1"/>
  <c r="L104" i="43"/>
  <c r="L116" i="43" s="1"/>
  <c r="J213" i="43"/>
  <c r="J225" i="43"/>
  <c r="G127" i="43"/>
  <c r="G139" i="43" s="1"/>
  <c r="G103" i="43"/>
  <c r="G115" i="43" s="1"/>
  <c r="J189" i="43"/>
  <c r="J177" i="43"/>
  <c r="J165" i="43"/>
  <c r="J18" i="43"/>
  <c r="J202" i="43"/>
  <c r="J55" i="43"/>
  <c r="J239" i="43"/>
  <c r="G54" i="1"/>
  <c r="G468" i="32"/>
  <c r="I150" i="43"/>
  <c r="I88" i="43"/>
  <c r="G449" i="32"/>
  <c r="F470" i="32"/>
  <c r="H152" i="43"/>
  <c r="K187" i="43"/>
  <c r="K175" i="43"/>
  <c r="K163" i="43"/>
  <c r="G441" i="32"/>
  <c r="I101" i="43"/>
  <c r="I113" i="43" s="1"/>
  <c r="I125" i="43"/>
  <c r="I137" i="43" s="1"/>
  <c r="H103" i="43"/>
  <c r="H115" i="43" s="1"/>
  <c r="H127" i="43"/>
  <c r="H139" i="43" s="1"/>
  <c r="E439" i="8"/>
  <c r="E453" i="8" s="1"/>
  <c r="E468" i="8"/>
  <c r="G150" i="42"/>
  <c r="E470" i="8"/>
  <c r="G152" i="42"/>
  <c r="K108" i="42"/>
  <c r="K120" i="42" s="1"/>
  <c r="K132" i="42"/>
  <c r="F439" i="8"/>
  <c r="F456" i="8"/>
  <c r="H95" i="42"/>
  <c r="I475" i="8"/>
  <c r="K157" i="42"/>
  <c r="K169" i="42" s="1"/>
  <c r="J108" i="42"/>
  <c r="J120" i="42" s="1"/>
  <c r="J132" i="42"/>
  <c r="I125" i="42"/>
  <c r="I137" i="42" s="1"/>
  <c r="I101" i="42"/>
  <c r="I113" i="42" s="1"/>
  <c r="J475" i="8"/>
  <c r="L157" i="42"/>
  <c r="L169" i="42" s="1"/>
  <c r="H475" i="8"/>
  <c r="J157" i="42"/>
  <c r="J169" i="42" s="1"/>
  <c r="G451" i="8"/>
  <c r="I90" i="42"/>
  <c r="E449" i="8"/>
  <c r="G88" i="42"/>
  <c r="L132" i="42"/>
  <c r="L108" i="42"/>
  <c r="L120" i="42" s="1"/>
  <c r="G468" i="8"/>
  <c r="I150" i="42"/>
  <c r="H103" i="42"/>
  <c r="H115" i="42" s="1"/>
  <c r="H127" i="42"/>
  <c r="H139" i="42" s="1"/>
  <c r="I103" i="42"/>
  <c r="I115" i="42" s="1"/>
  <c r="I127" i="42"/>
  <c r="I139" i="42" s="1"/>
  <c r="F449" i="8"/>
  <c r="H88" i="42"/>
  <c r="E456" i="8"/>
  <c r="G95" i="42"/>
  <c r="F470" i="8"/>
  <c r="H152" i="42"/>
  <c r="G470" i="8"/>
  <c r="I152" i="42"/>
  <c r="H125" i="42"/>
  <c r="H137" i="42" s="1"/>
  <c r="H101" i="42"/>
  <c r="H113" i="42" s="1"/>
  <c r="E451" i="8"/>
  <c r="G90" i="42"/>
  <c r="G125" i="42"/>
  <c r="G137" i="42" s="1"/>
  <c r="G101" i="42"/>
  <c r="G113" i="42" s="1"/>
  <c r="G127" i="42"/>
  <c r="G139" i="42" s="1"/>
  <c r="G103" i="42"/>
  <c r="G115" i="42" s="1"/>
  <c r="F468" i="8"/>
  <c r="H150" i="42"/>
  <c r="J454" i="32"/>
  <c r="L93" i="43"/>
  <c r="K105" i="43"/>
  <c r="K117" i="43" s="1"/>
  <c r="K129" i="43"/>
  <c r="K141" i="43" s="1"/>
  <c r="I472" i="32"/>
  <c r="K154" i="43"/>
  <c r="J129" i="43"/>
  <c r="J141" i="43" s="1"/>
  <c r="J105" i="43"/>
  <c r="J117" i="43" s="1"/>
  <c r="H472" i="32"/>
  <c r="L130" i="43"/>
  <c r="L106" i="43"/>
  <c r="J473" i="32"/>
  <c r="L155" i="43"/>
  <c r="K106" i="43"/>
  <c r="K130" i="43"/>
  <c r="I473" i="32"/>
  <c r="K155" i="43"/>
  <c r="H473" i="32"/>
  <c r="J155" i="43"/>
  <c r="J130" i="43"/>
  <c r="J106" i="43"/>
  <c r="J454" i="8"/>
  <c r="L93" i="42"/>
  <c r="I454" i="8"/>
  <c r="K93" i="42"/>
  <c r="J129" i="42"/>
  <c r="J141" i="42" s="1"/>
  <c r="J105" i="42"/>
  <c r="J117" i="42" s="1"/>
  <c r="H472" i="8"/>
  <c r="J154" i="42"/>
  <c r="AY140" i="32"/>
  <c r="J93" i="41"/>
  <c r="K93" i="41"/>
  <c r="L178" i="41"/>
  <c r="L166" i="41"/>
  <c r="L190" i="41"/>
  <c r="L105" i="41"/>
  <c r="L117" i="41" s="1"/>
  <c r="L129" i="41"/>
  <c r="L141" i="41" s="1"/>
  <c r="AF181" i="32"/>
  <c r="AL181" i="32"/>
  <c r="F442" i="9"/>
  <c r="F456" i="9" s="1"/>
  <c r="E442" i="9"/>
  <c r="E456" i="9" s="1"/>
  <c r="G453" i="9"/>
  <c r="I92" i="37"/>
  <c r="F453" i="9"/>
  <c r="H92" i="37"/>
  <c r="G455" i="9"/>
  <c r="I94" i="37"/>
  <c r="E453" i="9"/>
  <c r="G92" i="37"/>
  <c r="I95" i="37"/>
  <c r="G456" i="9"/>
  <c r="G449" i="9"/>
  <c r="I88" i="37"/>
  <c r="J177" i="37"/>
  <c r="J165" i="37"/>
  <c r="J189" i="37"/>
  <c r="H101" i="37"/>
  <c r="H113" i="37" s="1"/>
  <c r="H125" i="37"/>
  <c r="H137" i="37" s="1"/>
  <c r="I127" i="37"/>
  <c r="I139" i="37" s="1"/>
  <c r="I103" i="37"/>
  <c r="I115" i="37" s="1"/>
  <c r="K189" i="37"/>
  <c r="K177" i="37"/>
  <c r="K165" i="37"/>
  <c r="H90" i="37"/>
  <c r="F451" i="9"/>
  <c r="J202" i="37"/>
  <c r="J18" i="37"/>
  <c r="J239" i="37"/>
  <c r="J55" i="37"/>
  <c r="G12" i="1"/>
  <c r="F468" i="9"/>
  <c r="H150" i="37"/>
  <c r="G470" i="9"/>
  <c r="I152" i="37"/>
  <c r="K18" i="37"/>
  <c r="K239" i="37"/>
  <c r="K55" i="37"/>
  <c r="K202" i="37"/>
  <c r="G13" i="1"/>
  <c r="J102" i="37"/>
  <c r="J114" i="37" s="1"/>
  <c r="J126" i="37"/>
  <c r="J138" i="37" s="1"/>
  <c r="G451" i="9"/>
  <c r="I90" i="37"/>
  <c r="E449" i="9"/>
  <c r="G88" i="37"/>
  <c r="K163" i="37"/>
  <c r="K187" i="37"/>
  <c r="K175" i="37"/>
  <c r="G468" i="9"/>
  <c r="I150" i="37"/>
  <c r="H469" i="9"/>
  <c r="J151" i="37"/>
  <c r="E451" i="9"/>
  <c r="G90" i="37"/>
  <c r="K237" i="37"/>
  <c r="K249" i="37"/>
  <c r="K53" i="37"/>
  <c r="K200" i="37"/>
  <c r="K16" i="37"/>
  <c r="E13" i="1"/>
  <c r="I101" i="37"/>
  <c r="I113" i="37" s="1"/>
  <c r="I125" i="37"/>
  <c r="I137" i="37" s="1"/>
  <c r="H88" i="37"/>
  <c r="F449" i="9"/>
  <c r="L187" i="37"/>
  <c r="L163" i="37"/>
  <c r="L175" i="37"/>
  <c r="L189" i="37"/>
  <c r="L177" i="37"/>
  <c r="L165" i="37"/>
  <c r="E470" i="9"/>
  <c r="G152" i="37"/>
  <c r="L249" i="37"/>
  <c r="L53" i="37"/>
  <c r="L200" i="37"/>
  <c r="L16" i="37"/>
  <c r="L237" i="37"/>
  <c r="E14" i="1"/>
  <c r="L239" i="37"/>
  <c r="L55" i="37"/>
  <c r="L202" i="37"/>
  <c r="L18" i="37"/>
  <c r="G14" i="1"/>
  <c r="E468" i="9"/>
  <c r="G150" i="37"/>
  <c r="G127" i="37"/>
  <c r="G139" i="37" s="1"/>
  <c r="G103" i="37"/>
  <c r="G115" i="37" s="1"/>
  <c r="H127" i="37"/>
  <c r="H139" i="37" s="1"/>
  <c r="H103" i="37"/>
  <c r="H115" i="37" s="1"/>
  <c r="G125" i="37"/>
  <c r="G137" i="37" s="1"/>
  <c r="G101" i="37"/>
  <c r="G113" i="37" s="1"/>
  <c r="F470" i="9"/>
  <c r="H152" i="37"/>
  <c r="L106" i="37"/>
  <c r="L118" i="37" s="1"/>
  <c r="L132" i="37"/>
  <c r="L108" i="37"/>
  <c r="L120" i="37" s="1"/>
  <c r="J475" i="9"/>
  <c r="L157" i="37"/>
  <c r="L169" i="37" s="1"/>
  <c r="K108" i="37"/>
  <c r="K120" i="37" s="1"/>
  <c r="K132" i="37"/>
  <c r="I475" i="9"/>
  <c r="K157" i="37"/>
  <c r="K169" i="37" s="1"/>
  <c r="H475" i="9"/>
  <c r="J157" i="37"/>
  <c r="J169" i="37" s="1"/>
  <c r="J108" i="37"/>
  <c r="J120" i="37" s="1"/>
  <c r="J132" i="37"/>
  <c r="K105" i="37"/>
  <c r="K117" i="37" s="1"/>
  <c r="K129" i="37"/>
  <c r="K141" i="37" s="1"/>
  <c r="I472" i="9"/>
  <c r="K154" i="37"/>
  <c r="K106" i="37"/>
  <c r="K130" i="37"/>
  <c r="I473" i="9"/>
  <c r="K155" i="37"/>
  <c r="J106" i="37"/>
  <c r="J118" i="37" s="1"/>
  <c r="J130" i="37"/>
  <c r="J142" i="37" s="1"/>
  <c r="H473" i="9"/>
  <c r="J155" i="37"/>
  <c r="J105" i="37"/>
  <c r="J129" i="37"/>
  <c r="H472" i="9"/>
  <c r="J154" i="37"/>
  <c r="L129" i="37"/>
  <c r="L141" i="37" s="1"/>
  <c r="L105" i="37"/>
  <c r="L117" i="37" s="1"/>
  <c r="J472" i="9"/>
  <c r="L154" i="37"/>
  <c r="L179" i="37"/>
  <c r="L167" i="37"/>
  <c r="L191" i="37"/>
  <c r="I14" i="1"/>
  <c r="L204" i="37"/>
  <c r="L253" i="37"/>
  <c r="L241" i="37"/>
  <c r="L57" i="37"/>
  <c r="L20" i="37"/>
  <c r="L142" i="37"/>
  <c r="J475" i="7"/>
  <c r="H443" i="7"/>
  <c r="J96" i="41" s="1"/>
  <c r="F441" i="32"/>
  <c r="J472" i="7"/>
  <c r="I475" i="7"/>
  <c r="E441" i="32"/>
  <c r="F441" i="9"/>
  <c r="F441" i="27"/>
  <c r="F455" i="27" s="1"/>
  <c r="F473" i="27" s="1"/>
  <c r="I24" i="40" s="1"/>
  <c r="E441" i="23"/>
  <c r="E455" i="23" s="1"/>
  <c r="E473" i="23" s="1"/>
  <c r="I23" i="39" s="1"/>
  <c r="AP98" i="34"/>
  <c r="AW18" i="34"/>
  <c r="AH95" i="33"/>
  <c r="AR15" i="33"/>
  <c r="AX95" i="33"/>
  <c r="AP95" i="33"/>
  <c r="AT15" i="33"/>
  <c r="AL15" i="33"/>
  <c r="AD15" i="33"/>
  <c r="AZ95" i="33"/>
  <c r="AJ15" i="33"/>
  <c r="E441" i="9"/>
  <c r="G442" i="8"/>
  <c r="G439" i="8"/>
  <c r="F437" i="8"/>
  <c r="G441" i="8"/>
  <c r="F441" i="8"/>
  <c r="E441" i="8"/>
  <c r="G435" i="8"/>
  <c r="H454" i="7"/>
  <c r="J154" i="41" s="1"/>
  <c r="I454" i="7"/>
  <c r="K154" i="41" s="1"/>
  <c r="AF140" i="32"/>
  <c r="AQ98" i="34"/>
  <c r="AH98" i="34"/>
  <c r="AF58" i="34"/>
  <c r="BA98" i="34"/>
  <c r="AE98" i="34"/>
  <c r="AR98" i="34"/>
  <c r="AY58" i="34"/>
  <c r="AL18" i="34"/>
  <c r="BA58" i="34"/>
  <c r="AI58" i="34"/>
  <c r="AR18" i="34"/>
  <c r="AC98" i="34"/>
  <c r="AN18" i="33"/>
  <c r="AX94" i="33"/>
  <c r="AS15" i="33"/>
  <c r="AY95" i="33"/>
  <c r="AQ95" i="33"/>
  <c r="AI95" i="33"/>
  <c r="AT55" i="33"/>
  <c r="AD55" i="33"/>
  <c r="J81" i="33"/>
  <c r="Y121" i="33"/>
  <c r="AR95" i="33"/>
  <c r="AJ95" i="33"/>
  <c r="BA92" i="33"/>
  <c r="D437" i="33" s="1"/>
  <c r="D451" i="33" s="1"/>
  <c r="D469" i="33" s="1"/>
  <c r="E50" i="39" s="1"/>
  <c r="P41" i="33"/>
  <c r="AY15" i="33"/>
  <c r="AQ15" i="33"/>
  <c r="AI15" i="33"/>
  <c r="AX15" i="33"/>
  <c r="AX18" i="33" s="1"/>
  <c r="AP15" i="33"/>
  <c r="AP18" i="33" s="1"/>
  <c r="AH15" i="33"/>
  <c r="AH18" i="33" s="1"/>
  <c r="V81" i="33"/>
  <c r="F81" i="33"/>
  <c r="AC50" i="33"/>
  <c r="C435" i="33" s="1"/>
  <c r="C449" i="33" s="1"/>
  <c r="C467" i="33" s="1"/>
  <c r="C49" i="39" s="1"/>
  <c r="U81" i="33"/>
  <c r="AV55" i="33"/>
  <c r="AF55" i="33"/>
  <c r="AM55" i="33"/>
  <c r="AE55" i="33"/>
  <c r="S121" i="33"/>
  <c r="C121" i="33"/>
  <c r="AC181" i="32"/>
  <c r="AJ98" i="34"/>
  <c r="AK18" i="34"/>
  <c r="AX98" i="34"/>
  <c r="BA18" i="34"/>
  <c r="AZ98" i="34"/>
  <c r="AD58" i="34"/>
  <c r="AC18" i="34"/>
  <c r="AK95" i="33"/>
  <c r="J121" i="33"/>
  <c r="AS55" i="33"/>
  <c r="AS58" i="33" s="1"/>
  <c r="BA55" i="33"/>
  <c r="M81" i="33"/>
  <c r="R81" i="33"/>
  <c r="AK56" i="33"/>
  <c r="C442" i="33" s="1"/>
  <c r="C456" i="33" s="1"/>
  <c r="C474" i="33" s="1"/>
  <c r="J49" i="39" s="1"/>
  <c r="AC55" i="33"/>
  <c r="O41" i="33"/>
  <c r="X41" i="33"/>
  <c r="L41" i="33"/>
  <c r="T41" i="33"/>
  <c r="C41" i="33"/>
  <c r="H41" i="33"/>
  <c r="K41" i="33"/>
  <c r="AQ16" i="33"/>
  <c r="AY16" i="33"/>
  <c r="U41" i="33"/>
  <c r="Z41" i="33"/>
  <c r="AC10" i="33"/>
  <c r="B435" i="33" s="1"/>
  <c r="B449" i="33" s="1"/>
  <c r="B467" i="33" s="1"/>
  <c r="C48" i="39" s="1"/>
  <c r="B41" i="33"/>
  <c r="AF18" i="33"/>
  <c r="AY55" i="33"/>
  <c r="AO95" i="33"/>
  <c r="AO98" i="33" s="1"/>
  <c r="AI14" i="33"/>
  <c r="AG17" i="33"/>
  <c r="AG18" i="33" s="1"/>
  <c r="AO17" i="33"/>
  <c r="AO18" i="33" s="1"/>
  <c r="AW17" i="33"/>
  <c r="AW18" i="33" s="1"/>
  <c r="W41" i="33"/>
  <c r="AL54" i="33"/>
  <c r="AC57" i="33"/>
  <c r="AY57" i="33"/>
  <c r="D81" i="33"/>
  <c r="L81" i="33"/>
  <c r="T81" i="33"/>
  <c r="AQ97" i="33"/>
  <c r="M121" i="33"/>
  <c r="AI55" i="33"/>
  <c r="AH57" i="33"/>
  <c r="BA57" i="33"/>
  <c r="Z81" i="33"/>
  <c r="E81" i="33"/>
  <c r="AF54" i="33"/>
  <c r="W81" i="33"/>
  <c r="AV97" i="33"/>
  <c r="K121" i="33"/>
  <c r="AL94" i="33"/>
  <c r="Q81" i="33"/>
  <c r="AW95" i="33"/>
  <c r="BA12" i="33"/>
  <c r="B437" i="33" s="1"/>
  <c r="B451" i="33" s="1"/>
  <c r="B469" i="33" s="1"/>
  <c r="E48" i="39" s="1"/>
  <c r="AE15" i="33"/>
  <c r="AM15" i="33"/>
  <c r="AU15" i="33"/>
  <c r="AU18" i="33" s="1"/>
  <c r="AI17" i="33"/>
  <c r="AQ17" i="33"/>
  <c r="AY17" i="33"/>
  <c r="BA52" i="33"/>
  <c r="C437" i="33" s="1"/>
  <c r="C451" i="33" s="1"/>
  <c r="C469" i="33" s="1"/>
  <c r="E49" i="39" s="1"/>
  <c r="AI57" i="33"/>
  <c r="Y81" i="33"/>
  <c r="AW97" i="33"/>
  <c r="AG95" i="33"/>
  <c r="AR14" i="33"/>
  <c r="AJ17" i="33"/>
  <c r="AR17" i="33"/>
  <c r="AZ17" i="33"/>
  <c r="AH55" i="33"/>
  <c r="AK57" i="33"/>
  <c r="AF97" i="33"/>
  <c r="AY97" i="33"/>
  <c r="Z121" i="33"/>
  <c r="U121" i="33"/>
  <c r="AQ55" i="33"/>
  <c r="Q121" i="33"/>
  <c r="AR94" i="33"/>
  <c r="AU97" i="33"/>
  <c r="AU98" i="33" s="1"/>
  <c r="AM97" i="33"/>
  <c r="AM98" i="33" s="1"/>
  <c r="AE97" i="33"/>
  <c r="AE98" i="33" s="1"/>
  <c r="AW57" i="33"/>
  <c r="AW58" i="33" s="1"/>
  <c r="AO57" i="33"/>
  <c r="AO58" i="33" s="1"/>
  <c r="AG57" i="33"/>
  <c r="AG58" i="33" s="1"/>
  <c r="AT97" i="33"/>
  <c r="AT98" i="33" s="1"/>
  <c r="AL97" i="33"/>
  <c r="AD97" i="33"/>
  <c r="AV57" i="33"/>
  <c r="AN57" i="33"/>
  <c r="AN58" i="33" s="1"/>
  <c r="AF57" i="33"/>
  <c r="BA97" i="33"/>
  <c r="AS97" i="33"/>
  <c r="AK97" i="33"/>
  <c r="AC97" i="33"/>
  <c r="AU57" i="33"/>
  <c r="AU58" i="33" s="1"/>
  <c r="AM57" i="33"/>
  <c r="AE57" i="33"/>
  <c r="AZ97" i="33"/>
  <c r="AR97" i="33"/>
  <c r="AJ97" i="33"/>
  <c r="AT57" i="33"/>
  <c r="AL57" i="33"/>
  <c r="AD57" i="33"/>
  <c r="AX97" i="33"/>
  <c r="AP97" i="33"/>
  <c r="AH97" i="33"/>
  <c r="AZ57" i="33"/>
  <c r="AZ58" i="33" s="1"/>
  <c r="AR57" i="33"/>
  <c r="AR58" i="33" s="1"/>
  <c r="AJ57" i="33"/>
  <c r="AJ58" i="33" s="1"/>
  <c r="AC17" i="33"/>
  <c r="AK17" i="33"/>
  <c r="AK18" i="33" s="1"/>
  <c r="AS17" i="33"/>
  <c r="BA17" i="33"/>
  <c r="AX58" i="33"/>
  <c r="AP57" i="33"/>
  <c r="AP58" i="33" s="1"/>
  <c r="H81" i="33"/>
  <c r="P81" i="33"/>
  <c r="X81" i="33"/>
  <c r="I81" i="33"/>
  <c r="B121" i="33"/>
  <c r="AG97" i="33"/>
  <c r="F121" i="33"/>
  <c r="N121" i="33"/>
  <c r="V121" i="33"/>
  <c r="AD17" i="33"/>
  <c r="AL17" i="33"/>
  <c r="AT17" i="33"/>
  <c r="N41" i="33"/>
  <c r="V41" i="33"/>
  <c r="B81" i="33"/>
  <c r="AQ57" i="33"/>
  <c r="AC90" i="33"/>
  <c r="D435" i="33" s="1"/>
  <c r="D449" i="33" s="1"/>
  <c r="D467" i="33" s="1"/>
  <c r="C50" i="39" s="1"/>
  <c r="AI94" i="33"/>
  <c r="AI97" i="33"/>
  <c r="E121" i="33"/>
  <c r="C120" i="32"/>
  <c r="D120" i="32"/>
  <c r="E120" i="32"/>
  <c r="F120" i="32"/>
  <c r="G120" i="32"/>
  <c r="H120" i="32"/>
  <c r="I120" i="32"/>
  <c r="AJ95" i="32" s="1"/>
  <c r="J120" i="32"/>
  <c r="K120" i="32"/>
  <c r="L120" i="32"/>
  <c r="M120" i="32"/>
  <c r="N120" i="32"/>
  <c r="O120" i="32"/>
  <c r="P120" i="32"/>
  <c r="Q120" i="32"/>
  <c r="R120" i="32"/>
  <c r="S120" i="32"/>
  <c r="T120" i="32"/>
  <c r="U120" i="32"/>
  <c r="V120" i="32"/>
  <c r="W120" i="32"/>
  <c r="X120" i="32"/>
  <c r="Y120" i="32"/>
  <c r="Z120" i="32"/>
  <c r="C119" i="32"/>
  <c r="D119" i="32"/>
  <c r="E119" i="32"/>
  <c r="F119" i="32"/>
  <c r="G119" i="32"/>
  <c r="H119" i="32"/>
  <c r="I119" i="32"/>
  <c r="J119" i="32"/>
  <c r="K119" i="32"/>
  <c r="L119" i="32"/>
  <c r="M119" i="32"/>
  <c r="N119" i="32"/>
  <c r="O119" i="32"/>
  <c r="P119" i="32"/>
  <c r="Q119" i="32"/>
  <c r="R119" i="32"/>
  <c r="AS95" i="32" s="1"/>
  <c r="S119" i="32"/>
  <c r="T119" i="32"/>
  <c r="U119" i="32"/>
  <c r="V119" i="32"/>
  <c r="W119" i="32"/>
  <c r="X119" i="32"/>
  <c r="Y119" i="32"/>
  <c r="Z119" i="32"/>
  <c r="BA95" i="32" s="1"/>
  <c r="C118" i="32"/>
  <c r="C423" i="32" s="1"/>
  <c r="D118" i="32"/>
  <c r="D423" i="32" s="1"/>
  <c r="E118" i="32"/>
  <c r="E423" i="32" s="1"/>
  <c r="F118" i="32"/>
  <c r="F423" i="32" s="1"/>
  <c r="G118" i="32"/>
  <c r="G423" i="32" s="1"/>
  <c r="H118" i="32"/>
  <c r="I118" i="32"/>
  <c r="I423" i="32" s="1"/>
  <c r="J118" i="32"/>
  <c r="K118" i="32"/>
  <c r="K423" i="32" s="1"/>
  <c r="L118" i="32"/>
  <c r="M118" i="32"/>
  <c r="M423" i="32" s="1"/>
  <c r="N118" i="32"/>
  <c r="N423" i="32" s="1"/>
  <c r="O118" i="32"/>
  <c r="O423" i="32" s="1"/>
  <c r="P118" i="32"/>
  <c r="Q118" i="32"/>
  <c r="R118" i="32"/>
  <c r="S118" i="32"/>
  <c r="S423" i="32" s="1"/>
  <c r="T118" i="32"/>
  <c r="U118" i="32"/>
  <c r="U423" i="32" s="1"/>
  <c r="V118" i="32"/>
  <c r="V423" i="32" s="1"/>
  <c r="W118" i="32"/>
  <c r="W423" i="32" s="1"/>
  <c r="X118" i="32"/>
  <c r="Y118" i="32"/>
  <c r="Z118" i="32"/>
  <c r="C117" i="32"/>
  <c r="D117" i="32"/>
  <c r="E117" i="32"/>
  <c r="F117" i="32"/>
  <c r="G117" i="32"/>
  <c r="H117" i="32"/>
  <c r="I117" i="32"/>
  <c r="J117" i="32"/>
  <c r="K117" i="32"/>
  <c r="AL94" i="32" s="1"/>
  <c r="L117" i="32"/>
  <c r="M117" i="32"/>
  <c r="N117" i="32"/>
  <c r="AO94" i="32" s="1"/>
  <c r="O117" i="32"/>
  <c r="P117" i="32"/>
  <c r="Q117" i="32"/>
  <c r="AR94" i="32" s="1"/>
  <c r="R117" i="32"/>
  <c r="S117" i="32"/>
  <c r="T117" i="32"/>
  <c r="U117" i="32"/>
  <c r="V117" i="32"/>
  <c r="W117" i="32"/>
  <c r="X117" i="32"/>
  <c r="X121" i="32" s="1"/>
  <c r="Y117" i="32"/>
  <c r="Z117" i="32"/>
  <c r="BA94" i="32" s="1"/>
  <c r="B120" i="32"/>
  <c r="B119" i="32"/>
  <c r="AC95" i="32" s="1"/>
  <c r="B118" i="32"/>
  <c r="B423" i="32" s="1"/>
  <c r="AC402" i="32" s="1"/>
  <c r="B117" i="32"/>
  <c r="Z116" i="32"/>
  <c r="Z421" i="32" s="1"/>
  <c r="Z105" i="32"/>
  <c r="Z106" i="32"/>
  <c r="Z107" i="32"/>
  <c r="Z108" i="32"/>
  <c r="Z109" i="32"/>
  <c r="Z110" i="32"/>
  <c r="Z111" i="32"/>
  <c r="Z112" i="32"/>
  <c r="Z113" i="32"/>
  <c r="Z114" i="32"/>
  <c r="Z115" i="32"/>
  <c r="B103" i="32"/>
  <c r="B408" i="32" s="1"/>
  <c r="AC395" i="32" s="1"/>
  <c r="B102" i="32"/>
  <c r="B407" i="32" s="1"/>
  <c r="B91" i="32"/>
  <c r="B92" i="32"/>
  <c r="B93" i="32"/>
  <c r="B94" i="32"/>
  <c r="B95" i="32"/>
  <c r="B96" i="32"/>
  <c r="B97" i="32"/>
  <c r="B98" i="32"/>
  <c r="B99" i="32"/>
  <c r="B100" i="32"/>
  <c r="B101" i="32"/>
  <c r="Z104" i="32"/>
  <c r="B90" i="32"/>
  <c r="C80" i="32"/>
  <c r="D80" i="32"/>
  <c r="E80" i="32"/>
  <c r="F80" i="32"/>
  <c r="G80" i="32"/>
  <c r="H80" i="32"/>
  <c r="I80" i="32"/>
  <c r="J80" i="32"/>
  <c r="K80" i="32"/>
  <c r="L80" i="32"/>
  <c r="M80" i="32"/>
  <c r="N80" i="32"/>
  <c r="O80" i="32"/>
  <c r="P80" i="32"/>
  <c r="Q80" i="32"/>
  <c r="R80" i="32"/>
  <c r="S80" i="32"/>
  <c r="T80" i="32"/>
  <c r="U80" i="32"/>
  <c r="V80" i="32"/>
  <c r="W80" i="32"/>
  <c r="X80" i="32"/>
  <c r="Y80" i="32"/>
  <c r="Z80" i="32"/>
  <c r="BA55" i="32" s="1"/>
  <c r="C79" i="32"/>
  <c r="D79" i="32"/>
  <c r="AE55" i="32" s="1"/>
  <c r="E79" i="32"/>
  <c r="F79" i="32"/>
  <c r="G79" i="32"/>
  <c r="H79" i="32"/>
  <c r="I79" i="32"/>
  <c r="J79" i="32"/>
  <c r="AK55" i="32" s="1"/>
  <c r="K79" i="32"/>
  <c r="L79" i="32"/>
  <c r="AM55" i="32" s="1"/>
  <c r="M79" i="32"/>
  <c r="N79" i="32"/>
  <c r="O79" i="32"/>
  <c r="P79" i="32"/>
  <c r="Q79" i="32"/>
  <c r="R79" i="32"/>
  <c r="S79" i="32"/>
  <c r="T79" i="32"/>
  <c r="AU55" i="32" s="1"/>
  <c r="U79" i="32"/>
  <c r="V79" i="32"/>
  <c r="W79" i="32"/>
  <c r="X79" i="32"/>
  <c r="Y79" i="32"/>
  <c r="Z79" i="32"/>
  <c r="C78" i="32"/>
  <c r="D78" i="32"/>
  <c r="D362" i="32" s="1"/>
  <c r="E78" i="32"/>
  <c r="F78" i="32"/>
  <c r="F362" i="32" s="1"/>
  <c r="G78" i="32"/>
  <c r="G362" i="32" s="1"/>
  <c r="H78" i="32"/>
  <c r="H362" i="32" s="1"/>
  <c r="I78" i="32"/>
  <c r="I362" i="32" s="1"/>
  <c r="J78" i="32"/>
  <c r="K78" i="32"/>
  <c r="L78" i="32"/>
  <c r="L362" i="32" s="1"/>
  <c r="M78" i="32"/>
  <c r="N78" i="32"/>
  <c r="N362" i="32" s="1"/>
  <c r="O78" i="32"/>
  <c r="O362" i="32" s="1"/>
  <c r="P78" i="32"/>
  <c r="P362" i="32" s="1"/>
  <c r="Q78" i="32"/>
  <c r="Q362" i="32" s="1"/>
  <c r="R78" i="32"/>
  <c r="S78" i="32"/>
  <c r="T78" i="32"/>
  <c r="T362" i="32" s="1"/>
  <c r="U78" i="32"/>
  <c r="V78" i="32"/>
  <c r="V362" i="32" s="1"/>
  <c r="W78" i="32"/>
  <c r="W362" i="32" s="1"/>
  <c r="X78" i="32"/>
  <c r="Y78" i="32"/>
  <c r="Z78" i="32"/>
  <c r="C77" i="32"/>
  <c r="C81" i="32" s="1"/>
  <c r="D77" i="32"/>
  <c r="D81" i="32" s="1"/>
  <c r="E77" i="32"/>
  <c r="E81" i="32" s="1"/>
  <c r="F77" i="32"/>
  <c r="G77" i="32"/>
  <c r="H77" i="32"/>
  <c r="I77" i="32"/>
  <c r="J77" i="32"/>
  <c r="K77" i="32"/>
  <c r="K81" i="32" s="1"/>
  <c r="L77" i="32"/>
  <c r="L81" i="32" s="1"/>
  <c r="M77" i="32"/>
  <c r="M81" i="32" s="1"/>
  <c r="N77" i="32"/>
  <c r="O77" i="32"/>
  <c r="P77" i="32"/>
  <c r="Q77" i="32"/>
  <c r="AR54" i="32" s="1"/>
  <c r="R77" i="32"/>
  <c r="R81" i="32" s="1"/>
  <c r="S77" i="32"/>
  <c r="S81" i="32" s="1"/>
  <c r="T77" i="32"/>
  <c r="AU54" i="32" s="1"/>
  <c r="U77" i="32"/>
  <c r="U81" i="32" s="1"/>
  <c r="V77" i="32"/>
  <c r="W77" i="32"/>
  <c r="X77" i="32"/>
  <c r="Y77" i="32"/>
  <c r="Y81" i="32" s="1"/>
  <c r="Z77" i="32"/>
  <c r="BA54" i="32" s="1"/>
  <c r="B80" i="32"/>
  <c r="B79" i="32"/>
  <c r="B78" i="32"/>
  <c r="B77" i="32"/>
  <c r="AC54" i="32" s="1"/>
  <c r="B23" i="32"/>
  <c r="B22" i="32"/>
  <c r="B286" i="32" s="1"/>
  <c r="B62" i="32"/>
  <c r="B63" i="32"/>
  <c r="B347" i="32" s="1"/>
  <c r="AC334" i="32" s="1"/>
  <c r="Z76" i="32"/>
  <c r="Z75" i="32"/>
  <c r="Z65" i="32"/>
  <c r="Z66" i="32"/>
  <c r="Z67" i="32"/>
  <c r="Z68" i="32"/>
  <c r="Z69" i="32"/>
  <c r="Z70" i="32"/>
  <c r="Z71" i="32"/>
  <c r="Z72" i="32"/>
  <c r="Z73" i="32"/>
  <c r="Z74" i="32"/>
  <c r="Z64" i="32"/>
  <c r="B51" i="32"/>
  <c r="B52" i="32"/>
  <c r="B53" i="32"/>
  <c r="B54" i="32"/>
  <c r="B55" i="32"/>
  <c r="B56" i="32"/>
  <c r="B57" i="32"/>
  <c r="B58" i="32"/>
  <c r="B59" i="32"/>
  <c r="B60" i="32"/>
  <c r="B61" i="32"/>
  <c r="B50" i="32"/>
  <c r="C40" i="32"/>
  <c r="D40" i="32"/>
  <c r="E40" i="32"/>
  <c r="F40" i="32"/>
  <c r="G40" i="32"/>
  <c r="H40" i="32"/>
  <c r="AI15" i="32" s="1"/>
  <c r="I40" i="32"/>
  <c r="J40" i="32"/>
  <c r="K40" i="32"/>
  <c r="L40" i="32"/>
  <c r="M40" i="32"/>
  <c r="N40" i="32"/>
  <c r="O40" i="32"/>
  <c r="P40" i="32"/>
  <c r="AQ15" i="32" s="1"/>
  <c r="Q40" i="32"/>
  <c r="AR15" i="32" s="1"/>
  <c r="R40" i="32"/>
  <c r="S40" i="32"/>
  <c r="T40" i="32"/>
  <c r="U40" i="32"/>
  <c r="V40" i="32"/>
  <c r="W40" i="32"/>
  <c r="X40" i="32"/>
  <c r="AY15" i="32" s="1"/>
  <c r="Y40" i="32"/>
  <c r="Z40" i="32"/>
  <c r="Z25" i="32"/>
  <c r="Z26" i="32"/>
  <c r="Z27" i="32"/>
  <c r="Z28" i="32"/>
  <c r="Z29" i="32"/>
  <c r="Z30" i="32"/>
  <c r="Z31" i="32"/>
  <c r="Z32" i="32"/>
  <c r="Z33" i="32"/>
  <c r="Z34" i="32"/>
  <c r="Z35" i="32"/>
  <c r="Z36" i="32"/>
  <c r="Z24" i="32"/>
  <c r="C39" i="32"/>
  <c r="D39" i="32"/>
  <c r="E39" i="32"/>
  <c r="F39" i="32"/>
  <c r="G39" i="32"/>
  <c r="AH15" i="32" s="1"/>
  <c r="H39" i="32"/>
  <c r="I39" i="32"/>
  <c r="J39" i="32"/>
  <c r="K39" i="32"/>
  <c r="AL15" i="32" s="1"/>
  <c r="L39" i="32"/>
  <c r="M39" i="32"/>
  <c r="N39" i="32"/>
  <c r="O39" i="32"/>
  <c r="AP15" i="32" s="1"/>
  <c r="P39" i="32"/>
  <c r="Q39" i="32"/>
  <c r="R39" i="32"/>
  <c r="S39" i="32"/>
  <c r="AT15" i="32" s="1"/>
  <c r="T39" i="32"/>
  <c r="AU15" i="32" s="1"/>
  <c r="U39" i="32"/>
  <c r="V39" i="32"/>
  <c r="W39" i="32"/>
  <c r="AX15" i="32" s="1"/>
  <c r="X39" i="32"/>
  <c r="Y39" i="32"/>
  <c r="Z39" i="32"/>
  <c r="C38" i="32"/>
  <c r="D38" i="32"/>
  <c r="E38" i="32"/>
  <c r="F38" i="32"/>
  <c r="F302" i="32" s="1"/>
  <c r="G38" i="32"/>
  <c r="H38" i="32"/>
  <c r="H302" i="32" s="1"/>
  <c r="I38" i="32"/>
  <c r="I302" i="32" s="1"/>
  <c r="J38" i="32"/>
  <c r="K38" i="32"/>
  <c r="L38" i="32"/>
  <c r="M38" i="32"/>
  <c r="N38" i="32"/>
  <c r="N302" i="32" s="1"/>
  <c r="O38" i="32"/>
  <c r="P38" i="32"/>
  <c r="P302" i="32" s="1"/>
  <c r="Q38" i="32"/>
  <c r="Q302" i="32" s="1"/>
  <c r="R38" i="32"/>
  <c r="S38" i="32"/>
  <c r="T38" i="32"/>
  <c r="U38" i="32"/>
  <c r="V38" i="32"/>
  <c r="V302" i="32" s="1"/>
  <c r="W38" i="32"/>
  <c r="X38" i="32"/>
  <c r="X302" i="32" s="1"/>
  <c r="Y38" i="32"/>
  <c r="Y302" i="32" s="1"/>
  <c r="Z38" i="32"/>
  <c r="C37" i="32"/>
  <c r="D37" i="32"/>
  <c r="E37" i="32"/>
  <c r="E41" i="32" s="1"/>
  <c r="F37" i="32"/>
  <c r="G37" i="32"/>
  <c r="G41" i="32" s="1"/>
  <c r="H37" i="32"/>
  <c r="AI14" i="32" s="1"/>
  <c r="I37" i="32"/>
  <c r="J37" i="32"/>
  <c r="K37" i="32"/>
  <c r="K41" i="32" s="1"/>
  <c r="L37" i="32"/>
  <c r="M37" i="32"/>
  <c r="M41" i="32" s="1"/>
  <c r="N37" i="32"/>
  <c r="O37" i="32"/>
  <c r="P37" i="32"/>
  <c r="Q37" i="32"/>
  <c r="R37" i="32"/>
  <c r="S37" i="32"/>
  <c r="T37" i="32"/>
  <c r="AU14" i="32" s="1"/>
  <c r="U37" i="32"/>
  <c r="V37" i="32"/>
  <c r="W37" i="32"/>
  <c r="X37" i="32"/>
  <c r="Y37" i="32"/>
  <c r="Z37" i="32"/>
  <c r="BA14" i="32" s="1"/>
  <c r="B40" i="32"/>
  <c r="B39" i="32"/>
  <c r="B38" i="32"/>
  <c r="B37" i="32"/>
  <c r="B11" i="32"/>
  <c r="B12" i="32"/>
  <c r="B13" i="32"/>
  <c r="B14" i="32"/>
  <c r="B15" i="32"/>
  <c r="B16" i="32"/>
  <c r="B17" i="32"/>
  <c r="B18" i="32"/>
  <c r="B19" i="32"/>
  <c r="B20" i="32"/>
  <c r="B21" i="32"/>
  <c r="B10" i="32"/>
  <c r="AX95" i="32"/>
  <c r="AP95" i="32"/>
  <c r="AH95" i="32"/>
  <c r="C121" i="32"/>
  <c r="AC94" i="32"/>
  <c r="BA93" i="32"/>
  <c r="D438" i="32" s="1"/>
  <c r="AV97" i="32"/>
  <c r="AT96" i="32"/>
  <c r="AL96" i="32"/>
  <c r="AJ96" i="32"/>
  <c r="AH96" i="32"/>
  <c r="AD96" i="32"/>
  <c r="AT95" i="32"/>
  <c r="AQ95" i="32"/>
  <c r="AF95" i="32"/>
  <c r="AD95" i="32"/>
  <c r="AX94" i="32"/>
  <c r="AF94" i="32"/>
  <c r="AY57" i="32"/>
  <c r="AP57" i="32"/>
  <c r="AU56" i="32"/>
  <c r="AE56" i="32"/>
  <c r="AW55" i="32"/>
  <c r="AO55" i="32"/>
  <c r="AG55" i="32"/>
  <c r="AX54" i="32"/>
  <c r="AO54" i="32"/>
  <c r="AI54" i="32"/>
  <c r="AW15" i="32"/>
  <c r="AO15" i="32"/>
  <c r="AG15" i="32"/>
  <c r="AX17" i="32"/>
  <c r="AW17" i="32"/>
  <c r="AO17" i="32"/>
  <c r="AM17" i="32"/>
  <c r="AH17" i="32"/>
  <c r="AE17" i="32"/>
  <c r="AO14" i="32"/>
  <c r="AC14" i="32"/>
  <c r="BA13" i="32"/>
  <c r="B438" i="32" s="1"/>
  <c r="AF57" i="32"/>
  <c r="B103" i="9"/>
  <c r="B63" i="9"/>
  <c r="C119" i="9"/>
  <c r="D119" i="9"/>
  <c r="E119" i="9"/>
  <c r="F119" i="9"/>
  <c r="G119" i="9"/>
  <c r="H119" i="9"/>
  <c r="I119" i="9"/>
  <c r="J119" i="9"/>
  <c r="K119" i="9"/>
  <c r="L119" i="9"/>
  <c r="M119" i="9"/>
  <c r="N119" i="9"/>
  <c r="O119" i="9"/>
  <c r="P119" i="9"/>
  <c r="Q119" i="9"/>
  <c r="R119" i="9"/>
  <c r="S119" i="9"/>
  <c r="T119" i="9"/>
  <c r="U119" i="9"/>
  <c r="V119" i="9"/>
  <c r="W119" i="9"/>
  <c r="X119" i="9"/>
  <c r="Y119" i="9"/>
  <c r="Z119" i="9"/>
  <c r="B119" i="9"/>
  <c r="C79" i="9"/>
  <c r="D79" i="9"/>
  <c r="E79" i="9"/>
  <c r="F79" i="9"/>
  <c r="G79" i="9"/>
  <c r="H79" i="9"/>
  <c r="I79" i="9"/>
  <c r="J79" i="9"/>
  <c r="K79" i="9"/>
  <c r="L79" i="9"/>
  <c r="M79" i="9"/>
  <c r="N79" i="9"/>
  <c r="O79" i="9"/>
  <c r="P79" i="9"/>
  <c r="Q79" i="9"/>
  <c r="R79" i="9"/>
  <c r="S79" i="9"/>
  <c r="T79" i="9"/>
  <c r="U79" i="9"/>
  <c r="V79" i="9"/>
  <c r="W79" i="9"/>
  <c r="X79" i="9"/>
  <c r="Y79" i="9"/>
  <c r="Z79" i="9"/>
  <c r="B79" i="9"/>
  <c r="C39" i="9"/>
  <c r="D39" i="9"/>
  <c r="E39" i="9"/>
  <c r="F39" i="9"/>
  <c r="G39" i="9"/>
  <c r="H39" i="9"/>
  <c r="I39" i="9"/>
  <c r="J39" i="9"/>
  <c r="K39" i="9"/>
  <c r="L39" i="9"/>
  <c r="M39" i="9"/>
  <c r="N39" i="9"/>
  <c r="O39" i="9"/>
  <c r="P39" i="9"/>
  <c r="Q39" i="9"/>
  <c r="R39" i="9"/>
  <c r="S39" i="9"/>
  <c r="T39" i="9"/>
  <c r="U39" i="9"/>
  <c r="V39" i="9"/>
  <c r="W39" i="9"/>
  <c r="X39" i="9"/>
  <c r="Y39" i="9"/>
  <c r="Z39" i="9"/>
  <c r="B39" i="9"/>
  <c r="B23" i="9"/>
  <c r="C119" i="8"/>
  <c r="C424" i="8" s="1"/>
  <c r="AD401" i="8" s="1"/>
  <c r="D119" i="8"/>
  <c r="D424" i="8" s="1"/>
  <c r="AE401" i="8" s="1"/>
  <c r="E119" i="8"/>
  <c r="E424" i="8" s="1"/>
  <c r="AF401" i="8" s="1"/>
  <c r="F119" i="8"/>
  <c r="F424" i="8" s="1"/>
  <c r="AG401" i="8" s="1"/>
  <c r="G119" i="8"/>
  <c r="G424" i="8" s="1"/>
  <c r="AH401" i="8" s="1"/>
  <c r="H119" i="8"/>
  <c r="H424" i="8" s="1"/>
  <c r="AI401" i="8" s="1"/>
  <c r="I119" i="8"/>
  <c r="I424" i="8" s="1"/>
  <c r="AJ401" i="8" s="1"/>
  <c r="J119" i="8"/>
  <c r="J424" i="8" s="1"/>
  <c r="AK401" i="8" s="1"/>
  <c r="K119" i="8"/>
  <c r="K424" i="8" s="1"/>
  <c r="AL401" i="8" s="1"/>
  <c r="L119" i="8"/>
  <c r="L424" i="8" s="1"/>
  <c r="AM401" i="8" s="1"/>
  <c r="M119" i="8"/>
  <c r="M424" i="8" s="1"/>
  <c r="AN401" i="8" s="1"/>
  <c r="N119" i="8"/>
  <c r="N424" i="8" s="1"/>
  <c r="AO401" i="8" s="1"/>
  <c r="O119" i="8"/>
  <c r="O424" i="8" s="1"/>
  <c r="AP401" i="8" s="1"/>
  <c r="P119" i="8"/>
  <c r="P424" i="8" s="1"/>
  <c r="AQ401" i="8" s="1"/>
  <c r="Q119" i="8"/>
  <c r="Q424" i="8" s="1"/>
  <c r="AR401" i="8" s="1"/>
  <c r="R119" i="8"/>
  <c r="R424" i="8" s="1"/>
  <c r="AS401" i="8" s="1"/>
  <c r="S119" i="8"/>
  <c r="S424" i="8" s="1"/>
  <c r="AT401" i="8" s="1"/>
  <c r="T119" i="8"/>
  <c r="T424" i="8" s="1"/>
  <c r="AU401" i="8" s="1"/>
  <c r="U119" i="8"/>
  <c r="U424" i="8" s="1"/>
  <c r="AV401" i="8" s="1"/>
  <c r="V119" i="8"/>
  <c r="V424" i="8" s="1"/>
  <c r="AW401" i="8" s="1"/>
  <c r="W119" i="8"/>
  <c r="W424" i="8" s="1"/>
  <c r="AX401" i="8" s="1"/>
  <c r="X119" i="8"/>
  <c r="X424" i="8" s="1"/>
  <c r="AY401" i="8" s="1"/>
  <c r="Y119" i="8"/>
  <c r="Y424" i="8" s="1"/>
  <c r="AZ401" i="8" s="1"/>
  <c r="Z119" i="8"/>
  <c r="Z424" i="8" s="1"/>
  <c r="BA401" i="8" s="1"/>
  <c r="B119" i="8"/>
  <c r="B424" i="8" s="1"/>
  <c r="AC401" i="8" s="1"/>
  <c r="C79" i="8"/>
  <c r="C363" i="8" s="1"/>
  <c r="AD340" i="8" s="1"/>
  <c r="D79" i="8"/>
  <c r="D363" i="8" s="1"/>
  <c r="AE340" i="8" s="1"/>
  <c r="E79" i="8"/>
  <c r="E363" i="8" s="1"/>
  <c r="AF340" i="8" s="1"/>
  <c r="F79" i="8"/>
  <c r="F363" i="8" s="1"/>
  <c r="AG340" i="8" s="1"/>
  <c r="G79" i="8"/>
  <c r="G363" i="8" s="1"/>
  <c r="AH340" i="8" s="1"/>
  <c r="H79" i="8"/>
  <c r="H363" i="8" s="1"/>
  <c r="AI340" i="8" s="1"/>
  <c r="I79" i="8"/>
  <c r="I363" i="8" s="1"/>
  <c r="AJ340" i="8" s="1"/>
  <c r="J79" i="8"/>
  <c r="J363" i="8" s="1"/>
  <c r="AK340" i="8" s="1"/>
  <c r="K79" i="8"/>
  <c r="K363" i="8" s="1"/>
  <c r="AL340" i="8" s="1"/>
  <c r="L79" i="8"/>
  <c r="L363" i="8" s="1"/>
  <c r="AM340" i="8" s="1"/>
  <c r="M79" i="8"/>
  <c r="M363" i="8" s="1"/>
  <c r="AN340" i="8" s="1"/>
  <c r="N79" i="8"/>
  <c r="N363" i="8" s="1"/>
  <c r="AO340" i="8" s="1"/>
  <c r="O79" i="8"/>
  <c r="O363" i="8" s="1"/>
  <c r="AP340" i="8" s="1"/>
  <c r="P79" i="8"/>
  <c r="P363" i="8" s="1"/>
  <c r="AQ340" i="8" s="1"/>
  <c r="Q79" i="8"/>
  <c r="Q363" i="8" s="1"/>
  <c r="AR340" i="8" s="1"/>
  <c r="R79" i="8"/>
  <c r="R363" i="8" s="1"/>
  <c r="AS340" i="8" s="1"/>
  <c r="S79" i="8"/>
  <c r="S363" i="8" s="1"/>
  <c r="AT340" i="8" s="1"/>
  <c r="T79" i="8"/>
  <c r="T363" i="8" s="1"/>
  <c r="AU340" i="8" s="1"/>
  <c r="U79" i="8"/>
  <c r="U363" i="8" s="1"/>
  <c r="AV340" i="8" s="1"/>
  <c r="V79" i="8"/>
  <c r="V363" i="8" s="1"/>
  <c r="W79" i="8"/>
  <c r="W363" i="8" s="1"/>
  <c r="X79" i="8"/>
  <c r="X363" i="8" s="1"/>
  <c r="Y79" i="8"/>
  <c r="Y363" i="8" s="1"/>
  <c r="Z79" i="8"/>
  <c r="Z363" i="8" s="1"/>
  <c r="B79" i="8"/>
  <c r="B363" i="8" s="1"/>
  <c r="AC340" i="8" s="1"/>
  <c r="C39" i="8"/>
  <c r="C303" i="8" s="1"/>
  <c r="AD280" i="8" s="1"/>
  <c r="D39" i="8"/>
  <c r="D303" i="8" s="1"/>
  <c r="AE280" i="8" s="1"/>
  <c r="E39" i="8"/>
  <c r="E303" i="8" s="1"/>
  <c r="AF280" i="8" s="1"/>
  <c r="F39" i="8"/>
  <c r="F303" i="8" s="1"/>
  <c r="AG280" i="8" s="1"/>
  <c r="G39" i="8"/>
  <c r="G303" i="8" s="1"/>
  <c r="AH280" i="8" s="1"/>
  <c r="H39" i="8"/>
  <c r="H303" i="8" s="1"/>
  <c r="AI280" i="8" s="1"/>
  <c r="I39" i="8"/>
  <c r="I303" i="8" s="1"/>
  <c r="AJ280" i="8" s="1"/>
  <c r="J39" i="8"/>
  <c r="J303" i="8" s="1"/>
  <c r="AK280" i="8" s="1"/>
  <c r="K39" i="8"/>
  <c r="K303" i="8" s="1"/>
  <c r="AL280" i="8" s="1"/>
  <c r="L39" i="8"/>
  <c r="L303" i="8" s="1"/>
  <c r="AM280" i="8" s="1"/>
  <c r="M39" i="8"/>
  <c r="M303" i="8" s="1"/>
  <c r="AN280" i="8" s="1"/>
  <c r="N39" i="8"/>
  <c r="N303" i="8" s="1"/>
  <c r="AO280" i="8" s="1"/>
  <c r="O39" i="8"/>
  <c r="O303" i="8" s="1"/>
  <c r="AP280" i="8" s="1"/>
  <c r="P39" i="8"/>
  <c r="P303" i="8" s="1"/>
  <c r="AQ280" i="8" s="1"/>
  <c r="Q39" i="8"/>
  <c r="Q303" i="8" s="1"/>
  <c r="AR280" i="8" s="1"/>
  <c r="R39" i="8"/>
  <c r="R303" i="8" s="1"/>
  <c r="AS280" i="8" s="1"/>
  <c r="S39" i="8"/>
  <c r="S303" i="8" s="1"/>
  <c r="AT280" i="8" s="1"/>
  <c r="T39" i="8"/>
  <c r="T303" i="8" s="1"/>
  <c r="AU280" i="8" s="1"/>
  <c r="U39" i="8"/>
  <c r="U303" i="8" s="1"/>
  <c r="AV280" i="8" s="1"/>
  <c r="V39" i="8"/>
  <c r="V303" i="8" s="1"/>
  <c r="AW280" i="8" s="1"/>
  <c r="W39" i="8"/>
  <c r="W303" i="8" s="1"/>
  <c r="AX280" i="8" s="1"/>
  <c r="X39" i="8"/>
  <c r="X303" i="8" s="1"/>
  <c r="AY280" i="8" s="1"/>
  <c r="Y39" i="8"/>
  <c r="Y303" i="8" s="1"/>
  <c r="AZ280" i="8" s="1"/>
  <c r="Z39" i="8"/>
  <c r="Z303" i="8" s="1"/>
  <c r="BA280" i="8" s="1"/>
  <c r="B39" i="8"/>
  <c r="B303" i="8" s="1"/>
  <c r="AC280" i="8" s="1"/>
  <c r="B80" i="8"/>
  <c r="C80" i="8"/>
  <c r="D80" i="8"/>
  <c r="E80" i="8"/>
  <c r="F80" i="8"/>
  <c r="AG55" i="8" s="1"/>
  <c r="G80" i="8"/>
  <c r="AH55" i="8" s="1"/>
  <c r="H80" i="8"/>
  <c r="I80" i="8"/>
  <c r="AJ55" i="8" s="1"/>
  <c r="J80" i="8"/>
  <c r="K80" i="8"/>
  <c r="L80" i="8"/>
  <c r="M80" i="8"/>
  <c r="N80" i="8"/>
  <c r="AO55" i="8" s="1"/>
  <c r="O80" i="8"/>
  <c r="AP55" i="8" s="1"/>
  <c r="P80" i="8"/>
  <c r="Q80" i="8"/>
  <c r="AR55" i="8" s="1"/>
  <c r="R80" i="8"/>
  <c r="S80" i="8"/>
  <c r="T80" i="8"/>
  <c r="U80" i="8"/>
  <c r="V80" i="8"/>
  <c r="AW55" i="8" s="1"/>
  <c r="W80" i="8"/>
  <c r="AX55" i="8" s="1"/>
  <c r="X80" i="8"/>
  <c r="Y80" i="8"/>
  <c r="AZ55" i="8" s="1"/>
  <c r="Z80" i="8"/>
  <c r="B103" i="8"/>
  <c r="B63" i="8"/>
  <c r="B23" i="8"/>
  <c r="C119" i="7"/>
  <c r="C424" i="7" s="1"/>
  <c r="AD401" i="7" s="1"/>
  <c r="D119" i="7"/>
  <c r="D424" i="7" s="1"/>
  <c r="AE401" i="7" s="1"/>
  <c r="E119" i="7"/>
  <c r="E424" i="7" s="1"/>
  <c r="AF401" i="7" s="1"/>
  <c r="F119" i="7"/>
  <c r="F424" i="7" s="1"/>
  <c r="AG401" i="7" s="1"/>
  <c r="G119" i="7"/>
  <c r="G424" i="7" s="1"/>
  <c r="AH401" i="7" s="1"/>
  <c r="H119" i="7"/>
  <c r="H424" i="7" s="1"/>
  <c r="AI401" i="7" s="1"/>
  <c r="I119" i="7"/>
  <c r="I424" i="7" s="1"/>
  <c r="AJ401" i="7" s="1"/>
  <c r="J119" i="7"/>
  <c r="J424" i="7" s="1"/>
  <c r="AK401" i="7" s="1"/>
  <c r="K119" i="7"/>
  <c r="K424" i="7" s="1"/>
  <c r="AL401" i="7" s="1"/>
  <c r="L119" i="7"/>
  <c r="L424" i="7" s="1"/>
  <c r="AM401" i="7" s="1"/>
  <c r="M119" i="7"/>
  <c r="M424" i="7" s="1"/>
  <c r="AN401" i="7" s="1"/>
  <c r="N119" i="7"/>
  <c r="N424" i="7" s="1"/>
  <c r="AO401" i="7" s="1"/>
  <c r="O119" i="7"/>
  <c r="O424" i="7" s="1"/>
  <c r="AP401" i="7" s="1"/>
  <c r="P119" i="7"/>
  <c r="P424" i="7" s="1"/>
  <c r="AQ401" i="7" s="1"/>
  <c r="Q119" i="7"/>
  <c r="Q424" i="7" s="1"/>
  <c r="AR401" i="7" s="1"/>
  <c r="R119" i="7"/>
  <c r="R424" i="7" s="1"/>
  <c r="AS401" i="7" s="1"/>
  <c r="S119" i="7"/>
  <c r="S424" i="7" s="1"/>
  <c r="AT401" i="7" s="1"/>
  <c r="T119" i="7"/>
  <c r="T424" i="7" s="1"/>
  <c r="AU401" i="7" s="1"/>
  <c r="U119" i="7"/>
  <c r="U424" i="7" s="1"/>
  <c r="AV401" i="7" s="1"/>
  <c r="V119" i="7"/>
  <c r="V424" i="7" s="1"/>
  <c r="AW401" i="7" s="1"/>
  <c r="W119" i="7"/>
  <c r="W424" i="7" s="1"/>
  <c r="AX401" i="7" s="1"/>
  <c r="X119" i="7"/>
  <c r="X424" i="7" s="1"/>
  <c r="AY401" i="7" s="1"/>
  <c r="Y119" i="7"/>
  <c r="Y424" i="7" s="1"/>
  <c r="AZ401" i="7" s="1"/>
  <c r="Z119" i="7"/>
  <c r="Z424" i="7" s="1"/>
  <c r="BA401" i="7" s="1"/>
  <c r="B119" i="7"/>
  <c r="B424" i="7" s="1"/>
  <c r="C79" i="7"/>
  <c r="C363" i="7" s="1"/>
  <c r="D79" i="7"/>
  <c r="D363" i="7" s="1"/>
  <c r="E79" i="7"/>
  <c r="E363" i="7" s="1"/>
  <c r="F79" i="7"/>
  <c r="F363" i="7" s="1"/>
  <c r="G79" i="7"/>
  <c r="G363" i="7" s="1"/>
  <c r="H79" i="7"/>
  <c r="H363" i="7" s="1"/>
  <c r="I79" i="7"/>
  <c r="I363" i="7" s="1"/>
  <c r="J79" i="7"/>
  <c r="J363" i="7" s="1"/>
  <c r="K79" i="7"/>
  <c r="K363" i="7" s="1"/>
  <c r="L79" i="7"/>
  <c r="L363" i="7" s="1"/>
  <c r="M79" i="7"/>
  <c r="M363" i="7" s="1"/>
  <c r="N79" i="7"/>
  <c r="N363" i="7" s="1"/>
  <c r="O79" i="7"/>
  <c r="O363" i="7" s="1"/>
  <c r="P79" i="7"/>
  <c r="P363" i="7" s="1"/>
  <c r="Q79" i="7"/>
  <c r="Q363" i="7" s="1"/>
  <c r="R79" i="7"/>
  <c r="R363" i="7" s="1"/>
  <c r="S79" i="7"/>
  <c r="S363" i="7" s="1"/>
  <c r="T79" i="7"/>
  <c r="T363" i="7" s="1"/>
  <c r="U79" i="7"/>
  <c r="U363" i="7" s="1"/>
  <c r="V79" i="7"/>
  <c r="V363" i="7" s="1"/>
  <c r="W79" i="7"/>
  <c r="W363" i="7" s="1"/>
  <c r="X79" i="7"/>
  <c r="X363" i="7" s="1"/>
  <c r="Y79" i="7"/>
  <c r="Y363" i="7" s="1"/>
  <c r="Z79" i="7"/>
  <c r="Z363" i="7" s="1"/>
  <c r="C39" i="7"/>
  <c r="C303" i="7" s="1"/>
  <c r="D39" i="7"/>
  <c r="D303" i="7" s="1"/>
  <c r="E39" i="7"/>
  <c r="E303" i="7" s="1"/>
  <c r="F39" i="7"/>
  <c r="F303" i="7" s="1"/>
  <c r="G39" i="7"/>
  <c r="G303" i="7" s="1"/>
  <c r="H39" i="7"/>
  <c r="H303" i="7" s="1"/>
  <c r="I39" i="7"/>
  <c r="I303" i="7" s="1"/>
  <c r="J39" i="7"/>
  <c r="J303" i="7" s="1"/>
  <c r="K39" i="7"/>
  <c r="K303" i="7" s="1"/>
  <c r="L39" i="7"/>
  <c r="L303" i="7" s="1"/>
  <c r="M39" i="7"/>
  <c r="M303" i="7" s="1"/>
  <c r="N39" i="7"/>
  <c r="N303" i="7" s="1"/>
  <c r="O39" i="7"/>
  <c r="O303" i="7" s="1"/>
  <c r="P39" i="7"/>
  <c r="P303" i="7" s="1"/>
  <c r="Q39" i="7"/>
  <c r="Q303" i="7" s="1"/>
  <c r="R39" i="7"/>
  <c r="R303" i="7" s="1"/>
  <c r="S39" i="7"/>
  <c r="S303" i="7" s="1"/>
  <c r="T39" i="7"/>
  <c r="T303" i="7" s="1"/>
  <c r="U39" i="7"/>
  <c r="U303" i="7" s="1"/>
  <c r="V39" i="7"/>
  <c r="V303" i="7" s="1"/>
  <c r="W39" i="7"/>
  <c r="W303" i="7" s="1"/>
  <c r="X39" i="7"/>
  <c r="X303" i="7" s="1"/>
  <c r="Y39" i="7"/>
  <c r="Y303" i="7" s="1"/>
  <c r="Z39" i="7"/>
  <c r="Z303" i="7" s="1"/>
  <c r="B39" i="7"/>
  <c r="B303" i="7" s="1"/>
  <c r="B79" i="7"/>
  <c r="B363" i="7" s="1"/>
  <c r="B77" i="7"/>
  <c r="B361" i="7" s="1"/>
  <c r="AC338" i="7" s="1"/>
  <c r="B63" i="7"/>
  <c r="AC275" i="7"/>
  <c r="H436" i="7" s="1"/>
  <c r="N41" i="32" l="1"/>
  <c r="U41" i="32"/>
  <c r="L41" i="32"/>
  <c r="S41" i="32"/>
  <c r="AY16" i="32"/>
  <c r="V41" i="32"/>
  <c r="B287" i="32"/>
  <c r="AC274" i="32" s="1"/>
  <c r="H435" i="32" s="1"/>
  <c r="B64" i="29"/>
  <c r="B475" i="34"/>
  <c r="K48" i="40" s="1"/>
  <c r="G92" i="42"/>
  <c r="G104" i="42" s="1"/>
  <c r="G116" i="42" s="1"/>
  <c r="G444" i="34"/>
  <c r="G458" i="34" s="1"/>
  <c r="G476" i="34" s="1"/>
  <c r="L53" i="40" s="1"/>
  <c r="C444" i="34"/>
  <c r="C458" i="34" s="1"/>
  <c r="C476" i="34" s="1"/>
  <c r="L49" i="40" s="1"/>
  <c r="AF98" i="33"/>
  <c r="AZ18" i="33"/>
  <c r="AJ18" i="33"/>
  <c r="AT18" i="33"/>
  <c r="AD98" i="33"/>
  <c r="G95" i="37"/>
  <c r="AV98" i="33"/>
  <c r="C439" i="33"/>
  <c r="C453" i="33" s="1"/>
  <c r="C471" i="33" s="1"/>
  <c r="G49" i="39" s="1"/>
  <c r="AD18" i="33"/>
  <c r="D443" i="33"/>
  <c r="D457" i="33" s="1"/>
  <c r="D475" i="33" s="1"/>
  <c r="K50" i="39" s="1"/>
  <c r="AI98" i="33"/>
  <c r="B439" i="33"/>
  <c r="B453" i="33" s="1"/>
  <c r="B471" i="33" s="1"/>
  <c r="G48" i="39" s="1"/>
  <c r="AZ98" i="33"/>
  <c r="AP98" i="33"/>
  <c r="AE58" i="33"/>
  <c r="D441" i="33"/>
  <c r="D455" i="33" s="1"/>
  <c r="D473" i="33" s="1"/>
  <c r="I50" i="39" s="1"/>
  <c r="D442" i="33"/>
  <c r="D456" i="33" s="1"/>
  <c r="D474" i="33" s="1"/>
  <c r="J50" i="39" s="1"/>
  <c r="F444" i="33"/>
  <c r="F458" i="33" s="1"/>
  <c r="F476" i="33" s="1"/>
  <c r="L52" i="39" s="1"/>
  <c r="J121" i="32"/>
  <c r="AC91" i="32"/>
  <c r="D436" i="32" s="1"/>
  <c r="F81" i="32"/>
  <c r="AN96" i="32"/>
  <c r="N81" i="32"/>
  <c r="AV96" i="32"/>
  <c r="AG56" i="32"/>
  <c r="AC96" i="32"/>
  <c r="AO56" i="32"/>
  <c r="AX96" i="32"/>
  <c r="E121" i="32"/>
  <c r="V81" i="32"/>
  <c r="AF96" i="32"/>
  <c r="M121" i="32"/>
  <c r="AI16" i="32"/>
  <c r="AW56" i="32"/>
  <c r="AQ16" i="32"/>
  <c r="AI56" i="32"/>
  <c r="AQ56" i="32"/>
  <c r="AC11" i="32"/>
  <c r="B436" i="32" s="1"/>
  <c r="B450" i="32" s="1"/>
  <c r="AM56" i="32"/>
  <c r="AO96" i="32"/>
  <c r="H92" i="43"/>
  <c r="H104" i="43" s="1"/>
  <c r="H116" i="43" s="1"/>
  <c r="F41" i="32"/>
  <c r="AP96" i="32"/>
  <c r="AJ16" i="32"/>
  <c r="AH56" i="32"/>
  <c r="AX56" i="32"/>
  <c r="AG96" i="32"/>
  <c r="AW96" i="32"/>
  <c r="G95" i="43"/>
  <c r="G107" i="43" s="1"/>
  <c r="G119" i="43" s="1"/>
  <c r="AR16" i="32"/>
  <c r="G444" i="32"/>
  <c r="G458" i="32" s="1"/>
  <c r="G476" i="32" s="1"/>
  <c r="AZ16" i="32"/>
  <c r="AP56" i="32"/>
  <c r="B444" i="34"/>
  <c r="B458" i="34" s="1"/>
  <c r="B476" i="34" s="1"/>
  <c r="L48" i="40" s="1"/>
  <c r="H442" i="34"/>
  <c r="H456" i="34" s="1"/>
  <c r="H474" i="34" s="1"/>
  <c r="J54" i="40" s="1"/>
  <c r="H438" i="34"/>
  <c r="H452" i="34" s="1"/>
  <c r="H470" i="34" s="1"/>
  <c r="F54" i="40" s="1"/>
  <c r="BA283" i="34"/>
  <c r="AC404" i="34"/>
  <c r="J442" i="34"/>
  <c r="J456" i="34" s="1"/>
  <c r="J474" i="34" s="1"/>
  <c r="J56" i="40" s="1"/>
  <c r="D444" i="34"/>
  <c r="D458" i="34" s="1"/>
  <c r="D476" i="34" s="1"/>
  <c r="L50" i="40" s="1"/>
  <c r="J438" i="34"/>
  <c r="J452" i="34" s="1"/>
  <c r="J470" i="34" s="1"/>
  <c r="F56" i="40" s="1"/>
  <c r="BA404" i="34"/>
  <c r="I436" i="34"/>
  <c r="I450" i="34" s="1"/>
  <c r="I468" i="34" s="1"/>
  <c r="D55" i="40" s="1"/>
  <c r="AC343" i="34"/>
  <c r="I438" i="34"/>
  <c r="I452" i="34" s="1"/>
  <c r="I470" i="34" s="1"/>
  <c r="F55" i="40" s="1"/>
  <c r="BA343" i="34"/>
  <c r="H436" i="34"/>
  <c r="H450" i="34" s="1"/>
  <c r="H468" i="34" s="1"/>
  <c r="D54" i="40" s="1"/>
  <c r="AC283" i="34"/>
  <c r="I442" i="34"/>
  <c r="I456" i="34" s="1"/>
  <c r="I474" i="34" s="1"/>
  <c r="J55" i="40" s="1"/>
  <c r="AG343" i="34"/>
  <c r="AS18" i="33"/>
  <c r="AM18" i="33"/>
  <c r="AP402" i="33"/>
  <c r="AP404" i="33" s="1"/>
  <c r="O427" i="33"/>
  <c r="AR281" i="33"/>
  <c r="AR283" i="33" s="1"/>
  <c r="Q306" i="33"/>
  <c r="AR402" i="33"/>
  <c r="AR404" i="33" s="1"/>
  <c r="Q427" i="33"/>
  <c r="AT281" i="33"/>
  <c r="AT283" i="33" s="1"/>
  <c r="S306" i="33"/>
  <c r="AF281" i="33"/>
  <c r="AF283" i="33" s="1"/>
  <c r="E306" i="33"/>
  <c r="AC275" i="33"/>
  <c r="B306" i="33"/>
  <c r="AL18" i="33"/>
  <c r="AE18" i="33"/>
  <c r="AI402" i="33"/>
  <c r="AI404" i="33" s="1"/>
  <c r="H427" i="33"/>
  <c r="AS281" i="33"/>
  <c r="AS283" i="33" s="1"/>
  <c r="R306" i="33"/>
  <c r="AM281" i="33"/>
  <c r="AM283" i="33" s="1"/>
  <c r="L306" i="33"/>
  <c r="AX402" i="33"/>
  <c r="AX404" i="33" s="1"/>
  <c r="W427" i="33"/>
  <c r="AZ281" i="33"/>
  <c r="AZ283" i="33" s="1"/>
  <c r="Y306" i="33"/>
  <c r="AZ402" i="33"/>
  <c r="AZ404" i="33" s="1"/>
  <c r="Y427" i="33"/>
  <c r="AC404" i="33"/>
  <c r="D439" i="33"/>
  <c r="D453" i="33" s="1"/>
  <c r="D471" i="33" s="1"/>
  <c r="G50" i="39" s="1"/>
  <c r="AQ402" i="33"/>
  <c r="AQ404" i="33" s="1"/>
  <c r="P427" i="33"/>
  <c r="AT402" i="33"/>
  <c r="AT404" i="33" s="1"/>
  <c r="S427" i="33"/>
  <c r="B441" i="33"/>
  <c r="B455" i="33" s="1"/>
  <c r="B473" i="33" s="1"/>
  <c r="I48" i="39" s="1"/>
  <c r="AS98" i="33"/>
  <c r="Z427" i="33"/>
  <c r="AS402" i="33"/>
  <c r="AS404" i="33" s="1"/>
  <c r="R427" i="33"/>
  <c r="AD281" i="33"/>
  <c r="AD283" i="33" s="1"/>
  <c r="C306" i="33"/>
  <c r="AV281" i="33"/>
  <c r="AV283" i="33" s="1"/>
  <c r="U306" i="33"/>
  <c r="C443" i="33"/>
  <c r="C457" i="33" s="1"/>
  <c r="C475" i="33" s="1"/>
  <c r="K49" i="39" s="1"/>
  <c r="AG402" i="33"/>
  <c r="AG404" i="33" s="1"/>
  <c r="F427" i="33"/>
  <c r="I438" i="33"/>
  <c r="I452" i="33" s="1"/>
  <c r="I470" i="33" s="1"/>
  <c r="F55" i="39" s="1"/>
  <c r="BA343" i="33"/>
  <c r="J438" i="33"/>
  <c r="J452" i="33" s="1"/>
  <c r="J470" i="33" s="1"/>
  <c r="F56" i="39" s="1"/>
  <c r="BA404" i="33"/>
  <c r="AY402" i="33"/>
  <c r="AY404" i="33" s="1"/>
  <c r="X427" i="33"/>
  <c r="BA277" i="33"/>
  <c r="Z306" i="33"/>
  <c r="AH98" i="33"/>
  <c r="AI281" i="33"/>
  <c r="AI283" i="33" s="1"/>
  <c r="H306" i="33"/>
  <c r="AH402" i="33"/>
  <c r="AH404" i="33" s="1"/>
  <c r="G427" i="33"/>
  <c r="AJ281" i="33"/>
  <c r="AJ283" i="33" s="1"/>
  <c r="I306" i="33"/>
  <c r="AU281" i="33"/>
  <c r="AU283" i="33" s="1"/>
  <c r="T306" i="33"/>
  <c r="AL281" i="33"/>
  <c r="AL283" i="33" s="1"/>
  <c r="K306" i="33"/>
  <c r="G444" i="33"/>
  <c r="G458" i="33" s="1"/>
  <c r="G476" i="33" s="1"/>
  <c r="L53" i="39" s="1"/>
  <c r="AC343" i="33"/>
  <c r="AE281" i="33"/>
  <c r="AE283" i="33" s="1"/>
  <c r="D306" i="33"/>
  <c r="B443" i="33"/>
  <c r="B457" i="33" s="1"/>
  <c r="B475" i="33" s="1"/>
  <c r="K48" i="39" s="1"/>
  <c r="C441" i="33"/>
  <c r="C455" i="33" s="1"/>
  <c r="C473" i="33" s="1"/>
  <c r="I49" i="39" s="1"/>
  <c r="AO402" i="33"/>
  <c r="AO404" i="33" s="1"/>
  <c r="N427" i="33"/>
  <c r="AK402" i="33"/>
  <c r="AK404" i="33" s="1"/>
  <c r="J427" i="33"/>
  <c r="AD402" i="33"/>
  <c r="AD404" i="33" s="1"/>
  <c r="C427" i="33"/>
  <c r="B442" i="33"/>
  <c r="B456" i="33" s="1"/>
  <c r="B474" i="33" s="1"/>
  <c r="J48" i="39" s="1"/>
  <c r="AC343" i="22"/>
  <c r="AE16" i="32"/>
  <c r="D302" i="32"/>
  <c r="E474" i="32"/>
  <c r="G156" i="43"/>
  <c r="L65" i="43"/>
  <c r="L77" i="43"/>
  <c r="K42" i="43"/>
  <c r="K30" i="43"/>
  <c r="H174" i="43"/>
  <c r="H162" i="43"/>
  <c r="H186" i="43"/>
  <c r="J212" i="43"/>
  <c r="J224" i="43"/>
  <c r="D452" i="32"/>
  <c r="F91" i="43"/>
  <c r="BA16" i="32"/>
  <c r="Z302" i="32"/>
  <c r="AS16" i="32"/>
  <c r="R302" i="32"/>
  <c r="AK16" i="32"/>
  <c r="J302" i="32"/>
  <c r="AC275" i="32"/>
  <c r="H436" i="32" s="1"/>
  <c r="AY56" i="32"/>
  <c r="X362" i="32"/>
  <c r="AQ341" i="32"/>
  <c r="AQ343" i="32" s="1"/>
  <c r="P366" i="32"/>
  <c r="AI341" i="32"/>
  <c r="AI343" i="32" s="1"/>
  <c r="H366" i="32"/>
  <c r="BA398" i="32"/>
  <c r="AX402" i="32"/>
  <c r="AX404" i="32" s="1"/>
  <c r="W427" i="32"/>
  <c r="AP402" i="32"/>
  <c r="AP404" i="32" s="1"/>
  <c r="O427" i="32"/>
  <c r="AH402" i="32"/>
  <c r="AH404" i="32" s="1"/>
  <c r="G427" i="32"/>
  <c r="H275" i="43"/>
  <c r="H250" i="43"/>
  <c r="H238" i="43"/>
  <c r="H287" i="43"/>
  <c r="H17" i="43"/>
  <c r="H201" i="43"/>
  <c r="H54" i="43"/>
  <c r="H263" i="43"/>
  <c r="F52" i="1"/>
  <c r="H285" i="43"/>
  <c r="H199" i="43"/>
  <c r="H52" i="43"/>
  <c r="H248" i="43"/>
  <c r="H236" i="43"/>
  <c r="H261" i="43"/>
  <c r="H15" i="43"/>
  <c r="H273" i="43"/>
  <c r="D52" i="1"/>
  <c r="J40" i="43"/>
  <c r="J28" i="43"/>
  <c r="H124" i="43"/>
  <c r="H136" i="43" s="1"/>
  <c r="H100" i="43"/>
  <c r="H112" i="43" s="1"/>
  <c r="H126" i="43"/>
  <c r="H138" i="43" s="1"/>
  <c r="H102" i="43"/>
  <c r="H114" i="43" s="1"/>
  <c r="G104" i="43"/>
  <c r="G116" i="43" s="1"/>
  <c r="G128" i="43"/>
  <c r="G140" i="43" s="1"/>
  <c r="AZ281" i="32"/>
  <c r="AZ283" i="32" s="1"/>
  <c r="Y306" i="32"/>
  <c r="AR281" i="32"/>
  <c r="AR283" i="32" s="1"/>
  <c r="Q306" i="32"/>
  <c r="AJ281" i="32"/>
  <c r="AJ283" i="32" s="1"/>
  <c r="I306" i="32"/>
  <c r="AX341" i="32"/>
  <c r="AX343" i="32" s="1"/>
  <c r="W366" i="32"/>
  <c r="AP341" i="32"/>
  <c r="AP343" i="32" s="1"/>
  <c r="O366" i="32"/>
  <c r="AH341" i="32"/>
  <c r="AH343" i="32" s="1"/>
  <c r="G366" i="32"/>
  <c r="AW402" i="32"/>
  <c r="AW404" i="32" s="1"/>
  <c r="V427" i="32"/>
  <c r="AO402" i="32"/>
  <c r="AO404" i="32" s="1"/>
  <c r="N427" i="32"/>
  <c r="AG402" i="32"/>
  <c r="AG404" i="32" s="1"/>
  <c r="F427" i="32"/>
  <c r="G455" i="32"/>
  <c r="I94" i="43"/>
  <c r="G467" i="32"/>
  <c r="I149" i="43"/>
  <c r="J79" i="43"/>
  <c r="J67" i="43"/>
  <c r="G453" i="32"/>
  <c r="I92" i="43"/>
  <c r="I164" i="43"/>
  <c r="I176" i="43"/>
  <c r="I188" i="43"/>
  <c r="E471" i="32"/>
  <c r="G153" i="43"/>
  <c r="AU16" i="32"/>
  <c r="T302" i="32"/>
  <c r="AJ402" i="32"/>
  <c r="AJ404" i="32" s="1"/>
  <c r="I427" i="32"/>
  <c r="J77" i="43"/>
  <c r="J65" i="43"/>
  <c r="L202" i="43"/>
  <c r="L55" i="43"/>
  <c r="L239" i="43"/>
  <c r="L18" i="43"/>
  <c r="G56" i="1"/>
  <c r="AD16" i="32"/>
  <c r="C302" i="32"/>
  <c r="AC51" i="32"/>
  <c r="C436" i="32" s="1"/>
  <c r="B346" i="32"/>
  <c r="AQ96" i="32"/>
  <c r="P423" i="32"/>
  <c r="D450" i="32"/>
  <c r="F89" i="43"/>
  <c r="AY281" i="32"/>
  <c r="AY283" i="32" s="1"/>
  <c r="X306" i="32"/>
  <c r="AQ281" i="32"/>
  <c r="AQ283" i="32" s="1"/>
  <c r="P306" i="32"/>
  <c r="AI281" i="32"/>
  <c r="AI283" i="32" s="1"/>
  <c r="H306" i="32"/>
  <c r="AW341" i="32"/>
  <c r="AW343" i="32" s="1"/>
  <c r="V366" i="32"/>
  <c r="AO341" i="32"/>
  <c r="AO343" i="32" s="1"/>
  <c r="N366" i="32"/>
  <c r="AG341" i="32"/>
  <c r="AG343" i="32" s="1"/>
  <c r="F366" i="32"/>
  <c r="AV402" i="32"/>
  <c r="AV404" i="32" s="1"/>
  <c r="U427" i="32"/>
  <c r="AN402" i="32"/>
  <c r="AN404" i="32" s="1"/>
  <c r="M427" i="32"/>
  <c r="AF402" i="32"/>
  <c r="AF404" i="32" s="1"/>
  <c r="E427" i="32"/>
  <c r="I124" i="43"/>
  <c r="I100" i="43"/>
  <c r="G451" i="32"/>
  <c r="I90" i="43"/>
  <c r="L224" i="43"/>
  <c r="L212" i="43"/>
  <c r="I250" i="43"/>
  <c r="I238" i="43"/>
  <c r="I287" i="43"/>
  <c r="I17" i="43"/>
  <c r="I263" i="43"/>
  <c r="I201" i="43"/>
  <c r="I54" i="43"/>
  <c r="I275" i="43"/>
  <c r="F53" i="1"/>
  <c r="K79" i="43"/>
  <c r="K67" i="43"/>
  <c r="G474" i="32"/>
  <c r="I156" i="43"/>
  <c r="H131" i="43"/>
  <c r="H143" i="43" s="1"/>
  <c r="H107" i="43"/>
  <c r="H119" i="43" s="1"/>
  <c r="AK56" i="32"/>
  <c r="J362" i="32"/>
  <c r="E449" i="32"/>
  <c r="G88" i="43"/>
  <c r="AL16" i="32"/>
  <c r="K302" i="32"/>
  <c r="AJ341" i="32"/>
  <c r="AJ343" i="32" s="1"/>
  <c r="I366" i="32"/>
  <c r="AI96" i="32"/>
  <c r="H423" i="32"/>
  <c r="F469" i="32"/>
  <c r="H151" i="43"/>
  <c r="AX16" i="32"/>
  <c r="W302" i="32"/>
  <c r="AP16" i="32"/>
  <c r="O302" i="32"/>
  <c r="AH16" i="32"/>
  <c r="G302" i="32"/>
  <c r="AC56" i="32"/>
  <c r="B362" i="32"/>
  <c r="AC341" i="32" s="1"/>
  <c r="AV56" i="32"/>
  <c r="U362" i="32"/>
  <c r="AN56" i="32"/>
  <c r="M362" i="32"/>
  <c r="AF56" i="32"/>
  <c r="E362" i="32"/>
  <c r="AC396" i="32"/>
  <c r="J436" i="32" s="1"/>
  <c r="B427" i="32"/>
  <c r="AU96" i="32"/>
  <c r="T423" i="32"/>
  <c r="AM96" i="32"/>
  <c r="L423" i="32"/>
  <c r="AE402" i="32"/>
  <c r="AE404" i="32" s="1"/>
  <c r="D427" i="32"/>
  <c r="I174" i="43"/>
  <c r="I186" i="43"/>
  <c r="I162" i="43"/>
  <c r="J42" i="43"/>
  <c r="J30" i="43"/>
  <c r="L28" i="43"/>
  <c r="L40" i="43"/>
  <c r="K77" i="43"/>
  <c r="K65" i="43"/>
  <c r="G174" i="43"/>
  <c r="G162" i="43"/>
  <c r="G186" i="43"/>
  <c r="I107" i="43"/>
  <c r="I119" i="43" s="1"/>
  <c r="I131" i="43"/>
  <c r="I143" i="43" s="1"/>
  <c r="F474" i="32"/>
  <c r="H156" i="43"/>
  <c r="B452" i="32"/>
  <c r="D91" i="43"/>
  <c r="AM16" i="32"/>
  <c r="L302" i="32"/>
  <c r="BA56" i="32"/>
  <c r="Z362" i="32"/>
  <c r="BA341" i="32" s="1"/>
  <c r="AZ96" i="32"/>
  <c r="Y423" i="32"/>
  <c r="AR341" i="32"/>
  <c r="AR343" i="32" s="1"/>
  <c r="Q366" i="32"/>
  <c r="AY96" i="32"/>
  <c r="X423" i="32"/>
  <c r="H164" i="43"/>
  <c r="H176" i="43"/>
  <c r="H188" i="43"/>
  <c r="H149" i="43"/>
  <c r="F467" i="32"/>
  <c r="AW281" i="32"/>
  <c r="AW283" i="32" s="1"/>
  <c r="V306" i="32"/>
  <c r="AO281" i="32"/>
  <c r="AO283" i="32" s="1"/>
  <c r="N306" i="32"/>
  <c r="AG281" i="32"/>
  <c r="AG283" i="32" s="1"/>
  <c r="F306" i="32"/>
  <c r="AU341" i="32"/>
  <c r="AU343" i="32" s="1"/>
  <c r="T366" i="32"/>
  <c r="AM341" i="32"/>
  <c r="AM343" i="32" s="1"/>
  <c r="L366" i="32"/>
  <c r="AE341" i="32"/>
  <c r="AE343" i="32" s="1"/>
  <c r="D366" i="32"/>
  <c r="J435" i="32"/>
  <c r="AC404" i="32"/>
  <c r="AT402" i="32"/>
  <c r="AT404" i="32" s="1"/>
  <c r="S427" i="32"/>
  <c r="AL402" i="32"/>
  <c r="AL404" i="32" s="1"/>
  <c r="K427" i="32"/>
  <c r="AD402" i="32"/>
  <c r="AD404" i="32" s="1"/>
  <c r="C427" i="32"/>
  <c r="I285" i="43"/>
  <c r="I199" i="43"/>
  <c r="I52" i="43"/>
  <c r="I248" i="43"/>
  <c r="I236" i="43"/>
  <c r="I261" i="43"/>
  <c r="I273" i="43"/>
  <c r="I15" i="43"/>
  <c r="D53" i="1"/>
  <c r="K212" i="43"/>
  <c r="K224" i="43"/>
  <c r="G102" i="43"/>
  <c r="G114" i="43" s="1"/>
  <c r="G126" i="43"/>
  <c r="G138" i="43" s="1"/>
  <c r="G285" i="43"/>
  <c r="G199" i="43"/>
  <c r="G52" i="43"/>
  <c r="G248" i="43"/>
  <c r="G236" i="43"/>
  <c r="G261" i="43"/>
  <c r="G273" i="43"/>
  <c r="G15" i="43"/>
  <c r="D51" i="1"/>
  <c r="I435" i="32"/>
  <c r="AS56" i="32"/>
  <c r="R362" i="32"/>
  <c r="AR96" i="32"/>
  <c r="Q423" i="32"/>
  <c r="G201" i="43"/>
  <c r="G54" i="43"/>
  <c r="G275" i="43"/>
  <c r="G250" i="43"/>
  <c r="G238" i="43"/>
  <c r="G287" i="43"/>
  <c r="G17" i="43"/>
  <c r="G263" i="43"/>
  <c r="F51" i="1"/>
  <c r="AT16" i="32"/>
  <c r="S302" i="32"/>
  <c r="AZ56" i="32"/>
  <c r="Y362" i="32"/>
  <c r="AC16" i="32"/>
  <c r="B302" i="32"/>
  <c r="AC281" i="32" s="1"/>
  <c r="AV16" i="32"/>
  <c r="U302" i="32"/>
  <c r="AN16" i="32"/>
  <c r="M302" i="32"/>
  <c r="AF16" i="32"/>
  <c r="E302" i="32"/>
  <c r="BA53" i="32"/>
  <c r="C438" i="32" s="1"/>
  <c r="Z360" i="32"/>
  <c r="AT56" i="32"/>
  <c r="S362" i="32"/>
  <c r="AL56" i="32"/>
  <c r="K362" i="32"/>
  <c r="AD56" i="32"/>
  <c r="C362" i="32"/>
  <c r="BA96" i="32"/>
  <c r="Z423" i="32"/>
  <c r="BA402" i="32" s="1"/>
  <c r="AS96" i="32"/>
  <c r="R423" i="32"/>
  <c r="AK96" i="32"/>
  <c r="J423" i="32"/>
  <c r="G188" i="43"/>
  <c r="G176" i="43"/>
  <c r="G164" i="43"/>
  <c r="K40" i="43"/>
  <c r="K28" i="43"/>
  <c r="E469" i="32"/>
  <c r="G151" i="43"/>
  <c r="L177" i="43"/>
  <c r="L165" i="43"/>
  <c r="L189" i="43"/>
  <c r="F471" i="32"/>
  <c r="H153" i="43"/>
  <c r="H95" i="37"/>
  <c r="B347" i="9"/>
  <c r="AC334" i="9" s="1"/>
  <c r="C16" i="29"/>
  <c r="B287" i="9"/>
  <c r="AC274" i="9" s="1"/>
  <c r="H435" i="9" s="1"/>
  <c r="B16" i="29"/>
  <c r="B408" i="9"/>
  <c r="AC395" i="9" s="1"/>
  <c r="D16" i="29"/>
  <c r="G456" i="8"/>
  <c r="I95" i="42"/>
  <c r="H287" i="42"/>
  <c r="H275" i="42"/>
  <c r="H263" i="42"/>
  <c r="H250" i="42"/>
  <c r="H201" i="42"/>
  <c r="H238" i="42"/>
  <c r="H17" i="42"/>
  <c r="H54" i="42"/>
  <c r="F24" i="1"/>
  <c r="I102" i="42"/>
  <c r="I114" i="42" s="1"/>
  <c r="I126" i="42"/>
  <c r="I138" i="42" s="1"/>
  <c r="F453" i="8"/>
  <c r="H92" i="42"/>
  <c r="B287" i="8"/>
  <c r="B32" i="29"/>
  <c r="G126" i="42"/>
  <c r="G138" i="42" s="1"/>
  <c r="G102" i="42"/>
  <c r="G114" i="42" s="1"/>
  <c r="G107" i="42"/>
  <c r="G119" i="42" s="1"/>
  <c r="G131" i="42"/>
  <c r="G143" i="42" s="1"/>
  <c r="G469" i="8"/>
  <c r="I151" i="42"/>
  <c r="G449" i="8"/>
  <c r="I88" i="42"/>
  <c r="E469" i="8"/>
  <c r="G151" i="42"/>
  <c r="B408" i="8"/>
  <c r="D32" i="29"/>
  <c r="H162" i="42"/>
  <c r="H174" i="42"/>
  <c r="H186" i="42"/>
  <c r="H124" i="42"/>
  <c r="H136" i="42" s="1"/>
  <c r="H100" i="42"/>
  <c r="H112" i="42" s="1"/>
  <c r="I285" i="42"/>
  <c r="I273" i="42"/>
  <c r="I248" i="42"/>
  <c r="I199" i="42"/>
  <c r="I15" i="42"/>
  <c r="I52" i="42"/>
  <c r="I261" i="42"/>
  <c r="I236" i="42"/>
  <c r="D25" i="1"/>
  <c r="J59" i="42"/>
  <c r="J206" i="42"/>
  <c r="J255" i="42"/>
  <c r="J243" i="42"/>
  <c r="J22" i="42"/>
  <c r="K26" i="1"/>
  <c r="E471" i="8"/>
  <c r="G153" i="42"/>
  <c r="H261" i="42"/>
  <c r="H236" i="42"/>
  <c r="H285" i="42"/>
  <c r="H199" i="42"/>
  <c r="H273" i="42"/>
  <c r="H15" i="42"/>
  <c r="H248" i="42"/>
  <c r="H52" i="42"/>
  <c r="D24" i="1"/>
  <c r="F467" i="8"/>
  <c r="H149" i="42"/>
  <c r="G188" i="42"/>
  <c r="G164" i="42"/>
  <c r="G176" i="42"/>
  <c r="E474" i="8"/>
  <c r="G156" i="42"/>
  <c r="G455" i="8"/>
  <c r="I94" i="42"/>
  <c r="I164" i="42"/>
  <c r="I188" i="42"/>
  <c r="I176" i="42"/>
  <c r="L206" i="42"/>
  <c r="L255" i="42"/>
  <c r="L243" i="42"/>
  <c r="L22" i="42"/>
  <c r="L59" i="42"/>
  <c r="K28" i="1"/>
  <c r="K59" i="42"/>
  <c r="K206" i="42"/>
  <c r="K255" i="42"/>
  <c r="K243" i="42"/>
  <c r="K22" i="42"/>
  <c r="K27" i="1"/>
  <c r="G287" i="42"/>
  <c r="G275" i="42"/>
  <c r="G263" i="42"/>
  <c r="G250" i="42"/>
  <c r="G201" i="42"/>
  <c r="G17" i="42"/>
  <c r="G238" i="42"/>
  <c r="G54" i="42"/>
  <c r="F23" i="1"/>
  <c r="B347" i="8"/>
  <c r="C32" i="29"/>
  <c r="F451" i="8"/>
  <c r="H90" i="42"/>
  <c r="I287" i="42"/>
  <c r="I275" i="42"/>
  <c r="I263" i="42"/>
  <c r="I250" i="42"/>
  <c r="I201" i="42"/>
  <c r="I238" i="42"/>
  <c r="I17" i="42"/>
  <c r="I54" i="42"/>
  <c r="F25" i="1"/>
  <c r="G124" i="42"/>
  <c r="G136" i="42" s="1"/>
  <c r="G100" i="42"/>
  <c r="G112" i="42" s="1"/>
  <c r="H131" i="42"/>
  <c r="H143" i="42" s="1"/>
  <c r="H107" i="42"/>
  <c r="H119" i="42" s="1"/>
  <c r="G162" i="42"/>
  <c r="G186" i="42"/>
  <c r="G174" i="42"/>
  <c r="I186" i="42"/>
  <c r="I174" i="42"/>
  <c r="I162" i="42"/>
  <c r="G453" i="8"/>
  <c r="I92" i="42"/>
  <c r="H188" i="42"/>
  <c r="H164" i="42"/>
  <c r="H176" i="42"/>
  <c r="E467" i="8"/>
  <c r="G149" i="42"/>
  <c r="F474" i="8"/>
  <c r="H156" i="42"/>
  <c r="G285" i="42"/>
  <c r="G273" i="42"/>
  <c r="G248" i="42"/>
  <c r="G199" i="42"/>
  <c r="G261" i="42"/>
  <c r="G236" i="42"/>
  <c r="G52" i="42"/>
  <c r="G15" i="42"/>
  <c r="D23" i="1"/>
  <c r="E444" i="32"/>
  <c r="E458" i="32" s="1"/>
  <c r="E476" i="32" s="1"/>
  <c r="B48" i="29"/>
  <c r="B347" i="7"/>
  <c r="C48" i="29"/>
  <c r="F455" i="32"/>
  <c r="H94" i="43"/>
  <c r="D48" i="29"/>
  <c r="E455" i="32"/>
  <c r="G94" i="43"/>
  <c r="L105" i="43"/>
  <c r="L117" i="43" s="1"/>
  <c r="L129" i="43"/>
  <c r="L141" i="43" s="1"/>
  <c r="J472" i="32"/>
  <c r="L154" i="43"/>
  <c r="J203" i="43"/>
  <c r="J240" i="43"/>
  <c r="J56" i="43"/>
  <c r="J19" i="43"/>
  <c r="J252" i="43"/>
  <c r="H54" i="1"/>
  <c r="K178" i="43"/>
  <c r="K166" i="43"/>
  <c r="K190" i="43"/>
  <c r="K240" i="43"/>
  <c r="K56" i="43"/>
  <c r="K203" i="43"/>
  <c r="K19" i="43"/>
  <c r="K252" i="43"/>
  <c r="H55" i="1"/>
  <c r="J178" i="43"/>
  <c r="J190" i="43"/>
  <c r="J166" i="43"/>
  <c r="L191" i="43"/>
  <c r="L167" i="43"/>
  <c r="L179" i="43"/>
  <c r="I56" i="1"/>
  <c r="L253" i="43"/>
  <c r="L20" i="43"/>
  <c r="L204" i="43"/>
  <c r="L57" i="43"/>
  <c r="L241" i="43"/>
  <c r="L118" i="43"/>
  <c r="L142" i="43"/>
  <c r="K142" i="43"/>
  <c r="K118" i="43"/>
  <c r="K179" i="43"/>
  <c r="K167" i="43"/>
  <c r="K191" i="43"/>
  <c r="I55" i="1"/>
  <c r="K20" i="43"/>
  <c r="K57" i="43"/>
  <c r="K241" i="43"/>
  <c r="K253" i="43"/>
  <c r="K204" i="43"/>
  <c r="I54" i="1"/>
  <c r="J253" i="43"/>
  <c r="J204" i="43"/>
  <c r="J241" i="43"/>
  <c r="J57" i="43"/>
  <c r="J20" i="43"/>
  <c r="J118" i="43"/>
  <c r="J142" i="43"/>
  <c r="J167" i="43"/>
  <c r="J191" i="43"/>
  <c r="J179" i="43"/>
  <c r="L129" i="42"/>
  <c r="L141" i="42" s="1"/>
  <c r="L105" i="42"/>
  <c r="L117" i="42" s="1"/>
  <c r="J472" i="8"/>
  <c r="L154" i="42"/>
  <c r="K129" i="42"/>
  <c r="K141" i="42" s="1"/>
  <c r="K105" i="42"/>
  <c r="K117" i="42" s="1"/>
  <c r="I472" i="8"/>
  <c r="K154" i="42"/>
  <c r="J166" i="42"/>
  <c r="J190" i="42"/>
  <c r="J178" i="42"/>
  <c r="J203" i="42"/>
  <c r="J240" i="42"/>
  <c r="J252" i="42"/>
  <c r="J56" i="42"/>
  <c r="J19" i="42"/>
  <c r="H26" i="1"/>
  <c r="E455" i="8"/>
  <c r="G94" i="42"/>
  <c r="F455" i="8"/>
  <c r="H94" i="42"/>
  <c r="F444" i="32"/>
  <c r="J108" i="41"/>
  <c r="J120" i="41" s="1"/>
  <c r="J132" i="41"/>
  <c r="K42" i="1"/>
  <c r="L255" i="41"/>
  <c r="L243" i="41"/>
  <c r="L59" i="41"/>
  <c r="L206" i="41"/>
  <c r="L22" i="41"/>
  <c r="K190" i="41"/>
  <c r="K166" i="41"/>
  <c r="K178" i="41"/>
  <c r="J89" i="41"/>
  <c r="J190" i="41"/>
  <c r="J166" i="41"/>
  <c r="J178" i="41"/>
  <c r="K105" i="41"/>
  <c r="K117" i="41" s="1"/>
  <c r="K129" i="41"/>
  <c r="K141" i="41" s="1"/>
  <c r="K41" i="1"/>
  <c r="K206" i="41"/>
  <c r="K255" i="41"/>
  <c r="K243" i="41"/>
  <c r="K22" i="41"/>
  <c r="K59" i="41"/>
  <c r="J129" i="41"/>
  <c r="J141" i="41" s="1"/>
  <c r="J105" i="41"/>
  <c r="J117" i="41" s="1"/>
  <c r="H42" i="1"/>
  <c r="L240" i="41"/>
  <c r="L203" i="41"/>
  <c r="L252" i="41"/>
  <c r="L56" i="41"/>
  <c r="L19" i="41"/>
  <c r="L30" i="37"/>
  <c r="L42" i="37"/>
  <c r="L28" i="37"/>
  <c r="L40" i="37"/>
  <c r="I236" i="37"/>
  <c r="I285" i="37"/>
  <c r="I273" i="37"/>
  <c r="I248" i="37"/>
  <c r="I52" i="37"/>
  <c r="I199" i="37"/>
  <c r="I261" i="37"/>
  <c r="I15" i="37"/>
  <c r="D11" i="1"/>
  <c r="K30" i="37"/>
  <c r="K42" i="37"/>
  <c r="I100" i="37"/>
  <c r="I124" i="37"/>
  <c r="H128" i="37"/>
  <c r="H140" i="37" s="1"/>
  <c r="H104" i="37"/>
  <c r="H116" i="37" s="1"/>
  <c r="I435" i="9"/>
  <c r="L224" i="37"/>
  <c r="L212" i="37"/>
  <c r="I176" i="37"/>
  <c r="I164" i="37"/>
  <c r="I188" i="37"/>
  <c r="J42" i="37"/>
  <c r="J30" i="37"/>
  <c r="G467" i="9"/>
  <c r="I149" i="37"/>
  <c r="F471" i="9"/>
  <c r="H153" i="37"/>
  <c r="I17" i="37"/>
  <c r="I263" i="37"/>
  <c r="I238" i="37"/>
  <c r="I250" i="37"/>
  <c r="I287" i="37"/>
  <c r="I275" i="37"/>
  <c r="I54" i="37"/>
  <c r="I201" i="37"/>
  <c r="F11" i="1"/>
  <c r="I156" i="37"/>
  <c r="G474" i="9"/>
  <c r="G107" i="37"/>
  <c r="G119" i="37" s="1"/>
  <c r="G131" i="37"/>
  <c r="G143" i="37" s="1"/>
  <c r="L67" i="37"/>
  <c r="L79" i="37"/>
  <c r="L65" i="37"/>
  <c r="L77" i="37"/>
  <c r="K28" i="37"/>
  <c r="K40" i="37"/>
  <c r="G102" i="37"/>
  <c r="G114" i="37" s="1"/>
  <c r="G126" i="37"/>
  <c r="G138" i="37" s="1"/>
  <c r="H174" i="37"/>
  <c r="H162" i="37"/>
  <c r="H186" i="37"/>
  <c r="I107" i="37"/>
  <c r="I119" i="37" s="1"/>
  <c r="I131" i="37"/>
  <c r="I143" i="37" s="1"/>
  <c r="G156" i="37"/>
  <c r="E474" i="9"/>
  <c r="K224" i="37"/>
  <c r="K212" i="37"/>
  <c r="E469" i="9"/>
  <c r="G151" i="37"/>
  <c r="G124" i="37"/>
  <c r="G100" i="37"/>
  <c r="H261" i="37"/>
  <c r="H15" i="37"/>
  <c r="H236" i="37"/>
  <c r="H285" i="37"/>
  <c r="H273" i="37"/>
  <c r="H248" i="37"/>
  <c r="H52" i="37"/>
  <c r="H199" i="37"/>
  <c r="D10" i="1"/>
  <c r="F469" i="9"/>
  <c r="H151" i="37"/>
  <c r="G128" i="37"/>
  <c r="G140" i="37" s="1"/>
  <c r="G104" i="37"/>
  <c r="G116" i="37" s="1"/>
  <c r="I128" i="37"/>
  <c r="I140" i="37" s="1"/>
  <c r="I104" i="37"/>
  <c r="I116" i="37" s="1"/>
  <c r="H176" i="37"/>
  <c r="H164" i="37"/>
  <c r="H188" i="37"/>
  <c r="G174" i="37"/>
  <c r="G162" i="37"/>
  <c r="G186" i="37"/>
  <c r="J175" i="37"/>
  <c r="J163" i="37"/>
  <c r="J187" i="37"/>
  <c r="E467" i="9"/>
  <c r="G149" i="37"/>
  <c r="K79" i="37"/>
  <c r="K67" i="37"/>
  <c r="H102" i="37"/>
  <c r="H114" i="37" s="1"/>
  <c r="H126" i="37"/>
  <c r="H138" i="37" s="1"/>
  <c r="E471" i="9"/>
  <c r="G153" i="37"/>
  <c r="G471" i="9"/>
  <c r="I153" i="37"/>
  <c r="E455" i="9"/>
  <c r="G94" i="37"/>
  <c r="F455" i="9"/>
  <c r="H94" i="37"/>
  <c r="H201" i="37"/>
  <c r="H17" i="37"/>
  <c r="H263" i="37"/>
  <c r="H238" i="37"/>
  <c r="H250" i="37"/>
  <c r="H275" i="37"/>
  <c r="H54" i="37"/>
  <c r="H287" i="37"/>
  <c r="F10" i="1"/>
  <c r="G199" i="37"/>
  <c r="G261" i="37"/>
  <c r="G15" i="37"/>
  <c r="G236" i="37"/>
  <c r="G285" i="37"/>
  <c r="G273" i="37"/>
  <c r="G248" i="37"/>
  <c r="G52" i="37"/>
  <c r="D9" i="1"/>
  <c r="G188" i="37"/>
  <c r="G164" i="37"/>
  <c r="G176" i="37"/>
  <c r="F467" i="9"/>
  <c r="H149" i="37"/>
  <c r="K65" i="37"/>
  <c r="K77" i="37"/>
  <c r="J16" i="37"/>
  <c r="J237" i="37"/>
  <c r="J249" i="37"/>
  <c r="J53" i="37"/>
  <c r="J200" i="37"/>
  <c r="E12" i="1"/>
  <c r="I102" i="37"/>
  <c r="I114" i="37" s="1"/>
  <c r="I126" i="37"/>
  <c r="I138" i="37" s="1"/>
  <c r="J79" i="37"/>
  <c r="J67" i="37"/>
  <c r="I106" i="37"/>
  <c r="I118" i="37" s="1"/>
  <c r="I130" i="37"/>
  <c r="I142" i="37" s="1"/>
  <c r="H131" i="37"/>
  <c r="H143" i="37" s="1"/>
  <c r="H107" i="37"/>
  <c r="H119" i="37" s="1"/>
  <c r="J435" i="9"/>
  <c r="G287" i="37"/>
  <c r="G275" i="37"/>
  <c r="G54" i="37"/>
  <c r="G201" i="37"/>
  <c r="G17" i="37"/>
  <c r="G263" i="37"/>
  <c r="G238" i="37"/>
  <c r="G250" i="37"/>
  <c r="F9" i="1"/>
  <c r="H100" i="37"/>
  <c r="H124" i="37"/>
  <c r="I186" i="37"/>
  <c r="I162" i="37"/>
  <c r="I174" i="37"/>
  <c r="G469" i="9"/>
  <c r="I151" i="37"/>
  <c r="G473" i="9"/>
  <c r="I155" i="37"/>
  <c r="F474" i="9"/>
  <c r="H156" i="37"/>
  <c r="L22" i="37"/>
  <c r="L255" i="37"/>
  <c r="L59" i="37"/>
  <c r="L206" i="37"/>
  <c r="L243" i="37"/>
  <c r="K14" i="1"/>
  <c r="K206" i="37"/>
  <c r="K255" i="37"/>
  <c r="K22" i="37"/>
  <c r="K59" i="37"/>
  <c r="K243" i="37"/>
  <c r="K13" i="1"/>
  <c r="J59" i="37"/>
  <c r="J22" i="37"/>
  <c r="J255" i="37"/>
  <c r="J243" i="37"/>
  <c r="J206" i="37"/>
  <c r="K12" i="1"/>
  <c r="K178" i="37"/>
  <c r="K190" i="37"/>
  <c r="K166" i="37"/>
  <c r="K252" i="37"/>
  <c r="K240" i="37"/>
  <c r="K56" i="37"/>
  <c r="K203" i="37"/>
  <c r="K19" i="37"/>
  <c r="H13" i="1"/>
  <c r="K179" i="37"/>
  <c r="K191" i="37"/>
  <c r="K167" i="37"/>
  <c r="I13" i="1"/>
  <c r="K57" i="37"/>
  <c r="K253" i="37"/>
  <c r="K204" i="37"/>
  <c r="K20" i="37"/>
  <c r="K241" i="37"/>
  <c r="K142" i="37"/>
  <c r="K118" i="37"/>
  <c r="J179" i="37"/>
  <c r="J167" i="37"/>
  <c r="J191" i="37"/>
  <c r="I12" i="1"/>
  <c r="J204" i="37"/>
  <c r="J253" i="37"/>
  <c r="J20" i="37"/>
  <c r="J241" i="37"/>
  <c r="J57" i="37"/>
  <c r="J166" i="37"/>
  <c r="J178" i="37"/>
  <c r="J190" i="37"/>
  <c r="J252" i="37"/>
  <c r="J56" i="37"/>
  <c r="J203" i="37"/>
  <c r="J240" i="37"/>
  <c r="J19" i="37"/>
  <c r="H12" i="1"/>
  <c r="J141" i="37"/>
  <c r="J117" i="37"/>
  <c r="L178" i="37"/>
  <c r="L190" i="37"/>
  <c r="L166" i="37"/>
  <c r="L240" i="37"/>
  <c r="L56" i="37"/>
  <c r="L19" i="37"/>
  <c r="L252" i="37"/>
  <c r="L203" i="37"/>
  <c r="H14" i="1"/>
  <c r="L216" i="37"/>
  <c r="L228" i="37"/>
  <c r="L32" i="37"/>
  <c r="L44" i="37"/>
  <c r="L81" i="37"/>
  <c r="L69" i="37"/>
  <c r="H457" i="7"/>
  <c r="J157" i="41" s="1"/>
  <c r="J169" i="41" s="1"/>
  <c r="I472" i="7"/>
  <c r="H472" i="7"/>
  <c r="AH58" i="33"/>
  <c r="AK58" i="33"/>
  <c r="AQ98" i="33"/>
  <c r="AW98" i="33"/>
  <c r="AR95" i="32"/>
  <c r="AM15" i="32"/>
  <c r="AE15" i="32"/>
  <c r="AV55" i="32"/>
  <c r="AN55" i="32"/>
  <c r="AF55" i="32"/>
  <c r="AU95" i="32"/>
  <c r="AE95" i="32"/>
  <c r="AZ95" i="32"/>
  <c r="AS15" i="32"/>
  <c r="AL55" i="32"/>
  <c r="I441" i="8"/>
  <c r="J441" i="8"/>
  <c r="AC55" i="8"/>
  <c r="H441" i="8"/>
  <c r="H450" i="7"/>
  <c r="J150" i="41" s="1"/>
  <c r="AD58" i="33"/>
  <c r="AV58" i="33"/>
  <c r="AY18" i="33"/>
  <c r="AC58" i="33"/>
  <c r="AT58" i="33"/>
  <c r="AJ98" i="33"/>
  <c r="AK98" i="33"/>
  <c r="AY98" i="33"/>
  <c r="AX98" i="33"/>
  <c r="BA98" i="33"/>
  <c r="AM58" i="33"/>
  <c r="T41" i="32"/>
  <c r="AT55" i="32"/>
  <c r="AC15" i="32"/>
  <c r="Q81" i="32"/>
  <c r="AZ55" i="32"/>
  <c r="AR55" i="32"/>
  <c r="AJ55" i="32"/>
  <c r="AY95" i="32"/>
  <c r="AI95" i="32"/>
  <c r="AF54" i="32"/>
  <c r="AD55" i="32"/>
  <c r="AS55" i="32"/>
  <c r="X81" i="32"/>
  <c r="P81" i="32"/>
  <c r="AQ55" i="32"/>
  <c r="H81" i="32"/>
  <c r="I81" i="32"/>
  <c r="BA92" i="32"/>
  <c r="D437" i="32" s="1"/>
  <c r="P121" i="32"/>
  <c r="H121" i="32"/>
  <c r="AC10" i="32"/>
  <c r="B435" i="32" s="1"/>
  <c r="AN95" i="32"/>
  <c r="C41" i="32"/>
  <c r="D121" i="32"/>
  <c r="AM95" i="32"/>
  <c r="AF14" i="32"/>
  <c r="AC55" i="32"/>
  <c r="S121" i="32"/>
  <c r="K121" i="32"/>
  <c r="AV55" i="8"/>
  <c r="AN55" i="8"/>
  <c r="AF55" i="8"/>
  <c r="AT55" i="8"/>
  <c r="AL55" i="8"/>
  <c r="AD55" i="8"/>
  <c r="BA55" i="8"/>
  <c r="AS55" i="8"/>
  <c r="AK55" i="8"/>
  <c r="AU55" i="8"/>
  <c r="AM55" i="8"/>
  <c r="AE55" i="8"/>
  <c r="AY55" i="8"/>
  <c r="AQ55" i="8"/>
  <c r="AI55" i="8"/>
  <c r="AQ18" i="33"/>
  <c r="AI58" i="33"/>
  <c r="AR18" i="33"/>
  <c r="AI18" i="33"/>
  <c r="AG98" i="33"/>
  <c r="AF58" i="33"/>
  <c r="AR98" i="33"/>
  <c r="AL58" i="33"/>
  <c r="AC18" i="33"/>
  <c r="AL98" i="33"/>
  <c r="AC98" i="33"/>
  <c r="AQ58" i="33"/>
  <c r="BA18" i="33"/>
  <c r="BA58" i="33"/>
  <c r="AY58" i="33"/>
  <c r="AL95" i="32"/>
  <c r="AK95" i="32"/>
  <c r="U121" i="32"/>
  <c r="L121" i="32"/>
  <c r="R121" i="32"/>
  <c r="AE96" i="32"/>
  <c r="B121" i="32"/>
  <c r="AR56" i="32"/>
  <c r="AJ56" i="32"/>
  <c r="J81" i="32"/>
  <c r="T81" i="32"/>
  <c r="AC50" i="32"/>
  <c r="C435" i="32" s="1"/>
  <c r="AO57" i="32"/>
  <c r="AO58" i="32" s="1"/>
  <c r="AG17" i="32"/>
  <c r="AR97" i="32"/>
  <c r="AU17" i="32"/>
  <c r="J41" i="32"/>
  <c r="BA15" i="32"/>
  <c r="AK15" i="32"/>
  <c r="AU18" i="32"/>
  <c r="AZ15" i="32"/>
  <c r="AJ15" i="32"/>
  <c r="O41" i="32"/>
  <c r="BA12" i="32"/>
  <c r="B437" i="32" s="1"/>
  <c r="R41" i="32"/>
  <c r="AD15" i="32"/>
  <c r="AH18" i="32"/>
  <c r="B41" i="32"/>
  <c r="AP55" i="32"/>
  <c r="O81" i="32"/>
  <c r="AX55" i="32"/>
  <c r="W81" i="32"/>
  <c r="AG16" i="32"/>
  <c r="AO16" i="32"/>
  <c r="AO18" i="32" s="1"/>
  <c r="AW16" i="32"/>
  <c r="AW18" i="32" s="1"/>
  <c r="H41" i="32"/>
  <c r="P41" i="32"/>
  <c r="X41" i="32"/>
  <c r="AF15" i="32"/>
  <c r="AN15" i="32"/>
  <c r="AV15" i="32"/>
  <c r="AL14" i="32"/>
  <c r="AI17" i="32"/>
  <c r="AI18" i="32" s="1"/>
  <c r="AY17" i="32"/>
  <c r="AY18" i="32" s="1"/>
  <c r="I41" i="32"/>
  <c r="Q41" i="32"/>
  <c r="AR14" i="32"/>
  <c r="Y41" i="32"/>
  <c r="AY55" i="32"/>
  <c r="AZ57" i="32"/>
  <c r="AX14" i="32"/>
  <c r="W41" i="32"/>
  <c r="AI55" i="32"/>
  <c r="AP17" i="32"/>
  <c r="AU97" i="32"/>
  <c r="AM97" i="32"/>
  <c r="AE97" i="32"/>
  <c r="AT97" i="32"/>
  <c r="AT98" i="32" s="1"/>
  <c r="AL97" i="32"/>
  <c r="AD97" i="32"/>
  <c r="AD98" i="32" s="1"/>
  <c r="BA97" i="32"/>
  <c r="AS97" i="32"/>
  <c r="AK97" i="32"/>
  <c r="AC97" i="32"/>
  <c r="AU57" i="32"/>
  <c r="AU58" i="32" s="1"/>
  <c r="AY97" i="32"/>
  <c r="AQ97" i="32"/>
  <c r="AI97" i="32"/>
  <c r="BA57" i="32"/>
  <c r="AS57" i="32"/>
  <c r="AK57" i="32"/>
  <c r="AC57" i="32"/>
  <c r="AX97" i="32"/>
  <c r="AP97" i="32"/>
  <c r="AP98" i="32" s="1"/>
  <c r="AH97" i="32"/>
  <c r="AH98" i="32" s="1"/>
  <c r="AO97" i="32"/>
  <c r="AX57" i="32"/>
  <c r="AX58" i="32" s="1"/>
  <c r="AN57" i="32"/>
  <c r="AE57" i="32"/>
  <c r="AE58" i="32" s="1"/>
  <c r="AV17" i="32"/>
  <c r="AN17" i="32"/>
  <c r="AF17" i="32"/>
  <c r="AN97" i="32"/>
  <c r="AW57" i="32"/>
  <c r="AW58" i="32" s="1"/>
  <c r="AD57" i="32"/>
  <c r="AM57" i="32"/>
  <c r="AM58" i="32" s="1"/>
  <c r="AJ97" i="32"/>
  <c r="AJ98" i="32" s="1"/>
  <c r="AV57" i="32"/>
  <c r="AL57" i="32"/>
  <c r="AT17" i="32"/>
  <c r="AT18" i="32" s="1"/>
  <c r="AL17" i="32"/>
  <c r="AD17" i="32"/>
  <c r="AG97" i="32"/>
  <c r="AT57" i="32"/>
  <c r="AJ57" i="32"/>
  <c r="BA17" i="32"/>
  <c r="AS17" i="32"/>
  <c r="AK17" i="32"/>
  <c r="AC17" i="32"/>
  <c r="AZ97" i="32"/>
  <c r="AF97" i="32"/>
  <c r="AF98" i="32" s="1"/>
  <c r="AR57" i="32"/>
  <c r="AI57" i="32"/>
  <c r="AZ17" i="32"/>
  <c r="AR17" i="32"/>
  <c r="AJ17" i="32"/>
  <c r="AW97" i="32"/>
  <c r="AQ57" i="32"/>
  <c r="AH57" i="32"/>
  <c r="AQ17" i="32"/>
  <c r="AQ18" i="32" s="1"/>
  <c r="Z41" i="32"/>
  <c r="D41" i="32"/>
  <c r="B81" i="32"/>
  <c r="AG57" i="32"/>
  <c r="Z81" i="32"/>
  <c r="BA52" i="32"/>
  <c r="C437" i="32" s="1"/>
  <c r="G81" i="32"/>
  <c r="AH55" i="32"/>
  <c r="AK58" i="32"/>
  <c r="AC90" i="32"/>
  <c r="D435" i="32" s="1"/>
  <c r="T121" i="32"/>
  <c r="AU94" i="32"/>
  <c r="AL54" i="32"/>
  <c r="Z121" i="32"/>
  <c r="AV95" i="32"/>
  <c r="AV98" i="32" s="1"/>
  <c r="F121" i="32"/>
  <c r="N121" i="32"/>
  <c r="V121" i="32"/>
  <c r="G121" i="32"/>
  <c r="O121" i="32"/>
  <c r="W121" i="32"/>
  <c r="AI94" i="32"/>
  <c r="I121" i="32"/>
  <c r="Q121" i="32"/>
  <c r="Y121" i="32"/>
  <c r="AG95" i="32"/>
  <c r="AO95" i="32"/>
  <c r="AW95" i="32"/>
  <c r="E51" i="30"/>
  <c r="G21" i="30"/>
  <c r="I21" i="30" s="1"/>
  <c r="G12" i="30"/>
  <c r="I12" i="30" s="1"/>
  <c r="C15" i="30" s="1"/>
  <c r="AE18" i="32" l="1"/>
  <c r="H444" i="34"/>
  <c r="H458" i="34" s="1"/>
  <c r="H476" i="34" s="1"/>
  <c r="L54" i="40" s="1"/>
  <c r="J444" i="34"/>
  <c r="J458" i="34" s="1"/>
  <c r="L56" i="40" s="1"/>
  <c r="G128" i="42"/>
  <c r="G140" i="42" s="1"/>
  <c r="BA98" i="32"/>
  <c r="AG58" i="32"/>
  <c r="AK18" i="32"/>
  <c r="H128" i="43"/>
  <c r="H140" i="43" s="1"/>
  <c r="D444" i="33"/>
  <c r="D458" i="33" s="1"/>
  <c r="D476" i="33" s="1"/>
  <c r="L50" i="39" s="1"/>
  <c r="D439" i="32"/>
  <c r="F92" i="43" s="1"/>
  <c r="AM18" i="32"/>
  <c r="AL58" i="32"/>
  <c r="AX98" i="32"/>
  <c r="AT58" i="32"/>
  <c r="AS98" i="32"/>
  <c r="AS58" i="32"/>
  <c r="D89" i="43"/>
  <c r="D125" i="43" s="1"/>
  <c r="D137" i="43" s="1"/>
  <c r="AO98" i="32"/>
  <c r="AN58" i="32"/>
  <c r="AP18" i="32"/>
  <c r="D442" i="32"/>
  <c r="D456" i="32" s="1"/>
  <c r="AP58" i="32"/>
  <c r="I97" i="43"/>
  <c r="AR98" i="32"/>
  <c r="AX18" i="32"/>
  <c r="AS18" i="32"/>
  <c r="D441" i="32"/>
  <c r="F94" i="43" s="1"/>
  <c r="G131" i="43"/>
  <c r="G143" i="43" s="1"/>
  <c r="AY98" i="32"/>
  <c r="B439" i="32"/>
  <c r="B453" i="32" s="1"/>
  <c r="AZ18" i="32"/>
  <c r="AF58" i="32"/>
  <c r="I444" i="34"/>
  <c r="I458" i="34" s="1"/>
  <c r="I476" i="34" s="1"/>
  <c r="L55" i="40" s="1"/>
  <c r="C444" i="33"/>
  <c r="C458" i="33" s="1"/>
  <c r="C476" i="33" s="1"/>
  <c r="L49" i="39" s="1"/>
  <c r="H436" i="33"/>
  <c r="H450" i="33" s="1"/>
  <c r="H468" i="33" s="1"/>
  <c r="D54" i="39" s="1"/>
  <c r="AC283" i="33"/>
  <c r="I444" i="33"/>
  <c r="I458" i="33" s="1"/>
  <c r="I476" i="33" s="1"/>
  <c r="L55" i="39" s="1"/>
  <c r="H442" i="33"/>
  <c r="H456" i="33" s="1"/>
  <c r="H474" i="33" s="1"/>
  <c r="J54" i="39" s="1"/>
  <c r="J442" i="33"/>
  <c r="J456" i="33" s="1"/>
  <c r="J474" i="33" s="1"/>
  <c r="J56" i="39" s="1"/>
  <c r="B444" i="33"/>
  <c r="B458" i="33" s="1"/>
  <c r="B476" i="33" s="1"/>
  <c r="L48" i="39" s="1"/>
  <c r="J444" i="33"/>
  <c r="J458" i="33" s="1"/>
  <c r="J476" i="33" s="1"/>
  <c r="L56" i="39" s="1"/>
  <c r="H438" i="33"/>
  <c r="H452" i="33" s="1"/>
  <c r="H470" i="33" s="1"/>
  <c r="F54" i="39" s="1"/>
  <c r="BA283" i="33"/>
  <c r="F95" i="43"/>
  <c r="AS402" i="32"/>
  <c r="AS404" i="32" s="1"/>
  <c r="R427" i="32"/>
  <c r="I78" i="43"/>
  <c r="I66" i="43"/>
  <c r="D449" i="32"/>
  <c r="F88" i="43"/>
  <c r="AY58" i="32"/>
  <c r="B449" i="32"/>
  <c r="D88" i="43"/>
  <c r="H288" i="43"/>
  <c r="H239" i="43"/>
  <c r="H18" i="43"/>
  <c r="H264" i="43"/>
  <c r="H276" i="43"/>
  <c r="H202" i="43"/>
  <c r="H55" i="43"/>
  <c r="G52" i="1"/>
  <c r="I449" i="32"/>
  <c r="K88" i="43"/>
  <c r="AM281" i="32"/>
  <c r="AM283" i="32" s="1"/>
  <c r="L306" i="32"/>
  <c r="AU402" i="32"/>
  <c r="AU404" i="32" s="1"/>
  <c r="T427" i="32"/>
  <c r="I225" i="43"/>
  <c r="I213" i="43"/>
  <c r="AC335" i="32"/>
  <c r="B366" i="32"/>
  <c r="Z427" i="32"/>
  <c r="B306" i="32"/>
  <c r="F127" i="43"/>
  <c r="F139" i="43" s="1"/>
  <c r="F103" i="43"/>
  <c r="F115" i="43" s="1"/>
  <c r="H189" i="43"/>
  <c r="H165" i="43"/>
  <c r="H177" i="43"/>
  <c r="AN341" i="32"/>
  <c r="AN343" i="32" s="1"/>
  <c r="M366" i="32"/>
  <c r="AV58" i="32"/>
  <c r="C443" i="32"/>
  <c r="C457" i="32" s="1"/>
  <c r="C475" i="32" s="1"/>
  <c r="D443" i="32"/>
  <c r="D457" i="32" s="1"/>
  <c r="D475" i="32" s="1"/>
  <c r="AM98" i="32"/>
  <c r="BA337" i="32"/>
  <c r="Z366" i="32"/>
  <c r="G66" i="43"/>
  <c r="G78" i="43"/>
  <c r="H272" i="43"/>
  <c r="H198" i="43"/>
  <c r="H51" i="43"/>
  <c r="H284" i="43"/>
  <c r="H247" i="43"/>
  <c r="H235" i="43"/>
  <c r="H14" i="43"/>
  <c r="H260" i="43"/>
  <c r="C52" i="1"/>
  <c r="AV341" i="32"/>
  <c r="AV343" i="32" s="1"/>
  <c r="U366" i="32"/>
  <c r="AX281" i="32"/>
  <c r="AX283" i="32" s="1"/>
  <c r="W306" i="32"/>
  <c r="AL281" i="32"/>
  <c r="AL283" i="32" s="1"/>
  <c r="K306" i="32"/>
  <c r="I168" i="43"/>
  <c r="I192" i="43"/>
  <c r="I180" i="43"/>
  <c r="C450" i="32"/>
  <c r="E89" i="43"/>
  <c r="L79" i="43"/>
  <c r="L67" i="43"/>
  <c r="G189" i="43"/>
  <c r="G165" i="43"/>
  <c r="G177" i="43"/>
  <c r="H78" i="43"/>
  <c r="H66" i="43"/>
  <c r="J438" i="32"/>
  <c r="BA404" i="32"/>
  <c r="H450" i="32"/>
  <c r="J89" i="43"/>
  <c r="D470" i="32"/>
  <c r="F152" i="43"/>
  <c r="AP281" i="32"/>
  <c r="AP283" i="32" s="1"/>
  <c r="O306" i="32"/>
  <c r="AU281" i="32"/>
  <c r="AU283" i="32" s="1"/>
  <c r="T306" i="32"/>
  <c r="B451" i="32"/>
  <c r="D90" i="43"/>
  <c r="C441" i="32"/>
  <c r="B441" i="32"/>
  <c r="E91" i="43"/>
  <c r="C452" i="32"/>
  <c r="B442" i="32"/>
  <c r="G29" i="43"/>
  <c r="G41" i="43"/>
  <c r="G225" i="43"/>
  <c r="G213" i="43"/>
  <c r="I76" i="43"/>
  <c r="I64" i="43"/>
  <c r="H185" i="43"/>
  <c r="H173" i="43"/>
  <c r="H161" i="43"/>
  <c r="D103" i="43"/>
  <c r="D115" i="43" s="1"/>
  <c r="D127" i="43"/>
  <c r="D139" i="43" s="1"/>
  <c r="I291" i="43"/>
  <c r="I205" i="43"/>
  <c r="I58" i="43"/>
  <c r="I267" i="43"/>
  <c r="I242" i="43"/>
  <c r="I254" i="43"/>
  <c r="I21" i="43"/>
  <c r="I279" i="43"/>
  <c r="J53" i="1"/>
  <c r="I41" i="43"/>
  <c r="I29" i="43"/>
  <c r="I102" i="43"/>
  <c r="I114" i="43" s="1"/>
  <c r="I126" i="43"/>
  <c r="I138" i="43" s="1"/>
  <c r="F125" i="43"/>
  <c r="F137" i="43" s="1"/>
  <c r="F101" i="43"/>
  <c r="F113" i="43" s="1"/>
  <c r="AD281" i="32"/>
  <c r="AD283" i="32" s="1"/>
  <c r="C306" i="32"/>
  <c r="G288" i="43"/>
  <c r="G239" i="43"/>
  <c r="G18" i="43"/>
  <c r="G264" i="43"/>
  <c r="G202" i="43"/>
  <c r="G55" i="43"/>
  <c r="G276" i="43"/>
  <c r="G51" i="1"/>
  <c r="I173" i="43"/>
  <c r="I185" i="43"/>
  <c r="I161" i="43"/>
  <c r="AC283" i="32"/>
  <c r="H225" i="43"/>
  <c r="H213" i="43"/>
  <c r="AK281" i="32"/>
  <c r="AK283" i="32" s="1"/>
  <c r="J306" i="32"/>
  <c r="AT341" i="32"/>
  <c r="AT343" i="32" s="1"/>
  <c r="S366" i="32"/>
  <c r="F90" i="43"/>
  <c r="D451" i="32"/>
  <c r="AD341" i="32"/>
  <c r="AD343" i="32" s="1"/>
  <c r="C366" i="32"/>
  <c r="AF281" i="32"/>
  <c r="AF283" i="32" s="1"/>
  <c r="E306" i="32"/>
  <c r="Y366" i="32"/>
  <c r="AZ341" i="32"/>
  <c r="AZ343" i="32" s="1"/>
  <c r="AR402" i="32"/>
  <c r="AR404" i="32" s="1"/>
  <c r="Q427" i="32"/>
  <c r="G64" i="43"/>
  <c r="G76" i="43"/>
  <c r="I27" i="43"/>
  <c r="I39" i="43"/>
  <c r="I223" i="43"/>
  <c r="I211" i="43"/>
  <c r="I207" i="43"/>
  <c r="Q431" i="43" s="1"/>
  <c r="AE456" i="43" s="1"/>
  <c r="I60" i="43"/>
  <c r="H431" i="43" s="1"/>
  <c r="AE454" i="43" s="1"/>
  <c r="I23" i="43"/>
  <c r="C431" i="43" s="1"/>
  <c r="AE453" i="43" s="1"/>
  <c r="L53" i="1"/>
  <c r="B470" i="32"/>
  <c r="D152" i="43"/>
  <c r="H187" i="43"/>
  <c r="H163" i="43"/>
  <c r="H175" i="43"/>
  <c r="G124" i="43"/>
  <c r="G136" i="43" s="1"/>
  <c r="G100" i="43"/>
  <c r="G112" i="43" s="1"/>
  <c r="G469" i="32"/>
  <c r="I151" i="43"/>
  <c r="C439" i="32"/>
  <c r="D468" i="32"/>
  <c r="F150" i="43"/>
  <c r="I272" i="43"/>
  <c r="I198" i="43"/>
  <c r="I51" i="43"/>
  <c r="I284" i="43"/>
  <c r="I247" i="43"/>
  <c r="I235" i="43"/>
  <c r="I14" i="43"/>
  <c r="I260" i="43"/>
  <c r="C53" i="1"/>
  <c r="H449" i="32"/>
  <c r="J88" i="43"/>
  <c r="H29" i="43"/>
  <c r="H41" i="43"/>
  <c r="G168" i="43"/>
  <c r="G192" i="43"/>
  <c r="G180" i="43"/>
  <c r="G187" i="43"/>
  <c r="G175" i="43"/>
  <c r="G163" i="43"/>
  <c r="G39" i="43"/>
  <c r="G27" i="43"/>
  <c r="G211" i="43"/>
  <c r="G223" i="43"/>
  <c r="J449" i="32"/>
  <c r="L88" i="43"/>
  <c r="AZ402" i="32"/>
  <c r="AZ404" i="32" s="1"/>
  <c r="Y427" i="32"/>
  <c r="H180" i="43"/>
  <c r="H168" i="43"/>
  <c r="H192" i="43"/>
  <c r="J450" i="32"/>
  <c r="L89" i="43"/>
  <c r="C442" i="32"/>
  <c r="H200" i="43"/>
  <c r="H53" i="43"/>
  <c r="H262" i="43"/>
  <c r="H249" i="43"/>
  <c r="H237" i="43"/>
  <c r="H274" i="43"/>
  <c r="H286" i="43"/>
  <c r="H16" i="43"/>
  <c r="E52" i="1"/>
  <c r="E467" i="32"/>
  <c r="G149" i="43"/>
  <c r="I112" i="43"/>
  <c r="I130" i="43"/>
  <c r="I142" i="43" s="1"/>
  <c r="I106" i="43"/>
  <c r="I118" i="43" s="1"/>
  <c r="H76" i="43"/>
  <c r="H64" i="43"/>
  <c r="AS281" i="32"/>
  <c r="AS283" i="32" s="1"/>
  <c r="R306" i="32"/>
  <c r="G279" i="43"/>
  <c r="G21" i="43"/>
  <c r="G291" i="43"/>
  <c r="G205" i="43"/>
  <c r="G58" i="43"/>
  <c r="G267" i="43"/>
  <c r="G242" i="43"/>
  <c r="G254" i="43"/>
  <c r="J51" i="1"/>
  <c r="AV281" i="32"/>
  <c r="AV283" i="32" s="1"/>
  <c r="U306" i="32"/>
  <c r="G471" i="32"/>
  <c r="I153" i="43"/>
  <c r="C451" i="32"/>
  <c r="E90" i="43"/>
  <c r="AZ98" i="32"/>
  <c r="G286" i="43"/>
  <c r="G200" i="43"/>
  <c r="G53" i="43"/>
  <c r="G262" i="43"/>
  <c r="G249" i="43"/>
  <c r="G237" i="43"/>
  <c r="G274" i="43"/>
  <c r="G16" i="43"/>
  <c r="E51" i="1"/>
  <c r="AK402" i="32"/>
  <c r="AK404" i="32" s="1"/>
  <c r="J427" i="32"/>
  <c r="AL341" i="32"/>
  <c r="AL343" i="32" s="1"/>
  <c r="K366" i="32"/>
  <c r="AN281" i="32"/>
  <c r="AN283" i="32" s="1"/>
  <c r="M306" i="32"/>
  <c r="AT281" i="32"/>
  <c r="AT283" i="32" s="1"/>
  <c r="S306" i="32"/>
  <c r="AS341" i="32"/>
  <c r="AS343" i="32" s="1"/>
  <c r="R366" i="32"/>
  <c r="H291" i="43"/>
  <c r="H205" i="43"/>
  <c r="H58" i="43"/>
  <c r="H267" i="43"/>
  <c r="H242" i="43"/>
  <c r="H254" i="43"/>
  <c r="H21" i="43"/>
  <c r="H279" i="43"/>
  <c r="J52" i="1"/>
  <c r="AF341" i="32"/>
  <c r="AF343" i="32" s="1"/>
  <c r="E366" i="32"/>
  <c r="AH281" i="32"/>
  <c r="AH283" i="32" s="1"/>
  <c r="G306" i="32"/>
  <c r="AI402" i="32"/>
  <c r="AI404" i="32" s="1"/>
  <c r="H427" i="32"/>
  <c r="AK341" i="32"/>
  <c r="AK343" i="32" s="1"/>
  <c r="J366" i="32"/>
  <c r="I136" i="43"/>
  <c r="B468" i="32"/>
  <c r="D150" i="43"/>
  <c r="L42" i="43"/>
  <c r="L30" i="43"/>
  <c r="G473" i="32"/>
  <c r="I155" i="43"/>
  <c r="H223" i="43"/>
  <c r="H211" i="43"/>
  <c r="AE281" i="32"/>
  <c r="AE283" i="32" s="1"/>
  <c r="D306" i="32"/>
  <c r="B443" i="32"/>
  <c r="B457" i="32" s="1"/>
  <c r="B475" i="32" s="1"/>
  <c r="AQ98" i="32"/>
  <c r="C449" i="32"/>
  <c r="E88" i="43"/>
  <c r="AY402" i="32"/>
  <c r="AY404" i="32" s="1"/>
  <c r="X427" i="32"/>
  <c r="AM402" i="32"/>
  <c r="AM404" i="32" s="1"/>
  <c r="L427" i="32"/>
  <c r="AQ402" i="32"/>
  <c r="AQ404" i="32" s="1"/>
  <c r="P427" i="32"/>
  <c r="I104" i="43"/>
  <c r="I116" i="43" s="1"/>
  <c r="I128" i="43"/>
  <c r="I140" i="43" s="1"/>
  <c r="H39" i="43"/>
  <c r="H27" i="43"/>
  <c r="AY341" i="32"/>
  <c r="AY343" i="32" s="1"/>
  <c r="X366" i="32"/>
  <c r="BA281" i="32"/>
  <c r="BA283" i="32" s="1"/>
  <c r="Z306" i="32"/>
  <c r="L218" i="42"/>
  <c r="L230" i="42"/>
  <c r="I128" i="42"/>
  <c r="I140" i="42" s="1"/>
  <c r="I104" i="42"/>
  <c r="I116" i="42" s="1"/>
  <c r="I213" i="42"/>
  <c r="I225" i="42"/>
  <c r="F469" i="8"/>
  <c r="H151" i="42"/>
  <c r="L46" i="42"/>
  <c r="L34" i="42"/>
  <c r="H185" i="42"/>
  <c r="H173" i="42"/>
  <c r="H161" i="42"/>
  <c r="G264" i="42"/>
  <c r="G202" i="42"/>
  <c r="G239" i="42"/>
  <c r="G288" i="42"/>
  <c r="G18" i="42"/>
  <c r="G276" i="42"/>
  <c r="G55" i="42"/>
  <c r="G23" i="1"/>
  <c r="J83" i="42"/>
  <c r="J71" i="42"/>
  <c r="I286" i="42"/>
  <c r="I274" i="42"/>
  <c r="I262" i="42"/>
  <c r="I249" i="42"/>
  <c r="I200" i="42"/>
  <c r="I237" i="42"/>
  <c r="I16" i="42"/>
  <c r="I53" i="42"/>
  <c r="E25" i="1"/>
  <c r="F471" i="8"/>
  <c r="H153" i="42"/>
  <c r="G64" i="42"/>
  <c r="G76" i="42"/>
  <c r="H180" i="42"/>
  <c r="H168" i="42"/>
  <c r="H192" i="42"/>
  <c r="G471" i="8"/>
  <c r="I153" i="42"/>
  <c r="I106" i="42"/>
  <c r="I118" i="42" s="1"/>
  <c r="I130" i="42"/>
  <c r="I142" i="42" s="1"/>
  <c r="H247" i="42"/>
  <c r="H198" i="42"/>
  <c r="H235" i="42"/>
  <c r="H284" i="42"/>
  <c r="H272" i="42"/>
  <c r="H260" i="42"/>
  <c r="H51" i="42"/>
  <c r="H14" i="42"/>
  <c r="C24" i="1"/>
  <c r="H291" i="42"/>
  <c r="H279" i="42"/>
  <c r="H267" i="42"/>
  <c r="H205" i="42"/>
  <c r="H254" i="42"/>
  <c r="H242" i="42"/>
  <c r="H58" i="42"/>
  <c r="H21" i="42"/>
  <c r="J24" i="1"/>
  <c r="K218" i="42"/>
  <c r="K230" i="42"/>
  <c r="H64" i="42"/>
  <c r="H76" i="42"/>
  <c r="G247" i="42"/>
  <c r="G198" i="42"/>
  <c r="G235" i="42"/>
  <c r="G284" i="42"/>
  <c r="G272" i="42"/>
  <c r="G260" i="42"/>
  <c r="G51" i="42"/>
  <c r="G14" i="42"/>
  <c r="C23" i="1"/>
  <c r="G78" i="42"/>
  <c r="G66" i="42"/>
  <c r="G291" i="42"/>
  <c r="G279" i="42"/>
  <c r="G267" i="42"/>
  <c r="G205" i="42"/>
  <c r="G254" i="42"/>
  <c r="G242" i="42"/>
  <c r="G58" i="42"/>
  <c r="G21" i="42"/>
  <c r="J23" i="1"/>
  <c r="I76" i="42"/>
  <c r="I64" i="42"/>
  <c r="G237" i="42"/>
  <c r="G286" i="42"/>
  <c r="G274" i="42"/>
  <c r="G262" i="42"/>
  <c r="G200" i="42"/>
  <c r="G16" i="42"/>
  <c r="G249" i="42"/>
  <c r="G53" i="42"/>
  <c r="E23" i="1"/>
  <c r="H78" i="42"/>
  <c r="H66" i="42"/>
  <c r="G211" i="42"/>
  <c r="G223" i="42"/>
  <c r="I66" i="42"/>
  <c r="I78" i="42"/>
  <c r="K83" i="42"/>
  <c r="K71" i="42"/>
  <c r="H39" i="42"/>
  <c r="H27" i="42"/>
  <c r="J218" i="42"/>
  <c r="J230" i="42"/>
  <c r="I39" i="42"/>
  <c r="I27" i="42"/>
  <c r="I124" i="42"/>
  <c r="I100" i="42"/>
  <c r="H29" i="42"/>
  <c r="H41" i="42"/>
  <c r="G473" i="8"/>
  <c r="I155" i="42"/>
  <c r="I41" i="42"/>
  <c r="I29" i="42"/>
  <c r="G41" i="42"/>
  <c r="G29" i="42"/>
  <c r="I223" i="42"/>
  <c r="I211" i="42"/>
  <c r="G467" i="8"/>
  <c r="I149" i="42"/>
  <c r="I131" i="42"/>
  <c r="I143" i="42" s="1"/>
  <c r="I107" i="42"/>
  <c r="I119" i="42" s="1"/>
  <c r="J46" i="42"/>
  <c r="J34" i="42"/>
  <c r="G185" i="42"/>
  <c r="G161" i="42"/>
  <c r="G173" i="42"/>
  <c r="G168" i="42"/>
  <c r="G192" i="42"/>
  <c r="G180" i="42"/>
  <c r="G175" i="42"/>
  <c r="G187" i="42"/>
  <c r="G163" i="42"/>
  <c r="G39" i="42"/>
  <c r="G27" i="42"/>
  <c r="H102" i="42"/>
  <c r="H114" i="42" s="1"/>
  <c r="H126" i="42"/>
  <c r="H138" i="42" s="1"/>
  <c r="G225" i="42"/>
  <c r="G213" i="42"/>
  <c r="K34" i="42"/>
  <c r="K46" i="42"/>
  <c r="L71" i="42"/>
  <c r="L83" i="42"/>
  <c r="H211" i="42"/>
  <c r="H223" i="42"/>
  <c r="G189" i="42"/>
  <c r="G177" i="42"/>
  <c r="G165" i="42"/>
  <c r="I175" i="42"/>
  <c r="I187" i="42"/>
  <c r="I163" i="42"/>
  <c r="H128" i="42"/>
  <c r="H140" i="42" s="1"/>
  <c r="H104" i="42"/>
  <c r="H116" i="42" s="1"/>
  <c r="H213" i="42"/>
  <c r="H225" i="42"/>
  <c r="G474" i="8"/>
  <c r="I156" i="42"/>
  <c r="G97" i="43"/>
  <c r="F458" i="32"/>
  <c r="F476" i="32" s="1"/>
  <c r="H97" i="43"/>
  <c r="L51" i="1"/>
  <c r="G207" i="43"/>
  <c r="Q429" i="43" s="1"/>
  <c r="G456" i="43" s="1"/>
  <c r="G60" i="43"/>
  <c r="H429" i="43" s="1"/>
  <c r="G454" i="43" s="1"/>
  <c r="G23" i="43"/>
  <c r="C429" i="43" s="1"/>
  <c r="G453" i="43" s="1"/>
  <c r="H130" i="43"/>
  <c r="H106" i="43"/>
  <c r="F473" i="32"/>
  <c r="H155" i="43"/>
  <c r="G130" i="43"/>
  <c r="G106" i="43"/>
  <c r="E473" i="32"/>
  <c r="G155" i="43"/>
  <c r="L190" i="43"/>
  <c r="L178" i="43"/>
  <c r="L166" i="43"/>
  <c r="L252" i="43"/>
  <c r="L240" i="43"/>
  <c r="L56" i="43"/>
  <c r="L19" i="43"/>
  <c r="L203" i="43"/>
  <c r="H56" i="1"/>
  <c r="K43" i="43"/>
  <c r="K31" i="43"/>
  <c r="K215" i="43"/>
  <c r="K227" i="43"/>
  <c r="K68" i="43"/>
  <c r="K80" i="43"/>
  <c r="J43" i="43"/>
  <c r="J31" i="43"/>
  <c r="J80" i="43"/>
  <c r="J68" i="43"/>
  <c r="J227" i="43"/>
  <c r="J215" i="43"/>
  <c r="L81" i="43"/>
  <c r="L69" i="43"/>
  <c r="L228" i="43"/>
  <c r="L216" i="43"/>
  <c r="L32" i="43"/>
  <c r="L44" i="43"/>
  <c r="K69" i="43"/>
  <c r="K81" i="43"/>
  <c r="K44" i="43"/>
  <c r="K32" i="43"/>
  <c r="K228" i="43"/>
  <c r="K216" i="43"/>
  <c r="J44" i="43"/>
  <c r="J32" i="43"/>
  <c r="J81" i="43"/>
  <c r="J69" i="43"/>
  <c r="J216" i="43"/>
  <c r="J228" i="43"/>
  <c r="L190" i="42"/>
  <c r="L166" i="42"/>
  <c r="L178" i="42"/>
  <c r="L56" i="42"/>
  <c r="L252" i="42"/>
  <c r="L240" i="42"/>
  <c r="L203" i="42"/>
  <c r="L19" i="42"/>
  <c r="H28" i="1"/>
  <c r="K166" i="42"/>
  <c r="K190" i="42"/>
  <c r="K178" i="42"/>
  <c r="K56" i="42"/>
  <c r="K19" i="42"/>
  <c r="K203" i="42"/>
  <c r="K252" i="42"/>
  <c r="K240" i="42"/>
  <c r="H27" i="1"/>
  <c r="J227" i="42"/>
  <c r="J215" i="42"/>
  <c r="J43" i="42"/>
  <c r="J31" i="42"/>
  <c r="J80" i="42"/>
  <c r="J68" i="42"/>
  <c r="I455" i="8"/>
  <c r="K94" i="42"/>
  <c r="H106" i="42"/>
  <c r="H130" i="42"/>
  <c r="F473" i="8"/>
  <c r="H155" i="42"/>
  <c r="H455" i="8"/>
  <c r="J94" i="42"/>
  <c r="G130" i="42"/>
  <c r="G106" i="42"/>
  <c r="J455" i="8"/>
  <c r="L94" i="42"/>
  <c r="E473" i="8"/>
  <c r="G155" i="42"/>
  <c r="L31" i="41"/>
  <c r="L43" i="41"/>
  <c r="K46" i="41"/>
  <c r="K34" i="41"/>
  <c r="H40" i="1"/>
  <c r="J252" i="41"/>
  <c r="J240" i="41"/>
  <c r="J203" i="41"/>
  <c r="J56" i="41"/>
  <c r="J19" i="41"/>
  <c r="L83" i="41"/>
  <c r="L71" i="41"/>
  <c r="L227" i="41"/>
  <c r="L215" i="41"/>
  <c r="L46" i="41"/>
  <c r="L34" i="41"/>
  <c r="K230" i="41"/>
  <c r="K218" i="41"/>
  <c r="J101" i="41"/>
  <c r="J113" i="41" s="1"/>
  <c r="J125" i="41"/>
  <c r="J137" i="41" s="1"/>
  <c r="J186" i="41"/>
  <c r="J162" i="41"/>
  <c r="J174" i="41"/>
  <c r="L80" i="41"/>
  <c r="L68" i="41"/>
  <c r="K71" i="41"/>
  <c r="K83" i="41"/>
  <c r="H41" i="1"/>
  <c r="K252" i="41"/>
  <c r="K240" i="41"/>
  <c r="K56" i="41"/>
  <c r="K19" i="41"/>
  <c r="K203" i="41"/>
  <c r="L230" i="41"/>
  <c r="L218" i="41"/>
  <c r="H211" i="37"/>
  <c r="H223" i="37"/>
  <c r="H27" i="37"/>
  <c r="H39" i="37"/>
  <c r="H55" i="37"/>
  <c r="H202" i="37"/>
  <c r="H18" i="37"/>
  <c r="H288" i="37"/>
  <c r="H276" i="37"/>
  <c r="H239" i="37"/>
  <c r="H264" i="37"/>
  <c r="G10" i="1"/>
  <c r="J449" i="9"/>
  <c r="L88" i="37"/>
  <c r="G27" i="37"/>
  <c r="G39" i="37"/>
  <c r="F473" i="9"/>
  <c r="H155" i="37"/>
  <c r="G242" i="37"/>
  <c r="G291" i="37"/>
  <c r="G254" i="37"/>
  <c r="G58" i="37"/>
  <c r="G205" i="37"/>
  <c r="G21" i="37"/>
  <c r="G267" i="37"/>
  <c r="G279" i="37"/>
  <c r="J9" i="1"/>
  <c r="I185" i="37"/>
  <c r="I161" i="37"/>
  <c r="I173" i="37"/>
  <c r="J28" i="37"/>
  <c r="J40" i="37"/>
  <c r="G130" i="37"/>
  <c r="G142" i="37" s="1"/>
  <c r="G106" i="37"/>
  <c r="G118" i="37" s="1"/>
  <c r="H76" i="37"/>
  <c r="H64" i="37"/>
  <c r="G112" i="37"/>
  <c r="G168" i="37"/>
  <c r="G192" i="37"/>
  <c r="G180" i="37"/>
  <c r="I254" i="37"/>
  <c r="I58" i="37"/>
  <c r="I205" i="37"/>
  <c r="I279" i="37"/>
  <c r="I267" i="37"/>
  <c r="I21" i="37"/>
  <c r="I291" i="37"/>
  <c r="I242" i="37"/>
  <c r="J11" i="1"/>
  <c r="I260" i="37"/>
  <c r="I247" i="37"/>
  <c r="I51" i="37"/>
  <c r="I198" i="37"/>
  <c r="I14" i="37"/>
  <c r="I235" i="37"/>
  <c r="I272" i="37"/>
  <c r="I284" i="37"/>
  <c r="C11" i="1"/>
  <c r="I200" i="37"/>
  <c r="I286" i="37"/>
  <c r="I274" i="37"/>
  <c r="I16" i="37"/>
  <c r="I237" i="37"/>
  <c r="I262" i="37"/>
  <c r="I249" i="37"/>
  <c r="I53" i="37"/>
  <c r="E11" i="1"/>
  <c r="H130" i="37"/>
  <c r="H142" i="37" s="1"/>
  <c r="H106" i="37"/>
  <c r="H118" i="37" s="1"/>
  <c r="J88" i="37"/>
  <c r="H449" i="9"/>
  <c r="H168" i="37"/>
  <c r="H180" i="37"/>
  <c r="H192" i="37"/>
  <c r="G41" i="37"/>
  <c r="G29" i="37"/>
  <c r="G76" i="37"/>
  <c r="G64" i="37"/>
  <c r="G223" i="37"/>
  <c r="G211" i="37"/>
  <c r="E473" i="9"/>
  <c r="G155" i="37"/>
  <c r="G136" i="37"/>
  <c r="I192" i="37"/>
  <c r="I168" i="37"/>
  <c r="I180" i="37"/>
  <c r="K88" i="37"/>
  <c r="I449" i="9"/>
  <c r="I39" i="37"/>
  <c r="I27" i="37"/>
  <c r="H254" i="37"/>
  <c r="H58" i="37"/>
  <c r="H205" i="37"/>
  <c r="H279" i="37"/>
  <c r="H267" i="37"/>
  <c r="H21" i="37"/>
  <c r="H291" i="37"/>
  <c r="H242" i="37"/>
  <c r="J10" i="1"/>
  <c r="H136" i="37"/>
  <c r="G213" i="37"/>
  <c r="G225" i="37"/>
  <c r="I177" i="37"/>
  <c r="I165" i="37"/>
  <c r="I189" i="37"/>
  <c r="G161" i="37"/>
  <c r="G173" i="37"/>
  <c r="G185" i="37"/>
  <c r="G175" i="37"/>
  <c r="G187" i="37"/>
  <c r="G163" i="37"/>
  <c r="I167" i="37"/>
  <c r="I191" i="37"/>
  <c r="I179" i="37"/>
  <c r="H112" i="37"/>
  <c r="J212" i="37"/>
  <c r="J224" i="37"/>
  <c r="H185" i="37"/>
  <c r="H173" i="37"/>
  <c r="H161" i="37"/>
  <c r="H41" i="37"/>
  <c r="H29" i="37"/>
  <c r="I55" i="37"/>
  <c r="I202" i="37"/>
  <c r="I18" i="37"/>
  <c r="I288" i="37"/>
  <c r="I276" i="37"/>
  <c r="I239" i="37"/>
  <c r="I264" i="37"/>
  <c r="G11" i="1"/>
  <c r="G235" i="37"/>
  <c r="G284" i="37"/>
  <c r="G272" i="37"/>
  <c r="G260" i="37"/>
  <c r="G247" i="37"/>
  <c r="G51" i="37"/>
  <c r="G198" i="37"/>
  <c r="G14" i="37"/>
  <c r="C9" i="1"/>
  <c r="H187" i="37"/>
  <c r="H175" i="37"/>
  <c r="H163" i="37"/>
  <c r="G249" i="37"/>
  <c r="G53" i="37"/>
  <c r="G200" i="37"/>
  <c r="G286" i="37"/>
  <c r="G274" i="37"/>
  <c r="G16" i="37"/>
  <c r="G237" i="37"/>
  <c r="G262" i="37"/>
  <c r="E9" i="1"/>
  <c r="I225" i="37"/>
  <c r="I213" i="37"/>
  <c r="I211" i="37"/>
  <c r="I223" i="37"/>
  <c r="I266" i="37"/>
  <c r="I253" i="37"/>
  <c r="I57" i="37"/>
  <c r="I204" i="37"/>
  <c r="I20" i="37"/>
  <c r="I241" i="37"/>
  <c r="I11" i="1"/>
  <c r="G78" i="37"/>
  <c r="G66" i="37"/>
  <c r="J77" i="37"/>
  <c r="J65" i="37"/>
  <c r="H284" i="37"/>
  <c r="H272" i="37"/>
  <c r="H260" i="37"/>
  <c r="H247" i="37"/>
  <c r="H51" i="37"/>
  <c r="H198" i="37"/>
  <c r="H14" i="37"/>
  <c r="H235" i="37"/>
  <c r="C10" i="1"/>
  <c r="H213" i="37"/>
  <c r="H225" i="37"/>
  <c r="G189" i="37"/>
  <c r="G177" i="37"/>
  <c r="G165" i="37"/>
  <c r="H53" i="37"/>
  <c r="H200" i="37"/>
  <c r="H286" i="37"/>
  <c r="H274" i="37"/>
  <c r="H16" i="37"/>
  <c r="H237" i="37"/>
  <c r="H262" i="37"/>
  <c r="H249" i="37"/>
  <c r="E10" i="1"/>
  <c r="I29" i="37"/>
  <c r="I41" i="37"/>
  <c r="I136" i="37"/>
  <c r="I145" i="37" s="1"/>
  <c r="L467" i="37" s="1"/>
  <c r="AD491" i="37" s="1"/>
  <c r="I175" i="37"/>
  <c r="I163" i="37"/>
  <c r="I187" i="37"/>
  <c r="H78" i="37"/>
  <c r="H66" i="37"/>
  <c r="G264" i="37"/>
  <c r="G55" i="37"/>
  <c r="G202" i="37"/>
  <c r="G18" i="37"/>
  <c r="G288" i="37"/>
  <c r="G276" i="37"/>
  <c r="G239" i="37"/>
  <c r="G9" i="1"/>
  <c r="I66" i="37"/>
  <c r="I78" i="37"/>
  <c r="H177" i="37"/>
  <c r="H165" i="37"/>
  <c r="H189" i="37"/>
  <c r="I112" i="37"/>
  <c r="I76" i="37"/>
  <c r="I64" i="37"/>
  <c r="L230" i="37"/>
  <c r="L218" i="37"/>
  <c r="L71" i="37"/>
  <c r="L83" i="37"/>
  <c r="L46" i="37"/>
  <c r="L34" i="37"/>
  <c r="K71" i="37"/>
  <c r="K83" i="37"/>
  <c r="K46" i="37"/>
  <c r="K34" i="37"/>
  <c r="K218" i="37"/>
  <c r="K230" i="37"/>
  <c r="J34" i="37"/>
  <c r="J46" i="37"/>
  <c r="J218" i="37"/>
  <c r="J230" i="37"/>
  <c r="J71" i="37"/>
  <c r="J83" i="37"/>
  <c r="K80" i="37"/>
  <c r="K68" i="37"/>
  <c r="K43" i="37"/>
  <c r="K31" i="37"/>
  <c r="K227" i="37"/>
  <c r="K215" i="37"/>
  <c r="K69" i="37"/>
  <c r="K81" i="37"/>
  <c r="K44" i="37"/>
  <c r="K32" i="37"/>
  <c r="K216" i="37"/>
  <c r="K228" i="37"/>
  <c r="J216" i="37"/>
  <c r="J228" i="37"/>
  <c r="J81" i="37"/>
  <c r="J69" i="37"/>
  <c r="J32" i="37"/>
  <c r="J44" i="37"/>
  <c r="J80" i="37"/>
  <c r="J68" i="37"/>
  <c r="J43" i="37"/>
  <c r="J31" i="37"/>
  <c r="J227" i="37"/>
  <c r="J215" i="37"/>
  <c r="L227" i="37"/>
  <c r="L215" i="37"/>
  <c r="L31" i="37"/>
  <c r="L43" i="37"/>
  <c r="L80" i="37"/>
  <c r="L68" i="37"/>
  <c r="H468" i="7"/>
  <c r="H475" i="7"/>
  <c r="AD58" i="32"/>
  <c r="AZ58" i="32"/>
  <c r="C441" i="8"/>
  <c r="AE98" i="32"/>
  <c r="AJ58" i="32"/>
  <c r="AL98" i="32"/>
  <c r="AQ58" i="32"/>
  <c r="AI58" i="32"/>
  <c r="AD18" i="32"/>
  <c r="BA18" i="32"/>
  <c r="AN98" i="32"/>
  <c r="AK98" i="32"/>
  <c r="AR58" i="32"/>
  <c r="AC58" i="32"/>
  <c r="AN18" i="32"/>
  <c r="AH58" i="32"/>
  <c r="AG18" i="32"/>
  <c r="AG98" i="32"/>
  <c r="AW98" i="32"/>
  <c r="AJ18" i="32"/>
  <c r="AU98" i="32"/>
  <c r="AR18" i="32"/>
  <c r="AL18" i="32"/>
  <c r="AF18" i="32"/>
  <c r="AI98" i="32"/>
  <c r="AC98" i="32"/>
  <c r="BA58" i="32"/>
  <c r="AC18" i="32"/>
  <c r="AV18" i="32"/>
  <c r="B62" i="9"/>
  <c r="B346" i="9" s="1"/>
  <c r="B80" i="9"/>
  <c r="AC55" i="9" s="1"/>
  <c r="D92" i="43" l="1"/>
  <c r="D455" i="32"/>
  <c r="D101" i="43"/>
  <c r="D113" i="43" s="1"/>
  <c r="D453" i="32"/>
  <c r="F153" i="43" s="1"/>
  <c r="J444" i="32"/>
  <c r="J458" i="32" s="1"/>
  <c r="J476" i="32" s="1"/>
  <c r="I158" i="43"/>
  <c r="D444" i="32"/>
  <c r="D458" i="32" s="1"/>
  <c r="D476" i="32" s="1"/>
  <c r="H444" i="33"/>
  <c r="H458" i="33" s="1"/>
  <c r="H476" i="33" s="1"/>
  <c r="L54" i="39" s="1"/>
  <c r="G173" i="43"/>
  <c r="G161" i="43"/>
  <c r="G185" i="43"/>
  <c r="I133" i="43"/>
  <c r="G77" i="43"/>
  <c r="G65" i="43"/>
  <c r="G229" i="43"/>
  <c r="G217" i="43"/>
  <c r="I121" i="43"/>
  <c r="M431" i="43" s="1"/>
  <c r="AE455" i="43" s="1"/>
  <c r="G260" i="43"/>
  <c r="G272" i="43"/>
  <c r="G281" i="43" s="1"/>
  <c r="AA429" i="43" s="1"/>
  <c r="I458" i="43" s="1"/>
  <c r="G198" i="43"/>
  <c r="G51" i="43"/>
  <c r="G284" i="43"/>
  <c r="G293" i="43" s="1"/>
  <c r="AB429" i="43" s="1"/>
  <c r="K458" i="43" s="1"/>
  <c r="G247" i="43"/>
  <c r="G235" i="43"/>
  <c r="G14" i="43"/>
  <c r="C51" i="1"/>
  <c r="F199" i="43"/>
  <c r="F52" i="43"/>
  <c r="F248" i="43"/>
  <c r="F236" i="43"/>
  <c r="F15" i="43"/>
  <c r="D50" i="1"/>
  <c r="F102" i="43"/>
  <c r="F114" i="43" s="1"/>
  <c r="F126" i="43"/>
  <c r="F138" i="43" s="1"/>
  <c r="I33" i="43"/>
  <c r="I45" i="43"/>
  <c r="B455" i="32"/>
  <c r="D94" i="43"/>
  <c r="F176" i="43"/>
  <c r="F164" i="43"/>
  <c r="F188" i="43"/>
  <c r="H75" i="43"/>
  <c r="H63" i="43"/>
  <c r="F100" i="43"/>
  <c r="F124" i="43"/>
  <c r="D473" i="32"/>
  <c r="F155" i="43"/>
  <c r="I288" i="43"/>
  <c r="I18" i="43"/>
  <c r="I264" i="43"/>
  <c r="I276" i="43"/>
  <c r="I202" i="43"/>
  <c r="I55" i="43"/>
  <c r="I239" i="43"/>
  <c r="G53" i="1"/>
  <c r="D469" i="32"/>
  <c r="F151" i="43"/>
  <c r="F106" i="43"/>
  <c r="F118" i="43" s="1"/>
  <c r="F130" i="43"/>
  <c r="F142" i="43" s="1"/>
  <c r="I145" i="43"/>
  <c r="L431" i="43" s="1"/>
  <c r="AD455" i="43" s="1"/>
  <c r="H70" i="43"/>
  <c r="H82" i="43"/>
  <c r="G40" i="43"/>
  <c r="G28" i="43"/>
  <c r="G224" i="43"/>
  <c r="G212" i="43"/>
  <c r="C453" i="32"/>
  <c r="E92" i="43"/>
  <c r="I442" i="32"/>
  <c r="G42" i="43"/>
  <c r="G30" i="43"/>
  <c r="C455" i="32"/>
  <c r="E94" i="43"/>
  <c r="F201" i="43"/>
  <c r="F54" i="43"/>
  <c r="F250" i="43"/>
  <c r="F238" i="43"/>
  <c r="F17" i="43"/>
  <c r="F50" i="1"/>
  <c r="H210" i="43"/>
  <c r="H222" i="43"/>
  <c r="H79" i="43"/>
  <c r="H67" i="43"/>
  <c r="D467" i="32"/>
  <c r="F149" i="43"/>
  <c r="D471" i="32"/>
  <c r="G82" i="43"/>
  <c r="G70" i="43"/>
  <c r="E124" i="43"/>
  <c r="E100" i="43"/>
  <c r="I179" i="43"/>
  <c r="I191" i="43"/>
  <c r="I167" i="43"/>
  <c r="H229" i="43"/>
  <c r="H217" i="43"/>
  <c r="G45" i="43"/>
  <c r="G33" i="43"/>
  <c r="H40" i="43"/>
  <c r="H28" i="43"/>
  <c r="H77" i="43"/>
  <c r="H65" i="43"/>
  <c r="J124" i="43"/>
  <c r="J100" i="43"/>
  <c r="I187" i="43"/>
  <c r="I175" i="43"/>
  <c r="I163" i="43"/>
  <c r="D188" i="43"/>
  <c r="D176" i="43"/>
  <c r="D164" i="43"/>
  <c r="D102" i="43"/>
  <c r="D114" i="43" s="1"/>
  <c r="D126" i="43"/>
  <c r="D138" i="43" s="1"/>
  <c r="J101" i="43"/>
  <c r="J113" i="43" s="1"/>
  <c r="J125" i="43"/>
  <c r="J137" i="43" s="1"/>
  <c r="H38" i="43"/>
  <c r="H26" i="43"/>
  <c r="H281" i="43"/>
  <c r="AA430" i="43" s="1"/>
  <c r="U458" i="43" s="1"/>
  <c r="F255" i="43"/>
  <c r="K50" i="1"/>
  <c r="F128" i="43"/>
  <c r="F140" i="43" s="1"/>
  <c r="F104" i="43"/>
  <c r="F116" i="43" s="1"/>
  <c r="H444" i="32"/>
  <c r="I438" i="32"/>
  <c r="BA343" i="32"/>
  <c r="I436" i="32"/>
  <c r="AC343" i="32"/>
  <c r="C444" i="32"/>
  <c r="C467" i="32"/>
  <c r="E149" i="43"/>
  <c r="I204" i="43"/>
  <c r="I57" i="43"/>
  <c r="I241" i="43"/>
  <c r="I253" i="43"/>
  <c r="I266" i="43"/>
  <c r="I20" i="43"/>
  <c r="I53" i="1"/>
  <c r="H224" i="43"/>
  <c r="H212" i="43"/>
  <c r="H467" i="32"/>
  <c r="J149" i="43"/>
  <c r="I262" i="43"/>
  <c r="I249" i="43"/>
  <c r="I237" i="43"/>
  <c r="I274" i="43"/>
  <c r="I16" i="43"/>
  <c r="I286" i="43"/>
  <c r="I200" i="43"/>
  <c r="I53" i="43"/>
  <c r="E53" i="1"/>
  <c r="D201" i="43"/>
  <c r="D54" i="43"/>
  <c r="D250" i="43"/>
  <c r="D238" i="43"/>
  <c r="D17" i="43"/>
  <c r="F48" i="1"/>
  <c r="B456" i="32"/>
  <c r="D95" i="43"/>
  <c r="B469" i="32"/>
  <c r="D151" i="43"/>
  <c r="H468" i="32"/>
  <c r="J150" i="43"/>
  <c r="E255" i="43"/>
  <c r="K49" i="1"/>
  <c r="D153" i="43"/>
  <c r="B471" i="32"/>
  <c r="H45" i="43"/>
  <c r="H33" i="43"/>
  <c r="E102" i="43"/>
  <c r="E114" i="43" s="1"/>
  <c r="E126" i="43"/>
  <c r="E138" i="43" s="1"/>
  <c r="J442" i="32"/>
  <c r="C456" i="32"/>
  <c r="E95" i="43"/>
  <c r="L100" i="43"/>
  <c r="L124" i="43"/>
  <c r="I75" i="43"/>
  <c r="I63" i="43"/>
  <c r="E152" i="43"/>
  <c r="C470" i="32"/>
  <c r="D128" i="43"/>
  <c r="D140" i="43" s="1"/>
  <c r="D104" i="43"/>
  <c r="D116" i="43" s="1"/>
  <c r="D15" i="43"/>
  <c r="D199" i="43"/>
  <c r="D52" i="43"/>
  <c r="D248" i="43"/>
  <c r="D236" i="43"/>
  <c r="D48" i="1"/>
  <c r="F186" i="43"/>
  <c r="F174" i="43"/>
  <c r="F162" i="43"/>
  <c r="I467" i="32"/>
  <c r="K149" i="43"/>
  <c r="B444" i="32"/>
  <c r="D255" i="43"/>
  <c r="K48" i="1"/>
  <c r="C469" i="32"/>
  <c r="E151" i="43"/>
  <c r="I109" i="43"/>
  <c r="L101" i="43"/>
  <c r="L113" i="43" s="1"/>
  <c r="L125" i="43"/>
  <c r="L137" i="43" s="1"/>
  <c r="J467" i="32"/>
  <c r="L149" i="43"/>
  <c r="I222" i="43"/>
  <c r="I210" i="43"/>
  <c r="I70" i="43"/>
  <c r="I82" i="43"/>
  <c r="E103" i="43"/>
  <c r="E115" i="43" s="1"/>
  <c r="E127" i="43"/>
  <c r="E139" i="43" s="1"/>
  <c r="J452" i="32"/>
  <c r="L91" i="43"/>
  <c r="E125" i="43"/>
  <c r="E137" i="43" s="1"/>
  <c r="E101" i="43"/>
  <c r="E113" i="43" s="1"/>
  <c r="H293" i="43"/>
  <c r="AB430" i="43" s="1"/>
  <c r="W458" i="43" s="1"/>
  <c r="H442" i="32"/>
  <c r="H42" i="43"/>
  <c r="H30" i="43"/>
  <c r="D100" i="43"/>
  <c r="D124" i="43"/>
  <c r="F131" i="43"/>
  <c r="F143" i="43" s="1"/>
  <c r="F107" i="43"/>
  <c r="F119" i="43" s="1"/>
  <c r="D174" i="43"/>
  <c r="D162" i="43"/>
  <c r="D186" i="43"/>
  <c r="I189" i="43"/>
  <c r="I165" i="43"/>
  <c r="I177" i="43"/>
  <c r="J468" i="32"/>
  <c r="L150" i="43"/>
  <c r="I38" i="43"/>
  <c r="I26" i="43"/>
  <c r="G79" i="43"/>
  <c r="G67" i="43"/>
  <c r="I217" i="43"/>
  <c r="I229" i="43"/>
  <c r="C468" i="32"/>
  <c r="E150" i="43"/>
  <c r="K100" i="43"/>
  <c r="K124" i="43"/>
  <c r="B467" i="32"/>
  <c r="D149" i="43"/>
  <c r="D474" i="32"/>
  <c r="F156" i="43"/>
  <c r="G33" i="42"/>
  <c r="G45" i="42"/>
  <c r="H229" i="42"/>
  <c r="H217" i="42"/>
  <c r="H38" i="42"/>
  <c r="H26" i="42"/>
  <c r="I212" i="42"/>
  <c r="I224" i="42"/>
  <c r="H163" i="42"/>
  <c r="H175" i="42"/>
  <c r="H187" i="42"/>
  <c r="I180" i="42"/>
  <c r="I168" i="42"/>
  <c r="I192" i="42"/>
  <c r="G70" i="42"/>
  <c r="G82" i="42"/>
  <c r="H75" i="42"/>
  <c r="H63" i="42"/>
  <c r="H286" i="42"/>
  <c r="H274" i="42"/>
  <c r="H262" i="42"/>
  <c r="H249" i="42"/>
  <c r="H200" i="42"/>
  <c r="H16" i="42"/>
  <c r="H237" i="42"/>
  <c r="H53" i="42"/>
  <c r="E24" i="1"/>
  <c r="I112" i="42"/>
  <c r="G79" i="42"/>
  <c r="G67" i="42"/>
  <c r="G77" i="42"/>
  <c r="G65" i="42"/>
  <c r="I189" i="42"/>
  <c r="I177" i="42"/>
  <c r="I165" i="42"/>
  <c r="H202" i="42"/>
  <c r="H239" i="42"/>
  <c r="H288" i="42"/>
  <c r="H276" i="42"/>
  <c r="H18" i="42"/>
  <c r="H55" i="42"/>
  <c r="H264" i="42"/>
  <c r="G24" i="1"/>
  <c r="G229" i="42"/>
  <c r="G217" i="42"/>
  <c r="G210" i="42"/>
  <c r="G222" i="42"/>
  <c r="H45" i="42"/>
  <c r="H33" i="42"/>
  <c r="I202" i="42"/>
  <c r="I239" i="42"/>
  <c r="I288" i="42"/>
  <c r="I276" i="42"/>
  <c r="I264" i="42"/>
  <c r="I18" i="42"/>
  <c r="I55" i="42"/>
  <c r="G25" i="1"/>
  <c r="G30" i="42"/>
  <c r="G42" i="42"/>
  <c r="C455" i="8"/>
  <c r="E94" i="42"/>
  <c r="I136" i="42"/>
  <c r="I145" i="42" s="1"/>
  <c r="L431" i="42" s="1"/>
  <c r="AD455" i="42" s="1"/>
  <c r="G40" i="42"/>
  <c r="G28" i="42"/>
  <c r="G38" i="42"/>
  <c r="G26" i="42"/>
  <c r="H70" i="42"/>
  <c r="H82" i="42"/>
  <c r="I77" i="42"/>
  <c r="I65" i="42"/>
  <c r="I205" i="42"/>
  <c r="I254" i="42"/>
  <c r="I242" i="42"/>
  <c r="I279" i="42"/>
  <c r="I267" i="42"/>
  <c r="I21" i="42"/>
  <c r="I58" i="42"/>
  <c r="I291" i="42"/>
  <c r="J25" i="1"/>
  <c r="H165" i="42"/>
  <c r="H189" i="42"/>
  <c r="H177" i="42"/>
  <c r="I161" i="42"/>
  <c r="I185" i="42"/>
  <c r="I173" i="42"/>
  <c r="I167" i="42"/>
  <c r="I191" i="42"/>
  <c r="I179" i="42"/>
  <c r="G224" i="42"/>
  <c r="G212" i="42"/>
  <c r="I40" i="42"/>
  <c r="I28" i="42"/>
  <c r="I235" i="42"/>
  <c r="I284" i="42"/>
  <c r="I272" i="42"/>
  <c r="I260" i="42"/>
  <c r="I198" i="42"/>
  <c r="I14" i="42"/>
  <c r="I247" i="42"/>
  <c r="I51" i="42"/>
  <c r="C25" i="1"/>
  <c r="I57" i="42"/>
  <c r="I266" i="42"/>
  <c r="I204" i="42"/>
  <c r="I253" i="42"/>
  <c r="I241" i="42"/>
  <c r="I20" i="42"/>
  <c r="I25" i="1"/>
  <c r="G75" i="42"/>
  <c r="G63" i="42"/>
  <c r="H210" i="42"/>
  <c r="H222" i="42"/>
  <c r="H118" i="43"/>
  <c r="H121" i="43" s="1"/>
  <c r="M430" i="43" s="1"/>
  <c r="S455" i="43" s="1"/>
  <c r="H109" i="43"/>
  <c r="H142" i="43"/>
  <c r="H145" i="43" s="1"/>
  <c r="L430" i="43" s="1"/>
  <c r="R455" i="43" s="1"/>
  <c r="H133" i="43"/>
  <c r="G167" i="43"/>
  <c r="G191" i="43"/>
  <c r="G179" i="43"/>
  <c r="G182" i="43" s="1"/>
  <c r="U429" i="43" s="1"/>
  <c r="D457" i="43" s="1"/>
  <c r="G158" i="43"/>
  <c r="I51" i="1"/>
  <c r="G57" i="43"/>
  <c r="G20" i="43"/>
  <c r="G253" i="43"/>
  <c r="G266" i="43"/>
  <c r="G241" i="43"/>
  <c r="G204" i="43"/>
  <c r="G118" i="43"/>
  <c r="G121" i="43" s="1"/>
  <c r="M429" i="43" s="1"/>
  <c r="G455" i="43" s="1"/>
  <c r="G109" i="43"/>
  <c r="G142" i="43"/>
  <c r="G145" i="43" s="1"/>
  <c r="L429" i="43" s="1"/>
  <c r="F455" i="43" s="1"/>
  <c r="G133" i="43"/>
  <c r="H191" i="43"/>
  <c r="H194" i="43" s="1"/>
  <c r="W430" i="43" s="1"/>
  <c r="U457" i="43" s="1"/>
  <c r="H179" i="43"/>
  <c r="H182" i="43" s="1"/>
  <c r="U430" i="43" s="1"/>
  <c r="P457" i="43" s="1"/>
  <c r="H158" i="43"/>
  <c r="H167" i="43"/>
  <c r="H170" i="43" s="1"/>
  <c r="V430" i="43" s="1"/>
  <c r="S457" i="43" s="1"/>
  <c r="I52" i="1"/>
  <c r="H57" i="43"/>
  <c r="H20" i="43"/>
  <c r="H253" i="43"/>
  <c r="H256" i="43" s="1"/>
  <c r="AF430" i="43" s="1"/>
  <c r="S459" i="43" s="1"/>
  <c r="H266" i="43"/>
  <c r="H269" i="43" s="1"/>
  <c r="Z430" i="43" s="1"/>
  <c r="S458" i="43" s="1"/>
  <c r="H241" i="43"/>
  <c r="H244" i="43" s="1"/>
  <c r="AE430" i="43" s="1"/>
  <c r="H204" i="43"/>
  <c r="L52" i="1"/>
  <c r="H60" i="43"/>
  <c r="H430" i="43" s="1"/>
  <c r="S454" i="43" s="1"/>
  <c r="H23" i="43"/>
  <c r="C430" i="43" s="1"/>
  <c r="S453" i="43" s="1"/>
  <c r="H207" i="43"/>
  <c r="Q430" i="43" s="1"/>
  <c r="S456" i="43" s="1"/>
  <c r="L43" i="43"/>
  <c r="L31" i="43"/>
  <c r="L227" i="43"/>
  <c r="L215" i="43"/>
  <c r="L80" i="43"/>
  <c r="L68" i="43"/>
  <c r="L227" i="42"/>
  <c r="L215" i="42"/>
  <c r="L31" i="42"/>
  <c r="L43" i="42"/>
  <c r="L80" i="42"/>
  <c r="L68" i="42"/>
  <c r="K215" i="42"/>
  <c r="K227" i="42"/>
  <c r="K43" i="42"/>
  <c r="K31" i="42"/>
  <c r="K80" i="42"/>
  <c r="K68" i="42"/>
  <c r="J106" i="42"/>
  <c r="J130" i="42"/>
  <c r="H473" i="8"/>
  <c r="J155" i="42"/>
  <c r="G191" i="42"/>
  <c r="G194" i="42" s="1"/>
  <c r="W429" i="42" s="1"/>
  <c r="I457" i="42" s="1"/>
  <c r="G179" i="42"/>
  <c r="G182" i="42" s="1"/>
  <c r="U429" i="42" s="1"/>
  <c r="D457" i="42" s="1"/>
  <c r="G167" i="42"/>
  <c r="H179" i="42"/>
  <c r="H167" i="42"/>
  <c r="H191" i="42"/>
  <c r="I23" i="1"/>
  <c r="G57" i="42"/>
  <c r="G241" i="42"/>
  <c r="G20" i="42"/>
  <c r="G204" i="42"/>
  <c r="G266" i="42"/>
  <c r="G253" i="42"/>
  <c r="I24" i="1"/>
  <c r="H20" i="42"/>
  <c r="H204" i="42"/>
  <c r="H266" i="42"/>
  <c r="H253" i="42"/>
  <c r="H57" i="42"/>
  <c r="H241" i="42"/>
  <c r="L106" i="42"/>
  <c r="L130" i="42"/>
  <c r="H142" i="42"/>
  <c r="H145" i="42" s="1"/>
  <c r="L430" i="42" s="1"/>
  <c r="R455" i="42" s="1"/>
  <c r="J473" i="8"/>
  <c r="L155" i="42"/>
  <c r="H118" i="42"/>
  <c r="G118" i="42"/>
  <c r="K130" i="42"/>
  <c r="K106" i="42"/>
  <c r="G142" i="42"/>
  <c r="G145" i="42" s="1"/>
  <c r="L429" i="42" s="1"/>
  <c r="F455" i="42" s="1"/>
  <c r="I473" i="8"/>
  <c r="K155" i="42"/>
  <c r="K80" i="41"/>
  <c r="K68" i="41"/>
  <c r="K31" i="41"/>
  <c r="K43" i="41"/>
  <c r="K40" i="1"/>
  <c r="J206" i="41"/>
  <c r="J255" i="41"/>
  <c r="J22" i="41"/>
  <c r="J59" i="41"/>
  <c r="J243" i="41"/>
  <c r="D40" i="1"/>
  <c r="J199" i="41"/>
  <c r="J248" i="41"/>
  <c r="J236" i="41"/>
  <c r="J15" i="41"/>
  <c r="J52" i="41"/>
  <c r="K227" i="41"/>
  <c r="K215" i="41"/>
  <c r="J43" i="41"/>
  <c r="J31" i="41"/>
  <c r="J68" i="41"/>
  <c r="J80" i="41"/>
  <c r="J227" i="41"/>
  <c r="J215" i="41"/>
  <c r="H145" i="37"/>
  <c r="L466" i="37" s="1"/>
  <c r="R491" i="37" s="1"/>
  <c r="G145" i="37"/>
  <c r="L465" i="37" s="1"/>
  <c r="F491" i="37" s="1"/>
  <c r="H40" i="37"/>
  <c r="H28" i="37"/>
  <c r="H75" i="37"/>
  <c r="H63" i="37"/>
  <c r="I81" i="37"/>
  <c r="I69" i="37"/>
  <c r="G65" i="37"/>
  <c r="G77" i="37"/>
  <c r="I26" i="37"/>
  <c r="I38" i="37"/>
  <c r="I194" i="37"/>
  <c r="W467" i="37" s="1"/>
  <c r="AG493" i="37" s="1"/>
  <c r="J467" i="9"/>
  <c r="L149" i="37"/>
  <c r="H30" i="37"/>
  <c r="H42" i="37"/>
  <c r="G75" i="37"/>
  <c r="G63" i="37"/>
  <c r="I79" i="37"/>
  <c r="I67" i="37"/>
  <c r="H33" i="37"/>
  <c r="H45" i="37"/>
  <c r="I210" i="37"/>
  <c r="I222" i="37"/>
  <c r="AC335" i="9"/>
  <c r="G179" i="37"/>
  <c r="G182" i="37" s="1"/>
  <c r="U465" i="37" s="1"/>
  <c r="D493" i="37" s="1"/>
  <c r="G167" i="37"/>
  <c r="G191" i="37"/>
  <c r="G194" i="37" s="1"/>
  <c r="W465" i="37" s="1"/>
  <c r="I493" i="37" s="1"/>
  <c r="I77" i="37"/>
  <c r="I65" i="37"/>
  <c r="I224" i="37"/>
  <c r="I212" i="37"/>
  <c r="I45" i="37"/>
  <c r="I33" i="37"/>
  <c r="H26" i="37"/>
  <c r="H38" i="37"/>
  <c r="H212" i="37"/>
  <c r="H224" i="37"/>
  <c r="G40" i="37"/>
  <c r="G28" i="37"/>
  <c r="I467" i="9"/>
  <c r="K149" i="37"/>
  <c r="I9" i="1"/>
  <c r="G266" i="37"/>
  <c r="G253" i="37"/>
  <c r="G57" i="37"/>
  <c r="G204" i="37"/>
  <c r="G20" i="37"/>
  <c r="G241" i="37"/>
  <c r="I75" i="37"/>
  <c r="I63" i="37"/>
  <c r="H167" i="37"/>
  <c r="H179" i="37"/>
  <c r="H182" i="37" s="1"/>
  <c r="U466" i="37" s="1"/>
  <c r="P493" i="37" s="1"/>
  <c r="H191" i="37"/>
  <c r="H194" i="37" s="1"/>
  <c r="W466" i="37" s="1"/>
  <c r="U493" i="37" s="1"/>
  <c r="H79" i="37"/>
  <c r="H67" i="37"/>
  <c r="G30" i="37"/>
  <c r="G42" i="37"/>
  <c r="H229" i="37"/>
  <c r="H217" i="37"/>
  <c r="K100" i="37"/>
  <c r="K124" i="37"/>
  <c r="G45" i="37"/>
  <c r="G33" i="37"/>
  <c r="I10" i="1"/>
  <c r="H266" i="37"/>
  <c r="H253" i="37"/>
  <c r="H57" i="37"/>
  <c r="H204" i="37"/>
  <c r="H20" i="37"/>
  <c r="H241" i="37"/>
  <c r="H65" i="37"/>
  <c r="H77" i="37"/>
  <c r="I44" i="37"/>
  <c r="I32" i="37"/>
  <c r="H82" i="37"/>
  <c r="H70" i="37"/>
  <c r="H467" i="9"/>
  <c r="J149" i="37"/>
  <c r="I217" i="37"/>
  <c r="I229" i="37"/>
  <c r="I182" i="37"/>
  <c r="U467" i="37" s="1"/>
  <c r="AB493" i="37" s="1"/>
  <c r="G229" i="37"/>
  <c r="G217" i="37"/>
  <c r="H222" i="37"/>
  <c r="H210" i="37"/>
  <c r="I216" i="37"/>
  <c r="I228" i="37"/>
  <c r="G224" i="37"/>
  <c r="G212" i="37"/>
  <c r="G38" i="37"/>
  <c r="G26" i="37"/>
  <c r="I30" i="37"/>
  <c r="I42" i="37"/>
  <c r="J100" i="37"/>
  <c r="J124" i="37"/>
  <c r="I82" i="37"/>
  <c r="I70" i="37"/>
  <c r="G82" i="37"/>
  <c r="G70" i="37"/>
  <c r="G67" i="37"/>
  <c r="G79" i="37"/>
  <c r="G222" i="37"/>
  <c r="G210" i="37"/>
  <c r="I40" i="37"/>
  <c r="I28" i="37"/>
  <c r="L100" i="37"/>
  <c r="L124" i="37"/>
  <c r="AC5" i="8"/>
  <c r="AC85" i="23"/>
  <c r="AC45" i="23"/>
  <c r="AC5" i="23"/>
  <c r="AC85" i="27"/>
  <c r="AC45" i="27"/>
  <c r="AC46" i="27" s="1"/>
  <c r="AC5" i="27"/>
  <c r="Z120" i="28"/>
  <c r="BA95" i="28" s="1"/>
  <c r="Y120" i="28"/>
  <c r="AZ95" i="28" s="1"/>
  <c r="X120" i="28"/>
  <c r="AY95" i="28" s="1"/>
  <c r="W120" i="28"/>
  <c r="AX95" i="28" s="1"/>
  <c r="V120" i="28"/>
  <c r="AW95" i="28" s="1"/>
  <c r="U120" i="28"/>
  <c r="AV95" i="28" s="1"/>
  <c r="T120" i="28"/>
  <c r="AU95" i="28" s="1"/>
  <c r="S120" i="28"/>
  <c r="AT95" i="28" s="1"/>
  <c r="R120" i="28"/>
  <c r="AS95" i="28" s="1"/>
  <c r="Q120" i="28"/>
  <c r="AR95" i="28" s="1"/>
  <c r="P120" i="28"/>
  <c r="AQ95" i="28" s="1"/>
  <c r="O120" i="28"/>
  <c r="AP95" i="28" s="1"/>
  <c r="N120" i="28"/>
  <c r="AO95" i="28" s="1"/>
  <c r="M120" i="28"/>
  <c r="AN95" i="28" s="1"/>
  <c r="L120" i="28"/>
  <c r="AM95" i="28" s="1"/>
  <c r="K120" i="28"/>
  <c r="AL95" i="28" s="1"/>
  <c r="J120" i="28"/>
  <c r="AK95" i="28" s="1"/>
  <c r="I120" i="28"/>
  <c r="AJ95" i="28" s="1"/>
  <c r="H120" i="28"/>
  <c r="AI95" i="28" s="1"/>
  <c r="G120" i="28"/>
  <c r="AH95" i="28" s="1"/>
  <c r="F120" i="28"/>
  <c r="AG95" i="28" s="1"/>
  <c r="E120" i="28"/>
  <c r="AF95" i="28" s="1"/>
  <c r="D120" i="28"/>
  <c r="AE95" i="28" s="1"/>
  <c r="C120" i="28"/>
  <c r="AD95" i="28" s="1"/>
  <c r="B120" i="28"/>
  <c r="AC95" i="28" s="1"/>
  <c r="Z118" i="28"/>
  <c r="Y118" i="28"/>
  <c r="X118" i="28"/>
  <c r="W118" i="28"/>
  <c r="V118" i="28"/>
  <c r="U118" i="28"/>
  <c r="T118" i="28"/>
  <c r="S118" i="28"/>
  <c r="R118" i="28"/>
  <c r="Q118" i="28"/>
  <c r="P118" i="28"/>
  <c r="O118" i="28"/>
  <c r="N118" i="28"/>
  <c r="M118" i="28"/>
  <c r="L118" i="28"/>
  <c r="K118" i="28"/>
  <c r="J118" i="28"/>
  <c r="I118" i="28"/>
  <c r="H118" i="28"/>
  <c r="G118" i="28"/>
  <c r="F118" i="28"/>
  <c r="F423" i="28" s="1"/>
  <c r="E118" i="28"/>
  <c r="D118" i="28"/>
  <c r="C118" i="28"/>
  <c r="B118" i="28"/>
  <c r="Z117" i="28"/>
  <c r="BA94" i="28" s="1"/>
  <c r="Y117" i="28"/>
  <c r="X117" i="28"/>
  <c r="W117" i="28"/>
  <c r="V117" i="28"/>
  <c r="U117" i="28"/>
  <c r="T117" i="28"/>
  <c r="AU94" i="28" s="1"/>
  <c r="S117" i="28"/>
  <c r="R117" i="28"/>
  <c r="Q117" i="28"/>
  <c r="AR94" i="28" s="1"/>
  <c r="P117" i="28"/>
  <c r="O117" i="28"/>
  <c r="N117" i="28"/>
  <c r="M117" i="28"/>
  <c r="L117" i="28"/>
  <c r="K117" i="28"/>
  <c r="J117" i="28"/>
  <c r="I117" i="28"/>
  <c r="H117" i="28"/>
  <c r="AI94" i="28" s="1"/>
  <c r="G117" i="28"/>
  <c r="F117" i="28"/>
  <c r="E117" i="28"/>
  <c r="AF94" i="28" s="1"/>
  <c r="D117" i="28"/>
  <c r="C117" i="28"/>
  <c r="B117" i="28"/>
  <c r="AC94" i="28" s="1"/>
  <c r="Z116" i="28"/>
  <c r="Z115" i="28"/>
  <c r="Z114" i="28"/>
  <c r="Z113" i="28"/>
  <c r="Z112" i="28"/>
  <c r="Z111" i="28"/>
  <c r="Z110" i="28"/>
  <c r="Z109" i="28"/>
  <c r="Z108" i="28"/>
  <c r="Z107" i="28"/>
  <c r="Z106" i="28"/>
  <c r="Z105" i="28"/>
  <c r="Z104" i="28"/>
  <c r="B102" i="28"/>
  <c r="B101" i="28"/>
  <c r="B100" i="28"/>
  <c r="B99" i="28"/>
  <c r="B98" i="28"/>
  <c r="B97" i="28"/>
  <c r="B96" i="28"/>
  <c r="B95" i="28"/>
  <c r="B94" i="28"/>
  <c r="B93" i="28"/>
  <c r="B92" i="28"/>
  <c r="B91" i="28"/>
  <c r="B90" i="28"/>
  <c r="Z80" i="28"/>
  <c r="BA55" i="28" s="1"/>
  <c r="Y80" i="28"/>
  <c r="AZ55" i="28" s="1"/>
  <c r="X80" i="28"/>
  <c r="AY55" i="28" s="1"/>
  <c r="W80" i="28"/>
  <c r="AX55" i="28" s="1"/>
  <c r="V80" i="28"/>
  <c r="AW55" i="28" s="1"/>
  <c r="U80" i="28"/>
  <c r="AV55" i="28" s="1"/>
  <c r="T80" i="28"/>
  <c r="AU55" i="28" s="1"/>
  <c r="S80" i="28"/>
  <c r="AT55" i="28" s="1"/>
  <c r="R80" i="28"/>
  <c r="AS55" i="28" s="1"/>
  <c r="Q80" i="28"/>
  <c r="AR55" i="28" s="1"/>
  <c r="P80" i="28"/>
  <c r="AQ55" i="28" s="1"/>
  <c r="O80" i="28"/>
  <c r="AP55" i="28" s="1"/>
  <c r="N80" i="28"/>
  <c r="AO55" i="28" s="1"/>
  <c r="M80" i="28"/>
  <c r="AN55" i="28" s="1"/>
  <c r="L80" i="28"/>
  <c r="AM55" i="28" s="1"/>
  <c r="K80" i="28"/>
  <c r="AL55" i="28" s="1"/>
  <c r="J80" i="28"/>
  <c r="AK55" i="28" s="1"/>
  <c r="I80" i="28"/>
  <c r="AJ55" i="28" s="1"/>
  <c r="H80" i="28"/>
  <c r="AI55" i="28" s="1"/>
  <c r="G80" i="28"/>
  <c r="AH55" i="28" s="1"/>
  <c r="F80" i="28"/>
  <c r="AG55" i="28" s="1"/>
  <c r="E80" i="28"/>
  <c r="AF55" i="28" s="1"/>
  <c r="D80" i="28"/>
  <c r="AE55" i="28" s="1"/>
  <c r="C80" i="28"/>
  <c r="AD55" i="28" s="1"/>
  <c r="B80" i="28"/>
  <c r="AC55" i="28" s="1"/>
  <c r="Z78" i="28"/>
  <c r="Y78" i="28"/>
  <c r="Y362" i="28" s="1"/>
  <c r="X78" i="28"/>
  <c r="W78" i="28"/>
  <c r="V78" i="28"/>
  <c r="U78" i="28"/>
  <c r="T78" i="28"/>
  <c r="S78" i="28"/>
  <c r="R78" i="28"/>
  <c r="Q78" i="28"/>
  <c r="Q362" i="28" s="1"/>
  <c r="P78" i="28"/>
  <c r="O78" i="28"/>
  <c r="N78" i="28"/>
  <c r="M78" i="28"/>
  <c r="L78" i="28"/>
  <c r="K78" i="28"/>
  <c r="J78" i="28"/>
  <c r="I78" i="28"/>
  <c r="I362" i="28" s="1"/>
  <c r="H78" i="28"/>
  <c r="G78" i="28"/>
  <c r="F78" i="28"/>
  <c r="E78" i="28"/>
  <c r="D78" i="28"/>
  <c r="C78" i="28"/>
  <c r="B78" i="28"/>
  <c r="Z77" i="28"/>
  <c r="BA54" i="28" s="1"/>
  <c r="Y77" i="28"/>
  <c r="X77" i="28"/>
  <c r="W77" i="28"/>
  <c r="AX54" i="28" s="1"/>
  <c r="V77" i="28"/>
  <c r="U77" i="28"/>
  <c r="T77" i="28"/>
  <c r="S77" i="28"/>
  <c r="R77" i="28"/>
  <c r="Q77" i="28"/>
  <c r="AR54" i="28" s="1"/>
  <c r="P77" i="28"/>
  <c r="O77" i="28"/>
  <c r="N77" i="28"/>
  <c r="M77" i="28"/>
  <c r="L77" i="28"/>
  <c r="K77" i="28"/>
  <c r="AL54" i="28" s="1"/>
  <c r="J77" i="28"/>
  <c r="I77" i="28"/>
  <c r="H77" i="28"/>
  <c r="AI54" i="28" s="1"/>
  <c r="G77" i="28"/>
  <c r="F77" i="28"/>
  <c r="E77" i="28"/>
  <c r="AF54" i="28" s="1"/>
  <c r="D77" i="28"/>
  <c r="C77" i="28"/>
  <c r="B77" i="28"/>
  <c r="AC54" i="28" s="1"/>
  <c r="Z76" i="28"/>
  <c r="Z75" i="28"/>
  <c r="Z74" i="28"/>
  <c r="Z73" i="28"/>
  <c r="Z72" i="28"/>
  <c r="Z71" i="28"/>
  <c r="Z70" i="28"/>
  <c r="Z69" i="28"/>
  <c r="Z68" i="28"/>
  <c r="Z67" i="28"/>
  <c r="Z66" i="28"/>
  <c r="Z65" i="28"/>
  <c r="Z64" i="28"/>
  <c r="B62" i="28"/>
  <c r="B61" i="28"/>
  <c r="B60" i="28"/>
  <c r="B59" i="28"/>
  <c r="B58" i="28"/>
  <c r="B57" i="28"/>
  <c r="B56" i="28"/>
  <c r="B55" i="28"/>
  <c r="B54" i="28"/>
  <c r="B53" i="28"/>
  <c r="B52" i="28"/>
  <c r="B51" i="28"/>
  <c r="B50" i="28"/>
  <c r="Z40" i="28"/>
  <c r="BA15" i="28" s="1"/>
  <c r="Y40" i="28"/>
  <c r="AZ15" i="28" s="1"/>
  <c r="X40" i="28"/>
  <c r="AY15" i="28" s="1"/>
  <c r="W40" i="28"/>
  <c r="AX15" i="28" s="1"/>
  <c r="V40" i="28"/>
  <c r="AW15" i="28" s="1"/>
  <c r="U40" i="28"/>
  <c r="AV15" i="28" s="1"/>
  <c r="T40" i="28"/>
  <c r="AU15" i="28" s="1"/>
  <c r="S40" i="28"/>
  <c r="AT15" i="28" s="1"/>
  <c r="R40" i="28"/>
  <c r="AS15" i="28" s="1"/>
  <c r="Q40" i="28"/>
  <c r="AR15" i="28" s="1"/>
  <c r="P40" i="28"/>
  <c r="AQ15" i="28" s="1"/>
  <c r="O40" i="28"/>
  <c r="AP15" i="28" s="1"/>
  <c r="N40" i="28"/>
  <c r="AO15" i="28" s="1"/>
  <c r="M40" i="28"/>
  <c r="AN15" i="28" s="1"/>
  <c r="L40" i="28"/>
  <c r="AM15" i="28" s="1"/>
  <c r="K40" i="28"/>
  <c r="AL15" i="28" s="1"/>
  <c r="J40" i="28"/>
  <c r="AK15" i="28" s="1"/>
  <c r="I40" i="28"/>
  <c r="AJ15" i="28" s="1"/>
  <c r="H40" i="28"/>
  <c r="AI15" i="28" s="1"/>
  <c r="G40" i="28"/>
  <c r="AH15" i="28" s="1"/>
  <c r="F40" i="28"/>
  <c r="AG15" i="28" s="1"/>
  <c r="E40" i="28"/>
  <c r="AF15" i="28" s="1"/>
  <c r="D40" i="28"/>
  <c r="AE15" i="28" s="1"/>
  <c r="C40" i="28"/>
  <c r="AD15" i="28" s="1"/>
  <c r="B40" i="28"/>
  <c r="AC15" i="28" s="1"/>
  <c r="Z38" i="28"/>
  <c r="Y38" i="28"/>
  <c r="X38" i="28"/>
  <c r="W38" i="28"/>
  <c r="V38" i="28"/>
  <c r="U38" i="28"/>
  <c r="T38" i="28"/>
  <c r="S38" i="28"/>
  <c r="R38" i="28"/>
  <c r="R302" i="28" s="1"/>
  <c r="Q38" i="28"/>
  <c r="P38" i="28"/>
  <c r="O38" i="28"/>
  <c r="N38" i="28"/>
  <c r="M38" i="28"/>
  <c r="L38" i="28"/>
  <c r="K38" i="28"/>
  <c r="J38" i="28"/>
  <c r="J302" i="28" s="1"/>
  <c r="I38" i="28"/>
  <c r="H38" i="28"/>
  <c r="G38" i="28"/>
  <c r="F38" i="28"/>
  <c r="E38" i="28"/>
  <c r="D38" i="28"/>
  <c r="C38" i="28"/>
  <c r="B38" i="28"/>
  <c r="Z37" i="28"/>
  <c r="BA14" i="28" s="1"/>
  <c r="Y37" i="28"/>
  <c r="X37" i="28"/>
  <c r="W37" i="28"/>
  <c r="V37" i="28"/>
  <c r="U37" i="28"/>
  <c r="T37" i="28"/>
  <c r="AU14" i="28" s="1"/>
  <c r="S37" i="28"/>
  <c r="R37" i="28"/>
  <c r="Q37" i="28"/>
  <c r="AR14" i="28" s="1"/>
  <c r="P37" i="28"/>
  <c r="O37" i="28"/>
  <c r="N37" i="28"/>
  <c r="AO14" i="28" s="1"/>
  <c r="M37" i="28"/>
  <c r="L37" i="28"/>
  <c r="K37" i="28"/>
  <c r="AL14" i="28" s="1"/>
  <c r="J37" i="28"/>
  <c r="I37" i="28"/>
  <c r="H37" i="28"/>
  <c r="AI14" i="28" s="1"/>
  <c r="G37" i="28"/>
  <c r="F37" i="28"/>
  <c r="E37" i="28"/>
  <c r="AF14" i="28" s="1"/>
  <c r="D37" i="28"/>
  <c r="C37" i="28"/>
  <c r="B37" i="28"/>
  <c r="AC14" i="28" s="1"/>
  <c r="Z36" i="28"/>
  <c r="Z35" i="28"/>
  <c r="Z34" i="28"/>
  <c r="Z33" i="28"/>
  <c r="Z32" i="28"/>
  <c r="Z31" i="28"/>
  <c r="Z30" i="28"/>
  <c r="Z29" i="28"/>
  <c r="Z28" i="28"/>
  <c r="Z27" i="28"/>
  <c r="Z26" i="28"/>
  <c r="Z25" i="28"/>
  <c r="Z24" i="28"/>
  <c r="B22" i="28"/>
  <c r="B21" i="28"/>
  <c r="B20" i="28"/>
  <c r="B19" i="28"/>
  <c r="B18" i="28"/>
  <c r="B17" i="28"/>
  <c r="B16" i="28"/>
  <c r="B15" i="28"/>
  <c r="B14" i="28"/>
  <c r="B13" i="28"/>
  <c r="B12" i="28"/>
  <c r="B11" i="28"/>
  <c r="Z120" i="27"/>
  <c r="BA95" i="27" s="1"/>
  <c r="Y120" i="27"/>
  <c r="AZ95" i="27" s="1"/>
  <c r="X120" i="27"/>
  <c r="AY95" i="27" s="1"/>
  <c r="W120" i="27"/>
  <c r="AX95" i="27" s="1"/>
  <c r="V120" i="27"/>
  <c r="AW95" i="27" s="1"/>
  <c r="U120" i="27"/>
  <c r="AV95" i="27" s="1"/>
  <c r="T120" i="27"/>
  <c r="AU95" i="27" s="1"/>
  <c r="S120" i="27"/>
  <c r="AT95" i="27" s="1"/>
  <c r="R120" i="27"/>
  <c r="AS95" i="27" s="1"/>
  <c r="Q120" i="27"/>
  <c r="AR95" i="27" s="1"/>
  <c r="P120" i="27"/>
  <c r="AQ95" i="27" s="1"/>
  <c r="O120" i="27"/>
  <c r="AP95" i="27" s="1"/>
  <c r="N120" i="27"/>
  <c r="AO95" i="27" s="1"/>
  <c r="M120" i="27"/>
  <c r="AN95" i="27" s="1"/>
  <c r="L120" i="27"/>
  <c r="AM95" i="27" s="1"/>
  <c r="K120" i="27"/>
  <c r="AL95" i="27" s="1"/>
  <c r="J120" i="27"/>
  <c r="AK95" i="27" s="1"/>
  <c r="I120" i="27"/>
  <c r="AJ95" i="27" s="1"/>
  <c r="H120" i="27"/>
  <c r="AI95" i="27" s="1"/>
  <c r="G120" i="27"/>
  <c r="AH95" i="27" s="1"/>
  <c r="F120" i="27"/>
  <c r="AG95" i="27" s="1"/>
  <c r="E120" i="27"/>
  <c r="AF95" i="27" s="1"/>
  <c r="D120" i="27"/>
  <c r="AE95" i="27" s="1"/>
  <c r="C120" i="27"/>
  <c r="AD95" i="27" s="1"/>
  <c r="B120" i="27"/>
  <c r="AC95" i="27" s="1"/>
  <c r="Z118" i="27"/>
  <c r="Y118" i="27"/>
  <c r="X118" i="27"/>
  <c r="W118" i="27"/>
  <c r="W423" i="27" s="1"/>
  <c r="V118" i="27"/>
  <c r="U118" i="27"/>
  <c r="T118" i="27"/>
  <c r="S118" i="27"/>
  <c r="R118" i="27"/>
  <c r="Q118" i="27"/>
  <c r="P118" i="27"/>
  <c r="O118" i="27"/>
  <c r="N118" i="27"/>
  <c r="M118" i="27"/>
  <c r="L118" i="27"/>
  <c r="K118" i="27"/>
  <c r="J118" i="27"/>
  <c r="I118" i="27"/>
  <c r="H118" i="27"/>
  <c r="G118" i="27"/>
  <c r="G423" i="27" s="1"/>
  <c r="F118" i="27"/>
  <c r="E118" i="27"/>
  <c r="D118" i="27"/>
  <c r="C118" i="27"/>
  <c r="B118" i="27"/>
  <c r="Z117" i="27"/>
  <c r="BA94" i="27" s="1"/>
  <c r="Y117" i="27"/>
  <c r="X117" i="27"/>
  <c r="W117" i="27"/>
  <c r="V117" i="27"/>
  <c r="U117" i="27"/>
  <c r="T117" i="27"/>
  <c r="AU94" i="27" s="1"/>
  <c r="S117" i="27"/>
  <c r="R117" i="27"/>
  <c r="Q117" i="27"/>
  <c r="P117" i="27"/>
  <c r="O117" i="27"/>
  <c r="N117" i="27"/>
  <c r="AO94" i="27" s="1"/>
  <c r="M117" i="27"/>
  <c r="L117" i="27"/>
  <c r="K117" i="27"/>
  <c r="AL94" i="27" s="1"/>
  <c r="J117" i="27"/>
  <c r="I117" i="27"/>
  <c r="H117" i="27"/>
  <c r="G117" i="27"/>
  <c r="F117" i="27"/>
  <c r="E117" i="27"/>
  <c r="AF94" i="27" s="1"/>
  <c r="D117" i="27"/>
  <c r="C117" i="27"/>
  <c r="B117" i="27"/>
  <c r="AC94" i="27" s="1"/>
  <c r="Z116" i="27"/>
  <c r="Z115" i="27"/>
  <c r="Z114" i="27"/>
  <c r="Z113" i="27"/>
  <c r="Z112" i="27"/>
  <c r="Z111" i="27"/>
  <c r="Z110" i="27"/>
  <c r="Z109" i="27"/>
  <c r="Z108" i="27"/>
  <c r="Z107" i="27"/>
  <c r="Z106" i="27"/>
  <c r="Z105" i="27"/>
  <c r="Z104" i="27"/>
  <c r="B102" i="27"/>
  <c r="B101" i="27"/>
  <c r="B100" i="27"/>
  <c r="B99" i="27"/>
  <c r="B98" i="27"/>
  <c r="B97" i="27"/>
  <c r="B96" i="27"/>
  <c r="B95" i="27"/>
  <c r="B94" i="27"/>
  <c r="B93" i="27"/>
  <c r="B92" i="27"/>
  <c r="B91" i="27"/>
  <c r="B90" i="27"/>
  <c r="Z80" i="27"/>
  <c r="BA55" i="27" s="1"/>
  <c r="Y80" i="27"/>
  <c r="AZ55" i="27" s="1"/>
  <c r="X80" i="27"/>
  <c r="AY55" i="27" s="1"/>
  <c r="W80" i="27"/>
  <c r="AX55" i="27" s="1"/>
  <c r="V80" i="27"/>
  <c r="AW55" i="27" s="1"/>
  <c r="U80" i="27"/>
  <c r="AV55" i="27" s="1"/>
  <c r="T80" i="27"/>
  <c r="AU55" i="27" s="1"/>
  <c r="S80" i="27"/>
  <c r="AT55" i="27" s="1"/>
  <c r="R80" i="27"/>
  <c r="AS55" i="27" s="1"/>
  <c r="Q80" i="27"/>
  <c r="AR55" i="27" s="1"/>
  <c r="P80" i="27"/>
  <c r="AQ55" i="27" s="1"/>
  <c r="O80" i="27"/>
  <c r="AP55" i="27" s="1"/>
  <c r="N80" i="27"/>
  <c r="AO55" i="27" s="1"/>
  <c r="M80" i="27"/>
  <c r="AN55" i="27" s="1"/>
  <c r="L80" i="27"/>
  <c r="AM55" i="27" s="1"/>
  <c r="K80" i="27"/>
  <c r="AL55" i="27" s="1"/>
  <c r="J80" i="27"/>
  <c r="AK55" i="27" s="1"/>
  <c r="I80" i="27"/>
  <c r="AJ55" i="27" s="1"/>
  <c r="H80" i="27"/>
  <c r="AI55" i="27" s="1"/>
  <c r="G80" i="27"/>
  <c r="AH55" i="27" s="1"/>
  <c r="F80" i="27"/>
  <c r="AG55" i="27" s="1"/>
  <c r="E80" i="27"/>
  <c r="AF55" i="27" s="1"/>
  <c r="D80" i="27"/>
  <c r="AE55" i="27" s="1"/>
  <c r="C80" i="27"/>
  <c r="AD55" i="27" s="1"/>
  <c r="B80" i="27"/>
  <c r="AC55" i="27" s="1"/>
  <c r="Z78" i="27"/>
  <c r="Y78" i="27"/>
  <c r="X78" i="27"/>
  <c r="X362" i="27" s="1"/>
  <c r="W78" i="27"/>
  <c r="W362" i="27" s="1"/>
  <c r="V78" i="27"/>
  <c r="U78" i="27"/>
  <c r="T78" i="27"/>
  <c r="S78" i="27"/>
  <c r="R78" i="27"/>
  <c r="Q78" i="27"/>
  <c r="P78" i="27"/>
  <c r="O78" i="27"/>
  <c r="N78" i="27"/>
  <c r="M78" i="27"/>
  <c r="L78" i="27"/>
  <c r="K78" i="27"/>
  <c r="J78" i="27"/>
  <c r="I78" i="27"/>
  <c r="H78" i="27"/>
  <c r="G78" i="27"/>
  <c r="G362" i="27" s="1"/>
  <c r="F78" i="27"/>
  <c r="E78" i="27"/>
  <c r="D78" i="27"/>
  <c r="D362" i="27" s="1"/>
  <c r="C78" i="27"/>
  <c r="B78" i="27"/>
  <c r="Z77" i="27"/>
  <c r="BA54" i="27" s="1"/>
  <c r="Y77" i="27"/>
  <c r="X77" i="27"/>
  <c r="W77" i="27"/>
  <c r="AX54" i="27" s="1"/>
  <c r="V77" i="27"/>
  <c r="U77" i="27"/>
  <c r="T77" i="27"/>
  <c r="AU54" i="27" s="1"/>
  <c r="S77" i="27"/>
  <c r="R77" i="27"/>
  <c r="Q77" i="27"/>
  <c r="AR54" i="27" s="1"/>
  <c r="P77" i="27"/>
  <c r="O77" i="27"/>
  <c r="N77" i="27"/>
  <c r="AO54" i="27" s="1"/>
  <c r="M77" i="27"/>
  <c r="L77" i="27"/>
  <c r="K77" i="27"/>
  <c r="AL54" i="27" s="1"/>
  <c r="J77" i="27"/>
  <c r="I77" i="27"/>
  <c r="H77" i="27"/>
  <c r="G77" i="27"/>
  <c r="F77" i="27"/>
  <c r="E77" i="27"/>
  <c r="D77" i="27"/>
  <c r="C77" i="27"/>
  <c r="B77" i="27"/>
  <c r="AC54" i="27" s="1"/>
  <c r="Z76" i="27"/>
  <c r="Z75" i="27"/>
  <c r="Z74" i="27"/>
  <c r="Z73" i="27"/>
  <c r="Z72" i="27"/>
  <c r="Z71" i="27"/>
  <c r="Z70" i="27"/>
  <c r="Z69" i="27"/>
  <c r="Z68" i="27"/>
  <c r="Z67" i="27"/>
  <c r="Z66" i="27"/>
  <c r="Z65" i="27"/>
  <c r="Z64" i="27"/>
  <c r="B62" i="27"/>
  <c r="B61" i="27"/>
  <c r="B60" i="27"/>
  <c r="B59" i="27"/>
  <c r="B58" i="27"/>
  <c r="B57" i="27"/>
  <c r="B56" i="27"/>
  <c r="B55" i="27"/>
  <c r="B54" i="27"/>
  <c r="B53" i="27"/>
  <c r="B52" i="27"/>
  <c r="B51" i="27"/>
  <c r="B50" i="27"/>
  <c r="Z40" i="27"/>
  <c r="BA15" i="27" s="1"/>
  <c r="Y40" i="27"/>
  <c r="AZ15" i="27" s="1"/>
  <c r="X40" i="27"/>
  <c r="AY15" i="27" s="1"/>
  <c r="W40" i="27"/>
  <c r="AX15" i="27" s="1"/>
  <c r="V40" i="27"/>
  <c r="AW15" i="27" s="1"/>
  <c r="U40" i="27"/>
  <c r="AV15" i="27" s="1"/>
  <c r="T40" i="27"/>
  <c r="AU15" i="27" s="1"/>
  <c r="S40" i="27"/>
  <c r="AT15" i="27" s="1"/>
  <c r="R40" i="27"/>
  <c r="AS15" i="27" s="1"/>
  <c r="Q40" i="27"/>
  <c r="AR15" i="27" s="1"/>
  <c r="P40" i="27"/>
  <c r="AQ15" i="27" s="1"/>
  <c r="O40" i="27"/>
  <c r="AP15" i="27" s="1"/>
  <c r="N40" i="27"/>
  <c r="AO15" i="27" s="1"/>
  <c r="M40" i="27"/>
  <c r="AN15" i="27" s="1"/>
  <c r="L40" i="27"/>
  <c r="AM15" i="27" s="1"/>
  <c r="K40" i="27"/>
  <c r="AL15" i="27" s="1"/>
  <c r="J40" i="27"/>
  <c r="AK15" i="27" s="1"/>
  <c r="I40" i="27"/>
  <c r="AJ15" i="27" s="1"/>
  <c r="H40" i="27"/>
  <c r="AI15" i="27" s="1"/>
  <c r="G40" i="27"/>
  <c r="AH15" i="27" s="1"/>
  <c r="F40" i="27"/>
  <c r="AG15" i="27" s="1"/>
  <c r="E40" i="27"/>
  <c r="AF15" i="27" s="1"/>
  <c r="D40" i="27"/>
  <c r="AE15" i="27" s="1"/>
  <c r="C40" i="27"/>
  <c r="AD15" i="27" s="1"/>
  <c r="B40" i="27"/>
  <c r="AC15" i="27" s="1"/>
  <c r="B441" i="27" s="1"/>
  <c r="B455" i="27" s="1"/>
  <c r="B473" i="27" s="1"/>
  <c r="I20" i="40" s="1"/>
  <c r="Z38" i="27"/>
  <c r="Y38" i="27"/>
  <c r="X38" i="27"/>
  <c r="W38" i="27"/>
  <c r="V38" i="27"/>
  <c r="U38" i="27"/>
  <c r="T38" i="27"/>
  <c r="S38" i="27"/>
  <c r="R38" i="27"/>
  <c r="Q38" i="27"/>
  <c r="Q302" i="27" s="1"/>
  <c r="P38" i="27"/>
  <c r="O38" i="27"/>
  <c r="N38" i="27"/>
  <c r="M38" i="27"/>
  <c r="L38" i="27"/>
  <c r="K38" i="27"/>
  <c r="J38" i="27"/>
  <c r="I38" i="27"/>
  <c r="H38" i="27"/>
  <c r="G38" i="27"/>
  <c r="F38" i="27"/>
  <c r="E38" i="27"/>
  <c r="D38" i="27"/>
  <c r="C38" i="27"/>
  <c r="B38" i="27"/>
  <c r="Z37" i="27"/>
  <c r="Y37" i="27"/>
  <c r="X37" i="27"/>
  <c r="W37" i="27"/>
  <c r="V37" i="27"/>
  <c r="U37" i="27"/>
  <c r="T37" i="27"/>
  <c r="AU14" i="27" s="1"/>
  <c r="S37" i="27"/>
  <c r="R37" i="27"/>
  <c r="Q37" i="27"/>
  <c r="AR14" i="27" s="1"/>
  <c r="P37" i="27"/>
  <c r="O37" i="27"/>
  <c r="N37" i="27"/>
  <c r="AO14" i="27" s="1"/>
  <c r="M37" i="27"/>
  <c r="L37" i="27"/>
  <c r="K37" i="27"/>
  <c r="AL14" i="27" s="1"/>
  <c r="J37" i="27"/>
  <c r="I37" i="27"/>
  <c r="H37" i="27"/>
  <c r="AI14" i="27" s="1"/>
  <c r="G37" i="27"/>
  <c r="F37" i="27"/>
  <c r="E37" i="27"/>
  <c r="AF14" i="27" s="1"/>
  <c r="D37" i="27"/>
  <c r="C37" i="27"/>
  <c r="B37" i="27"/>
  <c r="Z36" i="27"/>
  <c r="Z35" i="27"/>
  <c r="Z34" i="27"/>
  <c r="Z33" i="27"/>
  <c r="Z32" i="27"/>
  <c r="Z31" i="27"/>
  <c r="Z30" i="27"/>
  <c r="Z29" i="27"/>
  <c r="Z28" i="27"/>
  <c r="Z27" i="27"/>
  <c r="Z26" i="27"/>
  <c r="Z25" i="27"/>
  <c r="Z24" i="27"/>
  <c r="B22" i="27"/>
  <c r="B21" i="27"/>
  <c r="B20" i="27"/>
  <c r="B19" i="27"/>
  <c r="B18" i="27"/>
  <c r="B17" i="27"/>
  <c r="B16" i="27"/>
  <c r="B15" i="27"/>
  <c r="B14" i="27"/>
  <c r="B13" i="27"/>
  <c r="B12" i="27"/>
  <c r="B11" i="27"/>
  <c r="B10" i="27"/>
  <c r="Z120" i="26"/>
  <c r="Y120" i="26"/>
  <c r="X120" i="26"/>
  <c r="W120" i="26"/>
  <c r="V120" i="26"/>
  <c r="U120" i="26"/>
  <c r="T120" i="26"/>
  <c r="S120" i="26"/>
  <c r="R120" i="26"/>
  <c r="Q120" i="26"/>
  <c r="P120" i="26"/>
  <c r="O120" i="26"/>
  <c r="N120" i="26"/>
  <c r="M120" i="26"/>
  <c r="L120" i="26"/>
  <c r="K120" i="26"/>
  <c r="J120" i="26"/>
  <c r="I120" i="26"/>
  <c r="H120" i="26"/>
  <c r="G120" i="26"/>
  <c r="F120" i="26"/>
  <c r="E120" i="26"/>
  <c r="D120" i="26"/>
  <c r="C120" i="26"/>
  <c r="B120" i="26"/>
  <c r="Z118" i="26"/>
  <c r="Y118" i="26"/>
  <c r="X118" i="26"/>
  <c r="W118" i="26"/>
  <c r="V118" i="26"/>
  <c r="U118" i="26"/>
  <c r="T118" i="26"/>
  <c r="S118" i="26"/>
  <c r="R118" i="26"/>
  <c r="Q118" i="26"/>
  <c r="Q423" i="26" s="1"/>
  <c r="P118" i="26"/>
  <c r="O118" i="26"/>
  <c r="O423" i="26" s="1"/>
  <c r="N118" i="26"/>
  <c r="M118" i="26"/>
  <c r="L118" i="26"/>
  <c r="K118" i="26"/>
  <c r="J118" i="26"/>
  <c r="I118" i="26"/>
  <c r="I423" i="26" s="1"/>
  <c r="H118" i="26"/>
  <c r="G118" i="26"/>
  <c r="G423" i="26" s="1"/>
  <c r="F118" i="26"/>
  <c r="E118" i="26"/>
  <c r="D118" i="26"/>
  <c r="C118" i="26"/>
  <c r="B118" i="26"/>
  <c r="Z117" i="26"/>
  <c r="BA94" i="26" s="1"/>
  <c r="Y117" i="26"/>
  <c r="X117" i="26"/>
  <c r="W117" i="26"/>
  <c r="AX94" i="26" s="1"/>
  <c r="V117" i="26"/>
  <c r="U117" i="26"/>
  <c r="T117" i="26"/>
  <c r="S117" i="26"/>
  <c r="R117" i="26"/>
  <c r="Q117" i="26"/>
  <c r="AR94" i="26" s="1"/>
  <c r="P117" i="26"/>
  <c r="O117" i="26"/>
  <c r="N117" i="26"/>
  <c r="AO94" i="26" s="1"/>
  <c r="M117" i="26"/>
  <c r="L117" i="26"/>
  <c r="K117" i="26"/>
  <c r="J117" i="26"/>
  <c r="I117" i="26"/>
  <c r="H117" i="26"/>
  <c r="G117" i="26"/>
  <c r="F117" i="26"/>
  <c r="E117" i="26"/>
  <c r="AF94" i="26" s="1"/>
  <c r="D117" i="26"/>
  <c r="C117" i="26"/>
  <c r="B117" i="26"/>
  <c r="AC94" i="26" s="1"/>
  <c r="Z116" i="26"/>
  <c r="Z115" i="26"/>
  <c r="Z114" i="26"/>
  <c r="Z113" i="26"/>
  <c r="Z112" i="26"/>
  <c r="Z111" i="26"/>
  <c r="Z110" i="26"/>
  <c r="Z109" i="26"/>
  <c r="Z108" i="26"/>
  <c r="Z107" i="26"/>
  <c r="Z106" i="26"/>
  <c r="Z105" i="26"/>
  <c r="Z104" i="26"/>
  <c r="B102" i="26"/>
  <c r="AC91" i="26" s="1"/>
  <c r="D436" i="26" s="1"/>
  <c r="D450" i="26" s="1"/>
  <c r="D468" i="26" s="1"/>
  <c r="D36" i="40" s="1"/>
  <c r="B101" i="26"/>
  <c r="B100" i="26"/>
  <c r="B99" i="26"/>
  <c r="B98" i="26"/>
  <c r="B97" i="26"/>
  <c r="B96" i="26"/>
  <c r="B95" i="26"/>
  <c r="B94" i="26"/>
  <c r="B93" i="26"/>
  <c r="B92" i="26"/>
  <c r="B91" i="26"/>
  <c r="B90" i="26"/>
  <c r="Z80" i="26"/>
  <c r="BA55" i="26" s="1"/>
  <c r="Y80" i="26"/>
  <c r="AZ55" i="26" s="1"/>
  <c r="X80" i="26"/>
  <c r="AY55" i="26" s="1"/>
  <c r="W80" i="26"/>
  <c r="AX55" i="26" s="1"/>
  <c r="V80" i="26"/>
  <c r="AW55" i="26" s="1"/>
  <c r="U80" i="26"/>
  <c r="AV55" i="26" s="1"/>
  <c r="T80" i="26"/>
  <c r="AU55" i="26" s="1"/>
  <c r="S80" i="26"/>
  <c r="AT55" i="26" s="1"/>
  <c r="R80" i="26"/>
  <c r="AS55" i="26" s="1"/>
  <c r="Q80" i="26"/>
  <c r="AR55" i="26" s="1"/>
  <c r="P80" i="26"/>
  <c r="AQ55" i="26" s="1"/>
  <c r="O80" i="26"/>
  <c r="AP55" i="26" s="1"/>
  <c r="N80" i="26"/>
  <c r="AO55" i="26" s="1"/>
  <c r="M80" i="26"/>
  <c r="AN55" i="26" s="1"/>
  <c r="L80" i="26"/>
  <c r="AM55" i="26" s="1"/>
  <c r="K80" i="26"/>
  <c r="AL55" i="26" s="1"/>
  <c r="J80" i="26"/>
  <c r="AK55" i="26" s="1"/>
  <c r="I80" i="26"/>
  <c r="AJ55" i="26" s="1"/>
  <c r="H80" i="26"/>
  <c r="AI55" i="26" s="1"/>
  <c r="G80" i="26"/>
  <c r="AH55" i="26" s="1"/>
  <c r="F80" i="26"/>
  <c r="AG55" i="26" s="1"/>
  <c r="E80" i="26"/>
  <c r="AF55" i="26" s="1"/>
  <c r="D80" i="26"/>
  <c r="AE55" i="26" s="1"/>
  <c r="C80" i="26"/>
  <c r="AD55" i="26" s="1"/>
  <c r="B80" i="26"/>
  <c r="AC55" i="26" s="1"/>
  <c r="Z78" i="26"/>
  <c r="Y78" i="26"/>
  <c r="X78" i="26"/>
  <c r="X362" i="26" s="1"/>
  <c r="W78" i="26"/>
  <c r="V78" i="26"/>
  <c r="U78" i="26"/>
  <c r="T78" i="26"/>
  <c r="S78" i="26"/>
  <c r="R78" i="26"/>
  <c r="R362" i="26" s="1"/>
  <c r="Q78" i="26"/>
  <c r="P78" i="26"/>
  <c r="P362" i="26" s="1"/>
  <c r="O78" i="26"/>
  <c r="N78" i="26"/>
  <c r="M78" i="26"/>
  <c r="L78" i="26"/>
  <c r="K78" i="26"/>
  <c r="J78" i="26"/>
  <c r="I78" i="26"/>
  <c r="H78" i="26"/>
  <c r="G78" i="26"/>
  <c r="F78" i="26"/>
  <c r="E78" i="26"/>
  <c r="D78" i="26"/>
  <c r="C78" i="26"/>
  <c r="Z77" i="26"/>
  <c r="BA54" i="26" s="1"/>
  <c r="Y77" i="26"/>
  <c r="X77" i="26"/>
  <c r="W77" i="26"/>
  <c r="V77" i="26"/>
  <c r="U77" i="26"/>
  <c r="T77" i="26"/>
  <c r="AU54" i="26" s="1"/>
  <c r="S77" i="26"/>
  <c r="R77" i="26"/>
  <c r="Q77" i="26"/>
  <c r="AR54" i="26" s="1"/>
  <c r="P77" i="26"/>
  <c r="O77" i="26"/>
  <c r="N77" i="26"/>
  <c r="AO54" i="26" s="1"/>
  <c r="M77" i="26"/>
  <c r="L77" i="26"/>
  <c r="K77" i="26"/>
  <c r="AL54" i="26" s="1"/>
  <c r="J77" i="26"/>
  <c r="I77" i="26"/>
  <c r="H77" i="26"/>
  <c r="G77" i="26"/>
  <c r="F77" i="26"/>
  <c r="E77" i="26"/>
  <c r="D77" i="26"/>
  <c r="C77" i="26"/>
  <c r="B77" i="26"/>
  <c r="AC54" i="26" s="1"/>
  <c r="Z76" i="26"/>
  <c r="Z75" i="26"/>
  <c r="Z74" i="26"/>
  <c r="Z73" i="26"/>
  <c r="Z72" i="26"/>
  <c r="Z71" i="26"/>
  <c r="Z70" i="26"/>
  <c r="Z69" i="26"/>
  <c r="Z68" i="26"/>
  <c r="Z67" i="26"/>
  <c r="Z66" i="26"/>
  <c r="Z65" i="26"/>
  <c r="Z64" i="26"/>
  <c r="AC51" i="26"/>
  <c r="C436" i="26" s="1"/>
  <c r="C450" i="26" s="1"/>
  <c r="C468" i="26" s="1"/>
  <c r="D35" i="40" s="1"/>
  <c r="B61" i="26"/>
  <c r="B60" i="26"/>
  <c r="B59" i="26"/>
  <c r="B58" i="26"/>
  <c r="B57" i="26"/>
  <c r="B56" i="26"/>
  <c r="B55" i="26"/>
  <c r="B54" i="26"/>
  <c r="B53" i="26"/>
  <c r="B52" i="26"/>
  <c r="B51" i="26"/>
  <c r="B50" i="26"/>
  <c r="Z40" i="26"/>
  <c r="BA15" i="26" s="1"/>
  <c r="Y40" i="26"/>
  <c r="AZ15" i="26" s="1"/>
  <c r="X40" i="26"/>
  <c r="AY15" i="26" s="1"/>
  <c r="W40" i="26"/>
  <c r="AX15" i="26" s="1"/>
  <c r="V40" i="26"/>
  <c r="AW15" i="26" s="1"/>
  <c r="U40" i="26"/>
  <c r="AV15" i="26" s="1"/>
  <c r="T40" i="26"/>
  <c r="AU15" i="26" s="1"/>
  <c r="S40" i="26"/>
  <c r="AT15" i="26" s="1"/>
  <c r="R40" i="26"/>
  <c r="AS15" i="26" s="1"/>
  <c r="Q40" i="26"/>
  <c r="AR15" i="26" s="1"/>
  <c r="P40" i="26"/>
  <c r="AQ15" i="26" s="1"/>
  <c r="O40" i="26"/>
  <c r="AP15" i="26" s="1"/>
  <c r="N40" i="26"/>
  <c r="AO15" i="26" s="1"/>
  <c r="M40" i="26"/>
  <c r="AN15" i="26" s="1"/>
  <c r="L40" i="26"/>
  <c r="AM15" i="26" s="1"/>
  <c r="K40" i="26"/>
  <c r="AL15" i="26" s="1"/>
  <c r="J40" i="26"/>
  <c r="AK15" i="26" s="1"/>
  <c r="I40" i="26"/>
  <c r="AJ15" i="26" s="1"/>
  <c r="H40" i="26"/>
  <c r="AI15" i="26" s="1"/>
  <c r="G40" i="26"/>
  <c r="AH15" i="26" s="1"/>
  <c r="F40" i="26"/>
  <c r="AG15" i="26" s="1"/>
  <c r="E40" i="26"/>
  <c r="AF15" i="26" s="1"/>
  <c r="D40" i="26"/>
  <c r="AE15" i="26" s="1"/>
  <c r="C40" i="26"/>
  <c r="AD15" i="26" s="1"/>
  <c r="B40" i="26"/>
  <c r="AC15" i="26" s="1"/>
  <c r="Z38" i="26"/>
  <c r="Y38" i="26"/>
  <c r="X38" i="26"/>
  <c r="W38" i="26"/>
  <c r="V38" i="26"/>
  <c r="U38" i="26"/>
  <c r="U302" i="26" s="1"/>
  <c r="T38" i="26"/>
  <c r="T302" i="26" s="1"/>
  <c r="S38" i="26"/>
  <c r="R38" i="26"/>
  <c r="Q38" i="26"/>
  <c r="P38" i="26"/>
  <c r="O38" i="26"/>
  <c r="N38" i="26"/>
  <c r="M38" i="26"/>
  <c r="L38" i="26"/>
  <c r="L302" i="26" s="1"/>
  <c r="K38" i="26"/>
  <c r="J38" i="26"/>
  <c r="I38" i="26"/>
  <c r="H38" i="26"/>
  <c r="G38" i="26"/>
  <c r="F38" i="26"/>
  <c r="E38" i="26"/>
  <c r="D38" i="26"/>
  <c r="D302" i="26" s="1"/>
  <c r="C38" i="26"/>
  <c r="B38" i="26"/>
  <c r="Z37" i="26"/>
  <c r="BA14" i="26" s="1"/>
  <c r="Y37" i="26"/>
  <c r="X37" i="26"/>
  <c r="W37" i="26"/>
  <c r="AX14" i="26" s="1"/>
  <c r="V37" i="26"/>
  <c r="U37" i="26"/>
  <c r="T37" i="26"/>
  <c r="AU14" i="26" s="1"/>
  <c r="S37" i="26"/>
  <c r="R37" i="26"/>
  <c r="Q37" i="26"/>
  <c r="P37" i="26"/>
  <c r="O37" i="26"/>
  <c r="N37" i="26"/>
  <c r="AO14" i="26" s="1"/>
  <c r="M37" i="26"/>
  <c r="L37" i="26"/>
  <c r="K37" i="26"/>
  <c r="AL14" i="26" s="1"/>
  <c r="J37" i="26"/>
  <c r="I37" i="26"/>
  <c r="H37" i="26"/>
  <c r="AI14" i="26" s="1"/>
  <c r="G37" i="26"/>
  <c r="F37" i="26"/>
  <c r="E37" i="26"/>
  <c r="D37" i="26"/>
  <c r="C37" i="26"/>
  <c r="B37" i="26"/>
  <c r="AC14" i="26" s="1"/>
  <c r="Z36" i="26"/>
  <c r="Z35" i="26"/>
  <c r="Z34" i="26"/>
  <c r="Z33" i="26"/>
  <c r="Z32" i="26"/>
  <c r="Z31" i="26"/>
  <c r="Z30" i="26"/>
  <c r="Z29" i="26"/>
  <c r="Z28" i="26"/>
  <c r="Z27" i="26"/>
  <c r="Z26" i="26"/>
  <c r="Z25" i="26"/>
  <c r="Z24" i="26"/>
  <c r="B22" i="26"/>
  <c r="B21" i="26"/>
  <c r="B20" i="26"/>
  <c r="B19" i="26"/>
  <c r="B18" i="26"/>
  <c r="B17" i="26"/>
  <c r="B16" i="26"/>
  <c r="B15" i="26"/>
  <c r="B14" i="26"/>
  <c r="B13" i="26"/>
  <c r="B12" i="26"/>
  <c r="B11" i="26"/>
  <c r="B10" i="26"/>
  <c r="Z120" i="24"/>
  <c r="BA95" i="24" s="1"/>
  <c r="Y120" i="24"/>
  <c r="AZ95" i="24" s="1"/>
  <c r="X120" i="24"/>
  <c r="AY95" i="24" s="1"/>
  <c r="W120" i="24"/>
  <c r="AX95" i="24" s="1"/>
  <c r="V120" i="24"/>
  <c r="AW95" i="24" s="1"/>
  <c r="U120" i="24"/>
  <c r="AV95" i="24" s="1"/>
  <c r="T120" i="24"/>
  <c r="AU95" i="24" s="1"/>
  <c r="S120" i="24"/>
  <c r="AT95" i="24" s="1"/>
  <c r="R120" i="24"/>
  <c r="AS95" i="24" s="1"/>
  <c r="Q120" i="24"/>
  <c r="AR95" i="24" s="1"/>
  <c r="P120" i="24"/>
  <c r="AQ95" i="24" s="1"/>
  <c r="O120" i="24"/>
  <c r="AP95" i="24" s="1"/>
  <c r="N120" i="24"/>
  <c r="AO95" i="24" s="1"/>
  <c r="M120" i="24"/>
  <c r="AN95" i="24" s="1"/>
  <c r="L120" i="24"/>
  <c r="AM95" i="24" s="1"/>
  <c r="K120" i="24"/>
  <c r="AL95" i="24" s="1"/>
  <c r="J120" i="24"/>
  <c r="AK95" i="24" s="1"/>
  <c r="I120" i="24"/>
  <c r="AJ95" i="24" s="1"/>
  <c r="H120" i="24"/>
  <c r="AI95" i="24" s="1"/>
  <c r="G120" i="24"/>
  <c r="AH95" i="24" s="1"/>
  <c r="F120" i="24"/>
  <c r="AG95" i="24" s="1"/>
  <c r="E120" i="24"/>
  <c r="AF95" i="24" s="1"/>
  <c r="D120" i="24"/>
  <c r="AE95" i="24" s="1"/>
  <c r="C120" i="24"/>
  <c r="AD95" i="24" s="1"/>
  <c r="B120" i="24"/>
  <c r="AC95" i="24" s="1"/>
  <c r="Z118" i="24"/>
  <c r="Y118" i="24"/>
  <c r="Y423" i="24" s="1"/>
  <c r="X118" i="24"/>
  <c r="W118" i="24"/>
  <c r="V118" i="24"/>
  <c r="U118" i="24"/>
  <c r="U423" i="24" s="1"/>
  <c r="T118" i="24"/>
  <c r="S118" i="24"/>
  <c r="R118" i="24"/>
  <c r="Q118" i="24"/>
  <c r="P118" i="24"/>
  <c r="P423" i="24" s="1"/>
  <c r="O118" i="24"/>
  <c r="O423" i="24" s="1"/>
  <c r="N118" i="24"/>
  <c r="M118" i="24"/>
  <c r="L118" i="24"/>
  <c r="K118" i="24"/>
  <c r="J118" i="24"/>
  <c r="I118" i="24"/>
  <c r="H118" i="24"/>
  <c r="H423" i="24" s="1"/>
  <c r="G118" i="24"/>
  <c r="G423" i="24" s="1"/>
  <c r="F118" i="24"/>
  <c r="E118" i="24"/>
  <c r="D118" i="24"/>
  <c r="C118" i="24"/>
  <c r="B118" i="24"/>
  <c r="Z117" i="24"/>
  <c r="BA94" i="24" s="1"/>
  <c r="Y117" i="24"/>
  <c r="X117" i="24"/>
  <c r="W117" i="24"/>
  <c r="V117" i="24"/>
  <c r="U117" i="24"/>
  <c r="T117" i="24"/>
  <c r="AU94" i="24" s="1"/>
  <c r="S117" i="24"/>
  <c r="R117" i="24"/>
  <c r="Q117" i="24"/>
  <c r="P117" i="24"/>
  <c r="O117" i="24"/>
  <c r="N117" i="24"/>
  <c r="AO94" i="24" s="1"/>
  <c r="M117" i="24"/>
  <c r="L117" i="24"/>
  <c r="K117" i="24"/>
  <c r="AL94" i="24" s="1"/>
  <c r="J117" i="24"/>
  <c r="I117" i="24"/>
  <c r="H117" i="24"/>
  <c r="G117" i="24"/>
  <c r="F117" i="24"/>
  <c r="E117" i="24"/>
  <c r="D117" i="24"/>
  <c r="C117" i="24"/>
  <c r="B117" i="24"/>
  <c r="AC94" i="24" s="1"/>
  <c r="Z116" i="24"/>
  <c r="Z115" i="24"/>
  <c r="Z114" i="24"/>
  <c r="Z113" i="24"/>
  <c r="Z112" i="24"/>
  <c r="Z111" i="24"/>
  <c r="Z110" i="24"/>
  <c r="Z109" i="24"/>
  <c r="Z108" i="24"/>
  <c r="Z107" i="24"/>
  <c r="Z106" i="24"/>
  <c r="Z105" i="24"/>
  <c r="Z104" i="24"/>
  <c r="B102" i="24"/>
  <c r="B101" i="24"/>
  <c r="B100" i="24"/>
  <c r="B99" i="24"/>
  <c r="B98" i="24"/>
  <c r="B97" i="24"/>
  <c r="B96" i="24"/>
  <c r="B95" i="24"/>
  <c r="B94" i="24"/>
  <c r="B93" i="24"/>
  <c r="B92" i="24"/>
  <c r="B91" i="24"/>
  <c r="B90" i="24"/>
  <c r="Z80" i="24"/>
  <c r="BA55" i="24" s="1"/>
  <c r="Y80" i="24"/>
  <c r="AZ55" i="24" s="1"/>
  <c r="X80" i="24"/>
  <c r="AY55" i="24" s="1"/>
  <c r="W80" i="24"/>
  <c r="AX55" i="24" s="1"/>
  <c r="V80" i="24"/>
  <c r="AW55" i="24" s="1"/>
  <c r="U80" i="24"/>
  <c r="AV55" i="24" s="1"/>
  <c r="T80" i="24"/>
  <c r="AU55" i="24" s="1"/>
  <c r="S80" i="24"/>
  <c r="AT55" i="24" s="1"/>
  <c r="R80" i="24"/>
  <c r="AS55" i="24" s="1"/>
  <c r="Q80" i="24"/>
  <c r="AR55" i="24" s="1"/>
  <c r="P80" i="24"/>
  <c r="AQ55" i="24" s="1"/>
  <c r="O80" i="24"/>
  <c r="AP55" i="24" s="1"/>
  <c r="N80" i="24"/>
  <c r="AO55" i="24" s="1"/>
  <c r="M80" i="24"/>
  <c r="AN55" i="24" s="1"/>
  <c r="L80" i="24"/>
  <c r="AM55" i="24" s="1"/>
  <c r="K80" i="24"/>
  <c r="AL55" i="24" s="1"/>
  <c r="J80" i="24"/>
  <c r="AK55" i="24" s="1"/>
  <c r="I80" i="24"/>
  <c r="AJ55" i="24" s="1"/>
  <c r="H80" i="24"/>
  <c r="AI55" i="24" s="1"/>
  <c r="G80" i="24"/>
  <c r="AH55" i="24" s="1"/>
  <c r="F80" i="24"/>
  <c r="AG55" i="24" s="1"/>
  <c r="E80" i="24"/>
  <c r="AF55" i="24" s="1"/>
  <c r="D80" i="24"/>
  <c r="AE55" i="24" s="1"/>
  <c r="C80" i="24"/>
  <c r="AD55" i="24" s="1"/>
  <c r="B80" i="24"/>
  <c r="AC55" i="24" s="1"/>
  <c r="Z78" i="24"/>
  <c r="Y78" i="24"/>
  <c r="X78" i="24"/>
  <c r="W78" i="24"/>
  <c r="V78" i="24"/>
  <c r="U78" i="24"/>
  <c r="T78" i="24"/>
  <c r="T362" i="24" s="1"/>
  <c r="S78" i="24"/>
  <c r="R78" i="24"/>
  <c r="R362" i="24" s="1"/>
  <c r="Q78" i="24"/>
  <c r="P78" i="24"/>
  <c r="O78" i="24"/>
  <c r="N78" i="24"/>
  <c r="M78" i="24"/>
  <c r="L78" i="24"/>
  <c r="K78" i="24"/>
  <c r="J78" i="24"/>
  <c r="J362" i="24" s="1"/>
  <c r="I78" i="24"/>
  <c r="H78" i="24"/>
  <c r="G78" i="24"/>
  <c r="F78" i="24"/>
  <c r="E78" i="24"/>
  <c r="D78" i="24"/>
  <c r="C78" i="24"/>
  <c r="B78" i="24"/>
  <c r="Z77" i="24"/>
  <c r="BA54" i="24" s="1"/>
  <c r="Y77" i="24"/>
  <c r="X77" i="24"/>
  <c r="W77" i="24"/>
  <c r="V77" i="24"/>
  <c r="U77" i="24"/>
  <c r="T77" i="24"/>
  <c r="S77" i="24"/>
  <c r="R77" i="24"/>
  <c r="Q77" i="24"/>
  <c r="AR54" i="24" s="1"/>
  <c r="P77" i="24"/>
  <c r="O77" i="24"/>
  <c r="N77" i="24"/>
  <c r="AO54" i="24" s="1"/>
  <c r="M77" i="24"/>
  <c r="L77" i="24"/>
  <c r="K77" i="24"/>
  <c r="AL54" i="24" s="1"/>
  <c r="J77" i="24"/>
  <c r="I77" i="24"/>
  <c r="H77" i="24"/>
  <c r="AI54" i="24" s="1"/>
  <c r="G77" i="24"/>
  <c r="F77" i="24"/>
  <c r="E77" i="24"/>
  <c r="D77" i="24"/>
  <c r="C77" i="24"/>
  <c r="B77" i="24"/>
  <c r="AC54" i="24" s="1"/>
  <c r="Z76" i="24"/>
  <c r="Z75" i="24"/>
  <c r="Z74" i="24"/>
  <c r="Z73" i="24"/>
  <c r="Z72" i="24"/>
  <c r="Z71" i="24"/>
  <c r="Z70" i="24"/>
  <c r="Z69" i="24"/>
  <c r="Z68" i="24"/>
  <c r="Z67" i="24"/>
  <c r="Z66" i="24"/>
  <c r="Z65" i="24"/>
  <c r="Z64" i="24"/>
  <c r="B62" i="24"/>
  <c r="B61" i="24"/>
  <c r="B60" i="24"/>
  <c r="B59" i="24"/>
  <c r="B58" i="24"/>
  <c r="B57" i="24"/>
  <c r="B56" i="24"/>
  <c r="B55" i="24"/>
  <c r="B54" i="24"/>
  <c r="B53" i="24"/>
  <c r="B52" i="24"/>
  <c r="B51" i="24"/>
  <c r="B50" i="24"/>
  <c r="Z40" i="24"/>
  <c r="BA15" i="24" s="1"/>
  <c r="Y40" i="24"/>
  <c r="AZ15" i="24" s="1"/>
  <c r="X40" i="24"/>
  <c r="AY15" i="24" s="1"/>
  <c r="W40" i="24"/>
  <c r="AX15" i="24" s="1"/>
  <c r="V40" i="24"/>
  <c r="AW15" i="24" s="1"/>
  <c r="U40" i="24"/>
  <c r="AV15" i="24" s="1"/>
  <c r="T40" i="24"/>
  <c r="AU15" i="24" s="1"/>
  <c r="S40" i="24"/>
  <c r="AT15" i="24" s="1"/>
  <c r="R40" i="24"/>
  <c r="AS15" i="24" s="1"/>
  <c r="Q40" i="24"/>
  <c r="AR15" i="24" s="1"/>
  <c r="P40" i="24"/>
  <c r="AQ15" i="24" s="1"/>
  <c r="O40" i="24"/>
  <c r="AP15" i="24" s="1"/>
  <c r="N40" i="24"/>
  <c r="AO15" i="24" s="1"/>
  <c r="M40" i="24"/>
  <c r="AN15" i="24" s="1"/>
  <c r="L40" i="24"/>
  <c r="AM15" i="24" s="1"/>
  <c r="K40" i="24"/>
  <c r="AL15" i="24" s="1"/>
  <c r="J40" i="24"/>
  <c r="AK15" i="24" s="1"/>
  <c r="I40" i="24"/>
  <c r="AJ15" i="24" s="1"/>
  <c r="H40" i="24"/>
  <c r="AI15" i="24" s="1"/>
  <c r="G40" i="24"/>
  <c r="AH15" i="24" s="1"/>
  <c r="F40" i="24"/>
  <c r="AG15" i="24" s="1"/>
  <c r="E40" i="24"/>
  <c r="AF15" i="24" s="1"/>
  <c r="D40" i="24"/>
  <c r="AE15" i="24" s="1"/>
  <c r="C40" i="24"/>
  <c r="AD15" i="24" s="1"/>
  <c r="B40" i="24"/>
  <c r="AC15" i="24" s="1"/>
  <c r="Z38" i="24"/>
  <c r="Y38" i="24"/>
  <c r="X38" i="24"/>
  <c r="W38" i="24"/>
  <c r="V38" i="24"/>
  <c r="U38" i="24"/>
  <c r="T38" i="24"/>
  <c r="S38" i="24"/>
  <c r="R38" i="24"/>
  <c r="Q38" i="24"/>
  <c r="P38" i="24"/>
  <c r="O38" i="24"/>
  <c r="N38" i="24"/>
  <c r="M38" i="24"/>
  <c r="L38" i="24"/>
  <c r="K38" i="24"/>
  <c r="J38" i="24"/>
  <c r="I38" i="24"/>
  <c r="H38" i="24"/>
  <c r="G38" i="24"/>
  <c r="F38" i="24"/>
  <c r="E38" i="24"/>
  <c r="D38" i="24"/>
  <c r="C38" i="24"/>
  <c r="B38" i="24"/>
  <c r="Z37" i="24"/>
  <c r="BA14" i="24" s="1"/>
  <c r="Y37" i="24"/>
  <c r="X37" i="24"/>
  <c r="W37" i="24"/>
  <c r="AX14" i="24" s="1"/>
  <c r="V37" i="24"/>
  <c r="U37" i="24"/>
  <c r="T37" i="24"/>
  <c r="AU14" i="24" s="1"/>
  <c r="S37" i="24"/>
  <c r="R37" i="24"/>
  <c r="Q37" i="24"/>
  <c r="AR14" i="24" s="1"/>
  <c r="P37" i="24"/>
  <c r="O37" i="24"/>
  <c r="N37" i="24"/>
  <c r="AO14" i="24" s="1"/>
  <c r="M37" i="24"/>
  <c r="L37" i="24"/>
  <c r="K37" i="24"/>
  <c r="J37" i="24"/>
  <c r="I37" i="24"/>
  <c r="H37" i="24"/>
  <c r="G37" i="24"/>
  <c r="F37" i="24"/>
  <c r="E37" i="24"/>
  <c r="AF14" i="24" s="1"/>
  <c r="D37" i="24"/>
  <c r="C37" i="24"/>
  <c r="B37" i="24"/>
  <c r="Z36" i="24"/>
  <c r="Z35" i="24"/>
  <c r="Z34" i="24"/>
  <c r="Z33" i="24"/>
  <c r="Z32" i="24"/>
  <c r="Z31" i="24"/>
  <c r="Z30" i="24"/>
  <c r="Z29" i="24"/>
  <c r="Z28" i="24"/>
  <c r="Z27" i="24"/>
  <c r="Z26" i="24"/>
  <c r="Z25" i="24"/>
  <c r="Z24" i="24"/>
  <c r="B22" i="24"/>
  <c r="B21" i="24"/>
  <c r="B20" i="24"/>
  <c r="B19" i="24"/>
  <c r="B18" i="24"/>
  <c r="B17" i="24"/>
  <c r="B16" i="24"/>
  <c r="B15" i="24"/>
  <c r="B14" i="24"/>
  <c r="B13" i="24"/>
  <c r="B12" i="24"/>
  <c r="B11" i="24"/>
  <c r="B10" i="24"/>
  <c r="Z120" i="23"/>
  <c r="BA95" i="23" s="1"/>
  <c r="Y120" i="23"/>
  <c r="AZ95" i="23" s="1"/>
  <c r="X120" i="23"/>
  <c r="AY95" i="23" s="1"/>
  <c r="W120" i="23"/>
  <c r="AX95" i="23" s="1"/>
  <c r="V120" i="23"/>
  <c r="AW95" i="23" s="1"/>
  <c r="U120" i="23"/>
  <c r="AV95" i="23" s="1"/>
  <c r="T120" i="23"/>
  <c r="AU95" i="23" s="1"/>
  <c r="S120" i="23"/>
  <c r="AT95" i="23" s="1"/>
  <c r="R120" i="23"/>
  <c r="AS95" i="23" s="1"/>
  <c r="Q120" i="23"/>
  <c r="AR95" i="23" s="1"/>
  <c r="P120" i="23"/>
  <c r="AQ95" i="23" s="1"/>
  <c r="O120" i="23"/>
  <c r="AP95" i="23" s="1"/>
  <c r="N120" i="23"/>
  <c r="AO95" i="23" s="1"/>
  <c r="M120" i="23"/>
  <c r="AN95" i="23" s="1"/>
  <c r="L120" i="23"/>
  <c r="AM95" i="23" s="1"/>
  <c r="K120" i="23"/>
  <c r="AL95" i="23" s="1"/>
  <c r="J120" i="23"/>
  <c r="AK95" i="23" s="1"/>
  <c r="I120" i="23"/>
  <c r="AJ95" i="23" s="1"/>
  <c r="H120" i="23"/>
  <c r="AI95" i="23" s="1"/>
  <c r="G120" i="23"/>
  <c r="AH95" i="23" s="1"/>
  <c r="F120" i="23"/>
  <c r="AG95" i="23" s="1"/>
  <c r="E120" i="23"/>
  <c r="AF95" i="23" s="1"/>
  <c r="D120" i="23"/>
  <c r="AE95" i="23" s="1"/>
  <c r="C120" i="23"/>
  <c r="AD95" i="23" s="1"/>
  <c r="B120" i="23"/>
  <c r="AC95" i="23" s="1"/>
  <c r="Z118" i="23"/>
  <c r="Y118" i="23"/>
  <c r="X118" i="23"/>
  <c r="W118" i="23"/>
  <c r="V118" i="23"/>
  <c r="V423" i="23" s="1"/>
  <c r="U118" i="23"/>
  <c r="U423" i="23" s="1"/>
  <c r="T118" i="23"/>
  <c r="T423" i="23" s="1"/>
  <c r="S118" i="23"/>
  <c r="R118" i="23"/>
  <c r="Q118" i="23"/>
  <c r="P118" i="23"/>
  <c r="O118" i="23"/>
  <c r="N118" i="23"/>
  <c r="N423" i="23" s="1"/>
  <c r="M118" i="23"/>
  <c r="L118" i="23"/>
  <c r="L423" i="23" s="1"/>
  <c r="K118" i="23"/>
  <c r="J118" i="23"/>
  <c r="I118" i="23"/>
  <c r="H118" i="23"/>
  <c r="G118" i="23"/>
  <c r="F118" i="23"/>
  <c r="F423" i="23" s="1"/>
  <c r="E118" i="23"/>
  <c r="E423" i="23" s="1"/>
  <c r="D118" i="23"/>
  <c r="D423" i="23" s="1"/>
  <c r="C118" i="23"/>
  <c r="B118" i="23"/>
  <c r="Z117" i="23"/>
  <c r="BA94" i="23" s="1"/>
  <c r="Y117" i="23"/>
  <c r="X117" i="23"/>
  <c r="W117" i="23"/>
  <c r="V117" i="23"/>
  <c r="U117" i="23"/>
  <c r="T117" i="23"/>
  <c r="AU94" i="23" s="1"/>
  <c r="S117" i="23"/>
  <c r="R117" i="23"/>
  <c r="Q117" i="23"/>
  <c r="AR94" i="23" s="1"/>
  <c r="P117" i="23"/>
  <c r="O117" i="23"/>
  <c r="N117" i="23"/>
  <c r="AO94" i="23" s="1"/>
  <c r="M117" i="23"/>
  <c r="L117" i="23"/>
  <c r="K117" i="23"/>
  <c r="AL94" i="23" s="1"/>
  <c r="J117" i="23"/>
  <c r="I117" i="23"/>
  <c r="H117" i="23"/>
  <c r="AI94" i="23" s="1"/>
  <c r="G117" i="23"/>
  <c r="F117" i="23"/>
  <c r="E117" i="23"/>
  <c r="D117" i="23"/>
  <c r="C117" i="23"/>
  <c r="B117" i="23"/>
  <c r="AC94" i="23" s="1"/>
  <c r="Z116" i="23"/>
  <c r="Z115" i="23"/>
  <c r="Z114" i="23"/>
  <c r="Z113" i="23"/>
  <c r="Z112" i="23"/>
  <c r="Z111" i="23"/>
  <c r="Z110" i="23"/>
  <c r="Z109" i="23"/>
  <c r="Z108" i="23"/>
  <c r="Z107" i="23"/>
  <c r="Z106" i="23"/>
  <c r="Z105" i="23"/>
  <c r="Z104" i="23"/>
  <c r="B102" i="23"/>
  <c r="B101" i="23"/>
  <c r="B100" i="23"/>
  <c r="B99" i="23"/>
  <c r="B98" i="23"/>
  <c r="B97" i="23"/>
  <c r="B96" i="23"/>
  <c r="B95" i="23"/>
  <c r="B94" i="23"/>
  <c r="B93" i="23"/>
  <c r="B92" i="23"/>
  <c r="B91" i="23"/>
  <c r="B90" i="23"/>
  <c r="Z80" i="23"/>
  <c r="BA55" i="23" s="1"/>
  <c r="Y80" i="23"/>
  <c r="AZ55" i="23" s="1"/>
  <c r="X80" i="23"/>
  <c r="AY55" i="23" s="1"/>
  <c r="W80" i="23"/>
  <c r="AX55" i="23" s="1"/>
  <c r="V80" i="23"/>
  <c r="AW55" i="23" s="1"/>
  <c r="U80" i="23"/>
  <c r="AV55" i="23" s="1"/>
  <c r="T80" i="23"/>
  <c r="AU55" i="23" s="1"/>
  <c r="S80" i="23"/>
  <c r="AT55" i="23" s="1"/>
  <c r="R80" i="23"/>
  <c r="AS55" i="23" s="1"/>
  <c r="Q80" i="23"/>
  <c r="AR55" i="23" s="1"/>
  <c r="P80" i="23"/>
  <c r="AQ55" i="23" s="1"/>
  <c r="O80" i="23"/>
  <c r="AP55" i="23" s="1"/>
  <c r="N80" i="23"/>
  <c r="AO55" i="23" s="1"/>
  <c r="M80" i="23"/>
  <c r="AN55" i="23" s="1"/>
  <c r="L80" i="23"/>
  <c r="AM55" i="23" s="1"/>
  <c r="K80" i="23"/>
  <c r="AL55" i="23" s="1"/>
  <c r="J80" i="23"/>
  <c r="AK55" i="23" s="1"/>
  <c r="I80" i="23"/>
  <c r="AJ55" i="23" s="1"/>
  <c r="H80" i="23"/>
  <c r="AI55" i="23" s="1"/>
  <c r="G80" i="23"/>
  <c r="AH55" i="23" s="1"/>
  <c r="F80" i="23"/>
  <c r="AG55" i="23" s="1"/>
  <c r="E80" i="23"/>
  <c r="AF55" i="23" s="1"/>
  <c r="D80" i="23"/>
  <c r="AE55" i="23" s="1"/>
  <c r="C80" i="23"/>
  <c r="AD55" i="23" s="1"/>
  <c r="B80" i="23"/>
  <c r="AC55" i="23" s="1"/>
  <c r="Z78" i="23"/>
  <c r="Z362" i="23" s="1"/>
  <c r="BA341" i="23" s="1"/>
  <c r="Y78" i="23"/>
  <c r="X78" i="23"/>
  <c r="X362" i="23" s="1"/>
  <c r="W78" i="23"/>
  <c r="V78" i="23"/>
  <c r="U78" i="23"/>
  <c r="T78" i="23"/>
  <c r="S78" i="23"/>
  <c r="R78" i="23"/>
  <c r="Q78" i="23"/>
  <c r="P78" i="23"/>
  <c r="P362" i="23" s="1"/>
  <c r="O78" i="23"/>
  <c r="N78" i="23"/>
  <c r="M78" i="23"/>
  <c r="L78" i="23"/>
  <c r="K78" i="23"/>
  <c r="K362" i="23" s="1"/>
  <c r="J78" i="23"/>
  <c r="I78" i="23"/>
  <c r="H78" i="23"/>
  <c r="H362" i="23" s="1"/>
  <c r="G78" i="23"/>
  <c r="F78" i="23"/>
  <c r="E78" i="23"/>
  <c r="D78" i="23"/>
  <c r="C78" i="23"/>
  <c r="B78" i="23"/>
  <c r="B362" i="23" s="1"/>
  <c r="AC341" i="23" s="1"/>
  <c r="Z77" i="23"/>
  <c r="BA54" i="23" s="1"/>
  <c r="Y77" i="23"/>
  <c r="X77" i="23"/>
  <c r="W77" i="23"/>
  <c r="AX54" i="23" s="1"/>
  <c r="V77" i="23"/>
  <c r="U77" i="23"/>
  <c r="T77" i="23"/>
  <c r="S77" i="23"/>
  <c r="R77" i="23"/>
  <c r="Q77" i="23"/>
  <c r="P77" i="23"/>
  <c r="O77" i="23"/>
  <c r="N77" i="23"/>
  <c r="AO54" i="23" s="1"/>
  <c r="M77" i="23"/>
  <c r="L77" i="23"/>
  <c r="K77" i="23"/>
  <c r="J77" i="23"/>
  <c r="I77" i="23"/>
  <c r="H77" i="23"/>
  <c r="AI54" i="23" s="1"/>
  <c r="G77" i="23"/>
  <c r="F77" i="23"/>
  <c r="E77" i="23"/>
  <c r="D77" i="23"/>
  <c r="C77" i="23"/>
  <c r="B77" i="23"/>
  <c r="AC54" i="23" s="1"/>
  <c r="Z76" i="23"/>
  <c r="Z75" i="23"/>
  <c r="Z74" i="23"/>
  <c r="Z73" i="23"/>
  <c r="Z72" i="23"/>
  <c r="Z71" i="23"/>
  <c r="Z70" i="23"/>
  <c r="Z69" i="23"/>
  <c r="Z68" i="23"/>
  <c r="Z67" i="23"/>
  <c r="Z66" i="23"/>
  <c r="Z65" i="23"/>
  <c r="Z64" i="23"/>
  <c r="B62" i="23"/>
  <c r="B61" i="23"/>
  <c r="B60" i="23"/>
  <c r="B59" i="23"/>
  <c r="B58" i="23"/>
  <c r="B57" i="23"/>
  <c r="B56" i="23"/>
  <c r="B55" i="23"/>
  <c r="B54" i="23"/>
  <c r="B53" i="23"/>
  <c r="B52" i="23"/>
  <c r="B51" i="23"/>
  <c r="B50" i="23"/>
  <c r="Z40" i="23"/>
  <c r="BA15" i="23" s="1"/>
  <c r="Y40" i="23"/>
  <c r="AZ15" i="23" s="1"/>
  <c r="X40" i="23"/>
  <c r="AY15" i="23" s="1"/>
  <c r="W40" i="23"/>
  <c r="AX15" i="23" s="1"/>
  <c r="V40" i="23"/>
  <c r="AW15" i="23" s="1"/>
  <c r="U40" i="23"/>
  <c r="AV15" i="23" s="1"/>
  <c r="T40" i="23"/>
  <c r="AU15" i="23" s="1"/>
  <c r="S40" i="23"/>
  <c r="AT15" i="23" s="1"/>
  <c r="R40" i="23"/>
  <c r="AS15" i="23" s="1"/>
  <c r="Q40" i="23"/>
  <c r="AR15" i="23" s="1"/>
  <c r="P40" i="23"/>
  <c r="AQ15" i="23" s="1"/>
  <c r="O40" i="23"/>
  <c r="AP15" i="23" s="1"/>
  <c r="N40" i="23"/>
  <c r="AO15" i="23" s="1"/>
  <c r="M40" i="23"/>
  <c r="AN15" i="23" s="1"/>
  <c r="L40" i="23"/>
  <c r="AM15" i="23" s="1"/>
  <c r="K40" i="23"/>
  <c r="AL15" i="23" s="1"/>
  <c r="J40" i="23"/>
  <c r="AK15" i="23" s="1"/>
  <c r="I40" i="23"/>
  <c r="AJ15" i="23" s="1"/>
  <c r="H40" i="23"/>
  <c r="AI15" i="23" s="1"/>
  <c r="G40" i="23"/>
  <c r="AH15" i="23" s="1"/>
  <c r="F40" i="23"/>
  <c r="AG15" i="23" s="1"/>
  <c r="E40" i="23"/>
  <c r="AF15" i="23" s="1"/>
  <c r="D40" i="23"/>
  <c r="AE15" i="23" s="1"/>
  <c r="C40" i="23"/>
  <c r="AD15" i="23" s="1"/>
  <c r="B40" i="23"/>
  <c r="AC15" i="23" s="1"/>
  <c r="Z38" i="23"/>
  <c r="Y38" i="23"/>
  <c r="X38" i="23"/>
  <c r="W38" i="23"/>
  <c r="V38" i="23"/>
  <c r="U38" i="23"/>
  <c r="T38" i="23"/>
  <c r="S38" i="23"/>
  <c r="R38" i="23"/>
  <c r="R302" i="23" s="1"/>
  <c r="Q38" i="23"/>
  <c r="P38" i="23"/>
  <c r="O38" i="23"/>
  <c r="N38" i="23"/>
  <c r="M38" i="23"/>
  <c r="L38" i="23"/>
  <c r="K38" i="23"/>
  <c r="J38" i="23"/>
  <c r="J302" i="23" s="1"/>
  <c r="I38" i="23"/>
  <c r="H38" i="23"/>
  <c r="H302" i="23" s="1"/>
  <c r="G38" i="23"/>
  <c r="G302" i="23" s="1"/>
  <c r="F38" i="23"/>
  <c r="E38" i="23"/>
  <c r="D38" i="23"/>
  <c r="C38" i="23"/>
  <c r="B38" i="23"/>
  <c r="Z37" i="23"/>
  <c r="BA14" i="23" s="1"/>
  <c r="Y37" i="23"/>
  <c r="X37" i="23"/>
  <c r="W37" i="23"/>
  <c r="AX14" i="23" s="1"/>
  <c r="V37" i="23"/>
  <c r="U37" i="23"/>
  <c r="T37" i="23"/>
  <c r="AU14" i="23" s="1"/>
  <c r="S37" i="23"/>
  <c r="R37" i="23"/>
  <c r="Q37" i="23"/>
  <c r="AR14" i="23" s="1"/>
  <c r="P37" i="23"/>
  <c r="O37" i="23"/>
  <c r="N37" i="23"/>
  <c r="AO14" i="23" s="1"/>
  <c r="M37" i="23"/>
  <c r="L37" i="23"/>
  <c r="K37" i="23"/>
  <c r="J37" i="23"/>
  <c r="I37" i="23"/>
  <c r="H37" i="23"/>
  <c r="AI14" i="23" s="1"/>
  <c r="G37" i="23"/>
  <c r="F37" i="23"/>
  <c r="E37" i="23"/>
  <c r="D37" i="23"/>
  <c r="C37" i="23"/>
  <c r="B37" i="23"/>
  <c r="AC14" i="23" s="1"/>
  <c r="Z36" i="23"/>
  <c r="Z300" i="23" s="1"/>
  <c r="Z35" i="23"/>
  <c r="Z34" i="23"/>
  <c r="Z33" i="23"/>
  <c r="Z32" i="23"/>
  <c r="Z31" i="23"/>
  <c r="Z30" i="23"/>
  <c r="Z29" i="23"/>
  <c r="Z28" i="23"/>
  <c r="Z27" i="23"/>
  <c r="Z26" i="23"/>
  <c r="Z25" i="23"/>
  <c r="Z24" i="23"/>
  <c r="B22" i="23"/>
  <c r="B21" i="23"/>
  <c r="B20" i="23"/>
  <c r="B19" i="23"/>
  <c r="B18" i="23"/>
  <c r="B17" i="23"/>
  <c r="B16" i="23"/>
  <c r="B15" i="23"/>
  <c r="B14" i="23"/>
  <c r="B13" i="23"/>
  <c r="B12" i="23"/>
  <c r="B11" i="23"/>
  <c r="B10" i="23"/>
  <c r="Z120" i="22"/>
  <c r="BA95" i="22" s="1"/>
  <c r="Y120" i="22"/>
  <c r="AZ95" i="22" s="1"/>
  <c r="X120" i="22"/>
  <c r="AY95" i="22" s="1"/>
  <c r="W120" i="22"/>
  <c r="AX95" i="22" s="1"/>
  <c r="V120" i="22"/>
  <c r="AW95" i="22" s="1"/>
  <c r="U120" i="22"/>
  <c r="AV95" i="22" s="1"/>
  <c r="T120" i="22"/>
  <c r="AU95" i="22" s="1"/>
  <c r="S120" i="22"/>
  <c r="AT95" i="22" s="1"/>
  <c r="R120" i="22"/>
  <c r="AS95" i="22" s="1"/>
  <c r="Q120" i="22"/>
  <c r="AR95" i="22" s="1"/>
  <c r="P120" i="22"/>
  <c r="AQ95" i="22" s="1"/>
  <c r="O120" i="22"/>
  <c r="AP95" i="22" s="1"/>
  <c r="N120" i="22"/>
  <c r="AO95" i="22" s="1"/>
  <c r="M120" i="22"/>
  <c r="AN95" i="22" s="1"/>
  <c r="L120" i="22"/>
  <c r="AM95" i="22" s="1"/>
  <c r="K120" i="22"/>
  <c r="AL95" i="22" s="1"/>
  <c r="J120" i="22"/>
  <c r="AK95" i="22" s="1"/>
  <c r="I120" i="22"/>
  <c r="AJ95" i="22" s="1"/>
  <c r="H120" i="22"/>
  <c r="AI95" i="22" s="1"/>
  <c r="G120" i="22"/>
  <c r="AH95" i="22" s="1"/>
  <c r="F120" i="22"/>
  <c r="AG95" i="22" s="1"/>
  <c r="E120" i="22"/>
  <c r="AF95" i="22" s="1"/>
  <c r="D120" i="22"/>
  <c r="AE95" i="22" s="1"/>
  <c r="C120" i="22"/>
  <c r="AD95" i="22" s="1"/>
  <c r="B120" i="22"/>
  <c r="AC95" i="22" s="1"/>
  <c r="Z118" i="22"/>
  <c r="Y118" i="22"/>
  <c r="X118" i="22"/>
  <c r="W118" i="22"/>
  <c r="V118" i="22"/>
  <c r="U118" i="22"/>
  <c r="T118" i="22"/>
  <c r="S118" i="22"/>
  <c r="S423" i="22" s="1"/>
  <c r="R118" i="22"/>
  <c r="Q118" i="22"/>
  <c r="P118" i="22"/>
  <c r="O118" i="22"/>
  <c r="N118" i="22"/>
  <c r="M118" i="22"/>
  <c r="L118" i="22"/>
  <c r="L423" i="22" s="1"/>
  <c r="K118" i="22"/>
  <c r="K423" i="22" s="1"/>
  <c r="J118" i="22"/>
  <c r="I118" i="22"/>
  <c r="H118" i="22"/>
  <c r="G118" i="22"/>
  <c r="F118" i="22"/>
  <c r="E118" i="22"/>
  <c r="D118" i="22"/>
  <c r="C118" i="22"/>
  <c r="C423" i="22" s="1"/>
  <c r="B118" i="22"/>
  <c r="Z117" i="22"/>
  <c r="BA94" i="22" s="1"/>
  <c r="Y117" i="22"/>
  <c r="X117" i="22"/>
  <c r="W117" i="22"/>
  <c r="AX94" i="22" s="1"/>
  <c r="V117" i="22"/>
  <c r="U117" i="22"/>
  <c r="T117" i="22"/>
  <c r="S117" i="22"/>
  <c r="R117" i="22"/>
  <c r="Q117" i="22"/>
  <c r="AR94" i="22" s="1"/>
  <c r="P117" i="22"/>
  <c r="O117" i="22"/>
  <c r="N117" i="22"/>
  <c r="AO94" i="22" s="1"/>
  <c r="M117" i="22"/>
  <c r="L117" i="22"/>
  <c r="K117" i="22"/>
  <c r="AL94" i="22" s="1"/>
  <c r="J117" i="22"/>
  <c r="I117" i="22"/>
  <c r="H117" i="22"/>
  <c r="AI94" i="22" s="1"/>
  <c r="G117" i="22"/>
  <c r="F117" i="22"/>
  <c r="E117" i="22"/>
  <c r="D117" i="22"/>
  <c r="C117" i="22"/>
  <c r="B117" i="22"/>
  <c r="AC94" i="22" s="1"/>
  <c r="Z116" i="22"/>
  <c r="Z115" i="22"/>
  <c r="Z114" i="22"/>
  <c r="Z113" i="22"/>
  <c r="Z112" i="22"/>
  <c r="Z111" i="22"/>
  <c r="Z110" i="22"/>
  <c r="Z109" i="22"/>
  <c r="Z108" i="22"/>
  <c r="Z107" i="22"/>
  <c r="Z106" i="22"/>
  <c r="Z105" i="22"/>
  <c r="Z104" i="22"/>
  <c r="B102" i="22"/>
  <c r="AC91" i="22" s="1"/>
  <c r="D436" i="22" s="1"/>
  <c r="D450" i="22" s="1"/>
  <c r="D468" i="22" s="1"/>
  <c r="D36" i="39" s="1"/>
  <c r="B101" i="22"/>
  <c r="B100" i="22"/>
  <c r="B99" i="22"/>
  <c r="B98" i="22"/>
  <c r="B97" i="22"/>
  <c r="B96" i="22"/>
  <c r="B95" i="22"/>
  <c r="B94" i="22"/>
  <c r="B93" i="22"/>
  <c r="B92" i="22"/>
  <c r="B91" i="22"/>
  <c r="B90" i="22"/>
  <c r="Z80" i="22"/>
  <c r="BA55" i="22" s="1"/>
  <c r="Y80" i="22"/>
  <c r="AZ55" i="22" s="1"/>
  <c r="X80" i="22"/>
  <c r="AY55" i="22" s="1"/>
  <c r="W80" i="22"/>
  <c r="AX55" i="22" s="1"/>
  <c r="V80" i="22"/>
  <c r="AW55" i="22" s="1"/>
  <c r="U80" i="22"/>
  <c r="AV55" i="22" s="1"/>
  <c r="T80" i="22"/>
  <c r="AU55" i="22" s="1"/>
  <c r="S80" i="22"/>
  <c r="AT55" i="22" s="1"/>
  <c r="R80" i="22"/>
  <c r="AS55" i="22" s="1"/>
  <c r="Q80" i="22"/>
  <c r="AR55" i="22" s="1"/>
  <c r="P80" i="22"/>
  <c r="AQ55" i="22" s="1"/>
  <c r="O80" i="22"/>
  <c r="AP55" i="22" s="1"/>
  <c r="N80" i="22"/>
  <c r="AO55" i="22" s="1"/>
  <c r="M80" i="22"/>
  <c r="AN55" i="22" s="1"/>
  <c r="L80" i="22"/>
  <c r="AM55" i="22" s="1"/>
  <c r="K80" i="22"/>
  <c r="AL55" i="22" s="1"/>
  <c r="J80" i="22"/>
  <c r="AK55" i="22" s="1"/>
  <c r="I80" i="22"/>
  <c r="AJ55" i="22" s="1"/>
  <c r="H80" i="22"/>
  <c r="AI55" i="22" s="1"/>
  <c r="G80" i="22"/>
  <c r="AH55" i="22" s="1"/>
  <c r="F80" i="22"/>
  <c r="AG55" i="22" s="1"/>
  <c r="E80" i="22"/>
  <c r="AF55" i="22" s="1"/>
  <c r="D80" i="22"/>
  <c r="AE55" i="22" s="1"/>
  <c r="C80" i="22"/>
  <c r="AD55" i="22" s="1"/>
  <c r="B80" i="22"/>
  <c r="AC55" i="22" s="1"/>
  <c r="Z78" i="22"/>
  <c r="Y78" i="22"/>
  <c r="X78" i="22"/>
  <c r="W78" i="22"/>
  <c r="V78" i="22"/>
  <c r="U78" i="22"/>
  <c r="T78" i="22"/>
  <c r="S78" i="22"/>
  <c r="R78" i="22"/>
  <c r="Q78" i="22"/>
  <c r="P78" i="22"/>
  <c r="O78" i="22"/>
  <c r="N78" i="22"/>
  <c r="M78" i="22"/>
  <c r="L78" i="22"/>
  <c r="K78" i="22"/>
  <c r="J78" i="22"/>
  <c r="I78" i="22"/>
  <c r="H78" i="22"/>
  <c r="H362" i="22" s="1"/>
  <c r="G78" i="22"/>
  <c r="F78" i="22"/>
  <c r="E78" i="22"/>
  <c r="D78" i="22"/>
  <c r="C78" i="22"/>
  <c r="AC56" i="22"/>
  <c r="Z77" i="22"/>
  <c r="BA54" i="22" s="1"/>
  <c r="Y77" i="22"/>
  <c r="X77" i="22"/>
  <c r="W77" i="22"/>
  <c r="AX54" i="22" s="1"/>
  <c r="V77" i="22"/>
  <c r="U77" i="22"/>
  <c r="T77" i="22"/>
  <c r="AU54" i="22" s="1"/>
  <c r="S77" i="22"/>
  <c r="R77" i="22"/>
  <c r="Q77" i="22"/>
  <c r="P77" i="22"/>
  <c r="O77" i="22"/>
  <c r="N77" i="22"/>
  <c r="M77" i="22"/>
  <c r="L77" i="22"/>
  <c r="K77" i="22"/>
  <c r="AL54" i="22" s="1"/>
  <c r="J77" i="22"/>
  <c r="I77" i="22"/>
  <c r="H77" i="22"/>
  <c r="G77" i="22"/>
  <c r="F77" i="22"/>
  <c r="E77" i="22"/>
  <c r="AF54" i="22" s="1"/>
  <c r="D77" i="22"/>
  <c r="C77" i="22"/>
  <c r="B77" i="22"/>
  <c r="Z76" i="22"/>
  <c r="Z360" i="22" s="1"/>
  <c r="Z75" i="22"/>
  <c r="Z74" i="22"/>
  <c r="Z73" i="22"/>
  <c r="Z72" i="22"/>
  <c r="Z71" i="22"/>
  <c r="Z70" i="22"/>
  <c r="Z69" i="22"/>
  <c r="Z68" i="22"/>
  <c r="Z67" i="22"/>
  <c r="Z66" i="22"/>
  <c r="Z65" i="22"/>
  <c r="Z64" i="22"/>
  <c r="AC51" i="22"/>
  <c r="C436" i="22" s="1"/>
  <c r="C450" i="22" s="1"/>
  <c r="C468" i="22" s="1"/>
  <c r="D35" i="39" s="1"/>
  <c r="B61" i="22"/>
  <c r="B60" i="22"/>
  <c r="B59" i="22"/>
  <c r="B58" i="22"/>
  <c r="B57" i="22"/>
  <c r="B56" i="22"/>
  <c r="B55" i="22"/>
  <c r="B54" i="22"/>
  <c r="B53" i="22"/>
  <c r="B52" i="22"/>
  <c r="B51" i="22"/>
  <c r="B50" i="22"/>
  <c r="Z40" i="22"/>
  <c r="BA15" i="22" s="1"/>
  <c r="Y40" i="22"/>
  <c r="AZ15" i="22" s="1"/>
  <c r="X40" i="22"/>
  <c r="AY15" i="22" s="1"/>
  <c r="W40" i="22"/>
  <c r="AX15" i="22" s="1"/>
  <c r="V40" i="22"/>
  <c r="AW15" i="22" s="1"/>
  <c r="U40" i="22"/>
  <c r="AV15" i="22" s="1"/>
  <c r="T40" i="22"/>
  <c r="AU15" i="22" s="1"/>
  <c r="S40" i="22"/>
  <c r="AT15" i="22" s="1"/>
  <c r="R40" i="22"/>
  <c r="AS15" i="22" s="1"/>
  <c r="Q40" i="22"/>
  <c r="AR15" i="22" s="1"/>
  <c r="P40" i="22"/>
  <c r="AQ15" i="22" s="1"/>
  <c r="O40" i="22"/>
  <c r="AP15" i="22" s="1"/>
  <c r="N40" i="22"/>
  <c r="AO15" i="22" s="1"/>
  <c r="M40" i="22"/>
  <c r="AN15" i="22" s="1"/>
  <c r="L40" i="22"/>
  <c r="AM15" i="22" s="1"/>
  <c r="K40" i="22"/>
  <c r="AL15" i="22" s="1"/>
  <c r="J40" i="22"/>
  <c r="AK15" i="22" s="1"/>
  <c r="I40" i="22"/>
  <c r="AJ15" i="22" s="1"/>
  <c r="H40" i="22"/>
  <c r="AI15" i="22" s="1"/>
  <c r="G40" i="22"/>
  <c r="AH15" i="22" s="1"/>
  <c r="F40" i="22"/>
  <c r="AG15" i="22" s="1"/>
  <c r="E40" i="22"/>
  <c r="AF15" i="22" s="1"/>
  <c r="D40" i="22"/>
  <c r="AE15" i="22" s="1"/>
  <c r="C40" i="22"/>
  <c r="AD15" i="22" s="1"/>
  <c r="B40" i="22"/>
  <c r="AC15" i="22" s="1"/>
  <c r="B441" i="22" s="1"/>
  <c r="B455" i="22" s="1"/>
  <c r="B473" i="22" s="1"/>
  <c r="I34" i="39" s="1"/>
  <c r="Z38" i="22"/>
  <c r="Y38" i="22"/>
  <c r="X38" i="22"/>
  <c r="W38" i="22"/>
  <c r="V38" i="22"/>
  <c r="V302" i="22" s="1"/>
  <c r="U38" i="22"/>
  <c r="T38" i="22"/>
  <c r="S38" i="22"/>
  <c r="R38" i="22"/>
  <c r="Q38" i="22"/>
  <c r="P38" i="22"/>
  <c r="O38" i="22"/>
  <c r="N38" i="22"/>
  <c r="M38" i="22"/>
  <c r="M302" i="22" s="1"/>
  <c r="L38" i="22"/>
  <c r="K38" i="22"/>
  <c r="J38" i="22"/>
  <c r="J302" i="22" s="1"/>
  <c r="I38" i="22"/>
  <c r="H38" i="22"/>
  <c r="G38" i="22"/>
  <c r="F38" i="22"/>
  <c r="F302" i="22" s="1"/>
  <c r="E38" i="22"/>
  <c r="D38" i="22"/>
  <c r="C38" i="22"/>
  <c r="B38" i="22"/>
  <c r="Z37" i="22"/>
  <c r="BA14" i="22" s="1"/>
  <c r="Y37" i="22"/>
  <c r="X37" i="22"/>
  <c r="W37" i="22"/>
  <c r="V37" i="22"/>
  <c r="U37" i="22"/>
  <c r="T37" i="22"/>
  <c r="AU14" i="22" s="1"/>
  <c r="S37" i="22"/>
  <c r="R37" i="22"/>
  <c r="Q37" i="22"/>
  <c r="AR14" i="22" s="1"/>
  <c r="P37" i="22"/>
  <c r="O37" i="22"/>
  <c r="N37" i="22"/>
  <c r="AO14" i="22" s="1"/>
  <c r="M37" i="22"/>
  <c r="L37" i="22"/>
  <c r="K37" i="22"/>
  <c r="J37" i="22"/>
  <c r="I37" i="22"/>
  <c r="H37" i="22"/>
  <c r="G37" i="22"/>
  <c r="F37" i="22"/>
  <c r="E37" i="22"/>
  <c r="AF14" i="22" s="1"/>
  <c r="D37" i="22"/>
  <c r="C37" i="22"/>
  <c r="B37" i="22"/>
  <c r="AC14" i="22" s="1"/>
  <c r="Z36" i="22"/>
  <c r="Z35" i="22"/>
  <c r="Z34" i="22"/>
  <c r="Z33" i="22"/>
  <c r="Z32" i="22"/>
  <c r="Z31" i="22"/>
  <c r="Z30" i="22"/>
  <c r="Z29" i="22"/>
  <c r="Z28" i="22"/>
  <c r="Z27" i="22"/>
  <c r="Z26" i="22"/>
  <c r="Z25" i="22"/>
  <c r="Z24" i="22"/>
  <c r="B17" i="22"/>
  <c r="B16" i="22"/>
  <c r="B15" i="22"/>
  <c r="B14" i="22"/>
  <c r="B13" i="22"/>
  <c r="B12" i="22"/>
  <c r="B11" i="22"/>
  <c r="B10" i="22"/>
  <c r="B22" i="22"/>
  <c r="B21" i="22"/>
  <c r="B20" i="22"/>
  <c r="B19" i="22"/>
  <c r="B18" i="22"/>
  <c r="AC86" i="28"/>
  <c r="AC46" i="28"/>
  <c r="AC6" i="28"/>
  <c r="AI94" i="24"/>
  <c r="AC86" i="24"/>
  <c r="AC46" i="24"/>
  <c r="AC14" i="24"/>
  <c r="AC6" i="24"/>
  <c r="AS17" i="24" s="1"/>
  <c r="AX96" i="27"/>
  <c r="AI94" i="27"/>
  <c r="AH96" i="27"/>
  <c r="AC86" i="27"/>
  <c r="AR16" i="27"/>
  <c r="BA14" i="27"/>
  <c r="AC14" i="27"/>
  <c r="AC6" i="27"/>
  <c r="AC86" i="26"/>
  <c r="AC56" i="26"/>
  <c r="AC46" i="26"/>
  <c r="AC6" i="26"/>
  <c r="AW96" i="23"/>
  <c r="AV96" i="23"/>
  <c r="AO96" i="23"/>
  <c r="AG96" i="23"/>
  <c r="AC86" i="23"/>
  <c r="AC56" i="23"/>
  <c r="AL54" i="23"/>
  <c r="AL56" i="23"/>
  <c r="AC46" i="23"/>
  <c r="AI16" i="23"/>
  <c r="BA13" i="23"/>
  <c r="B438" i="23" s="1"/>
  <c r="B452" i="23" s="1"/>
  <c r="B470" i="23" s="1"/>
  <c r="F20" i="39" s="1"/>
  <c r="AC6" i="23"/>
  <c r="AM96" i="22"/>
  <c r="AC86" i="22"/>
  <c r="AI56" i="22"/>
  <c r="AR54" i="22"/>
  <c r="AC54" i="22"/>
  <c r="BA53" i="22"/>
  <c r="C438" i="22" s="1"/>
  <c r="C452" i="22" s="1"/>
  <c r="C470" i="22" s="1"/>
  <c r="F35" i="39" s="1"/>
  <c r="AC46" i="22"/>
  <c r="AN16" i="22"/>
  <c r="AC6" i="22"/>
  <c r="AH57" i="22" s="1"/>
  <c r="I194" i="43" l="1"/>
  <c r="W431" i="43" s="1"/>
  <c r="AG457" i="43" s="1"/>
  <c r="G256" i="43"/>
  <c r="AF429" i="43" s="1"/>
  <c r="G459" i="43" s="1"/>
  <c r="I269" i="43"/>
  <c r="Z431" i="43" s="1"/>
  <c r="AE458" i="43" s="1"/>
  <c r="AQ96" i="24"/>
  <c r="AH96" i="24"/>
  <c r="AU56" i="24"/>
  <c r="AI96" i="24"/>
  <c r="AP96" i="24"/>
  <c r="H182" i="42"/>
  <c r="U430" i="42" s="1"/>
  <c r="P457" i="42" s="1"/>
  <c r="H194" i="42"/>
  <c r="W430" i="42" s="1"/>
  <c r="U457" i="42" s="1"/>
  <c r="BA56" i="23"/>
  <c r="AH16" i="23"/>
  <c r="AF96" i="23"/>
  <c r="AG16" i="22"/>
  <c r="G269" i="43"/>
  <c r="Z429" i="43" s="1"/>
  <c r="G458" i="43" s="1"/>
  <c r="G194" i="43"/>
  <c r="W429" i="43" s="1"/>
  <c r="I457" i="43" s="1"/>
  <c r="I293" i="43"/>
  <c r="AB431" i="43" s="1"/>
  <c r="AI458" i="43" s="1"/>
  <c r="I281" i="43"/>
  <c r="AA431" i="43" s="1"/>
  <c r="AG458" i="43" s="1"/>
  <c r="F97" i="43"/>
  <c r="I444" i="32"/>
  <c r="K97" i="43" s="1"/>
  <c r="L97" i="43"/>
  <c r="I256" i="43"/>
  <c r="AF431" i="43" s="1"/>
  <c r="AE459" i="43" s="1"/>
  <c r="I170" i="43"/>
  <c r="V431" i="43" s="1"/>
  <c r="AE457" i="43" s="1"/>
  <c r="G170" i="43"/>
  <c r="V429" i="43" s="1"/>
  <c r="G457" i="43" s="1"/>
  <c r="B441" i="28"/>
  <c r="B455" i="28" s="1"/>
  <c r="B473" i="28" s="1"/>
  <c r="I6" i="40" s="1"/>
  <c r="AT16" i="28"/>
  <c r="S302" i="28"/>
  <c r="AW56" i="28"/>
  <c r="V362" i="28"/>
  <c r="AJ96" i="28"/>
  <c r="I423" i="28"/>
  <c r="AE16" i="28"/>
  <c r="D302" i="28"/>
  <c r="AM16" i="28"/>
  <c r="L302" i="28"/>
  <c r="AU16" i="28"/>
  <c r="T302" i="28"/>
  <c r="AH56" i="28"/>
  <c r="G362" i="28"/>
  <c r="AP56" i="28"/>
  <c r="O362" i="28"/>
  <c r="AX56" i="28"/>
  <c r="W362" i="28"/>
  <c r="AC96" i="28"/>
  <c r="B423" i="28"/>
  <c r="AC402" i="28" s="1"/>
  <c r="AK96" i="28"/>
  <c r="J423" i="28"/>
  <c r="AS96" i="28"/>
  <c r="R423" i="28"/>
  <c r="BA96" i="28"/>
  <c r="Z423" i="28"/>
  <c r="BA402" i="28" s="1"/>
  <c r="AC11" i="28"/>
  <c r="B436" i="28" s="1"/>
  <c r="B450" i="28" s="1"/>
  <c r="B468" i="28" s="1"/>
  <c r="D6" i="40" s="1"/>
  <c r="B286" i="28"/>
  <c r="AD16" i="28"/>
  <c r="C302" i="28"/>
  <c r="AZ96" i="28"/>
  <c r="Y423" i="28"/>
  <c r="AF16" i="28"/>
  <c r="E302" i="28"/>
  <c r="AN16" i="28"/>
  <c r="M302" i="28"/>
  <c r="AV16" i="28"/>
  <c r="U302" i="28"/>
  <c r="BA53" i="28"/>
  <c r="C438" i="28" s="1"/>
  <c r="C452" i="28" s="1"/>
  <c r="C470" i="28" s="1"/>
  <c r="F7" i="40" s="1"/>
  <c r="Z360" i="28"/>
  <c r="AI56" i="28"/>
  <c r="H362" i="28"/>
  <c r="AQ56" i="28"/>
  <c r="P362" i="28"/>
  <c r="AY56" i="28"/>
  <c r="X362" i="28"/>
  <c r="AC91" i="28"/>
  <c r="D436" i="28" s="1"/>
  <c r="D450" i="28" s="1"/>
  <c r="D468" i="28" s="1"/>
  <c r="D8" i="40" s="1"/>
  <c r="B407" i="28"/>
  <c r="AD96" i="28"/>
  <c r="C423" i="28"/>
  <c r="AL96" i="28"/>
  <c r="K423" i="28"/>
  <c r="AT96" i="28"/>
  <c r="S423" i="28"/>
  <c r="D441" i="28"/>
  <c r="D455" i="28" s="1"/>
  <c r="D473" i="28" s="1"/>
  <c r="I8" i="40" s="1"/>
  <c r="AL16" i="28"/>
  <c r="K302" i="28"/>
  <c r="AG56" i="28"/>
  <c r="F362" i="28"/>
  <c r="AG16" i="28"/>
  <c r="F302" i="28"/>
  <c r="AO16" i="28"/>
  <c r="N302" i="28"/>
  <c r="AW16" i="28"/>
  <c r="V302" i="28"/>
  <c r="I366" i="28"/>
  <c r="AJ341" i="28"/>
  <c r="AJ343" i="28" s="1"/>
  <c r="Q366" i="28"/>
  <c r="AR341" i="28"/>
  <c r="AR343" i="28" s="1"/>
  <c r="Y366" i="28"/>
  <c r="AZ341" i="28"/>
  <c r="AZ343" i="28" s="1"/>
  <c r="AE96" i="28"/>
  <c r="D423" i="28"/>
  <c r="AM96" i="28"/>
  <c r="L423" i="28"/>
  <c r="AU96" i="28"/>
  <c r="T423" i="28"/>
  <c r="AO56" i="28"/>
  <c r="N362" i="28"/>
  <c r="AR96" i="28"/>
  <c r="Q423" i="28"/>
  <c r="AH16" i="28"/>
  <c r="G302" i="28"/>
  <c r="AP16" i="28"/>
  <c r="O302" i="28"/>
  <c r="AX16" i="28"/>
  <c r="W302" i="28"/>
  <c r="AC56" i="28"/>
  <c r="B362" i="28"/>
  <c r="AC341" i="28" s="1"/>
  <c r="AK56" i="28"/>
  <c r="J362" i="28"/>
  <c r="AS56" i="28"/>
  <c r="R362" i="28"/>
  <c r="BA56" i="28"/>
  <c r="Z362" i="28"/>
  <c r="BA341" i="28" s="1"/>
  <c r="AF96" i="28"/>
  <c r="E423" i="28"/>
  <c r="AN96" i="28"/>
  <c r="M423" i="28"/>
  <c r="AV96" i="28"/>
  <c r="U423" i="28"/>
  <c r="AI16" i="28"/>
  <c r="H302" i="28"/>
  <c r="AY16" i="28"/>
  <c r="X302" i="28"/>
  <c r="AD56" i="28"/>
  <c r="C362" i="28"/>
  <c r="AL56" i="28"/>
  <c r="K362" i="28"/>
  <c r="AT56" i="28"/>
  <c r="S362" i="28"/>
  <c r="AG402" i="28"/>
  <c r="AG404" i="28" s="1"/>
  <c r="F427" i="28"/>
  <c r="AO96" i="28"/>
  <c r="N423" i="28"/>
  <c r="AW96" i="28"/>
  <c r="V423" i="28"/>
  <c r="BA13" i="28"/>
  <c r="B438" i="28" s="1"/>
  <c r="B452" i="28" s="1"/>
  <c r="B470" i="28" s="1"/>
  <c r="F6" i="40" s="1"/>
  <c r="Z300" i="28"/>
  <c r="AQ16" i="28"/>
  <c r="P302" i="28"/>
  <c r="AC51" i="28"/>
  <c r="C436" i="28" s="1"/>
  <c r="C450" i="28" s="1"/>
  <c r="C468" i="28" s="1"/>
  <c r="D7" i="40" s="1"/>
  <c r="B346" i="28"/>
  <c r="C441" i="28"/>
  <c r="C455" i="28" s="1"/>
  <c r="C473" i="28" s="1"/>
  <c r="I7" i="40" s="1"/>
  <c r="AJ16" i="28"/>
  <c r="I302" i="28"/>
  <c r="AR16" i="28"/>
  <c r="Q302" i="28"/>
  <c r="AZ16" i="28"/>
  <c r="Y302" i="28"/>
  <c r="AE56" i="28"/>
  <c r="D362" i="28"/>
  <c r="AM56" i="28"/>
  <c r="L362" i="28"/>
  <c r="AU56" i="28"/>
  <c r="T362" i="28"/>
  <c r="AH96" i="28"/>
  <c r="G423" i="28"/>
  <c r="AP96" i="28"/>
  <c r="O423" i="28"/>
  <c r="AX96" i="28"/>
  <c r="W423" i="28"/>
  <c r="AC16" i="28"/>
  <c r="B302" i="28"/>
  <c r="AC281" i="28" s="1"/>
  <c r="AK281" i="28"/>
  <c r="AK283" i="28" s="1"/>
  <c r="J306" i="28"/>
  <c r="AS281" i="28"/>
  <c r="AS283" i="28" s="1"/>
  <c r="R306" i="28"/>
  <c r="BA16" i="28"/>
  <c r="Z302" i="28"/>
  <c r="BA281" i="28" s="1"/>
  <c r="AF56" i="28"/>
  <c r="E362" i="28"/>
  <c r="AN56" i="28"/>
  <c r="M362" i="28"/>
  <c r="AV56" i="28"/>
  <c r="U362" i="28"/>
  <c r="BA93" i="28"/>
  <c r="D438" i="28" s="1"/>
  <c r="D452" i="28" s="1"/>
  <c r="D470" i="28" s="1"/>
  <c r="F8" i="40" s="1"/>
  <c r="Z421" i="28"/>
  <c r="AI96" i="28"/>
  <c r="H423" i="28"/>
  <c r="AQ96" i="28"/>
  <c r="P423" i="28"/>
  <c r="AY96" i="28"/>
  <c r="X423" i="28"/>
  <c r="AT16" i="27"/>
  <c r="S302" i="27"/>
  <c r="AJ16" i="27"/>
  <c r="I302" i="27"/>
  <c r="AR281" i="27"/>
  <c r="AR283" i="27" s="1"/>
  <c r="Q306" i="27"/>
  <c r="AZ16" i="27"/>
  <c r="Y302" i="27"/>
  <c r="AE341" i="27"/>
  <c r="AE343" i="27" s="1"/>
  <c r="D366" i="27"/>
  <c r="AM56" i="27"/>
  <c r="L362" i="27"/>
  <c r="AU56" i="27"/>
  <c r="T362" i="27"/>
  <c r="AH402" i="27"/>
  <c r="AH404" i="27" s="1"/>
  <c r="G427" i="27"/>
  <c r="AP96" i="27"/>
  <c r="O423" i="27"/>
  <c r="AX402" i="27"/>
  <c r="AX404" i="27" s="1"/>
  <c r="W427" i="27"/>
  <c r="AD16" i="27"/>
  <c r="C302" i="27"/>
  <c r="AZ96" i="27"/>
  <c r="Y423" i="27"/>
  <c r="AC16" i="27"/>
  <c r="B302" i="27"/>
  <c r="AC281" i="27" s="1"/>
  <c r="AK16" i="27"/>
  <c r="J302" i="27"/>
  <c r="AS16" i="27"/>
  <c r="R302" i="27"/>
  <c r="BA16" i="27"/>
  <c r="Z302" i="27"/>
  <c r="BA281" i="27" s="1"/>
  <c r="AF56" i="27"/>
  <c r="E362" i="27"/>
  <c r="AN56" i="27"/>
  <c r="M362" i="27"/>
  <c r="AV56" i="27"/>
  <c r="U362" i="27"/>
  <c r="BA93" i="27"/>
  <c r="D438" i="27" s="1"/>
  <c r="D452" i="27" s="1"/>
  <c r="D470" i="27" s="1"/>
  <c r="F22" i="40" s="1"/>
  <c r="Z421" i="27"/>
  <c r="AI96" i="27"/>
  <c r="H423" i="27"/>
  <c r="AQ96" i="27"/>
  <c r="P423" i="27"/>
  <c r="AY96" i="27"/>
  <c r="X423" i="27"/>
  <c r="AO56" i="27"/>
  <c r="N362" i="27"/>
  <c r="AE16" i="27"/>
  <c r="D302" i="27"/>
  <c r="AM16" i="27"/>
  <c r="L302" i="27"/>
  <c r="AU16" i="27"/>
  <c r="T302" i="27"/>
  <c r="AH341" i="27"/>
  <c r="AH343" i="27" s="1"/>
  <c r="G366" i="27"/>
  <c r="AP56" i="27"/>
  <c r="O362" i="27"/>
  <c r="AX341" i="27"/>
  <c r="AX343" i="27" s="1"/>
  <c r="W366" i="27"/>
  <c r="AC96" i="27"/>
  <c r="B423" i="27"/>
  <c r="AC402" i="27" s="1"/>
  <c r="AK96" i="27"/>
  <c r="J423" i="27"/>
  <c r="AS96" i="27"/>
  <c r="R423" i="27"/>
  <c r="BA96" i="27"/>
  <c r="Z423" i="27"/>
  <c r="BA402" i="27" s="1"/>
  <c r="AR96" i="27"/>
  <c r="Q423" i="27"/>
  <c r="AF16" i="27"/>
  <c r="E302" i="27"/>
  <c r="AN16" i="27"/>
  <c r="M302" i="27"/>
  <c r="AV16" i="27"/>
  <c r="U302" i="27"/>
  <c r="BA53" i="27"/>
  <c r="C438" i="27" s="1"/>
  <c r="C452" i="27" s="1"/>
  <c r="C470" i="27" s="1"/>
  <c r="F21" i="40" s="1"/>
  <c r="Z360" i="27"/>
  <c r="AI56" i="27"/>
  <c r="H362" i="27"/>
  <c r="AQ56" i="27"/>
  <c r="P362" i="27"/>
  <c r="AY341" i="27"/>
  <c r="AY343" i="27" s="1"/>
  <c r="X366" i="27"/>
  <c r="AC91" i="27"/>
  <c r="D436" i="27" s="1"/>
  <c r="D450" i="27" s="1"/>
  <c r="D468" i="27" s="1"/>
  <c r="D22" i="40" s="1"/>
  <c r="B407" i="27"/>
  <c r="AD96" i="27"/>
  <c r="C423" i="27"/>
  <c r="AL96" i="27"/>
  <c r="K423" i="27"/>
  <c r="AT96" i="27"/>
  <c r="S423" i="27"/>
  <c r="D441" i="27"/>
  <c r="D455" i="27" s="1"/>
  <c r="D473" i="27" s="1"/>
  <c r="I22" i="40" s="1"/>
  <c r="AC11" i="27"/>
  <c r="B436" i="27" s="1"/>
  <c r="B450" i="27" s="1"/>
  <c r="B468" i="27" s="1"/>
  <c r="D20" i="40" s="1"/>
  <c r="B286" i="27"/>
  <c r="AL16" i="27"/>
  <c r="K302" i="27"/>
  <c r="AJ96" i="27"/>
  <c r="AJ98" i="27" s="1"/>
  <c r="I423" i="27"/>
  <c r="AG16" i="27"/>
  <c r="F302" i="27"/>
  <c r="AO16" i="27"/>
  <c r="N302" i="27"/>
  <c r="AW16" i="27"/>
  <c r="V302" i="27"/>
  <c r="AJ56" i="27"/>
  <c r="I362" i="27"/>
  <c r="AR56" i="27"/>
  <c r="Q362" i="27"/>
  <c r="AZ56" i="27"/>
  <c r="Y362" i="27"/>
  <c r="AE96" i="27"/>
  <c r="D423" i="27"/>
  <c r="AM96" i="27"/>
  <c r="L423" i="27"/>
  <c r="AU96" i="27"/>
  <c r="T423" i="27"/>
  <c r="AW56" i="27"/>
  <c r="V362" i="27"/>
  <c r="AH16" i="27"/>
  <c r="G302" i="27"/>
  <c r="AP16" i="27"/>
  <c r="O302" i="27"/>
  <c r="AX16" i="27"/>
  <c r="W302" i="27"/>
  <c r="AC56" i="27"/>
  <c r="B362" i="27"/>
  <c r="AC341" i="27" s="1"/>
  <c r="AK56" i="27"/>
  <c r="J362" i="27"/>
  <c r="AS56" i="27"/>
  <c r="R362" i="27"/>
  <c r="BA56" i="27"/>
  <c r="Z362" i="27"/>
  <c r="BA341" i="27" s="1"/>
  <c r="AF96" i="27"/>
  <c r="E423" i="27"/>
  <c r="AN96" i="27"/>
  <c r="M423" i="27"/>
  <c r="AV96" i="27"/>
  <c r="U423" i="27"/>
  <c r="AG56" i="27"/>
  <c r="F362" i="27"/>
  <c r="BA13" i="27"/>
  <c r="B438" i="27" s="1"/>
  <c r="B452" i="27" s="1"/>
  <c r="B470" i="27" s="1"/>
  <c r="F20" i="40" s="1"/>
  <c r="Z300" i="27"/>
  <c r="AI16" i="27"/>
  <c r="H302" i="27"/>
  <c r="AQ16" i="27"/>
  <c r="P302" i="27"/>
  <c r="AY16" i="27"/>
  <c r="X302" i="27"/>
  <c r="AC51" i="27"/>
  <c r="C436" i="27" s="1"/>
  <c r="C450" i="27" s="1"/>
  <c r="C468" i="27" s="1"/>
  <c r="D21" i="40" s="1"/>
  <c r="B346" i="27"/>
  <c r="AD56" i="27"/>
  <c r="C362" i="27"/>
  <c r="AL56" i="27"/>
  <c r="AL58" i="27" s="1"/>
  <c r="K362" i="27"/>
  <c r="AT56" i="27"/>
  <c r="S362" i="27"/>
  <c r="C441" i="27"/>
  <c r="C455" i="27" s="1"/>
  <c r="C473" i="27" s="1"/>
  <c r="I21" i="40" s="1"/>
  <c r="AG96" i="27"/>
  <c r="F423" i="27"/>
  <c r="AO96" i="27"/>
  <c r="N423" i="27"/>
  <c r="AW96" i="27"/>
  <c r="V423" i="27"/>
  <c r="AX16" i="26"/>
  <c r="W302" i="26"/>
  <c r="AD56" i="26"/>
  <c r="C362" i="26"/>
  <c r="AO96" i="26"/>
  <c r="N423" i="26"/>
  <c r="BA13" i="26"/>
  <c r="B438" i="26" s="1"/>
  <c r="B452" i="26" s="1"/>
  <c r="B470" i="26" s="1"/>
  <c r="F34" i="40" s="1"/>
  <c r="Z300" i="26"/>
  <c r="AI16" i="26"/>
  <c r="H302" i="26"/>
  <c r="AQ16" i="26"/>
  <c r="P302" i="26"/>
  <c r="AY16" i="26"/>
  <c r="X302" i="26"/>
  <c r="AE56" i="26"/>
  <c r="D362" i="26"/>
  <c r="AM56" i="26"/>
  <c r="L362" i="26"/>
  <c r="AU56" i="26"/>
  <c r="T362" i="26"/>
  <c r="AH402" i="26"/>
  <c r="AH404" i="26" s="1"/>
  <c r="G427" i="26"/>
  <c r="AP402" i="26"/>
  <c r="AP404" i="26" s="1"/>
  <c r="O427" i="26"/>
  <c r="AX96" i="26"/>
  <c r="W423" i="26"/>
  <c r="AP16" i="26"/>
  <c r="O302" i="26"/>
  <c r="AL56" i="26"/>
  <c r="K362" i="26"/>
  <c r="AG96" i="26"/>
  <c r="F423" i="26"/>
  <c r="AW96" i="26"/>
  <c r="V423" i="26"/>
  <c r="AJ16" i="26"/>
  <c r="I302" i="26"/>
  <c r="AR16" i="26"/>
  <c r="Q302" i="26"/>
  <c r="AZ16" i="26"/>
  <c r="Y302" i="26"/>
  <c r="AF56" i="26"/>
  <c r="E362" i="26"/>
  <c r="AN56" i="26"/>
  <c r="M362" i="26"/>
  <c r="AV56" i="26"/>
  <c r="U362" i="26"/>
  <c r="BA93" i="26"/>
  <c r="D438" i="26" s="1"/>
  <c r="D452" i="26" s="1"/>
  <c r="D470" i="26" s="1"/>
  <c r="F36" i="40" s="1"/>
  <c r="Z421" i="26"/>
  <c r="AI96" i="26"/>
  <c r="H423" i="26"/>
  <c r="AQ96" i="26"/>
  <c r="P423" i="26"/>
  <c r="AY96" i="26"/>
  <c r="X423" i="26"/>
  <c r="AC16" i="26"/>
  <c r="B302" i="26"/>
  <c r="AC281" i="26" s="1"/>
  <c r="AK16" i="26"/>
  <c r="J302" i="26"/>
  <c r="AS16" i="26"/>
  <c r="R302" i="26"/>
  <c r="BA16" i="26"/>
  <c r="Z302" i="26"/>
  <c r="BA281" i="26" s="1"/>
  <c r="AG56" i="26"/>
  <c r="F362" i="26"/>
  <c r="AO56" i="26"/>
  <c r="N362" i="26"/>
  <c r="AW56" i="26"/>
  <c r="V362" i="26"/>
  <c r="AJ402" i="26"/>
  <c r="AJ404" i="26" s="1"/>
  <c r="I427" i="26"/>
  <c r="AR402" i="26"/>
  <c r="AR404" i="26" s="1"/>
  <c r="Q427" i="26"/>
  <c r="AZ96" i="26"/>
  <c r="Y423" i="26"/>
  <c r="C441" i="26"/>
  <c r="C455" i="26" s="1"/>
  <c r="C473" i="26" s="1"/>
  <c r="I35" i="40" s="1"/>
  <c r="AC11" i="26"/>
  <c r="B436" i="26" s="1"/>
  <c r="B450" i="26" s="1"/>
  <c r="B468" i="26" s="1"/>
  <c r="D34" i="40" s="1"/>
  <c r="B286" i="26"/>
  <c r="AD16" i="26"/>
  <c r="C302" i="26"/>
  <c r="AL16" i="26"/>
  <c r="K302" i="26"/>
  <c r="AT16" i="26"/>
  <c r="S302" i="26"/>
  <c r="B441" i="26"/>
  <c r="B455" i="26" s="1"/>
  <c r="B473" i="26" s="1"/>
  <c r="I34" i="40" s="1"/>
  <c r="AH56" i="26"/>
  <c r="G362" i="26"/>
  <c r="AP56" i="26"/>
  <c r="O362" i="26"/>
  <c r="AX56" i="26"/>
  <c r="W362" i="26"/>
  <c r="AC96" i="26"/>
  <c r="B423" i="26"/>
  <c r="AK96" i="26"/>
  <c r="J423" i="26"/>
  <c r="AS96" i="26"/>
  <c r="R423" i="26"/>
  <c r="BA96" i="26"/>
  <c r="Z423" i="26"/>
  <c r="BA402" i="26" s="1"/>
  <c r="AT56" i="26"/>
  <c r="S362" i="26"/>
  <c r="AE281" i="26"/>
  <c r="AE283" i="26" s="1"/>
  <c r="D306" i="26"/>
  <c r="AM281" i="26"/>
  <c r="AM283" i="26" s="1"/>
  <c r="L306" i="26"/>
  <c r="AU281" i="26"/>
  <c r="AU283" i="26" s="1"/>
  <c r="T306" i="26"/>
  <c r="AI56" i="26"/>
  <c r="H362" i="26"/>
  <c r="AQ341" i="26"/>
  <c r="AQ343" i="26" s="1"/>
  <c r="P366" i="26"/>
  <c r="AY341" i="26"/>
  <c r="AY343" i="26" s="1"/>
  <c r="X366" i="26"/>
  <c r="AD96" i="26"/>
  <c r="C423" i="26"/>
  <c r="AL96" i="26"/>
  <c r="K423" i="26"/>
  <c r="AT96" i="26"/>
  <c r="S423" i="26"/>
  <c r="AF16" i="26"/>
  <c r="E302" i="26"/>
  <c r="AN16" i="26"/>
  <c r="M302" i="26"/>
  <c r="AV281" i="26"/>
  <c r="AV283" i="26" s="1"/>
  <c r="U306" i="26"/>
  <c r="BA53" i="26"/>
  <c r="C438" i="26" s="1"/>
  <c r="C452" i="26" s="1"/>
  <c r="C470" i="26" s="1"/>
  <c r="F35" i="40" s="1"/>
  <c r="Z360" i="26"/>
  <c r="AJ56" i="26"/>
  <c r="I362" i="26"/>
  <c r="AR56" i="26"/>
  <c r="Q362" i="26"/>
  <c r="AZ56" i="26"/>
  <c r="Y362" i="26"/>
  <c r="AE96" i="26"/>
  <c r="D423" i="26"/>
  <c r="AM96" i="26"/>
  <c r="L423" i="26"/>
  <c r="AU96" i="26"/>
  <c r="T423" i="26"/>
  <c r="AH16" i="26"/>
  <c r="G302" i="26"/>
  <c r="AG16" i="26"/>
  <c r="F302" i="26"/>
  <c r="AO16" i="26"/>
  <c r="N302" i="26"/>
  <c r="AW16" i="26"/>
  <c r="V302" i="26"/>
  <c r="AK56" i="26"/>
  <c r="J362" i="26"/>
  <c r="AS341" i="26"/>
  <c r="AS343" i="26" s="1"/>
  <c r="R366" i="26"/>
  <c r="BA56" i="26"/>
  <c r="Z362" i="26"/>
  <c r="BA341" i="26" s="1"/>
  <c r="AF96" i="26"/>
  <c r="E423" i="26"/>
  <c r="AN96" i="26"/>
  <c r="M423" i="26"/>
  <c r="AV96" i="26"/>
  <c r="U423" i="26"/>
  <c r="AH16" i="24"/>
  <c r="G302" i="24"/>
  <c r="AP16" i="24"/>
  <c r="O302" i="24"/>
  <c r="AX16" i="24"/>
  <c r="W302" i="24"/>
  <c r="AC56" i="24"/>
  <c r="B362" i="24"/>
  <c r="AC341" i="24" s="1"/>
  <c r="AK341" i="24"/>
  <c r="AK343" i="24" s="1"/>
  <c r="J366" i="24"/>
  <c r="AS341" i="24"/>
  <c r="AS343" i="24" s="1"/>
  <c r="R366" i="24"/>
  <c r="BA56" i="24"/>
  <c r="Z362" i="24"/>
  <c r="BA341" i="24" s="1"/>
  <c r="AF96" i="24"/>
  <c r="E423" i="24"/>
  <c r="AN96" i="24"/>
  <c r="M423" i="24"/>
  <c r="AV402" i="24"/>
  <c r="AV404" i="24" s="1"/>
  <c r="U427" i="24"/>
  <c r="AU96" i="24"/>
  <c r="T423" i="24"/>
  <c r="BA13" i="24"/>
  <c r="B438" i="24" s="1"/>
  <c r="B452" i="24" s="1"/>
  <c r="B470" i="24" s="1"/>
  <c r="F6" i="39" s="1"/>
  <c r="Z300" i="24"/>
  <c r="AI16" i="24"/>
  <c r="H302" i="24"/>
  <c r="AQ16" i="24"/>
  <c r="P302" i="24"/>
  <c r="AY16" i="24"/>
  <c r="X302" i="24"/>
  <c r="AC51" i="24"/>
  <c r="C436" i="24" s="1"/>
  <c r="C450" i="24" s="1"/>
  <c r="C468" i="24" s="1"/>
  <c r="D7" i="39" s="1"/>
  <c r="B346" i="24"/>
  <c r="AD56" i="24"/>
  <c r="C362" i="24"/>
  <c r="AL56" i="24"/>
  <c r="K362" i="24"/>
  <c r="AT56" i="24"/>
  <c r="S362" i="24"/>
  <c r="C441" i="24"/>
  <c r="C455" i="24" s="1"/>
  <c r="C473" i="24" s="1"/>
  <c r="I7" i="39" s="1"/>
  <c r="AG96" i="24"/>
  <c r="F423" i="24"/>
  <c r="AO96" i="24"/>
  <c r="N423" i="24"/>
  <c r="AW96" i="24"/>
  <c r="V423" i="24"/>
  <c r="AO16" i="24"/>
  <c r="N302" i="24"/>
  <c r="AZ56" i="24"/>
  <c r="Y362" i="24"/>
  <c r="AE96" i="24"/>
  <c r="D423" i="24"/>
  <c r="AJ16" i="24"/>
  <c r="I302" i="24"/>
  <c r="AR16" i="24"/>
  <c r="Q302" i="24"/>
  <c r="AZ16" i="24"/>
  <c r="Y302" i="24"/>
  <c r="AE56" i="24"/>
  <c r="D362" i="24"/>
  <c r="AM56" i="24"/>
  <c r="L362" i="24"/>
  <c r="AU341" i="24"/>
  <c r="AU343" i="24" s="1"/>
  <c r="T366" i="24"/>
  <c r="AH402" i="24"/>
  <c r="AH404" i="24" s="1"/>
  <c r="G427" i="24"/>
  <c r="AP402" i="24"/>
  <c r="AP404" i="24" s="1"/>
  <c r="O427" i="24"/>
  <c r="AX96" i="24"/>
  <c r="W423" i="24"/>
  <c r="AR56" i="24"/>
  <c r="Q362" i="24"/>
  <c r="AC16" i="24"/>
  <c r="B302" i="24"/>
  <c r="AC281" i="24" s="1"/>
  <c r="AK16" i="24"/>
  <c r="J302" i="24"/>
  <c r="AS16" i="24"/>
  <c r="AS18" i="24" s="1"/>
  <c r="R302" i="24"/>
  <c r="BA16" i="24"/>
  <c r="Z302" i="24"/>
  <c r="BA281" i="24" s="1"/>
  <c r="AF56" i="24"/>
  <c r="E362" i="24"/>
  <c r="AN56" i="24"/>
  <c r="M362" i="24"/>
  <c r="AV56" i="24"/>
  <c r="U362" i="24"/>
  <c r="BA93" i="24"/>
  <c r="D438" i="24" s="1"/>
  <c r="D452" i="24" s="1"/>
  <c r="D470" i="24" s="1"/>
  <c r="F8" i="39" s="1"/>
  <c r="Z421" i="24"/>
  <c r="AI402" i="24"/>
  <c r="AI404" i="24" s="1"/>
  <c r="H427" i="24"/>
  <c r="AQ402" i="24"/>
  <c r="AQ404" i="24" s="1"/>
  <c r="P427" i="24"/>
  <c r="AY96" i="24"/>
  <c r="X423" i="24"/>
  <c r="AW16" i="24"/>
  <c r="V302" i="24"/>
  <c r="AC11" i="24"/>
  <c r="B436" i="24" s="1"/>
  <c r="B450" i="24" s="1"/>
  <c r="B468" i="24" s="1"/>
  <c r="D6" i="39" s="1"/>
  <c r="B286" i="24"/>
  <c r="AD16" i="24"/>
  <c r="C302" i="24"/>
  <c r="AL16" i="24"/>
  <c r="K302" i="24"/>
  <c r="AT16" i="24"/>
  <c r="S302" i="24"/>
  <c r="B441" i="24"/>
  <c r="B455" i="24" s="1"/>
  <c r="B473" i="24" s="1"/>
  <c r="I6" i="39" s="1"/>
  <c r="AG56" i="24"/>
  <c r="F362" i="24"/>
  <c r="AO56" i="24"/>
  <c r="N362" i="24"/>
  <c r="AW56" i="24"/>
  <c r="V362" i="24"/>
  <c r="AJ96" i="24"/>
  <c r="I423" i="24"/>
  <c r="AR96" i="24"/>
  <c r="Q423" i="24"/>
  <c r="AZ402" i="24"/>
  <c r="AZ404" i="24" s="1"/>
  <c r="Y427" i="24"/>
  <c r="AE16" i="24"/>
  <c r="D302" i="24"/>
  <c r="AM16" i="24"/>
  <c r="L302" i="24"/>
  <c r="AU16" i="24"/>
  <c r="T302" i="24"/>
  <c r="AH56" i="24"/>
  <c r="G362" i="24"/>
  <c r="AP56" i="24"/>
  <c r="O362" i="24"/>
  <c r="AX56" i="24"/>
  <c r="W362" i="24"/>
  <c r="AC96" i="24"/>
  <c r="B423" i="24"/>
  <c r="AC402" i="24" s="1"/>
  <c r="AK96" i="24"/>
  <c r="J423" i="24"/>
  <c r="AS96" i="24"/>
  <c r="R423" i="24"/>
  <c r="BA96" i="24"/>
  <c r="Z423" i="24"/>
  <c r="BA402" i="24" s="1"/>
  <c r="AG16" i="24"/>
  <c r="F302" i="24"/>
  <c r="AJ56" i="24"/>
  <c r="I362" i="24"/>
  <c r="AM96" i="24"/>
  <c r="L423" i="24"/>
  <c r="AF16" i="24"/>
  <c r="E302" i="24"/>
  <c r="AN16" i="24"/>
  <c r="M302" i="24"/>
  <c r="AV16" i="24"/>
  <c r="U302" i="24"/>
  <c r="BA53" i="24"/>
  <c r="C438" i="24" s="1"/>
  <c r="C452" i="24" s="1"/>
  <c r="C470" i="24" s="1"/>
  <c r="F7" i="39" s="1"/>
  <c r="Z360" i="24"/>
  <c r="AI56" i="24"/>
  <c r="H362" i="24"/>
  <c r="AQ56" i="24"/>
  <c r="P362" i="24"/>
  <c r="AY56" i="24"/>
  <c r="X362" i="24"/>
  <c r="AC91" i="24"/>
  <c r="D436" i="24" s="1"/>
  <c r="D450" i="24" s="1"/>
  <c r="D468" i="24" s="1"/>
  <c r="D8" i="39" s="1"/>
  <c r="B407" i="24"/>
  <c r="AD96" i="24"/>
  <c r="AD98" i="24" s="1"/>
  <c r="C423" i="24"/>
  <c r="AL96" i="24"/>
  <c r="K423" i="24"/>
  <c r="AT96" i="24"/>
  <c r="S423" i="24"/>
  <c r="D441" i="24"/>
  <c r="D455" i="24" s="1"/>
  <c r="D473" i="24" s="1"/>
  <c r="I8" i="39" s="1"/>
  <c r="BA96" i="23"/>
  <c r="Z423" i="23"/>
  <c r="BA402" i="23" s="1"/>
  <c r="AF16" i="23"/>
  <c r="E302" i="23"/>
  <c r="AY341" i="23"/>
  <c r="AY343" i="23" s="1"/>
  <c r="X366" i="23"/>
  <c r="AC91" i="23"/>
  <c r="D436" i="23" s="1"/>
  <c r="D450" i="23" s="1"/>
  <c r="D468" i="23" s="1"/>
  <c r="D22" i="39" s="1"/>
  <c r="B407" i="23"/>
  <c r="AT96" i="23"/>
  <c r="S423" i="23"/>
  <c r="AG16" i="23"/>
  <c r="F302" i="23"/>
  <c r="AO16" i="23"/>
  <c r="N302" i="23"/>
  <c r="AW16" i="23"/>
  <c r="V302" i="23"/>
  <c r="AJ56" i="23"/>
  <c r="I362" i="23"/>
  <c r="AR56" i="23"/>
  <c r="Q362" i="23"/>
  <c r="AZ56" i="23"/>
  <c r="Y362" i="23"/>
  <c r="AE402" i="23"/>
  <c r="AE404" i="23" s="1"/>
  <c r="D427" i="23"/>
  <c r="AM402" i="23"/>
  <c r="AM404" i="23" s="1"/>
  <c r="L427" i="23"/>
  <c r="AU402" i="23"/>
  <c r="AU404" i="23" s="1"/>
  <c r="T427" i="23"/>
  <c r="AE16" i="23"/>
  <c r="D302" i="23"/>
  <c r="AX56" i="23"/>
  <c r="W362" i="23"/>
  <c r="AV16" i="23"/>
  <c r="U302" i="23"/>
  <c r="AH281" i="23"/>
  <c r="AH283" i="23" s="1"/>
  <c r="G306" i="23"/>
  <c r="AP16" i="23"/>
  <c r="O302" i="23"/>
  <c r="AX16" i="23"/>
  <c r="W302" i="23"/>
  <c r="AK56" i="23"/>
  <c r="J362" i="23"/>
  <c r="AS56" i="23"/>
  <c r="R362" i="23"/>
  <c r="AF402" i="23"/>
  <c r="AF404" i="23" s="1"/>
  <c r="E427" i="23"/>
  <c r="AN96" i="23"/>
  <c r="M423" i="23"/>
  <c r="AV402" i="23"/>
  <c r="AV404" i="23" s="1"/>
  <c r="U427" i="23"/>
  <c r="AC96" i="23"/>
  <c r="B423" i="23"/>
  <c r="AC402" i="23" s="1"/>
  <c r="AS96" i="23"/>
  <c r="R423" i="23"/>
  <c r="BA53" i="23"/>
  <c r="C438" i="23" s="1"/>
  <c r="C452" i="23" s="1"/>
  <c r="C470" i="23" s="1"/>
  <c r="F21" i="39" s="1"/>
  <c r="Z360" i="23"/>
  <c r="AQ341" i="23"/>
  <c r="AQ343" i="23" s="1"/>
  <c r="P366" i="23"/>
  <c r="AL96" i="23"/>
  <c r="K423" i="23"/>
  <c r="AF180" i="23"/>
  <c r="AF181" i="23" s="1"/>
  <c r="AN180" i="23"/>
  <c r="AV180" i="23"/>
  <c r="AF139" i="23"/>
  <c r="AN139" i="23"/>
  <c r="AV139" i="23"/>
  <c r="AU180" i="23"/>
  <c r="AE139" i="23"/>
  <c r="AG180" i="23"/>
  <c r="AG181" i="23" s="1"/>
  <c r="AO180" i="23"/>
  <c r="AW180" i="23"/>
  <c r="AG139" i="23"/>
  <c r="AO139" i="23"/>
  <c r="AO140" i="23" s="1"/>
  <c r="AW139" i="23"/>
  <c r="AD180" i="23"/>
  <c r="AH180" i="23"/>
  <c r="AH181" i="23" s="1"/>
  <c r="AP180" i="23"/>
  <c r="AP181" i="23" s="1"/>
  <c r="AX180" i="23"/>
  <c r="AH139" i="23"/>
  <c r="AP139" i="23"/>
  <c r="AX139" i="23"/>
  <c r="AX140" i="23" s="1"/>
  <c r="AL180" i="23"/>
  <c r="AI180" i="23"/>
  <c r="AQ180" i="23"/>
  <c r="AY180" i="23"/>
  <c r="AY181" i="23" s="1"/>
  <c r="AI139" i="23"/>
  <c r="AQ139" i="23"/>
  <c r="AY139" i="23"/>
  <c r="AY140" i="23" s="1"/>
  <c r="AD139" i="23"/>
  <c r="AE180" i="23"/>
  <c r="AU139" i="23"/>
  <c r="AJ180" i="23"/>
  <c r="AR180" i="23"/>
  <c r="AR181" i="23" s="1"/>
  <c r="AZ180" i="23"/>
  <c r="AZ181" i="23" s="1"/>
  <c r="AJ139" i="23"/>
  <c r="AR139" i="23"/>
  <c r="AZ139" i="23"/>
  <c r="AZ140" i="23" s="1"/>
  <c r="AT180" i="23"/>
  <c r="AT139" i="23"/>
  <c r="AK180" i="23"/>
  <c r="AS180" i="23"/>
  <c r="AS181" i="23" s="1"/>
  <c r="BA180" i="23"/>
  <c r="BA181" i="23" s="1"/>
  <c r="AK139" i="23"/>
  <c r="AS139" i="23"/>
  <c r="BA139" i="23"/>
  <c r="BA140" i="23" s="1"/>
  <c r="AL139" i="23"/>
  <c r="AM180" i="23"/>
  <c r="AM139" i="23"/>
  <c r="AM140" i="23" s="1"/>
  <c r="BA277" i="23"/>
  <c r="AI281" i="23"/>
  <c r="H306" i="23"/>
  <c r="AQ16" i="23"/>
  <c r="P302" i="23"/>
  <c r="AY16" i="23"/>
  <c r="X302" i="23"/>
  <c r="AC51" i="23"/>
  <c r="C436" i="23" s="1"/>
  <c r="C450" i="23" s="1"/>
  <c r="C468" i="23" s="1"/>
  <c r="D21" i="39" s="1"/>
  <c r="B346" i="23"/>
  <c r="AD56" i="23"/>
  <c r="C362" i="23"/>
  <c r="AL341" i="23"/>
  <c r="AL343" i="23" s="1"/>
  <c r="K366" i="23"/>
  <c r="AT56" i="23"/>
  <c r="S362" i="23"/>
  <c r="C441" i="23"/>
  <c r="C455" i="23" s="1"/>
  <c r="C473" i="23" s="1"/>
  <c r="I21" i="39" s="1"/>
  <c r="AG402" i="23"/>
  <c r="AG404" i="23" s="1"/>
  <c r="F427" i="23"/>
  <c r="AO402" i="23"/>
  <c r="AO404" i="23" s="1"/>
  <c r="N427" i="23"/>
  <c r="AW402" i="23"/>
  <c r="AW404" i="23" s="1"/>
  <c r="V427" i="23"/>
  <c r="AU16" i="23"/>
  <c r="T302" i="23"/>
  <c r="AH56" i="23"/>
  <c r="G362" i="23"/>
  <c r="AK96" i="23"/>
  <c r="J423" i="23"/>
  <c r="AN16" i="23"/>
  <c r="M302" i="23"/>
  <c r="AD96" i="23"/>
  <c r="C423" i="23"/>
  <c r="AJ16" i="23"/>
  <c r="I302" i="23"/>
  <c r="AR16" i="23"/>
  <c r="Q302" i="23"/>
  <c r="AZ16" i="23"/>
  <c r="Y302" i="23"/>
  <c r="AE56" i="23"/>
  <c r="D362" i="23"/>
  <c r="AM56" i="23"/>
  <c r="L362" i="23"/>
  <c r="AU56" i="23"/>
  <c r="T362" i="23"/>
  <c r="AH96" i="23"/>
  <c r="G423" i="23"/>
  <c r="AP96" i="23"/>
  <c r="O423" i="23"/>
  <c r="AX96" i="23"/>
  <c r="W423" i="23"/>
  <c r="AI341" i="23"/>
  <c r="AI343" i="23" s="1"/>
  <c r="H366" i="23"/>
  <c r="D441" i="23"/>
  <c r="D455" i="23" s="1"/>
  <c r="D473" i="23" s="1"/>
  <c r="I22" i="39" s="1"/>
  <c r="AC16" i="23"/>
  <c r="B302" i="23"/>
  <c r="AC281" i="23" s="1"/>
  <c r="AK281" i="23"/>
  <c r="AK283" i="23" s="1"/>
  <c r="J306" i="23"/>
  <c r="AS281" i="23"/>
  <c r="AS283" i="23" s="1"/>
  <c r="R306" i="23"/>
  <c r="BA16" i="23"/>
  <c r="Z302" i="23"/>
  <c r="BA281" i="23" s="1"/>
  <c r="AF56" i="23"/>
  <c r="E362" i="23"/>
  <c r="AN56" i="23"/>
  <c r="M362" i="23"/>
  <c r="AV56" i="23"/>
  <c r="U362" i="23"/>
  <c r="BA93" i="23"/>
  <c r="D438" i="23" s="1"/>
  <c r="D452" i="23" s="1"/>
  <c r="D470" i="23" s="1"/>
  <c r="F22" i="39" s="1"/>
  <c r="Z421" i="23"/>
  <c r="AI96" i="23"/>
  <c r="H423" i="23"/>
  <c r="AQ96" i="23"/>
  <c r="P423" i="23"/>
  <c r="AY96" i="23"/>
  <c r="X423" i="23"/>
  <c r="AM16" i="23"/>
  <c r="L302" i="23"/>
  <c r="AP56" i="23"/>
  <c r="O362" i="23"/>
  <c r="AC11" i="23"/>
  <c r="B436" i="23" s="1"/>
  <c r="B450" i="23" s="1"/>
  <c r="B468" i="23" s="1"/>
  <c r="D20" i="39" s="1"/>
  <c r="B286" i="23"/>
  <c r="AD16" i="23"/>
  <c r="C302" i="23"/>
  <c r="AL16" i="23"/>
  <c r="K302" i="23"/>
  <c r="AT16" i="23"/>
  <c r="S302" i="23"/>
  <c r="B441" i="23"/>
  <c r="B455" i="23" s="1"/>
  <c r="B473" i="23" s="1"/>
  <c r="I20" i="39" s="1"/>
  <c r="AG56" i="23"/>
  <c r="F362" i="23"/>
  <c r="AO56" i="23"/>
  <c r="N362" i="23"/>
  <c r="AW56" i="23"/>
  <c r="V362" i="23"/>
  <c r="AJ96" i="23"/>
  <c r="I423" i="23"/>
  <c r="AR96" i="23"/>
  <c r="Q423" i="23"/>
  <c r="AZ96" i="23"/>
  <c r="Y423" i="23"/>
  <c r="AL16" i="22"/>
  <c r="K302" i="22"/>
  <c r="AZ96" i="22"/>
  <c r="Y423" i="22"/>
  <c r="AE16" i="22"/>
  <c r="D302" i="22"/>
  <c r="AM16" i="22"/>
  <c r="L302" i="22"/>
  <c r="AU16" i="22"/>
  <c r="T302" i="22"/>
  <c r="AH56" i="22"/>
  <c r="G362" i="22"/>
  <c r="AP56" i="22"/>
  <c r="O362" i="22"/>
  <c r="AX56" i="22"/>
  <c r="W362" i="22"/>
  <c r="AC96" i="22"/>
  <c r="B423" i="22"/>
  <c r="AK96" i="22"/>
  <c r="J423" i="22"/>
  <c r="AS96" i="22"/>
  <c r="R423" i="22"/>
  <c r="BA96" i="22"/>
  <c r="Z423" i="22"/>
  <c r="BA402" i="22" s="1"/>
  <c r="AT16" i="22"/>
  <c r="S302" i="22"/>
  <c r="AO56" i="22"/>
  <c r="N362" i="22"/>
  <c r="AF16" i="22"/>
  <c r="E302" i="22"/>
  <c r="AN281" i="22"/>
  <c r="AN283" i="22" s="1"/>
  <c r="M306" i="22"/>
  <c r="AV16" i="22"/>
  <c r="U302" i="22"/>
  <c r="BA337" i="22"/>
  <c r="AI341" i="22"/>
  <c r="AI343" i="22" s="1"/>
  <c r="H366" i="22"/>
  <c r="AQ56" i="22"/>
  <c r="P362" i="22"/>
  <c r="AY56" i="22"/>
  <c r="X362" i="22"/>
  <c r="AD402" i="22"/>
  <c r="AD404" i="22" s="1"/>
  <c r="C427" i="22"/>
  <c r="AL402" i="22"/>
  <c r="AL404" i="22" s="1"/>
  <c r="K427" i="22"/>
  <c r="AT402" i="22"/>
  <c r="AT404" i="22" s="1"/>
  <c r="S427" i="22"/>
  <c r="D441" i="22"/>
  <c r="D455" i="22" s="1"/>
  <c r="D473" i="22" s="1"/>
  <c r="I36" i="39" s="1"/>
  <c r="AG56" i="22"/>
  <c r="F362" i="22"/>
  <c r="AP17" i="22"/>
  <c r="AG281" i="22"/>
  <c r="AG283" i="22" s="1"/>
  <c r="F306" i="22"/>
  <c r="AO16" i="22"/>
  <c r="N302" i="22"/>
  <c r="AW281" i="22"/>
  <c r="AW283" i="22" s="1"/>
  <c r="V306" i="22"/>
  <c r="AJ56" i="22"/>
  <c r="I362" i="22"/>
  <c r="AR56" i="22"/>
  <c r="Q362" i="22"/>
  <c r="AZ56" i="22"/>
  <c r="Y362" i="22"/>
  <c r="AE96" i="22"/>
  <c r="D423" i="22"/>
  <c r="AM402" i="22"/>
  <c r="AM404" i="22" s="1"/>
  <c r="L427" i="22"/>
  <c r="AU96" i="22"/>
  <c r="T423" i="22"/>
  <c r="AH16" i="22"/>
  <c r="AH18" i="22" s="1"/>
  <c r="G302" i="22"/>
  <c r="AP16" i="22"/>
  <c r="O302" i="22"/>
  <c r="AX16" i="22"/>
  <c r="W302" i="22"/>
  <c r="AK56" i="22"/>
  <c r="J362" i="22"/>
  <c r="AS56" i="22"/>
  <c r="R362" i="22"/>
  <c r="BA56" i="22"/>
  <c r="Z362" i="22"/>
  <c r="BA341" i="22" s="1"/>
  <c r="AF96" i="22"/>
  <c r="E423" i="22"/>
  <c r="AN96" i="22"/>
  <c r="M423" i="22"/>
  <c r="AV96" i="22"/>
  <c r="U423" i="22"/>
  <c r="BA13" i="22"/>
  <c r="B438" i="22" s="1"/>
  <c r="B452" i="22" s="1"/>
  <c r="B470" i="22" s="1"/>
  <c r="F34" i="39" s="1"/>
  <c r="Z300" i="22"/>
  <c r="AI16" i="22"/>
  <c r="H302" i="22"/>
  <c r="AQ16" i="22"/>
  <c r="P302" i="22"/>
  <c r="AY16" i="22"/>
  <c r="X302" i="22"/>
  <c r="AD56" i="22"/>
  <c r="C362" i="22"/>
  <c r="AL56" i="22"/>
  <c r="K362" i="22"/>
  <c r="AT56" i="22"/>
  <c r="S362" i="22"/>
  <c r="C441" i="22"/>
  <c r="C455" i="22" s="1"/>
  <c r="C473" i="22" s="1"/>
  <c r="I35" i="39" s="1"/>
  <c r="AG96" i="22"/>
  <c r="F423" i="22"/>
  <c r="AO96" i="22"/>
  <c r="N423" i="22"/>
  <c r="AW96" i="22"/>
  <c r="V423" i="22"/>
  <c r="AD16" i="22"/>
  <c r="C302" i="22"/>
  <c r="AR96" i="22"/>
  <c r="Q423" i="22"/>
  <c r="AJ16" i="22"/>
  <c r="I302" i="22"/>
  <c r="AR16" i="22"/>
  <c r="Q302" i="22"/>
  <c r="AZ16" i="22"/>
  <c r="Y302" i="22"/>
  <c r="AE56" i="22"/>
  <c r="D362" i="22"/>
  <c r="AM56" i="22"/>
  <c r="L362" i="22"/>
  <c r="AU56" i="22"/>
  <c r="T362" i="22"/>
  <c r="AH96" i="22"/>
  <c r="G423" i="22"/>
  <c r="AP96" i="22"/>
  <c r="O423" i="22"/>
  <c r="AX96" i="22"/>
  <c r="W423" i="22"/>
  <c r="AC11" i="22"/>
  <c r="B436" i="22" s="1"/>
  <c r="B450" i="22" s="1"/>
  <c r="B468" i="22" s="1"/>
  <c r="D34" i="39" s="1"/>
  <c r="B286" i="22"/>
  <c r="AW56" i="22"/>
  <c r="V362" i="22"/>
  <c r="AJ96" i="22"/>
  <c r="I423" i="22"/>
  <c r="AC16" i="22"/>
  <c r="B302" i="22"/>
  <c r="AC281" i="22" s="1"/>
  <c r="AK281" i="22"/>
  <c r="AK283" i="22" s="1"/>
  <c r="J306" i="22"/>
  <c r="AS16" i="22"/>
  <c r="R302" i="22"/>
  <c r="BA16" i="22"/>
  <c r="Z302" i="22"/>
  <c r="BA281" i="22" s="1"/>
  <c r="AF56" i="22"/>
  <c r="E362" i="22"/>
  <c r="AN56" i="22"/>
  <c r="M362" i="22"/>
  <c r="AV56" i="22"/>
  <c r="U362" i="22"/>
  <c r="BA93" i="22"/>
  <c r="D438" i="22" s="1"/>
  <c r="D452" i="22" s="1"/>
  <c r="D470" i="22" s="1"/>
  <c r="F36" i="39" s="1"/>
  <c r="Z421" i="22"/>
  <c r="AI96" i="22"/>
  <c r="H423" i="22"/>
  <c r="AQ96" i="22"/>
  <c r="P423" i="22"/>
  <c r="AY96" i="22"/>
  <c r="X423" i="22"/>
  <c r="F192" i="43"/>
  <c r="F180" i="43"/>
  <c r="F168" i="43"/>
  <c r="L15" i="43"/>
  <c r="L199" i="43"/>
  <c r="L52" i="43"/>
  <c r="L248" i="43"/>
  <c r="L236" i="43"/>
  <c r="D56" i="1"/>
  <c r="E200" i="43"/>
  <c r="E53" i="43"/>
  <c r="E249" i="43"/>
  <c r="E237" i="43"/>
  <c r="E16" i="43"/>
  <c r="E49" i="1"/>
  <c r="D223" i="43"/>
  <c r="D211" i="43"/>
  <c r="B474" i="32"/>
  <c r="D156" i="43"/>
  <c r="D213" i="43"/>
  <c r="D225" i="43"/>
  <c r="I81" i="43"/>
  <c r="I69" i="43"/>
  <c r="I182" i="43"/>
  <c r="U431" i="43" s="1"/>
  <c r="AB457" i="43" s="1"/>
  <c r="E112" i="43"/>
  <c r="F14" i="43"/>
  <c r="F198" i="43"/>
  <c r="F51" i="43"/>
  <c r="F247" i="43"/>
  <c r="F235" i="43"/>
  <c r="C50" i="1"/>
  <c r="F112" i="43"/>
  <c r="F121" i="43" s="1"/>
  <c r="M428" i="43" s="1"/>
  <c r="AE445" i="43" s="1"/>
  <c r="F109" i="43"/>
  <c r="F173" i="43"/>
  <c r="F161" i="43"/>
  <c r="F158" i="43"/>
  <c r="F185" i="43"/>
  <c r="F254" i="43"/>
  <c r="F21" i="43"/>
  <c r="F205" i="43"/>
  <c r="F58" i="43"/>
  <c r="F242" i="43"/>
  <c r="J50" i="1"/>
  <c r="D136" i="43"/>
  <c r="L127" i="43"/>
  <c r="L139" i="43" s="1"/>
  <c r="L103" i="43"/>
  <c r="L115" i="43" s="1"/>
  <c r="D39" i="43"/>
  <c r="D27" i="43"/>
  <c r="L136" i="43"/>
  <c r="I228" i="43"/>
  <c r="I216" i="43"/>
  <c r="I450" i="32"/>
  <c r="K89" i="43"/>
  <c r="E136" i="43"/>
  <c r="F187" i="43"/>
  <c r="F175" i="43"/>
  <c r="F163" i="43"/>
  <c r="D185" i="43"/>
  <c r="D161" i="43"/>
  <c r="D173" i="43"/>
  <c r="D112" i="43"/>
  <c r="J470" i="32"/>
  <c r="L152" i="43"/>
  <c r="L185" i="43"/>
  <c r="L161" i="43"/>
  <c r="L173" i="43"/>
  <c r="L112" i="43"/>
  <c r="D41" i="43"/>
  <c r="D29" i="43"/>
  <c r="I77" i="43"/>
  <c r="I65" i="43"/>
  <c r="I44" i="43"/>
  <c r="I32" i="43"/>
  <c r="E173" i="43"/>
  <c r="E185" i="43"/>
  <c r="E161" i="43"/>
  <c r="I456" i="32"/>
  <c r="K95" i="43"/>
  <c r="F200" i="43"/>
  <c r="F53" i="43"/>
  <c r="F249" i="43"/>
  <c r="F237" i="43"/>
  <c r="F16" i="43"/>
  <c r="E50" i="1"/>
  <c r="I42" i="43"/>
  <c r="I30" i="43"/>
  <c r="F64" i="43"/>
  <c r="F76" i="43"/>
  <c r="B473" i="32"/>
  <c r="D155" i="43"/>
  <c r="D247" i="43"/>
  <c r="D235" i="43"/>
  <c r="D14" i="43"/>
  <c r="D198" i="43"/>
  <c r="D51" i="43"/>
  <c r="C48" i="1"/>
  <c r="L247" i="43"/>
  <c r="L235" i="43"/>
  <c r="L14" i="43"/>
  <c r="L198" i="43"/>
  <c r="L51" i="43"/>
  <c r="C56" i="1"/>
  <c r="E131" i="43"/>
  <c r="E143" i="43" s="1"/>
  <c r="E107" i="43"/>
  <c r="E119" i="43" s="1"/>
  <c r="J186" i="43"/>
  <c r="J174" i="43"/>
  <c r="J162" i="43"/>
  <c r="I212" i="43"/>
  <c r="I224" i="43"/>
  <c r="E14" i="43"/>
  <c r="E198" i="43"/>
  <c r="E51" i="43"/>
  <c r="E235" i="43"/>
  <c r="E247" i="43"/>
  <c r="C49" i="1"/>
  <c r="I452" i="32"/>
  <c r="K91" i="43"/>
  <c r="J112" i="43"/>
  <c r="F66" i="43"/>
  <c r="F78" i="43"/>
  <c r="E128" i="43"/>
  <c r="E140" i="43" s="1"/>
  <c r="E104" i="43"/>
  <c r="E116" i="43" s="1"/>
  <c r="F223" i="43"/>
  <c r="F211" i="43"/>
  <c r="K247" i="43"/>
  <c r="K235" i="43"/>
  <c r="K14" i="43"/>
  <c r="K198" i="43"/>
  <c r="K51" i="43"/>
  <c r="C55" i="1"/>
  <c r="C458" i="32"/>
  <c r="C476" i="32" s="1"/>
  <c r="E97" i="43"/>
  <c r="F133" i="43"/>
  <c r="F136" i="43"/>
  <c r="F145" i="43" s="1"/>
  <c r="L428" i="43" s="1"/>
  <c r="AD445" i="43" s="1"/>
  <c r="K136" i="43"/>
  <c r="C474" i="32"/>
  <c r="E156" i="43"/>
  <c r="J248" i="43"/>
  <c r="J236" i="43"/>
  <c r="J15" i="43"/>
  <c r="J52" i="43"/>
  <c r="J199" i="43"/>
  <c r="D54" i="1"/>
  <c r="J97" i="43"/>
  <c r="H458" i="32"/>
  <c r="H476" i="32" s="1"/>
  <c r="J136" i="43"/>
  <c r="F225" i="43"/>
  <c r="F213" i="43"/>
  <c r="C471" i="32"/>
  <c r="E153" i="43"/>
  <c r="G75" i="43"/>
  <c r="G63" i="43"/>
  <c r="F23" i="43"/>
  <c r="C428" i="43" s="1"/>
  <c r="AE443" i="43" s="1"/>
  <c r="F207" i="43"/>
  <c r="Q428" i="43" s="1"/>
  <c r="AE446" i="43" s="1"/>
  <c r="F60" i="43"/>
  <c r="H428" i="43" s="1"/>
  <c r="AE444" i="43" s="1"/>
  <c r="L50" i="1"/>
  <c r="L186" i="43"/>
  <c r="L174" i="43"/>
  <c r="L162" i="43"/>
  <c r="D76" i="43"/>
  <c r="D64" i="43"/>
  <c r="D78" i="43"/>
  <c r="D66" i="43"/>
  <c r="K112" i="43"/>
  <c r="H456" i="32"/>
  <c r="J95" i="43"/>
  <c r="B458" i="32"/>
  <c r="B476" i="32" s="1"/>
  <c r="D97" i="43"/>
  <c r="E201" i="43"/>
  <c r="E54" i="43"/>
  <c r="E250" i="43"/>
  <c r="E238" i="43"/>
  <c r="E17" i="43"/>
  <c r="F49" i="1"/>
  <c r="J456" i="32"/>
  <c r="L95" i="43"/>
  <c r="D202" i="43"/>
  <c r="D55" i="43"/>
  <c r="D239" i="43"/>
  <c r="D18" i="43"/>
  <c r="G48" i="1"/>
  <c r="D187" i="43"/>
  <c r="D163" i="43"/>
  <c r="D175" i="43"/>
  <c r="I28" i="43"/>
  <c r="I40" i="43"/>
  <c r="J161" i="43"/>
  <c r="J185" i="43"/>
  <c r="J173" i="43"/>
  <c r="I244" i="43"/>
  <c r="AE431" i="43" s="1"/>
  <c r="F189" i="43"/>
  <c r="F165" i="43"/>
  <c r="F177" i="43"/>
  <c r="E106" i="43"/>
  <c r="E118" i="43" s="1"/>
  <c r="E130" i="43"/>
  <c r="E142" i="43" s="1"/>
  <c r="F167" i="43"/>
  <c r="F191" i="43"/>
  <c r="F179" i="43"/>
  <c r="F39" i="43"/>
  <c r="F27" i="43"/>
  <c r="G222" i="43"/>
  <c r="G210" i="43"/>
  <c r="E15" i="43"/>
  <c r="E199" i="43"/>
  <c r="E52" i="43"/>
  <c r="E248" i="43"/>
  <c r="E236" i="43"/>
  <c r="D49" i="1"/>
  <c r="E175" i="43"/>
  <c r="E187" i="43"/>
  <c r="E163" i="43"/>
  <c r="D107" i="43"/>
  <c r="D119" i="43" s="1"/>
  <c r="D131" i="43"/>
  <c r="D143" i="43" s="1"/>
  <c r="G244" i="43"/>
  <c r="AE429" i="43" s="1"/>
  <c r="E174" i="43"/>
  <c r="E186" i="43"/>
  <c r="E162" i="43"/>
  <c r="K161" i="43"/>
  <c r="K185" i="43"/>
  <c r="K173" i="43"/>
  <c r="E164" i="43"/>
  <c r="E176" i="43"/>
  <c r="E188" i="43"/>
  <c r="D177" i="43"/>
  <c r="D189" i="43"/>
  <c r="D165" i="43"/>
  <c r="D16" i="43"/>
  <c r="D200" i="43"/>
  <c r="D249" i="43"/>
  <c r="D237" i="43"/>
  <c r="D53" i="43"/>
  <c r="E48" i="1"/>
  <c r="J198" i="43"/>
  <c r="J51" i="43"/>
  <c r="J247" i="43"/>
  <c r="J235" i="43"/>
  <c r="J14" i="43"/>
  <c r="C54" i="1"/>
  <c r="F202" i="43"/>
  <c r="F55" i="43"/>
  <c r="F239" i="43"/>
  <c r="F18" i="43"/>
  <c r="G50" i="1"/>
  <c r="F41" i="43"/>
  <c r="F29" i="43"/>
  <c r="C473" i="32"/>
  <c r="E155" i="43"/>
  <c r="I79" i="43"/>
  <c r="I67" i="43"/>
  <c r="F204" i="43"/>
  <c r="F57" i="43"/>
  <c r="F241" i="43"/>
  <c r="F253" i="43"/>
  <c r="F20" i="43"/>
  <c r="I50" i="1"/>
  <c r="D130" i="43"/>
  <c r="D142" i="43" s="1"/>
  <c r="D106" i="43"/>
  <c r="D118" i="43" s="1"/>
  <c r="G26" i="43"/>
  <c r="G38" i="43"/>
  <c r="L56" i="1"/>
  <c r="L23" i="43"/>
  <c r="C434" i="43" s="1"/>
  <c r="AE464" i="43" s="1"/>
  <c r="L207" i="43"/>
  <c r="Q434" i="43" s="1"/>
  <c r="AE467" i="43" s="1"/>
  <c r="L60" i="43"/>
  <c r="H434" i="43" s="1"/>
  <c r="AE465" i="43" s="1"/>
  <c r="I45" i="42"/>
  <c r="I33" i="42"/>
  <c r="I69" i="42"/>
  <c r="I81" i="42"/>
  <c r="E106" i="42"/>
  <c r="E118" i="42" s="1"/>
  <c r="E130" i="42"/>
  <c r="E142" i="42" s="1"/>
  <c r="H79" i="42"/>
  <c r="H67" i="42"/>
  <c r="I75" i="42"/>
  <c r="I63" i="42"/>
  <c r="H77" i="42"/>
  <c r="H65" i="42"/>
  <c r="C473" i="8"/>
  <c r="E155" i="42"/>
  <c r="H30" i="42"/>
  <c r="H42" i="42"/>
  <c r="I228" i="42"/>
  <c r="I216" i="42"/>
  <c r="I38" i="42"/>
  <c r="I26" i="42"/>
  <c r="I182" i="42"/>
  <c r="U431" i="42" s="1"/>
  <c r="AB457" i="42" s="1"/>
  <c r="I217" i="42"/>
  <c r="I229" i="42"/>
  <c r="H40" i="42"/>
  <c r="H28" i="42"/>
  <c r="I32" i="42"/>
  <c r="I44" i="42"/>
  <c r="I210" i="42"/>
  <c r="I222" i="42"/>
  <c r="I194" i="42"/>
  <c r="W431" i="42" s="1"/>
  <c r="AG457" i="42" s="1"/>
  <c r="I79" i="42"/>
  <c r="I67" i="42"/>
  <c r="H224" i="42"/>
  <c r="H212" i="42"/>
  <c r="I70" i="42"/>
  <c r="I82" i="42"/>
  <c r="I30" i="42"/>
  <c r="I42" i="42"/>
  <c r="G44" i="43"/>
  <c r="G32" i="43"/>
  <c r="H69" i="43"/>
  <c r="H72" i="43" s="1"/>
  <c r="G430" i="43" s="1"/>
  <c r="Q454" i="43" s="1"/>
  <c r="H81" i="43"/>
  <c r="H84" i="43" s="1"/>
  <c r="I430" i="43" s="1"/>
  <c r="V454" i="43" s="1"/>
  <c r="H32" i="43"/>
  <c r="H35" i="43" s="1"/>
  <c r="B430" i="43" s="1"/>
  <c r="R453" i="43" s="1"/>
  <c r="H44" i="43"/>
  <c r="H47" i="43" s="1"/>
  <c r="D430" i="43" s="1"/>
  <c r="T453" i="43" s="1"/>
  <c r="H228" i="43"/>
  <c r="H231" i="43" s="1"/>
  <c r="R430" i="43" s="1"/>
  <c r="V456" i="43" s="1"/>
  <c r="H216" i="43"/>
  <c r="H219" i="43" s="1"/>
  <c r="P430" i="43" s="1"/>
  <c r="O456" i="43" s="1"/>
  <c r="G81" i="43"/>
  <c r="G69" i="43"/>
  <c r="G216" i="43"/>
  <c r="G228" i="43"/>
  <c r="L118" i="42"/>
  <c r="H32" i="42"/>
  <c r="H44" i="42"/>
  <c r="K179" i="42"/>
  <c r="K191" i="42"/>
  <c r="K167" i="42"/>
  <c r="G81" i="42"/>
  <c r="G69" i="42"/>
  <c r="G32" i="42"/>
  <c r="G44" i="42"/>
  <c r="I27" i="1"/>
  <c r="K204" i="42"/>
  <c r="K253" i="42"/>
  <c r="K241" i="42"/>
  <c r="K57" i="42"/>
  <c r="K20" i="42"/>
  <c r="H69" i="42"/>
  <c r="H81" i="42"/>
  <c r="L142" i="42"/>
  <c r="L191" i="42"/>
  <c r="L179" i="42"/>
  <c r="L167" i="42"/>
  <c r="J167" i="42"/>
  <c r="J179" i="42"/>
  <c r="J191" i="42"/>
  <c r="I28" i="1"/>
  <c r="L253" i="42"/>
  <c r="L241" i="42"/>
  <c r="L57" i="42"/>
  <c r="L20" i="42"/>
  <c r="L204" i="42"/>
  <c r="I26" i="1"/>
  <c r="J204" i="42"/>
  <c r="J20" i="42"/>
  <c r="J253" i="42"/>
  <c r="J241" i="42"/>
  <c r="J57" i="42"/>
  <c r="K118" i="42"/>
  <c r="G228" i="42"/>
  <c r="G216" i="42"/>
  <c r="J142" i="42"/>
  <c r="K142" i="42"/>
  <c r="H228" i="42"/>
  <c r="H216" i="42"/>
  <c r="J118" i="42"/>
  <c r="J223" i="41"/>
  <c r="J211" i="41"/>
  <c r="J230" i="41"/>
  <c r="J218" i="41"/>
  <c r="J64" i="41"/>
  <c r="J76" i="41"/>
  <c r="J39" i="41"/>
  <c r="J27" i="41"/>
  <c r="J71" i="41"/>
  <c r="J83" i="41"/>
  <c r="J34" i="41"/>
  <c r="J46" i="41"/>
  <c r="K112" i="37"/>
  <c r="J136" i="37"/>
  <c r="J161" i="37"/>
  <c r="J185" i="37"/>
  <c r="J173" i="37"/>
  <c r="G44" i="37"/>
  <c r="G32" i="37"/>
  <c r="K161" i="37"/>
  <c r="K185" i="37"/>
  <c r="K173" i="37"/>
  <c r="J112" i="37"/>
  <c r="J51" i="37"/>
  <c r="J247" i="37"/>
  <c r="J14" i="37"/>
  <c r="J198" i="37"/>
  <c r="C12" i="1"/>
  <c r="J235" i="37"/>
  <c r="G228" i="37"/>
  <c r="G216" i="37"/>
  <c r="K235" i="37"/>
  <c r="K247" i="37"/>
  <c r="K198" i="37"/>
  <c r="K14" i="37"/>
  <c r="C13" i="1"/>
  <c r="K51" i="37"/>
  <c r="L161" i="37"/>
  <c r="L185" i="37"/>
  <c r="L173" i="37"/>
  <c r="I436" i="9"/>
  <c r="L247" i="37"/>
  <c r="L235" i="37"/>
  <c r="L14" i="37"/>
  <c r="L51" i="37"/>
  <c r="L198" i="37"/>
  <c r="C14" i="1"/>
  <c r="H44" i="37"/>
  <c r="H32" i="37"/>
  <c r="G69" i="37"/>
  <c r="G81" i="37"/>
  <c r="L136" i="37"/>
  <c r="H228" i="37"/>
  <c r="H216" i="37"/>
  <c r="L112" i="37"/>
  <c r="H69" i="37"/>
  <c r="H81" i="37"/>
  <c r="K136" i="37"/>
  <c r="AG97" i="28"/>
  <c r="AT221" i="28"/>
  <c r="AT222" i="28" s="1"/>
  <c r="AL221" i="28"/>
  <c r="AL222" i="28" s="1"/>
  <c r="AD221" i="28"/>
  <c r="AD222" i="28" s="1"/>
  <c r="AY180" i="28"/>
  <c r="AY181" i="28" s="1"/>
  <c r="AQ180" i="28"/>
  <c r="AQ181" i="28" s="1"/>
  <c r="AI180" i="28"/>
  <c r="AI181" i="28" s="1"/>
  <c r="AU139" i="28"/>
  <c r="AU140" i="28" s="1"/>
  <c r="AM139" i="28"/>
  <c r="AM140" i="28" s="1"/>
  <c r="AE139" i="28"/>
  <c r="AE140" i="28" s="1"/>
  <c r="AM221" i="28"/>
  <c r="AM222" i="28" s="1"/>
  <c r="AZ180" i="28"/>
  <c r="AZ181" i="28" s="1"/>
  <c r="AN139" i="28"/>
  <c r="AN140" i="28" s="1"/>
  <c r="BA221" i="28"/>
  <c r="BA222" i="28" s="1"/>
  <c r="AS221" i="28"/>
  <c r="AS222" i="28" s="1"/>
  <c r="AK221" i="28"/>
  <c r="AK222" i="28" s="1"/>
  <c r="AC221" i="28"/>
  <c r="AX180" i="28"/>
  <c r="AX181" i="28" s="1"/>
  <c r="AP180" i="28"/>
  <c r="AP181" i="28" s="1"/>
  <c r="AH180" i="28"/>
  <c r="AH181" i="28" s="1"/>
  <c r="AT139" i="28"/>
  <c r="AT140" i="28" s="1"/>
  <c r="AL139" i="28"/>
  <c r="AL140" i="28" s="1"/>
  <c r="AD139" i="28"/>
  <c r="AD140" i="28" s="1"/>
  <c r="AZ221" i="28"/>
  <c r="AZ222" i="28" s="1"/>
  <c r="AR221" i="28"/>
  <c r="AR222" i="28" s="1"/>
  <c r="AJ221" i="28"/>
  <c r="AJ222" i="28" s="1"/>
  <c r="AW180" i="28"/>
  <c r="AW181" i="28" s="1"/>
  <c r="AO180" i="28"/>
  <c r="AO181" i="28" s="1"/>
  <c r="AG180" i="28"/>
  <c r="AG181" i="28" s="1"/>
  <c r="BA139" i="28"/>
  <c r="BA140" i="28" s="1"/>
  <c r="AS139" i="28"/>
  <c r="AS140" i="28" s="1"/>
  <c r="AK139" i="28"/>
  <c r="AK140" i="28" s="1"/>
  <c r="AC139" i="28"/>
  <c r="AJ180" i="28"/>
  <c r="AJ181" i="28" s="1"/>
  <c r="AY221" i="28"/>
  <c r="AY222" i="28" s="1"/>
  <c r="AQ221" i="28"/>
  <c r="AQ222" i="28" s="1"/>
  <c r="AI221" i="28"/>
  <c r="AI222" i="28" s="1"/>
  <c r="AV180" i="28"/>
  <c r="AV181" i="28" s="1"/>
  <c r="AN180" i="28"/>
  <c r="AN181" i="28" s="1"/>
  <c r="AF180" i="28"/>
  <c r="AF181" i="28" s="1"/>
  <c r="AZ139" i="28"/>
  <c r="AZ140" i="28" s="1"/>
  <c r="AR139" i="28"/>
  <c r="AR140" i="28" s="1"/>
  <c r="AJ139" i="28"/>
  <c r="AJ140" i="28" s="1"/>
  <c r="AE221" i="28"/>
  <c r="AE222" i="28" s="1"/>
  <c r="AV139" i="28"/>
  <c r="AV140" i="28" s="1"/>
  <c r="AX221" i="28"/>
  <c r="AX222" i="28" s="1"/>
  <c r="AP221" i="28"/>
  <c r="AP222" i="28" s="1"/>
  <c r="AH221" i="28"/>
  <c r="AH222" i="28" s="1"/>
  <c r="AU180" i="28"/>
  <c r="AU181" i="28" s="1"/>
  <c r="AM180" i="28"/>
  <c r="AM181" i="28" s="1"/>
  <c r="AE180" i="28"/>
  <c r="AE181" i="28" s="1"/>
  <c r="AY139" i="28"/>
  <c r="AY140" i="28" s="1"/>
  <c r="AQ139" i="28"/>
  <c r="AQ140" i="28" s="1"/>
  <c r="AI139" i="28"/>
  <c r="AI140" i="28" s="1"/>
  <c r="AW221" i="28"/>
  <c r="AW222" i="28" s="1"/>
  <c r="AO221" i="28"/>
  <c r="AO222" i="28" s="1"/>
  <c r="AG221" i="28"/>
  <c r="AG222" i="28" s="1"/>
  <c r="AT180" i="28"/>
  <c r="AT181" i="28" s="1"/>
  <c r="AL180" i="28"/>
  <c r="AL181" i="28" s="1"/>
  <c r="AD180" i="28"/>
  <c r="AD181" i="28" s="1"/>
  <c r="AX139" i="28"/>
  <c r="AX140" i="28" s="1"/>
  <c r="AP139" i="28"/>
  <c r="AP140" i="28" s="1"/>
  <c r="AH139" i="28"/>
  <c r="AH140" i="28" s="1"/>
  <c r="AU221" i="28"/>
  <c r="AU222" i="28" s="1"/>
  <c r="AR180" i="28"/>
  <c r="AR181" i="28" s="1"/>
  <c r="AF139" i="28"/>
  <c r="AF140" i="28" s="1"/>
  <c r="AV221" i="28"/>
  <c r="AV222" i="28" s="1"/>
  <c r="AN221" i="28"/>
  <c r="AN222" i="28" s="1"/>
  <c r="AF221" i="28"/>
  <c r="AF222" i="28" s="1"/>
  <c r="BA180" i="28"/>
  <c r="BA181" i="28" s="1"/>
  <c r="AS180" i="28"/>
  <c r="AS181" i="28" s="1"/>
  <c r="AK180" i="28"/>
  <c r="AK181" i="28" s="1"/>
  <c r="AC180" i="28"/>
  <c r="AW139" i="28"/>
  <c r="AW140" i="28" s="1"/>
  <c r="AO139" i="28"/>
  <c r="AO140" i="28" s="1"/>
  <c r="AG139" i="28"/>
  <c r="AG140" i="28" s="1"/>
  <c r="AG139" i="27"/>
  <c r="AG140" i="27" s="1"/>
  <c r="AO139" i="27"/>
  <c r="AO140" i="27" s="1"/>
  <c r="AW139" i="27"/>
  <c r="AW140" i="27" s="1"/>
  <c r="AF180" i="27"/>
  <c r="AF181" i="27" s="1"/>
  <c r="AN180" i="27"/>
  <c r="AN181" i="27" s="1"/>
  <c r="AV180" i="27"/>
  <c r="AV181" i="27" s="1"/>
  <c r="AE221" i="27"/>
  <c r="AE222" i="27" s="1"/>
  <c r="AM221" i="27"/>
  <c r="AM222" i="27" s="1"/>
  <c r="AU221" i="27"/>
  <c r="AU222" i="27" s="1"/>
  <c r="AL139" i="27"/>
  <c r="AL140" i="27" s="1"/>
  <c r="AK180" i="27"/>
  <c r="AK181" i="27" s="1"/>
  <c r="AS180" i="27"/>
  <c r="AS181" i="27" s="1"/>
  <c r="BA180" i="27"/>
  <c r="BA181" i="27" s="1"/>
  <c r="AR221" i="27"/>
  <c r="AR222" i="27" s="1"/>
  <c r="AZ221" i="27"/>
  <c r="AZ222" i="27" s="1"/>
  <c r="AE139" i="27"/>
  <c r="AE140" i="27" s="1"/>
  <c r="AD180" i="27"/>
  <c r="AD181" i="27" s="1"/>
  <c r="AT180" i="27"/>
  <c r="AT181" i="27" s="1"/>
  <c r="AK221" i="27"/>
  <c r="AK222" i="27" s="1"/>
  <c r="AS221" i="27"/>
  <c r="AS222" i="27" s="1"/>
  <c r="AN139" i="27"/>
  <c r="AN140" i="27" s="1"/>
  <c r="AE180" i="27"/>
  <c r="AE181" i="27" s="1"/>
  <c r="AD221" i="27"/>
  <c r="AD222" i="27" s="1"/>
  <c r="AT221" i="27"/>
  <c r="AT222" i="27" s="1"/>
  <c r="AH139" i="27"/>
  <c r="AH140" i="27" s="1"/>
  <c r="AP139" i="27"/>
  <c r="AP140" i="27" s="1"/>
  <c r="AX139" i="27"/>
  <c r="AX140" i="27" s="1"/>
  <c r="AG180" i="27"/>
  <c r="AG181" i="27" s="1"/>
  <c r="AO180" i="27"/>
  <c r="AO181" i="27" s="1"/>
  <c r="AW180" i="27"/>
  <c r="AW181" i="27" s="1"/>
  <c r="AF221" i="27"/>
  <c r="AF222" i="27" s="1"/>
  <c r="AN221" i="27"/>
  <c r="AN222" i="27" s="1"/>
  <c r="AV221" i="27"/>
  <c r="AV222" i="27" s="1"/>
  <c r="AT139" i="27"/>
  <c r="AT140" i="27" s="1"/>
  <c r="AM139" i="27"/>
  <c r="AM140" i="27" s="1"/>
  <c r="AU139" i="27"/>
  <c r="AU140" i="27" s="1"/>
  <c r="AL180" i="27"/>
  <c r="AL181" i="27" s="1"/>
  <c r="AC180" i="27"/>
  <c r="BA221" i="27"/>
  <c r="BA222" i="27" s="1"/>
  <c r="AI139" i="27"/>
  <c r="AI140" i="27" s="1"/>
  <c r="AQ139" i="27"/>
  <c r="AQ140" i="27" s="1"/>
  <c r="AY139" i="27"/>
  <c r="AY140" i="27" s="1"/>
  <c r="AH180" i="27"/>
  <c r="AH181" i="27" s="1"/>
  <c r="AP180" i="27"/>
  <c r="AP181" i="27" s="1"/>
  <c r="AX180" i="27"/>
  <c r="AX181" i="27" s="1"/>
  <c r="AG221" i="27"/>
  <c r="AG222" i="27" s="1"/>
  <c r="AO221" i="27"/>
  <c r="AO222" i="27" s="1"/>
  <c r="AW221" i="27"/>
  <c r="AW222" i="27" s="1"/>
  <c r="AF139" i="27"/>
  <c r="AF140" i="27" s="1"/>
  <c r="AV139" i="27"/>
  <c r="AV140" i="27" s="1"/>
  <c r="AM180" i="27"/>
  <c r="AM181" i="27" s="1"/>
  <c r="AU180" i="27"/>
  <c r="AU181" i="27" s="1"/>
  <c r="AL221" i="27"/>
  <c r="AL222" i="27" s="1"/>
  <c r="AC221" i="27"/>
  <c r="AJ139" i="27"/>
  <c r="AJ140" i="27" s="1"/>
  <c r="AR139" i="27"/>
  <c r="AR140" i="27" s="1"/>
  <c r="AZ139" i="27"/>
  <c r="AZ140" i="27" s="1"/>
  <c r="AI180" i="27"/>
  <c r="AI181" i="27" s="1"/>
  <c r="AQ180" i="27"/>
  <c r="AQ181" i="27" s="1"/>
  <c r="AY180" i="27"/>
  <c r="AY181" i="27" s="1"/>
  <c r="AH221" i="27"/>
  <c r="AH222" i="27" s="1"/>
  <c r="AP221" i="27"/>
  <c r="AP222" i="27" s="1"/>
  <c r="AX221" i="27"/>
  <c r="AX222" i="27" s="1"/>
  <c r="AD139" i="27"/>
  <c r="AD140" i="27" s="1"/>
  <c r="AC139" i="27"/>
  <c r="AJ221" i="27"/>
  <c r="AJ222" i="27" s="1"/>
  <c r="AK139" i="27"/>
  <c r="AK140" i="27" s="1"/>
  <c r="AS139" i="27"/>
  <c r="AS140" i="27" s="1"/>
  <c r="BA139" i="27"/>
  <c r="BA140" i="27" s="1"/>
  <c r="AJ180" i="27"/>
  <c r="AJ181" i="27" s="1"/>
  <c r="AR180" i="27"/>
  <c r="AR181" i="27" s="1"/>
  <c r="AZ180" i="27"/>
  <c r="AZ181" i="27" s="1"/>
  <c r="AI221" i="27"/>
  <c r="AI222" i="27" s="1"/>
  <c r="AQ221" i="27"/>
  <c r="AQ222" i="27" s="1"/>
  <c r="AY221" i="27"/>
  <c r="AY222" i="27" s="1"/>
  <c r="AR97" i="26"/>
  <c r="AV221" i="26"/>
  <c r="AV222" i="26" s="1"/>
  <c r="AN221" i="26"/>
  <c r="AN222" i="26" s="1"/>
  <c r="AY180" i="26"/>
  <c r="AY181" i="26" s="1"/>
  <c r="AQ180" i="26"/>
  <c r="AQ181" i="26" s="1"/>
  <c r="AI180" i="26"/>
  <c r="AI181" i="26" s="1"/>
  <c r="AZ139" i="26"/>
  <c r="AZ140" i="26" s="1"/>
  <c r="AR139" i="26"/>
  <c r="AR140" i="26" s="1"/>
  <c r="AJ139" i="26"/>
  <c r="AJ140" i="26" s="1"/>
  <c r="BA139" i="26"/>
  <c r="BA140" i="26" s="1"/>
  <c r="AU221" i="26"/>
  <c r="AU222" i="26" s="1"/>
  <c r="AM221" i="26"/>
  <c r="AM222" i="26" s="1"/>
  <c r="AX180" i="26"/>
  <c r="AX181" i="26" s="1"/>
  <c r="AP180" i="26"/>
  <c r="AP181" i="26" s="1"/>
  <c r="AH180" i="26"/>
  <c r="AH181" i="26" s="1"/>
  <c r="AY139" i="26"/>
  <c r="AY140" i="26" s="1"/>
  <c r="AQ139" i="26"/>
  <c r="AQ140" i="26" s="1"/>
  <c r="AI139" i="26"/>
  <c r="AI140" i="26" s="1"/>
  <c r="AF221" i="26"/>
  <c r="AF222" i="26" s="1"/>
  <c r="AW221" i="26"/>
  <c r="AW222" i="26" s="1"/>
  <c r="AJ180" i="26"/>
  <c r="AJ181" i="26" s="1"/>
  <c r="AT221" i="26"/>
  <c r="AT222" i="26" s="1"/>
  <c r="AL221" i="26"/>
  <c r="AL222" i="26" s="1"/>
  <c r="AW180" i="26"/>
  <c r="AW181" i="26" s="1"/>
  <c r="AO180" i="26"/>
  <c r="AO181" i="26" s="1"/>
  <c r="AG180" i="26"/>
  <c r="AG181" i="26" s="1"/>
  <c r="AX139" i="26"/>
  <c r="AX140" i="26" s="1"/>
  <c r="AP139" i="26"/>
  <c r="AP140" i="26" s="1"/>
  <c r="AH139" i="26"/>
  <c r="AH140" i="26" s="1"/>
  <c r="AO221" i="26"/>
  <c r="AO222" i="26" s="1"/>
  <c r="AZ180" i="26"/>
  <c r="AZ181" i="26" s="1"/>
  <c r="AK139" i="26"/>
  <c r="AK140" i="26" s="1"/>
  <c r="BA221" i="26"/>
  <c r="BA222" i="26" s="1"/>
  <c r="AS221" i="26"/>
  <c r="AS222" i="26" s="1"/>
  <c r="AK221" i="26"/>
  <c r="AK222" i="26" s="1"/>
  <c r="AV180" i="26"/>
  <c r="AV181" i="26" s="1"/>
  <c r="AN180" i="26"/>
  <c r="AN181" i="26" s="1"/>
  <c r="AF180" i="26"/>
  <c r="AF181" i="26" s="1"/>
  <c r="AW139" i="26"/>
  <c r="AW140" i="26" s="1"/>
  <c r="AO139" i="26"/>
  <c r="AO140" i="26" s="1"/>
  <c r="AG139" i="26"/>
  <c r="AG140" i="26" s="1"/>
  <c r="AR180" i="26"/>
  <c r="AR181" i="26" s="1"/>
  <c r="AC139" i="26"/>
  <c r="AC221" i="26"/>
  <c r="AZ221" i="26"/>
  <c r="AZ222" i="26" s="1"/>
  <c r="AR221" i="26"/>
  <c r="AR222" i="26" s="1"/>
  <c r="AJ221" i="26"/>
  <c r="AJ222" i="26" s="1"/>
  <c r="AU180" i="26"/>
  <c r="AU181" i="26" s="1"/>
  <c r="AM180" i="26"/>
  <c r="AM181" i="26" s="1"/>
  <c r="AE180" i="26"/>
  <c r="AE181" i="26" s="1"/>
  <c r="AV139" i="26"/>
  <c r="AV140" i="26" s="1"/>
  <c r="AN139" i="26"/>
  <c r="AN140" i="26" s="1"/>
  <c r="AF139" i="26"/>
  <c r="AF140" i="26" s="1"/>
  <c r="AG221" i="26"/>
  <c r="AG222" i="26" s="1"/>
  <c r="AD221" i="26"/>
  <c r="AD222" i="26" s="1"/>
  <c r="AY221" i="26"/>
  <c r="AY222" i="26" s="1"/>
  <c r="AQ221" i="26"/>
  <c r="AQ222" i="26" s="1"/>
  <c r="AI221" i="26"/>
  <c r="AI222" i="26" s="1"/>
  <c r="AT180" i="26"/>
  <c r="AT181" i="26" s="1"/>
  <c r="AL180" i="26"/>
  <c r="AL181" i="26" s="1"/>
  <c r="AD180" i="26"/>
  <c r="AD181" i="26" s="1"/>
  <c r="AU139" i="26"/>
  <c r="AU140" i="26" s="1"/>
  <c r="AM139" i="26"/>
  <c r="AM140" i="26" s="1"/>
  <c r="AE139" i="26"/>
  <c r="AE140" i="26" s="1"/>
  <c r="AS139" i="26"/>
  <c r="AS140" i="26" s="1"/>
  <c r="AE221" i="26"/>
  <c r="AE222" i="26" s="1"/>
  <c r="AX221" i="26"/>
  <c r="AX222" i="26" s="1"/>
  <c r="AP221" i="26"/>
  <c r="AP222" i="26" s="1"/>
  <c r="AH221" i="26"/>
  <c r="AH222" i="26" s="1"/>
  <c r="BA180" i="26"/>
  <c r="BA181" i="26" s="1"/>
  <c r="AS180" i="26"/>
  <c r="AS181" i="26" s="1"/>
  <c r="AK180" i="26"/>
  <c r="AK181" i="26" s="1"/>
  <c r="AC180" i="26"/>
  <c r="AT139" i="26"/>
  <c r="AT140" i="26" s="1"/>
  <c r="AL139" i="26"/>
  <c r="AL140" i="26" s="1"/>
  <c r="AD139" i="26"/>
  <c r="AD140" i="26" s="1"/>
  <c r="AE221" i="23"/>
  <c r="AE222" i="23" s="1"/>
  <c r="AM221" i="23"/>
  <c r="AM222" i="23" s="1"/>
  <c r="AU221" i="23"/>
  <c r="AU222" i="23" s="1"/>
  <c r="AD181" i="23"/>
  <c r="AL181" i="23"/>
  <c r="AT181" i="23"/>
  <c r="AF140" i="23"/>
  <c r="AN140" i="23"/>
  <c r="AV140" i="23"/>
  <c r="AF221" i="23"/>
  <c r="AF222" i="23" s="1"/>
  <c r="AN221" i="23"/>
  <c r="AN222" i="23" s="1"/>
  <c r="AV221" i="23"/>
  <c r="AV222" i="23" s="1"/>
  <c r="AE181" i="23"/>
  <c r="AM181" i="23"/>
  <c r="AU181" i="23"/>
  <c r="AG140" i="23"/>
  <c r="AW140" i="23"/>
  <c r="AL221" i="23"/>
  <c r="AL222" i="23" s="1"/>
  <c r="AC221" i="23"/>
  <c r="AG221" i="23"/>
  <c r="AG222" i="23" s="1"/>
  <c r="AO221" i="23"/>
  <c r="AO222" i="23" s="1"/>
  <c r="AW221" i="23"/>
  <c r="AW222" i="23" s="1"/>
  <c r="AN181" i="23"/>
  <c r="AV181" i="23"/>
  <c r="AH140" i="23"/>
  <c r="AP140" i="23"/>
  <c r="AH221" i="23"/>
  <c r="AH222" i="23" s="1"/>
  <c r="AP221" i="23"/>
  <c r="AP222" i="23" s="1"/>
  <c r="AX221" i="23"/>
  <c r="AX222" i="23" s="1"/>
  <c r="AO181" i="23"/>
  <c r="AW181" i="23"/>
  <c r="AI140" i="23"/>
  <c r="AQ140" i="23"/>
  <c r="AI221" i="23"/>
  <c r="AI222" i="23" s="1"/>
  <c r="AQ221" i="23"/>
  <c r="AQ222" i="23" s="1"/>
  <c r="AY221" i="23"/>
  <c r="AY222" i="23" s="1"/>
  <c r="AX181" i="23"/>
  <c r="AJ140" i="23"/>
  <c r="AR140" i="23"/>
  <c r="AD221" i="23"/>
  <c r="AD222" i="23" s="1"/>
  <c r="AT221" i="23"/>
  <c r="AT222" i="23" s="1"/>
  <c r="AU140" i="23"/>
  <c r="AJ221" i="23"/>
  <c r="AJ222" i="23" s="1"/>
  <c r="AR221" i="23"/>
  <c r="AR222" i="23" s="1"/>
  <c r="AZ221" i="23"/>
  <c r="AZ222" i="23" s="1"/>
  <c r="AI181" i="23"/>
  <c r="AQ181" i="23"/>
  <c r="AC180" i="23"/>
  <c r="AC181" i="23" s="1"/>
  <c r="AK140" i="23"/>
  <c r="AS140" i="23"/>
  <c r="AK221" i="23"/>
  <c r="AK222" i="23" s="1"/>
  <c r="AS221" i="23"/>
  <c r="AS222" i="23" s="1"/>
  <c r="BA221" i="23"/>
  <c r="BA222" i="23" s="1"/>
  <c r="AJ181" i="23"/>
  <c r="AD140" i="23"/>
  <c r="AL140" i="23"/>
  <c r="AT140" i="23"/>
  <c r="AC139" i="23"/>
  <c r="AC140" i="23" s="1"/>
  <c r="AV221" i="22"/>
  <c r="AV222" i="22" s="1"/>
  <c r="AN221" i="22"/>
  <c r="AN222" i="22" s="1"/>
  <c r="AF221" i="22"/>
  <c r="AF222" i="22" s="1"/>
  <c r="AX180" i="22"/>
  <c r="AX181" i="22" s="1"/>
  <c r="AP180" i="22"/>
  <c r="AP181" i="22" s="1"/>
  <c r="AH180" i="22"/>
  <c r="AH181" i="22" s="1"/>
  <c r="BA139" i="22"/>
  <c r="BA140" i="22" s="1"/>
  <c r="AS139" i="22"/>
  <c r="AS140" i="22" s="1"/>
  <c r="AK139" i="22"/>
  <c r="AK140" i="22" s="1"/>
  <c r="AC139" i="22"/>
  <c r="AU221" i="22"/>
  <c r="AU222" i="22" s="1"/>
  <c r="AM221" i="22"/>
  <c r="AM222" i="22" s="1"/>
  <c r="AE221" i="22"/>
  <c r="AE222" i="22" s="1"/>
  <c r="AW180" i="22"/>
  <c r="AW181" i="22" s="1"/>
  <c r="AO180" i="22"/>
  <c r="AO181" i="22" s="1"/>
  <c r="AG180" i="22"/>
  <c r="AG181" i="22" s="1"/>
  <c r="AZ139" i="22"/>
  <c r="AZ140" i="22" s="1"/>
  <c r="AR139" i="22"/>
  <c r="AR140" i="22" s="1"/>
  <c r="AJ139" i="22"/>
  <c r="AJ140" i="22" s="1"/>
  <c r="AT221" i="22"/>
  <c r="AT222" i="22" s="1"/>
  <c r="AL221" i="22"/>
  <c r="AL222" i="22" s="1"/>
  <c r="AD221" i="22"/>
  <c r="AD222" i="22" s="1"/>
  <c r="AV180" i="22"/>
  <c r="AV181" i="22" s="1"/>
  <c r="AN180" i="22"/>
  <c r="AN181" i="22" s="1"/>
  <c r="AF180" i="22"/>
  <c r="AF181" i="22" s="1"/>
  <c r="AY139" i="22"/>
  <c r="AY140" i="22" s="1"/>
  <c r="AQ139" i="22"/>
  <c r="AQ140" i="22" s="1"/>
  <c r="AI139" i="22"/>
  <c r="AI140" i="22" s="1"/>
  <c r="AI180" i="22"/>
  <c r="AI181" i="22" s="1"/>
  <c r="AD139" i="22"/>
  <c r="AD140" i="22" s="1"/>
  <c r="BA221" i="22"/>
  <c r="BA222" i="22" s="1"/>
  <c r="AS221" i="22"/>
  <c r="AS222" i="22" s="1"/>
  <c r="AK221" i="22"/>
  <c r="AK222" i="22" s="1"/>
  <c r="AC221" i="22"/>
  <c r="AU180" i="22"/>
  <c r="AU181" i="22" s="1"/>
  <c r="AM180" i="22"/>
  <c r="AM181" i="22" s="1"/>
  <c r="AE180" i="22"/>
  <c r="AE181" i="22" s="1"/>
  <c r="AX139" i="22"/>
  <c r="AX140" i="22" s="1"/>
  <c r="AP139" i="22"/>
  <c r="AP140" i="22" s="1"/>
  <c r="AH139" i="22"/>
  <c r="AH140" i="22" s="1"/>
  <c r="AW221" i="22"/>
  <c r="AW222" i="22" s="1"/>
  <c r="AT139" i="22"/>
  <c r="AT140" i="22" s="1"/>
  <c r="AZ221" i="22"/>
  <c r="AZ222" i="22" s="1"/>
  <c r="AR221" i="22"/>
  <c r="AR222" i="22" s="1"/>
  <c r="AJ221" i="22"/>
  <c r="AJ222" i="22" s="1"/>
  <c r="AT180" i="22"/>
  <c r="AT181" i="22" s="1"/>
  <c r="AL180" i="22"/>
  <c r="AL181" i="22" s="1"/>
  <c r="AD180" i="22"/>
  <c r="AD181" i="22" s="1"/>
  <c r="AW139" i="22"/>
  <c r="AW140" i="22" s="1"/>
  <c r="AO139" i="22"/>
  <c r="AO140" i="22" s="1"/>
  <c r="AG139" i="22"/>
  <c r="AG140" i="22" s="1"/>
  <c r="AG221" i="22"/>
  <c r="AG222" i="22" s="1"/>
  <c r="AY221" i="22"/>
  <c r="AY222" i="22" s="1"/>
  <c r="AQ221" i="22"/>
  <c r="AQ222" i="22" s="1"/>
  <c r="AI221" i="22"/>
  <c r="AI222" i="22" s="1"/>
  <c r="BA180" i="22"/>
  <c r="BA181" i="22" s="1"/>
  <c r="AS180" i="22"/>
  <c r="AS181" i="22" s="1"/>
  <c r="AK180" i="22"/>
  <c r="AK181" i="22" s="1"/>
  <c r="AC180" i="22"/>
  <c r="AV139" i="22"/>
  <c r="AV140" i="22" s="1"/>
  <c r="AN139" i="22"/>
  <c r="AN140" i="22" s="1"/>
  <c r="AF139" i="22"/>
  <c r="AF140" i="22" s="1"/>
  <c r="AY180" i="22"/>
  <c r="AY181" i="22" s="1"/>
  <c r="AQ180" i="22"/>
  <c r="AQ181" i="22" s="1"/>
  <c r="AL139" i="22"/>
  <c r="AL140" i="22" s="1"/>
  <c r="AX221" i="22"/>
  <c r="AX222" i="22" s="1"/>
  <c r="AP221" i="22"/>
  <c r="AP222" i="22" s="1"/>
  <c r="AH221" i="22"/>
  <c r="AH222" i="22" s="1"/>
  <c r="AZ180" i="22"/>
  <c r="AZ181" i="22" s="1"/>
  <c r="AR180" i="22"/>
  <c r="AR181" i="22" s="1"/>
  <c r="AJ180" i="22"/>
  <c r="AJ181" i="22" s="1"/>
  <c r="AU139" i="22"/>
  <c r="AU140" i="22" s="1"/>
  <c r="AM139" i="22"/>
  <c r="AM140" i="22" s="1"/>
  <c r="AE139" i="22"/>
  <c r="AE140" i="22" s="1"/>
  <c r="AO221" i="22"/>
  <c r="AO222" i="22" s="1"/>
  <c r="R41" i="27"/>
  <c r="AD95" i="26"/>
  <c r="AL95" i="26"/>
  <c r="AT95" i="26"/>
  <c r="AF95" i="26"/>
  <c r="AN95" i="26"/>
  <c r="AV95" i="26"/>
  <c r="BA17" i="24"/>
  <c r="AU221" i="24"/>
  <c r="AU222" i="24" s="1"/>
  <c r="AM221" i="24"/>
  <c r="AM222" i="24" s="1"/>
  <c r="AE221" i="24"/>
  <c r="AE222" i="24" s="1"/>
  <c r="AU180" i="24"/>
  <c r="AU181" i="24" s="1"/>
  <c r="AM180" i="24"/>
  <c r="AM181" i="24" s="1"/>
  <c r="AE180" i="24"/>
  <c r="AE181" i="24" s="1"/>
  <c r="AY139" i="24"/>
  <c r="AY140" i="24" s="1"/>
  <c r="AQ139" i="24"/>
  <c r="AQ140" i="24" s="1"/>
  <c r="AI139" i="24"/>
  <c r="AI140" i="24" s="1"/>
  <c r="AT221" i="24"/>
  <c r="AT222" i="24" s="1"/>
  <c r="AL221" i="24"/>
  <c r="AL222" i="24" s="1"/>
  <c r="AD221" i="24"/>
  <c r="AD222" i="24" s="1"/>
  <c r="AT180" i="24"/>
  <c r="AT181" i="24" s="1"/>
  <c r="AL180" i="24"/>
  <c r="AL181" i="24" s="1"/>
  <c r="AD180" i="24"/>
  <c r="AD181" i="24" s="1"/>
  <c r="AX139" i="24"/>
  <c r="AX140" i="24" s="1"/>
  <c r="AP139" i="24"/>
  <c r="AP140" i="24" s="1"/>
  <c r="AH139" i="24"/>
  <c r="AH140" i="24" s="1"/>
  <c r="AR139" i="24"/>
  <c r="AR140" i="24" s="1"/>
  <c r="BA221" i="24"/>
  <c r="BA222" i="24" s="1"/>
  <c r="AS221" i="24"/>
  <c r="AS222" i="24" s="1"/>
  <c r="AK221" i="24"/>
  <c r="AK222" i="24" s="1"/>
  <c r="AC221" i="24"/>
  <c r="BA180" i="24"/>
  <c r="BA181" i="24" s="1"/>
  <c r="AS180" i="24"/>
  <c r="AS181" i="24" s="1"/>
  <c r="AK180" i="24"/>
  <c r="AK181" i="24" s="1"/>
  <c r="AC180" i="24"/>
  <c r="AW139" i="24"/>
  <c r="AW140" i="24" s="1"/>
  <c r="AO139" i="24"/>
  <c r="AO140" i="24" s="1"/>
  <c r="AG139" i="24"/>
  <c r="AG140" i="24" s="1"/>
  <c r="AJ139" i="24"/>
  <c r="AJ140" i="24" s="1"/>
  <c r="AZ221" i="24"/>
  <c r="AZ222" i="24" s="1"/>
  <c r="AR221" i="24"/>
  <c r="AR222" i="24" s="1"/>
  <c r="AJ221" i="24"/>
  <c r="AJ222" i="24" s="1"/>
  <c r="AZ180" i="24"/>
  <c r="AZ181" i="24" s="1"/>
  <c r="AR180" i="24"/>
  <c r="AR181" i="24" s="1"/>
  <c r="AJ180" i="24"/>
  <c r="AJ181" i="24" s="1"/>
  <c r="AV139" i="24"/>
  <c r="AV140" i="24" s="1"/>
  <c r="AN139" i="24"/>
  <c r="AN140" i="24" s="1"/>
  <c r="AF139" i="24"/>
  <c r="AF140" i="24" s="1"/>
  <c r="AV221" i="24"/>
  <c r="AV222" i="24" s="1"/>
  <c r="AZ139" i="24"/>
  <c r="AZ140" i="24" s="1"/>
  <c r="AY221" i="24"/>
  <c r="AY222" i="24" s="1"/>
  <c r="AQ221" i="24"/>
  <c r="AQ222" i="24" s="1"/>
  <c r="AI221" i="24"/>
  <c r="AI222" i="24" s="1"/>
  <c r="AY180" i="24"/>
  <c r="AY181" i="24" s="1"/>
  <c r="AQ180" i="24"/>
  <c r="AQ181" i="24" s="1"/>
  <c r="AI180" i="24"/>
  <c r="AI181" i="24" s="1"/>
  <c r="AU139" i="24"/>
  <c r="AU140" i="24" s="1"/>
  <c r="AM139" i="24"/>
  <c r="AM140" i="24" s="1"/>
  <c r="AE139" i="24"/>
  <c r="AE140" i="24" s="1"/>
  <c r="AN221" i="24"/>
  <c r="AN222" i="24" s="1"/>
  <c r="AV180" i="24"/>
  <c r="AV181" i="24" s="1"/>
  <c r="AF180" i="24"/>
  <c r="AF181" i="24" s="1"/>
  <c r="AX221" i="24"/>
  <c r="AX222" i="24" s="1"/>
  <c r="AP221" i="24"/>
  <c r="AP222" i="24" s="1"/>
  <c r="AH221" i="24"/>
  <c r="AH222" i="24" s="1"/>
  <c r="AX180" i="24"/>
  <c r="AX181" i="24" s="1"/>
  <c r="AP180" i="24"/>
  <c r="AP181" i="24" s="1"/>
  <c r="AH180" i="24"/>
  <c r="AH181" i="24" s="1"/>
  <c r="AT139" i="24"/>
  <c r="AT140" i="24" s="1"/>
  <c r="AL139" i="24"/>
  <c r="AL140" i="24" s="1"/>
  <c r="AD139" i="24"/>
  <c r="AD140" i="24" s="1"/>
  <c r="AF221" i="24"/>
  <c r="AF222" i="24" s="1"/>
  <c r="AN180" i="24"/>
  <c r="AN181" i="24" s="1"/>
  <c r="AW221" i="24"/>
  <c r="AW222" i="24" s="1"/>
  <c r="AO221" i="24"/>
  <c r="AO222" i="24" s="1"/>
  <c r="AG221" i="24"/>
  <c r="AG222" i="24" s="1"/>
  <c r="AW180" i="24"/>
  <c r="AW181" i="24" s="1"/>
  <c r="AO180" i="24"/>
  <c r="AO181" i="24" s="1"/>
  <c r="AG180" i="24"/>
  <c r="AG181" i="24" s="1"/>
  <c r="BA139" i="24"/>
  <c r="BA140" i="24" s="1"/>
  <c r="AS139" i="24"/>
  <c r="AS140" i="24" s="1"/>
  <c r="AK139" i="24"/>
  <c r="AK140" i="24" s="1"/>
  <c r="AC139" i="24"/>
  <c r="AC50" i="24"/>
  <c r="C435" i="24" s="1"/>
  <c r="C449" i="24" s="1"/>
  <c r="C467" i="24" s="1"/>
  <c r="C7" i="39" s="1"/>
  <c r="AC10" i="24"/>
  <c r="B435" i="24" s="1"/>
  <c r="B449" i="24" s="1"/>
  <c r="B467" i="24" s="1"/>
  <c r="C6" i="39" s="1"/>
  <c r="AC90" i="24"/>
  <c r="D435" i="24" s="1"/>
  <c r="D449" i="24" s="1"/>
  <c r="D467" i="24" s="1"/>
  <c r="C8" i="39" s="1"/>
  <c r="AC90" i="23"/>
  <c r="D435" i="23" s="1"/>
  <c r="D449" i="23" s="1"/>
  <c r="D467" i="23" s="1"/>
  <c r="C22" i="39" s="1"/>
  <c r="AC50" i="23"/>
  <c r="C435" i="23" s="1"/>
  <c r="C449" i="23" s="1"/>
  <c r="C467" i="23" s="1"/>
  <c r="C21" i="39" s="1"/>
  <c r="AC10" i="23"/>
  <c r="AC90" i="22"/>
  <c r="D435" i="22" s="1"/>
  <c r="D449" i="22" s="1"/>
  <c r="D467" i="22" s="1"/>
  <c r="C36" i="39" s="1"/>
  <c r="AC10" i="22"/>
  <c r="B435" i="22" s="1"/>
  <c r="B449" i="22" s="1"/>
  <c r="B467" i="22" s="1"/>
  <c r="C34" i="39" s="1"/>
  <c r="AC50" i="22"/>
  <c r="C435" i="22" s="1"/>
  <c r="C449" i="22" s="1"/>
  <c r="C467" i="22" s="1"/>
  <c r="C35" i="39" s="1"/>
  <c r="AE95" i="26"/>
  <c r="AM95" i="26"/>
  <c r="AU95" i="26"/>
  <c r="AC90" i="27"/>
  <c r="D435" i="27" s="1"/>
  <c r="D449" i="27" s="1"/>
  <c r="D467" i="27" s="1"/>
  <c r="C22" i="40" s="1"/>
  <c r="AC90" i="26"/>
  <c r="D435" i="26" s="1"/>
  <c r="D449" i="26" s="1"/>
  <c r="D467" i="26" s="1"/>
  <c r="C36" i="40" s="1"/>
  <c r="AG95" i="26"/>
  <c r="AO95" i="26"/>
  <c r="AW95" i="26"/>
  <c r="AH95" i="26"/>
  <c r="AP95" i="26"/>
  <c r="AX95" i="26"/>
  <c r="AC50" i="27"/>
  <c r="C435" i="27" s="1"/>
  <c r="C449" i="27" s="1"/>
  <c r="C467" i="27" s="1"/>
  <c r="C21" i="40" s="1"/>
  <c r="AI95" i="26"/>
  <c r="AQ95" i="26"/>
  <c r="AY95" i="26"/>
  <c r="AC10" i="26"/>
  <c r="B435" i="26" s="1"/>
  <c r="B449" i="26" s="1"/>
  <c r="B467" i="26" s="1"/>
  <c r="C34" i="40" s="1"/>
  <c r="AJ95" i="26"/>
  <c r="AR95" i="26"/>
  <c r="AZ95" i="26"/>
  <c r="AC50" i="26"/>
  <c r="C435" i="26" s="1"/>
  <c r="C449" i="26" s="1"/>
  <c r="C467" i="26" s="1"/>
  <c r="C35" i="40" s="1"/>
  <c r="AC95" i="26"/>
  <c r="AK95" i="26"/>
  <c r="AS95" i="26"/>
  <c r="BA95" i="26"/>
  <c r="AC10" i="27"/>
  <c r="B435" i="27" s="1"/>
  <c r="B449" i="27" s="1"/>
  <c r="B467" i="27" s="1"/>
  <c r="C20" i="40" s="1"/>
  <c r="AM57" i="28"/>
  <c r="AY97" i="28"/>
  <c r="AY98" i="28" s="1"/>
  <c r="AP57" i="28"/>
  <c r="AD17" i="28"/>
  <c r="AD18" i="28" s="1"/>
  <c r="AC97" i="28"/>
  <c r="AE17" i="28"/>
  <c r="AE18" i="28" s="1"/>
  <c r="AT17" i="28"/>
  <c r="AU17" i="28"/>
  <c r="AU18" i="28" s="1"/>
  <c r="AC10" i="28"/>
  <c r="B435" i="28" s="1"/>
  <c r="B449" i="28" s="1"/>
  <c r="B467" i="28" s="1"/>
  <c r="C6" i="40" s="1"/>
  <c r="AC90" i="28"/>
  <c r="D435" i="28" s="1"/>
  <c r="D449" i="28" s="1"/>
  <c r="D467" i="28" s="1"/>
  <c r="C8" i="40" s="1"/>
  <c r="AC50" i="28"/>
  <c r="C435" i="28" s="1"/>
  <c r="C449" i="28" s="1"/>
  <c r="C467" i="28" s="1"/>
  <c r="C7" i="40" s="1"/>
  <c r="L81" i="27"/>
  <c r="M81" i="27"/>
  <c r="J41" i="27"/>
  <c r="U81" i="27"/>
  <c r="J121" i="27"/>
  <c r="R121" i="27"/>
  <c r="F121" i="28"/>
  <c r="I41" i="26"/>
  <c r="R41" i="26"/>
  <c r="O41" i="28"/>
  <c r="J81" i="26"/>
  <c r="X81" i="27"/>
  <c r="D121" i="26"/>
  <c r="L121" i="26"/>
  <c r="T121" i="26"/>
  <c r="Y41" i="26"/>
  <c r="U41" i="26"/>
  <c r="P81" i="26"/>
  <c r="X81" i="26"/>
  <c r="T81" i="28"/>
  <c r="V121" i="28"/>
  <c r="S41" i="27"/>
  <c r="L81" i="28"/>
  <c r="G121" i="28"/>
  <c r="W121" i="28"/>
  <c r="AG96" i="28"/>
  <c r="AG98" i="28" s="1"/>
  <c r="W41" i="28"/>
  <c r="D41" i="26"/>
  <c r="V41" i="27"/>
  <c r="F41" i="27"/>
  <c r="AV16" i="26"/>
  <c r="AX94" i="28"/>
  <c r="G41" i="28"/>
  <c r="O121" i="28"/>
  <c r="C81" i="28"/>
  <c r="S81" i="28"/>
  <c r="T41" i="26"/>
  <c r="Q121" i="24"/>
  <c r="H41" i="22"/>
  <c r="P41" i="22"/>
  <c r="J41" i="23"/>
  <c r="R41" i="23"/>
  <c r="M81" i="23"/>
  <c r="U81" i="23"/>
  <c r="M121" i="22"/>
  <c r="S41" i="23"/>
  <c r="N81" i="23"/>
  <c r="V81" i="23"/>
  <c r="U121" i="22"/>
  <c r="J81" i="22"/>
  <c r="R81" i="22"/>
  <c r="C81" i="22"/>
  <c r="K81" i="22"/>
  <c r="L81" i="22"/>
  <c r="C41" i="22"/>
  <c r="K41" i="22"/>
  <c r="S41" i="22"/>
  <c r="S41" i="24"/>
  <c r="J41" i="22"/>
  <c r="C41" i="23"/>
  <c r="F81" i="23"/>
  <c r="AV96" i="24"/>
  <c r="U121" i="24"/>
  <c r="K41" i="23"/>
  <c r="M121" i="24"/>
  <c r="T81" i="22"/>
  <c r="M121" i="23"/>
  <c r="G81" i="24"/>
  <c r="BA92" i="24"/>
  <c r="D437" i="24" s="1"/>
  <c r="D451" i="24" s="1"/>
  <c r="D469" i="24" s="1"/>
  <c r="E8" i="39" s="1"/>
  <c r="AN17" i="26"/>
  <c r="AN18" i="26" s="1"/>
  <c r="AL17" i="26"/>
  <c r="AS57" i="26"/>
  <c r="AQ17" i="26"/>
  <c r="AT17" i="26"/>
  <c r="AT18" i="26" s="1"/>
  <c r="AD17" i="26"/>
  <c r="AF17" i="26"/>
  <c r="AV17" i="26"/>
  <c r="AI17" i="26"/>
  <c r="AY17" i="26"/>
  <c r="AR17" i="26"/>
  <c r="AJ17" i="26"/>
  <c r="AJ18" i="26" s="1"/>
  <c r="AZ17" i="26"/>
  <c r="AN57" i="26"/>
  <c r="AG17" i="23"/>
  <c r="AO17" i="23"/>
  <c r="AG57" i="23"/>
  <c r="AG58" i="23" s="1"/>
  <c r="AY17" i="23"/>
  <c r="AY18" i="23" s="1"/>
  <c r="AU97" i="23"/>
  <c r="AR17" i="22"/>
  <c r="AM57" i="22"/>
  <c r="AM58" i="22" s="1"/>
  <c r="AX17" i="22"/>
  <c r="AX57" i="22"/>
  <c r="AZ17" i="22"/>
  <c r="AC97" i="22"/>
  <c r="AU97" i="22"/>
  <c r="AR18" i="22"/>
  <c r="AH17" i="22"/>
  <c r="AJ17" i="22"/>
  <c r="AJ18" i="22" s="1"/>
  <c r="P81" i="27"/>
  <c r="AY56" i="27"/>
  <c r="E41" i="26"/>
  <c r="AQ56" i="26"/>
  <c r="H81" i="26"/>
  <c r="M41" i="26"/>
  <c r="AY56" i="26"/>
  <c r="O81" i="24"/>
  <c r="J121" i="24"/>
  <c r="R121" i="24"/>
  <c r="AR94" i="24"/>
  <c r="Y121" i="24"/>
  <c r="AZ96" i="24"/>
  <c r="K121" i="24"/>
  <c r="G121" i="24"/>
  <c r="O121" i="24"/>
  <c r="U121" i="23"/>
  <c r="Q121" i="26"/>
  <c r="D121" i="22"/>
  <c r="AR96" i="26"/>
  <c r="Y121" i="26"/>
  <c r="P121" i="26"/>
  <c r="X121" i="26"/>
  <c r="G121" i="26"/>
  <c r="O121" i="26"/>
  <c r="D81" i="24"/>
  <c r="L81" i="24"/>
  <c r="T81" i="24"/>
  <c r="AU54" i="28"/>
  <c r="K81" i="28"/>
  <c r="X81" i="24"/>
  <c r="BA52" i="23"/>
  <c r="C437" i="23" s="1"/>
  <c r="C451" i="23" s="1"/>
  <c r="C469" i="23" s="1"/>
  <c r="E21" i="39" s="1"/>
  <c r="D81" i="23"/>
  <c r="L81" i="23"/>
  <c r="T81" i="23"/>
  <c r="D81" i="27"/>
  <c r="T81" i="27"/>
  <c r="Q81" i="26"/>
  <c r="I41" i="22"/>
  <c r="Q41" i="22"/>
  <c r="P81" i="22"/>
  <c r="X81" i="22"/>
  <c r="M81" i="22"/>
  <c r="I121" i="22"/>
  <c r="Q121" i="22"/>
  <c r="Y121" i="22"/>
  <c r="E81" i="23"/>
  <c r="AF54" i="23"/>
  <c r="E121" i="23"/>
  <c r="AF94" i="23"/>
  <c r="D121" i="23"/>
  <c r="AE96" i="23"/>
  <c r="L121" i="23"/>
  <c r="AM96" i="23"/>
  <c r="T121" i="23"/>
  <c r="AU96" i="23"/>
  <c r="C121" i="23"/>
  <c r="AS56" i="26"/>
  <c r="R81" i="26"/>
  <c r="D41" i="22"/>
  <c r="S81" i="22"/>
  <c r="L121" i="22"/>
  <c r="T121" i="22"/>
  <c r="R121" i="26"/>
  <c r="Q41" i="26"/>
  <c r="AR14" i="26"/>
  <c r="F41" i="22"/>
  <c r="B81" i="22"/>
  <c r="J81" i="23"/>
  <c r="R81" i="23"/>
  <c r="I81" i="26"/>
  <c r="AI14" i="22"/>
  <c r="G41" i="22"/>
  <c r="O41" i="22"/>
  <c r="W41" i="22"/>
  <c r="V41" i="22"/>
  <c r="E81" i="22"/>
  <c r="U81" i="22"/>
  <c r="BA12" i="23"/>
  <c r="B437" i="23" s="1"/>
  <c r="B451" i="23" s="1"/>
  <c r="B469" i="23" s="1"/>
  <c r="E20" i="39" s="1"/>
  <c r="H41" i="23"/>
  <c r="P41" i="23"/>
  <c r="X41" i="23"/>
  <c r="AU54" i="23"/>
  <c r="C81" i="23"/>
  <c r="K81" i="23"/>
  <c r="S81" i="23"/>
  <c r="K121" i="23"/>
  <c r="S121" i="23"/>
  <c r="B121" i="24"/>
  <c r="F121" i="22"/>
  <c r="N121" i="22"/>
  <c r="V121" i="22"/>
  <c r="G121" i="23"/>
  <c r="O121" i="23"/>
  <c r="O81" i="27"/>
  <c r="G121" i="22"/>
  <c r="O121" i="22"/>
  <c r="W121" i="22"/>
  <c r="H121" i="23"/>
  <c r="P121" i="23"/>
  <c r="AU16" i="26"/>
  <c r="H81" i="27"/>
  <c r="AI54" i="27"/>
  <c r="AH56" i="27"/>
  <c r="G81" i="27"/>
  <c r="AX56" i="27"/>
  <c r="W81" i="27"/>
  <c r="L41" i="22"/>
  <c r="T41" i="22"/>
  <c r="B121" i="22"/>
  <c r="H121" i="22"/>
  <c r="P121" i="22"/>
  <c r="X121" i="22"/>
  <c r="G41" i="23"/>
  <c r="O41" i="23"/>
  <c r="W41" i="23"/>
  <c r="I81" i="23"/>
  <c r="Y81" i="23"/>
  <c r="H81" i="23"/>
  <c r="P81" i="23"/>
  <c r="X81" i="23"/>
  <c r="I121" i="23"/>
  <c r="Q121" i="23"/>
  <c r="Y121" i="23"/>
  <c r="AF14" i="26"/>
  <c r="J121" i="23"/>
  <c r="R121" i="23"/>
  <c r="L41" i="26"/>
  <c r="AM16" i="26"/>
  <c r="G81" i="26"/>
  <c r="O81" i="26"/>
  <c r="W81" i="26"/>
  <c r="AX54" i="26"/>
  <c r="AI94" i="26"/>
  <c r="H121" i="26"/>
  <c r="J41" i="26"/>
  <c r="E81" i="26"/>
  <c r="M81" i="26"/>
  <c r="U81" i="26"/>
  <c r="G41" i="27"/>
  <c r="O41" i="27"/>
  <c r="W41" i="27"/>
  <c r="AX14" i="27"/>
  <c r="B439" i="27" s="1"/>
  <c r="B453" i="27" s="1"/>
  <c r="B471" i="27" s="1"/>
  <c r="G20" i="40" s="1"/>
  <c r="BA92" i="27"/>
  <c r="D437" i="27" s="1"/>
  <c r="D451" i="27" s="1"/>
  <c r="D469" i="27" s="1"/>
  <c r="E22" i="40" s="1"/>
  <c r="G121" i="27"/>
  <c r="O121" i="27"/>
  <c r="P81" i="24"/>
  <c r="K41" i="26"/>
  <c r="F81" i="26"/>
  <c r="N81" i="26"/>
  <c r="V81" i="26"/>
  <c r="J121" i="26"/>
  <c r="I121" i="26"/>
  <c r="AJ96" i="26"/>
  <c r="H81" i="24"/>
  <c r="W121" i="24"/>
  <c r="AX94" i="24"/>
  <c r="N41" i="26"/>
  <c r="V41" i="26"/>
  <c r="Y81" i="26"/>
  <c r="E121" i="26"/>
  <c r="M121" i="26"/>
  <c r="U121" i="26"/>
  <c r="N121" i="28"/>
  <c r="AO94" i="28"/>
  <c r="E41" i="23"/>
  <c r="M41" i="23"/>
  <c r="U41" i="23"/>
  <c r="BA92" i="23"/>
  <c r="D437" i="23" s="1"/>
  <c r="D451" i="23" s="1"/>
  <c r="D469" i="23" s="1"/>
  <c r="E22" i="39" s="1"/>
  <c r="B121" i="26"/>
  <c r="Z81" i="27"/>
  <c r="Z81" i="24"/>
  <c r="I41" i="27"/>
  <c r="Q41" i="27"/>
  <c r="Y41" i="27"/>
  <c r="F81" i="27"/>
  <c r="N81" i="27"/>
  <c r="V81" i="27"/>
  <c r="I121" i="27"/>
  <c r="Q121" i="27"/>
  <c r="Y121" i="27"/>
  <c r="C41" i="27"/>
  <c r="M81" i="24"/>
  <c r="U81" i="24"/>
  <c r="L41" i="27"/>
  <c r="K41" i="27"/>
  <c r="J81" i="27"/>
  <c r="R81" i="27"/>
  <c r="I81" i="27"/>
  <c r="Q81" i="27"/>
  <c r="Y81" i="27"/>
  <c r="BA52" i="24"/>
  <c r="C437" i="24" s="1"/>
  <c r="C451" i="24" s="1"/>
  <c r="C469" i="24" s="1"/>
  <c r="E7" i="39" s="1"/>
  <c r="E41" i="27"/>
  <c r="M41" i="27"/>
  <c r="U41" i="27"/>
  <c r="C81" i="27"/>
  <c r="K81" i="27"/>
  <c r="S81" i="27"/>
  <c r="Z121" i="27"/>
  <c r="D121" i="27"/>
  <c r="L121" i="27"/>
  <c r="T121" i="27"/>
  <c r="C41" i="24"/>
  <c r="K41" i="24"/>
  <c r="AL14" i="24"/>
  <c r="W81" i="24"/>
  <c r="AX54" i="24"/>
  <c r="O81" i="28"/>
  <c r="D121" i="28"/>
  <c r="L121" i="28"/>
  <c r="T121" i="28"/>
  <c r="M41" i="24"/>
  <c r="U41" i="24"/>
  <c r="D41" i="24"/>
  <c r="L41" i="24"/>
  <c r="T41" i="24"/>
  <c r="C81" i="24"/>
  <c r="K81" i="24"/>
  <c r="S81" i="24"/>
  <c r="J81" i="24"/>
  <c r="R81" i="24"/>
  <c r="M41" i="28"/>
  <c r="G81" i="28"/>
  <c r="W81" i="28"/>
  <c r="BA92" i="28"/>
  <c r="D437" i="28" s="1"/>
  <c r="D451" i="28" s="1"/>
  <c r="D469" i="28" s="1"/>
  <c r="E8" i="40" s="1"/>
  <c r="E121" i="28"/>
  <c r="M121" i="28"/>
  <c r="U121" i="28"/>
  <c r="F81" i="24"/>
  <c r="N81" i="24"/>
  <c r="V81" i="24"/>
  <c r="I121" i="24"/>
  <c r="P41" i="28"/>
  <c r="J81" i="28"/>
  <c r="R81" i="28"/>
  <c r="I81" i="28"/>
  <c r="Q81" i="28"/>
  <c r="Y81" i="28"/>
  <c r="BA12" i="28"/>
  <c r="B437" i="28" s="1"/>
  <c r="B451" i="28" s="1"/>
  <c r="B469" i="28" s="1"/>
  <c r="E6" i="40" s="1"/>
  <c r="J121" i="28"/>
  <c r="R121" i="28"/>
  <c r="J41" i="24"/>
  <c r="Z121" i="24"/>
  <c r="C121" i="28"/>
  <c r="K121" i="28"/>
  <c r="S121" i="28"/>
  <c r="BA12" i="24"/>
  <c r="B437" i="24" s="1"/>
  <c r="B451" i="24" s="1"/>
  <c r="B469" i="24" s="1"/>
  <c r="E6" i="39" s="1"/>
  <c r="H41" i="24"/>
  <c r="P41" i="24"/>
  <c r="X41" i="24"/>
  <c r="C41" i="28"/>
  <c r="S41" i="28"/>
  <c r="J41" i="28"/>
  <c r="R41" i="28"/>
  <c r="I41" i="24"/>
  <c r="Y41" i="24"/>
  <c r="R41" i="24"/>
  <c r="D41" i="28"/>
  <c r="L41" i="28"/>
  <c r="T41" i="28"/>
  <c r="E41" i="24"/>
  <c r="X41" i="28"/>
  <c r="B41" i="24"/>
  <c r="T41" i="23"/>
  <c r="F41" i="23"/>
  <c r="N41" i="23"/>
  <c r="V41" i="23"/>
  <c r="AF14" i="23"/>
  <c r="B439" i="23" s="1"/>
  <c r="B453" i="23" s="1"/>
  <c r="B471" i="23" s="1"/>
  <c r="G20" i="39" s="1"/>
  <c r="D41" i="27"/>
  <c r="T41" i="27"/>
  <c r="AL14" i="23"/>
  <c r="I41" i="23"/>
  <c r="Q41" i="23"/>
  <c r="Y41" i="23"/>
  <c r="Z41" i="27"/>
  <c r="N41" i="27"/>
  <c r="AK16" i="23"/>
  <c r="AS16" i="23"/>
  <c r="H41" i="27"/>
  <c r="P41" i="27"/>
  <c r="X41" i="27"/>
  <c r="N41" i="22"/>
  <c r="AX14" i="22"/>
  <c r="Z41" i="22"/>
  <c r="AW16" i="22"/>
  <c r="BA12" i="26"/>
  <c r="B437" i="26" s="1"/>
  <c r="B451" i="26" s="1"/>
  <c r="B469" i="26" s="1"/>
  <c r="E34" i="40" s="1"/>
  <c r="B41" i="26"/>
  <c r="E41" i="22"/>
  <c r="M41" i="22"/>
  <c r="U41" i="22"/>
  <c r="F41" i="26"/>
  <c r="AK16" i="28"/>
  <c r="AS16" i="28"/>
  <c r="AN17" i="28"/>
  <c r="AN18" i="28" s="1"/>
  <c r="I41" i="28"/>
  <c r="Q41" i="28"/>
  <c r="Y41" i="28"/>
  <c r="K41" i="28"/>
  <c r="AK57" i="28"/>
  <c r="BA57" i="28"/>
  <c r="H81" i="28"/>
  <c r="P81" i="28"/>
  <c r="X81" i="28"/>
  <c r="AO97" i="28"/>
  <c r="H121" i="28"/>
  <c r="P121" i="28"/>
  <c r="AQ17" i="28"/>
  <c r="AQ18" i="28" s="1"/>
  <c r="B81" i="28"/>
  <c r="AJ56" i="28"/>
  <c r="AR56" i="28"/>
  <c r="AZ56" i="28"/>
  <c r="AL57" i="28"/>
  <c r="AL58" i="28" s="1"/>
  <c r="AT97" i="28"/>
  <c r="AX14" i="28"/>
  <c r="B439" i="28" s="1"/>
  <c r="B453" i="28" s="1"/>
  <c r="B471" i="28" s="1"/>
  <c r="G6" i="40" s="1"/>
  <c r="AF17" i="28"/>
  <c r="AV17" i="28"/>
  <c r="AC57" i="28"/>
  <c r="AS57" i="28"/>
  <c r="AD97" i="28"/>
  <c r="AD98" i="28" s="1"/>
  <c r="AI17" i="28"/>
  <c r="AY17" i="28"/>
  <c r="Z41" i="28"/>
  <c r="F41" i="28"/>
  <c r="N41" i="28"/>
  <c r="V41" i="28"/>
  <c r="AD57" i="28"/>
  <c r="AT57" i="28"/>
  <c r="E81" i="28"/>
  <c r="M81" i="28"/>
  <c r="U81" i="28"/>
  <c r="AX97" i="28"/>
  <c r="AW97" i="28"/>
  <c r="AV97" i="28"/>
  <c r="AU97" i="28"/>
  <c r="AU98" i="28" s="1"/>
  <c r="BA97" i="28"/>
  <c r="AS97" i="28"/>
  <c r="AP97" i="28"/>
  <c r="AH97" i="28"/>
  <c r="AY57" i="28"/>
  <c r="AQ57" i="28"/>
  <c r="AI57" i="28"/>
  <c r="AZ17" i="28"/>
  <c r="AR17" i="28"/>
  <c r="AJ17" i="28"/>
  <c r="AN97" i="28"/>
  <c r="AF97" i="28"/>
  <c r="AF98" i="28" s="1"/>
  <c r="AW57" i="28"/>
  <c r="AW58" i="28" s="1"/>
  <c r="AO57" i="28"/>
  <c r="AG57" i="28"/>
  <c r="AX17" i="28"/>
  <c r="AP17" i="28"/>
  <c r="AH17" i="28"/>
  <c r="AZ97" i="28"/>
  <c r="AM97" i="28"/>
  <c r="AE97" i="28"/>
  <c r="AV57" i="28"/>
  <c r="AN57" i="28"/>
  <c r="AF57" i="28"/>
  <c r="AW17" i="28"/>
  <c r="AO17" i="28"/>
  <c r="AG17" i="28"/>
  <c r="AG18" i="28" s="1"/>
  <c r="AR97" i="28"/>
  <c r="AJ97" i="28"/>
  <c r="AQ97" i="28"/>
  <c r="AI97" i="28"/>
  <c r="AZ57" i="28"/>
  <c r="AR57" i="28"/>
  <c r="AJ57" i="28"/>
  <c r="BA17" i="28"/>
  <c r="AS17" i="28"/>
  <c r="AK17" i="28"/>
  <c r="AC17" i="28"/>
  <c r="AL17" i="28"/>
  <c r="E41" i="28"/>
  <c r="U41" i="28"/>
  <c r="AE57" i="28"/>
  <c r="AU57" i="28"/>
  <c r="F81" i="28"/>
  <c r="AO54" i="28"/>
  <c r="N81" i="28"/>
  <c r="V81" i="28"/>
  <c r="D81" i="28"/>
  <c r="AK97" i="28"/>
  <c r="X121" i="28"/>
  <c r="B41" i="28"/>
  <c r="AM17" i="28"/>
  <c r="H41" i="28"/>
  <c r="AH57" i="28"/>
  <c r="AX57" i="28"/>
  <c r="BA52" i="28"/>
  <c r="C437" i="28" s="1"/>
  <c r="C451" i="28" s="1"/>
  <c r="C469" i="28" s="1"/>
  <c r="E7" i="40" s="1"/>
  <c r="B121" i="28"/>
  <c r="AL97" i="28"/>
  <c r="I121" i="28"/>
  <c r="Q121" i="28"/>
  <c r="Y121" i="28"/>
  <c r="Z81" i="28"/>
  <c r="Z121" i="28"/>
  <c r="AL94" i="28"/>
  <c r="AW97" i="24"/>
  <c r="AO97" i="24"/>
  <c r="AO98" i="24" s="1"/>
  <c r="AG97" i="24"/>
  <c r="AV97" i="24"/>
  <c r="AN97" i="24"/>
  <c r="AN98" i="24" s="1"/>
  <c r="AF97" i="24"/>
  <c r="AW57" i="24"/>
  <c r="AO57" i="24"/>
  <c r="AO58" i="24" s="1"/>
  <c r="AG57" i="24"/>
  <c r="AU97" i="24"/>
  <c r="AM97" i="24"/>
  <c r="AE97" i="24"/>
  <c r="AE98" i="24" s="1"/>
  <c r="AV57" i="24"/>
  <c r="AN57" i="24"/>
  <c r="AF57" i="24"/>
  <c r="AT97" i="24"/>
  <c r="AT98" i="24" s="1"/>
  <c r="AL97" i="24"/>
  <c r="AD97" i="24"/>
  <c r="AU57" i="24"/>
  <c r="AM57" i="24"/>
  <c r="AM58" i="24" s="1"/>
  <c r="AE57" i="24"/>
  <c r="AE58" i="24" s="1"/>
  <c r="BA97" i="24"/>
  <c r="AS97" i="24"/>
  <c r="AK97" i="24"/>
  <c r="AC97" i="24"/>
  <c r="AT57" i="24"/>
  <c r="AL57" i="24"/>
  <c r="AL58" i="24" s="1"/>
  <c r="AD57" i="24"/>
  <c r="AD58" i="24" s="1"/>
  <c r="AY97" i="24"/>
  <c r="AQ97" i="24"/>
  <c r="AQ98" i="24" s="1"/>
  <c r="AI97" i="24"/>
  <c r="AI98" i="24" s="1"/>
  <c r="AZ97" i="24"/>
  <c r="AZ57" i="24"/>
  <c r="AJ57" i="24"/>
  <c r="AJ58" i="24" s="1"/>
  <c r="AZ17" i="24"/>
  <c r="AR17" i="24"/>
  <c r="AJ17" i="24"/>
  <c r="AP57" i="24"/>
  <c r="AT17" i="24"/>
  <c r="AK57" i="24"/>
  <c r="AX97" i="24"/>
  <c r="AY57" i="24"/>
  <c r="AI57" i="24"/>
  <c r="AY17" i="24"/>
  <c r="AY18" i="24" s="1"/>
  <c r="AQ17" i="24"/>
  <c r="AI17" i="24"/>
  <c r="AR97" i="24"/>
  <c r="AX57" i="24"/>
  <c r="AH57" i="24"/>
  <c r="AX17" i="24"/>
  <c r="AP17" i="24"/>
  <c r="AP18" i="24" s="1"/>
  <c r="AH17" i="24"/>
  <c r="AH18" i="24" s="1"/>
  <c r="AD17" i="24"/>
  <c r="AD18" i="24" s="1"/>
  <c r="AP97" i="24"/>
  <c r="AS57" i="24"/>
  <c r="AC57" i="24"/>
  <c r="AW17" i="24"/>
  <c r="AW18" i="24" s="1"/>
  <c r="AO17" i="24"/>
  <c r="AO18" i="24" s="1"/>
  <c r="AG17" i="24"/>
  <c r="AJ97" i="24"/>
  <c r="AJ98" i="24" s="1"/>
  <c r="AR57" i="24"/>
  <c r="AR58" i="24" s="1"/>
  <c r="AV17" i="24"/>
  <c r="AN17" i="24"/>
  <c r="AF17" i="24"/>
  <c r="AL17" i="24"/>
  <c r="BA57" i="24"/>
  <c r="AH97" i="24"/>
  <c r="AQ57" i="24"/>
  <c r="AU17" i="24"/>
  <c r="AM17" i="24"/>
  <c r="AE17" i="24"/>
  <c r="AC17" i="24"/>
  <c r="AG18" i="24"/>
  <c r="AK17" i="24"/>
  <c r="AK56" i="24"/>
  <c r="AS56" i="24"/>
  <c r="Q81" i="24"/>
  <c r="E121" i="24"/>
  <c r="AF94" i="24"/>
  <c r="AU54" i="24"/>
  <c r="E81" i="24"/>
  <c r="AF54" i="24"/>
  <c r="C439" i="24" s="1"/>
  <c r="C453" i="24" s="1"/>
  <c r="C471" i="24" s="1"/>
  <c r="G7" i="39" s="1"/>
  <c r="B81" i="24"/>
  <c r="AI14" i="24"/>
  <c r="Z41" i="24"/>
  <c r="F41" i="24"/>
  <c r="N41" i="24"/>
  <c r="V41" i="24"/>
  <c r="Q41" i="24"/>
  <c r="I81" i="24"/>
  <c r="Y81" i="24"/>
  <c r="G41" i="24"/>
  <c r="O41" i="24"/>
  <c r="W41" i="24"/>
  <c r="D121" i="24"/>
  <c r="L121" i="24"/>
  <c r="T121" i="24"/>
  <c r="C121" i="24"/>
  <c r="S121" i="24"/>
  <c r="F121" i="24"/>
  <c r="N121" i="24"/>
  <c r="V121" i="24"/>
  <c r="H121" i="24"/>
  <c r="P121" i="24"/>
  <c r="X121" i="24"/>
  <c r="AX97" i="27"/>
  <c r="BA97" i="27"/>
  <c r="AR97" i="27"/>
  <c r="AJ97" i="27"/>
  <c r="AT57" i="27"/>
  <c r="AT58" i="27" s="1"/>
  <c r="AL57" i="27"/>
  <c r="AD57" i="27"/>
  <c r="AZ97" i="27"/>
  <c r="AQ97" i="27"/>
  <c r="AI97" i="27"/>
  <c r="AI98" i="27" s="1"/>
  <c r="AY97" i="27"/>
  <c r="AP97" i="27"/>
  <c r="AH97" i="27"/>
  <c r="AH98" i="27" s="1"/>
  <c r="AW97" i="27"/>
  <c r="AO97" i="27"/>
  <c r="AG97" i="27"/>
  <c r="AY57" i="27"/>
  <c r="AQ57" i="27"/>
  <c r="AI57" i="27"/>
  <c r="AU97" i="27"/>
  <c r="AM97" i="27"/>
  <c r="AE97" i="27"/>
  <c r="AW57" i="27"/>
  <c r="AO57" i="27"/>
  <c r="AG57" i="27"/>
  <c r="AT97" i="27"/>
  <c r="AL97" i="27"/>
  <c r="AD97" i="27"/>
  <c r="AV57" i="27"/>
  <c r="AN57" i="27"/>
  <c r="AF57" i="27"/>
  <c r="AX57" i="27"/>
  <c r="AH57" i="27"/>
  <c r="AW17" i="27"/>
  <c r="AO17" i="27"/>
  <c r="AG17" i="27"/>
  <c r="AU57" i="27"/>
  <c r="AU58" i="27" s="1"/>
  <c r="AE57" i="27"/>
  <c r="AV17" i="27"/>
  <c r="AN17" i="27"/>
  <c r="AF17" i="27"/>
  <c r="AK97" i="27"/>
  <c r="AZ17" i="27"/>
  <c r="AJ17" i="27"/>
  <c r="AJ18" i="27" s="1"/>
  <c r="AV97" i="27"/>
  <c r="AS57" i="27"/>
  <c r="AC57" i="27"/>
  <c r="AU17" i="27"/>
  <c r="AM17" i="27"/>
  <c r="AM18" i="27" s="1"/>
  <c r="AE17" i="27"/>
  <c r="AM57" i="27"/>
  <c r="AS97" i="27"/>
  <c r="AR57" i="27"/>
  <c r="AT17" i="27"/>
  <c r="AL17" i="27"/>
  <c r="AD17" i="27"/>
  <c r="AR17" i="27"/>
  <c r="AN97" i="27"/>
  <c r="AN98" i="27" s="1"/>
  <c r="AP57" i="27"/>
  <c r="AP58" i="27" s="1"/>
  <c r="BA17" i="27"/>
  <c r="AS17" i="27"/>
  <c r="AK17" i="27"/>
  <c r="AC17" i="27"/>
  <c r="AF97" i="27"/>
  <c r="BA57" i="27"/>
  <c r="AK57" i="27"/>
  <c r="AY17" i="27"/>
  <c r="AY18" i="27" s="1"/>
  <c r="AQ17" i="27"/>
  <c r="AI17" i="27"/>
  <c r="AI18" i="27" s="1"/>
  <c r="AC97" i="27"/>
  <c r="AZ57" i="27"/>
  <c r="AJ57" i="27"/>
  <c r="AX17" i="27"/>
  <c r="AP17" i="27"/>
  <c r="AH17" i="27"/>
  <c r="AN58" i="27"/>
  <c r="BA12" i="27"/>
  <c r="B437" i="27" s="1"/>
  <c r="B451" i="27" s="1"/>
  <c r="B469" i="27" s="1"/>
  <c r="E20" i="40" s="1"/>
  <c r="AG98" i="27"/>
  <c r="AZ98" i="27"/>
  <c r="B41" i="27"/>
  <c r="B81" i="27"/>
  <c r="AK98" i="27"/>
  <c r="W121" i="27"/>
  <c r="AX94" i="27"/>
  <c r="AK18" i="27"/>
  <c r="AE56" i="27"/>
  <c r="AM58" i="27"/>
  <c r="AW58" i="27"/>
  <c r="E81" i="27"/>
  <c r="AF54" i="27"/>
  <c r="C439" i="27" s="1"/>
  <c r="C453" i="27" s="1"/>
  <c r="C471" i="27" s="1"/>
  <c r="G21" i="40" s="1"/>
  <c r="E121" i="27"/>
  <c r="M121" i="27"/>
  <c r="U121" i="27"/>
  <c r="B121" i="27"/>
  <c r="AO98" i="27"/>
  <c r="F121" i="27"/>
  <c r="N121" i="27"/>
  <c r="V121" i="27"/>
  <c r="BA52" i="27"/>
  <c r="C437" i="27" s="1"/>
  <c r="C451" i="27" s="1"/>
  <c r="C469" i="27" s="1"/>
  <c r="E21" i="40" s="1"/>
  <c r="H121" i="27"/>
  <c r="P121" i="27"/>
  <c r="X121" i="27"/>
  <c r="AJ58" i="27"/>
  <c r="AR94" i="27"/>
  <c r="D439" i="27" s="1"/>
  <c r="D453" i="27" s="1"/>
  <c r="D471" i="27" s="1"/>
  <c r="G22" i="40" s="1"/>
  <c r="C121" i="27"/>
  <c r="K121" i="27"/>
  <c r="S121" i="27"/>
  <c r="AD18" i="26"/>
  <c r="AL18" i="26"/>
  <c r="AI18" i="26"/>
  <c r="AQ18" i="26"/>
  <c r="AY18" i="26"/>
  <c r="AE17" i="26"/>
  <c r="AM17" i="26"/>
  <c r="AU17" i="26"/>
  <c r="S41" i="26"/>
  <c r="AV57" i="26"/>
  <c r="AC57" i="26"/>
  <c r="AZ57" i="26"/>
  <c r="AZ58" i="26" s="1"/>
  <c r="AG17" i="26"/>
  <c r="AO17" i="26"/>
  <c r="AW17" i="26"/>
  <c r="C41" i="26"/>
  <c r="Z41" i="26"/>
  <c r="AF57" i="26"/>
  <c r="BA57" i="26"/>
  <c r="BA52" i="26"/>
  <c r="C437" i="26" s="1"/>
  <c r="C451" i="26" s="1"/>
  <c r="C469" i="26" s="1"/>
  <c r="E35" i="40" s="1"/>
  <c r="BA92" i="26"/>
  <c r="D437" i="26" s="1"/>
  <c r="D451" i="26" s="1"/>
  <c r="D469" i="26" s="1"/>
  <c r="E36" i="40" s="1"/>
  <c r="Z121" i="26"/>
  <c r="AH17" i="26"/>
  <c r="AP17" i="26"/>
  <c r="AX17" i="26"/>
  <c r="G41" i="26"/>
  <c r="O41" i="26"/>
  <c r="W41" i="26"/>
  <c r="AN58" i="26"/>
  <c r="AJ57" i="26"/>
  <c r="Z81" i="26"/>
  <c r="H41" i="26"/>
  <c r="P41" i="26"/>
  <c r="X41" i="26"/>
  <c r="AF54" i="26"/>
  <c r="AK57" i="26"/>
  <c r="D81" i="26"/>
  <c r="L81" i="26"/>
  <c r="T81" i="26"/>
  <c r="C81" i="26"/>
  <c r="K81" i="26"/>
  <c r="S81" i="26"/>
  <c r="AJ97" i="26"/>
  <c r="AH18" i="26"/>
  <c r="AX18" i="26"/>
  <c r="B81" i="26"/>
  <c r="AY97" i="26"/>
  <c r="AQ97" i="26"/>
  <c r="AI97" i="26"/>
  <c r="AX97" i="26"/>
  <c r="AP97" i="26"/>
  <c r="AH97" i="26"/>
  <c r="AY57" i="26"/>
  <c r="AQ57" i="26"/>
  <c r="AI57" i="26"/>
  <c r="AW97" i="26"/>
  <c r="AO97" i="26"/>
  <c r="AG97" i="26"/>
  <c r="AX57" i="26"/>
  <c r="AP57" i="26"/>
  <c r="AH57" i="26"/>
  <c r="AV97" i="26"/>
  <c r="AN97" i="26"/>
  <c r="AF97" i="26"/>
  <c r="AW57" i="26"/>
  <c r="AO57" i="26"/>
  <c r="AG57" i="26"/>
  <c r="AU97" i="26"/>
  <c r="AM97" i="26"/>
  <c r="AE97" i="26"/>
  <c r="AT97" i="26"/>
  <c r="AL97" i="26"/>
  <c r="AD97" i="26"/>
  <c r="AD98" i="26" s="1"/>
  <c r="AU57" i="26"/>
  <c r="AM57" i="26"/>
  <c r="AE57" i="26"/>
  <c r="BA97" i="26"/>
  <c r="AS97" i="26"/>
  <c r="AK97" i="26"/>
  <c r="AC97" i="26"/>
  <c r="AT57" i="26"/>
  <c r="AL57" i="26"/>
  <c r="AD57" i="26"/>
  <c r="AE16" i="26"/>
  <c r="AC17" i="26"/>
  <c r="AK17" i="26"/>
  <c r="AS17" i="26"/>
  <c r="BA17" i="26"/>
  <c r="AR57" i="26"/>
  <c r="AZ97" i="26"/>
  <c r="AU94" i="26"/>
  <c r="AY98" i="26"/>
  <c r="C121" i="26"/>
  <c r="K121" i="26"/>
  <c r="S121" i="26"/>
  <c r="W121" i="26"/>
  <c r="AI54" i="26"/>
  <c r="AH96" i="26"/>
  <c r="AP96" i="26"/>
  <c r="F121" i="26"/>
  <c r="N121" i="26"/>
  <c r="V121" i="26"/>
  <c r="AL94" i="26"/>
  <c r="AH17" i="23"/>
  <c r="AP17" i="23"/>
  <c r="BA17" i="23"/>
  <c r="AO57" i="23"/>
  <c r="AI17" i="23"/>
  <c r="AQ17" i="23"/>
  <c r="D41" i="23"/>
  <c r="L41" i="23"/>
  <c r="AW57" i="23"/>
  <c r="AX94" i="23"/>
  <c r="D439" i="23" s="1"/>
  <c r="D453" i="23" s="1"/>
  <c r="D471" i="23" s="1"/>
  <c r="G22" i="39" s="1"/>
  <c r="W121" i="23"/>
  <c r="AJ17" i="23"/>
  <c r="AS17" i="23"/>
  <c r="AT97" i="23"/>
  <c r="AT98" i="23" s="1"/>
  <c r="AL97" i="23"/>
  <c r="AL98" i="23" s="1"/>
  <c r="AD97" i="23"/>
  <c r="AV57" i="23"/>
  <c r="AN57" i="23"/>
  <c r="AF57" i="23"/>
  <c r="BA97" i="23"/>
  <c r="AS97" i="23"/>
  <c r="AK97" i="23"/>
  <c r="AC97" i="23"/>
  <c r="AU57" i="23"/>
  <c r="AM57" i="23"/>
  <c r="AE57" i="23"/>
  <c r="AZ97" i="23"/>
  <c r="AZ98" i="23" s="1"/>
  <c r="AR97" i="23"/>
  <c r="AR98" i="23" s="1"/>
  <c r="AJ97" i="23"/>
  <c r="AT57" i="23"/>
  <c r="AL57" i="23"/>
  <c r="AD57" i="23"/>
  <c r="AD58" i="23" s="1"/>
  <c r="AY97" i="23"/>
  <c r="AY98" i="23" s="1"/>
  <c r="AQ97" i="23"/>
  <c r="AI97" i="23"/>
  <c r="BA57" i="23"/>
  <c r="AS57" i="23"/>
  <c r="AK57" i="23"/>
  <c r="AK58" i="23" s="1"/>
  <c r="AC57" i="23"/>
  <c r="AU17" i="23"/>
  <c r="AX97" i="23"/>
  <c r="AP97" i="23"/>
  <c r="AH97" i="23"/>
  <c r="AZ57" i="23"/>
  <c r="AR57" i="23"/>
  <c r="AJ57" i="23"/>
  <c r="AJ58" i="23" s="1"/>
  <c r="AW97" i="23"/>
  <c r="AW98" i="23" s="1"/>
  <c r="AO97" i="23"/>
  <c r="AO98" i="23" s="1"/>
  <c r="AG97" i="23"/>
  <c r="AG98" i="23" s="1"/>
  <c r="AY57" i="23"/>
  <c r="AQ57" i="23"/>
  <c r="AI57" i="23"/>
  <c r="AV97" i="23"/>
  <c r="AN97" i="23"/>
  <c r="AN98" i="23" s="1"/>
  <c r="AF97" i="23"/>
  <c r="AX57" i="23"/>
  <c r="AP57" i="23"/>
  <c r="AH57" i="23"/>
  <c r="AZ17" i="23"/>
  <c r="AR17" i="23"/>
  <c r="AC17" i="23"/>
  <c r="AK17" i="23"/>
  <c r="AT17" i="23"/>
  <c r="AI56" i="23"/>
  <c r="AQ56" i="23"/>
  <c r="AY56" i="23"/>
  <c r="B41" i="23"/>
  <c r="AD17" i="23"/>
  <c r="AL17" i="23"/>
  <c r="AV17" i="23"/>
  <c r="AV98" i="23"/>
  <c r="BA98" i="23"/>
  <c r="Q81" i="23"/>
  <c r="AR54" i="23"/>
  <c r="AE17" i="23"/>
  <c r="AM17" i="23"/>
  <c r="AW17" i="23"/>
  <c r="AG18" i="23"/>
  <c r="Z81" i="23"/>
  <c r="G81" i="23"/>
  <c r="O81" i="23"/>
  <c r="W81" i="23"/>
  <c r="AE97" i="23"/>
  <c r="AE98" i="23" s="1"/>
  <c r="AF17" i="23"/>
  <c r="AN17" i="23"/>
  <c r="AX17" i="23"/>
  <c r="AX18" i="23" s="1"/>
  <c r="AI18" i="23"/>
  <c r="Z41" i="23"/>
  <c r="B81" i="23"/>
  <c r="AM97" i="23"/>
  <c r="Z121" i="23"/>
  <c r="X121" i="23"/>
  <c r="AJ98" i="23"/>
  <c r="B121" i="23"/>
  <c r="F121" i="23"/>
  <c r="N121" i="23"/>
  <c r="V121" i="23"/>
  <c r="AZ18" i="22"/>
  <c r="AP18" i="22"/>
  <c r="AL14" i="22"/>
  <c r="Y41" i="22"/>
  <c r="X41" i="22"/>
  <c r="BA52" i="22"/>
  <c r="C437" i="22" s="1"/>
  <c r="C451" i="22" s="1"/>
  <c r="C469" i="22" s="1"/>
  <c r="E35" i="39" s="1"/>
  <c r="H81" i="22"/>
  <c r="AI54" i="22"/>
  <c r="AS97" i="22"/>
  <c r="C121" i="22"/>
  <c r="AD96" i="22"/>
  <c r="K121" i="22"/>
  <c r="AL96" i="22"/>
  <c r="S121" i="22"/>
  <c r="AT96" i="22"/>
  <c r="J121" i="22"/>
  <c r="BA12" i="22"/>
  <c r="B437" i="22" s="1"/>
  <c r="B451" i="22" s="1"/>
  <c r="B469" i="22" s="1"/>
  <c r="E34" i="39" s="1"/>
  <c r="AK16" i="22"/>
  <c r="AI17" i="22"/>
  <c r="AQ17" i="22"/>
  <c r="AQ18" i="22" s="1"/>
  <c r="AY17" i="22"/>
  <c r="R41" i="22"/>
  <c r="AL57" i="22"/>
  <c r="AL58" i="22" s="1"/>
  <c r="I81" i="22"/>
  <c r="Q81" i="22"/>
  <c r="Y81" i="22"/>
  <c r="AT97" i="22"/>
  <c r="E121" i="22"/>
  <c r="AF94" i="22"/>
  <c r="AC17" i="22"/>
  <c r="BA97" i="22"/>
  <c r="AT17" i="22"/>
  <c r="B41" i="22"/>
  <c r="AH58" i="22"/>
  <c r="AP57" i="22"/>
  <c r="AU94" i="22"/>
  <c r="AE97" i="22"/>
  <c r="Z121" i="22"/>
  <c r="AS17" i="22"/>
  <c r="AN57" i="22"/>
  <c r="AD17" i="22"/>
  <c r="AL17" i="22"/>
  <c r="AE17" i="22"/>
  <c r="AM17" i="22"/>
  <c r="AM18" i="22" s="1"/>
  <c r="AU17" i="22"/>
  <c r="AD57" i="22"/>
  <c r="AT57" i="22"/>
  <c r="AK97" i="22"/>
  <c r="R121" i="22"/>
  <c r="BA17" i="22"/>
  <c r="AF17" i="22"/>
  <c r="AN17" i="22"/>
  <c r="AE57" i="22"/>
  <c r="AU57" i="22"/>
  <c r="F81" i="22"/>
  <c r="AO54" i="22"/>
  <c r="N81" i="22"/>
  <c r="V81" i="22"/>
  <c r="D81" i="22"/>
  <c r="AL97" i="22"/>
  <c r="BA92" i="22"/>
  <c r="D437" i="22" s="1"/>
  <c r="D451" i="22" s="1"/>
  <c r="D469" i="22" s="1"/>
  <c r="E36" i="39" s="1"/>
  <c r="AX97" i="22"/>
  <c r="AP97" i="22"/>
  <c r="AH97" i="22"/>
  <c r="AY57" i="22"/>
  <c r="AY58" i="22" s="1"/>
  <c r="AQ57" i="22"/>
  <c r="AI57" i="22"/>
  <c r="AW97" i="22"/>
  <c r="AO97" i="22"/>
  <c r="AO98" i="22" s="1"/>
  <c r="AG97" i="22"/>
  <c r="AV97" i="22"/>
  <c r="AN97" i="22"/>
  <c r="AF97" i="22"/>
  <c r="AW57" i="22"/>
  <c r="AO57" i="22"/>
  <c r="AG57" i="22"/>
  <c r="AZ97" i="22"/>
  <c r="AR97" i="22"/>
  <c r="AJ97" i="22"/>
  <c r="BA57" i="22"/>
  <c r="AS57" i="22"/>
  <c r="AK57" i="22"/>
  <c r="AC57" i="22"/>
  <c r="AY97" i="22"/>
  <c r="AQ97" i="22"/>
  <c r="AI97" i="22"/>
  <c r="AZ57" i="22"/>
  <c r="AR57" i="22"/>
  <c r="AJ57" i="22"/>
  <c r="AK17" i="22"/>
  <c r="AD97" i="22"/>
  <c r="AV17" i="22"/>
  <c r="AG17" i="22"/>
  <c r="AO17" i="22"/>
  <c r="AW17" i="22"/>
  <c r="AX58" i="22"/>
  <c r="AF57" i="22"/>
  <c r="AV57" i="22"/>
  <c r="Z81" i="22"/>
  <c r="G81" i="22"/>
  <c r="O81" i="22"/>
  <c r="W81" i="22"/>
  <c r="AM97" i="22"/>
  <c r="AV98" i="22"/>
  <c r="G30" i="13"/>
  <c r="G31" i="13"/>
  <c r="G385" i="13"/>
  <c r="G386" i="13" s="1"/>
  <c r="G219" i="43" l="1"/>
  <c r="P429" i="43" s="1"/>
  <c r="C456" i="43" s="1"/>
  <c r="D441" i="26"/>
  <c r="D455" i="26" s="1"/>
  <c r="D473" i="26" s="1"/>
  <c r="I36" i="40" s="1"/>
  <c r="C442" i="26"/>
  <c r="C456" i="26" s="1"/>
  <c r="C474" i="26" s="1"/>
  <c r="J35" i="40" s="1"/>
  <c r="D439" i="26"/>
  <c r="D453" i="26" s="1"/>
  <c r="D471" i="26" s="1"/>
  <c r="G36" i="40" s="1"/>
  <c r="C439" i="26"/>
  <c r="C453" i="26" s="1"/>
  <c r="C471" i="26" s="1"/>
  <c r="G35" i="40" s="1"/>
  <c r="B439" i="26"/>
  <c r="B453" i="26" s="1"/>
  <c r="B471" i="26" s="1"/>
  <c r="G34" i="40" s="1"/>
  <c r="B439" i="24"/>
  <c r="B453" i="24" s="1"/>
  <c r="B471" i="24" s="1"/>
  <c r="G6" i="39" s="1"/>
  <c r="AY98" i="24"/>
  <c r="AM98" i="24"/>
  <c r="AS98" i="24"/>
  <c r="D439" i="24"/>
  <c r="D453" i="24" s="1"/>
  <c r="D471" i="24" s="1"/>
  <c r="G8" i="39" s="1"/>
  <c r="AZ98" i="24"/>
  <c r="AT58" i="24"/>
  <c r="AV98" i="27"/>
  <c r="AQ18" i="27"/>
  <c r="AP98" i="23"/>
  <c r="C439" i="23"/>
  <c r="C453" i="23" s="1"/>
  <c r="C471" i="23" s="1"/>
  <c r="G21" i="39" s="1"/>
  <c r="AX58" i="23"/>
  <c r="C442" i="23"/>
  <c r="C456" i="23" s="1"/>
  <c r="C474" i="23" s="1"/>
  <c r="J21" i="39" s="1"/>
  <c r="AS98" i="23"/>
  <c r="C439" i="22"/>
  <c r="C453" i="22" s="1"/>
  <c r="C471" i="22" s="1"/>
  <c r="G35" i="39" s="1"/>
  <c r="D439" i="22"/>
  <c r="D453" i="22" s="1"/>
  <c r="D471" i="22" s="1"/>
  <c r="G36" i="39" s="1"/>
  <c r="B439" i="22"/>
  <c r="B453" i="22" s="1"/>
  <c r="B471" i="22" s="1"/>
  <c r="G34" i="39" s="1"/>
  <c r="C442" i="22"/>
  <c r="C456" i="22" s="1"/>
  <c r="C474" i="22" s="1"/>
  <c r="J35" i="39" s="1"/>
  <c r="AM18" i="28"/>
  <c r="AH98" i="28"/>
  <c r="AT18" i="28"/>
  <c r="AM98" i="28"/>
  <c r="AN98" i="28"/>
  <c r="G84" i="43"/>
  <c r="I429" i="43" s="1"/>
  <c r="J454" i="43" s="1"/>
  <c r="G72" i="43"/>
  <c r="G429" i="43" s="1"/>
  <c r="E454" i="43" s="1"/>
  <c r="G47" i="43"/>
  <c r="D429" i="43" s="1"/>
  <c r="H453" i="43" s="1"/>
  <c r="I231" i="43"/>
  <c r="R431" i="43" s="1"/>
  <c r="AH456" i="43" s="1"/>
  <c r="I458" i="32"/>
  <c r="I476" i="32" s="1"/>
  <c r="L55" i="1" s="1"/>
  <c r="G231" i="43"/>
  <c r="R429" i="43" s="1"/>
  <c r="J456" i="43" s="1"/>
  <c r="F256" i="43"/>
  <c r="AF428" i="43" s="1"/>
  <c r="AE448" i="43" s="1"/>
  <c r="I47" i="43"/>
  <c r="D431" i="43" s="1"/>
  <c r="AF453" i="43" s="1"/>
  <c r="I72" i="43"/>
  <c r="G431" i="43" s="1"/>
  <c r="AC454" i="43" s="1"/>
  <c r="G35" i="43"/>
  <c r="B429" i="43" s="1"/>
  <c r="F453" i="43" s="1"/>
  <c r="F244" i="43"/>
  <c r="AE428" i="43" s="1"/>
  <c r="I35" i="43"/>
  <c r="B431" i="43" s="1"/>
  <c r="AD453" i="43" s="1"/>
  <c r="E121" i="43"/>
  <c r="M427" i="43" s="1"/>
  <c r="S445" i="43" s="1"/>
  <c r="I219" i="43"/>
  <c r="P431" i="43" s="1"/>
  <c r="AA456" i="43" s="1"/>
  <c r="AP58" i="28"/>
  <c r="AS98" i="28"/>
  <c r="AX58" i="28"/>
  <c r="D439" i="28"/>
  <c r="D453" i="28" s="1"/>
  <c r="D471" i="28" s="1"/>
  <c r="G8" i="40" s="1"/>
  <c r="C439" i="28"/>
  <c r="C453" i="28" s="1"/>
  <c r="C471" i="28" s="1"/>
  <c r="G7" i="40" s="1"/>
  <c r="AO281" i="28"/>
  <c r="AO283" i="28" s="1"/>
  <c r="N306" i="28"/>
  <c r="AE281" i="28"/>
  <c r="AE283" i="28" s="1"/>
  <c r="D306" i="28"/>
  <c r="C443" i="28"/>
  <c r="C457" i="28" s="1"/>
  <c r="C475" i="28" s="1"/>
  <c r="K7" i="40" s="1"/>
  <c r="AY402" i="28"/>
  <c r="AY404" i="28" s="1"/>
  <c r="X427" i="28"/>
  <c r="AV341" i="28"/>
  <c r="AV343" i="28" s="1"/>
  <c r="U366" i="28"/>
  <c r="AP402" i="28"/>
  <c r="AP404" i="28" s="1"/>
  <c r="O427" i="28"/>
  <c r="AE341" i="28"/>
  <c r="AE343" i="28" s="1"/>
  <c r="D366" i="28"/>
  <c r="AW402" i="28"/>
  <c r="AW404" i="28" s="1"/>
  <c r="V427" i="28"/>
  <c r="AL341" i="28"/>
  <c r="AL343" i="28" s="1"/>
  <c r="K366" i="28"/>
  <c r="AV402" i="28"/>
  <c r="AV404" i="28" s="1"/>
  <c r="U427" i="28"/>
  <c r="AS341" i="28"/>
  <c r="AS343" i="28" s="1"/>
  <c r="R366" i="28"/>
  <c r="AP281" i="28"/>
  <c r="AP283" i="28" s="1"/>
  <c r="O306" i="28"/>
  <c r="AU402" i="28"/>
  <c r="AU404" i="28" s="1"/>
  <c r="T427" i="28"/>
  <c r="AT402" i="28"/>
  <c r="AT404" i="28" s="1"/>
  <c r="S427" i="28"/>
  <c r="AY341" i="28"/>
  <c r="AY343" i="28" s="1"/>
  <c r="X366" i="28"/>
  <c r="AV281" i="28"/>
  <c r="AV283" i="28" s="1"/>
  <c r="U306" i="28"/>
  <c r="AP341" i="28"/>
  <c r="AP343" i="28" s="1"/>
  <c r="O366" i="28"/>
  <c r="B443" i="28"/>
  <c r="B457" i="28" s="1"/>
  <c r="B475" i="28" s="1"/>
  <c r="K6" i="40" s="1"/>
  <c r="AG281" i="28"/>
  <c r="AG283" i="28" s="1"/>
  <c r="F306" i="28"/>
  <c r="AD281" i="28"/>
  <c r="AD283" i="28" s="1"/>
  <c r="C306" i="28"/>
  <c r="AK402" i="28"/>
  <c r="AK404" i="28" s="1"/>
  <c r="J427" i="28"/>
  <c r="AH341" i="28"/>
  <c r="AH343" i="28" s="1"/>
  <c r="G366" i="28"/>
  <c r="AJ402" i="28"/>
  <c r="AJ404" i="28" s="1"/>
  <c r="I427" i="28"/>
  <c r="AS402" i="28"/>
  <c r="AS404" i="28" s="1"/>
  <c r="R427" i="28"/>
  <c r="AC181" i="28"/>
  <c r="F444" i="28" s="1"/>
  <c r="F458" i="28" s="1"/>
  <c r="F476" i="28" s="1"/>
  <c r="L10" i="40" s="1"/>
  <c r="F443" i="28"/>
  <c r="F457" i="28" s="1"/>
  <c r="F475" i="28" s="1"/>
  <c r="K10" i="40" s="1"/>
  <c r="AC140" i="28"/>
  <c r="E443" i="28"/>
  <c r="E457" i="28" s="1"/>
  <c r="E475" i="28" s="1"/>
  <c r="K9" i="40" s="1"/>
  <c r="AC222" i="28"/>
  <c r="G444" i="28" s="1"/>
  <c r="G458" i="28" s="1"/>
  <c r="G476" i="28" s="1"/>
  <c r="L11" i="40" s="1"/>
  <c r="G443" i="28"/>
  <c r="G457" i="28" s="1"/>
  <c r="G475" i="28" s="1"/>
  <c r="K11" i="40" s="1"/>
  <c r="AQ402" i="28"/>
  <c r="AQ404" i="28" s="1"/>
  <c r="P427" i="28"/>
  <c r="AN341" i="28"/>
  <c r="AN343" i="28" s="1"/>
  <c r="M366" i="28"/>
  <c r="AH402" i="28"/>
  <c r="AH404" i="28" s="1"/>
  <c r="G427" i="28"/>
  <c r="AZ281" i="28"/>
  <c r="AZ283" i="28" s="1"/>
  <c r="Y306" i="28"/>
  <c r="AC335" i="28"/>
  <c r="B366" i="28"/>
  <c r="AO402" i="28"/>
  <c r="AO404" i="28" s="1"/>
  <c r="N427" i="28"/>
  <c r="AD341" i="28"/>
  <c r="AD343" i="28" s="1"/>
  <c r="C366" i="28"/>
  <c r="AN402" i="28"/>
  <c r="AN404" i="28" s="1"/>
  <c r="M427" i="28"/>
  <c r="AK341" i="28"/>
  <c r="AK343" i="28" s="1"/>
  <c r="J366" i="28"/>
  <c r="AH281" i="28"/>
  <c r="AH283" i="28" s="1"/>
  <c r="G306" i="28"/>
  <c r="AM402" i="28"/>
  <c r="AM404" i="28" s="1"/>
  <c r="L427" i="28"/>
  <c r="AL402" i="28"/>
  <c r="AL404" i="28" s="1"/>
  <c r="K427" i="28"/>
  <c r="AQ341" i="28"/>
  <c r="AQ343" i="28" s="1"/>
  <c r="P366" i="28"/>
  <c r="AN281" i="28"/>
  <c r="AN283" i="28" s="1"/>
  <c r="M306" i="28"/>
  <c r="AG341" i="28"/>
  <c r="AG343" i="28" s="1"/>
  <c r="F366" i="28"/>
  <c r="AC275" i="28"/>
  <c r="B306" i="28"/>
  <c r="AU281" i="28"/>
  <c r="AU283" i="28" s="1"/>
  <c r="T306" i="28"/>
  <c r="AW341" i="28"/>
  <c r="AW343" i="28" s="1"/>
  <c r="V366" i="28"/>
  <c r="AM58" i="28"/>
  <c r="AZ98" i="28"/>
  <c r="AI402" i="28"/>
  <c r="AI404" i="28" s="1"/>
  <c r="H427" i="28"/>
  <c r="AF341" i="28"/>
  <c r="AF343" i="28" s="1"/>
  <c r="E366" i="28"/>
  <c r="AU341" i="28"/>
  <c r="AU343" i="28" s="1"/>
  <c r="T366" i="28"/>
  <c r="AR281" i="28"/>
  <c r="AR283" i="28" s="1"/>
  <c r="Q306" i="28"/>
  <c r="AQ281" i="28"/>
  <c r="AQ283" i="28" s="1"/>
  <c r="P306" i="28"/>
  <c r="AY281" i="28"/>
  <c r="AY283" i="28" s="1"/>
  <c r="X306" i="28"/>
  <c r="AF402" i="28"/>
  <c r="AF404" i="28" s="1"/>
  <c r="E427" i="28"/>
  <c r="AR402" i="28"/>
  <c r="AR404" i="28" s="1"/>
  <c r="Q427" i="28"/>
  <c r="AE402" i="28"/>
  <c r="AE404" i="28" s="1"/>
  <c r="D427" i="28"/>
  <c r="AD402" i="28"/>
  <c r="AD404" i="28" s="1"/>
  <c r="C427" i="28"/>
  <c r="AI341" i="28"/>
  <c r="AI343" i="28" s="1"/>
  <c r="H366" i="28"/>
  <c r="AF281" i="28"/>
  <c r="AF283" i="28" s="1"/>
  <c r="E306" i="28"/>
  <c r="D442" i="28"/>
  <c r="D456" i="28" s="1"/>
  <c r="D474" i="28" s="1"/>
  <c r="J8" i="40" s="1"/>
  <c r="B442" i="28"/>
  <c r="B456" i="28" s="1"/>
  <c r="B474" i="28" s="1"/>
  <c r="J6" i="40" s="1"/>
  <c r="C442" i="28"/>
  <c r="C456" i="28" s="1"/>
  <c r="C474" i="28" s="1"/>
  <c r="J7" i="40" s="1"/>
  <c r="AW281" i="28"/>
  <c r="AW283" i="28" s="1"/>
  <c r="V306" i="28"/>
  <c r="AL281" i="28"/>
  <c r="AL283" i="28" s="1"/>
  <c r="K306" i="28"/>
  <c r="AX341" i="28"/>
  <c r="AX343" i="28" s="1"/>
  <c r="W366" i="28"/>
  <c r="AM281" i="28"/>
  <c r="AM283" i="28" s="1"/>
  <c r="L306" i="28"/>
  <c r="AT281" i="28"/>
  <c r="AT283" i="28" s="1"/>
  <c r="S306" i="28"/>
  <c r="D443" i="28"/>
  <c r="D457" i="28" s="1"/>
  <c r="D475" i="28" s="1"/>
  <c r="K8" i="40" s="1"/>
  <c r="BA398" i="28"/>
  <c r="Z427" i="28"/>
  <c r="AX402" i="28"/>
  <c r="AX404" i="28" s="1"/>
  <c r="W427" i="28"/>
  <c r="AM341" i="28"/>
  <c r="AM343" i="28" s="1"/>
  <c r="L366" i="28"/>
  <c r="AJ281" i="28"/>
  <c r="AJ283" i="28" s="1"/>
  <c r="I306" i="28"/>
  <c r="BA277" i="28"/>
  <c r="Z306" i="28"/>
  <c r="AT341" i="28"/>
  <c r="AT343" i="28" s="1"/>
  <c r="S366" i="28"/>
  <c r="AI281" i="28"/>
  <c r="AI283" i="28" s="1"/>
  <c r="H306" i="28"/>
  <c r="AX281" i="28"/>
  <c r="AX283" i="28" s="1"/>
  <c r="W306" i="28"/>
  <c r="AO341" i="28"/>
  <c r="AO343" i="28" s="1"/>
  <c r="N366" i="28"/>
  <c r="AC396" i="28"/>
  <c r="B427" i="28"/>
  <c r="BA337" i="28"/>
  <c r="Z366" i="28"/>
  <c r="AZ402" i="28"/>
  <c r="AZ404" i="28" s="1"/>
  <c r="Y427" i="28"/>
  <c r="AQ402" i="27"/>
  <c r="AQ404" i="27" s="1"/>
  <c r="P427" i="27"/>
  <c r="B443" i="27"/>
  <c r="B457" i="27" s="1"/>
  <c r="B475" i="27" s="1"/>
  <c r="K20" i="40" s="1"/>
  <c r="C443" i="27"/>
  <c r="C457" i="27" s="1"/>
  <c r="C475" i="27" s="1"/>
  <c r="K21" i="40" s="1"/>
  <c r="AT341" i="27"/>
  <c r="AT343" i="27" s="1"/>
  <c r="S366" i="27"/>
  <c r="AY281" i="27"/>
  <c r="AY283" i="27" s="1"/>
  <c r="X306" i="27"/>
  <c r="AG341" i="27"/>
  <c r="AG343" i="27" s="1"/>
  <c r="F366" i="27"/>
  <c r="AX281" i="27"/>
  <c r="AX283" i="27" s="1"/>
  <c r="W306" i="27"/>
  <c r="AU402" i="27"/>
  <c r="AU404" i="27" s="1"/>
  <c r="T427" i="27"/>
  <c r="AR341" i="27"/>
  <c r="AR343" i="27" s="1"/>
  <c r="Q366" i="27"/>
  <c r="AC396" i="27"/>
  <c r="B427" i="27"/>
  <c r="BA337" i="27"/>
  <c r="Z366" i="27"/>
  <c r="AR402" i="27"/>
  <c r="AR404" i="27" s="1"/>
  <c r="Q427" i="27"/>
  <c r="AU281" i="27"/>
  <c r="AU283" i="27" s="1"/>
  <c r="T306" i="27"/>
  <c r="AY402" i="27"/>
  <c r="AY404" i="27" s="1"/>
  <c r="X427" i="27"/>
  <c r="AV341" i="27"/>
  <c r="AV343" i="27" s="1"/>
  <c r="U366" i="27"/>
  <c r="AS281" i="27"/>
  <c r="AS283" i="27" s="1"/>
  <c r="R306" i="27"/>
  <c r="AD281" i="27"/>
  <c r="AD283" i="27" s="1"/>
  <c r="C306" i="27"/>
  <c r="AU341" i="27"/>
  <c r="AU343" i="27" s="1"/>
  <c r="T366" i="27"/>
  <c r="AL341" i="27"/>
  <c r="AL343" i="27" s="1"/>
  <c r="K366" i="27"/>
  <c r="AV402" i="27"/>
  <c r="AV404" i="27" s="1"/>
  <c r="U427" i="27"/>
  <c r="AJ341" i="27"/>
  <c r="AJ343" i="27" s="1"/>
  <c r="I366" i="27"/>
  <c r="AN341" i="27"/>
  <c r="AN343" i="27" s="1"/>
  <c r="M366" i="27"/>
  <c r="D443" i="27"/>
  <c r="D457" i="27" s="1"/>
  <c r="D475" i="27" s="1"/>
  <c r="K22" i="40" s="1"/>
  <c r="AW402" i="27"/>
  <c r="AW404" i="27" s="1"/>
  <c r="V427" i="27"/>
  <c r="AG281" i="27"/>
  <c r="AG283" i="27" s="1"/>
  <c r="F306" i="27"/>
  <c r="D442" i="27"/>
  <c r="D456" i="27" s="1"/>
  <c r="D474" i="27" s="1"/>
  <c r="J22" i="40" s="1"/>
  <c r="AS341" i="27"/>
  <c r="AS343" i="27" s="1"/>
  <c r="R366" i="27"/>
  <c r="AM402" i="27"/>
  <c r="AM404" i="27" s="1"/>
  <c r="L427" i="27"/>
  <c r="AT402" i="27"/>
  <c r="AT404" i="27" s="1"/>
  <c r="S427" i="27"/>
  <c r="AV281" i="27"/>
  <c r="AV283" i="27" s="1"/>
  <c r="U306" i="27"/>
  <c r="AJ281" i="27"/>
  <c r="AJ283" i="27" s="1"/>
  <c r="I306" i="27"/>
  <c r="AC140" i="27"/>
  <c r="E443" i="27"/>
  <c r="E457" i="27" s="1"/>
  <c r="E475" i="27" s="1"/>
  <c r="K23" i="40" s="1"/>
  <c r="AO402" i="27"/>
  <c r="AO404" i="27" s="1"/>
  <c r="N427" i="27"/>
  <c r="AJ402" i="27"/>
  <c r="AJ404" i="27" s="1"/>
  <c r="I427" i="27"/>
  <c r="AM281" i="27"/>
  <c r="AM283" i="27" s="1"/>
  <c r="L306" i="27"/>
  <c r="AD341" i="27"/>
  <c r="AD343" i="27" s="1"/>
  <c r="C366" i="27"/>
  <c r="AI281" i="27"/>
  <c r="AI283" i="27" s="1"/>
  <c r="H306" i="27"/>
  <c r="AN402" i="27"/>
  <c r="AN404" i="27" s="1"/>
  <c r="M427" i="27"/>
  <c r="AK341" i="27"/>
  <c r="AK343" i="27" s="1"/>
  <c r="J366" i="27"/>
  <c r="AH281" i="27"/>
  <c r="AH283" i="27" s="1"/>
  <c r="G306" i="27"/>
  <c r="AE402" i="27"/>
  <c r="AE404" i="27" s="1"/>
  <c r="D427" i="27"/>
  <c r="AL402" i="27"/>
  <c r="AL404" i="27" s="1"/>
  <c r="K427" i="27"/>
  <c r="AQ341" i="27"/>
  <c r="AQ343" i="27" s="1"/>
  <c r="P366" i="27"/>
  <c r="AN281" i="27"/>
  <c r="AN283" i="27" s="1"/>
  <c r="M306" i="27"/>
  <c r="AS402" i="27"/>
  <c r="AS404" i="27" s="1"/>
  <c r="R427" i="27"/>
  <c r="AP341" i="27"/>
  <c r="AP343" i="27" s="1"/>
  <c r="O366" i="27"/>
  <c r="AE281" i="27"/>
  <c r="AE283" i="27" s="1"/>
  <c r="D306" i="27"/>
  <c r="AI402" i="27"/>
  <c r="AI404" i="27" s="1"/>
  <c r="H427" i="27"/>
  <c r="AF341" i="27"/>
  <c r="AF343" i="27" s="1"/>
  <c r="E366" i="27"/>
  <c r="AP402" i="27"/>
  <c r="AP404" i="27" s="1"/>
  <c r="O427" i="27"/>
  <c r="AQ281" i="27"/>
  <c r="AQ283" i="27" s="1"/>
  <c r="P306" i="27"/>
  <c r="AP281" i="27"/>
  <c r="AP283" i="27" s="1"/>
  <c r="O306" i="27"/>
  <c r="AM341" i="27"/>
  <c r="AM343" i="27" s="1"/>
  <c r="L366" i="27"/>
  <c r="AG402" i="27"/>
  <c r="AG404" i="27" s="1"/>
  <c r="F427" i="27"/>
  <c r="AW281" i="27"/>
  <c r="AW283" i="27" s="1"/>
  <c r="V306" i="27"/>
  <c r="AL281" i="27"/>
  <c r="AL283" i="27" s="1"/>
  <c r="K306" i="27"/>
  <c r="B442" i="27"/>
  <c r="B456" i="27" s="1"/>
  <c r="B474" i="27" s="1"/>
  <c r="J20" i="40" s="1"/>
  <c r="AK281" i="27"/>
  <c r="AK283" i="27" s="1"/>
  <c r="J306" i="27"/>
  <c r="AC222" i="27"/>
  <c r="G443" i="27"/>
  <c r="G457" i="27" s="1"/>
  <c r="G475" i="27" s="1"/>
  <c r="K25" i="40" s="1"/>
  <c r="AC181" i="27"/>
  <c r="F443" i="27"/>
  <c r="F457" i="27" s="1"/>
  <c r="F475" i="27" s="1"/>
  <c r="K24" i="40" s="1"/>
  <c r="AC335" i="27"/>
  <c r="B366" i="27"/>
  <c r="BA277" i="27"/>
  <c r="Z306" i="27"/>
  <c r="AF402" i="27"/>
  <c r="AF404" i="27" s="1"/>
  <c r="E427" i="27"/>
  <c r="AW341" i="27"/>
  <c r="AW343" i="27" s="1"/>
  <c r="V366" i="27"/>
  <c r="AZ341" i="27"/>
  <c r="AZ343" i="27" s="1"/>
  <c r="Y366" i="27"/>
  <c r="AD402" i="27"/>
  <c r="AD404" i="27" s="1"/>
  <c r="C427" i="27"/>
  <c r="AI341" i="27"/>
  <c r="AI343" i="27" s="1"/>
  <c r="H366" i="27"/>
  <c r="AF281" i="27"/>
  <c r="AF283" i="27" s="1"/>
  <c r="E306" i="27"/>
  <c r="AK402" i="27"/>
  <c r="AK404" i="27" s="1"/>
  <c r="J427" i="27"/>
  <c r="AO341" i="27"/>
  <c r="AO343" i="27" s="1"/>
  <c r="N366" i="27"/>
  <c r="BA398" i="27"/>
  <c r="Z427" i="27"/>
  <c r="AZ402" i="27"/>
  <c r="AZ404" i="27" s="1"/>
  <c r="Y427" i="27"/>
  <c r="AZ281" i="27"/>
  <c r="AZ283" i="27" s="1"/>
  <c r="Y306" i="27"/>
  <c r="AT281" i="27"/>
  <c r="AT283" i="27" s="1"/>
  <c r="S306" i="27"/>
  <c r="C442" i="27"/>
  <c r="C456" i="27" s="1"/>
  <c r="C474" i="27" s="1"/>
  <c r="J21" i="40" s="1"/>
  <c r="AO281" i="27"/>
  <c r="AO283" i="27" s="1"/>
  <c r="N306" i="27"/>
  <c r="AC275" i="27"/>
  <c r="B306" i="27"/>
  <c r="AN402" i="26"/>
  <c r="AN404" i="26" s="1"/>
  <c r="M427" i="26"/>
  <c r="AK341" i="26"/>
  <c r="AK343" i="26" s="1"/>
  <c r="J366" i="26"/>
  <c r="AC275" i="26"/>
  <c r="B306" i="26"/>
  <c r="B442" i="26"/>
  <c r="B456" i="26" s="1"/>
  <c r="B474" i="26" s="1"/>
  <c r="J34" i="40" s="1"/>
  <c r="BA277" i="26"/>
  <c r="Z306" i="26"/>
  <c r="C443" i="26"/>
  <c r="C457" i="26" s="1"/>
  <c r="C475" i="26" s="1"/>
  <c r="K35" i="40" s="1"/>
  <c r="AC140" i="26"/>
  <c r="E444" i="26" s="1"/>
  <c r="E458" i="26" s="1"/>
  <c r="E476" i="26" s="1"/>
  <c r="L37" i="40" s="1"/>
  <c r="E443" i="26"/>
  <c r="E457" i="26" s="1"/>
  <c r="E475" i="26" s="1"/>
  <c r="K37" i="40" s="1"/>
  <c r="AH281" i="26"/>
  <c r="AH283" i="26" s="1"/>
  <c r="G306" i="26"/>
  <c r="AZ341" i="26"/>
  <c r="AZ343" i="26" s="1"/>
  <c r="Y366" i="26"/>
  <c r="AL402" i="26"/>
  <c r="AL404" i="26" s="1"/>
  <c r="K427" i="26"/>
  <c r="AI341" i="26"/>
  <c r="AI343" i="26" s="1"/>
  <c r="H366" i="26"/>
  <c r="AT341" i="26"/>
  <c r="AT343" i="26" s="1"/>
  <c r="S366" i="26"/>
  <c r="AC402" i="26"/>
  <c r="B427" i="26"/>
  <c r="AY402" i="26"/>
  <c r="AY404" i="26" s="1"/>
  <c r="X427" i="26"/>
  <c r="AV341" i="26"/>
  <c r="AV343" i="26" s="1"/>
  <c r="U366" i="26"/>
  <c r="AR281" i="26"/>
  <c r="AR283" i="26" s="1"/>
  <c r="Q306" i="26"/>
  <c r="AC222" i="26"/>
  <c r="G444" i="26" s="1"/>
  <c r="G458" i="26" s="1"/>
  <c r="G476" i="26" s="1"/>
  <c r="L39" i="40" s="1"/>
  <c r="G443" i="26"/>
  <c r="G457" i="26" s="1"/>
  <c r="G475" i="26" s="1"/>
  <c r="K39" i="40" s="1"/>
  <c r="AE341" i="26"/>
  <c r="AE343" i="26" s="1"/>
  <c r="D366" i="26"/>
  <c r="AG58" i="26"/>
  <c r="E444" i="28"/>
  <c r="E458" i="28" s="1"/>
  <c r="E476" i="28" s="1"/>
  <c r="L9" i="40" s="1"/>
  <c r="AF402" i="26"/>
  <c r="AF404" i="26" s="1"/>
  <c r="E427" i="26"/>
  <c r="D442" i="26"/>
  <c r="D456" i="26" s="1"/>
  <c r="D474" i="26" s="1"/>
  <c r="J36" i="40" s="1"/>
  <c r="AT281" i="26"/>
  <c r="AT283" i="26" s="1"/>
  <c r="S306" i="26"/>
  <c r="AL341" i="26"/>
  <c r="AL343" i="26" s="1"/>
  <c r="K366" i="26"/>
  <c r="AY281" i="26"/>
  <c r="AY283" i="26" s="1"/>
  <c r="X306" i="26"/>
  <c r="AO402" i="26"/>
  <c r="AO404" i="26" s="1"/>
  <c r="N427" i="26"/>
  <c r="AC181" i="26"/>
  <c r="F444" i="26" s="1"/>
  <c r="F458" i="26" s="1"/>
  <c r="F476" i="26" s="1"/>
  <c r="L38" i="40" s="1"/>
  <c r="F443" i="26"/>
  <c r="F457" i="26" s="1"/>
  <c r="F475" i="26" s="1"/>
  <c r="K38" i="40" s="1"/>
  <c r="AW281" i="26"/>
  <c r="AW283" i="26" s="1"/>
  <c r="V306" i="26"/>
  <c r="AU402" i="26"/>
  <c r="AU404" i="26" s="1"/>
  <c r="T427" i="26"/>
  <c r="AR341" i="26"/>
  <c r="AR343" i="26" s="1"/>
  <c r="Q366" i="26"/>
  <c r="AN281" i="26"/>
  <c r="AN283" i="26" s="1"/>
  <c r="M306" i="26"/>
  <c r="AD402" i="26"/>
  <c r="AD404" i="26" s="1"/>
  <c r="C427" i="26"/>
  <c r="AX341" i="26"/>
  <c r="AX343" i="26" s="1"/>
  <c r="W366" i="26"/>
  <c r="AW341" i="26"/>
  <c r="AW343" i="26" s="1"/>
  <c r="V366" i="26"/>
  <c r="AS281" i="26"/>
  <c r="AS283" i="26" s="1"/>
  <c r="R306" i="26"/>
  <c r="AQ402" i="26"/>
  <c r="AQ404" i="26" s="1"/>
  <c r="P427" i="26"/>
  <c r="AN341" i="26"/>
  <c r="AN343" i="26" s="1"/>
  <c r="M366" i="26"/>
  <c r="AJ281" i="26"/>
  <c r="AJ283" i="26" s="1"/>
  <c r="I306" i="26"/>
  <c r="AL281" i="26"/>
  <c r="AL283" i="26" s="1"/>
  <c r="K306" i="26"/>
  <c r="AZ402" i="26"/>
  <c r="AZ404" i="26" s="1"/>
  <c r="Y427" i="26"/>
  <c r="AP281" i="26"/>
  <c r="AP283" i="26" s="1"/>
  <c r="O306" i="26"/>
  <c r="AU341" i="26"/>
  <c r="AU343" i="26" s="1"/>
  <c r="T366" i="26"/>
  <c r="AQ281" i="26"/>
  <c r="AQ283" i="26" s="1"/>
  <c r="P306" i="26"/>
  <c r="AD341" i="26"/>
  <c r="AD343" i="26" s="1"/>
  <c r="C366" i="26"/>
  <c r="AO281" i="26"/>
  <c r="AO283" i="26" s="1"/>
  <c r="N306" i="26"/>
  <c r="AM402" i="26"/>
  <c r="AM404" i="26" s="1"/>
  <c r="L427" i="26"/>
  <c r="AJ341" i="26"/>
  <c r="AJ343" i="26" s="1"/>
  <c r="I366" i="26"/>
  <c r="AF281" i="26"/>
  <c r="AF283" i="26" s="1"/>
  <c r="E306" i="26"/>
  <c r="AS402" i="26"/>
  <c r="AS404" i="26" s="1"/>
  <c r="R427" i="26"/>
  <c r="AP341" i="26"/>
  <c r="AP343" i="26" s="1"/>
  <c r="O366" i="26"/>
  <c r="AO341" i="26"/>
  <c r="AO343" i="26" s="1"/>
  <c r="N366" i="26"/>
  <c r="AK281" i="26"/>
  <c r="AK283" i="26" s="1"/>
  <c r="J306" i="26"/>
  <c r="AI402" i="26"/>
  <c r="AI404" i="26" s="1"/>
  <c r="H427" i="26"/>
  <c r="AF341" i="26"/>
  <c r="E366" i="26"/>
  <c r="AG402" i="26"/>
  <c r="AG404" i="26" s="1"/>
  <c r="F427" i="26"/>
  <c r="D443" i="26"/>
  <c r="D457" i="26" s="1"/>
  <c r="D475" i="26" s="1"/>
  <c r="K36" i="40" s="1"/>
  <c r="B443" i="26"/>
  <c r="B457" i="26" s="1"/>
  <c r="B475" i="26" s="1"/>
  <c r="K34" i="40" s="1"/>
  <c r="AZ18" i="26"/>
  <c r="AV402" i="26"/>
  <c r="AV404" i="26" s="1"/>
  <c r="U427" i="26"/>
  <c r="AD281" i="26"/>
  <c r="AD283" i="26" s="1"/>
  <c r="C306" i="26"/>
  <c r="AW402" i="26"/>
  <c r="AW404" i="26" s="1"/>
  <c r="V427" i="26"/>
  <c r="AX402" i="26"/>
  <c r="AX404" i="26" s="1"/>
  <c r="W427" i="26"/>
  <c r="AM341" i="26"/>
  <c r="AM343" i="26" s="1"/>
  <c r="L366" i="26"/>
  <c r="AI281" i="26"/>
  <c r="AI283" i="26" s="1"/>
  <c r="H306" i="26"/>
  <c r="AX281" i="26"/>
  <c r="AX283" i="26" s="1"/>
  <c r="W306" i="26"/>
  <c r="AG281" i="26"/>
  <c r="AG283" i="26" s="1"/>
  <c r="F306" i="26"/>
  <c r="AE402" i="26"/>
  <c r="AE404" i="26" s="1"/>
  <c r="D427" i="26"/>
  <c r="BA337" i="26"/>
  <c r="Z366" i="26"/>
  <c r="AT402" i="26"/>
  <c r="AT404" i="26" s="1"/>
  <c r="S427" i="26"/>
  <c r="AK402" i="26"/>
  <c r="AK404" i="26" s="1"/>
  <c r="J427" i="26"/>
  <c r="AH341" i="26"/>
  <c r="AH343" i="26" s="1"/>
  <c r="G366" i="26"/>
  <c r="AG341" i="26"/>
  <c r="AG343" i="26" s="1"/>
  <c r="F366" i="26"/>
  <c r="BA398" i="26"/>
  <c r="Z427" i="26"/>
  <c r="AZ281" i="26"/>
  <c r="AZ283" i="26" s="1"/>
  <c r="Y306" i="26"/>
  <c r="AS402" i="24"/>
  <c r="AS404" i="24" s="1"/>
  <c r="R427" i="24"/>
  <c r="AE281" i="24"/>
  <c r="AE283" i="24" s="1"/>
  <c r="D306" i="24"/>
  <c r="AT281" i="24"/>
  <c r="AT283" i="24" s="1"/>
  <c r="S306" i="24"/>
  <c r="BA398" i="24"/>
  <c r="Z427" i="24"/>
  <c r="Q366" i="24"/>
  <c r="AR341" i="24"/>
  <c r="AR343" i="24" s="1"/>
  <c r="AR281" i="24"/>
  <c r="AR283" i="24" s="1"/>
  <c r="Q306" i="24"/>
  <c r="AT402" i="24"/>
  <c r="AT404" i="24" s="1"/>
  <c r="S427" i="24"/>
  <c r="AY341" i="24"/>
  <c r="AY343" i="24" s="1"/>
  <c r="X366" i="24"/>
  <c r="AV281" i="24"/>
  <c r="AV283" i="24" s="1"/>
  <c r="U306" i="24"/>
  <c r="AW341" i="24"/>
  <c r="AW343" i="24" s="1"/>
  <c r="V366" i="24"/>
  <c r="AT341" i="24"/>
  <c r="AT343" i="24" s="1"/>
  <c r="S366" i="24"/>
  <c r="AY281" i="24"/>
  <c r="AY283" i="24" s="1"/>
  <c r="X306" i="24"/>
  <c r="AU402" i="24"/>
  <c r="AU404" i="24" s="1"/>
  <c r="T427" i="24"/>
  <c r="C442" i="24"/>
  <c r="C456" i="24" s="1"/>
  <c r="C474" i="24" s="1"/>
  <c r="J7" i="39" s="1"/>
  <c r="AP341" i="24"/>
  <c r="AP343" i="24" s="1"/>
  <c r="O366" i="24"/>
  <c r="AW281" i="24"/>
  <c r="AW283" i="24" s="1"/>
  <c r="V306" i="24"/>
  <c r="AF402" i="24"/>
  <c r="AF404" i="24" s="1"/>
  <c r="E427" i="24"/>
  <c r="AJ341" i="24"/>
  <c r="AJ343" i="24" s="1"/>
  <c r="I366" i="24"/>
  <c r="AK402" i="24"/>
  <c r="AK404" i="24" s="1"/>
  <c r="J427" i="24"/>
  <c r="AH341" i="24"/>
  <c r="AH343" i="24" s="1"/>
  <c r="G366" i="24"/>
  <c r="AL281" i="24"/>
  <c r="AL283" i="24" s="1"/>
  <c r="K306" i="24"/>
  <c r="AY402" i="24"/>
  <c r="AY404" i="24" s="1"/>
  <c r="X427" i="24"/>
  <c r="AV341" i="24"/>
  <c r="AV343" i="24" s="1"/>
  <c r="U366" i="24"/>
  <c r="AS281" i="24"/>
  <c r="AS283" i="24" s="1"/>
  <c r="R306" i="24"/>
  <c r="AX402" i="24"/>
  <c r="AX404" i="24" s="1"/>
  <c r="W427" i="24"/>
  <c r="AM341" i="24"/>
  <c r="AM343" i="24" s="1"/>
  <c r="L366" i="24"/>
  <c r="AJ281" i="24"/>
  <c r="AJ283" i="24" s="1"/>
  <c r="I306" i="24"/>
  <c r="AW402" i="24"/>
  <c r="AW404" i="24" s="1"/>
  <c r="V427" i="24"/>
  <c r="AX281" i="24"/>
  <c r="AX283" i="24" s="1"/>
  <c r="W306" i="24"/>
  <c r="AC222" i="24"/>
  <c r="G444" i="24" s="1"/>
  <c r="G458" i="24" s="1"/>
  <c r="G476" i="24" s="1"/>
  <c r="L11" i="39" s="1"/>
  <c r="G443" i="24"/>
  <c r="G457" i="24" s="1"/>
  <c r="G475" i="24" s="1"/>
  <c r="K11" i="39" s="1"/>
  <c r="AM402" i="24"/>
  <c r="AM404" i="24" s="1"/>
  <c r="L427" i="24"/>
  <c r="AL402" i="24"/>
  <c r="AL404" i="24" s="1"/>
  <c r="K427" i="24"/>
  <c r="AQ341" i="24"/>
  <c r="AQ343" i="24" s="1"/>
  <c r="P366" i="24"/>
  <c r="AN281" i="24"/>
  <c r="AN283" i="24" s="1"/>
  <c r="M306" i="24"/>
  <c r="AO341" i="24"/>
  <c r="AO343" i="24" s="1"/>
  <c r="N366" i="24"/>
  <c r="AL341" i="24"/>
  <c r="AL343" i="24" s="1"/>
  <c r="K366" i="24"/>
  <c r="AQ281" i="24"/>
  <c r="AQ283" i="24" s="1"/>
  <c r="P306" i="24"/>
  <c r="B443" i="24"/>
  <c r="B457" i="24" s="1"/>
  <c r="B475" i="24" s="1"/>
  <c r="K6" i="39" s="1"/>
  <c r="D443" i="24"/>
  <c r="D457" i="24" s="1"/>
  <c r="D475" i="24" s="1"/>
  <c r="K8" i="39" s="1"/>
  <c r="AC140" i="24"/>
  <c r="E444" i="24" s="1"/>
  <c r="E458" i="24" s="1"/>
  <c r="E476" i="24" s="1"/>
  <c r="L9" i="39" s="1"/>
  <c r="E443" i="24"/>
  <c r="E457" i="24" s="1"/>
  <c r="E475" i="24" s="1"/>
  <c r="K9" i="39" s="1"/>
  <c r="AC181" i="24"/>
  <c r="F443" i="24"/>
  <c r="F457" i="24" s="1"/>
  <c r="F475" i="24" s="1"/>
  <c r="K10" i="39" s="1"/>
  <c r="AG281" i="24"/>
  <c r="AG283" i="24" s="1"/>
  <c r="F306" i="24"/>
  <c r="AU281" i="24"/>
  <c r="AU283" i="24" s="1"/>
  <c r="T306" i="24"/>
  <c r="AR402" i="24"/>
  <c r="AR404" i="24" s="1"/>
  <c r="Q427" i="24"/>
  <c r="AD281" i="24"/>
  <c r="AD283" i="24" s="1"/>
  <c r="C306" i="24"/>
  <c r="AN341" i="24"/>
  <c r="AN343" i="24" s="1"/>
  <c r="M366" i="24"/>
  <c r="AK281" i="24"/>
  <c r="AK283" i="24" s="1"/>
  <c r="J306" i="24"/>
  <c r="AE341" i="24"/>
  <c r="AE343" i="24" s="1"/>
  <c r="D366" i="24"/>
  <c r="AE402" i="24"/>
  <c r="AE404" i="24" s="1"/>
  <c r="D427" i="24"/>
  <c r="N427" i="24"/>
  <c r="AO402" i="24"/>
  <c r="AO404" i="24" s="1"/>
  <c r="AP281" i="24"/>
  <c r="AP283" i="24" s="1"/>
  <c r="O306" i="24"/>
  <c r="C443" i="24"/>
  <c r="C457" i="24" s="1"/>
  <c r="C475" i="24" s="1"/>
  <c r="K7" i="39" s="1"/>
  <c r="AD402" i="24"/>
  <c r="AD404" i="24" s="1"/>
  <c r="C427" i="24"/>
  <c r="AI341" i="24"/>
  <c r="AI343" i="24" s="1"/>
  <c r="H366" i="24"/>
  <c r="AF281" i="24"/>
  <c r="AF283" i="24" s="1"/>
  <c r="E306" i="24"/>
  <c r="D442" i="24"/>
  <c r="D456" i="24" s="1"/>
  <c r="D474" i="24" s="1"/>
  <c r="J8" i="39" s="1"/>
  <c r="AG341" i="24"/>
  <c r="AG343" i="24" s="1"/>
  <c r="F366" i="24"/>
  <c r="AD341" i="24"/>
  <c r="AD343" i="24" s="1"/>
  <c r="C366" i="24"/>
  <c r="AI281" i="24"/>
  <c r="AI283" i="24" s="1"/>
  <c r="H306" i="24"/>
  <c r="AX341" i="24"/>
  <c r="AX343" i="24" s="1"/>
  <c r="W366" i="24"/>
  <c r="AM281" i="24"/>
  <c r="AM283" i="24" s="1"/>
  <c r="L306" i="24"/>
  <c r="AJ402" i="24"/>
  <c r="AJ404" i="24" s="1"/>
  <c r="I427" i="24"/>
  <c r="AC275" i="24"/>
  <c r="B306" i="24"/>
  <c r="AF341" i="24"/>
  <c r="AF343" i="24" s="1"/>
  <c r="E366" i="24"/>
  <c r="AZ281" i="24"/>
  <c r="AZ283" i="24" s="1"/>
  <c r="Y306" i="24"/>
  <c r="Y366" i="24"/>
  <c r="AZ341" i="24"/>
  <c r="AG402" i="24"/>
  <c r="AG404" i="24" s="1"/>
  <c r="F427" i="24"/>
  <c r="AN402" i="24"/>
  <c r="AN404" i="24" s="1"/>
  <c r="M427" i="24"/>
  <c r="AH281" i="24"/>
  <c r="AH283" i="24" s="1"/>
  <c r="G306" i="24"/>
  <c r="AO281" i="24"/>
  <c r="AO283" i="24" s="1"/>
  <c r="N306" i="24"/>
  <c r="AC396" i="24"/>
  <c r="B427" i="24"/>
  <c r="BA337" i="24"/>
  <c r="Z366" i="24"/>
  <c r="B442" i="24"/>
  <c r="B456" i="24" s="1"/>
  <c r="B474" i="24" s="1"/>
  <c r="J6" i="39" s="1"/>
  <c r="AC335" i="24"/>
  <c r="B366" i="24"/>
  <c r="BA277" i="24"/>
  <c r="Z306" i="24"/>
  <c r="AH402" i="23"/>
  <c r="AH404" i="23" s="1"/>
  <c r="G427" i="23"/>
  <c r="AY281" i="23"/>
  <c r="AY283" i="23" s="1"/>
  <c r="X306" i="23"/>
  <c r="E443" i="23"/>
  <c r="E457" i="23" s="1"/>
  <c r="E475" i="23" s="1"/>
  <c r="K23" i="39" s="1"/>
  <c r="AL402" i="23"/>
  <c r="AL404" i="23" s="1"/>
  <c r="K427" i="23"/>
  <c r="AE281" i="23"/>
  <c r="AE283" i="23" s="1"/>
  <c r="D306" i="23"/>
  <c r="C443" i="23"/>
  <c r="C457" i="23" s="1"/>
  <c r="C475" i="23" s="1"/>
  <c r="K21" i="39" s="1"/>
  <c r="D443" i="23"/>
  <c r="D457" i="23" s="1"/>
  <c r="D475" i="23" s="1"/>
  <c r="K22" i="39" s="1"/>
  <c r="AZ402" i="23"/>
  <c r="AZ404" i="23" s="1"/>
  <c r="Y427" i="23"/>
  <c r="AL281" i="23"/>
  <c r="AL283" i="23" s="1"/>
  <c r="K306" i="23"/>
  <c r="AM281" i="23"/>
  <c r="AM283" i="23" s="1"/>
  <c r="L306" i="23"/>
  <c r="BA398" i="23"/>
  <c r="Z427" i="23"/>
  <c r="AN281" i="23"/>
  <c r="AN283" i="23" s="1"/>
  <c r="M306" i="23"/>
  <c r="D442" i="23"/>
  <c r="D456" i="23" s="1"/>
  <c r="D474" i="23" s="1"/>
  <c r="J22" i="39" s="1"/>
  <c r="AO281" i="23"/>
  <c r="AO283" i="23" s="1"/>
  <c r="N306" i="23"/>
  <c r="AC18" i="23"/>
  <c r="B435" i="23"/>
  <c r="B449" i="23" s="1"/>
  <c r="B467" i="23" s="1"/>
  <c r="C20" i="39" s="1"/>
  <c r="AW341" i="23"/>
  <c r="AW343" i="23" s="1"/>
  <c r="V366" i="23"/>
  <c r="AZ281" i="23"/>
  <c r="AZ283" i="23" s="1"/>
  <c r="Y306" i="23"/>
  <c r="AT341" i="23"/>
  <c r="AT343" i="23" s="1"/>
  <c r="S366" i="23"/>
  <c r="AO341" i="23"/>
  <c r="AO343" i="23" s="1"/>
  <c r="N366" i="23"/>
  <c r="AU341" i="23"/>
  <c r="AU343" i="23" s="1"/>
  <c r="T366" i="23"/>
  <c r="AR281" i="23"/>
  <c r="AR283" i="23" s="1"/>
  <c r="Q306" i="23"/>
  <c r="AQ281" i="23"/>
  <c r="AQ283" i="23" s="1"/>
  <c r="P306" i="23"/>
  <c r="AK341" i="23"/>
  <c r="AK343" i="23" s="1"/>
  <c r="J366" i="23"/>
  <c r="AR341" i="23"/>
  <c r="AR343" i="23" s="1"/>
  <c r="Q366" i="23"/>
  <c r="AU281" i="23"/>
  <c r="AU283" i="23" s="1"/>
  <c r="T306" i="23"/>
  <c r="AC396" i="23"/>
  <c r="B427" i="23"/>
  <c r="F443" i="23"/>
  <c r="F457" i="23" s="1"/>
  <c r="F475" i="23" s="1"/>
  <c r="K24" i="39" s="1"/>
  <c r="AZ341" i="23"/>
  <c r="AZ343" i="23" s="1"/>
  <c r="Y366" i="23"/>
  <c r="B443" i="23"/>
  <c r="B457" i="23" s="1"/>
  <c r="B475" i="23" s="1"/>
  <c r="K20" i="39" s="1"/>
  <c r="AR402" i="23"/>
  <c r="AR404" i="23" s="1"/>
  <c r="Q427" i="23"/>
  <c r="AD281" i="23"/>
  <c r="AD283" i="23" s="1"/>
  <c r="C306" i="23"/>
  <c r="AY402" i="23"/>
  <c r="AY404" i="23" s="1"/>
  <c r="X427" i="23"/>
  <c r="AV341" i="23"/>
  <c r="AV343" i="23" s="1"/>
  <c r="U366" i="23"/>
  <c r="AK402" i="23"/>
  <c r="AK404" i="23" s="1"/>
  <c r="J427" i="23"/>
  <c r="AG281" i="23"/>
  <c r="AG283" i="23" s="1"/>
  <c r="F306" i="23"/>
  <c r="AF281" i="23"/>
  <c r="AF283" i="23" s="1"/>
  <c r="E306" i="23"/>
  <c r="AP281" i="23"/>
  <c r="AP283" i="23" s="1"/>
  <c r="O306" i="23"/>
  <c r="B442" i="23"/>
  <c r="B456" i="23" s="1"/>
  <c r="B474" i="23" s="1"/>
  <c r="J20" i="39" s="1"/>
  <c r="AT18" i="23"/>
  <c r="AC222" i="23"/>
  <c r="G444" i="23" s="1"/>
  <c r="G458" i="23" s="1"/>
  <c r="G476" i="23" s="1"/>
  <c r="L25" i="39" s="1"/>
  <c r="G443" i="23"/>
  <c r="G457" i="23" s="1"/>
  <c r="G475" i="23" s="1"/>
  <c r="K25" i="39" s="1"/>
  <c r="AG341" i="23"/>
  <c r="AG343" i="23" s="1"/>
  <c r="F366" i="23"/>
  <c r="AX402" i="23"/>
  <c r="AX404" i="23" s="1"/>
  <c r="W427" i="23"/>
  <c r="AM341" i="23"/>
  <c r="AM343" i="23" s="1"/>
  <c r="L366" i="23"/>
  <c r="AJ281" i="23"/>
  <c r="AJ283" i="23" s="1"/>
  <c r="I306" i="23"/>
  <c r="AD341" i="23"/>
  <c r="C366" i="23"/>
  <c r="BA337" i="23"/>
  <c r="Z366" i="23"/>
  <c r="AN402" i="23"/>
  <c r="AN404" i="23" s="1"/>
  <c r="M427" i="23"/>
  <c r="AV281" i="23"/>
  <c r="AV283" i="23" s="1"/>
  <c r="U306" i="23"/>
  <c r="AJ341" i="23"/>
  <c r="AJ343" i="23" s="1"/>
  <c r="I366" i="23"/>
  <c r="AP341" i="23"/>
  <c r="AP343" i="23" s="1"/>
  <c r="O366" i="23"/>
  <c r="AE140" i="23"/>
  <c r="E444" i="23" s="1"/>
  <c r="E458" i="23" s="1"/>
  <c r="E476" i="23" s="1"/>
  <c r="L23" i="39" s="1"/>
  <c r="AJ402" i="23"/>
  <c r="AJ404" i="23" s="1"/>
  <c r="I427" i="23"/>
  <c r="AC275" i="23"/>
  <c r="B306" i="23"/>
  <c r="AQ402" i="23"/>
  <c r="AQ404" i="23" s="1"/>
  <c r="P427" i="23"/>
  <c r="AN341" i="23"/>
  <c r="AN343" i="23" s="1"/>
  <c r="M366" i="23"/>
  <c r="AH341" i="23"/>
  <c r="AH343" i="23" s="1"/>
  <c r="G366" i="23"/>
  <c r="AI283" i="23"/>
  <c r="AX281" i="23"/>
  <c r="AX283" i="23" s="1"/>
  <c r="W306" i="23"/>
  <c r="AT402" i="23"/>
  <c r="AT404" i="23" s="1"/>
  <c r="S427" i="23"/>
  <c r="AT281" i="23"/>
  <c r="AT283" i="23" s="1"/>
  <c r="S306" i="23"/>
  <c r="AI402" i="23"/>
  <c r="AI404" i="23" s="1"/>
  <c r="H427" i="23"/>
  <c r="AF341" i="23"/>
  <c r="AF343" i="23" s="1"/>
  <c r="E366" i="23"/>
  <c r="AD402" i="23"/>
  <c r="AD404" i="23" s="1"/>
  <c r="C427" i="23"/>
  <c r="H438" i="23"/>
  <c r="H452" i="23" s="1"/>
  <c r="H470" i="23" s="1"/>
  <c r="F26" i="39" s="1"/>
  <c r="BA283" i="23"/>
  <c r="AW281" i="23"/>
  <c r="AW283" i="23" s="1"/>
  <c r="V306" i="23"/>
  <c r="AS341" i="23"/>
  <c r="AS343" i="23" s="1"/>
  <c r="R366" i="23"/>
  <c r="AK181" i="23"/>
  <c r="F444" i="23" s="1"/>
  <c r="F458" i="23" s="1"/>
  <c r="F476" i="23" s="1"/>
  <c r="L24" i="39" s="1"/>
  <c r="AP402" i="23"/>
  <c r="AP404" i="23" s="1"/>
  <c r="O427" i="23"/>
  <c r="AE341" i="23"/>
  <c r="AE343" i="23" s="1"/>
  <c r="D366" i="23"/>
  <c r="AC335" i="23"/>
  <c r="B366" i="23"/>
  <c r="Z306" i="23"/>
  <c r="AS402" i="23"/>
  <c r="AS404" i="23" s="1"/>
  <c r="R427" i="23"/>
  <c r="AX341" i="23"/>
  <c r="AX343" i="23" s="1"/>
  <c r="W366" i="23"/>
  <c r="AR281" i="22"/>
  <c r="AR283" i="22" s="1"/>
  <c r="Q306" i="22"/>
  <c r="AX341" i="22"/>
  <c r="AX343" i="22" s="1"/>
  <c r="W366" i="22"/>
  <c r="C443" i="22"/>
  <c r="C457" i="22" s="1"/>
  <c r="C475" i="22" s="1"/>
  <c r="K35" i="39" s="1"/>
  <c r="AI402" i="22"/>
  <c r="AI404" i="22" s="1"/>
  <c r="H427" i="22"/>
  <c r="AF341" i="22"/>
  <c r="AF343" i="22" s="1"/>
  <c r="E366" i="22"/>
  <c r="AW402" i="22"/>
  <c r="AW404" i="22" s="1"/>
  <c r="V427" i="22"/>
  <c r="AU341" i="22"/>
  <c r="AU343" i="22" s="1"/>
  <c r="T366" i="22"/>
  <c r="AT341" i="22"/>
  <c r="AT343" i="22" s="1"/>
  <c r="S366" i="22"/>
  <c r="AN402" i="22"/>
  <c r="AN404" i="22" s="1"/>
  <c r="M427" i="22"/>
  <c r="AM281" i="22"/>
  <c r="AM283" i="22" s="1"/>
  <c r="L306" i="22"/>
  <c r="AC181" i="22"/>
  <c r="F444" i="22" s="1"/>
  <c r="F458" i="22" s="1"/>
  <c r="F476" i="22" s="1"/>
  <c r="L38" i="39" s="1"/>
  <c r="F443" i="22"/>
  <c r="F457" i="22" s="1"/>
  <c r="F475" i="22" s="1"/>
  <c r="K38" i="39" s="1"/>
  <c r="B442" i="22"/>
  <c r="B456" i="22" s="1"/>
  <c r="B474" i="22" s="1"/>
  <c r="J34" i="39" s="1"/>
  <c r="AX402" i="22"/>
  <c r="AX404" i="22" s="1"/>
  <c r="W427" i="22"/>
  <c r="AM341" i="22"/>
  <c r="AM343" i="22" s="1"/>
  <c r="L366" i="22"/>
  <c r="AJ281" i="22"/>
  <c r="AJ283" i="22" s="1"/>
  <c r="I306" i="22"/>
  <c r="AL341" i="22"/>
  <c r="AL343" i="22" s="1"/>
  <c r="K366" i="22"/>
  <c r="AI281" i="22"/>
  <c r="AI283" i="22" s="1"/>
  <c r="H306" i="22"/>
  <c r="AF402" i="22"/>
  <c r="AF404" i="22" s="1"/>
  <c r="E427" i="22"/>
  <c r="AU402" i="22"/>
  <c r="AU404" i="22" s="1"/>
  <c r="T427" i="22"/>
  <c r="AR341" i="22"/>
  <c r="AR343" i="22" s="1"/>
  <c r="Q366" i="22"/>
  <c r="AF281" i="22"/>
  <c r="AF283" i="22" s="1"/>
  <c r="E306" i="22"/>
  <c r="AS402" i="22"/>
  <c r="AS404" i="22" s="1"/>
  <c r="R427" i="22"/>
  <c r="AP341" i="22"/>
  <c r="AP343" i="22" s="1"/>
  <c r="O366" i="22"/>
  <c r="AE281" i="22"/>
  <c r="AE283" i="22" s="1"/>
  <c r="D306" i="22"/>
  <c r="AC222" i="22"/>
  <c r="G444" i="22" s="1"/>
  <c r="G458" i="22" s="1"/>
  <c r="G476" i="22" s="1"/>
  <c r="L39" i="39" s="1"/>
  <c r="G443" i="22"/>
  <c r="G457" i="22" s="1"/>
  <c r="G475" i="22" s="1"/>
  <c r="K39" i="39" s="1"/>
  <c r="AC140" i="22"/>
  <c r="E444" i="22" s="1"/>
  <c r="E458" i="22" s="1"/>
  <c r="E476" i="22" s="1"/>
  <c r="L37" i="39" s="1"/>
  <c r="E443" i="22"/>
  <c r="E457" i="22" s="1"/>
  <c r="E475" i="22" s="1"/>
  <c r="K37" i="39" s="1"/>
  <c r="BA398" i="22"/>
  <c r="Z427" i="22"/>
  <c r="AO402" i="22"/>
  <c r="AO404" i="22" s="1"/>
  <c r="N427" i="22"/>
  <c r="AX281" i="22"/>
  <c r="AX283" i="22" s="1"/>
  <c r="W306" i="22"/>
  <c r="AD18" i="22"/>
  <c r="D443" i="22"/>
  <c r="D457" i="22" s="1"/>
  <c r="D475" i="22" s="1"/>
  <c r="K36" i="39" s="1"/>
  <c r="AJ402" i="22"/>
  <c r="AJ404" i="22" s="1"/>
  <c r="I427" i="22"/>
  <c r="AP402" i="22"/>
  <c r="AP404" i="22" s="1"/>
  <c r="O427" i="22"/>
  <c r="AE341" i="22"/>
  <c r="AE343" i="22" s="1"/>
  <c r="D366" i="22"/>
  <c r="AD341" i="22"/>
  <c r="C366" i="22"/>
  <c r="BA277" i="22"/>
  <c r="Z306" i="22"/>
  <c r="AJ341" i="22"/>
  <c r="AJ343" i="22" s="1"/>
  <c r="I366" i="22"/>
  <c r="Z366" i="22"/>
  <c r="AO341" i="22"/>
  <c r="AO343" i="22" s="1"/>
  <c r="N366" i="22"/>
  <c r="AK402" i="22"/>
  <c r="AK404" i="22" s="1"/>
  <c r="J427" i="22"/>
  <c r="AH341" i="22"/>
  <c r="AH343" i="22" s="1"/>
  <c r="G366" i="22"/>
  <c r="AZ402" i="22"/>
  <c r="AZ404" i="22" s="1"/>
  <c r="Y427" i="22"/>
  <c r="AQ341" i="22"/>
  <c r="AQ343" i="22" s="1"/>
  <c r="P366" i="22"/>
  <c r="AY402" i="22"/>
  <c r="AY404" i="22" s="1"/>
  <c r="X427" i="22"/>
  <c r="AV341" i="22"/>
  <c r="AV343" i="22" s="1"/>
  <c r="U366" i="22"/>
  <c r="AS281" i="22"/>
  <c r="AS283" i="22" s="1"/>
  <c r="R306" i="22"/>
  <c r="AR402" i="22"/>
  <c r="AR404" i="22" s="1"/>
  <c r="Q427" i="22"/>
  <c r="AG402" i="22"/>
  <c r="AG404" i="22" s="1"/>
  <c r="F427" i="22"/>
  <c r="AP281" i="22"/>
  <c r="AP283" i="22" s="1"/>
  <c r="O306" i="22"/>
  <c r="AG341" i="22"/>
  <c r="AG343" i="22" s="1"/>
  <c r="F366" i="22"/>
  <c r="I438" i="22"/>
  <c r="I452" i="22" s="1"/>
  <c r="I470" i="22" s="1"/>
  <c r="F41" i="39" s="1"/>
  <c r="BA343" i="22"/>
  <c r="AC275" i="22"/>
  <c r="B306" i="22"/>
  <c r="AQ281" i="22"/>
  <c r="AQ283" i="22" s="1"/>
  <c r="P306" i="22"/>
  <c r="AK341" i="22"/>
  <c r="AK343" i="22" s="1"/>
  <c r="J366" i="22"/>
  <c r="AZ341" i="22"/>
  <c r="AZ343" i="22" s="1"/>
  <c r="Y366" i="22"/>
  <c r="AW341" i="22"/>
  <c r="AW343" i="22" s="1"/>
  <c r="V366" i="22"/>
  <c r="AH402" i="22"/>
  <c r="AH404" i="22" s="1"/>
  <c r="G427" i="22"/>
  <c r="AZ281" i="22"/>
  <c r="AZ283" i="22" s="1"/>
  <c r="Y306" i="22"/>
  <c r="AY281" i="22"/>
  <c r="AY283" i="22" s="1"/>
  <c r="X306" i="22"/>
  <c r="AV402" i="22"/>
  <c r="AV404" i="22" s="1"/>
  <c r="U427" i="22"/>
  <c r="AS341" i="22"/>
  <c r="AS343" i="22" s="1"/>
  <c r="R366" i="22"/>
  <c r="AE402" i="22"/>
  <c r="AE404" i="22" s="1"/>
  <c r="D427" i="22"/>
  <c r="AY341" i="22"/>
  <c r="AY343" i="22" s="1"/>
  <c r="X366" i="22"/>
  <c r="AV281" i="22"/>
  <c r="AV283" i="22" s="1"/>
  <c r="U306" i="22"/>
  <c r="AT281" i="22"/>
  <c r="AT283" i="22" s="1"/>
  <c r="S306" i="22"/>
  <c r="AC402" i="22"/>
  <c r="B427" i="22"/>
  <c r="AU281" i="22"/>
  <c r="AU283" i="22" s="1"/>
  <c r="T306" i="22"/>
  <c r="AL281" i="22"/>
  <c r="AL283" i="22" s="1"/>
  <c r="K306" i="22"/>
  <c r="AO281" i="22"/>
  <c r="AO283" i="22" s="1"/>
  <c r="N306" i="22"/>
  <c r="B443" i="22"/>
  <c r="B457" i="22" s="1"/>
  <c r="B475" i="22" s="1"/>
  <c r="K34" i="39" s="1"/>
  <c r="F444" i="24"/>
  <c r="F458" i="24" s="1"/>
  <c r="F476" i="24" s="1"/>
  <c r="L10" i="39" s="1"/>
  <c r="AQ402" i="22"/>
  <c r="AQ404" i="22" s="1"/>
  <c r="P427" i="22"/>
  <c r="AN341" i="22"/>
  <c r="AN343" i="22" s="1"/>
  <c r="M366" i="22"/>
  <c r="AD281" i="22"/>
  <c r="AD283" i="22" s="1"/>
  <c r="C306" i="22"/>
  <c r="AH281" i="22"/>
  <c r="AH283" i="22" s="1"/>
  <c r="G306" i="22"/>
  <c r="D442" i="22"/>
  <c r="D456" i="22" s="1"/>
  <c r="D474" i="22" s="1"/>
  <c r="J36" i="39" s="1"/>
  <c r="E223" i="43"/>
  <c r="E211" i="43"/>
  <c r="E26" i="43"/>
  <c r="E38" i="43"/>
  <c r="F217" i="43"/>
  <c r="F229" i="43"/>
  <c r="F81" i="43"/>
  <c r="F69" i="43"/>
  <c r="J26" i="43"/>
  <c r="J38" i="43"/>
  <c r="E189" i="43"/>
  <c r="E177" i="43"/>
  <c r="E165" i="43"/>
  <c r="E75" i="43"/>
  <c r="E63" i="43"/>
  <c r="D121" i="43"/>
  <c r="M426" i="43" s="1"/>
  <c r="G445" i="43" s="1"/>
  <c r="F170" i="43"/>
  <c r="V428" i="43" s="1"/>
  <c r="AE447" i="43" s="1"/>
  <c r="E224" i="43"/>
  <c r="E212" i="43"/>
  <c r="E225" i="43"/>
  <c r="E213" i="43"/>
  <c r="F212" i="43"/>
  <c r="F224" i="43"/>
  <c r="E145" i="43"/>
  <c r="L427" i="43" s="1"/>
  <c r="R445" i="43" s="1"/>
  <c r="F216" i="43"/>
  <c r="F228" i="43"/>
  <c r="F42" i="43"/>
  <c r="F30" i="43"/>
  <c r="D65" i="43"/>
  <c r="D77" i="43"/>
  <c r="L107" i="43"/>
  <c r="L119" i="43" s="1"/>
  <c r="L121" i="43" s="1"/>
  <c r="M434" i="43" s="1"/>
  <c r="AE466" i="43" s="1"/>
  <c r="L131" i="43"/>
  <c r="L143" i="43" s="1"/>
  <c r="L145" i="43" s="1"/>
  <c r="L434" i="43" s="1"/>
  <c r="AD466" i="43" s="1"/>
  <c r="E78" i="43"/>
  <c r="E66" i="43"/>
  <c r="E202" i="43"/>
  <c r="E55" i="43"/>
  <c r="E239" i="43"/>
  <c r="E18" i="43"/>
  <c r="G49" i="1"/>
  <c r="E180" i="43"/>
  <c r="E168" i="43"/>
  <c r="E192" i="43"/>
  <c r="E23" i="43"/>
  <c r="C427" i="43" s="1"/>
  <c r="S443" i="43" s="1"/>
  <c r="E207" i="43"/>
  <c r="Q427" i="43" s="1"/>
  <c r="E60" i="43"/>
  <c r="H427" i="43" s="1"/>
  <c r="S444" i="43" s="1"/>
  <c r="L49" i="1"/>
  <c r="E210" i="43"/>
  <c r="E222" i="43"/>
  <c r="F77" i="43"/>
  <c r="F65" i="43"/>
  <c r="E133" i="43"/>
  <c r="F82" i="43"/>
  <c r="F70" i="43"/>
  <c r="F182" i="43"/>
  <c r="U428" i="43" s="1"/>
  <c r="AB447" i="43" s="1"/>
  <c r="F44" i="43"/>
  <c r="F32" i="43"/>
  <c r="I84" i="43"/>
  <c r="I431" i="43" s="1"/>
  <c r="AH454" i="43" s="1"/>
  <c r="E39" i="43"/>
  <c r="E27" i="43"/>
  <c r="D42" i="43"/>
  <c r="D30" i="43"/>
  <c r="J76" i="43"/>
  <c r="J64" i="43"/>
  <c r="K75" i="43"/>
  <c r="K63" i="43"/>
  <c r="I470" i="32"/>
  <c r="K152" i="43"/>
  <c r="K107" i="43"/>
  <c r="K119" i="43" s="1"/>
  <c r="K131" i="43"/>
  <c r="K143" i="43" s="1"/>
  <c r="K125" i="43"/>
  <c r="K101" i="43"/>
  <c r="F45" i="43"/>
  <c r="F33" i="43"/>
  <c r="F26" i="43"/>
  <c r="F38" i="43"/>
  <c r="E167" i="43"/>
  <c r="E179" i="43"/>
  <c r="E191" i="43"/>
  <c r="E41" i="43"/>
  <c r="E29" i="43"/>
  <c r="D23" i="43"/>
  <c r="C426" i="43" s="1"/>
  <c r="G443" i="43" s="1"/>
  <c r="D207" i="43"/>
  <c r="Q426" i="43" s="1"/>
  <c r="G446" i="43" s="1"/>
  <c r="D60" i="43"/>
  <c r="H426" i="43" s="1"/>
  <c r="G444" i="43" s="1"/>
  <c r="L48" i="1"/>
  <c r="J39" i="43"/>
  <c r="J27" i="43"/>
  <c r="K210" i="43"/>
  <c r="K222" i="43"/>
  <c r="L75" i="43"/>
  <c r="L63" i="43"/>
  <c r="D75" i="43"/>
  <c r="D63" i="43"/>
  <c r="D158" i="43"/>
  <c r="D179" i="43"/>
  <c r="D167" i="43"/>
  <c r="D191" i="43"/>
  <c r="F28" i="43"/>
  <c r="F40" i="43"/>
  <c r="I474" i="32"/>
  <c r="K156" i="43"/>
  <c r="I468" i="32"/>
  <c r="K150" i="43"/>
  <c r="E109" i="43"/>
  <c r="E242" i="43"/>
  <c r="E254" i="43"/>
  <c r="E21" i="43"/>
  <c r="E205" i="43"/>
  <c r="E58" i="43"/>
  <c r="J49" i="1"/>
  <c r="E204" i="43"/>
  <c r="E57" i="43"/>
  <c r="E241" i="43"/>
  <c r="E253" i="43"/>
  <c r="E20" i="43"/>
  <c r="I49" i="1"/>
  <c r="F67" i="43"/>
  <c r="F79" i="43"/>
  <c r="J63" i="43"/>
  <c r="J75" i="43"/>
  <c r="D224" i="43"/>
  <c r="D212" i="43"/>
  <c r="J107" i="43"/>
  <c r="J131" i="43"/>
  <c r="K38" i="43"/>
  <c r="K26" i="43"/>
  <c r="L210" i="43"/>
  <c r="L222" i="43"/>
  <c r="D210" i="43"/>
  <c r="D222" i="43"/>
  <c r="D204" i="43"/>
  <c r="D57" i="43"/>
  <c r="D241" i="43"/>
  <c r="D253" i="43"/>
  <c r="D20" i="43"/>
  <c r="I48" i="1"/>
  <c r="L176" i="43"/>
  <c r="L188" i="43"/>
  <c r="L164" i="43"/>
  <c r="D145" i="43"/>
  <c r="L426" i="43" s="1"/>
  <c r="F445" i="43" s="1"/>
  <c r="D168" i="43"/>
  <c r="D192" i="43"/>
  <c r="D180" i="43"/>
  <c r="L64" i="43"/>
  <c r="L76" i="43"/>
  <c r="J474" i="32"/>
  <c r="L156" i="43"/>
  <c r="J223" i="43"/>
  <c r="J211" i="43"/>
  <c r="K127" i="43"/>
  <c r="K139" i="43" s="1"/>
  <c r="K103" i="43"/>
  <c r="K115" i="43" s="1"/>
  <c r="E28" i="43"/>
  <c r="E40" i="43"/>
  <c r="J222" i="43"/>
  <c r="J210" i="43"/>
  <c r="D28" i="43"/>
  <c r="D40" i="43"/>
  <c r="H474" i="32"/>
  <c r="J156" i="43"/>
  <c r="L54" i="1"/>
  <c r="J207" i="43"/>
  <c r="Q432" i="43" s="1"/>
  <c r="G467" i="43" s="1"/>
  <c r="J60" i="43"/>
  <c r="H432" i="43" s="1"/>
  <c r="G465" i="43" s="1"/>
  <c r="J23" i="43"/>
  <c r="C432" i="43" s="1"/>
  <c r="G464" i="43" s="1"/>
  <c r="L38" i="43"/>
  <c r="L26" i="43"/>
  <c r="D38" i="43"/>
  <c r="D26" i="43"/>
  <c r="E158" i="43"/>
  <c r="L201" i="43"/>
  <c r="L54" i="43"/>
  <c r="L250" i="43"/>
  <c r="L238" i="43"/>
  <c r="L17" i="43"/>
  <c r="F56" i="1"/>
  <c r="D133" i="43"/>
  <c r="F194" i="43"/>
  <c r="W428" i="43" s="1"/>
  <c r="AG447" i="43" s="1"/>
  <c r="D242" i="43"/>
  <c r="D254" i="43"/>
  <c r="D21" i="43"/>
  <c r="D205" i="43"/>
  <c r="D58" i="43"/>
  <c r="J48" i="1"/>
  <c r="L211" i="43"/>
  <c r="L223" i="43"/>
  <c r="F222" i="43"/>
  <c r="F210" i="43"/>
  <c r="E64" i="43"/>
  <c r="E76" i="43"/>
  <c r="D79" i="43"/>
  <c r="D67" i="43"/>
  <c r="D109" i="43"/>
  <c r="F63" i="43"/>
  <c r="F75" i="43"/>
  <c r="E77" i="43"/>
  <c r="E65" i="43"/>
  <c r="L27" i="43"/>
  <c r="L39" i="43"/>
  <c r="E204" i="42"/>
  <c r="E253" i="42"/>
  <c r="E241" i="42"/>
  <c r="E57" i="42"/>
  <c r="E20" i="42"/>
  <c r="I21" i="1"/>
  <c r="E179" i="42"/>
  <c r="E167" i="42"/>
  <c r="E191" i="42"/>
  <c r="K228" i="42"/>
  <c r="K216" i="42"/>
  <c r="J81" i="42"/>
  <c r="J69" i="42"/>
  <c r="L44" i="42"/>
  <c r="L32" i="42"/>
  <c r="J44" i="42"/>
  <c r="J32" i="42"/>
  <c r="L81" i="42"/>
  <c r="L69" i="42"/>
  <c r="K44" i="42"/>
  <c r="K32" i="42"/>
  <c r="J216" i="42"/>
  <c r="J228" i="42"/>
  <c r="L228" i="42"/>
  <c r="L216" i="42"/>
  <c r="K69" i="42"/>
  <c r="K81" i="42"/>
  <c r="L210" i="37"/>
  <c r="L222" i="37"/>
  <c r="I450" i="9"/>
  <c r="K89" i="37"/>
  <c r="L75" i="37"/>
  <c r="L63" i="37"/>
  <c r="K38" i="37"/>
  <c r="K26" i="37"/>
  <c r="K210" i="37"/>
  <c r="K222" i="37"/>
  <c r="J210" i="37"/>
  <c r="J222" i="37"/>
  <c r="L38" i="37"/>
  <c r="L26" i="37"/>
  <c r="J26" i="37"/>
  <c r="J38" i="37"/>
  <c r="K75" i="37"/>
  <c r="K63" i="37"/>
  <c r="J75" i="37"/>
  <c r="J63" i="37"/>
  <c r="G444" i="27"/>
  <c r="G458" i="27" s="1"/>
  <c r="G476" i="27" s="1"/>
  <c r="L25" i="40" s="1"/>
  <c r="F444" i="27"/>
  <c r="F458" i="27" s="1"/>
  <c r="F476" i="27" s="1"/>
  <c r="L24" i="40" s="1"/>
  <c r="E444" i="27"/>
  <c r="E458" i="27" s="1"/>
  <c r="E476" i="27" s="1"/>
  <c r="L23" i="40" s="1"/>
  <c r="AY58" i="27"/>
  <c r="BA18" i="24"/>
  <c r="AX18" i="22"/>
  <c r="AR18" i="26"/>
  <c r="AJ98" i="26"/>
  <c r="AR98" i="26"/>
  <c r="AV98" i="24"/>
  <c r="AR98" i="24"/>
  <c r="AO98" i="28"/>
  <c r="AC58" i="28"/>
  <c r="AS98" i="27"/>
  <c r="AC18" i="28"/>
  <c r="AT18" i="24"/>
  <c r="AU58" i="22"/>
  <c r="BA58" i="24"/>
  <c r="AC98" i="22"/>
  <c r="AI58" i="24"/>
  <c r="AZ58" i="27"/>
  <c r="AF98" i="27"/>
  <c r="AS18" i="27"/>
  <c r="AP98" i="27"/>
  <c r="AG58" i="27"/>
  <c r="AU18" i="27"/>
  <c r="AR18" i="27"/>
  <c r="AN18" i="27"/>
  <c r="AD18" i="27"/>
  <c r="AF18" i="27"/>
  <c r="AD58" i="26"/>
  <c r="AU18" i="26"/>
  <c r="AO98" i="26"/>
  <c r="AV18" i="26"/>
  <c r="AQ98" i="26"/>
  <c r="AX98" i="26"/>
  <c r="AZ98" i="26"/>
  <c r="AM98" i="26"/>
  <c r="AK58" i="26"/>
  <c r="AQ98" i="23"/>
  <c r="AM18" i="23"/>
  <c r="AF98" i="23"/>
  <c r="AP18" i="23"/>
  <c r="AN58" i="23"/>
  <c r="AO18" i="23"/>
  <c r="AF58" i="22"/>
  <c r="AE98" i="22"/>
  <c r="AI98" i="22"/>
  <c r="AY18" i="22"/>
  <c r="AW98" i="22"/>
  <c r="AZ58" i="22"/>
  <c r="AC58" i="24"/>
  <c r="AC58" i="23"/>
  <c r="AX58" i="27"/>
  <c r="AS58" i="26"/>
  <c r="AU98" i="23"/>
  <c r="AC98" i="24"/>
  <c r="AL18" i="24"/>
  <c r="AL98" i="24"/>
  <c r="AF58" i="23"/>
  <c r="AY58" i="23"/>
  <c r="AF18" i="26"/>
  <c r="AT98" i="22"/>
  <c r="AC58" i="26"/>
  <c r="AI58" i="27"/>
  <c r="AH58" i="27"/>
  <c r="AI98" i="28"/>
  <c r="AL18" i="23"/>
  <c r="AC18" i="27"/>
  <c r="AO58" i="28"/>
  <c r="AF58" i="28"/>
  <c r="AK58" i="28"/>
  <c r="AS18" i="28"/>
  <c r="AT98" i="28"/>
  <c r="AV98" i="28"/>
  <c r="BA98" i="28"/>
  <c r="AN58" i="28"/>
  <c r="AX98" i="28"/>
  <c r="AD58" i="28"/>
  <c r="AK18" i="28"/>
  <c r="AW18" i="28"/>
  <c r="AR18" i="28"/>
  <c r="AI58" i="28"/>
  <c r="AC98" i="28"/>
  <c r="AV58" i="28"/>
  <c r="AG58" i="28"/>
  <c r="AS58" i="28"/>
  <c r="AL18" i="28"/>
  <c r="AZ58" i="28"/>
  <c r="AH18" i="28"/>
  <c r="AQ98" i="28"/>
  <c r="AP98" i="28"/>
  <c r="AR58" i="28"/>
  <c r="AO18" i="28"/>
  <c r="AJ18" i="28"/>
  <c r="AE98" i="28"/>
  <c r="BA58" i="28"/>
  <c r="AI18" i="28"/>
  <c r="AE58" i="28"/>
  <c r="AP18" i="28"/>
  <c r="BA18" i="28"/>
  <c r="AT58" i="28"/>
  <c r="AJ58" i="28"/>
  <c r="AF18" i="28"/>
  <c r="AL98" i="28"/>
  <c r="AK98" i="28"/>
  <c r="AY18" i="28"/>
  <c r="AJ98" i="28"/>
  <c r="AU58" i="28"/>
  <c r="AV18" i="28"/>
  <c r="AH58" i="28"/>
  <c r="AQ58" i="28"/>
  <c r="AW98" i="28"/>
  <c r="AR98" i="28"/>
  <c r="AX18" i="28"/>
  <c r="AZ18" i="28"/>
  <c r="AY58" i="28"/>
  <c r="AU58" i="24"/>
  <c r="AM18" i="24"/>
  <c r="AY58" i="24"/>
  <c r="AZ18" i="24"/>
  <c r="AH58" i="24"/>
  <c r="AX98" i="24"/>
  <c r="AV18" i="24"/>
  <c r="AG98" i="24"/>
  <c r="AX18" i="24"/>
  <c r="AI18" i="24"/>
  <c r="AU98" i="24"/>
  <c r="AF58" i="24"/>
  <c r="AS58" i="24"/>
  <c r="AN18" i="24"/>
  <c r="AQ58" i="24"/>
  <c r="AP98" i="24"/>
  <c r="AN58" i="24"/>
  <c r="AW58" i="24"/>
  <c r="AK98" i="24"/>
  <c r="AF98" i="24"/>
  <c r="AF18" i="24"/>
  <c r="AH98" i="24"/>
  <c r="AP58" i="24"/>
  <c r="AV58" i="24"/>
  <c r="AW98" i="24"/>
  <c r="AQ18" i="24"/>
  <c r="AX58" i="24"/>
  <c r="AZ58" i="24"/>
  <c r="AK58" i="24"/>
  <c r="AE18" i="24"/>
  <c r="AG58" i="24"/>
  <c r="AJ18" i="24"/>
  <c r="AK18" i="24"/>
  <c r="BA98" i="24"/>
  <c r="AC18" i="24"/>
  <c r="AU18" i="24"/>
  <c r="AR18" i="24"/>
  <c r="AS58" i="27"/>
  <c r="AV18" i="27"/>
  <c r="AO58" i="27"/>
  <c r="AH18" i="27"/>
  <c r="AV58" i="27"/>
  <c r="AE98" i="27"/>
  <c r="AL18" i="27"/>
  <c r="AP18" i="27"/>
  <c r="BA58" i="27"/>
  <c r="AC98" i="27"/>
  <c r="AE58" i="27"/>
  <c r="AG18" i="27"/>
  <c r="AY98" i="27"/>
  <c r="AQ58" i="27"/>
  <c r="AK58" i="27"/>
  <c r="AZ18" i="27"/>
  <c r="AL98" i="27"/>
  <c r="AW98" i="27"/>
  <c r="AQ98" i="27"/>
  <c r="AX18" i="27"/>
  <c r="BA18" i="27"/>
  <c r="AR98" i="27"/>
  <c r="AF58" i="27"/>
  <c r="AX98" i="27"/>
  <c r="AW18" i="27"/>
  <c r="AT98" i="27"/>
  <c r="BA98" i="27"/>
  <c r="AD58" i="27"/>
  <c r="AC58" i="27"/>
  <c r="AD98" i="27"/>
  <c r="AM98" i="27"/>
  <c r="AT18" i="27"/>
  <c r="AR58" i="27"/>
  <c r="AU98" i="27"/>
  <c r="AE18" i="27"/>
  <c r="AO18" i="27"/>
  <c r="AH98" i="26"/>
  <c r="AL58" i="26"/>
  <c r="AE98" i="26"/>
  <c r="AO58" i="26"/>
  <c r="AS98" i="26"/>
  <c r="AT98" i="26"/>
  <c r="AN98" i="26"/>
  <c r="AU58" i="26"/>
  <c r="AC18" i="26"/>
  <c r="AM58" i="26"/>
  <c r="AI58" i="26"/>
  <c r="AF58" i="26"/>
  <c r="AX58" i="26"/>
  <c r="BA58" i="26"/>
  <c r="AW98" i="26"/>
  <c r="AV58" i="26"/>
  <c r="AR58" i="26"/>
  <c r="BA18" i="26"/>
  <c r="AU98" i="26"/>
  <c r="AK98" i="26"/>
  <c r="AF98" i="26"/>
  <c r="AT58" i="26"/>
  <c r="AG98" i="26"/>
  <c r="AV98" i="26"/>
  <c r="AE58" i="26"/>
  <c r="AE18" i="26"/>
  <c r="AJ58" i="26"/>
  <c r="AS18" i="26"/>
  <c r="AK18" i="26"/>
  <c r="AO18" i="26"/>
  <c r="AL98" i="26"/>
  <c r="AH58" i="26"/>
  <c r="AQ58" i="26"/>
  <c r="AW18" i="26"/>
  <c r="AI98" i="26"/>
  <c r="AC98" i="26"/>
  <c r="AP18" i="26"/>
  <c r="BA98" i="26"/>
  <c r="AW58" i="26"/>
  <c r="AY58" i="26"/>
  <c r="AP98" i="26"/>
  <c r="AG18" i="26"/>
  <c r="AP58" i="26"/>
  <c r="AM18" i="26"/>
  <c r="AJ18" i="23"/>
  <c r="AH98" i="23"/>
  <c r="AZ58" i="23"/>
  <c r="AI58" i="23"/>
  <c r="AK18" i="23"/>
  <c r="AF18" i="23"/>
  <c r="AI98" i="23"/>
  <c r="AW18" i="23"/>
  <c r="AP58" i="23"/>
  <c r="AQ18" i="23"/>
  <c r="AZ18" i="23"/>
  <c r="AS18" i="23"/>
  <c r="AV18" i="23"/>
  <c r="AE18" i="23"/>
  <c r="AT58" i="23"/>
  <c r="AU18" i="23"/>
  <c r="AW58" i="23"/>
  <c r="AH58" i="23"/>
  <c r="AL58" i="23"/>
  <c r="BA58" i="23"/>
  <c r="AE58" i="23"/>
  <c r="AN18" i="23"/>
  <c r="AO58" i="23"/>
  <c r="BA18" i="23"/>
  <c r="AK98" i="23"/>
  <c r="AQ58" i="23"/>
  <c r="AD98" i="23"/>
  <c r="AM98" i="23"/>
  <c r="AS58" i="23"/>
  <c r="AH18" i="23"/>
  <c r="AM58" i="23"/>
  <c r="AD18" i="23"/>
  <c r="AX98" i="23"/>
  <c r="AV58" i="23"/>
  <c r="AR58" i="23"/>
  <c r="AR18" i="23"/>
  <c r="AU58" i="23"/>
  <c r="AC98" i="23"/>
  <c r="AJ58" i="22"/>
  <c r="AW58" i="22"/>
  <c r="AN98" i="22"/>
  <c r="AV58" i="22"/>
  <c r="AK58" i="22"/>
  <c r="AO58" i="22"/>
  <c r="AG98" i="22"/>
  <c r="AT58" i="22"/>
  <c r="AY98" i="22"/>
  <c r="AL98" i="22"/>
  <c r="AW18" i="22"/>
  <c r="AK18" i="22"/>
  <c r="AI18" i="22"/>
  <c r="BA58" i="22"/>
  <c r="AP98" i="22"/>
  <c r="AS18" i="22"/>
  <c r="AE18" i="22"/>
  <c r="BA18" i="22"/>
  <c r="AS58" i="22"/>
  <c r="AD98" i="22"/>
  <c r="AO18" i="22"/>
  <c r="AG58" i="22"/>
  <c r="AV18" i="22"/>
  <c r="AT18" i="22"/>
  <c r="AX98" i="22"/>
  <c r="AU98" i="22"/>
  <c r="AH98" i="22"/>
  <c r="AF98" i="22"/>
  <c r="AR58" i="22"/>
  <c r="AG18" i="22"/>
  <c r="AN18" i="22"/>
  <c r="AZ98" i="22"/>
  <c r="AI58" i="22"/>
  <c r="AF18" i="22"/>
  <c r="AU18" i="22"/>
  <c r="AJ98" i="22"/>
  <c r="AS98" i="22"/>
  <c r="AC58" i="22"/>
  <c r="AM98" i="22"/>
  <c r="AR98" i="22"/>
  <c r="BA98" i="22"/>
  <c r="AE58" i="22"/>
  <c r="AD58" i="22"/>
  <c r="AN58" i="22"/>
  <c r="AQ58" i="22"/>
  <c r="AQ98" i="22"/>
  <c r="AP58" i="22"/>
  <c r="AK98" i="22"/>
  <c r="AL18" i="22"/>
  <c r="AC18" i="22"/>
  <c r="B444" i="26" l="1"/>
  <c r="B458" i="26" s="1"/>
  <c r="B476" i="26" s="1"/>
  <c r="L34" i="40" s="1"/>
  <c r="K23" i="43"/>
  <c r="C433" i="43" s="1"/>
  <c r="S464" i="43" s="1"/>
  <c r="K207" i="43"/>
  <c r="Q433" i="43" s="1"/>
  <c r="S467" i="43" s="1"/>
  <c r="E194" i="43"/>
  <c r="W427" i="43" s="1"/>
  <c r="U447" i="43" s="1"/>
  <c r="F231" i="43"/>
  <c r="R428" i="43" s="1"/>
  <c r="AH446" i="43" s="1"/>
  <c r="D244" i="43"/>
  <c r="AE426" i="43" s="1"/>
  <c r="L109" i="43"/>
  <c r="D256" i="43"/>
  <c r="AF426" i="43" s="1"/>
  <c r="G448" i="43" s="1"/>
  <c r="K60" i="43"/>
  <c r="H433" i="43" s="1"/>
  <c r="S465" i="43" s="1"/>
  <c r="L133" i="43"/>
  <c r="D194" i="43"/>
  <c r="W426" i="43" s="1"/>
  <c r="I447" i="43" s="1"/>
  <c r="D170" i="43"/>
  <c r="V426" i="43" s="1"/>
  <c r="G447" i="43" s="1"/>
  <c r="D182" i="43"/>
  <c r="U426" i="43" s="1"/>
  <c r="D447" i="43" s="1"/>
  <c r="E170" i="43"/>
  <c r="V427" i="43" s="1"/>
  <c r="S446" i="43" s="1"/>
  <c r="E182" i="43"/>
  <c r="U427" i="43" s="1"/>
  <c r="P447" i="43" s="1"/>
  <c r="E256" i="43"/>
  <c r="AF427" i="43" s="1"/>
  <c r="S448" i="43" s="1"/>
  <c r="F219" i="43"/>
  <c r="P428" i="43" s="1"/>
  <c r="AA446" i="43" s="1"/>
  <c r="E244" i="43"/>
  <c r="AE427" i="43" s="1"/>
  <c r="F35" i="43"/>
  <c r="B428" i="43" s="1"/>
  <c r="AD443" i="43" s="1"/>
  <c r="B444" i="28"/>
  <c r="B458" i="28" s="1"/>
  <c r="B476" i="28" s="1"/>
  <c r="L6" i="40" s="1"/>
  <c r="J436" i="28"/>
  <c r="J450" i="28" s="1"/>
  <c r="J468" i="28" s="1"/>
  <c r="D14" i="40" s="1"/>
  <c r="AC404" i="28"/>
  <c r="I438" i="28"/>
  <c r="I452" i="28" s="1"/>
  <c r="I470" i="28" s="1"/>
  <c r="F13" i="40" s="1"/>
  <c r="BA343" i="28"/>
  <c r="H442" i="28"/>
  <c r="H456" i="28" s="1"/>
  <c r="H474" i="28" s="1"/>
  <c r="J12" i="40" s="1"/>
  <c r="C444" i="28"/>
  <c r="C458" i="28" s="1"/>
  <c r="C476" i="28" s="1"/>
  <c r="L7" i="40" s="1"/>
  <c r="J442" i="28"/>
  <c r="J456" i="28" s="1"/>
  <c r="J474" i="28" s="1"/>
  <c r="J14" i="40" s="1"/>
  <c r="I436" i="28"/>
  <c r="I450" i="28" s="1"/>
  <c r="I468" i="28" s="1"/>
  <c r="D13" i="40" s="1"/>
  <c r="AC343" i="28"/>
  <c r="D444" i="28"/>
  <c r="D458" i="28" s="1"/>
  <c r="D476" i="28" s="1"/>
  <c r="L8" i="40" s="1"/>
  <c r="H438" i="28"/>
  <c r="H452" i="28" s="1"/>
  <c r="H470" i="28" s="1"/>
  <c r="F12" i="40" s="1"/>
  <c r="BA283" i="28"/>
  <c r="J438" i="28"/>
  <c r="J452" i="28" s="1"/>
  <c r="J470" i="28" s="1"/>
  <c r="F14" i="40" s="1"/>
  <c r="BA404" i="28"/>
  <c r="I442" i="28"/>
  <c r="I456" i="28" s="1"/>
  <c r="I474" i="28" s="1"/>
  <c r="J13" i="40" s="1"/>
  <c r="H436" i="28"/>
  <c r="H450" i="28" s="1"/>
  <c r="H468" i="28" s="1"/>
  <c r="D12" i="40" s="1"/>
  <c r="AC283" i="28"/>
  <c r="C444" i="27"/>
  <c r="C458" i="27" s="1"/>
  <c r="C476" i="27" s="1"/>
  <c r="L21" i="40" s="1"/>
  <c r="J442" i="27"/>
  <c r="J456" i="27" s="1"/>
  <c r="J474" i="27" s="1"/>
  <c r="J28" i="40" s="1"/>
  <c r="H436" i="27"/>
  <c r="H450" i="27" s="1"/>
  <c r="H468" i="27" s="1"/>
  <c r="D26" i="40" s="1"/>
  <c r="AC283" i="27"/>
  <c r="I436" i="27"/>
  <c r="I450" i="27" s="1"/>
  <c r="I468" i="27" s="1"/>
  <c r="D27" i="40" s="1"/>
  <c r="AC343" i="27"/>
  <c r="B444" i="27"/>
  <c r="B458" i="27" s="1"/>
  <c r="B476" i="27" s="1"/>
  <c r="L20" i="40" s="1"/>
  <c r="H442" i="27"/>
  <c r="H456" i="27" s="1"/>
  <c r="H474" i="27" s="1"/>
  <c r="J26" i="40" s="1"/>
  <c r="D444" i="27"/>
  <c r="D458" i="27" s="1"/>
  <c r="D476" i="27" s="1"/>
  <c r="L22" i="40" s="1"/>
  <c r="I442" i="27"/>
  <c r="I456" i="27" s="1"/>
  <c r="I474" i="27" s="1"/>
  <c r="J27" i="40" s="1"/>
  <c r="J438" i="27"/>
  <c r="J452" i="27" s="1"/>
  <c r="J470" i="27" s="1"/>
  <c r="F28" i="40" s="1"/>
  <c r="BA404" i="27"/>
  <c r="J444" i="27" s="1"/>
  <c r="J458" i="27" s="1"/>
  <c r="J476" i="27" s="1"/>
  <c r="L28" i="40" s="1"/>
  <c r="I438" i="27"/>
  <c r="I452" i="27" s="1"/>
  <c r="I470" i="27" s="1"/>
  <c r="F27" i="40" s="1"/>
  <c r="BA343" i="27"/>
  <c r="H438" i="27"/>
  <c r="H452" i="27" s="1"/>
  <c r="H470" i="27" s="1"/>
  <c r="F26" i="40" s="1"/>
  <c r="BA283" i="27"/>
  <c r="J436" i="27"/>
  <c r="J450" i="27" s="1"/>
  <c r="J468" i="27" s="1"/>
  <c r="D28" i="40" s="1"/>
  <c r="AC404" i="27"/>
  <c r="I442" i="26"/>
  <c r="I456" i="26" s="1"/>
  <c r="I474" i="26" s="1"/>
  <c r="J41" i="40" s="1"/>
  <c r="AF343" i="26"/>
  <c r="J442" i="26"/>
  <c r="J456" i="26" s="1"/>
  <c r="J474" i="26" s="1"/>
  <c r="J42" i="40" s="1"/>
  <c r="AC404" i="26"/>
  <c r="H438" i="26"/>
  <c r="H452" i="26" s="1"/>
  <c r="H470" i="26" s="1"/>
  <c r="F40" i="40" s="1"/>
  <c r="BA283" i="26"/>
  <c r="H436" i="26"/>
  <c r="H450" i="26" s="1"/>
  <c r="H468" i="26" s="1"/>
  <c r="D40" i="40" s="1"/>
  <c r="AC283" i="26"/>
  <c r="I438" i="26"/>
  <c r="I452" i="26" s="1"/>
  <c r="I470" i="26" s="1"/>
  <c r="F41" i="40" s="1"/>
  <c r="BA343" i="26"/>
  <c r="D444" i="26"/>
  <c r="D458" i="26" s="1"/>
  <c r="D476" i="26" s="1"/>
  <c r="L36" i="40" s="1"/>
  <c r="J438" i="26"/>
  <c r="J452" i="26" s="1"/>
  <c r="J470" i="26" s="1"/>
  <c r="F42" i="40" s="1"/>
  <c r="BA404" i="26"/>
  <c r="I444" i="26"/>
  <c r="I458" i="26" s="1"/>
  <c r="I476" i="26" s="1"/>
  <c r="L41" i="40" s="1"/>
  <c r="C444" i="26"/>
  <c r="C458" i="26" s="1"/>
  <c r="C476" i="26" s="1"/>
  <c r="L35" i="40" s="1"/>
  <c r="H442" i="26"/>
  <c r="H456" i="26" s="1"/>
  <c r="H474" i="26" s="1"/>
  <c r="J40" i="40" s="1"/>
  <c r="D444" i="24"/>
  <c r="D458" i="24" s="1"/>
  <c r="D476" i="24" s="1"/>
  <c r="L8" i="39" s="1"/>
  <c r="B444" i="24"/>
  <c r="B458" i="24" s="1"/>
  <c r="B476" i="24" s="1"/>
  <c r="L6" i="39" s="1"/>
  <c r="I436" i="24"/>
  <c r="I450" i="24" s="1"/>
  <c r="I468" i="24" s="1"/>
  <c r="D13" i="39" s="1"/>
  <c r="AC343" i="24"/>
  <c r="J438" i="24"/>
  <c r="J452" i="24" s="1"/>
  <c r="J470" i="24" s="1"/>
  <c r="F14" i="39" s="1"/>
  <c r="BA404" i="24"/>
  <c r="H442" i="24"/>
  <c r="H456" i="24" s="1"/>
  <c r="H474" i="24" s="1"/>
  <c r="J12" i="39" s="1"/>
  <c r="C444" i="24"/>
  <c r="C458" i="24" s="1"/>
  <c r="C476" i="24" s="1"/>
  <c r="L7" i="39" s="1"/>
  <c r="I438" i="24"/>
  <c r="I452" i="24" s="1"/>
  <c r="I470" i="24" s="1"/>
  <c r="F13" i="39" s="1"/>
  <c r="BA343" i="24"/>
  <c r="J436" i="24"/>
  <c r="J450" i="24" s="1"/>
  <c r="J468" i="24" s="1"/>
  <c r="D14" i="39" s="1"/>
  <c r="AC404" i="24"/>
  <c r="J442" i="24"/>
  <c r="J456" i="24" s="1"/>
  <c r="J474" i="24" s="1"/>
  <c r="J14" i="39" s="1"/>
  <c r="H438" i="24"/>
  <c r="H452" i="24" s="1"/>
  <c r="H470" i="24" s="1"/>
  <c r="F12" i="39" s="1"/>
  <c r="BA283" i="24"/>
  <c r="I442" i="24"/>
  <c r="I456" i="24" s="1"/>
  <c r="I474" i="24" s="1"/>
  <c r="J13" i="39" s="1"/>
  <c r="AZ343" i="24"/>
  <c r="H436" i="24"/>
  <c r="H450" i="24" s="1"/>
  <c r="H468" i="24" s="1"/>
  <c r="D12" i="39" s="1"/>
  <c r="AC283" i="24"/>
  <c r="C444" i="23"/>
  <c r="C458" i="23" s="1"/>
  <c r="C476" i="23" s="1"/>
  <c r="L21" i="39" s="1"/>
  <c r="J436" i="23"/>
  <c r="J450" i="23" s="1"/>
  <c r="J468" i="23" s="1"/>
  <c r="D28" i="39" s="1"/>
  <c r="AC404" i="23"/>
  <c r="I438" i="23"/>
  <c r="I452" i="23" s="1"/>
  <c r="I470" i="23" s="1"/>
  <c r="F27" i="39" s="1"/>
  <c r="BA343" i="23"/>
  <c r="I436" i="23"/>
  <c r="I450" i="23" s="1"/>
  <c r="I468" i="23" s="1"/>
  <c r="D27" i="39" s="1"/>
  <c r="AC343" i="23"/>
  <c r="AD343" i="23"/>
  <c r="I442" i="23"/>
  <c r="I456" i="23" s="1"/>
  <c r="I474" i="23" s="1"/>
  <c r="J27" i="39" s="1"/>
  <c r="J438" i="23"/>
  <c r="J452" i="23" s="1"/>
  <c r="J470" i="23" s="1"/>
  <c r="F28" i="39" s="1"/>
  <c r="BA404" i="23"/>
  <c r="D444" i="23"/>
  <c r="D458" i="23" s="1"/>
  <c r="D476" i="23" s="1"/>
  <c r="L22" i="39" s="1"/>
  <c r="H442" i="23"/>
  <c r="H456" i="23" s="1"/>
  <c r="H474" i="23" s="1"/>
  <c r="J26" i="39" s="1"/>
  <c r="H436" i="23"/>
  <c r="H450" i="23" s="1"/>
  <c r="H468" i="23" s="1"/>
  <c r="D26" i="39" s="1"/>
  <c r="AC283" i="23"/>
  <c r="H444" i="23" s="1"/>
  <c r="H458" i="23" s="1"/>
  <c r="H476" i="23" s="1"/>
  <c r="L26" i="39" s="1"/>
  <c r="J442" i="23"/>
  <c r="J456" i="23" s="1"/>
  <c r="J474" i="23" s="1"/>
  <c r="J28" i="39" s="1"/>
  <c r="B444" i="23"/>
  <c r="B458" i="23" s="1"/>
  <c r="B476" i="23" s="1"/>
  <c r="L20" i="39" s="1"/>
  <c r="C444" i="22"/>
  <c r="C458" i="22" s="1"/>
  <c r="C476" i="22" s="1"/>
  <c r="L35" i="39" s="1"/>
  <c r="J442" i="22"/>
  <c r="J456" i="22" s="1"/>
  <c r="J474" i="22" s="1"/>
  <c r="J42" i="39" s="1"/>
  <c r="AC404" i="22"/>
  <c r="H438" i="22"/>
  <c r="H452" i="22" s="1"/>
  <c r="H470" i="22" s="1"/>
  <c r="F40" i="39" s="1"/>
  <c r="BA283" i="22"/>
  <c r="J438" i="22"/>
  <c r="J452" i="22" s="1"/>
  <c r="J470" i="22" s="1"/>
  <c r="F42" i="39" s="1"/>
  <c r="BA404" i="22"/>
  <c r="B444" i="22"/>
  <c r="B458" i="22" s="1"/>
  <c r="B476" i="22" s="1"/>
  <c r="L34" i="39" s="1"/>
  <c r="H436" i="22"/>
  <c r="H450" i="22" s="1"/>
  <c r="H468" i="22" s="1"/>
  <c r="D40" i="39" s="1"/>
  <c r="AC283" i="22"/>
  <c r="I442" i="22"/>
  <c r="I456" i="22" s="1"/>
  <c r="I474" i="22" s="1"/>
  <c r="J41" i="39" s="1"/>
  <c r="AD343" i="22"/>
  <c r="I444" i="22" s="1"/>
  <c r="I458" i="22" s="1"/>
  <c r="I476" i="22" s="1"/>
  <c r="L41" i="39" s="1"/>
  <c r="H442" i="22"/>
  <c r="H456" i="22" s="1"/>
  <c r="H474" i="22" s="1"/>
  <c r="J40" i="39" s="1"/>
  <c r="D444" i="22"/>
  <c r="D458" i="22" s="1"/>
  <c r="D476" i="22" s="1"/>
  <c r="L36" i="39" s="1"/>
  <c r="E81" i="43"/>
  <c r="E69" i="43"/>
  <c r="F84" i="43"/>
  <c r="I428" i="43" s="1"/>
  <c r="AH444" i="43" s="1"/>
  <c r="D228" i="43"/>
  <c r="D216" i="43"/>
  <c r="E216" i="43"/>
  <c r="E228" i="43"/>
  <c r="F47" i="43"/>
  <c r="D428" i="43" s="1"/>
  <c r="AF443" i="43" s="1"/>
  <c r="L242" i="43"/>
  <c r="L244" i="43" s="1"/>
  <c r="AE434" i="43" s="1"/>
  <c r="L254" i="43"/>
  <c r="L256" i="43" s="1"/>
  <c r="AF434" i="43" s="1"/>
  <c r="AE472" i="43" s="1"/>
  <c r="L21" i="43"/>
  <c r="L205" i="43"/>
  <c r="L58" i="43"/>
  <c r="J56" i="1"/>
  <c r="J205" i="43"/>
  <c r="J58" i="43"/>
  <c r="J242" i="43"/>
  <c r="J244" i="43" s="1"/>
  <c r="AE432" i="43" s="1"/>
  <c r="J254" i="43"/>
  <c r="J256" i="43" s="1"/>
  <c r="AF432" i="43" s="1"/>
  <c r="G472" i="43" s="1"/>
  <c r="J21" i="43"/>
  <c r="J54" i="1"/>
  <c r="D81" i="43"/>
  <c r="D69" i="43"/>
  <c r="J143" i="43"/>
  <c r="J145" i="43" s="1"/>
  <c r="L432" i="43" s="1"/>
  <c r="F466" i="43" s="1"/>
  <c r="J133" i="43"/>
  <c r="E42" i="43"/>
  <c r="E30" i="43"/>
  <c r="D45" i="43"/>
  <c r="D33" i="43"/>
  <c r="D44" i="43"/>
  <c r="D32" i="43"/>
  <c r="L225" i="43"/>
  <c r="L213" i="43"/>
  <c r="E217" i="43"/>
  <c r="E229" i="43"/>
  <c r="K248" i="43"/>
  <c r="K236" i="43"/>
  <c r="K15" i="43"/>
  <c r="K52" i="43"/>
  <c r="K199" i="43"/>
  <c r="D55" i="1"/>
  <c r="K164" i="43"/>
  <c r="K176" i="43"/>
  <c r="K188" i="43"/>
  <c r="K205" i="43"/>
  <c r="K58" i="43"/>
  <c r="K242" i="43"/>
  <c r="K254" i="43"/>
  <c r="K21" i="43"/>
  <c r="J55" i="1"/>
  <c r="L78" i="43"/>
  <c r="L66" i="43"/>
  <c r="E82" i="43"/>
  <c r="E70" i="43"/>
  <c r="D82" i="43"/>
  <c r="D70" i="43"/>
  <c r="E33" i="43"/>
  <c r="E45" i="43"/>
  <c r="K113" i="43"/>
  <c r="K121" i="43" s="1"/>
  <c r="M433" i="43" s="1"/>
  <c r="S466" i="43" s="1"/>
  <c r="K109" i="43"/>
  <c r="K17" i="43"/>
  <c r="K201" i="43"/>
  <c r="K54" i="43"/>
  <c r="K250" i="43"/>
  <c r="K238" i="43"/>
  <c r="F55" i="1"/>
  <c r="F72" i="43"/>
  <c r="G428" i="43" s="1"/>
  <c r="AC444" i="43" s="1"/>
  <c r="J180" i="43"/>
  <c r="J182" i="43" s="1"/>
  <c r="U432" i="43" s="1"/>
  <c r="D468" i="43" s="1"/>
  <c r="J192" i="43"/>
  <c r="J194" i="43" s="1"/>
  <c r="W432" i="43" s="1"/>
  <c r="I468" i="43" s="1"/>
  <c r="J168" i="43"/>
  <c r="J170" i="43" s="1"/>
  <c r="V432" i="43" s="1"/>
  <c r="G468" i="43" s="1"/>
  <c r="J158" i="43"/>
  <c r="J119" i="43"/>
  <c r="J121" i="43" s="1"/>
  <c r="M432" i="43" s="1"/>
  <c r="G466" i="43" s="1"/>
  <c r="J109" i="43"/>
  <c r="E44" i="43"/>
  <c r="E32" i="43"/>
  <c r="K186" i="43"/>
  <c r="K174" i="43"/>
  <c r="K162" i="43"/>
  <c r="K158" i="43"/>
  <c r="D217" i="43"/>
  <c r="D229" i="43"/>
  <c r="L41" i="43"/>
  <c r="L29" i="43"/>
  <c r="L180" i="43"/>
  <c r="L182" i="43" s="1"/>
  <c r="U434" i="43" s="1"/>
  <c r="AB468" i="43" s="1"/>
  <c r="L168" i="43"/>
  <c r="L170" i="43" s="1"/>
  <c r="V434" i="43" s="1"/>
  <c r="AE468" i="43" s="1"/>
  <c r="L192" i="43"/>
  <c r="L194" i="43" s="1"/>
  <c r="W434" i="43" s="1"/>
  <c r="AG468" i="43" s="1"/>
  <c r="L158" i="43"/>
  <c r="K192" i="43"/>
  <c r="K180" i="43"/>
  <c r="K168" i="43"/>
  <c r="K137" i="43"/>
  <c r="K145" i="43" s="1"/>
  <c r="L433" i="43" s="1"/>
  <c r="R466" i="43" s="1"/>
  <c r="K133" i="43"/>
  <c r="E79" i="43"/>
  <c r="E67" i="43"/>
  <c r="E216" i="42"/>
  <c r="E228" i="42"/>
  <c r="E44" i="42"/>
  <c r="E32" i="42"/>
  <c r="E81" i="42"/>
  <c r="E69" i="42"/>
  <c r="K101" i="37"/>
  <c r="K125" i="37"/>
  <c r="I468" i="9"/>
  <c r="K150" i="37"/>
  <c r="G392" i="13"/>
  <c r="G394" i="13"/>
  <c r="G429" i="13"/>
  <c r="G428" i="13"/>
  <c r="E413" i="13"/>
  <c r="J413" i="13" s="1"/>
  <c r="G432" i="13" s="1"/>
  <c r="E412" i="13"/>
  <c r="J412" i="13" s="1"/>
  <c r="G431" i="13" s="1"/>
  <c r="E411" i="13"/>
  <c r="J411" i="13" s="1"/>
  <c r="E410" i="13"/>
  <c r="J410" i="13" s="1"/>
  <c r="G409" i="13"/>
  <c r="J409" i="13" s="1"/>
  <c r="G436" i="13" s="1"/>
  <c r="G408" i="13"/>
  <c r="J408" i="13" s="1"/>
  <c r="G425" i="13" s="1"/>
  <c r="G407" i="13"/>
  <c r="J407" i="13" s="1"/>
  <c r="G424" i="13" s="1"/>
  <c r="G435" i="13" s="1"/>
  <c r="S447" i="43" l="1"/>
  <c r="H444" i="26"/>
  <c r="H458" i="26" s="1"/>
  <c r="H476" i="26" s="1"/>
  <c r="L40" i="40" s="1"/>
  <c r="J444" i="24"/>
  <c r="J458" i="24" s="1"/>
  <c r="J476" i="24" s="1"/>
  <c r="L14" i="39" s="1"/>
  <c r="H444" i="27"/>
  <c r="H458" i="27" s="1"/>
  <c r="H476" i="27" s="1"/>
  <c r="L26" i="40" s="1"/>
  <c r="E72" i="43"/>
  <c r="G427" i="43" s="1"/>
  <c r="Q444" i="43" s="1"/>
  <c r="E35" i="43"/>
  <c r="B427" i="43" s="1"/>
  <c r="R443" i="43" s="1"/>
  <c r="D35" i="43"/>
  <c r="B426" i="43" s="1"/>
  <c r="F443" i="43" s="1"/>
  <c r="E231" i="43"/>
  <c r="R427" i="43" s="1"/>
  <c r="V446" i="43" s="1"/>
  <c r="D72" i="43"/>
  <c r="G426" i="43" s="1"/>
  <c r="E444" i="43" s="1"/>
  <c r="D47" i="43"/>
  <c r="D426" i="43" s="1"/>
  <c r="H443" i="43" s="1"/>
  <c r="D84" i="43"/>
  <c r="I426" i="43" s="1"/>
  <c r="J444" i="43" s="1"/>
  <c r="D231" i="43"/>
  <c r="R426" i="43" s="1"/>
  <c r="J446" i="43" s="1"/>
  <c r="E84" i="43"/>
  <c r="I427" i="43" s="1"/>
  <c r="V444" i="43" s="1"/>
  <c r="E219" i="43"/>
  <c r="P427" i="43" s="1"/>
  <c r="O446" i="43" s="1"/>
  <c r="K244" i="43"/>
  <c r="AE433" i="43" s="1"/>
  <c r="D219" i="43"/>
  <c r="P426" i="43" s="1"/>
  <c r="C446" i="43" s="1"/>
  <c r="J444" i="28"/>
  <c r="J458" i="28" s="1"/>
  <c r="J476" i="28" s="1"/>
  <c r="L14" i="40" s="1"/>
  <c r="H444" i="28"/>
  <c r="H458" i="28" s="1"/>
  <c r="H476" i="28" s="1"/>
  <c r="L12" i="40" s="1"/>
  <c r="I444" i="28"/>
  <c r="I458" i="28" s="1"/>
  <c r="I476" i="28" s="1"/>
  <c r="L13" i="40" s="1"/>
  <c r="I444" i="27"/>
  <c r="I458" i="27" s="1"/>
  <c r="I476" i="27" s="1"/>
  <c r="L27" i="40" s="1"/>
  <c r="J444" i="26"/>
  <c r="J458" i="26" s="1"/>
  <c r="J476" i="26" s="1"/>
  <c r="L42" i="40" s="1"/>
  <c r="I444" i="24"/>
  <c r="I458" i="24" s="1"/>
  <c r="I476" i="24" s="1"/>
  <c r="L13" i="39" s="1"/>
  <c r="H444" i="24"/>
  <c r="H458" i="24" s="1"/>
  <c r="H476" i="24" s="1"/>
  <c r="L12" i="39" s="1"/>
  <c r="I444" i="23"/>
  <c r="I458" i="23" s="1"/>
  <c r="I476" i="23" s="1"/>
  <c r="L27" i="39" s="1"/>
  <c r="J444" i="23"/>
  <c r="J458" i="23" s="1"/>
  <c r="J476" i="23" s="1"/>
  <c r="L28" i="39" s="1"/>
  <c r="J444" i="22"/>
  <c r="J458" i="22" s="1"/>
  <c r="J476" i="22" s="1"/>
  <c r="L42" i="39" s="1"/>
  <c r="H444" i="22"/>
  <c r="H458" i="22" s="1"/>
  <c r="H476" i="22" s="1"/>
  <c r="L40" i="39" s="1"/>
  <c r="L229" i="43"/>
  <c r="L231" i="43" s="1"/>
  <c r="R434" i="43" s="1"/>
  <c r="AH467" i="43" s="1"/>
  <c r="L217" i="43"/>
  <c r="L219" i="43" s="1"/>
  <c r="P434" i="43" s="1"/>
  <c r="AA467" i="43" s="1"/>
  <c r="K182" i="43"/>
  <c r="U433" i="43" s="1"/>
  <c r="P468" i="43" s="1"/>
  <c r="E47" i="43"/>
  <c r="D427" i="43" s="1"/>
  <c r="T443" i="43" s="1"/>
  <c r="K170" i="43"/>
  <c r="V433" i="43" s="1"/>
  <c r="S468" i="43" s="1"/>
  <c r="K194" i="43"/>
  <c r="W433" i="43" s="1"/>
  <c r="U468" i="43" s="1"/>
  <c r="K82" i="43"/>
  <c r="K70" i="43"/>
  <c r="J70" i="43"/>
  <c r="J72" i="43" s="1"/>
  <c r="G432" i="43" s="1"/>
  <c r="E465" i="43" s="1"/>
  <c r="J82" i="43"/>
  <c r="J84" i="43" s="1"/>
  <c r="I432" i="43" s="1"/>
  <c r="J465" i="43" s="1"/>
  <c r="K229" i="43"/>
  <c r="K217" i="43"/>
  <c r="J229" i="43"/>
  <c r="J231" i="43" s="1"/>
  <c r="R432" i="43" s="1"/>
  <c r="J467" i="43" s="1"/>
  <c r="J217" i="43"/>
  <c r="J219" i="43" s="1"/>
  <c r="P432" i="43" s="1"/>
  <c r="C467" i="43" s="1"/>
  <c r="L33" i="43"/>
  <c r="L35" i="43" s="1"/>
  <c r="B434" i="43" s="1"/>
  <c r="AD464" i="43" s="1"/>
  <c r="L45" i="43"/>
  <c r="L47" i="43" s="1"/>
  <c r="D434" i="43" s="1"/>
  <c r="K223" i="43"/>
  <c r="K211" i="43"/>
  <c r="K225" i="43"/>
  <c r="K213" i="43"/>
  <c r="K76" i="43"/>
  <c r="K64" i="43"/>
  <c r="K256" i="43"/>
  <c r="AF433" i="43" s="1"/>
  <c r="S472" i="43" s="1"/>
  <c r="K66" i="43"/>
  <c r="K78" i="43"/>
  <c r="K41" i="43"/>
  <c r="K29" i="43"/>
  <c r="K45" i="43"/>
  <c r="K33" i="43"/>
  <c r="K39" i="43"/>
  <c r="K27" i="43"/>
  <c r="J45" i="43"/>
  <c r="J47" i="43" s="1"/>
  <c r="D432" i="43" s="1"/>
  <c r="H464" i="43" s="1"/>
  <c r="J33" i="43"/>
  <c r="J35" i="43" s="1"/>
  <c r="B432" i="43" s="1"/>
  <c r="F464" i="43" s="1"/>
  <c r="L82" i="43"/>
  <c r="L84" i="43" s="1"/>
  <c r="I434" i="43" s="1"/>
  <c r="AH465" i="43" s="1"/>
  <c r="L70" i="43"/>
  <c r="L72" i="43" s="1"/>
  <c r="G434" i="43" s="1"/>
  <c r="AC465" i="43" s="1"/>
  <c r="K137" i="37"/>
  <c r="K236" i="37"/>
  <c r="K15" i="37"/>
  <c r="K248" i="37"/>
  <c r="K199" i="37"/>
  <c r="D13" i="1"/>
  <c r="K52" i="37"/>
  <c r="K113" i="37"/>
  <c r="K162" i="37"/>
  <c r="K186" i="37"/>
  <c r="K174" i="37"/>
  <c r="G438" i="13"/>
  <c r="G437" i="13"/>
  <c r="G426" i="13"/>
  <c r="K47" i="43" l="1"/>
  <c r="D433" i="43" s="1"/>
  <c r="T464" i="43" s="1"/>
  <c r="K35" i="43"/>
  <c r="B433" i="43" s="1"/>
  <c r="R464" i="43" s="1"/>
  <c r="K72" i="43"/>
  <c r="G433" i="43" s="1"/>
  <c r="Q465" i="43" s="1"/>
  <c r="K219" i="43"/>
  <c r="P433" i="43" s="1"/>
  <c r="O467" i="43" s="1"/>
  <c r="K231" i="43"/>
  <c r="R433" i="43" s="1"/>
  <c r="V467" i="43" s="1"/>
  <c r="K84" i="43"/>
  <c r="I433" i="43" s="1"/>
  <c r="V465" i="43" s="1"/>
  <c r="K39" i="37"/>
  <c r="K27" i="37"/>
  <c r="K211" i="37"/>
  <c r="K223" i="37"/>
  <c r="K76" i="37"/>
  <c r="K64" i="37"/>
  <c r="G291" i="13"/>
  <c r="G260" i="13"/>
  <c r="G226" i="13"/>
  <c r="E166" i="13"/>
  <c r="G183" i="13" s="1"/>
  <c r="E165" i="13"/>
  <c r="G181" i="13" s="1"/>
  <c r="G111" i="13"/>
  <c r="G187" i="13"/>
  <c r="AF464" i="43" l="1"/>
  <c r="G74" i="13"/>
  <c r="H32" i="19" l="1"/>
  <c r="G32" i="19"/>
  <c r="F32" i="19"/>
  <c r="H31" i="19"/>
  <c r="G31" i="19"/>
  <c r="F31" i="19"/>
  <c r="H30" i="19"/>
  <c r="G30" i="19"/>
  <c r="F30" i="19"/>
  <c r="F24" i="19" a="1"/>
  <c r="F19" i="19" a="1"/>
  <c r="G21" i="19" s="1"/>
  <c r="H27" i="19" l="1"/>
  <c r="F25" i="19"/>
  <c r="G19" i="19"/>
  <c r="G22" i="19"/>
  <c r="G25" i="19"/>
  <c r="G28" i="19"/>
  <c r="G20" i="19"/>
  <c r="G23" i="19"/>
  <c r="F26" i="19"/>
  <c r="H20" i="19"/>
  <c r="H23" i="19"/>
  <c r="G26" i="19"/>
  <c r="F21" i="19"/>
  <c r="H26" i="19"/>
  <c r="F27" i="19"/>
  <c r="H22" i="19"/>
  <c r="F112" i="19" s="1" a="1"/>
  <c r="F20" i="19"/>
  <c r="H21" i="19"/>
  <c r="G24" i="19"/>
  <c r="G27" i="19"/>
  <c r="F24" i="19"/>
  <c r="F19" i="19"/>
  <c r="F22" i="19"/>
  <c r="H24" i="19"/>
  <c r="F28" i="19"/>
  <c r="H19" i="19"/>
  <c r="F23" i="19"/>
  <c r="H25" i="19"/>
  <c r="H28" i="19"/>
  <c r="E91" i="15"/>
  <c r="E139" i="15" s="1"/>
  <c r="E88" i="15"/>
  <c r="E136" i="15" s="1"/>
  <c r="E86" i="15"/>
  <c r="E84" i="15"/>
  <c r="E132" i="15" s="1"/>
  <c r="E85" i="15"/>
  <c r="E133" i="15" s="1"/>
  <c r="E87" i="15"/>
  <c r="E135" i="15" s="1"/>
  <c r="E83" i="15"/>
  <c r="E131" i="15" s="1"/>
  <c r="E71" i="15"/>
  <c r="E70" i="15"/>
  <c r="E66" i="15"/>
  <c r="E74" i="15" s="1"/>
  <c r="E67" i="15"/>
  <c r="E68" i="15"/>
  <c r="E75" i="15" s="1"/>
  <c r="E69" i="15"/>
  <c r="E65" i="15"/>
  <c r="E52" i="15"/>
  <c r="E118" i="15" s="1"/>
  <c r="E51" i="15"/>
  <c r="E117" i="15" s="1"/>
  <c r="E48" i="15"/>
  <c r="E114" i="15" s="1"/>
  <c r="E49" i="15"/>
  <c r="E46" i="15"/>
  <c r="D17" i="15"/>
  <c r="E50" i="15" s="1"/>
  <c r="E116" i="15" s="1"/>
  <c r="D14" i="15"/>
  <c r="E47" i="15" s="1"/>
  <c r="E56" i="15" l="1"/>
  <c r="E122" i="15" s="1"/>
  <c r="E112" i="15"/>
  <c r="E92" i="15"/>
  <c r="E140" i="15" s="1"/>
  <c r="E134" i="15"/>
  <c r="E57" i="15"/>
  <c r="E123" i="15" s="1"/>
  <c r="E115" i="15"/>
  <c r="E55" i="15"/>
  <c r="E121" i="15" s="1"/>
  <c r="E113" i="15"/>
  <c r="F86" i="19" a="1"/>
  <c r="G111" i="19" s="1"/>
  <c r="F138" i="19" a="1"/>
  <c r="H159" i="19" s="1"/>
  <c r="H135" i="19"/>
  <c r="F133" i="19"/>
  <c r="G130" i="19"/>
  <c r="H127" i="19"/>
  <c r="F125" i="19"/>
  <c r="G122" i="19"/>
  <c r="H119" i="19"/>
  <c r="F117" i="19"/>
  <c r="G114" i="19"/>
  <c r="H137" i="19"/>
  <c r="F135" i="19"/>
  <c r="G132" i="19"/>
  <c r="H129" i="19"/>
  <c r="F127" i="19"/>
  <c r="G124" i="19"/>
  <c r="H121" i="19"/>
  <c r="F119" i="19"/>
  <c r="G116" i="19"/>
  <c r="H113" i="19"/>
  <c r="G137" i="19"/>
  <c r="H134" i="19"/>
  <c r="F132" i="19"/>
  <c r="G129" i="19"/>
  <c r="H126" i="19"/>
  <c r="F124" i="19"/>
  <c r="G121" i="19"/>
  <c r="H118" i="19"/>
  <c r="F116" i="19"/>
  <c r="G113" i="19"/>
  <c r="F136" i="19"/>
  <c r="G131" i="19"/>
  <c r="G127" i="19"/>
  <c r="F123" i="19"/>
  <c r="G118" i="19"/>
  <c r="H114" i="19"/>
  <c r="G135" i="19"/>
  <c r="F131" i="19"/>
  <c r="G126" i="19"/>
  <c r="H122" i="19"/>
  <c r="F118" i="19"/>
  <c r="F114" i="19"/>
  <c r="G134" i="19"/>
  <c r="H130" i="19"/>
  <c r="F126" i="19"/>
  <c r="F122" i="19"/>
  <c r="H117" i="19"/>
  <c r="F113" i="19"/>
  <c r="F134" i="19"/>
  <c r="F130" i="19"/>
  <c r="H125" i="19"/>
  <c r="F121" i="19"/>
  <c r="G117" i="19"/>
  <c r="H112" i="19"/>
  <c r="H133" i="19"/>
  <c r="F129" i="19"/>
  <c r="G125" i="19"/>
  <c r="H120" i="19"/>
  <c r="H116" i="19"/>
  <c r="G112" i="19"/>
  <c r="H136" i="19"/>
  <c r="H132" i="19"/>
  <c r="G128" i="19"/>
  <c r="H123" i="19"/>
  <c r="F120" i="19"/>
  <c r="G115" i="19"/>
  <c r="F137" i="19"/>
  <c r="G133" i="19"/>
  <c r="H128" i="19"/>
  <c r="H124" i="19"/>
  <c r="G120" i="19"/>
  <c r="H115" i="19"/>
  <c r="F112" i="19"/>
  <c r="G136" i="19"/>
  <c r="H131" i="19"/>
  <c r="F128" i="19"/>
  <c r="G123" i="19"/>
  <c r="G119" i="19"/>
  <c r="F115" i="19"/>
  <c r="F60" i="19" a="1"/>
  <c r="F34" i="19" a="1"/>
  <c r="H105" i="19" l="1"/>
  <c r="F104" i="19"/>
  <c r="F102" i="19"/>
  <c r="F96" i="19"/>
  <c r="F100" i="19"/>
  <c r="F91" i="19"/>
  <c r="F107" i="19"/>
  <c r="F139" i="19"/>
  <c r="F161" i="19"/>
  <c r="H143" i="19"/>
  <c r="G107" i="19"/>
  <c r="G86" i="19"/>
  <c r="G94" i="19"/>
  <c r="G105" i="19"/>
  <c r="G99" i="19"/>
  <c r="G110" i="19"/>
  <c r="G108" i="19"/>
  <c r="H101" i="19"/>
  <c r="H95" i="19"/>
  <c r="H106" i="19"/>
  <c r="H89" i="19"/>
  <c r="H92" i="19"/>
  <c r="H146" i="19"/>
  <c r="H96" i="19"/>
  <c r="H91" i="19"/>
  <c r="F88" i="19"/>
  <c r="G153" i="19"/>
  <c r="H151" i="19"/>
  <c r="G90" i="19"/>
  <c r="G98" i="19"/>
  <c r="H102" i="19"/>
  <c r="F87" i="19"/>
  <c r="F111" i="19"/>
  <c r="F142" i="19"/>
  <c r="G160" i="19"/>
  <c r="F156" i="19"/>
  <c r="G162" i="19"/>
  <c r="H86" i="19"/>
  <c r="H93" i="19"/>
  <c r="F152" i="19"/>
  <c r="H160" i="19"/>
  <c r="F151" i="19"/>
  <c r="H162" i="19"/>
  <c r="H90" i="19"/>
  <c r="F97" i="19"/>
  <c r="F99" i="19"/>
  <c r="F110" i="19"/>
  <c r="G92" i="19"/>
  <c r="G95" i="19"/>
  <c r="F158" i="19"/>
  <c r="G141" i="19"/>
  <c r="H153" i="19"/>
  <c r="F86" i="19"/>
  <c r="F94" i="19"/>
  <c r="F101" i="19"/>
  <c r="G91" i="19"/>
  <c r="G102" i="19"/>
  <c r="F89" i="19"/>
  <c r="H97" i="19"/>
  <c r="F98" i="19"/>
  <c r="F144" i="19"/>
  <c r="G163" i="19"/>
  <c r="F146" i="19"/>
  <c r="G89" i="19"/>
  <c r="G97" i="19"/>
  <c r="H111" i="19"/>
  <c r="H94" i="19"/>
  <c r="G106" i="19"/>
  <c r="H99" i="19"/>
  <c r="G100" i="19"/>
  <c r="G103" i="19"/>
  <c r="H157" i="19"/>
  <c r="H139" i="19"/>
  <c r="H148" i="19"/>
  <c r="G93" i="19"/>
  <c r="G101" i="19"/>
  <c r="H87" i="19"/>
  <c r="H98" i="19"/>
  <c r="H109" i="19"/>
  <c r="H103" i="19"/>
  <c r="F103" i="19"/>
  <c r="F106" i="19"/>
  <c r="F160" i="19"/>
  <c r="G158" i="19"/>
  <c r="F141" i="19"/>
  <c r="G147" i="19"/>
  <c r="G142" i="19"/>
  <c r="H163" i="19"/>
  <c r="H158" i="19"/>
  <c r="G156" i="19"/>
  <c r="G151" i="19"/>
  <c r="G146" i="19"/>
  <c r="F150" i="19"/>
  <c r="H152" i="19"/>
  <c r="F155" i="19"/>
  <c r="F145" i="19"/>
  <c r="F140" i="19"/>
  <c r="G161" i="19"/>
  <c r="F159" i="19"/>
  <c r="F154" i="19"/>
  <c r="F149" i="19"/>
  <c r="H100" i="19"/>
  <c r="G139" i="19"/>
  <c r="G154" i="19"/>
  <c r="F163" i="19"/>
  <c r="H147" i="19"/>
  <c r="H142" i="19"/>
  <c r="G140" i="19"/>
  <c r="H156" i="19"/>
  <c r="H138" i="19"/>
  <c r="F157" i="19"/>
  <c r="H161" i="19"/>
  <c r="H149" i="19"/>
  <c r="H141" i="19"/>
  <c r="G150" i="19"/>
  <c r="G145" i="19"/>
  <c r="F143" i="19"/>
  <c r="F138" i="19"/>
  <c r="G159" i="19"/>
  <c r="G157" i="19"/>
  <c r="H144" i="19"/>
  <c r="F147" i="19"/>
  <c r="G149" i="19"/>
  <c r="F153" i="19"/>
  <c r="F148" i="19"/>
  <c r="H145" i="19"/>
  <c r="H140" i="19"/>
  <c r="F162" i="19"/>
  <c r="H104" i="19"/>
  <c r="G104" i="19"/>
  <c r="F105" i="19"/>
  <c r="G109" i="19"/>
  <c r="H88" i="19"/>
  <c r="F93" i="19"/>
  <c r="G87" i="19"/>
  <c r="H108" i="19"/>
  <c r="G144" i="19"/>
  <c r="G152" i="19"/>
  <c r="H154" i="19"/>
  <c r="G155" i="19"/>
  <c r="H155" i="19"/>
  <c r="H150" i="19"/>
  <c r="G148" i="19"/>
  <c r="G143" i="19"/>
  <c r="G138" i="19"/>
  <c r="H110" i="19"/>
  <c r="F108" i="19"/>
  <c r="H107" i="19"/>
  <c r="F109" i="19"/>
  <c r="G88" i="19"/>
  <c r="F92" i="19"/>
  <c r="G96" i="19"/>
  <c r="F95" i="19"/>
  <c r="F90" i="19"/>
  <c r="F85" i="19"/>
  <c r="G82" i="19"/>
  <c r="H79" i="19"/>
  <c r="F77" i="19"/>
  <c r="G74" i="19"/>
  <c r="H71" i="19"/>
  <c r="F69" i="19"/>
  <c r="G66" i="19"/>
  <c r="H63" i="19"/>
  <c r="F61" i="19"/>
  <c r="H84" i="19"/>
  <c r="F82" i="19"/>
  <c r="H85" i="19"/>
  <c r="H81" i="19"/>
  <c r="H78" i="19"/>
  <c r="H75" i="19"/>
  <c r="H72" i="19"/>
  <c r="H69" i="19"/>
  <c r="H66" i="19"/>
  <c r="G63" i="19"/>
  <c r="G60" i="19"/>
  <c r="G85" i="19"/>
  <c r="G81" i="19"/>
  <c r="G78" i="19"/>
  <c r="G75" i="19"/>
  <c r="G72" i="19"/>
  <c r="G69" i="19"/>
  <c r="F66" i="19"/>
  <c r="F63" i="19"/>
  <c r="F60" i="19"/>
  <c r="G84" i="19"/>
  <c r="F81" i="19"/>
  <c r="F78" i="19"/>
  <c r="F75" i="19"/>
  <c r="F72" i="19"/>
  <c r="H68" i="19"/>
  <c r="H65" i="19"/>
  <c r="H62" i="19"/>
  <c r="F84" i="19"/>
  <c r="H80" i="19"/>
  <c r="H77" i="19"/>
  <c r="H74" i="19"/>
  <c r="G71" i="19"/>
  <c r="G68" i="19"/>
  <c r="G65" i="19"/>
  <c r="G62" i="19"/>
  <c r="G83" i="19"/>
  <c r="H76" i="19"/>
  <c r="H73" i="19"/>
  <c r="H70" i="19"/>
  <c r="H67" i="19"/>
  <c r="H64" i="19"/>
  <c r="H61" i="19"/>
  <c r="G76" i="19"/>
  <c r="G64" i="19"/>
  <c r="F79" i="19"/>
  <c r="F67" i="19"/>
  <c r="H83" i="19"/>
  <c r="G80" i="19"/>
  <c r="G77" i="19"/>
  <c r="F74" i="19"/>
  <c r="F71" i="19"/>
  <c r="F68" i="19"/>
  <c r="F65" i="19"/>
  <c r="F62" i="19"/>
  <c r="F80" i="19"/>
  <c r="G79" i="19"/>
  <c r="G70" i="19"/>
  <c r="G61" i="19"/>
  <c r="H82" i="19"/>
  <c r="F76" i="19"/>
  <c r="F73" i="19"/>
  <c r="F70" i="19"/>
  <c r="F64" i="19"/>
  <c r="H60" i="19"/>
  <c r="F83" i="19"/>
  <c r="G73" i="19"/>
  <c r="G67" i="19"/>
  <c r="H58" i="19"/>
  <c r="F56" i="19"/>
  <c r="G53" i="19"/>
  <c r="H50" i="19"/>
  <c r="F48" i="19"/>
  <c r="G45" i="19"/>
  <c r="H42" i="19"/>
  <c r="F40" i="19"/>
  <c r="G37" i="19"/>
  <c r="H34" i="19"/>
  <c r="H57" i="19"/>
  <c r="H54" i="19"/>
  <c r="H51" i="19"/>
  <c r="H48" i="19"/>
  <c r="H45" i="19"/>
  <c r="G42" i="19"/>
  <c r="G39" i="19"/>
  <c r="G36" i="19"/>
  <c r="G57" i="19"/>
  <c r="G54" i="19"/>
  <c r="G51" i="19"/>
  <c r="G48" i="19"/>
  <c r="F45" i="19"/>
  <c r="F42" i="19"/>
  <c r="F39" i="19"/>
  <c r="F36" i="19"/>
  <c r="F57" i="19"/>
  <c r="F54" i="19"/>
  <c r="F51" i="19"/>
  <c r="H47" i="19"/>
  <c r="H44" i="19"/>
  <c r="H41" i="19"/>
  <c r="H38" i="19"/>
  <c r="H35" i="19"/>
  <c r="H59" i="19"/>
  <c r="H56" i="19"/>
  <c r="H53" i="19"/>
  <c r="G50" i="19"/>
  <c r="G47" i="19"/>
  <c r="G44" i="19"/>
  <c r="G41" i="19"/>
  <c r="G38" i="19"/>
  <c r="G35" i="19"/>
  <c r="F59" i="19"/>
  <c r="H55" i="19"/>
  <c r="H52" i="19"/>
  <c r="H49" i="19"/>
  <c r="H46" i="19"/>
  <c r="H43" i="19"/>
  <c r="H40" i="19"/>
  <c r="H37" i="19"/>
  <c r="G34" i="19"/>
  <c r="G55" i="19"/>
  <c r="G46" i="19"/>
  <c r="G40" i="19"/>
  <c r="F58" i="19"/>
  <c r="F52" i="19"/>
  <c r="F46" i="19"/>
  <c r="H39" i="19"/>
  <c r="G59" i="19"/>
  <c r="G56" i="19"/>
  <c r="F53" i="19"/>
  <c r="F50" i="19"/>
  <c r="F47" i="19"/>
  <c r="F44" i="19"/>
  <c r="F41" i="19"/>
  <c r="F38" i="19"/>
  <c r="F35" i="19"/>
  <c r="G52" i="19"/>
  <c r="G43" i="19"/>
  <c r="F37" i="19"/>
  <c r="F55" i="19"/>
  <c r="F49" i="19"/>
  <c r="F43" i="19"/>
  <c r="H36" i="19"/>
  <c r="G58" i="19"/>
  <c r="G49" i="19"/>
  <c r="F34" i="19"/>
  <c r="B22" i="8" l="1"/>
  <c r="B286" i="8" s="1"/>
  <c r="AC275" i="8" s="1"/>
  <c r="H436" i="8" s="1"/>
  <c r="H450" i="8" l="1"/>
  <c r="J89" i="42"/>
  <c r="G70" i="13"/>
  <c r="J101" i="42" l="1"/>
  <c r="J113" i="42" s="1"/>
  <c r="J125" i="42"/>
  <c r="J137" i="42" s="1"/>
  <c r="H468" i="8"/>
  <c r="J150" i="42"/>
  <c r="C117" i="8"/>
  <c r="C422" i="8" s="1"/>
  <c r="D117" i="8"/>
  <c r="D422" i="8" s="1"/>
  <c r="E117" i="8"/>
  <c r="E422" i="8" s="1"/>
  <c r="F117" i="8"/>
  <c r="F422" i="8" s="1"/>
  <c r="G117" i="8"/>
  <c r="G422" i="8" s="1"/>
  <c r="H117" i="8"/>
  <c r="H422" i="8" s="1"/>
  <c r="I117" i="8"/>
  <c r="I422" i="8" s="1"/>
  <c r="J117" i="8"/>
  <c r="J422" i="8" s="1"/>
  <c r="K117" i="8"/>
  <c r="K422" i="8" s="1"/>
  <c r="L117" i="8"/>
  <c r="L422" i="8" s="1"/>
  <c r="M117" i="8"/>
  <c r="M422" i="8" s="1"/>
  <c r="N117" i="8"/>
  <c r="N422" i="8" s="1"/>
  <c r="O117" i="8"/>
  <c r="O422" i="8" s="1"/>
  <c r="P117" i="8"/>
  <c r="P422" i="8" s="1"/>
  <c r="Q117" i="8"/>
  <c r="Q422" i="8" s="1"/>
  <c r="R117" i="8"/>
  <c r="R422" i="8" s="1"/>
  <c r="S117" i="8"/>
  <c r="S422" i="8" s="1"/>
  <c r="T117" i="8"/>
  <c r="T422" i="8" s="1"/>
  <c r="U117" i="8"/>
  <c r="U422" i="8" s="1"/>
  <c r="V117" i="8"/>
  <c r="V422" i="8" s="1"/>
  <c r="W117" i="8"/>
  <c r="W422" i="8" s="1"/>
  <c r="X117" i="8"/>
  <c r="X422" i="8" s="1"/>
  <c r="Y117" i="8"/>
  <c r="Y422" i="8" s="1"/>
  <c r="Z117" i="8"/>
  <c r="Z422" i="8" s="1"/>
  <c r="BA399" i="8" s="1"/>
  <c r="C77" i="8"/>
  <c r="C361" i="8" s="1"/>
  <c r="D77" i="8"/>
  <c r="D361" i="8" s="1"/>
  <c r="E77" i="8"/>
  <c r="E361" i="8" s="1"/>
  <c r="F77" i="8"/>
  <c r="F361" i="8" s="1"/>
  <c r="G77" i="8"/>
  <c r="G361" i="8" s="1"/>
  <c r="H77" i="8"/>
  <c r="H361" i="8" s="1"/>
  <c r="I77" i="8"/>
  <c r="I361" i="8" s="1"/>
  <c r="J77" i="8"/>
  <c r="J361" i="8" s="1"/>
  <c r="K77" i="8"/>
  <c r="K361" i="8" s="1"/>
  <c r="L77" i="8"/>
  <c r="L361" i="8" s="1"/>
  <c r="M77" i="8"/>
  <c r="M361" i="8" s="1"/>
  <c r="N77" i="8"/>
  <c r="N361" i="8" s="1"/>
  <c r="O77" i="8"/>
  <c r="O361" i="8" s="1"/>
  <c r="P77" i="8"/>
  <c r="P361" i="8" s="1"/>
  <c r="Q77" i="8"/>
  <c r="Q361" i="8" s="1"/>
  <c r="R77" i="8"/>
  <c r="R361" i="8" s="1"/>
  <c r="S77" i="8"/>
  <c r="S361" i="8" s="1"/>
  <c r="T77" i="8"/>
  <c r="T361" i="8" s="1"/>
  <c r="U77" i="8"/>
  <c r="U361" i="8" s="1"/>
  <c r="V77" i="8"/>
  <c r="V361" i="8" s="1"/>
  <c r="W77" i="8"/>
  <c r="W361" i="8" s="1"/>
  <c r="X77" i="8"/>
  <c r="X361" i="8" s="1"/>
  <c r="Y77" i="8"/>
  <c r="Y361" i="8" s="1"/>
  <c r="Z77" i="8"/>
  <c r="Z361" i="8" s="1"/>
  <c r="BA338" i="8" s="1"/>
  <c r="C37" i="8"/>
  <c r="C301" i="8" s="1"/>
  <c r="D37" i="8"/>
  <c r="D301" i="8" s="1"/>
  <c r="E37" i="8"/>
  <c r="E301" i="8" s="1"/>
  <c r="F37" i="8"/>
  <c r="F301" i="8" s="1"/>
  <c r="G37" i="8"/>
  <c r="G301" i="8" s="1"/>
  <c r="H37" i="8"/>
  <c r="H301" i="8" s="1"/>
  <c r="I37" i="8"/>
  <c r="I301" i="8" s="1"/>
  <c r="J37" i="8"/>
  <c r="J301" i="8" s="1"/>
  <c r="K37" i="8"/>
  <c r="K301" i="8" s="1"/>
  <c r="L37" i="8"/>
  <c r="L301" i="8" s="1"/>
  <c r="M37" i="8"/>
  <c r="M301" i="8" s="1"/>
  <c r="N37" i="8"/>
  <c r="N301" i="8" s="1"/>
  <c r="O37" i="8"/>
  <c r="O301" i="8" s="1"/>
  <c r="P37" i="8"/>
  <c r="P301" i="8" s="1"/>
  <c r="Q37" i="8"/>
  <c r="Q301" i="8" s="1"/>
  <c r="R37" i="8"/>
  <c r="R301" i="8" s="1"/>
  <c r="S37" i="8"/>
  <c r="S301" i="8" s="1"/>
  <c r="T37" i="8"/>
  <c r="T301" i="8" s="1"/>
  <c r="U37" i="8"/>
  <c r="U301" i="8" s="1"/>
  <c r="V37" i="8"/>
  <c r="V301" i="8" s="1"/>
  <c r="W37" i="8"/>
  <c r="W301" i="8" s="1"/>
  <c r="X37" i="8"/>
  <c r="X301" i="8" s="1"/>
  <c r="Y37" i="8"/>
  <c r="Y301" i="8" s="1"/>
  <c r="Z37" i="8"/>
  <c r="Z301" i="8" s="1"/>
  <c r="BA278" i="8" s="1"/>
  <c r="C241" i="7"/>
  <c r="D241" i="7"/>
  <c r="E241" i="7"/>
  <c r="F241" i="7"/>
  <c r="G241" i="7"/>
  <c r="H241" i="7"/>
  <c r="I241" i="7"/>
  <c r="J241" i="7"/>
  <c r="K241" i="7"/>
  <c r="L241" i="7"/>
  <c r="M241" i="7"/>
  <c r="N241" i="7"/>
  <c r="O241" i="7"/>
  <c r="P241" i="7"/>
  <c r="Q241" i="7"/>
  <c r="R241" i="7"/>
  <c r="S241" i="7"/>
  <c r="T241" i="7"/>
  <c r="U241" i="7"/>
  <c r="V241" i="7"/>
  <c r="W241" i="7"/>
  <c r="X241" i="7"/>
  <c r="Y241" i="7"/>
  <c r="Z241" i="7"/>
  <c r="C200" i="7"/>
  <c r="D200" i="7"/>
  <c r="E200" i="7"/>
  <c r="F200" i="7"/>
  <c r="G200" i="7"/>
  <c r="H200" i="7"/>
  <c r="I200" i="7"/>
  <c r="J200" i="7"/>
  <c r="K200" i="7"/>
  <c r="L200" i="7"/>
  <c r="M200" i="7"/>
  <c r="N200" i="7"/>
  <c r="O200" i="7"/>
  <c r="P200" i="7"/>
  <c r="Q200" i="7"/>
  <c r="R200" i="7"/>
  <c r="S200" i="7"/>
  <c r="T200" i="7"/>
  <c r="U200" i="7"/>
  <c r="V200" i="7"/>
  <c r="W200" i="7"/>
  <c r="X200" i="7"/>
  <c r="Y200" i="7"/>
  <c r="Z200" i="7"/>
  <c r="C159" i="7"/>
  <c r="D159" i="7"/>
  <c r="E159" i="7"/>
  <c r="F159" i="7"/>
  <c r="G159" i="7"/>
  <c r="H159" i="7"/>
  <c r="I159" i="7"/>
  <c r="J159" i="7"/>
  <c r="K159" i="7"/>
  <c r="L159" i="7"/>
  <c r="M159" i="7"/>
  <c r="N159" i="7"/>
  <c r="O159" i="7"/>
  <c r="P159" i="7"/>
  <c r="Q159" i="7"/>
  <c r="R159" i="7"/>
  <c r="S159" i="7"/>
  <c r="T159" i="7"/>
  <c r="U159" i="7"/>
  <c r="V159" i="7"/>
  <c r="W159" i="7"/>
  <c r="X159" i="7"/>
  <c r="Y159" i="7"/>
  <c r="Z159" i="7"/>
  <c r="C117" i="7"/>
  <c r="C422" i="7" s="1"/>
  <c r="D117" i="7"/>
  <c r="D422" i="7" s="1"/>
  <c r="E117" i="7"/>
  <c r="E422" i="7" s="1"/>
  <c r="AF399" i="7" s="1"/>
  <c r="F117" i="7"/>
  <c r="F422" i="7" s="1"/>
  <c r="G117" i="7"/>
  <c r="G422" i="7" s="1"/>
  <c r="H117" i="7"/>
  <c r="H422" i="7" s="1"/>
  <c r="AI399" i="7" s="1"/>
  <c r="I117" i="7"/>
  <c r="I422" i="7" s="1"/>
  <c r="J117" i="7"/>
  <c r="J422" i="7" s="1"/>
  <c r="K117" i="7"/>
  <c r="K422" i="7" s="1"/>
  <c r="AL399" i="7" s="1"/>
  <c r="L117" i="7"/>
  <c r="L422" i="7" s="1"/>
  <c r="M117" i="7"/>
  <c r="M422" i="7" s="1"/>
  <c r="N117" i="7"/>
  <c r="N422" i="7" s="1"/>
  <c r="AO399" i="7" s="1"/>
  <c r="O117" i="7"/>
  <c r="O422" i="7" s="1"/>
  <c r="P117" i="7"/>
  <c r="P422" i="7" s="1"/>
  <c r="Q117" i="7"/>
  <c r="Q422" i="7" s="1"/>
  <c r="AR399" i="7" s="1"/>
  <c r="R117" i="7"/>
  <c r="R422" i="7" s="1"/>
  <c r="S117" i="7"/>
  <c r="S422" i="7" s="1"/>
  <c r="T117" i="7"/>
  <c r="T422" i="7" s="1"/>
  <c r="AU399" i="7" s="1"/>
  <c r="U117" i="7"/>
  <c r="U422" i="7" s="1"/>
  <c r="V117" i="7"/>
  <c r="V422" i="7" s="1"/>
  <c r="W117" i="7"/>
  <c r="W422" i="7" s="1"/>
  <c r="AX399" i="7" s="1"/>
  <c r="X117" i="7"/>
  <c r="X422" i="7" s="1"/>
  <c r="Y117" i="7"/>
  <c r="Y422" i="7" s="1"/>
  <c r="Z117" i="7"/>
  <c r="Z422" i="7" s="1"/>
  <c r="BA399" i="7" s="1"/>
  <c r="C77" i="7"/>
  <c r="C361" i="7" s="1"/>
  <c r="D77" i="7"/>
  <c r="D361" i="7" s="1"/>
  <c r="E77" i="7"/>
  <c r="E361" i="7" s="1"/>
  <c r="F77" i="7"/>
  <c r="F361" i="7" s="1"/>
  <c r="G77" i="7"/>
  <c r="G361" i="7" s="1"/>
  <c r="H77" i="7"/>
  <c r="H361" i="7" s="1"/>
  <c r="I77" i="7"/>
  <c r="I361" i="7" s="1"/>
  <c r="J77" i="7"/>
  <c r="J361" i="7" s="1"/>
  <c r="K77" i="7"/>
  <c r="K361" i="7" s="1"/>
  <c r="L77" i="7"/>
  <c r="L361" i="7" s="1"/>
  <c r="M77" i="7"/>
  <c r="M361" i="7" s="1"/>
  <c r="N77" i="7"/>
  <c r="N361" i="7" s="1"/>
  <c r="O77" i="7"/>
  <c r="O361" i="7" s="1"/>
  <c r="P77" i="7"/>
  <c r="P361" i="7" s="1"/>
  <c r="Q77" i="7"/>
  <c r="Q361" i="7" s="1"/>
  <c r="R77" i="7"/>
  <c r="R361" i="7" s="1"/>
  <c r="S77" i="7"/>
  <c r="S361" i="7" s="1"/>
  <c r="T77" i="7"/>
  <c r="T361" i="7" s="1"/>
  <c r="U77" i="7"/>
  <c r="U361" i="7" s="1"/>
  <c r="V77" i="7"/>
  <c r="V361" i="7" s="1"/>
  <c r="W77" i="7"/>
  <c r="W361" i="7" s="1"/>
  <c r="X77" i="7"/>
  <c r="X361" i="7" s="1"/>
  <c r="Y77" i="7"/>
  <c r="Y361" i="7" s="1"/>
  <c r="Z77" i="7"/>
  <c r="Z361" i="7" s="1"/>
  <c r="BA338" i="7" s="1"/>
  <c r="C37" i="7"/>
  <c r="C301" i="7" s="1"/>
  <c r="D37" i="7"/>
  <c r="D301" i="7" s="1"/>
  <c r="E37" i="7"/>
  <c r="E301" i="7" s="1"/>
  <c r="F37" i="7"/>
  <c r="F301" i="7" s="1"/>
  <c r="G37" i="7"/>
  <c r="G301" i="7" s="1"/>
  <c r="H37" i="7"/>
  <c r="H301" i="7" s="1"/>
  <c r="I37" i="7"/>
  <c r="I301" i="7" s="1"/>
  <c r="J37" i="7"/>
  <c r="J301" i="7" s="1"/>
  <c r="K37" i="7"/>
  <c r="K301" i="7" s="1"/>
  <c r="L37" i="7"/>
  <c r="L301" i="7" s="1"/>
  <c r="M37" i="7"/>
  <c r="M301" i="7" s="1"/>
  <c r="N37" i="7"/>
  <c r="N301" i="7" s="1"/>
  <c r="O37" i="7"/>
  <c r="O301" i="7" s="1"/>
  <c r="P37" i="7"/>
  <c r="P301" i="7" s="1"/>
  <c r="Q37" i="7"/>
  <c r="Q301" i="7" s="1"/>
  <c r="R37" i="7"/>
  <c r="R301" i="7" s="1"/>
  <c r="S37" i="7"/>
  <c r="S301" i="7" s="1"/>
  <c r="T37" i="7"/>
  <c r="T301" i="7" s="1"/>
  <c r="U37" i="7"/>
  <c r="U301" i="7" s="1"/>
  <c r="V37" i="7"/>
  <c r="V301" i="7" s="1"/>
  <c r="W37" i="7"/>
  <c r="W301" i="7" s="1"/>
  <c r="X37" i="7"/>
  <c r="X301" i="7" s="1"/>
  <c r="Y37" i="7"/>
  <c r="Y301" i="7" s="1"/>
  <c r="Z37" i="7"/>
  <c r="Z301" i="7" s="1"/>
  <c r="BA278" i="7" s="1"/>
  <c r="C117" i="9"/>
  <c r="D117" i="9"/>
  <c r="E117" i="9"/>
  <c r="F117" i="9"/>
  <c r="G117" i="9"/>
  <c r="H117" i="9"/>
  <c r="I117" i="9"/>
  <c r="J117" i="9"/>
  <c r="K117" i="9"/>
  <c r="L117" i="9"/>
  <c r="M117" i="9"/>
  <c r="N117" i="9"/>
  <c r="O117" i="9"/>
  <c r="P117" i="9"/>
  <c r="Q117" i="9"/>
  <c r="R117" i="9"/>
  <c r="S117" i="9"/>
  <c r="T117" i="9"/>
  <c r="U117" i="9"/>
  <c r="V117" i="9"/>
  <c r="W117" i="9"/>
  <c r="X117" i="9"/>
  <c r="Y117" i="9"/>
  <c r="Z117" i="9"/>
  <c r="C77" i="9"/>
  <c r="D77" i="9"/>
  <c r="E77" i="9"/>
  <c r="F77" i="9"/>
  <c r="G77" i="9"/>
  <c r="H77" i="9"/>
  <c r="I77" i="9"/>
  <c r="J77" i="9"/>
  <c r="K77" i="9"/>
  <c r="L77" i="9"/>
  <c r="M77" i="9"/>
  <c r="N77" i="9"/>
  <c r="O77" i="9"/>
  <c r="P77" i="9"/>
  <c r="Q77" i="9"/>
  <c r="R77" i="9"/>
  <c r="S77" i="9"/>
  <c r="T77" i="9"/>
  <c r="U77" i="9"/>
  <c r="V77" i="9"/>
  <c r="W77" i="9"/>
  <c r="X77" i="9"/>
  <c r="Y77" i="9"/>
  <c r="Z77" i="9"/>
  <c r="C37" i="9"/>
  <c r="D37" i="9"/>
  <c r="E37" i="9"/>
  <c r="F37" i="9"/>
  <c r="G37" i="9"/>
  <c r="H37" i="9"/>
  <c r="I37" i="9"/>
  <c r="J37" i="9"/>
  <c r="K37" i="9"/>
  <c r="L37" i="9"/>
  <c r="M37" i="9"/>
  <c r="N37" i="9"/>
  <c r="O37" i="9"/>
  <c r="P37" i="9"/>
  <c r="Q37" i="9"/>
  <c r="R37" i="9"/>
  <c r="S37" i="9"/>
  <c r="T37" i="9"/>
  <c r="U37" i="9"/>
  <c r="V37" i="9"/>
  <c r="W37" i="9"/>
  <c r="X37" i="9"/>
  <c r="Y37" i="9"/>
  <c r="Z37" i="9"/>
  <c r="H26" i="16"/>
  <c r="H27" i="16" s="1"/>
  <c r="H18" i="16"/>
  <c r="H19" i="16" s="1"/>
  <c r="D12" i="16"/>
  <c r="E34" i="14"/>
  <c r="B18" i="14"/>
  <c r="B19" i="14" s="1"/>
  <c r="E31" i="14" s="1"/>
  <c r="G398" i="13"/>
  <c r="G388" i="13"/>
  <c r="G383" i="13"/>
  <c r="G397" i="13" s="1"/>
  <c r="E363" i="13"/>
  <c r="G356" i="13"/>
  <c r="G353" i="13"/>
  <c r="G352" i="13"/>
  <c r="G349" i="13"/>
  <c r="G348" i="13"/>
  <c r="E336" i="13"/>
  <c r="G328" i="13"/>
  <c r="G320" i="13"/>
  <c r="G322" i="13" s="1"/>
  <c r="E305" i="13"/>
  <c r="G318" i="13" s="1"/>
  <c r="G298" i="13"/>
  <c r="G297" i="13"/>
  <c r="G294" i="13"/>
  <c r="G264" i="13"/>
  <c r="G269" i="13" s="1"/>
  <c r="G262" i="13"/>
  <c r="E243" i="13"/>
  <c r="G257" i="13" s="1"/>
  <c r="G236" i="13"/>
  <c r="G235" i="13"/>
  <c r="G231" i="13"/>
  <c r="G224" i="13"/>
  <c r="G223" i="13"/>
  <c r="G202" i="13"/>
  <c r="G198" i="13"/>
  <c r="G197" i="13"/>
  <c r="G194" i="13"/>
  <c r="G191" i="13"/>
  <c r="G190" i="13"/>
  <c r="G184" i="13"/>
  <c r="G185" i="13"/>
  <c r="E170" i="13"/>
  <c r="E168" i="13"/>
  <c r="G152" i="13"/>
  <c r="G157" i="13" s="1"/>
  <c r="G148" i="13"/>
  <c r="G146" i="13"/>
  <c r="G158" i="13" s="1"/>
  <c r="E126" i="13"/>
  <c r="G143" i="13" s="1"/>
  <c r="E125" i="13"/>
  <c r="G142" i="13" s="1"/>
  <c r="E124" i="13"/>
  <c r="G141" i="13" s="1"/>
  <c r="G117" i="13"/>
  <c r="G116" i="13"/>
  <c r="G106" i="13"/>
  <c r="G108" i="13" s="1"/>
  <c r="G86" i="13"/>
  <c r="G85" i="13"/>
  <c r="G78" i="13"/>
  <c r="G71" i="13"/>
  <c r="G84" i="13" s="1"/>
  <c r="G43" i="13"/>
  <c r="J186" i="42" l="1"/>
  <c r="J162" i="42"/>
  <c r="J174" i="42"/>
  <c r="J248" i="42"/>
  <c r="J199" i="42"/>
  <c r="J236" i="42"/>
  <c r="J15" i="42"/>
  <c r="J52" i="42"/>
  <c r="D26" i="1"/>
  <c r="AL278" i="8"/>
  <c r="AL338" i="8"/>
  <c r="AL399" i="8"/>
  <c r="AU399" i="8"/>
  <c r="AR278" i="8"/>
  <c r="AR338" i="8"/>
  <c r="AR399" i="8"/>
  <c r="AI278" i="8"/>
  <c r="AI338" i="8"/>
  <c r="AI399" i="8"/>
  <c r="AU338" i="8"/>
  <c r="AX278" i="8"/>
  <c r="AX338" i="8"/>
  <c r="AX399" i="8"/>
  <c r="AO278" i="8"/>
  <c r="AO338" i="8"/>
  <c r="AO399" i="8"/>
  <c r="AU278" i="8"/>
  <c r="AF278" i="8"/>
  <c r="AF338" i="8"/>
  <c r="AF399" i="8"/>
  <c r="AR338" i="7"/>
  <c r="AU338" i="7"/>
  <c r="AL338" i="7"/>
  <c r="AI338" i="7"/>
  <c r="AX338" i="7"/>
  <c r="AO338" i="7"/>
  <c r="AF338" i="7"/>
  <c r="AU278" i="7"/>
  <c r="AL278" i="7"/>
  <c r="AR278" i="7"/>
  <c r="AI278" i="7"/>
  <c r="AX278" i="7"/>
  <c r="AO278" i="7"/>
  <c r="AF278" i="7"/>
  <c r="G381" i="13"/>
  <c r="G380" i="13"/>
  <c r="G400" i="13" s="1"/>
  <c r="G379" i="13"/>
  <c r="G390" i="13"/>
  <c r="G399" i="13"/>
  <c r="G156" i="13"/>
  <c r="G150" i="13"/>
  <c r="G234" i="13"/>
  <c r="G201" i="13"/>
  <c r="G144" i="13"/>
  <c r="G327" i="13"/>
  <c r="G268" i="13"/>
  <c r="G258" i="13"/>
  <c r="G149" i="13"/>
  <c r="G182" i="13"/>
  <c r="G107" i="13"/>
  <c r="G153" i="13"/>
  <c r="G265" i="13"/>
  <c r="G389" i="13"/>
  <c r="G321" i="13"/>
  <c r="J211" i="42" l="1"/>
  <c r="J223" i="42"/>
  <c r="J76" i="42"/>
  <c r="J64" i="42"/>
  <c r="J27" i="42"/>
  <c r="J39" i="42"/>
  <c r="I439" i="7"/>
  <c r="I453" i="7" s="1"/>
  <c r="K153" i="41" s="1"/>
  <c r="G401" i="13"/>
  <c r="B38" i="7"/>
  <c r="B38" i="9"/>
  <c r="B302" i="9" s="1"/>
  <c r="AC281" i="9" s="1"/>
  <c r="AC85" i="8"/>
  <c r="AC45" i="8"/>
  <c r="AC6" i="8"/>
  <c r="K189" i="41" l="1"/>
  <c r="K177" i="41"/>
  <c r="K165" i="41"/>
  <c r="K92" i="41"/>
  <c r="I471" i="7"/>
  <c r="AG221" i="8"/>
  <c r="AG222" i="8" s="1"/>
  <c r="AO221" i="8"/>
  <c r="AO222" i="8" s="1"/>
  <c r="AW221" i="8"/>
  <c r="AW222" i="8" s="1"/>
  <c r="AF180" i="8"/>
  <c r="AF181" i="8" s="1"/>
  <c r="AN180" i="8"/>
  <c r="AN181" i="8" s="1"/>
  <c r="AV180" i="8"/>
  <c r="AV181" i="8" s="1"/>
  <c r="AE139" i="8"/>
  <c r="AE140" i="8" s="1"/>
  <c r="AM139" i="8"/>
  <c r="AM140" i="8" s="1"/>
  <c r="AU139" i="8"/>
  <c r="AU140" i="8" s="1"/>
  <c r="AH221" i="8"/>
  <c r="AH222" i="8" s="1"/>
  <c r="AP221" i="8"/>
  <c r="AP222" i="8" s="1"/>
  <c r="AX221" i="8"/>
  <c r="AX222" i="8" s="1"/>
  <c r="AG180" i="8"/>
  <c r="AG181" i="8" s="1"/>
  <c r="AO180" i="8"/>
  <c r="AO181" i="8" s="1"/>
  <c r="AW180" i="8"/>
  <c r="AW181" i="8" s="1"/>
  <c r="AF139" i="8"/>
  <c r="AF140" i="8" s="1"/>
  <c r="AN139" i="8"/>
  <c r="AN140" i="8" s="1"/>
  <c r="AV139" i="8"/>
  <c r="AV140" i="8" s="1"/>
  <c r="AI221" i="8"/>
  <c r="AI222" i="8" s="1"/>
  <c r="AQ221" i="8"/>
  <c r="AQ222" i="8" s="1"/>
  <c r="AY221" i="8"/>
  <c r="AY222" i="8" s="1"/>
  <c r="AH180" i="8"/>
  <c r="AH181" i="8" s="1"/>
  <c r="AP180" i="8"/>
  <c r="AP181" i="8" s="1"/>
  <c r="AX180" i="8"/>
  <c r="AX181" i="8" s="1"/>
  <c r="AG139" i="8"/>
  <c r="AG140" i="8" s="1"/>
  <c r="AO139" i="8"/>
  <c r="AO140" i="8" s="1"/>
  <c r="AW139" i="8"/>
  <c r="AW140" i="8" s="1"/>
  <c r="AJ221" i="8"/>
  <c r="AJ222" i="8" s="1"/>
  <c r="AR221" i="8"/>
  <c r="AR222" i="8" s="1"/>
  <c r="AZ221" i="8"/>
  <c r="AZ222" i="8" s="1"/>
  <c r="AI180" i="8"/>
  <c r="AI181" i="8" s="1"/>
  <c r="AQ180" i="8"/>
  <c r="AQ181" i="8" s="1"/>
  <c r="AY180" i="8"/>
  <c r="AY181" i="8" s="1"/>
  <c r="AH139" i="8"/>
  <c r="AH140" i="8" s="1"/>
  <c r="AP139" i="8"/>
  <c r="AP140" i="8" s="1"/>
  <c r="AX139" i="8"/>
  <c r="AX140" i="8" s="1"/>
  <c r="AK221" i="8"/>
  <c r="AK222" i="8" s="1"/>
  <c r="AS221" i="8"/>
  <c r="AS222" i="8" s="1"/>
  <c r="BA221" i="8"/>
  <c r="BA222" i="8" s="1"/>
  <c r="AJ180" i="8"/>
  <c r="AJ181" i="8" s="1"/>
  <c r="AR180" i="8"/>
  <c r="AR181" i="8" s="1"/>
  <c r="AZ180" i="8"/>
  <c r="AZ181" i="8" s="1"/>
  <c r="AI139" i="8"/>
  <c r="AI140" i="8" s="1"/>
  <c r="AQ139" i="8"/>
  <c r="AQ140" i="8" s="1"/>
  <c r="AY139" i="8"/>
  <c r="AY140" i="8" s="1"/>
  <c r="AD221" i="8"/>
  <c r="AD222" i="8" s="1"/>
  <c r="AL221" i="8"/>
  <c r="AL222" i="8" s="1"/>
  <c r="AT221" i="8"/>
  <c r="AT222" i="8" s="1"/>
  <c r="AC221" i="8"/>
  <c r="AK180" i="8"/>
  <c r="AK181" i="8" s="1"/>
  <c r="AS180" i="8"/>
  <c r="AS181" i="8" s="1"/>
  <c r="BA180" i="8"/>
  <c r="BA181" i="8" s="1"/>
  <c r="AJ139" i="8"/>
  <c r="AJ140" i="8" s="1"/>
  <c r="AR139" i="8"/>
  <c r="AR140" i="8" s="1"/>
  <c r="AZ139" i="8"/>
  <c r="AZ140" i="8" s="1"/>
  <c r="AE221" i="8"/>
  <c r="AE222" i="8" s="1"/>
  <c r="AM221" i="8"/>
  <c r="AM222" i="8" s="1"/>
  <c r="AU221" i="8"/>
  <c r="AU222" i="8" s="1"/>
  <c r="AD180" i="8"/>
  <c r="AD181" i="8" s="1"/>
  <c r="AL180" i="8"/>
  <c r="AL181" i="8" s="1"/>
  <c r="AT180" i="8"/>
  <c r="AT181" i="8" s="1"/>
  <c r="AC180" i="8"/>
  <c r="AK139" i="8"/>
  <c r="AK140" i="8" s="1"/>
  <c r="AS139" i="8"/>
  <c r="AS140" i="8" s="1"/>
  <c r="BA139" i="8"/>
  <c r="BA140" i="8" s="1"/>
  <c r="AF221" i="8"/>
  <c r="AF222" i="8" s="1"/>
  <c r="AN221" i="8"/>
  <c r="AN222" i="8" s="1"/>
  <c r="AV221" i="8"/>
  <c r="AV222" i="8" s="1"/>
  <c r="AE180" i="8"/>
  <c r="AE181" i="8" s="1"/>
  <c r="AM180" i="8"/>
  <c r="AM181" i="8" s="1"/>
  <c r="AU180" i="8"/>
  <c r="AU181" i="8" s="1"/>
  <c r="AD139" i="8"/>
  <c r="AD140" i="8" s="1"/>
  <c r="AL139" i="8"/>
  <c r="AL140" i="8" s="1"/>
  <c r="AT139" i="8"/>
  <c r="AT140" i="8" s="1"/>
  <c r="AC139" i="8"/>
  <c r="B302" i="7"/>
  <c r="AC281" i="7" s="1"/>
  <c r="C120" i="9"/>
  <c r="AD95" i="9" s="1"/>
  <c r="D120" i="9"/>
  <c r="AE95" i="9" s="1"/>
  <c r="E120" i="9"/>
  <c r="AF95" i="9" s="1"/>
  <c r="F120" i="9"/>
  <c r="AG95" i="9" s="1"/>
  <c r="G120" i="9"/>
  <c r="AH95" i="9" s="1"/>
  <c r="H120" i="9"/>
  <c r="AI95" i="9" s="1"/>
  <c r="I120" i="9"/>
  <c r="AJ95" i="9" s="1"/>
  <c r="J120" i="9"/>
  <c r="AK95" i="9" s="1"/>
  <c r="K120" i="9"/>
  <c r="AL95" i="9" s="1"/>
  <c r="L120" i="9"/>
  <c r="AM95" i="9" s="1"/>
  <c r="M120" i="9"/>
  <c r="AN95" i="9" s="1"/>
  <c r="N120" i="9"/>
  <c r="AO95" i="9" s="1"/>
  <c r="O120" i="9"/>
  <c r="AP95" i="9" s="1"/>
  <c r="P120" i="9"/>
  <c r="AQ95" i="9" s="1"/>
  <c r="Q120" i="9"/>
  <c r="AR95" i="9" s="1"/>
  <c r="R120" i="9"/>
  <c r="AS95" i="9" s="1"/>
  <c r="S120" i="9"/>
  <c r="AT95" i="9" s="1"/>
  <c r="T120" i="9"/>
  <c r="AU95" i="9" s="1"/>
  <c r="U120" i="9"/>
  <c r="AV95" i="9" s="1"/>
  <c r="V120" i="9"/>
  <c r="AW95" i="9" s="1"/>
  <c r="W120" i="9"/>
  <c r="AX95" i="9" s="1"/>
  <c r="X120" i="9"/>
  <c r="AY95" i="9" s="1"/>
  <c r="Y120" i="9"/>
  <c r="AZ95" i="9" s="1"/>
  <c r="Z120" i="9"/>
  <c r="BA95" i="9" s="1"/>
  <c r="B120" i="9"/>
  <c r="AC95" i="9" s="1"/>
  <c r="C118" i="9"/>
  <c r="D118" i="9"/>
  <c r="E118" i="9"/>
  <c r="F118" i="9"/>
  <c r="G118" i="9"/>
  <c r="G423" i="9" s="1"/>
  <c r="H118" i="9"/>
  <c r="H423" i="9" s="1"/>
  <c r="I118" i="9"/>
  <c r="I423" i="9" s="1"/>
  <c r="J118" i="9"/>
  <c r="K118" i="9"/>
  <c r="L118" i="9"/>
  <c r="M118" i="9"/>
  <c r="M423" i="9" s="1"/>
  <c r="N118" i="9"/>
  <c r="O118" i="9"/>
  <c r="O423" i="9" s="1"/>
  <c r="P118" i="9"/>
  <c r="Q118" i="9"/>
  <c r="R118" i="9"/>
  <c r="R423" i="9" s="1"/>
  <c r="S118" i="9"/>
  <c r="S423" i="9" s="1"/>
  <c r="T118" i="9"/>
  <c r="U118" i="9"/>
  <c r="U423" i="9" s="1"/>
  <c r="V118" i="9"/>
  <c r="W118" i="9"/>
  <c r="W423" i="9" s="1"/>
  <c r="X118" i="9"/>
  <c r="X423" i="9" s="1"/>
  <c r="Y118" i="9"/>
  <c r="Y423" i="9" s="1"/>
  <c r="Z118" i="9"/>
  <c r="BA94" i="9"/>
  <c r="B118" i="9"/>
  <c r="B117" i="9"/>
  <c r="Z116" i="9"/>
  <c r="Z105" i="9"/>
  <c r="Z106" i="9"/>
  <c r="Z107" i="9"/>
  <c r="Z108" i="9"/>
  <c r="Z109" i="9"/>
  <c r="Z110" i="9"/>
  <c r="Z111" i="9"/>
  <c r="Z112" i="9"/>
  <c r="Z113" i="9"/>
  <c r="Z114" i="9"/>
  <c r="Z115" i="9"/>
  <c r="Z104" i="9"/>
  <c r="B102" i="9"/>
  <c r="B91" i="9"/>
  <c r="B92" i="9"/>
  <c r="B93" i="9"/>
  <c r="B94" i="9"/>
  <c r="B95" i="9"/>
  <c r="B96" i="9"/>
  <c r="B97" i="9"/>
  <c r="B98" i="9"/>
  <c r="B99" i="9"/>
  <c r="B100" i="9"/>
  <c r="B101" i="9"/>
  <c r="B90" i="9"/>
  <c r="C80" i="9"/>
  <c r="AD55" i="9" s="1"/>
  <c r="D80" i="9"/>
  <c r="AE55" i="9" s="1"/>
  <c r="E80" i="9"/>
  <c r="AF55" i="9" s="1"/>
  <c r="F80" i="9"/>
  <c r="AG55" i="9" s="1"/>
  <c r="G80" i="9"/>
  <c r="AH55" i="9" s="1"/>
  <c r="H80" i="9"/>
  <c r="AI55" i="9" s="1"/>
  <c r="I80" i="9"/>
  <c r="AJ55" i="9" s="1"/>
  <c r="J80" i="9"/>
  <c r="AK55" i="9" s="1"/>
  <c r="K80" i="9"/>
  <c r="AL55" i="9" s="1"/>
  <c r="L80" i="9"/>
  <c r="AM55" i="9" s="1"/>
  <c r="M80" i="9"/>
  <c r="AN55" i="9" s="1"/>
  <c r="N80" i="9"/>
  <c r="AO55" i="9" s="1"/>
  <c r="O80" i="9"/>
  <c r="AP55" i="9" s="1"/>
  <c r="P80" i="9"/>
  <c r="AQ55" i="9" s="1"/>
  <c r="Q80" i="9"/>
  <c r="AR55" i="9" s="1"/>
  <c r="R80" i="9"/>
  <c r="AS55" i="9" s="1"/>
  <c r="S80" i="9"/>
  <c r="AT55" i="9" s="1"/>
  <c r="T80" i="9"/>
  <c r="AU55" i="9" s="1"/>
  <c r="U80" i="9"/>
  <c r="AV55" i="9" s="1"/>
  <c r="V80" i="9"/>
  <c r="AW55" i="9" s="1"/>
  <c r="W80" i="9"/>
  <c r="AX55" i="9" s="1"/>
  <c r="X80" i="9"/>
  <c r="AY55" i="9" s="1"/>
  <c r="Y80" i="9"/>
  <c r="AZ55" i="9" s="1"/>
  <c r="Z80" i="9"/>
  <c r="BA55" i="9" s="1"/>
  <c r="C78" i="9"/>
  <c r="D78" i="9"/>
  <c r="D362" i="9" s="1"/>
  <c r="E78" i="9"/>
  <c r="F78" i="9"/>
  <c r="G78" i="9"/>
  <c r="H78" i="9"/>
  <c r="I78" i="9"/>
  <c r="J78" i="9"/>
  <c r="K78" i="9"/>
  <c r="L78" i="9"/>
  <c r="M78" i="9"/>
  <c r="N78" i="9"/>
  <c r="O78" i="9"/>
  <c r="P78" i="9"/>
  <c r="Q78" i="9"/>
  <c r="R78" i="9"/>
  <c r="S78" i="9"/>
  <c r="T78" i="9"/>
  <c r="U78" i="9"/>
  <c r="V78" i="9"/>
  <c r="W78" i="9"/>
  <c r="X78" i="9"/>
  <c r="Y78" i="9"/>
  <c r="Z78" i="9"/>
  <c r="B78" i="9"/>
  <c r="B77" i="9"/>
  <c r="Z76" i="9"/>
  <c r="Z65" i="9"/>
  <c r="Z66" i="9"/>
  <c r="Z67" i="9"/>
  <c r="Z68" i="9"/>
  <c r="Z69" i="9"/>
  <c r="Z70" i="9"/>
  <c r="Z71" i="9"/>
  <c r="Z72" i="9"/>
  <c r="Z73" i="9"/>
  <c r="Z74" i="9"/>
  <c r="Z75" i="9"/>
  <c r="Z64" i="9"/>
  <c r="AC51" i="9"/>
  <c r="C436" i="9" s="1"/>
  <c r="B51" i="9"/>
  <c r="B52" i="9"/>
  <c r="B53" i="9"/>
  <c r="B54" i="9"/>
  <c r="B55" i="9"/>
  <c r="B56" i="9"/>
  <c r="B57" i="9"/>
  <c r="B58" i="9"/>
  <c r="B59" i="9"/>
  <c r="B60" i="9"/>
  <c r="B61" i="9"/>
  <c r="B50" i="9"/>
  <c r="BA14" i="9"/>
  <c r="C38" i="9"/>
  <c r="D38" i="9"/>
  <c r="D302" i="9" s="1"/>
  <c r="E38" i="9"/>
  <c r="F38" i="9"/>
  <c r="G38" i="9"/>
  <c r="G302" i="9" s="1"/>
  <c r="H38" i="9"/>
  <c r="I38" i="9"/>
  <c r="I302" i="9" s="1"/>
  <c r="J38" i="9"/>
  <c r="K38" i="9"/>
  <c r="K302" i="9" s="1"/>
  <c r="L38" i="9"/>
  <c r="M38" i="9"/>
  <c r="N38" i="9"/>
  <c r="O38" i="9"/>
  <c r="P38" i="9"/>
  <c r="Q38" i="9"/>
  <c r="R38" i="9"/>
  <c r="S38" i="9"/>
  <c r="T38" i="9"/>
  <c r="U38" i="9"/>
  <c r="V38" i="9"/>
  <c r="W38" i="9"/>
  <c r="X38" i="9"/>
  <c r="Y38" i="9"/>
  <c r="Z38" i="9"/>
  <c r="C40" i="9"/>
  <c r="AD15" i="9" s="1"/>
  <c r="D40" i="9"/>
  <c r="AE15" i="9" s="1"/>
  <c r="E40" i="9"/>
  <c r="AF15" i="9" s="1"/>
  <c r="F40" i="9"/>
  <c r="AG15" i="9" s="1"/>
  <c r="G40" i="9"/>
  <c r="AH15" i="9" s="1"/>
  <c r="H40" i="9"/>
  <c r="AI15" i="9" s="1"/>
  <c r="I40" i="9"/>
  <c r="AJ15" i="9" s="1"/>
  <c r="J40" i="9"/>
  <c r="AK15" i="9" s="1"/>
  <c r="K40" i="9"/>
  <c r="AL15" i="9" s="1"/>
  <c r="L40" i="9"/>
  <c r="AM15" i="9" s="1"/>
  <c r="M40" i="9"/>
  <c r="AN15" i="9" s="1"/>
  <c r="N40" i="9"/>
  <c r="AO15" i="9" s="1"/>
  <c r="O40" i="9"/>
  <c r="AP15" i="9" s="1"/>
  <c r="P40" i="9"/>
  <c r="AQ15" i="9" s="1"/>
  <c r="Q40" i="9"/>
  <c r="AR15" i="9" s="1"/>
  <c r="R40" i="9"/>
  <c r="AS15" i="9" s="1"/>
  <c r="S40" i="9"/>
  <c r="AT15" i="9" s="1"/>
  <c r="T40" i="9"/>
  <c r="AU15" i="9" s="1"/>
  <c r="U40" i="9"/>
  <c r="V40" i="9"/>
  <c r="AW15" i="9" s="1"/>
  <c r="W40" i="9"/>
  <c r="AX15" i="9" s="1"/>
  <c r="X40" i="9"/>
  <c r="AY15" i="9" s="1"/>
  <c r="Y40" i="9"/>
  <c r="AZ15" i="9" s="1"/>
  <c r="Z40" i="9"/>
  <c r="BA15" i="9" s="1"/>
  <c r="B40" i="9"/>
  <c r="AC15" i="9" s="1"/>
  <c r="B37" i="9"/>
  <c r="Z36" i="9"/>
  <c r="Z25" i="9"/>
  <c r="Z26" i="9"/>
  <c r="Z27" i="9"/>
  <c r="Z28" i="9"/>
  <c r="Z29" i="9"/>
  <c r="Z30" i="9"/>
  <c r="Z31" i="9"/>
  <c r="Z32" i="9"/>
  <c r="Z33" i="9"/>
  <c r="Z34" i="9"/>
  <c r="Z35" i="9"/>
  <c r="Z24" i="9"/>
  <c r="B22" i="9"/>
  <c r="B11" i="9"/>
  <c r="B12" i="9"/>
  <c r="B13" i="9"/>
  <c r="B14" i="9"/>
  <c r="B15" i="9"/>
  <c r="B16" i="9"/>
  <c r="B17" i="9"/>
  <c r="B18" i="9"/>
  <c r="B19" i="9"/>
  <c r="B20" i="9"/>
  <c r="B21" i="9"/>
  <c r="B10" i="9"/>
  <c r="AU94" i="9"/>
  <c r="AR94" i="9"/>
  <c r="AL94" i="9"/>
  <c r="AI94" i="9"/>
  <c r="AC94" i="9"/>
  <c r="AC86" i="9"/>
  <c r="BA54" i="9"/>
  <c r="AX54" i="9"/>
  <c r="AU54" i="9"/>
  <c r="AR54" i="9"/>
  <c r="AI54" i="9"/>
  <c r="AF54" i="9"/>
  <c r="AC46" i="9"/>
  <c r="AC16" i="9"/>
  <c r="AX14" i="9"/>
  <c r="AU14" i="9"/>
  <c r="AR14" i="9"/>
  <c r="AO14" i="9"/>
  <c r="AL14" i="9"/>
  <c r="AI14" i="9"/>
  <c r="AC6" i="9"/>
  <c r="AH57" i="9" s="1"/>
  <c r="C118" i="7"/>
  <c r="C423" i="7" s="1"/>
  <c r="D118" i="7"/>
  <c r="D423" i="7" s="1"/>
  <c r="E118" i="7"/>
  <c r="E423" i="7" s="1"/>
  <c r="F118" i="7"/>
  <c r="F423" i="7" s="1"/>
  <c r="G118" i="7"/>
  <c r="G423" i="7" s="1"/>
  <c r="H118" i="7"/>
  <c r="H423" i="7" s="1"/>
  <c r="I118" i="7"/>
  <c r="I423" i="7" s="1"/>
  <c r="J118" i="7"/>
  <c r="J423" i="7" s="1"/>
  <c r="K118" i="7"/>
  <c r="K423" i="7" s="1"/>
  <c r="L118" i="7"/>
  <c r="L423" i="7" s="1"/>
  <c r="M118" i="7"/>
  <c r="M423" i="7" s="1"/>
  <c r="N118" i="7"/>
  <c r="N423" i="7" s="1"/>
  <c r="O118" i="7"/>
  <c r="O423" i="7" s="1"/>
  <c r="P118" i="7"/>
  <c r="P423" i="7" s="1"/>
  <c r="Q118" i="7"/>
  <c r="Q423" i="7" s="1"/>
  <c r="R118" i="7"/>
  <c r="R423" i="7" s="1"/>
  <c r="S118" i="7"/>
  <c r="S423" i="7" s="1"/>
  <c r="T118" i="7"/>
  <c r="T423" i="7" s="1"/>
  <c r="U118" i="7"/>
  <c r="U423" i="7" s="1"/>
  <c r="V118" i="7"/>
  <c r="V423" i="7" s="1"/>
  <c r="W118" i="7"/>
  <c r="W423" i="7" s="1"/>
  <c r="X118" i="7"/>
  <c r="X423" i="7" s="1"/>
  <c r="Y118" i="7"/>
  <c r="Y423" i="7" s="1"/>
  <c r="Z118" i="7"/>
  <c r="Z423" i="7" s="1"/>
  <c r="BA402" i="7" s="1"/>
  <c r="B118" i="7"/>
  <c r="Z116" i="8"/>
  <c r="Z421" i="8" s="1"/>
  <c r="BA398" i="8" s="1"/>
  <c r="J438" i="8" s="1"/>
  <c r="Z36" i="8"/>
  <c r="Z300" i="8" s="1"/>
  <c r="BA277" i="8" s="1"/>
  <c r="H438" i="8" s="1"/>
  <c r="B102" i="8"/>
  <c r="B407" i="8" s="1"/>
  <c r="AC396" i="8" s="1"/>
  <c r="J436" i="8" s="1"/>
  <c r="B62" i="8"/>
  <c r="B346" i="8" s="1"/>
  <c r="AC335" i="8" s="1"/>
  <c r="I436" i="8" s="1"/>
  <c r="Z76" i="8"/>
  <c r="Z360" i="8" s="1"/>
  <c r="BA337" i="8" s="1"/>
  <c r="I438" i="8" s="1"/>
  <c r="C118" i="8"/>
  <c r="C423" i="8" s="1"/>
  <c r="D118" i="8"/>
  <c r="D423" i="8" s="1"/>
  <c r="E118" i="8"/>
  <c r="E423" i="8" s="1"/>
  <c r="F118" i="8"/>
  <c r="F423" i="8" s="1"/>
  <c r="G118" i="8"/>
  <c r="G423" i="8" s="1"/>
  <c r="H118" i="8"/>
  <c r="H423" i="8" s="1"/>
  <c r="I118" i="8"/>
  <c r="I423" i="8" s="1"/>
  <c r="J118" i="8"/>
  <c r="J423" i="8" s="1"/>
  <c r="K118" i="8"/>
  <c r="K423" i="8" s="1"/>
  <c r="L118" i="8"/>
  <c r="L423" i="8" s="1"/>
  <c r="M118" i="8"/>
  <c r="M423" i="8" s="1"/>
  <c r="N118" i="8"/>
  <c r="N423" i="8" s="1"/>
  <c r="O118" i="8"/>
  <c r="O423" i="8" s="1"/>
  <c r="P118" i="8"/>
  <c r="P423" i="8" s="1"/>
  <c r="Q118" i="8"/>
  <c r="Q423" i="8" s="1"/>
  <c r="R118" i="8"/>
  <c r="R423" i="8" s="1"/>
  <c r="S118" i="8"/>
  <c r="S423" i="8" s="1"/>
  <c r="T118" i="8"/>
  <c r="T423" i="8" s="1"/>
  <c r="U118" i="8"/>
  <c r="U423" i="8" s="1"/>
  <c r="V118" i="8"/>
  <c r="V423" i="8" s="1"/>
  <c r="W118" i="8"/>
  <c r="W423" i="8" s="1"/>
  <c r="X118" i="8"/>
  <c r="X423" i="8" s="1"/>
  <c r="Y118" i="8"/>
  <c r="Y423" i="8" s="1"/>
  <c r="Z118" i="8"/>
  <c r="Z423" i="8" s="1"/>
  <c r="BA402" i="8" s="1"/>
  <c r="B118" i="8"/>
  <c r="B423" i="8" s="1"/>
  <c r="AC402" i="8" s="1"/>
  <c r="C120" i="8"/>
  <c r="AD95" i="8" s="1"/>
  <c r="D120" i="8"/>
  <c r="AE95" i="8" s="1"/>
  <c r="E120" i="8"/>
  <c r="AF95" i="8" s="1"/>
  <c r="F120" i="8"/>
  <c r="AG95" i="8" s="1"/>
  <c r="G120" i="8"/>
  <c r="AH95" i="8" s="1"/>
  <c r="H120" i="8"/>
  <c r="AI95" i="8" s="1"/>
  <c r="I120" i="8"/>
  <c r="AJ95" i="8" s="1"/>
  <c r="J120" i="8"/>
  <c r="AK95" i="8" s="1"/>
  <c r="K120" i="8"/>
  <c r="AL95" i="8" s="1"/>
  <c r="L120" i="8"/>
  <c r="AM95" i="8" s="1"/>
  <c r="M120" i="8"/>
  <c r="AN95" i="8" s="1"/>
  <c r="N120" i="8"/>
  <c r="AO95" i="8" s="1"/>
  <c r="O120" i="8"/>
  <c r="AP95" i="8" s="1"/>
  <c r="P120" i="8"/>
  <c r="AQ95" i="8" s="1"/>
  <c r="Q120" i="8"/>
  <c r="AR95" i="8" s="1"/>
  <c r="R120" i="8"/>
  <c r="AS95" i="8" s="1"/>
  <c r="S120" i="8"/>
  <c r="AT95" i="8" s="1"/>
  <c r="T120" i="8"/>
  <c r="AU95" i="8" s="1"/>
  <c r="U120" i="8"/>
  <c r="AV95" i="8" s="1"/>
  <c r="V120" i="8"/>
  <c r="AW95" i="8" s="1"/>
  <c r="W120" i="8"/>
  <c r="AX95" i="8" s="1"/>
  <c r="X120" i="8"/>
  <c r="AY95" i="8" s="1"/>
  <c r="Y120" i="8"/>
  <c r="AZ95" i="8" s="1"/>
  <c r="Z120" i="8"/>
  <c r="BA95" i="8" s="1"/>
  <c r="B120" i="8"/>
  <c r="AC95" i="8" s="1"/>
  <c r="B117" i="8"/>
  <c r="B422" i="8" s="1"/>
  <c r="AC399" i="8" s="1"/>
  <c r="J439" i="8" s="1"/>
  <c r="Z105" i="8"/>
  <c r="Z410" i="8" s="1"/>
  <c r="Z106" i="8"/>
  <c r="Z411" i="8" s="1"/>
  <c r="Z107" i="8"/>
  <c r="Z412" i="8" s="1"/>
  <c r="Z108" i="8"/>
  <c r="Z413" i="8" s="1"/>
  <c r="Z109" i="8"/>
  <c r="Z414" i="8" s="1"/>
  <c r="Z110" i="8"/>
  <c r="Z415" i="8" s="1"/>
  <c r="Z111" i="8"/>
  <c r="Z416" i="8" s="1"/>
  <c r="Z112" i="8"/>
  <c r="Z417" i="8" s="1"/>
  <c r="Z113" i="8"/>
  <c r="Z418" i="8" s="1"/>
  <c r="Z114" i="8"/>
  <c r="Z419" i="8" s="1"/>
  <c r="Z115" i="8"/>
  <c r="Z420" i="8" s="1"/>
  <c r="Z104" i="8"/>
  <c r="Z409" i="8" s="1"/>
  <c r="J452" i="8" l="1"/>
  <c r="L91" i="42"/>
  <c r="J453" i="8"/>
  <c r="L92" i="42"/>
  <c r="I452" i="8"/>
  <c r="K91" i="42"/>
  <c r="I450" i="8"/>
  <c r="K89" i="42"/>
  <c r="H452" i="8"/>
  <c r="J91" i="42"/>
  <c r="J450" i="8"/>
  <c r="L89" i="42"/>
  <c r="G41" i="1"/>
  <c r="K239" i="41"/>
  <c r="K202" i="41"/>
  <c r="K55" i="41"/>
  <c r="K18" i="41"/>
  <c r="K104" i="41"/>
  <c r="K116" i="41" s="1"/>
  <c r="K128" i="41"/>
  <c r="K140" i="41" s="1"/>
  <c r="C441" i="9"/>
  <c r="C455" i="9" s="1"/>
  <c r="AY402" i="9"/>
  <c r="AY404" i="9" s="1"/>
  <c r="X427" i="9"/>
  <c r="BA13" i="9"/>
  <c r="B438" i="9" s="1"/>
  <c r="Z300" i="9"/>
  <c r="AV16" i="9"/>
  <c r="U302" i="9"/>
  <c r="AN16" i="9"/>
  <c r="M302" i="9"/>
  <c r="AF16" i="9"/>
  <c r="E302" i="9"/>
  <c r="C450" i="9"/>
  <c r="E89" i="37"/>
  <c r="BA56" i="9"/>
  <c r="Z362" i="9"/>
  <c r="BA341" i="9" s="1"/>
  <c r="R81" i="9"/>
  <c r="R362" i="9"/>
  <c r="AK56" i="9"/>
  <c r="J362" i="9"/>
  <c r="AX402" i="9"/>
  <c r="AX404" i="9" s="1"/>
  <c r="W427" i="9"/>
  <c r="AP402" i="9"/>
  <c r="AP404" i="9" s="1"/>
  <c r="O427" i="9"/>
  <c r="AH402" i="9"/>
  <c r="AH404" i="9" s="1"/>
  <c r="G427" i="9"/>
  <c r="E94" i="37"/>
  <c r="AI402" i="9"/>
  <c r="AI404" i="9" s="1"/>
  <c r="H427" i="9"/>
  <c r="AU16" i="9"/>
  <c r="T302" i="9"/>
  <c r="AM16" i="9"/>
  <c r="L302" i="9"/>
  <c r="AE281" i="9"/>
  <c r="AE283" i="9" s="1"/>
  <c r="D306" i="9"/>
  <c r="AZ56" i="9"/>
  <c r="Y362" i="9"/>
  <c r="AR56" i="9"/>
  <c r="Q362" i="9"/>
  <c r="AJ56" i="9"/>
  <c r="I362" i="9"/>
  <c r="BA93" i="9"/>
  <c r="D438" i="9" s="1"/>
  <c r="Z421" i="9"/>
  <c r="AW96" i="9"/>
  <c r="V423" i="9"/>
  <c r="AO96" i="9"/>
  <c r="N423" i="9"/>
  <c r="AG96" i="9"/>
  <c r="F423" i="9"/>
  <c r="AT16" i="9"/>
  <c r="S302" i="9"/>
  <c r="AN402" i="9"/>
  <c r="AN404" i="9" s="1"/>
  <c r="M427" i="9"/>
  <c r="AF96" i="9"/>
  <c r="E423" i="9"/>
  <c r="AG16" i="9"/>
  <c r="F302" i="9"/>
  <c r="S81" i="9"/>
  <c r="S362" i="9"/>
  <c r="AD16" i="9"/>
  <c r="C302" i="9"/>
  <c r="AI56" i="9"/>
  <c r="H362" i="9"/>
  <c r="AC11" i="9"/>
  <c r="B436" i="9" s="1"/>
  <c r="B286" i="9"/>
  <c r="BA16" i="9"/>
  <c r="Z302" i="9"/>
  <c r="BA281" i="9" s="1"/>
  <c r="AS16" i="9"/>
  <c r="R302" i="9"/>
  <c r="AK16" i="9"/>
  <c r="J302" i="9"/>
  <c r="AX56" i="9"/>
  <c r="W362" i="9"/>
  <c r="AP56" i="9"/>
  <c r="O362" i="9"/>
  <c r="AH56" i="9"/>
  <c r="G362" i="9"/>
  <c r="AC96" i="9"/>
  <c r="B423" i="9"/>
  <c r="AC402" i="9" s="1"/>
  <c r="AU96" i="9"/>
  <c r="T423" i="9"/>
  <c r="AM96" i="9"/>
  <c r="L423" i="9"/>
  <c r="AE96" i="9"/>
  <c r="D423" i="9"/>
  <c r="AL56" i="9"/>
  <c r="K362" i="9"/>
  <c r="AL281" i="9"/>
  <c r="AL283" i="9" s="1"/>
  <c r="K306" i="9"/>
  <c r="AY56" i="9"/>
  <c r="X362" i="9"/>
  <c r="AZ16" i="9"/>
  <c r="Y302" i="9"/>
  <c r="AR16" i="9"/>
  <c r="Q302" i="9"/>
  <c r="I306" i="9"/>
  <c r="AJ281" i="9"/>
  <c r="AJ283" i="9" s="1"/>
  <c r="AW56" i="9"/>
  <c r="V362" i="9"/>
  <c r="AO56" i="9"/>
  <c r="N362" i="9"/>
  <c r="AG56" i="9"/>
  <c r="F362" i="9"/>
  <c r="AC91" i="9"/>
  <c r="D436" i="9" s="1"/>
  <c r="B407" i="9"/>
  <c r="AT402" i="9"/>
  <c r="AT404" i="9" s="1"/>
  <c r="S427" i="9"/>
  <c r="AL96" i="9"/>
  <c r="K423" i="9"/>
  <c r="AD96" i="9"/>
  <c r="C423" i="9"/>
  <c r="AO16" i="9"/>
  <c r="N302" i="9"/>
  <c r="AC56" i="9"/>
  <c r="B362" i="9"/>
  <c r="AQ96" i="9"/>
  <c r="P423" i="9"/>
  <c r="AQ56" i="9"/>
  <c r="P362" i="9"/>
  <c r="AV402" i="9"/>
  <c r="AV404" i="9" s="1"/>
  <c r="U427" i="9"/>
  <c r="AY16" i="9"/>
  <c r="X302" i="9"/>
  <c r="AQ16" i="9"/>
  <c r="P302" i="9"/>
  <c r="AI16" i="9"/>
  <c r="H302" i="9"/>
  <c r="BA53" i="9"/>
  <c r="C438" i="9" s="1"/>
  <c r="Z360" i="9"/>
  <c r="AV56" i="9"/>
  <c r="U362" i="9"/>
  <c r="M81" i="9"/>
  <c r="M362" i="9"/>
  <c r="E81" i="9"/>
  <c r="E362" i="9"/>
  <c r="BA96" i="9"/>
  <c r="Z423" i="9"/>
  <c r="BA402" i="9" s="1"/>
  <c r="AS402" i="9"/>
  <c r="AS404" i="9" s="1"/>
  <c r="R427" i="9"/>
  <c r="AK96" i="9"/>
  <c r="J423" i="9"/>
  <c r="D441" i="9"/>
  <c r="AW16" i="9"/>
  <c r="V302" i="9"/>
  <c r="AD56" i="9"/>
  <c r="C362" i="9"/>
  <c r="AX16" i="9"/>
  <c r="W302" i="9"/>
  <c r="AP16" i="9"/>
  <c r="O302" i="9"/>
  <c r="G306" i="9"/>
  <c r="AH281" i="9"/>
  <c r="AH283" i="9" s="1"/>
  <c r="T81" i="9"/>
  <c r="T362" i="9"/>
  <c r="L81" i="9"/>
  <c r="L362" i="9"/>
  <c r="AE341" i="9"/>
  <c r="AE343" i="9" s="1"/>
  <c r="D366" i="9"/>
  <c r="AZ402" i="9"/>
  <c r="AZ404" i="9" s="1"/>
  <c r="Y427" i="9"/>
  <c r="AR96" i="9"/>
  <c r="Q423" i="9"/>
  <c r="AJ402" i="9"/>
  <c r="AJ404" i="9" s="1"/>
  <c r="I427" i="9"/>
  <c r="AH17" i="9"/>
  <c r="AY17" i="9"/>
  <c r="AW221" i="9"/>
  <c r="AW222" i="9" s="1"/>
  <c r="AO221" i="9"/>
  <c r="AO222" i="9" s="1"/>
  <c r="AG221" i="9"/>
  <c r="AG222" i="9" s="1"/>
  <c r="AX180" i="9"/>
  <c r="AX181" i="9" s="1"/>
  <c r="AP180" i="9"/>
  <c r="AP181" i="9" s="1"/>
  <c r="AH180" i="9"/>
  <c r="AH181" i="9" s="1"/>
  <c r="BA139" i="9"/>
  <c r="BA140" i="9" s="1"/>
  <c r="AS139" i="9"/>
  <c r="AS140" i="9" s="1"/>
  <c r="AK139" i="9"/>
  <c r="AK140" i="9" s="1"/>
  <c r="AC139" i="9"/>
  <c r="BA221" i="9"/>
  <c r="BA222" i="9" s="1"/>
  <c r="AD180" i="9"/>
  <c r="AD181" i="9" s="1"/>
  <c r="AO139" i="9"/>
  <c r="AO140" i="9" s="1"/>
  <c r="AZ221" i="9"/>
  <c r="AZ222" i="9" s="1"/>
  <c r="AS180" i="9"/>
  <c r="AS181" i="9" s="1"/>
  <c r="AF139" i="9"/>
  <c r="AF140" i="9" s="1"/>
  <c r="AV221" i="9"/>
  <c r="AV222" i="9" s="1"/>
  <c r="AN221" i="9"/>
  <c r="AN222" i="9" s="1"/>
  <c r="AF221" i="9"/>
  <c r="AF222" i="9" s="1"/>
  <c r="AW180" i="9"/>
  <c r="AW181" i="9" s="1"/>
  <c r="AO180" i="9"/>
  <c r="AO181" i="9" s="1"/>
  <c r="AG180" i="9"/>
  <c r="AG181" i="9" s="1"/>
  <c r="AZ139" i="9"/>
  <c r="AZ140" i="9" s="1"/>
  <c r="AR139" i="9"/>
  <c r="AR140" i="9" s="1"/>
  <c r="AJ139" i="9"/>
  <c r="AJ140" i="9" s="1"/>
  <c r="AS221" i="9"/>
  <c r="AS222" i="9" s="1"/>
  <c r="AL180" i="9"/>
  <c r="AL181" i="9" s="1"/>
  <c r="AR221" i="9"/>
  <c r="AR222" i="9" s="1"/>
  <c r="AK180" i="9"/>
  <c r="AK181" i="9" s="1"/>
  <c r="AN139" i="9"/>
  <c r="AN140" i="9" s="1"/>
  <c r="AU221" i="9"/>
  <c r="AU222" i="9" s="1"/>
  <c r="AM221" i="9"/>
  <c r="AM222" i="9" s="1"/>
  <c r="AE221" i="9"/>
  <c r="AE222" i="9" s="1"/>
  <c r="AV180" i="9"/>
  <c r="AV181" i="9" s="1"/>
  <c r="AN180" i="9"/>
  <c r="AN181" i="9" s="1"/>
  <c r="AF180" i="9"/>
  <c r="AF181" i="9" s="1"/>
  <c r="AY139" i="9"/>
  <c r="AY140" i="9" s="1"/>
  <c r="AQ139" i="9"/>
  <c r="AQ140" i="9" s="1"/>
  <c r="AI139" i="9"/>
  <c r="AI140" i="9" s="1"/>
  <c r="AT221" i="9"/>
  <c r="AT222" i="9" s="1"/>
  <c r="AL221" i="9"/>
  <c r="AL222" i="9" s="1"/>
  <c r="AD221" i="9"/>
  <c r="AD222" i="9" s="1"/>
  <c r="AU180" i="9"/>
  <c r="AU181" i="9" s="1"/>
  <c r="AM180" i="9"/>
  <c r="AM181" i="9" s="1"/>
  <c r="AE180" i="9"/>
  <c r="AE181" i="9" s="1"/>
  <c r="AX139" i="9"/>
  <c r="AX140" i="9" s="1"/>
  <c r="AP139" i="9"/>
  <c r="AP140" i="9" s="1"/>
  <c r="AH139" i="9"/>
  <c r="AH140" i="9" s="1"/>
  <c r="AY221" i="9"/>
  <c r="AY222" i="9" s="1"/>
  <c r="AQ221" i="9"/>
  <c r="AQ222" i="9" s="1"/>
  <c r="AI221" i="9"/>
  <c r="AI222" i="9" s="1"/>
  <c r="AZ180" i="9"/>
  <c r="AZ181" i="9" s="1"/>
  <c r="AR180" i="9"/>
  <c r="AR181" i="9" s="1"/>
  <c r="AJ180" i="9"/>
  <c r="AJ181" i="9" s="1"/>
  <c r="AU139" i="9"/>
  <c r="AU140" i="9" s="1"/>
  <c r="AM139" i="9"/>
  <c r="AM140" i="9" s="1"/>
  <c r="AE139" i="9"/>
  <c r="AE140" i="9" s="1"/>
  <c r="AK221" i="9"/>
  <c r="AK222" i="9" s="1"/>
  <c r="AT180" i="9"/>
  <c r="AT181" i="9" s="1"/>
  <c r="AG139" i="9"/>
  <c r="AG140" i="9" s="1"/>
  <c r="AJ221" i="9"/>
  <c r="AJ222" i="9" s="1"/>
  <c r="BA180" i="9"/>
  <c r="BA181" i="9" s="1"/>
  <c r="AC180" i="9"/>
  <c r="AV139" i="9"/>
  <c r="AV140" i="9" s="1"/>
  <c r="AX221" i="9"/>
  <c r="AX222" i="9" s="1"/>
  <c r="AP221" i="9"/>
  <c r="AP222" i="9" s="1"/>
  <c r="AH221" i="9"/>
  <c r="AH222" i="9" s="1"/>
  <c r="AY180" i="9"/>
  <c r="AY181" i="9" s="1"/>
  <c r="AQ180" i="9"/>
  <c r="AQ181" i="9" s="1"/>
  <c r="AI180" i="9"/>
  <c r="AI181" i="9" s="1"/>
  <c r="AT139" i="9"/>
  <c r="AT140" i="9" s="1"/>
  <c r="AL139" i="9"/>
  <c r="AL140" i="9" s="1"/>
  <c r="AD139" i="9"/>
  <c r="AD140" i="9" s="1"/>
  <c r="AC221" i="9"/>
  <c r="AW139" i="9"/>
  <c r="AW140" i="9" s="1"/>
  <c r="F443" i="8"/>
  <c r="AC181" i="8"/>
  <c r="F444" i="8" s="1"/>
  <c r="E443" i="8"/>
  <c r="AC140" i="8"/>
  <c r="E444" i="8" s="1"/>
  <c r="G443" i="8"/>
  <c r="AC222" i="8"/>
  <c r="G444" i="8" s="1"/>
  <c r="AS402" i="8"/>
  <c r="AS404" i="8" s="1"/>
  <c r="R427" i="8"/>
  <c r="AK402" i="8"/>
  <c r="AK404" i="8" s="1"/>
  <c r="J427" i="8"/>
  <c r="AY402" i="8"/>
  <c r="AY404" i="8" s="1"/>
  <c r="X427" i="8"/>
  <c r="AZ402" i="8"/>
  <c r="AZ404" i="8" s="1"/>
  <c r="Y427" i="8"/>
  <c r="AR402" i="8"/>
  <c r="AR404" i="8" s="1"/>
  <c r="Q427" i="8"/>
  <c r="AJ402" i="8"/>
  <c r="AJ404" i="8" s="1"/>
  <c r="I427" i="8"/>
  <c r="AQ402" i="8"/>
  <c r="AQ404" i="8" s="1"/>
  <c r="P427" i="8"/>
  <c r="AX402" i="8"/>
  <c r="AX404" i="8" s="1"/>
  <c r="W427" i="8"/>
  <c r="AP402" i="8"/>
  <c r="AP404" i="8" s="1"/>
  <c r="O427" i="8"/>
  <c r="AH402" i="8"/>
  <c r="AH404" i="8" s="1"/>
  <c r="G427" i="8"/>
  <c r="AW402" i="8"/>
  <c r="AW404" i="8" s="1"/>
  <c r="V427" i="8"/>
  <c r="AO402" i="8"/>
  <c r="AO404" i="8" s="1"/>
  <c r="N427" i="8"/>
  <c r="AG402" i="8"/>
  <c r="AG404" i="8" s="1"/>
  <c r="F427" i="8"/>
  <c r="AI402" i="8"/>
  <c r="AI404" i="8" s="1"/>
  <c r="H427" i="8"/>
  <c r="AV402" i="8"/>
  <c r="AV404" i="8" s="1"/>
  <c r="U427" i="8"/>
  <c r="AN402" i="8"/>
  <c r="AN404" i="8" s="1"/>
  <c r="M427" i="8"/>
  <c r="AF402" i="8"/>
  <c r="AF404" i="8" s="1"/>
  <c r="E427" i="8"/>
  <c r="D441" i="8"/>
  <c r="BA397" i="8"/>
  <c r="Z427" i="8"/>
  <c r="AU402" i="8"/>
  <c r="AU404" i="8" s="1"/>
  <c r="T427" i="8"/>
  <c r="AM402" i="8"/>
  <c r="AM404" i="8" s="1"/>
  <c r="L427" i="8"/>
  <c r="AE402" i="8"/>
  <c r="AE404" i="8" s="1"/>
  <c r="D427" i="8"/>
  <c r="AT402" i="8"/>
  <c r="AT404" i="8" s="1"/>
  <c r="S427" i="8"/>
  <c r="AL402" i="8"/>
  <c r="AL404" i="8" s="1"/>
  <c r="K427" i="8"/>
  <c r="AD402" i="8"/>
  <c r="AD404" i="8" s="1"/>
  <c r="C427" i="8"/>
  <c r="AV402" i="7"/>
  <c r="U427" i="7"/>
  <c r="AU402" i="7"/>
  <c r="T427" i="7"/>
  <c r="AM402" i="7"/>
  <c r="L427" i="7"/>
  <c r="AE402" i="7"/>
  <c r="D427" i="7"/>
  <c r="AN402" i="7"/>
  <c r="M427" i="7"/>
  <c r="B423" i="7"/>
  <c r="AC402" i="7" s="1"/>
  <c r="AT402" i="7"/>
  <c r="S427" i="7"/>
  <c r="AL402" i="7"/>
  <c r="K427" i="7"/>
  <c r="AD402" i="7"/>
  <c r="C427" i="7"/>
  <c r="AF402" i="7"/>
  <c r="E427" i="7"/>
  <c r="AS402" i="7"/>
  <c r="R427" i="7"/>
  <c r="AK402" i="7"/>
  <c r="J427" i="7"/>
  <c r="AZ402" i="7"/>
  <c r="Y427" i="7"/>
  <c r="AR402" i="7"/>
  <c r="Q427" i="7"/>
  <c r="AJ402" i="7"/>
  <c r="I427" i="7"/>
  <c r="AY402" i="7"/>
  <c r="X427" i="7"/>
  <c r="AQ402" i="7"/>
  <c r="P427" i="7"/>
  <c r="AI402" i="7"/>
  <c r="H427" i="7"/>
  <c r="AX402" i="7"/>
  <c r="W427" i="7"/>
  <c r="AP402" i="7"/>
  <c r="O427" i="7"/>
  <c r="AH402" i="7"/>
  <c r="G427" i="7"/>
  <c r="AW402" i="7"/>
  <c r="V427" i="7"/>
  <c r="AO402" i="7"/>
  <c r="N427" i="7"/>
  <c r="AG402" i="7"/>
  <c r="F427" i="7"/>
  <c r="AC90" i="9"/>
  <c r="D435" i="9" s="1"/>
  <c r="AC50" i="9"/>
  <c r="C435" i="9" s="1"/>
  <c r="U41" i="9"/>
  <c r="AV15" i="9"/>
  <c r="B441" i="9" s="1"/>
  <c r="C81" i="9"/>
  <c r="AC10" i="9"/>
  <c r="B435" i="9" s="1"/>
  <c r="D81" i="9"/>
  <c r="U121" i="9"/>
  <c r="G81" i="9"/>
  <c r="E41" i="9"/>
  <c r="AT56" i="9"/>
  <c r="K41" i="9"/>
  <c r="W121" i="9"/>
  <c r="O121" i="9"/>
  <c r="G121" i="9"/>
  <c r="AF56" i="9"/>
  <c r="I41" i="9"/>
  <c r="AC14" i="9"/>
  <c r="AN56" i="9"/>
  <c r="U81" i="9"/>
  <c r="K81" i="9"/>
  <c r="Y121" i="9"/>
  <c r="I121" i="9"/>
  <c r="K121" i="9"/>
  <c r="F81" i="9"/>
  <c r="AL16" i="9"/>
  <c r="AZ96" i="9"/>
  <c r="AJ16" i="9"/>
  <c r="AM56" i="9"/>
  <c r="AU56" i="9"/>
  <c r="Y41" i="9"/>
  <c r="C121" i="9"/>
  <c r="M41" i="9"/>
  <c r="X121" i="9"/>
  <c r="H121" i="9"/>
  <c r="H81" i="9"/>
  <c r="V121" i="9"/>
  <c r="F121" i="9"/>
  <c r="N41" i="9"/>
  <c r="O81" i="9"/>
  <c r="S121" i="9"/>
  <c r="W81" i="9"/>
  <c r="Q41" i="9"/>
  <c r="G41" i="9"/>
  <c r="D41" i="9"/>
  <c r="AE16" i="9"/>
  <c r="AT96" i="9"/>
  <c r="D121" i="9"/>
  <c r="AH16" i="9"/>
  <c r="AE56" i="9"/>
  <c r="P41" i="9"/>
  <c r="BA52" i="9"/>
  <c r="C437" i="9" s="1"/>
  <c r="L41" i="9"/>
  <c r="BA12" i="9"/>
  <c r="B437" i="9" s="1"/>
  <c r="V41" i="9"/>
  <c r="F41" i="9"/>
  <c r="AC54" i="9"/>
  <c r="W41" i="9"/>
  <c r="AH96" i="9"/>
  <c r="P121" i="9"/>
  <c r="AI96" i="9"/>
  <c r="AX96" i="9"/>
  <c r="AP96" i="9"/>
  <c r="X81" i="9"/>
  <c r="V81" i="9"/>
  <c r="O41" i="9"/>
  <c r="AZ17" i="9"/>
  <c r="AO57" i="9"/>
  <c r="AD97" i="9"/>
  <c r="AI17" i="9"/>
  <c r="AP57" i="9"/>
  <c r="AP58" i="9" s="1"/>
  <c r="AE97" i="9"/>
  <c r="AJ17" i="9"/>
  <c r="AW57" i="9"/>
  <c r="AP17" i="9"/>
  <c r="AX57" i="9"/>
  <c r="AQ17" i="9"/>
  <c r="AR17" i="9"/>
  <c r="AX17" i="9"/>
  <c r="AG57" i="9"/>
  <c r="AY96" i="9"/>
  <c r="AJ96" i="9"/>
  <c r="M121" i="9"/>
  <c r="R121" i="9"/>
  <c r="Q121" i="9"/>
  <c r="AS96" i="9"/>
  <c r="AN96" i="9"/>
  <c r="AV96" i="9"/>
  <c r="J121" i="9"/>
  <c r="E121" i="9"/>
  <c r="P81" i="9"/>
  <c r="N81" i="9"/>
  <c r="J81" i="9"/>
  <c r="AS56" i="9"/>
  <c r="AL54" i="9"/>
  <c r="AO54" i="9"/>
  <c r="I81" i="9"/>
  <c r="Q81" i="9"/>
  <c r="Y81" i="9"/>
  <c r="T41" i="9"/>
  <c r="J41" i="9"/>
  <c r="R41" i="9"/>
  <c r="C41" i="9"/>
  <c r="S41" i="9"/>
  <c r="Z41" i="9"/>
  <c r="B41" i="9"/>
  <c r="H41" i="9"/>
  <c r="AI57" i="9"/>
  <c r="AQ57" i="9"/>
  <c r="AY57" i="9"/>
  <c r="B121" i="9"/>
  <c r="AL97" i="9"/>
  <c r="X41" i="9"/>
  <c r="BA97" i="9"/>
  <c r="AS97" i="9"/>
  <c r="AK97" i="9"/>
  <c r="AC97" i="9"/>
  <c r="AZ97" i="9"/>
  <c r="AR97" i="9"/>
  <c r="AJ97" i="9"/>
  <c r="AY97" i="9"/>
  <c r="AQ97" i="9"/>
  <c r="AI97" i="9"/>
  <c r="AX97" i="9"/>
  <c r="AP97" i="9"/>
  <c r="AH97" i="9"/>
  <c r="AW97" i="9"/>
  <c r="AO97" i="9"/>
  <c r="AG97" i="9"/>
  <c r="AV97" i="9"/>
  <c r="AN97" i="9"/>
  <c r="AF97" i="9"/>
  <c r="AC17" i="9"/>
  <c r="AK17" i="9"/>
  <c r="AK18" i="9" s="1"/>
  <c r="AS17" i="9"/>
  <c r="BA17" i="9"/>
  <c r="AJ57" i="9"/>
  <c r="AR57" i="9"/>
  <c r="AZ57" i="9"/>
  <c r="AH58" i="9"/>
  <c r="AM97" i="9"/>
  <c r="L121" i="9"/>
  <c r="AO94" i="9"/>
  <c r="N121" i="9"/>
  <c r="AD17" i="9"/>
  <c r="AL17" i="9"/>
  <c r="AT17" i="9"/>
  <c r="AC57" i="9"/>
  <c r="AK57" i="9"/>
  <c r="AS57" i="9"/>
  <c r="BA57" i="9"/>
  <c r="AT97" i="9"/>
  <c r="AE17" i="9"/>
  <c r="AM17" i="9"/>
  <c r="AU17" i="9"/>
  <c r="B81" i="9"/>
  <c r="AD57" i="9"/>
  <c r="AL57" i="9"/>
  <c r="AT57" i="9"/>
  <c r="Z81" i="9"/>
  <c r="AU97" i="9"/>
  <c r="T121" i="9"/>
  <c r="AF14" i="9"/>
  <c r="AF17" i="9"/>
  <c r="AN17" i="9"/>
  <c r="AV17" i="9"/>
  <c r="AE57" i="9"/>
  <c r="AM57" i="9"/>
  <c r="AU57" i="9"/>
  <c r="Z121" i="9"/>
  <c r="BA92" i="9"/>
  <c r="D437" i="9" s="1"/>
  <c r="AG17" i="9"/>
  <c r="AO17" i="9"/>
  <c r="AW17" i="9"/>
  <c r="AF57" i="9"/>
  <c r="AN57" i="9"/>
  <c r="AV57" i="9"/>
  <c r="AX94" i="9"/>
  <c r="AF94" i="9"/>
  <c r="AX18" i="9" l="1"/>
  <c r="D439" i="9"/>
  <c r="AW58" i="9"/>
  <c r="AY18" i="9"/>
  <c r="K125" i="42"/>
  <c r="K137" i="42" s="1"/>
  <c r="K101" i="42"/>
  <c r="K113" i="42" s="1"/>
  <c r="D455" i="8"/>
  <c r="F94" i="42"/>
  <c r="F457" i="8"/>
  <c r="H96" i="42"/>
  <c r="I468" i="8"/>
  <c r="K150" i="42"/>
  <c r="I470" i="8"/>
  <c r="K152" i="42"/>
  <c r="K103" i="42"/>
  <c r="K115" i="42" s="1"/>
  <c r="K127" i="42"/>
  <c r="K139" i="42" s="1"/>
  <c r="G458" i="8"/>
  <c r="G476" i="8" s="1"/>
  <c r="I97" i="42"/>
  <c r="L101" i="42"/>
  <c r="L113" i="42" s="1"/>
  <c r="L125" i="42"/>
  <c r="L137" i="42" s="1"/>
  <c r="L104" i="42"/>
  <c r="L116" i="42" s="1"/>
  <c r="L128" i="42"/>
  <c r="L140" i="42" s="1"/>
  <c r="G457" i="8"/>
  <c r="I96" i="42"/>
  <c r="J468" i="8"/>
  <c r="L150" i="42"/>
  <c r="J471" i="8"/>
  <c r="L153" i="42"/>
  <c r="J103" i="42"/>
  <c r="J115" i="42" s="1"/>
  <c r="J127" i="42"/>
  <c r="J139" i="42" s="1"/>
  <c r="L127" i="42"/>
  <c r="L139" i="42" s="1"/>
  <c r="L103" i="42"/>
  <c r="L115" i="42" s="1"/>
  <c r="E457" i="8"/>
  <c r="G96" i="42"/>
  <c r="H470" i="8"/>
  <c r="J152" i="42"/>
  <c r="J470" i="8"/>
  <c r="L152" i="42"/>
  <c r="E458" i="8"/>
  <c r="E476" i="8" s="1"/>
  <c r="G97" i="42"/>
  <c r="F458" i="8"/>
  <c r="F476" i="8" s="1"/>
  <c r="H97" i="42"/>
  <c r="AE98" i="9"/>
  <c r="B439" i="9"/>
  <c r="AZ18" i="9"/>
  <c r="K42" i="41"/>
  <c r="K30" i="41"/>
  <c r="K67" i="41"/>
  <c r="K79" i="41"/>
  <c r="AD98" i="9"/>
  <c r="AG58" i="9"/>
  <c r="AR18" i="9"/>
  <c r="B442" i="9"/>
  <c r="D95" i="37" s="1"/>
  <c r="D94" i="37"/>
  <c r="B455" i="9"/>
  <c r="D155" i="37" s="1"/>
  <c r="B456" i="9"/>
  <c r="AK402" i="9"/>
  <c r="AK404" i="9" s="1"/>
  <c r="J427" i="9"/>
  <c r="AL341" i="9"/>
  <c r="AL343" i="9" s="1"/>
  <c r="K366" i="9"/>
  <c r="AK281" i="9"/>
  <c r="AK283" i="9" s="1"/>
  <c r="J306" i="9"/>
  <c r="AF402" i="9"/>
  <c r="AF404" i="9" s="1"/>
  <c r="E427" i="9"/>
  <c r="AI18" i="9"/>
  <c r="B451" i="9"/>
  <c r="D90" i="37"/>
  <c r="C449" i="9"/>
  <c r="E88" i="37"/>
  <c r="AM341" i="9"/>
  <c r="AM343" i="9" s="1"/>
  <c r="L366" i="9"/>
  <c r="AX281" i="9"/>
  <c r="AX283" i="9" s="1"/>
  <c r="W306" i="9"/>
  <c r="AQ402" i="9"/>
  <c r="AQ404" i="9" s="1"/>
  <c r="P427" i="9"/>
  <c r="AL402" i="9"/>
  <c r="AL404" i="9" s="1"/>
  <c r="K427" i="9"/>
  <c r="AO341" i="9"/>
  <c r="AO343" i="9" s="1"/>
  <c r="N366" i="9"/>
  <c r="AZ281" i="9"/>
  <c r="AZ283" i="9" s="1"/>
  <c r="Y306" i="9"/>
  <c r="D442" i="9"/>
  <c r="AV281" i="9"/>
  <c r="AV283" i="9" s="1"/>
  <c r="U306" i="9"/>
  <c r="AS341" i="9"/>
  <c r="AS343" i="9" s="1"/>
  <c r="R366" i="9"/>
  <c r="AN341" i="9"/>
  <c r="AN343" i="9" s="1"/>
  <c r="M366" i="9"/>
  <c r="AQ281" i="9"/>
  <c r="AQ283" i="9" s="1"/>
  <c r="P306" i="9"/>
  <c r="AI341" i="9"/>
  <c r="AI343" i="9" s="1"/>
  <c r="H366" i="9"/>
  <c r="AV341" i="9"/>
  <c r="AV343" i="9" s="1"/>
  <c r="U366" i="9"/>
  <c r="AY281" i="9"/>
  <c r="AY283" i="9" s="1"/>
  <c r="X306" i="9"/>
  <c r="AE402" i="9"/>
  <c r="AE404" i="9" s="1"/>
  <c r="D427" i="9"/>
  <c r="AH341" i="9"/>
  <c r="AH343" i="9" s="1"/>
  <c r="G366" i="9"/>
  <c r="AS281" i="9"/>
  <c r="AS283" i="9" s="1"/>
  <c r="R306" i="9"/>
  <c r="AD281" i="9"/>
  <c r="C306" i="9"/>
  <c r="AW402" i="9"/>
  <c r="AW404" i="9" s="1"/>
  <c r="V427" i="9"/>
  <c r="AZ341" i="9"/>
  <c r="AZ343" i="9" s="1"/>
  <c r="Y366" i="9"/>
  <c r="AC181" i="9"/>
  <c r="F444" i="9" s="1"/>
  <c r="F443" i="9"/>
  <c r="AO402" i="9"/>
  <c r="AO404" i="9" s="1"/>
  <c r="N427" i="9"/>
  <c r="AX58" i="9"/>
  <c r="C451" i="9"/>
  <c r="E90" i="37"/>
  <c r="D449" i="9"/>
  <c r="F88" i="37"/>
  <c r="AR402" i="9"/>
  <c r="AR404" i="9" s="1"/>
  <c r="Q427" i="9"/>
  <c r="AU341" i="9"/>
  <c r="AU343" i="9" s="1"/>
  <c r="T366" i="9"/>
  <c r="AD341" i="9"/>
  <c r="AD343" i="9" s="1"/>
  <c r="C366" i="9"/>
  <c r="AC341" i="9"/>
  <c r="B366" i="9"/>
  <c r="AW341" i="9"/>
  <c r="AW343" i="9" s="1"/>
  <c r="V366" i="9"/>
  <c r="AY341" i="9"/>
  <c r="AY343" i="9" s="1"/>
  <c r="X366" i="9"/>
  <c r="E101" i="37"/>
  <c r="E113" i="37" s="1"/>
  <c r="E125" i="37"/>
  <c r="E137" i="37" s="1"/>
  <c r="BA277" i="9"/>
  <c r="Z306" i="9"/>
  <c r="AG98" i="9"/>
  <c r="AR341" i="9"/>
  <c r="AR343" i="9" s="1"/>
  <c r="Q366" i="9"/>
  <c r="B443" i="9"/>
  <c r="B449" i="9"/>
  <c r="D88" i="37"/>
  <c r="AC222" i="9"/>
  <c r="G444" i="9" s="1"/>
  <c r="G443" i="9"/>
  <c r="AC140" i="9"/>
  <c r="E444" i="9" s="1"/>
  <c r="E443" i="9"/>
  <c r="BA337" i="9"/>
  <c r="Z366" i="9"/>
  <c r="C442" i="9"/>
  <c r="AM402" i="9"/>
  <c r="AM404" i="9" s="1"/>
  <c r="L427" i="9"/>
  <c r="AP341" i="9"/>
  <c r="AP343" i="9" s="1"/>
  <c r="O366" i="9"/>
  <c r="AT341" i="9"/>
  <c r="AT343" i="9" s="1"/>
  <c r="S366" i="9"/>
  <c r="AT281" i="9"/>
  <c r="AT283" i="9" s="1"/>
  <c r="S306" i="9"/>
  <c r="BA398" i="9"/>
  <c r="Z427" i="9"/>
  <c r="C468" i="9"/>
  <c r="E150" i="37"/>
  <c r="B452" i="9"/>
  <c r="D91" i="37"/>
  <c r="D455" i="9"/>
  <c r="F94" i="37"/>
  <c r="AD402" i="9"/>
  <c r="AD404" i="9" s="1"/>
  <c r="C427" i="9"/>
  <c r="F92" i="37"/>
  <c r="D453" i="9"/>
  <c r="B450" i="9"/>
  <c r="D89" i="37"/>
  <c r="D92" i="37"/>
  <c r="B453" i="9"/>
  <c r="AU281" i="9"/>
  <c r="AU283" i="9" s="1"/>
  <c r="T306" i="9"/>
  <c r="AW281" i="9"/>
  <c r="AW283" i="9" s="1"/>
  <c r="V306" i="9"/>
  <c r="E91" i="37"/>
  <c r="C452" i="9"/>
  <c r="AO281" i="9"/>
  <c r="AO283" i="9" s="1"/>
  <c r="N306" i="9"/>
  <c r="AC396" i="9"/>
  <c r="B427" i="9"/>
  <c r="D452" i="9"/>
  <c r="F91" i="37"/>
  <c r="E130" i="37"/>
  <c r="E142" i="37" s="1"/>
  <c r="E106" i="37"/>
  <c r="E118" i="37" s="1"/>
  <c r="AK341" i="9"/>
  <c r="AK343" i="9" s="1"/>
  <c r="J366" i="9"/>
  <c r="AF281" i="9"/>
  <c r="AF283" i="9" s="1"/>
  <c r="E306" i="9"/>
  <c r="O306" i="9"/>
  <c r="AP281" i="9"/>
  <c r="AP283" i="9" s="1"/>
  <c r="AG341" i="9"/>
  <c r="AG343" i="9" s="1"/>
  <c r="F366" i="9"/>
  <c r="AR281" i="9"/>
  <c r="AR283" i="9" s="1"/>
  <c r="Q306" i="9"/>
  <c r="AN281" i="9"/>
  <c r="AN283" i="9" s="1"/>
  <c r="M306" i="9"/>
  <c r="F90" i="37"/>
  <c r="D451" i="9"/>
  <c r="C443" i="9"/>
  <c r="D443" i="9"/>
  <c r="C439" i="9"/>
  <c r="AF341" i="9"/>
  <c r="AF343" i="9" s="1"/>
  <c r="E366" i="9"/>
  <c r="AI281" i="9"/>
  <c r="AI283" i="9" s="1"/>
  <c r="H306" i="9"/>
  <c r="AQ341" i="9"/>
  <c r="AQ343" i="9" s="1"/>
  <c r="P366" i="9"/>
  <c r="D450" i="9"/>
  <c r="F89" i="37"/>
  <c r="AU402" i="9"/>
  <c r="AU404" i="9" s="1"/>
  <c r="T427" i="9"/>
  <c r="AX341" i="9"/>
  <c r="AX343" i="9" s="1"/>
  <c r="W366" i="9"/>
  <c r="AC275" i="9"/>
  <c r="B306" i="9"/>
  <c r="AG281" i="9"/>
  <c r="AG283" i="9" s="1"/>
  <c r="F306" i="9"/>
  <c r="AG402" i="9"/>
  <c r="AG404" i="9" s="1"/>
  <c r="F427" i="9"/>
  <c r="AJ341" i="9"/>
  <c r="AJ343" i="9" s="1"/>
  <c r="I366" i="9"/>
  <c r="AM281" i="9"/>
  <c r="AM283" i="9" s="1"/>
  <c r="L306" i="9"/>
  <c r="C473" i="9"/>
  <c r="E155" i="37"/>
  <c r="AT98" i="9"/>
  <c r="J442" i="8"/>
  <c r="BA404" i="8"/>
  <c r="J437" i="8"/>
  <c r="J442" i="7"/>
  <c r="AL98" i="9"/>
  <c r="AH18" i="9"/>
  <c r="AM98" i="9"/>
  <c r="AT18" i="9"/>
  <c r="AC18" i="9"/>
  <c r="AP18" i="9"/>
  <c r="AY58" i="9"/>
  <c r="AW98" i="9"/>
  <c r="AO58" i="9"/>
  <c r="AS58" i="9"/>
  <c r="AR58" i="9"/>
  <c r="AD58" i="9"/>
  <c r="AJ18" i="9"/>
  <c r="AL18" i="9"/>
  <c r="AN98" i="9"/>
  <c r="AU98" i="9"/>
  <c r="AD18" i="9"/>
  <c r="AP98" i="9"/>
  <c r="AQ58" i="9"/>
  <c r="AV98" i="9"/>
  <c r="AF58" i="9"/>
  <c r="AF98" i="9"/>
  <c r="AE18" i="9"/>
  <c r="AM58" i="9"/>
  <c r="AV18" i="9"/>
  <c r="AQ18" i="9"/>
  <c r="AI58" i="9"/>
  <c r="AL58" i="9"/>
  <c r="AK58" i="9"/>
  <c r="AZ98" i="9"/>
  <c r="AU58" i="9"/>
  <c r="AX98" i="9"/>
  <c r="AW18" i="9"/>
  <c r="AE58" i="9"/>
  <c r="AN18" i="9"/>
  <c r="AJ58" i="9"/>
  <c r="AU18" i="9"/>
  <c r="AK98" i="9"/>
  <c r="AO98" i="9"/>
  <c r="AY98" i="9"/>
  <c r="AZ58" i="9"/>
  <c r="BA98" i="9"/>
  <c r="AC98" i="9"/>
  <c r="AT58" i="9"/>
  <c r="AV58" i="9"/>
  <c r="AG18" i="9"/>
  <c r="AI98" i="9"/>
  <c r="AF18" i="9"/>
  <c r="AS18" i="9"/>
  <c r="BA18" i="9"/>
  <c r="AR98" i="9"/>
  <c r="AS98" i="9"/>
  <c r="AM18" i="9"/>
  <c r="AN58" i="9"/>
  <c r="AC58" i="9"/>
  <c r="AH98" i="9"/>
  <c r="AQ98" i="9"/>
  <c r="AJ98" i="9"/>
  <c r="AO18" i="9"/>
  <c r="BA58" i="9"/>
  <c r="J250" i="42" l="1"/>
  <c r="J201" i="42"/>
  <c r="J238" i="42"/>
  <c r="J17" i="42"/>
  <c r="J54" i="42"/>
  <c r="F26" i="1"/>
  <c r="L202" i="42"/>
  <c r="L239" i="42"/>
  <c r="L55" i="42"/>
  <c r="L18" i="42"/>
  <c r="G28" i="1"/>
  <c r="K248" i="42"/>
  <c r="K199" i="42"/>
  <c r="K236" i="42"/>
  <c r="K15" i="42"/>
  <c r="K52" i="42"/>
  <c r="D27" i="1"/>
  <c r="K162" i="42"/>
  <c r="K186" i="42"/>
  <c r="K174" i="42"/>
  <c r="G108" i="42"/>
  <c r="G132" i="42"/>
  <c r="G133" i="42" s="1"/>
  <c r="L186" i="42"/>
  <c r="L174" i="42"/>
  <c r="L162" i="42"/>
  <c r="H108" i="42"/>
  <c r="H132" i="42"/>
  <c r="H133" i="42" s="1"/>
  <c r="E475" i="8"/>
  <c r="G157" i="42"/>
  <c r="L248" i="42"/>
  <c r="L199" i="42"/>
  <c r="L236" i="42"/>
  <c r="L15" i="42"/>
  <c r="L52" i="42"/>
  <c r="D28" i="1"/>
  <c r="I207" i="42"/>
  <c r="Q431" i="42" s="1"/>
  <c r="AE456" i="42" s="1"/>
  <c r="I60" i="42"/>
  <c r="H431" i="42" s="1"/>
  <c r="AE454" i="42" s="1"/>
  <c r="I23" i="42"/>
  <c r="C431" i="42" s="1"/>
  <c r="AE453" i="42" s="1"/>
  <c r="L25" i="1"/>
  <c r="F475" i="8"/>
  <c r="H157" i="42"/>
  <c r="I108" i="42"/>
  <c r="I132" i="42"/>
  <c r="I133" i="42" s="1"/>
  <c r="F130" i="42"/>
  <c r="F142" i="42" s="1"/>
  <c r="F106" i="42"/>
  <c r="F118" i="42" s="1"/>
  <c r="L189" i="42"/>
  <c r="L177" i="42"/>
  <c r="L165" i="42"/>
  <c r="J451" i="8"/>
  <c r="L90" i="42"/>
  <c r="G475" i="8"/>
  <c r="I157" i="42"/>
  <c r="D473" i="8"/>
  <c r="F155" i="42"/>
  <c r="J164" i="42"/>
  <c r="J176" i="42"/>
  <c r="J188" i="42"/>
  <c r="L188" i="42"/>
  <c r="L176" i="42"/>
  <c r="L164" i="42"/>
  <c r="K188" i="42"/>
  <c r="K164" i="42"/>
  <c r="K176" i="42"/>
  <c r="J456" i="8"/>
  <c r="L95" i="42"/>
  <c r="L250" i="42"/>
  <c r="L201" i="42"/>
  <c r="L238" i="42"/>
  <c r="L54" i="42"/>
  <c r="L17" i="42"/>
  <c r="F28" i="1"/>
  <c r="K250" i="42"/>
  <c r="K201" i="42"/>
  <c r="K238" i="42"/>
  <c r="K54" i="42"/>
  <c r="K17" i="42"/>
  <c r="F27" i="1"/>
  <c r="L24" i="1"/>
  <c r="H207" i="42"/>
  <c r="Q430" i="42" s="1"/>
  <c r="S456" i="42" s="1"/>
  <c r="H60" i="42"/>
  <c r="H430" i="42" s="1"/>
  <c r="S454" i="42" s="1"/>
  <c r="H23" i="42"/>
  <c r="C430" i="42" s="1"/>
  <c r="S453" i="42" s="1"/>
  <c r="L23" i="1"/>
  <c r="G207" i="42"/>
  <c r="Q429" i="42" s="1"/>
  <c r="G456" i="42" s="1"/>
  <c r="G23" i="42"/>
  <c r="C429" i="42" s="1"/>
  <c r="G453" i="42" s="1"/>
  <c r="G60" i="42"/>
  <c r="H429" i="42" s="1"/>
  <c r="G454" i="42" s="1"/>
  <c r="L95" i="41"/>
  <c r="B444" i="9"/>
  <c r="C469" i="9"/>
  <c r="E151" i="37"/>
  <c r="D444" i="9"/>
  <c r="E179" i="37"/>
  <c r="E167" i="37"/>
  <c r="E191" i="37"/>
  <c r="F101" i="37"/>
  <c r="F113" i="37" s="1"/>
  <c r="F125" i="37"/>
  <c r="F137" i="37" s="1"/>
  <c r="C453" i="9"/>
  <c r="E92" i="37"/>
  <c r="D104" i="37"/>
  <c r="D116" i="37" s="1"/>
  <c r="D128" i="37"/>
  <c r="D140" i="37" s="1"/>
  <c r="D473" i="9"/>
  <c r="F155" i="37"/>
  <c r="B457" i="9"/>
  <c r="D96" i="37"/>
  <c r="D456" i="9"/>
  <c r="F95" i="37"/>
  <c r="D151" i="37"/>
  <c r="B469" i="9"/>
  <c r="B471" i="9"/>
  <c r="D153" i="37"/>
  <c r="E241" i="37"/>
  <c r="E253" i="37"/>
  <c r="E57" i="37"/>
  <c r="E204" i="37"/>
  <c r="E20" i="37"/>
  <c r="I7" i="1"/>
  <c r="D468" i="9"/>
  <c r="F150" i="37"/>
  <c r="D457" i="9"/>
  <c r="F96" i="37"/>
  <c r="C470" i="9"/>
  <c r="E152" i="37"/>
  <c r="D125" i="37"/>
  <c r="D137" i="37" s="1"/>
  <c r="D101" i="37"/>
  <c r="D113" i="37" s="1"/>
  <c r="D103" i="37"/>
  <c r="D115" i="37" s="1"/>
  <c r="D127" i="37"/>
  <c r="D139" i="37" s="1"/>
  <c r="I438" i="9"/>
  <c r="BA343" i="9"/>
  <c r="F130" i="37"/>
  <c r="F142" i="37" s="1"/>
  <c r="F106" i="37"/>
  <c r="F118" i="37" s="1"/>
  <c r="J442" i="9"/>
  <c r="E458" i="9"/>
  <c r="E476" i="9" s="1"/>
  <c r="G97" i="37"/>
  <c r="C457" i="9"/>
  <c r="E96" i="37"/>
  <c r="E103" i="37"/>
  <c r="E115" i="37" s="1"/>
  <c r="E127" i="37"/>
  <c r="E139" i="37" s="1"/>
  <c r="B468" i="9"/>
  <c r="D150" i="37"/>
  <c r="B470" i="9"/>
  <c r="D152" i="37"/>
  <c r="E457" i="9"/>
  <c r="G96" i="37"/>
  <c r="AD283" i="9"/>
  <c r="H442" i="9"/>
  <c r="D131" i="37"/>
  <c r="D143" i="37" s="1"/>
  <c r="D107" i="37"/>
  <c r="D119" i="37" s="1"/>
  <c r="B467" i="9"/>
  <c r="D149" i="37"/>
  <c r="F458" i="9"/>
  <c r="F476" i="9" s="1"/>
  <c r="H97" i="37"/>
  <c r="H436" i="9"/>
  <c r="AC283" i="9"/>
  <c r="D469" i="9"/>
  <c r="F151" i="37"/>
  <c r="F127" i="37"/>
  <c r="F139" i="37" s="1"/>
  <c r="F103" i="37"/>
  <c r="F115" i="37" s="1"/>
  <c r="D471" i="9"/>
  <c r="F153" i="37"/>
  <c r="E162" i="37"/>
  <c r="E186" i="37"/>
  <c r="E174" i="37"/>
  <c r="H96" i="37"/>
  <c r="F457" i="9"/>
  <c r="B474" i="9"/>
  <c r="D156" i="37"/>
  <c r="B458" i="9"/>
  <c r="B476" i="9" s="1"/>
  <c r="D97" i="37"/>
  <c r="C444" i="9"/>
  <c r="F102" i="37"/>
  <c r="F114" i="37" s="1"/>
  <c r="F126" i="37"/>
  <c r="F138" i="37" s="1"/>
  <c r="D470" i="9"/>
  <c r="F152" i="37"/>
  <c r="F104" i="37"/>
  <c r="F116" i="37" s="1"/>
  <c r="F128" i="37"/>
  <c r="F140" i="37" s="1"/>
  <c r="E248" i="37"/>
  <c r="E52" i="37"/>
  <c r="E199" i="37"/>
  <c r="E15" i="37"/>
  <c r="E236" i="37"/>
  <c r="G457" i="9"/>
  <c r="I96" i="37"/>
  <c r="F100" i="37"/>
  <c r="F124" i="37"/>
  <c r="D179" i="37"/>
  <c r="D191" i="37"/>
  <c r="D167" i="37"/>
  <c r="C456" i="9"/>
  <c r="E95" i="37"/>
  <c r="D102" i="37"/>
  <c r="D114" i="37" s="1"/>
  <c r="D126" i="37"/>
  <c r="D138" i="37" s="1"/>
  <c r="G458" i="9"/>
  <c r="G476" i="9" s="1"/>
  <c r="I97" i="37"/>
  <c r="H438" i="9"/>
  <c r="BA283" i="9"/>
  <c r="I442" i="9"/>
  <c r="AC343" i="9"/>
  <c r="I444" i="9" s="1"/>
  <c r="D467" i="9"/>
  <c r="F149" i="37"/>
  <c r="E124" i="37"/>
  <c r="E100" i="37"/>
  <c r="D130" i="37"/>
  <c r="D142" i="37" s="1"/>
  <c r="D106" i="37"/>
  <c r="D118" i="37" s="1"/>
  <c r="J436" i="9"/>
  <c r="AC404" i="9"/>
  <c r="J438" i="9"/>
  <c r="BA404" i="9"/>
  <c r="D124" i="37"/>
  <c r="D100" i="37"/>
  <c r="E102" i="37"/>
  <c r="E114" i="37" s="1"/>
  <c r="E126" i="37"/>
  <c r="E138" i="37" s="1"/>
  <c r="C467" i="9"/>
  <c r="E149" i="37"/>
  <c r="B473" i="9"/>
  <c r="J456" i="7"/>
  <c r="L156" i="41" s="1"/>
  <c r="K66" i="42" l="1"/>
  <c r="K78" i="42"/>
  <c r="L78" i="42"/>
  <c r="L66" i="42"/>
  <c r="L223" i="42"/>
  <c r="L211" i="42"/>
  <c r="J78" i="42"/>
  <c r="J66" i="42"/>
  <c r="L29" i="42"/>
  <c r="L41" i="42"/>
  <c r="H206" i="42"/>
  <c r="H255" i="42"/>
  <c r="H256" i="42" s="1"/>
  <c r="AF430" i="42" s="1"/>
  <c r="S459" i="42" s="1"/>
  <c r="H243" i="42"/>
  <c r="H244" i="42" s="1"/>
  <c r="AE430" i="42" s="1"/>
  <c r="H292" i="42"/>
  <c r="H293" i="42" s="1"/>
  <c r="AB430" i="42" s="1"/>
  <c r="W458" i="42" s="1"/>
  <c r="H280" i="42"/>
  <c r="H281" i="42" s="1"/>
  <c r="AA430" i="42" s="1"/>
  <c r="U458" i="42" s="1"/>
  <c r="H268" i="42"/>
  <c r="H269" i="42" s="1"/>
  <c r="Z430" i="42" s="1"/>
  <c r="S458" i="42" s="1"/>
  <c r="H59" i="42"/>
  <c r="H22" i="42"/>
  <c r="K24" i="1"/>
  <c r="F191" i="42"/>
  <c r="F179" i="42"/>
  <c r="F167" i="42"/>
  <c r="K76" i="42"/>
  <c r="K64" i="42"/>
  <c r="L42" i="42"/>
  <c r="L30" i="42"/>
  <c r="J41" i="42"/>
  <c r="J29" i="42"/>
  <c r="J474" i="8"/>
  <c r="L156" i="42"/>
  <c r="H120" i="42"/>
  <c r="H121" i="42" s="1"/>
  <c r="M430" i="42" s="1"/>
  <c r="S455" i="42" s="1"/>
  <c r="H109" i="42"/>
  <c r="K225" i="42"/>
  <c r="K213" i="42"/>
  <c r="F253" i="42"/>
  <c r="F241" i="42"/>
  <c r="F57" i="42"/>
  <c r="F20" i="42"/>
  <c r="F204" i="42"/>
  <c r="I22" i="1"/>
  <c r="K27" i="42"/>
  <c r="K39" i="42"/>
  <c r="K29" i="42"/>
  <c r="K41" i="42"/>
  <c r="L213" i="42"/>
  <c r="L225" i="42"/>
  <c r="I169" i="42"/>
  <c r="I170" i="42" s="1"/>
  <c r="V431" i="42" s="1"/>
  <c r="AE457" i="42" s="1"/>
  <c r="I158" i="42"/>
  <c r="L67" i="42"/>
  <c r="L79" i="42"/>
  <c r="J225" i="42"/>
  <c r="J213" i="42"/>
  <c r="I255" i="42"/>
  <c r="I256" i="42" s="1"/>
  <c r="AF431" i="42" s="1"/>
  <c r="AE459" i="42" s="1"/>
  <c r="I243" i="42"/>
  <c r="I244" i="42" s="1"/>
  <c r="AE431" i="42" s="1"/>
  <c r="I59" i="42"/>
  <c r="I292" i="42"/>
  <c r="I293" i="42" s="1"/>
  <c r="AB431" i="42" s="1"/>
  <c r="AI458" i="42" s="1"/>
  <c r="I280" i="42"/>
  <c r="I281" i="42" s="1"/>
  <c r="AA431" i="42" s="1"/>
  <c r="AG458" i="42" s="1"/>
  <c r="I268" i="42"/>
  <c r="I269" i="42" s="1"/>
  <c r="Z431" i="42" s="1"/>
  <c r="AE458" i="42" s="1"/>
  <c r="I206" i="42"/>
  <c r="I22" i="42"/>
  <c r="K25" i="1"/>
  <c r="G169" i="42"/>
  <c r="G170" i="42" s="1"/>
  <c r="V429" i="42" s="1"/>
  <c r="G457" i="42" s="1"/>
  <c r="G158" i="42"/>
  <c r="G120" i="42"/>
  <c r="G121" i="42" s="1"/>
  <c r="M429" i="42" s="1"/>
  <c r="G455" i="42" s="1"/>
  <c r="G109" i="42"/>
  <c r="K211" i="42"/>
  <c r="K223" i="42"/>
  <c r="L126" i="42"/>
  <c r="L138" i="42" s="1"/>
  <c r="L102" i="42"/>
  <c r="L114" i="42" s="1"/>
  <c r="I120" i="42"/>
  <c r="I121" i="42" s="1"/>
  <c r="M431" i="42" s="1"/>
  <c r="AE455" i="42" s="1"/>
  <c r="I109" i="42"/>
  <c r="L76" i="42"/>
  <c r="L64" i="42"/>
  <c r="G206" i="42"/>
  <c r="G255" i="42"/>
  <c r="G256" i="42" s="1"/>
  <c r="AF429" i="42" s="1"/>
  <c r="G459" i="42" s="1"/>
  <c r="G243" i="42"/>
  <c r="G244" i="42" s="1"/>
  <c r="AE429" i="42" s="1"/>
  <c r="G59" i="42"/>
  <c r="G292" i="42"/>
  <c r="G293" i="42" s="1"/>
  <c r="AB429" i="42" s="1"/>
  <c r="K458" i="42" s="1"/>
  <c r="G280" i="42"/>
  <c r="G281" i="42" s="1"/>
  <c r="AA429" i="42" s="1"/>
  <c r="I458" i="42" s="1"/>
  <c r="G268" i="42"/>
  <c r="G269" i="42" s="1"/>
  <c r="Z429" i="42" s="1"/>
  <c r="G458" i="42" s="1"/>
  <c r="G22" i="42"/>
  <c r="K23" i="1"/>
  <c r="L131" i="42"/>
  <c r="L143" i="42" s="1"/>
  <c r="L107" i="42"/>
  <c r="L119" i="42" s="1"/>
  <c r="J469" i="8"/>
  <c r="L151" i="42"/>
  <c r="H169" i="42"/>
  <c r="H170" i="42" s="1"/>
  <c r="V430" i="42" s="1"/>
  <c r="S457" i="42" s="1"/>
  <c r="H158" i="42"/>
  <c r="L27" i="42"/>
  <c r="L39" i="42"/>
  <c r="L131" i="41"/>
  <c r="L143" i="41" s="1"/>
  <c r="L107" i="41"/>
  <c r="L119" i="41" s="1"/>
  <c r="L192" i="41"/>
  <c r="L180" i="41"/>
  <c r="L168" i="41"/>
  <c r="D132" i="37"/>
  <c r="D133" i="37" s="1"/>
  <c r="D108" i="37"/>
  <c r="D120" i="37" s="1"/>
  <c r="H452" i="9"/>
  <c r="J91" i="37"/>
  <c r="F188" i="37"/>
  <c r="F164" i="37"/>
  <c r="F176" i="37"/>
  <c r="D254" i="37"/>
  <c r="D58" i="37"/>
  <c r="D205" i="37"/>
  <c r="D21" i="37"/>
  <c r="D242" i="37"/>
  <c r="J6" i="1"/>
  <c r="D161" i="37"/>
  <c r="D185" i="37"/>
  <c r="D173" i="37"/>
  <c r="D188" i="37"/>
  <c r="D164" i="37"/>
  <c r="D176" i="37"/>
  <c r="F52" i="37"/>
  <c r="F199" i="37"/>
  <c r="F15" i="37"/>
  <c r="F236" i="37"/>
  <c r="F248" i="37"/>
  <c r="B475" i="9"/>
  <c r="D157" i="37"/>
  <c r="D169" i="37" s="1"/>
  <c r="F55" i="37"/>
  <c r="F202" i="37"/>
  <c r="F18" i="37"/>
  <c r="F239" i="37"/>
  <c r="G8" i="1"/>
  <c r="C475" i="9"/>
  <c r="E157" i="37"/>
  <c r="E169" i="37" s="1"/>
  <c r="E39" i="37"/>
  <c r="E27" i="37"/>
  <c r="F250" i="37"/>
  <c r="F54" i="37"/>
  <c r="F201" i="37"/>
  <c r="F17" i="37"/>
  <c r="F238" i="37"/>
  <c r="F8" i="1"/>
  <c r="F475" i="9"/>
  <c r="H157" i="37"/>
  <c r="D51" i="37"/>
  <c r="D198" i="37"/>
  <c r="D14" i="37"/>
  <c r="D235" i="37"/>
  <c r="D247" i="37"/>
  <c r="D250" i="37"/>
  <c r="D54" i="37"/>
  <c r="D201" i="37"/>
  <c r="D17" i="37"/>
  <c r="D238" i="37"/>
  <c r="F6" i="1"/>
  <c r="L9" i="1"/>
  <c r="G60" i="37"/>
  <c r="H465" i="37" s="1"/>
  <c r="G490" i="37" s="1"/>
  <c r="G207" i="37"/>
  <c r="Q465" i="37" s="1"/>
  <c r="G492" i="37" s="1"/>
  <c r="G23" i="37"/>
  <c r="C465" i="37" s="1"/>
  <c r="G489" i="37" s="1"/>
  <c r="D165" i="37"/>
  <c r="D177" i="37"/>
  <c r="D189" i="37"/>
  <c r="F179" i="37"/>
  <c r="F191" i="37"/>
  <c r="F167" i="37"/>
  <c r="D112" i="37"/>
  <c r="D136" i="37"/>
  <c r="D145" i="37" s="1"/>
  <c r="L462" i="37" s="1"/>
  <c r="F481" i="37" s="1"/>
  <c r="E136" i="37"/>
  <c r="I207" i="37"/>
  <c r="Q467" i="37" s="1"/>
  <c r="AE492" i="37" s="1"/>
  <c r="I23" i="37"/>
  <c r="C467" i="37" s="1"/>
  <c r="AE489" i="37" s="1"/>
  <c r="I60" i="37"/>
  <c r="H467" i="37" s="1"/>
  <c r="AE490" i="37" s="1"/>
  <c r="L11" i="1"/>
  <c r="F136" i="37"/>
  <c r="E223" i="37"/>
  <c r="E211" i="37"/>
  <c r="H108" i="37"/>
  <c r="H132" i="37"/>
  <c r="H133" i="37" s="1"/>
  <c r="F163" i="37"/>
  <c r="F175" i="37"/>
  <c r="F187" i="37"/>
  <c r="D186" i="37"/>
  <c r="D174" i="37"/>
  <c r="D162" i="37"/>
  <c r="J456" i="9"/>
  <c r="L95" i="37"/>
  <c r="E44" i="37"/>
  <c r="E32" i="37"/>
  <c r="D239" i="37"/>
  <c r="D55" i="37"/>
  <c r="D202" i="37"/>
  <c r="D18" i="37"/>
  <c r="G6" i="1"/>
  <c r="F253" i="37"/>
  <c r="F57" i="37"/>
  <c r="F204" i="37"/>
  <c r="F20" i="37"/>
  <c r="F241" i="37"/>
  <c r="I8" i="1"/>
  <c r="F161" i="37"/>
  <c r="F185" i="37"/>
  <c r="F173" i="37"/>
  <c r="F112" i="37"/>
  <c r="F249" i="37"/>
  <c r="F53" i="37"/>
  <c r="F200" i="37"/>
  <c r="F16" i="37"/>
  <c r="F237" i="37"/>
  <c r="E8" i="1"/>
  <c r="D248" i="37"/>
  <c r="D52" i="37"/>
  <c r="D199" i="37"/>
  <c r="D15" i="37"/>
  <c r="D236" i="37"/>
  <c r="E176" i="37"/>
  <c r="E188" i="37"/>
  <c r="E164" i="37"/>
  <c r="E228" i="37"/>
  <c r="E216" i="37"/>
  <c r="D249" i="37"/>
  <c r="D53" i="37"/>
  <c r="D200" i="37"/>
  <c r="D16" i="37"/>
  <c r="D237" i="37"/>
  <c r="E6" i="1"/>
  <c r="J452" i="9"/>
  <c r="L91" i="37"/>
  <c r="F14" i="37"/>
  <c r="F235" i="37"/>
  <c r="F247" i="37"/>
  <c r="F51" i="37"/>
  <c r="F198" i="37"/>
  <c r="I108" i="37"/>
  <c r="I132" i="37"/>
  <c r="I133" i="37" s="1"/>
  <c r="E76" i="37"/>
  <c r="E64" i="37"/>
  <c r="C458" i="9"/>
  <c r="C476" i="9" s="1"/>
  <c r="E97" i="37"/>
  <c r="H444" i="9"/>
  <c r="H456" i="9"/>
  <c r="J95" i="37"/>
  <c r="E250" i="37"/>
  <c r="E54" i="37"/>
  <c r="E201" i="37"/>
  <c r="E17" i="37"/>
  <c r="E238" i="37"/>
  <c r="F7" i="1"/>
  <c r="D175" i="37"/>
  <c r="D163" i="37"/>
  <c r="D187" i="37"/>
  <c r="D458" i="9"/>
  <c r="D476" i="9" s="1"/>
  <c r="F97" i="37"/>
  <c r="L10" i="1"/>
  <c r="H60" i="37"/>
  <c r="H466" i="37" s="1"/>
  <c r="S490" i="37" s="1"/>
  <c r="H207" i="37"/>
  <c r="Q466" i="37" s="1"/>
  <c r="S492" i="37" s="1"/>
  <c r="H23" i="37"/>
  <c r="C466" i="37" s="1"/>
  <c r="S489" i="37" s="1"/>
  <c r="E475" i="9"/>
  <c r="G157" i="37"/>
  <c r="E173" i="37"/>
  <c r="E161" i="37"/>
  <c r="E185" i="37"/>
  <c r="J444" i="9"/>
  <c r="I458" i="9"/>
  <c r="I476" i="9" s="1"/>
  <c r="K97" i="37"/>
  <c r="E107" i="37"/>
  <c r="E119" i="37" s="1"/>
  <c r="E131" i="37"/>
  <c r="E143" i="37" s="1"/>
  <c r="G475" i="9"/>
  <c r="I157" i="37"/>
  <c r="H450" i="9"/>
  <c r="J89" i="37"/>
  <c r="F108" i="37"/>
  <c r="F120" i="37" s="1"/>
  <c r="F132" i="37"/>
  <c r="E69" i="37"/>
  <c r="E81" i="37"/>
  <c r="F131" i="37"/>
  <c r="F143" i="37" s="1"/>
  <c r="F107" i="37"/>
  <c r="F119" i="37" s="1"/>
  <c r="E128" i="37"/>
  <c r="E140" i="37" s="1"/>
  <c r="E104" i="37"/>
  <c r="E116" i="37" s="1"/>
  <c r="E187" i="37"/>
  <c r="E163" i="37"/>
  <c r="E175" i="37"/>
  <c r="D168" i="37"/>
  <c r="D180" i="37"/>
  <c r="D192" i="37"/>
  <c r="F162" i="37"/>
  <c r="F186" i="37"/>
  <c r="F174" i="37"/>
  <c r="E112" i="37"/>
  <c r="D20" i="37"/>
  <c r="D241" i="37"/>
  <c r="D253" i="37"/>
  <c r="D57" i="37"/>
  <c r="D204" i="37"/>
  <c r="I6" i="1"/>
  <c r="E198" i="37"/>
  <c r="E14" i="37"/>
  <c r="E235" i="37"/>
  <c r="E247" i="37"/>
  <c r="E51" i="37"/>
  <c r="J450" i="9"/>
  <c r="L89" i="37"/>
  <c r="I456" i="9"/>
  <c r="K95" i="37"/>
  <c r="C474" i="9"/>
  <c r="E156" i="37"/>
  <c r="D60" i="37"/>
  <c r="H462" i="37" s="1"/>
  <c r="G480" i="37" s="1"/>
  <c r="D207" i="37"/>
  <c r="Q462" i="37" s="1"/>
  <c r="G482" i="37" s="1"/>
  <c r="D23" i="37"/>
  <c r="C462" i="37" s="1"/>
  <c r="G479" i="37" s="1"/>
  <c r="L6" i="1"/>
  <c r="F165" i="37"/>
  <c r="F189" i="37"/>
  <c r="F177" i="37"/>
  <c r="G132" i="37"/>
  <c r="G133" i="37" s="1"/>
  <c r="G108" i="37"/>
  <c r="E108" i="37"/>
  <c r="E120" i="37" s="1"/>
  <c r="E132" i="37"/>
  <c r="K91" i="37"/>
  <c r="I452" i="9"/>
  <c r="D475" i="9"/>
  <c r="F157" i="37"/>
  <c r="F169" i="37" s="1"/>
  <c r="D474" i="9"/>
  <c r="F156" i="37"/>
  <c r="C471" i="9"/>
  <c r="E153" i="37"/>
  <c r="E249" i="37"/>
  <c r="E53" i="37"/>
  <c r="E200" i="37"/>
  <c r="E16" i="37"/>
  <c r="E237" i="37"/>
  <c r="E7" i="1"/>
  <c r="J474" i="7"/>
  <c r="B91" i="8"/>
  <c r="B92" i="8"/>
  <c r="B93" i="8"/>
  <c r="B94" i="8"/>
  <c r="B95" i="8"/>
  <c r="B96" i="8"/>
  <c r="B97" i="8"/>
  <c r="B98" i="8"/>
  <c r="B99" i="8"/>
  <c r="B100" i="8"/>
  <c r="B101" i="8"/>
  <c r="B406" i="8" s="1"/>
  <c r="B90" i="8"/>
  <c r="B395" i="8" s="1"/>
  <c r="C78" i="8"/>
  <c r="D78" i="8"/>
  <c r="E78" i="8"/>
  <c r="F78" i="8"/>
  <c r="G78" i="8"/>
  <c r="H78" i="8"/>
  <c r="I78" i="8"/>
  <c r="I362" i="8" s="1"/>
  <c r="J78" i="8"/>
  <c r="K78" i="8"/>
  <c r="L78" i="8"/>
  <c r="L362" i="8" s="1"/>
  <c r="M78" i="8"/>
  <c r="N78" i="8"/>
  <c r="O78" i="8"/>
  <c r="P78" i="8"/>
  <c r="Q78" i="8"/>
  <c r="Q362" i="8" s="1"/>
  <c r="R78" i="8"/>
  <c r="R362" i="8" s="1"/>
  <c r="S78" i="8"/>
  <c r="S362" i="8" s="1"/>
  <c r="T78" i="8"/>
  <c r="T362" i="8" s="1"/>
  <c r="U78" i="8"/>
  <c r="V78" i="8"/>
  <c r="W78" i="8"/>
  <c r="X78" i="8"/>
  <c r="Y78" i="8"/>
  <c r="Y362" i="8" s="1"/>
  <c r="Z78" i="8"/>
  <c r="B78" i="8"/>
  <c r="C38" i="8"/>
  <c r="D38" i="8"/>
  <c r="E38" i="8"/>
  <c r="F38" i="8"/>
  <c r="G38" i="8"/>
  <c r="H38" i="8"/>
  <c r="I38" i="8"/>
  <c r="J38" i="8"/>
  <c r="K38" i="8"/>
  <c r="L38" i="8"/>
  <c r="M38" i="8"/>
  <c r="N38" i="8"/>
  <c r="O38" i="8"/>
  <c r="P38" i="8"/>
  <c r="Q38" i="8"/>
  <c r="R38" i="8"/>
  <c r="S38" i="8"/>
  <c r="S302" i="8" s="1"/>
  <c r="T38" i="8"/>
  <c r="U38" i="8"/>
  <c r="V38" i="8"/>
  <c r="W38" i="8"/>
  <c r="X38" i="8"/>
  <c r="Y38" i="8"/>
  <c r="Z38" i="8"/>
  <c r="B38" i="8"/>
  <c r="C40" i="8"/>
  <c r="AD15" i="8" s="1"/>
  <c r="D40" i="8"/>
  <c r="AE15" i="8" s="1"/>
  <c r="E40" i="8"/>
  <c r="AF15" i="8" s="1"/>
  <c r="F40" i="8"/>
  <c r="AG15" i="8" s="1"/>
  <c r="G40" i="8"/>
  <c r="AH15" i="8" s="1"/>
  <c r="H40" i="8"/>
  <c r="AI15" i="8" s="1"/>
  <c r="I40" i="8"/>
  <c r="AJ15" i="8" s="1"/>
  <c r="J40" i="8"/>
  <c r="AK15" i="8" s="1"/>
  <c r="K40" i="8"/>
  <c r="AL15" i="8" s="1"/>
  <c r="L40" i="8"/>
  <c r="AM15" i="8" s="1"/>
  <c r="M40" i="8"/>
  <c r="AN15" i="8" s="1"/>
  <c r="N40" i="8"/>
  <c r="AO15" i="8" s="1"/>
  <c r="O40" i="8"/>
  <c r="AP15" i="8" s="1"/>
  <c r="P40" i="8"/>
  <c r="AQ15" i="8" s="1"/>
  <c r="Q40" i="8"/>
  <c r="AR15" i="8" s="1"/>
  <c r="R40" i="8"/>
  <c r="AS15" i="8" s="1"/>
  <c r="S40" i="8"/>
  <c r="AT15" i="8" s="1"/>
  <c r="T40" i="8"/>
  <c r="AU15" i="8" s="1"/>
  <c r="U40" i="8"/>
  <c r="AV15" i="8" s="1"/>
  <c r="V40" i="8"/>
  <c r="AW15" i="8" s="1"/>
  <c r="W40" i="8"/>
  <c r="AX15" i="8" s="1"/>
  <c r="X40" i="8"/>
  <c r="AY15" i="8" s="1"/>
  <c r="Y40" i="8"/>
  <c r="AZ15" i="8" s="1"/>
  <c r="Z40" i="8"/>
  <c r="BA15" i="8" s="1"/>
  <c r="B40" i="8"/>
  <c r="AC15" i="8" s="1"/>
  <c r="AI54" i="8"/>
  <c r="AO54" i="8"/>
  <c r="AR54" i="8"/>
  <c r="B77" i="8"/>
  <c r="BA53" i="8"/>
  <c r="Z65" i="8"/>
  <c r="Z349" i="8" s="1"/>
  <c r="Z66" i="8"/>
  <c r="Z350" i="8" s="1"/>
  <c r="Z67" i="8"/>
  <c r="Z351" i="8" s="1"/>
  <c r="Z68" i="8"/>
  <c r="Z352" i="8" s="1"/>
  <c r="Z69" i="8"/>
  <c r="Z353" i="8" s="1"/>
  <c r="Z70" i="8"/>
  <c r="Z354" i="8" s="1"/>
  <c r="Z71" i="8"/>
  <c r="Z355" i="8" s="1"/>
  <c r="Z72" i="8"/>
  <c r="Z356" i="8" s="1"/>
  <c r="Z73" i="8"/>
  <c r="Z357" i="8" s="1"/>
  <c r="Z74" i="8"/>
  <c r="Z358" i="8" s="1"/>
  <c r="Z75" i="8"/>
  <c r="Z359" i="8" s="1"/>
  <c r="Z64" i="8"/>
  <c r="Z348" i="8" s="1"/>
  <c r="B51" i="8"/>
  <c r="B52" i="8"/>
  <c r="B53" i="8"/>
  <c r="B54" i="8"/>
  <c r="B55" i="8"/>
  <c r="B56" i="8"/>
  <c r="B57" i="8"/>
  <c r="B58" i="8"/>
  <c r="B59" i="8"/>
  <c r="B60" i="8"/>
  <c r="B61" i="8"/>
  <c r="B345" i="8" s="1"/>
  <c r="B50" i="8"/>
  <c r="B334" i="8" s="1"/>
  <c r="AL14" i="8"/>
  <c r="BA14" i="8"/>
  <c r="B37" i="8"/>
  <c r="B301" i="8" s="1"/>
  <c r="AC278" i="8" s="1"/>
  <c r="H439" i="8" s="1"/>
  <c r="Z25" i="8"/>
  <c r="Z289" i="8" s="1"/>
  <c r="Z26" i="8"/>
  <c r="Z290" i="8" s="1"/>
  <c r="Z27" i="8"/>
  <c r="Z291" i="8" s="1"/>
  <c r="Z28" i="8"/>
  <c r="Z292" i="8" s="1"/>
  <c r="Z29" i="8"/>
  <c r="Z293" i="8" s="1"/>
  <c r="Z30" i="8"/>
  <c r="Z294" i="8" s="1"/>
  <c r="Z31" i="8"/>
  <c r="Z295" i="8" s="1"/>
  <c r="Z32" i="8"/>
  <c r="Z296" i="8" s="1"/>
  <c r="Z33" i="8"/>
  <c r="Z297" i="8" s="1"/>
  <c r="Z34" i="8"/>
  <c r="Z298" i="8" s="1"/>
  <c r="Z35" i="8"/>
  <c r="Z299" i="8" s="1"/>
  <c r="Z24" i="8"/>
  <c r="Z288" i="8" s="1"/>
  <c r="AC11" i="8"/>
  <c r="B21" i="8"/>
  <c r="B285" i="8" s="1"/>
  <c r="B11" i="8"/>
  <c r="B12" i="8"/>
  <c r="B13" i="8"/>
  <c r="B14" i="8"/>
  <c r="B15" i="8"/>
  <c r="B16" i="8"/>
  <c r="B17" i="8"/>
  <c r="B18" i="8"/>
  <c r="B19" i="8"/>
  <c r="B20" i="8"/>
  <c r="B10" i="8"/>
  <c r="B274" i="8" s="1"/>
  <c r="Y121" i="8"/>
  <c r="X121" i="8"/>
  <c r="S121" i="8"/>
  <c r="Q121" i="8"/>
  <c r="P121" i="8"/>
  <c r="K121" i="8"/>
  <c r="I121" i="8"/>
  <c r="H121" i="8"/>
  <c r="AV96" i="8"/>
  <c r="AN96" i="8"/>
  <c r="AF96" i="8"/>
  <c r="C121" i="8"/>
  <c r="W121" i="8"/>
  <c r="V121" i="8"/>
  <c r="R121" i="8"/>
  <c r="O121" i="8"/>
  <c r="N121" i="8"/>
  <c r="AL94" i="8"/>
  <c r="J121" i="8"/>
  <c r="G121" i="8"/>
  <c r="F121" i="8"/>
  <c r="BA92" i="8"/>
  <c r="D437" i="8" s="1"/>
  <c r="AC91" i="8"/>
  <c r="D436" i="8" s="1"/>
  <c r="BA96" i="8"/>
  <c r="AZ96" i="8"/>
  <c r="AY96" i="8"/>
  <c r="AX96" i="8"/>
  <c r="AW96" i="8"/>
  <c r="AU96" i="8"/>
  <c r="AT96" i="8"/>
  <c r="AS96" i="8"/>
  <c r="AR96" i="8"/>
  <c r="AQ96" i="8"/>
  <c r="AP96" i="8"/>
  <c r="AO96" i="8"/>
  <c r="AM96" i="8"/>
  <c r="AL96" i="8"/>
  <c r="AK96" i="8"/>
  <c r="AJ96" i="8"/>
  <c r="AI96" i="8"/>
  <c r="AH96" i="8"/>
  <c r="AG96" i="8"/>
  <c r="AE96" i="8"/>
  <c r="AD96" i="8"/>
  <c r="AC96" i="8"/>
  <c r="BA94" i="8"/>
  <c r="AX94" i="8"/>
  <c r="AR94" i="8"/>
  <c r="AI94" i="8"/>
  <c r="AF94" i="8"/>
  <c r="AC94" i="8"/>
  <c r="BA93" i="8"/>
  <c r="AC86" i="8"/>
  <c r="AX54" i="8"/>
  <c r="AL54" i="8"/>
  <c r="AF54" i="8"/>
  <c r="AC51" i="8"/>
  <c r="AC46" i="8"/>
  <c r="AI14" i="8"/>
  <c r="AX14" i="8"/>
  <c r="AR14" i="8"/>
  <c r="AF14" i="8"/>
  <c r="BA13" i="8"/>
  <c r="L168" i="42" l="1"/>
  <c r="L192" i="42"/>
  <c r="L180" i="42"/>
  <c r="D450" i="8"/>
  <c r="F89" i="42"/>
  <c r="H453" i="8"/>
  <c r="J92" i="42"/>
  <c r="F81" i="42"/>
  <c r="F69" i="42"/>
  <c r="L58" i="42"/>
  <c r="L205" i="42"/>
  <c r="L254" i="42"/>
  <c r="L242" i="42"/>
  <c r="L21" i="42"/>
  <c r="J28" i="1"/>
  <c r="D451" i="8"/>
  <c r="F90" i="42"/>
  <c r="L187" i="42"/>
  <c r="L175" i="42"/>
  <c r="L163" i="42"/>
  <c r="L249" i="42"/>
  <c r="L200" i="42"/>
  <c r="L237" i="42"/>
  <c r="L53" i="42"/>
  <c r="L16" i="42"/>
  <c r="E28" i="1"/>
  <c r="G71" i="42"/>
  <c r="G72" i="42" s="1"/>
  <c r="G429" i="42" s="1"/>
  <c r="E454" i="42" s="1"/>
  <c r="G83" i="42"/>
  <c r="G84" i="42" s="1"/>
  <c r="I429" i="42" s="1"/>
  <c r="J454" i="42" s="1"/>
  <c r="I83" i="42"/>
  <c r="I84" i="42" s="1"/>
  <c r="I431" i="42" s="1"/>
  <c r="AH454" i="42" s="1"/>
  <c r="I71" i="42"/>
  <c r="I72" i="42" s="1"/>
  <c r="G431" i="42" s="1"/>
  <c r="AC454" i="42" s="1"/>
  <c r="F228" i="42"/>
  <c r="F216" i="42"/>
  <c r="H46" i="42"/>
  <c r="H47" i="42" s="1"/>
  <c r="D430" i="42" s="1"/>
  <c r="T453" i="42" s="1"/>
  <c r="H34" i="42"/>
  <c r="H35" i="42" s="1"/>
  <c r="B430" i="42" s="1"/>
  <c r="R453" i="42" s="1"/>
  <c r="H218" i="42"/>
  <c r="H219" i="42" s="1"/>
  <c r="P430" i="42" s="1"/>
  <c r="O456" i="42" s="1"/>
  <c r="H230" i="42"/>
  <c r="H231" i="42" s="1"/>
  <c r="R430" i="42" s="1"/>
  <c r="V456" i="42" s="1"/>
  <c r="I46" i="42"/>
  <c r="I47" i="42" s="1"/>
  <c r="D431" i="42" s="1"/>
  <c r="AF453" i="42" s="1"/>
  <c r="I34" i="42"/>
  <c r="I35" i="42" s="1"/>
  <c r="B431" i="42" s="1"/>
  <c r="AD453" i="42" s="1"/>
  <c r="F32" i="42"/>
  <c r="F44" i="42"/>
  <c r="H71" i="42"/>
  <c r="H72" i="42" s="1"/>
  <c r="G430" i="42" s="1"/>
  <c r="Q454" i="42" s="1"/>
  <c r="H83" i="42"/>
  <c r="H84" i="42" s="1"/>
  <c r="I430" i="42" s="1"/>
  <c r="V454" i="42" s="1"/>
  <c r="G34" i="42"/>
  <c r="G35" i="42" s="1"/>
  <c r="B429" i="42" s="1"/>
  <c r="F453" i="42" s="1"/>
  <c r="G46" i="42"/>
  <c r="G47" i="42" s="1"/>
  <c r="D429" i="42" s="1"/>
  <c r="H453" i="42" s="1"/>
  <c r="G230" i="42"/>
  <c r="G231" i="42" s="1"/>
  <c r="R429" i="42" s="1"/>
  <c r="J456" i="42" s="1"/>
  <c r="G218" i="42"/>
  <c r="G219" i="42" s="1"/>
  <c r="P429" i="42" s="1"/>
  <c r="C456" i="42" s="1"/>
  <c r="I218" i="42"/>
  <c r="I219" i="42" s="1"/>
  <c r="P431" i="42" s="1"/>
  <c r="AA456" i="42" s="1"/>
  <c r="I230" i="42"/>
  <c r="I231" i="42" s="1"/>
  <c r="R431" i="42" s="1"/>
  <c r="AH456" i="42" s="1"/>
  <c r="J42" i="1"/>
  <c r="L205" i="41"/>
  <c r="L254" i="41"/>
  <c r="L242" i="41"/>
  <c r="L21" i="41"/>
  <c r="L58" i="41"/>
  <c r="D109" i="37"/>
  <c r="D121" i="37"/>
  <c r="M462" i="37" s="1"/>
  <c r="G481" i="37" s="1"/>
  <c r="E158" i="37"/>
  <c r="E121" i="37"/>
  <c r="M463" i="37" s="1"/>
  <c r="S481" i="37" s="1"/>
  <c r="G169" i="37"/>
  <c r="G170" i="37" s="1"/>
  <c r="V465" i="37" s="1"/>
  <c r="G493" i="37" s="1"/>
  <c r="G158" i="37"/>
  <c r="D26" i="37"/>
  <c r="D38" i="37"/>
  <c r="E28" i="37"/>
  <c r="E40" i="37"/>
  <c r="F180" i="37"/>
  <c r="F168" i="37"/>
  <c r="F170" i="37" s="1"/>
  <c r="V464" i="37" s="1"/>
  <c r="AE483" i="37" s="1"/>
  <c r="F192" i="37"/>
  <c r="F194" i="37" s="1"/>
  <c r="W464" i="37" s="1"/>
  <c r="AG483" i="37" s="1"/>
  <c r="G120" i="37"/>
  <c r="G121" i="37" s="1"/>
  <c r="M465" i="37" s="1"/>
  <c r="G491" i="37" s="1"/>
  <c r="G109" i="37"/>
  <c r="E63" i="37"/>
  <c r="E75" i="37"/>
  <c r="D216" i="37"/>
  <c r="D228" i="37"/>
  <c r="E109" i="37"/>
  <c r="G206" i="37"/>
  <c r="G22" i="37"/>
  <c r="G243" i="37"/>
  <c r="G244" i="37" s="1"/>
  <c r="AE465" i="37" s="1"/>
  <c r="G280" i="37"/>
  <c r="G281" i="37" s="1"/>
  <c r="AA465" i="37" s="1"/>
  <c r="I494" i="37" s="1"/>
  <c r="G268" i="37"/>
  <c r="G269" i="37" s="1"/>
  <c r="Z465" i="37" s="1"/>
  <c r="G494" i="37" s="1"/>
  <c r="G292" i="37"/>
  <c r="G293" i="37" s="1"/>
  <c r="AB465" i="37" s="1"/>
  <c r="K494" i="37" s="1"/>
  <c r="G59" i="37"/>
  <c r="G255" i="37"/>
  <c r="G256" i="37" s="1"/>
  <c r="AF465" i="37" s="1"/>
  <c r="G495" i="37" s="1"/>
  <c r="K9" i="1"/>
  <c r="E66" i="37"/>
  <c r="E78" i="37"/>
  <c r="D224" i="37"/>
  <c r="D212" i="37"/>
  <c r="D76" i="37"/>
  <c r="D64" i="37"/>
  <c r="F77" i="37"/>
  <c r="F65" i="37"/>
  <c r="D78" i="37"/>
  <c r="D66" i="37"/>
  <c r="D210" i="37"/>
  <c r="D222" i="37"/>
  <c r="F41" i="37"/>
  <c r="F29" i="37"/>
  <c r="E255" i="37"/>
  <c r="E59" i="37"/>
  <c r="E206" i="37"/>
  <c r="E22" i="37"/>
  <c r="E243" i="37"/>
  <c r="K7" i="1"/>
  <c r="D170" i="37"/>
  <c r="V462" i="37" s="1"/>
  <c r="G483" i="37" s="1"/>
  <c r="D40" i="37"/>
  <c r="D28" i="37"/>
  <c r="D194" i="37"/>
  <c r="W462" i="37" s="1"/>
  <c r="I483" i="37" s="1"/>
  <c r="E212" i="37"/>
  <c r="E224" i="37"/>
  <c r="F21" i="37"/>
  <c r="F242" i="37"/>
  <c r="F254" i="37"/>
  <c r="F58" i="37"/>
  <c r="F205" i="37"/>
  <c r="J8" i="1"/>
  <c r="E180" i="37"/>
  <c r="E192" i="37"/>
  <c r="E168" i="37"/>
  <c r="L13" i="1"/>
  <c r="K60" i="37"/>
  <c r="H469" i="37" s="1"/>
  <c r="S501" i="37" s="1"/>
  <c r="K207" i="37"/>
  <c r="Q469" i="37" s="1"/>
  <c r="S503" i="37" s="1"/>
  <c r="K23" i="37"/>
  <c r="C469" i="37" s="1"/>
  <c r="S500" i="37" s="1"/>
  <c r="D30" i="37"/>
  <c r="D42" i="37"/>
  <c r="L131" i="37"/>
  <c r="L143" i="37" s="1"/>
  <c r="L107" i="37"/>
  <c r="L119" i="37" s="1"/>
  <c r="F213" i="37"/>
  <c r="F225" i="37"/>
  <c r="D255" i="37"/>
  <c r="D256" i="37" s="1"/>
  <c r="AF462" i="37" s="1"/>
  <c r="G484" i="37" s="1"/>
  <c r="D59" i="37"/>
  <c r="D206" i="37"/>
  <c r="D22" i="37"/>
  <c r="D243" i="37"/>
  <c r="D244" i="37" s="1"/>
  <c r="AE462" i="37" s="1"/>
  <c r="K6" i="1"/>
  <c r="F76" i="37"/>
  <c r="F64" i="37"/>
  <c r="E205" i="37"/>
  <c r="E21" i="37"/>
  <c r="E242" i="37"/>
  <c r="E58" i="37"/>
  <c r="E254" i="37"/>
  <c r="J7" i="1"/>
  <c r="D69" i="37"/>
  <c r="D81" i="37"/>
  <c r="J101" i="37"/>
  <c r="J125" i="37"/>
  <c r="L97" i="37"/>
  <c r="J458" i="9"/>
  <c r="J476" i="9" s="1"/>
  <c r="J131" i="37"/>
  <c r="J143" i="37" s="1"/>
  <c r="J107" i="37"/>
  <c r="J119" i="37" s="1"/>
  <c r="I120" i="37"/>
  <c r="I121" i="37" s="1"/>
  <c r="M467" i="37" s="1"/>
  <c r="AE491" i="37" s="1"/>
  <c r="I109" i="37"/>
  <c r="F38" i="37"/>
  <c r="F26" i="37"/>
  <c r="D65" i="37"/>
  <c r="D77" i="37"/>
  <c r="F109" i="37"/>
  <c r="F44" i="37"/>
  <c r="F32" i="37"/>
  <c r="J474" i="9"/>
  <c r="L156" i="37"/>
  <c r="H120" i="37"/>
  <c r="H121" i="37" s="1"/>
  <c r="M466" i="37" s="1"/>
  <c r="S491" i="37" s="1"/>
  <c r="H109" i="37"/>
  <c r="D63" i="37"/>
  <c r="D75" i="37"/>
  <c r="E77" i="37"/>
  <c r="E65" i="37"/>
  <c r="F255" i="37"/>
  <c r="F59" i="37"/>
  <c r="F206" i="37"/>
  <c r="F22" i="37"/>
  <c r="F243" i="37"/>
  <c r="K8" i="1"/>
  <c r="K131" i="37"/>
  <c r="K143" i="37" s="1"/>
  <c r="K107" i="37"/>
  <c r="K119" i="37" s="1"/>
  <c r="H468" i="9"/>
  <c r="J150" i="37"/>
  <c r="H474" i="9"/>
  <c r="J156" i="37"/>
  <c r="L103" i="37"/>
  <c r="L115" i="37" s="1"/>
  <c r="L127" i="37"/>
  <c r="L139" i="37" s="1"/>
  <c r="F121" i="37"/>
  <c r="M464" i="37" s="1"/>
  <c r="AE481" i="37" s="1"/>
  <c r="F216" i="37"/>
  <c r="F228" i="37"/>
  <c r="E133" i="37"/>
  <c r="H169" i="37"/>
  <c r="H170" i="37" s="1"/>
  <c r="V466" i="37" s="1"/>
  <c r="S493" i="37" s="1"/>
  <c r="H158" i="37"/>
  <c r="F78" i="37"/>
  <c r="F66" i="37"/>
  <c r="F42" i="37"/>
  <c r="F30" i="37"/>
  <c r="J127" i="37"/>
  <c r="J139" i="37" s="1"/>
  <c r="J103" i="37"/>
  <c r="J115" i="37" s="1"/>
  <c r="I470" i="9"/>
  <c r="K152" i="37"/>
  <c r="I474" i="9"/>
  <c r="K156" i="37"/>
  <c r="E38" i="37"/>
  <c r="E26" i="37"/>
  <c r="I169" i="37"/>
  <c r="I170" i="37" s="1"/>
  <c r="V467" i="37" s="1"/>
  <c r="AE493" i="37" s="1"/>
  <c r="I158" i="37"/>
  <c r="H458" i="9"/>
  <c r="H476" i="9" s="1"/>
  <c r="J97" i="37"/>
  <c r="F222" i="37"/>
  <c r="F210" i="37"/>
  <c r="J470" i="9"/>
  <c r="L152" i="37"/>
  <c r="F158" i="37"/>
  <c r="D79" i="37"/>
  <c r="D67" i="37"/>
  <c r="E145" i="37"/>
  <c r="L463" i="37" s="1"/>
  <c r="R481" i="37" s="1"/>
  <c r="H22" i="37"/>
  <c r="H243" i="37"/>
  <c r="H244" i="37" s="1"/>
  <c r="AE466" i="37" s="1"/>
  <c r="H280" i="37"/>
  <c r="H281" i="37" s="1"/>
  <c r="AA466" i="37" s="1"/>
  <c r="U494" i="37" s="1"/>
  <c r="H268" i="37"/>
  <c r="H269" i="37" s="1"/>
  <c r="Z466" i="37" s="1"/>
  <c r="S494" i="37" s="1"/>
  <c r="H292" i="37"/>
  <c r="H293" i="37" s="1"/>
  <c r="AB466" i="37" s="1"/>
  <c r="W494" i="37" s="1"/>
  <c r="H255" i="37"/>
  <c r="H256" i="37" s="1"/>
  <c r="AF466" i="37" s="1"/>
  <c r="S495" i="37" s="1"/>
  <c r="H59" i="37"/>
  <c r="H206" i="37"/>
  <c r="K10" i="1"/>
  <c r="D45" i="37"/>
  <c r="D33" i="37"/>
  <c r="H470" i="9"/>
  <c r="J152" i="37"/>
  <c r="K103" i="37"/>
  <c r="K127" i="37"/>
  <c r="L125" i="37"/>
  <c r="L101" i="37"/>
  <c r="E222" i="37"/>
  <c r="E210" i="37"/>
  <c r="I243" i="37"/>
  <c r="I244" i="37" s="1"/>
  <c r="AE467" i="37" s="1"/>
  <c r="I280" i="37"/>
  <c r="I281" i="37" s="1"/>
  <c r="AA467" i="37" s="1"/>
  <c r="AG494" i="37" s="1"/>
  <c r="I268" i="37"/>
  <c r="I269" i="37" s="1"/>
  <c r="Z467" i="37" s="1"/>
  <c r="AE494" i="37" s="1"/>
  <c r="I292" i="37"/>
  <c r="I293" i="37" s="1"/>
  <c r="AB467" i="37" s="1"/>
  <c r="AI494" i="37" s="1"/>
  <c r="I255" i="37"/>
  <c r="I256" i="37" s="1"/>
  <c r="AF467" i="37" s="1"/>
  <c r="AE495" i="37" s="1"/>
  <c r="I59" i="37"/>
  <c r="I206" i="37"/>
  <c r="I22" i="37"/>
  <c r="K11" i="1"/>
  <c r="E29" i="37"/>
  <c r="E41" i="37"/>
  <c r="D39" i="37"/>
  <c r="D27" i="37"/>
  <c r="F28" i="37"/>
  <c r="F40" i="37"/>
  <c r="F182" i="37"/>
  <c r="U464" i="37" s="1"/>
  <c r="AB483" i="37" s="1"/>
  <c r="F81" i="37"/>
  <c r="F69" i="37"/>
  <c r="F145" i="37"/>
  <c r="L464" i="37" s="1"/>
  <c r="AD481" i="37" s="1"/>
  <c r="D41" i="37"/>
  <c r="D29" i="37"/>
  <c r="D158" i="37"/>
  <c r="D229" i="37"/>
  <c r="D217" i="37"/>
  <c r="E55" i="37"/>
  <c r="E202" i="37"/>
  <c r="E18" i="37"/>
  <c r="E239" i="37"/>
  <c r="G7" i="1"/>
  <c r="F223" i="37"/>
  <c r="F211" i="37"/>
  <c r="E177" i="37"/>
  <c r="E189" i="37"/>
  <c r="E194" i="37" s="1"/>
  <c r="W463" i="37" s="1"/>
  <c r="U483" i="37" s="1"/>
  <c r="E165" i="37"/>
  <c r="J468" i="9"/>
  <c r="L150" i="37"/>
  <c r="D44" i="37"/>
  <c r="D32" i="37"/>
  <c r="F60" i="37"/>
  <c r="H464" i="37" s="1"/>
  <c r="AE480" i="37" s="1"/>
  <c r="F207" i="37"/>
  <c r="Q464" i="37" s="1"/>
  <c r="AE482" i="37" s="1"/>
  <c r="F23" i="37"/>
  <c r="C464" i="37" s="1"/>
  <c r="AE479" i="37" s="1"/>
  <c r="L8" i="1"/>
  <c r="E225" i="37"/>
  <c r="E213" i="37"/>
  <c r="E60" i="37"/>
  <c r="H463" i="37" s="1"/>
  <c r="S480" i="37" s="1"/>
  <c r="E207" i="37"/>
  <c r="Q463" i="37" s="1"/>
  <c r="E23" i="37"/>
  <c r="C463" i="37" s="1"/>
  <c r="S479" i="37" s="1"/>
  <c r="L7" i="1"/>
  <c r="F63" i="37"/>
  <c r="F75" i="37"/>
  <c r="D223" i="37"/>
  <c r="D211" i="37"/>
  <c r="F224" i="37"/>
  <c r="F212" i="37"/>
  <c r="F133" i="37"/>
  <c r="D225" i="37"/>
  <c r="D213" i="37"/>
  <c r="F67" i="37"/>
  <c r="F79" i="37"/>
  <c r="F27" i="37"/>
  <c r="F39" i="37"/>
  <c r="D182" i="37"/>
  <c r="U462" i="37" s="1"/>
  <c r="D483" i="37" s="1"/>
  <c r="D70" i="37"/>
  <c r="D82" i="37"/>
  <c r="D438" i="8"/>
  <c r="AX16" i="8"/>
  <c r="W302" i="8"/>
  <c r="AH16" i="8"/>
  <c r="G302" i="8"/>
  <c r="AQ56" i="8"/>
  <c r="P362" i="8"/>
  <c r="D23" i="29"/>
  <c r="B397" i="8"/>
  <c r="B25" i="29"/>
  <c r="B278" i="8"/>
  <c r="C30" i="29"/>
  <c r="B343" i="8"/>
  <c r="C22" i="29"/>
  <c r="B335" i="8"/>
  <c r="AW16" i="8"/>
  <c r="V302" i="8"/>
  <c r="AO16" i="8"/>
  <c r="N302" i="8"/>
  <c r="AG16" i="8"/>
  <c r="F302" i="8"/>
  <c r="AX56" i="8"/>
  <c r="W362" i="8"/>
  <c r="AP56" i="8"/>
  <c r="O362" i="8"/>
  <c r="AH56" i="8"/>
  <c r="G362" i="8"/>
  <c r="D30" i="29"/>
  <c r="B404" i="8"/>
  <c r="D22" i="29"/>
  <c r="B396" i="8"/>
  <c r="B26" i="29"/>
  <c r="B279" i="8"/>
  <c r="C23" i="29"/>
  <c r="B336" i="8"/>
  <c r="AP16" i="8"/>
  <c r="O302" i="8"/>
  <c r="AY56" i="8"/>
  <c r="X362" i="8"/>
  <c r="D31" i="29"/>
  <c r="B405" i="8"/>
  <c r="B24" i="29"/>
  <c r="B277" i="8"/>
  <c r="C29" i="29"/>
  <c r="B342" i="8"/>
  <c r="BA336" i="8"/>
  <c r="AV16" i="8"/>
  <c r="U302" i="8"/>
  <c r="AN16" i="8"/>
  <c r="M302" i="8"/>
  <c r="AF16" i="8"/>
  <c r="E302" i="8"/>
  <c r="AW56" i="8"/>
  <c r="V362" i="8"/>
  <c r="AO56" i="8"/>
  <c r="N362" i="8"/>
  <c r="AG56" i="8"/>
  <c r="F362" i="8"/>
  <c r="D29" i="29"/>
  <c r="B403" i="8"/>
  <c r="AI56" i="8"/>
  <c r="H362" i="8"/>
  <c r="B31" i="29"/>
  <c r="B284" i="8"/>
  <c r="B23" i="29"/>
  <c r="B276" i="8"/>
  <c r="C28" i="29"/>
  <c r="B341" i="8"/>
  <c r="B441" i="8"/>
  <c r="AU16" i="8"/>
  <c r="T302" i="8"/>
  <c r="AM16" i="8"/>
  <c r="L302" i="8"/>
  <c r="AE16" i="8"/>
  <c r="D302" i="8"/>
  <c r="AV56" i="8"/>
  <c r="U362" i="8"/>
  <c r="AN56" i="8"/>
  <c r="M362" i="8"/>
  <c r="AF56" i="8"/>
  <c r="E362" i="8"/>
  <c r="D28" i="29"/>
  <c r="B402" i="8"/>
  <c r="B30" i="29"/>
  <c r="B283" i="8"/>
  <c r="B22" i="29"/>
  <c r="B275" i="8"/>
  <c r="C27" i="29"/>
  <c r="B340" i="8"/>
  <c r="AC16" i="8"/>
  <c r="B302" i="8"/>
  <c r="AC281" i="8" s="1"/>
  <c r="AT281" i="8"/>
  <c r="AT283" i="8" s="1"/>
  <c r="S306" i="8"/>
  <c r="AL16" i="8"/>
  <c r="K302" i="8"/>
  <c r="AD16" i="8"/>
  <c r="C302" i="8"/>
  <c r="AU341" i="8"/>
  <c r="AU343" i="8" s="1"/>
  <c r="T366" i="8"/>
  <c r="AM341" i="8"/>
  <c r="AM343" i="8" s="1"/>
  <c r="L366" i="8"/>
  <c r="AE56" i="8"/>
  <c r="D362" i="8"/>
  <c r="D27" i="29"/>
  <c r="B401" i="8"/>
  <c r="C31" i="29"/>
  <c r="B344" i="8"/>
  <c r="B438" i="8"/>
  <c r="B29" i="29"/>
  <c r="B282" i="8"/>
  <c r="C26" i="29"/>
  <c r="B339" i="8"/>
  <c r="BA16" i="8"/>
  <c r="Z302" i="8"/>
  <c r="BA281" i="8" s="1"/>
  <c r="AS16" i="8"/>
  <c r="R302" i="8"/>
  <c r="AK16" i="8"/>
  <c r="J302" i="8"/>
  <c r="AC56" i="8"/>
  <c r="B362" i="8"/>
  <c r="AC341" i="8" s="1"/>
  <c r="AT341" i="8"/>
  <c r="AT343" i="8" s="1"/>
  <c r="S366" i="8"/>
  <c r="AL56" i="8"/>
  <c r="K362" i="8"/>
  <c r="AD56" i="8"/>
  <c r="C362" i="8"/>
  <c r="D26" i="29"/>
  <c r="B400" i="8"/>
  <c r="B28" i="29"/>
  <c r="B281" i="8"/>
  <c r="B436" i="8"/>
  <c r="C25" i="29"/>
  <c r="B338" i="8"/>
  <c r="C438" i="8"/>
  <c r="AZ16" i="8"/>
  <c r="Y302" i="8"/>
  <c r="AR16" i="8"/>
  <c r="Q302" i="8"/>
  <c r="AJ16" i="8"/>
  <c r="I302" i="8"/>
  <c r="BA56" i="8"/>
  <c r="Z362" i="8"/>
  <c r="BA341" i="8" s="1"/>
  <c r="AS341" i="8"/>
  <c r="AS343" i="8" s="1"/>
  <c r="R366" i="8"/>
  <c r="AK56" i="8"/>
  <c r="J362" i="8"/>
  <c r="D25" i="29"/>
  <c r="B399" i="8"/>
  <c r="C436" i="8"/>
  <c r="D442" i="8"/>
  <c r="B27" i="29"/>
  <c r="B280" i="8"/>
  <c r="BA276" i="8"/>
  <c r="C24" i="29"/>
  <c r="B337" i="8"/>
  <c r="AC54" i="8"/>
  <c r="B361" i="8"/>
  <c r="AC338" i="8" s="1"/>
  <c r="I439" i="8" s="1"/>
  <c r="AY16" i="8"/>
  <c r="X302" i="8"/>
  <c r="AQ16" i="8"/>
  <c r="P302" i="8"/>
  <c r="AI16" i="8"/>
  <c r="H302" i="8"/>
  <c r="AZ341" i="8"/>
  <c r="AZ343" i="8" s="1"/>
  <c r="Y366" i="8"/>
  <c r="AR341" i="8"/>
  <c r="AR343" i="8" s="1"/>
  <c r="Q366" i="8"/>
  <c r="AJ341" i="8"/>
  <c r="AJ343" i="8" s="1"/>
  <c r="I366" i="8"/>
  <c r="D24" i="29"/>
  <c r="B398" i="8"/>
  <c r="C21" i="29"/>
  <c r="AC50" i="8"/>
  <c r="C435" i="8" s="1"/>
  <c r="D21" i="29"/>
  <c r="AC90" i="8"/>
  <c r="D435" i="8" s="1"/>
  <c r="B21" i="29"/>
  <c r="AC10" i="8"/>
  <c r="L41" i="8"/>
  <c r="T41" i="8"/>
  <c r="N81" i="8"/>
  <c r="Y41" i="8"/>
  <c r="I41" i="8"/>
  <c r="D41" i="8"/>
  <c r="O81" i="8"/>
  <c r="V81" i="8"/>
  <c r="F81" i="8"/>
  <c r="J81" i="8"/>
  <c r="R81" i="8"/>
  <c r="U41" i="8"/>
  <c r="S81" i="8"/>
  <c r="Q41" i="8"/>
  <c r="G41" i="8"/>
  <c r="Q81" i="8"/>
  <c r="Z81" i="8"/>
  <c r="AS56" i="8"/>
  <c r="E41" i="8"/>
  <c r="V41" i="8"/>
  <c r="I81" i="8"/>
  <c r="Y81" i="8"/>
  <c r="W81" i="8"/>
  <c r="G81" i="8"/>
  <c r="F41" i="8"/>
  <c r="BA52" i="8"/>
  <c r="S41" i="8"/>
  <c r="M41" i="8"/>
  <c r="AC14" i="8"/>
  <c r="O41" i="8"/>
  <c r="D81" i="8"/>
  <c r="K81" i="8"/>
  <c r="C81" i="8"/>
  <c r="P81" i="8"/>
  <c r="N41" i="8"/>
  <c r="AN17" i="8"/>
  <c r="AP17" i="8"/>
  <c r="AP18" i="8" s="1"/>
  <c r="AJ97" i="8"/>
  <c r="AJ98" i="8" s="1"/>
  <c r="AR17" i="8"/>
  <c r="AM57" i="8"/>
  <c r="AE57" i="8"/>
  <c r="AO57" i="8"/>
  <c r="AG57" i="8"/>
  <c r="AD17" i="8"/>
  <c r="AT17" i="8"/>
  <c r="AF17" i="8"/>
  <c r="AV17" i="8"/>
  <c r="AW57" i="8"/>
  <c r="AX17" i="8"/>
  <c r="AH17" i="8"/>
  <c r="AJ17" i="8"/>
  <c r="AZ17" i="8"/>
  <c r="AL17" i="8"/>
  <c r="X81" i="8"/>
  <c r="T81" i="8"/>
  <c r="L81" i="8"/>
  <c r="AT56" i="8"/>
  <c r="AM56" i="8"/>
  <c r="AU56" i="8"/>
  <c r="AT16" i="8"/>
  <c r="R41" i="8"/>
  <c r="W41" i="8"/>
  <c r="J41" i="8"/>
  <c r="H81" i="8"/>
  <c r="AU54" i="8"/>
  <c r="BA54" i="8"/>
  <c r="B81" i="8"/>
  <c r="K41" i="8"/>
  <c r="C41" i="8"/>
  <c r="Z41" i="8"/>
  <c r="BA12" i="8"/>
  <c r="B437" i="8" s="1"/>
  <c r="AO14" i="8"/>
  <c r="AI17" i="8"/>
  <c r="AQ17" i="8"/>
  <c r="AY17" i="8"/>
  <c r="H41" i="8"/>
  <c r="P41" i="8"/>
  <c r="X41" i="8"/>
  <c r="AJ56" i="8"/>
  <c r="AR56" i="8"/>
  <c r="AZ56" i="8"/>
  <c r="AH57" i="8"/>
  <c r="AH58" i="8" s="1"/>
  <c r="AP57" i="8"/>
  <c r="AX57" i="8"/>
  <c r="AL97" i="8"/>
  <c r="AL98" i="8" s="1"/>
  <c r="AI57" i="8"/>
  <c r="AQ57" i="8"/>
  <c r="AY57" i="8"/>
  <c r="B121" i="8"/>
  <c r="AQ97" i="8"/>
  <c r="AQ98" i="8" s="1"/>
  <c r="AX97" i="8"/>
  <c r="AP97" i="8"/>
  <c r="AH97" i="8"/>
  <c r="AW97" i="8"/>
  <c r="AO97" i="8"/>
  <c r="AG97" i="8"/>
  <c r="AV97" i="8"/>
  <c r="AN97" i="8"/>
  <c r="AF97" i="8"/>
  <c r="AU97" i="8"/>
  <c r="AM97" i="8"/>
  <c r="AE97" i="8"/>
  <c r="BA97" i="8"/>
  <c r="AS97" i="8"/>
  <c r="AK97" i="8"/>
  <c r="AC97" i="8"/>
  <c r="AU14" i="8"/>
  <c r="AC17" i="8"/>
  <c r="AK17" i="8"/>
  <c r="AS17" i="8"/>
  <c r="BA17" i="8"/>
  <c r="B41" i="8"/>
  <c r="AJ57" i="8"/>
  <c r="AR57" i="8"/>
  <c r="AZ57" i="8"/>
  <c r="AR97" i="8"/>
  <c r="AC57" i="8"/>
  <c r="AK57" i="8"/>
  <c r="AS57" i="8"/>
  <c r="BA57" i="8"/>
  <c r="AO94" i="8"/>
  <c r="AT97" i="8"/>
  <c r="AE17" i="8"/>
  <c r="AM17" i="8"/>
  <c r="AU17" i="8"/>
  <c r="AD57" i="8"/>
  <c r="AL57" i="8"/>
  <c r="AT57" i="8"/>
  <c r="AY97" i="8"/>
  <c r="AD97" i="8"/>
  <c r="AZ97" i="8"/>
  <c r="Z121" i="8"/>
  <c r="D121" i="8"/>
  <c r="L121" i="8"/>
  <c r="T121" i="8"/>
  <c r="AU94" i="8"/>
  <c r="AU57" i="8"/>
  <c r="AG17" i="8"/>
  <c r="AO17" i="8"/>
  <c r="AW17" i="8"/>
  <c r="AF57" i="8"/>
  <c r="AN57" i="8"/>
  <c r="AV57" i="8"/>
  <c r="E81" i="8"/>
  <c r="M81" i="8"/>
  <c r="U81" i="8"/>
  <c r="AI97" i="8"/>
  <c r="E121" i="8"/>
  <c r="M121" i="8"/>
  <c r="U121" i="8"/>
  <c r="BA218" i="7"/>
  <c r="L245" i="7"/>
  <c r="Y245" i="7"/>
  <c r="AE220" i="7"/>
  <c r="AG220" i="7"/>
  <c r="AH220" i="7"/>
  <c r="AI220" i="7"/>
  <c r="AJ220" i="7"/>
  <c r="AN220" i="7"/>
  <c r="AP220" i="7"/>
  <c r="AQ220" i="7"/>
  <c r="AR220" i="7"/>
  <c r="AU220" i="7"/>
  <c r="AV220" i="7"/>
  <c r="AX220" i="7"/>
  <c r="AZ220" i="7"/>
  <c r="BA220" i="7"/>
  <c r="AF220" i="7"/>
  <c r="B241" i="7"/>
  <c r="AC218" i="7" s="1"/>
  <c r="BA217" i="7"/>
  <c r="Z229" i="7"/>
  <c r="Z230" i="7"/>
  <c r="Z231" i="7"/>
  <c r="Z232" i="7"/>
  <c r="Z233" i="7"/>
  <c r="Z234" i="7"/>
  <c r="Z235" i="7"/>
  <c r="Z236" i="7"/>
  <c r="Z237" i="7"/>
  <c r="Z238" i="7"/>
  <c r="Z239" i="7"/>
  <c r="Z228" i="7"/>
  <c r="AC215" i="7"/>
  <c r="B215" i="7"/>
  <c r="B216" i="7"/>
  <c r="B217" i="7"/>
  <c r="B218" i="7"/>
  <c r="B219" i="7"/>
  <c r="B220" i="7"/>
  <c r="B221" i="7"/>
  <c r="B222" i="7"/>
  <c r="B223" i="7"/>
  <c r="B224" i="7"/>
  <c r="B225" i="7"/>
  <c r="B214" i="7"/>
  <c r="AX218" i="7"/>
  <c r="AO218" i="7"/>
  <c r="AL218" i="7"/>
  <c r="AI218" i="7"/>
  <c r="AF218" i="7"/>
  <c r="AW220" i="7"/>
  <c r="AO220" i="7"/>
  <c r="AM220" i="7"/>
  <c r="AC209" i="7"/>
  <c r="AC174" i="7"/>
  <c r="B173" i="7"/>
  <c r="AD179" i="7"/>
  <c r="AF179" i="7"/>
  <c r="AH179" i="7"/>
  <c r="AI179" i="7"/>
  <c r="AJ179" i="7"/>
  <c r="AK179" i="7"/>
  <c r="AL179" i="7"/>
  <c r="AO179" i="7"/>
  <c r="AP179" i="7"/>
  <c r="AQ179" i="7"/>
  <c r="AR179" i="7"/>
  <c r="AS179" i="7"/>
  <c r="AT179" i="7"/>
  <c r="AV179" i="7"/>
  <c r="AW179" i="7"/>
  <c r="AX179" i="7"/>
  <c r="AY179" i="7"/>
  <c r="BA179" i="7"/>
  <c r="AC179" i="7"/>
  <c r="AW178" i="7"/>
  <c r="AX178" i="7"/>
  <c r="AY178" i="7"/>
  <c r="AZ178" i="7"/>
  <c r="BA178" i="7"/>
  <c r="C120" i="7"/>
  <c r="AD95" i="7" s="1"/>
  <c r="D120" i="7"/>
  <c r="AE95" i="7" s="1"/>
  <c r="E120" i="7"/>
  <c r="AF95" i="7" s="1"/>
  <c r="F120" i="7"/>
  <c r="AG95" i="7" s="1"/>
  <c r="G120" i="7"/>
  <c r="AH95" i="7" s="1"/>
  <c r="H120" i="7"/>
  <c r="AI95" i="7" s="1"/>
  <c r="I120" i="7"/>
  <c r="AJ95" i="7" s="1"/>
  <c r="J120" i="7"/>
  <c r="AK95" i="7" s="1"/>
  <c r="K120" i="7"/>
  <c r="AL95" i="7" s="1"/>
  <c r="L120" i="7"/>
  <c r="AM95" i="7" s="1"/>
  <c r="M120" i="7"/>
  <c r="AN95" i="7" s="1"/>
  <c r="N120" i="7"/>
  <c r="AO95" i="7" s="1"/>
  <c r="O120" i="7"/>
  <c r="AP95" i="7" s="1"/>
  <c r="P120" i="7"/>
  <c r="AQ95" i="7" s="1"/>
  <c r="Q120" i="7"/>
  <c r="AR95" i="7" s="1"/>
  <c r="R120" i="7"/>
  <c r="AS95" i="7" s="1"/>
  <c r="S120" i="7"/>
  <c r="AT95" i="7" s="1"/>
  <c r="T120" i="7"/>
  <c r="AU95" i="7" s="1"/>
  <c r="U120" i="7"/>
  <c r="AV95" i="7" s="1"/>
  <c r="V120" i="7"/>
  <c r="AW95" i="7" s="1"/>
  <c r="W120" i="7"/>
  <c r="AX95" i="7" s="1"/>
  <c r="X120" i="7"/>
  <c r="AY95" i="7" s="1"/>
  <c r="Y120" i="7"/>
  <c r="AZ95" i="7" s="1"/>
  <c r="Z120" i="7"/>
  <c r="BA95" i="7" s="1"/>
  <c r="B120" i="7"/>
  <c r="C80" i="7"/>
  <c r="D80" i="7"/>
  <c r="E80" i="7"/>
  <c r="F80" i="7"/>
  <c r="G80" i="7"/>
  <c r="H80" i="7"/>
  <c r="I80" i="7"/>
  <c r="J80" i="7"/>
  <c r="K80" i="7"/>
  <c r="L80" i="7"/>
  <c r="M80" i="7"/>
  <c r="N80" i="7"/>
  <c r="O80" i="7"/>
  <c r="P80" i="7"/>
  <c r="Q80" i="7"/>
  <c r="R80" i="7"/>
  <c r="S80" i="7"/>
  <c r="T80" i="7"/>
  <c r="U80" i="7"/>
  <c r="V80" i="7"/>
  <c r="W80" i="7"/>
  <c r="X80" i="7"/>
  <c r="Y80" i="7"/>
  <c r="Z80" i="7"/>
  <c r="B80" i="7"/>
  <c r="AF177" i="7"/>
  <c r="AO177" i="7"/>
  <c r="AR177" i="7"/>
  <c r="AU177" i="7"/>
  <c r="BA177" i="7"/>
  <c r="B200" i="7"/>
  <c r="AC177" i="7" s="1"/>
  <c r="BA176" i="7"/>
  <c r="Z188" i="7"/>
  <c r="Z189" i="7"/>
  <c r="Z190" i="7"/>
  <c r="Z191" i="7"/>
  <c r="Z192" i="7"/>
  <c r="Z193" i="7"/>
  <c r="Z194" i="7"/>
  <c r="Z195" i="7"/>
  <c r="Z196" i="7"/>
  <c r="Z197" i="7"/>
  <c r="Z198" i="7"/>
  <c r="Z187" i="7"/>
  <c r="B174" i="7"/>
  <c r="B175" i="7"/>
  <c r="B176" i="7"/>
  <c r="B177" i="7"/>
  <c r="B178" i="7"/>
  <c r="B179" i="7"/>
  <c r="B180" i="7"/>
  <c r="B181" i="7"/>
  <c r="B182" i="7"/>
  <c r="B183" i="7"/>
  <c r="B184" i="7"/>
  <c r="AZ179" i="7"/>
  <c r="AU179" i="7"/>
  <c r="AM179" i="7"/>
  <c r="AG179" i="7"/>
  <c r="AE179" i="7"/>
  <c r="AL177" i="7"/>
  <c r="AC168" i="7"/>
  <c r="Z421" i="7"/>
  <c r="BA398" i="7" s="1"/>
  <c r="J438" i="7" s="1"/>
  <c r="B407" i="7"/>
  <c r="AC396" i="7" s="1"/>
  <c r="J436" i="7" s="1"/>
  <c r="Z76" i="7"/>
  <c r="Z360" i="7" s="1"/>
  <c r="BA337" i="7" s="1"/>
  <c r="I438" i="7" s="1"/>
  <c r="AC335" i="7"/>
  <c r="I436" i="7" s="1"/>
  <c r="Z36" i="7"/>
  <c r="F256" i="37" l="1"/>
  <c r="AF464" i="37" s="1"/>
  <c r="AE484" i="37" s="1"/>
  <c r="L45" i="42"/>
  <c r="L33" i="42"/>
  <c r="J104" i="42"/>
  <c r="J116" i="42" s="1"/>
  <c r="J128" i="42"/>
  <c r="J140" i="42" s="1"/>
  <c r="D452" i="8"/>
  <c r="F91" i="42"/>
  <c r="H471" i="8"/>
  <c r="J153" i="42"/>
  <c r="B451" i="8"/>
  <c r="D90" i="42"/>
  <c r="F125" i="42"/>
  <c r="F137" i="42" s="1"/>
  <c r="F101" i="42"/>
  <c r="F113" i="42" s="1"/>
  <c r="D449" i="8"/>
  <c r="F88" i="42"/>
  <c r="L40" i="42"/>
  <c r="L28" i="42"/>
  <c r="L217" i="42"/>
  <c r="L229" i="42"/>
  <c r="D468" i="8"/>
  <c r="F150" i="42"/>
  <c r="D456" i="8"/>
  <c r="F95" i="42"/>
  <c r="C452" i="8"/>
  <c r="E91" i="42"/>
  <c r="L65" i="42"/>
  <c r="L77" i="42"/>
  <c r="C449" i="8"/>
  <c r="E88" i="42"/>
  <c r="I453" i="8"/>
  <c r="K92" i="42"/>
  <c r="C450" i="8"/>
  <c r="E89" i="42"/>
  <c r="B455" i="8"/>
  <c r="D94" i="42"/>
  <c r="F102" i="42"/>
  <c r="F114" i="42" s="1"/>
  <c r="F126" i="42"/>
  <c r="F138" i="42" s="1"/>
  <c r="L82" i="42"/>
  <c r="L70" i="42"/>
  <c r="B450" i="8"/>
  <c r="D89" i="42"/>
  <c r="B452" i="8"/>
  <c r="D91" i="42"/>
  <c r="L224" i="42"/>
  <c r="L212" i="42"/>
  <c r="D469" i="8"/>
  <c r="F151" i="42"/>
  <c r="L70" i="41"/>
  <c r="L82" i="41"/>
  <c r="L45" i="41"/>
  <c r="L33" i="41"/>
  <c r="L89" i="41"/>
  <c r="K91" i="41"/>
  <c r="L91" i="41"/>
  <c r="K89" i="41"/>
  <c r="L229" i="41"/>
  <c r="L217" i="41"/>
  <c r="E170" i="37"/>
  <c r="V463" i="37" s="1"/>
  <c r="S483" i="37" s="1"/>
  <c r="E182" i="37"/>
  <c r="U463" i="37" s="1"/>
  <c r="P483" i="37" s="1"/>
  <c r="E244" i="37"/>
  <c r="AE463" i="37" s="1"/>
  <c r="E256" i="37"/>
  <c r="AF463" i="37" s="1"/>
  <c r="S484" i="37" s="1"/>
  <c r="F244" i="37"/>
  <c r="AE464" i="37" s="1"/>
  <c r="L164" i="37"/>
  <c r="L176" i="37"/>
  <c r="L188" i="37"/>
  <c r="J174" i="37"/>
  <c r="J162" i="37"/>
  <c r="J186" i="37"/>
  <c r="J158" i="37"/>
  <c r="E82" i="37"/>
  <c r="E70" i="37"/>
  <c r="K115" i="37"/>
  <c r="K121" i="37" s="1"/>
  <c r="M469" i="37" s="1"/>
  <c r="S502" i="37" s="1"/>
  <c r="K109" i="37"/>
  <c r="H230" i="37"/>
  <c r="H231" i="37" s="1"/>
  <c r="R466" i="37" s="1"/>
  <c r="V492" i="37" s="1"/>
  <c r="H218" i="37"/>
  <c r="H219" i="37" s="1"/>
  <c r="P466" i="37" s="1"/>
  <c r="O492" i="37" s="1"/>
  <c r="F14" i="1"/>
  <c r="L250" i="37"/>
  <c r="L238" i="37"/>
  <c r="L17" i="37"/>
  <c r="L54" i="37"/>
  <c r="L201" i="37"/>
  <c r="D12" i="1"/>
  <c r="J52" i="37"/>
  <c r="J248" i="37"/>
  <c r="J15" i="37"/>
  <c r="J236" i="37"/>
  <c r="J199" i="37"/>
  <c r="F34" i="37"/>
  <c r="F46" i="37"/>
  <c r="F82" i="37"/>
  <c r="F70" i="37"/>
  <c r="E83" i="37"/>
  <c r="E71" i="37"/>
  <c r="K139" i="37"/>
  <c r="K145" i="37" s="1"/>
  <c r="L469" i="37" s="1"/>
  <c r="R502" i="37" s="1"/>
  <c r="K133" i="37"/>
  <c r="L60" i="37"/>
  <c r="H470" i="37" s="1"/>
  <c r="AE501" i="37" s="1"/>
  <c r="L207" i="37"/>
  <c r="Q470" i="37" s="1"/>
  <c r="AE503" i="37" s="1"/>
  <c r="L23" i="37"/>
  <c r="C470" i="37" s="1"/>
  <c r="AE500" i="37" s="1"/>
  <c r="L14" i="1"/>
  <c r="L162" i="37"/>
  <c r="L186" i="37"/>
  <c r="L174" i="37"/>
  <c r="L158" i="37"/>
  <c r="I46" i="37"/>
  <c r="I47" i="37" s="1"/>
  <c r="D467" i="37" s="1"/>
  <c r="AF489" i="37" s="1"/>
  <c r="I34" i="37"/>
  <c r="I35" i="37" s="1"/>
  <c r="B467" i="37" s="1"/>
  <c r="AD489" i="37" s="1"/>
  <c r="H71" i="37"/>
  <c r="H72" i="37" s="1"/>
  <c r="G466" i="37" s="1"/>
  <c r="Q490" i="37" s="1"/>
  <c r="H83" i="37"/>
  <c r="H84" i="37" s="1"/>
  <c r="I466" i="37" s="1"/>
  <c r="V490" i="37" s="1"/>
  <c r="H46" i="37"/>
  <c r="H47" i="37" s="1"/>
  <c r="D466" i="37" s="1"/>
  <c r="T489" i="37" s="1"/>
  <c r="H34" i="37"/>
  <c r="H35" i="37" s="1"/>
  <c r="B466" i="37" s="1"/>
  <c r="R489" i="37" s="1"/>
  <c r="F218" i="37"/>
  <c r="F230" i="37"/>
  <c r="J137" i="37"/>
  <c r="J145" i="37" s="1"/>
  <c r="L468" i="37" s="1"/>
  <c r="F502" i="37" s="1"/>
  <c r="J133" i="37"/>
  <c r="D34" i="37"/>
  <c r="D35" i="37" s="1"/>
  <c r="B462" i="37" s="1"/>
  <c r="F479" i="37" s="1"/>
  <c r="D46" i="37"/>
  <c r="D47" i="37" s="1"/>
  <c r="D462" i="37" s="1"/>
  <c r="H479" i="37" s="1"/>
  <c r="F217" i="37"/>
  <c r="F229" i="37"/>
  <c r="L52" i="37"/>
  <c r="L199" i="37"/>
  <c r="D14" i="1"/>
  <c r="L248" i="37"/>
  <c r="L236" i="37"/>
  <c r="L15" i="37"/>
  <c r="E42" i="37"/>
  <c r="E30" i="37"/>
  <c r="I230" i="37"/>
  <c r="I231" i="37" s="1"/>
  <c r="R467" i="37" s="1"/>
  <c r="AH492" i="37" s="1"/>
  <c r="I218" i="37"/>
  <c r="I219" i="37" s="1"/>
  <c r="P467" i="37" s="1"/>
  <c r="AA492" i="37" s="1"/>
  <c r="K168" i="37"/>
  <c r="K180" i="37"/>
  <c r="K192" i="37"/>
  <c r="F71" i="37"/>
  <c r="F83" i="37"/>
  <c r="L168" i="37"/>
  <c r="L192" i="37"/>
  <c r="L180" i="37"/>
  <c r="J113" i="37"/>
  <c r="J121" i="37" s="1"/>
  <c r="M468" i="37" s="1"/>
  <c r="G502" i="37" s="1"/>
  <c r="J109" i="37"/>
  <c r="E33" i="37"/>
  <c r="E45" i="37"/>
  <c r="D230" i="37"/>
  <c r="D231" i="37" s="1"/>
  <c r="R462" i="37" s="1"/>
  <c r="J482" i="37" s="1"/>
  <c r="D218" i="37"/>
  <c r="D219" i="37" s="1"/>
  <c r="P462" i="37" s="1"/>
  <c r="C482" i="37" s="1"/>
  <c r="I71" i="37"/>
  <c r="I72" i="37" s="1"/>
  <c r="G467" i="37" s="1"/>
  <c r="AC490" i="37" s="1"/>
  <c r="I83" i="37"/>
  <c r="I84" i="37" s="1"/>
  <c r="I467" i="37" s="1"/>
  <c r="AH490" i="37" s="1"/>
  <c r="J176" i="37"/>
  <c r="J164" i="37"/>
  <c r="J188" i="37"/>
  <c r="K254" i="37"/>
  <c r="K21" i="37"/>
  <c r="J13" i="1"/>
  <c r="K58" i="37"/>
  <c r="K242" i="37"/>
  <c r="K205" i="37"/>
  <c r="L58" i="37"/>
  <c r="L205" i="37"/>
  <c r="L242" i="37"/>
  <c r="L254" i="37"/>
  <c r="L21" i="37"/>
  <c r="J14" i="1"/>
  <c r="E229" i="37"/>
  <c r="E217" i="37"/>
  <c r="D83" i="37"/>
  <c r="D84" i="37" s="1"/>
  <c r="I462" i="37" s="1"/>
  <c r="J480" i="37" s="1"/>
  <c r="D71" i="37"/>
  <c r="D72" i="37" s="1"/>
  <c r="G462" i="37" s="1"/>
  <c r="E480" i="37" s="1"/>
  <c r="G34" i="37"/>
  <c r="G35" i="37" s="1"/>
  <c r="B465" i="37" s="1"/>
  <c r="F489" i="37" s="1"/>
  <c r="G46" i="37"/>
  <c r="G47" i="37" s="1"/>
  <c r="D465" i="37" s="1"/>
  <c r="H489" i="37" s="1"/>
  <c r="J17" i="37"/>
  <c r="J238" i="37"/>
  <c r="J201" i="37"/>
  <c r="J54" i="37"/>
  <c r="F12" i="1"/>
  <c r="J250" i="37"/>
  <c r="J207" i="37"/>
  <c r="Q468" i="37" s="1"/>
  <c r="G503" i="37" s="1"/>
  <c r="J60" i="37"/>
  <c r="H468" i="37" s="1"/>
  <c r="G501" i="37" s="1"/>
  <c r="L12" i="1"/>
  <c r="J23" i="37"/>
  <c r="C468" i="37" s="1"/>
  <c r="G500" i="37" s="1"/>
  <c r="K164" i="37"/>
  <c r="K188" i="37"/>
  <c r="K176" i="37"/>
  <c r="K158" i="37"/>
  <c r="J168" i="37"/>
  <c r="J180" i="37"/>
  <c r="J192" i="37"/>
  <c r="F33" i="37"/>
  <c r="F45" i="37"/>
  <c r="G83" i="37"/>
  <c r="G84" i="37" s="1"/>
  <c r="I465" i="37" s="1"/>
  <c r="J490" i="37" s="1"/>
  <c r="G71" i="37"/>
  <c r="G72" i="37" s="1"/>
  <c r="G465" i="37" s="1"/>
  <c r="E490" i="37" s="1"/>
  <c r="G230" i="37"/>
  <c r="G231" i="37" s="1"/>
  <c r="R465" i="37" s="1"/>
  <c r="J492" i="37" s="1"/>
  <c r="G218" i="37"/>
  <c r="G219" i="37" s="1"/>
  <c r="P465" i="37" s="1"/>
  <c r="C492" i="37" s="1"/>
  <c r="E218" i="37"/>
  <c r="E230" i="37"/>
  <c r="E67" i="37"/>
  <c r="E79" i="37"/>
  <c r="L113" i="37"/>
  <c r="L121" i="37" s="1"/>
  <c r="M470" i="37" s="1"/>
  <c r="AE502" i="37" s="1"/>
  <c r="L109" i="37"/>
  <c r="F13" i="1"/>
  <c r="K54" i="37"/>
  <c r="K238" i="37"/>
  <c r="K250" i="37"/>
  <c r="K201" i="37"/>
  <c r="K17" i="37"/>
  <c r="J254" i="37"/>
  <c r="J242" i="37"/>
  <c r="J205" i="37"/>
  <c r="J12" i="1"/>
  <c r="J58" i="37"/>
  <c r="J21" i="37"/>
  <c r="L137" i="37"/>
  <c r="L145" i="37" s="1"/>
  <c r="L470" i="37" s="1"/>
  <c r="AD502" i="37" s="1"/>
  <c r="L133" i="37"/>
  <c r="E46" i="37"/>
  <c r="E34" i="37"/>
  <c r="B306" i="8"/>
  <c r="D443" i="8"/>
  <c r="D439" i="8"/>
  <c r="B427" i="8"/>
  <c r="B366" i="8"/>
  <c r="AC334" i="8"/>
  <c r="I435" i="8" s="1"/>
  <c r="C443" i="8"/>
  <c r="B443" i="8"/>
  <c r="B435" i="8"/>
  <c r="AQ281" i="8"/>
  <c r="AQ283" i="8" s="1"/>
  <c r="P306" i="8"/>
  <c r="H437" i="8"/>
  <c r="BA283" i="8"/>
  <c r="B442" i="8"/>
  <c r="AG341" i="8"/>
  <c r="AG343" i="8" s="1"/>
  <c r="F366" i="8"/>
  <c r="AN281" i="8"/>
  <c r="AN283" i="8" s="1"/>
  <c r="M306" i="8"/>
  <c r="AP281" i="8"/>
  <c r="AP283" i="8" s="1"/>
  <c r="O306" i="8"/>
  <c r="AG281" i="8"/>
  <c r="AG283" i="8" s="1"/>
  <c r="F306" i="8"/>
  <c r="AQ341" i="8"/>
  <c r="AQ343" i="8" s="1"/>
  <c r="P366" i="8"/>
  <c r="Z306" i="8"/>
  <c r="AC395" i="8"/>
  <c r="AJ281" i="8"/>
  <c r="AJ283" i="8" s="1"/>
  <c r="I306" i="8"/>
  <c r="AD281" i="8"/>
  <c r="AD283" i="8" s="1"/>
  <c r="C306" i="8"/>
  <c r="AF341" i="8"/>
  <c r="AF343" i="8" s="1"/>
  <c r="E366" i="8"/>
  <c r="AM281" i="8"/>
  <c r="AM283" i="8" s="1"/>
  <c r="L306" i="8"/>
  <c r="AH281" i="8"/>
  <c r="AH283" i="8" s="1"/>
  <c r="G306" i="8"/>
  <c r="AY281" i="8"/>
  <c r="AY283" i="8" s="1"/>
  <c r="X306" i="8"/>
  <c r="C442" i="8"/>
  <c r="AO341" i="8"/>
  <c r="AO343" i="8" s="1"/>
  <c r="N366" i="8"/>
  <c r="AV281" i="8"/>
  <c r="AV283" i="8" s="1"/>
  <c r="U306" i="8"/>
  <c r="AC274" i="8"/>
  <c r="AH341" i="8"/>
  <c r="AH343" i="8" s="1"/>
  <c r="G366" i="8"/>
  <c r="AO281" i="8"/>
  <c r="AO283" i="8" s="1"/>
  <c r="N306" i="8"/>
  <c r="AE281" i="8"/>
  <c r="AE283" i="8" s="1"/>
  <c r="D306" i="8"/>
  <c r="AK341" i="8"/>
  <c r="AK343" i="8" s="1"/>
  <c r="J366" i="8"/>
  <c r="AR281" i="8"/>
  <c r="AR283" i="8" s="1"/>
  <c r="Q306" i="8"/>
  <c r="AD341" i="8"/>
  <c r="AD343" i="8" s="1"/>
  <c r="C366" i="8"/>
  <c r="AK281" i="8"/>
  <c r="AK283" i="8" s="1"/>
  <c r="J306" i="8"/>
  <c r="AE341" i="8"/>
  <c r="AE343" i="8" s="1"/>
  <c r="D366" i="8"/>
  <c r="AL281" i="8"/>
  <c r="AL283" i="8" s="1"/>
  <c r="K306" i="8"/>
  <c r="AN341" i="8"/>
  <c r="AN343" i="8" s="1"/>
  <c r="M366" i="8"/>
  <c r="AU281" i="8"/>
  <c r="AU283" i="8" s="1"/>
  <c r="T306" i="8"/>
  <c r="AX281" i="8"/>
  <c r="AX283" i="8" s="1"/>
  <c r="W306" i="8"/>
  <c r="AI341" i="8"/>
  <c r="AI343" i="8" s="1"/>
  <c r="H366" i="8"/>
  <c r="AW341" i="8"/>
  <c r="AW343" i="8" s="1"/>
  <c r="V366" i="8"/>
  <c r="I437" i="8"/>
  <c r="BA343" i="8"/>
  <c r="AP341" i="8"/>
  <c r="AP343" i="8" s="1"/>
  <c r="O366" i="8"/>
  <c r="AW281" i="8"/>
  <c r="AW283" i="8" s="1"/>
  <c r="V306" i="8"/>
  <c r="C437" i="8"/>
  <c r="C439" i="8"/>
  <c r="AZ281" i="8"/>
  <c r="AZ283" i="8" s="1"/>
  <c r="Y306" i="8"/>
  <c r="AL341" i="8"/>
  <c r="AL343" i="8" s="1"/>
  <c r="K366" i="8"/>
  <c r="AS281" i="8"/>
  <c r="AS283" i="8" s="1"/>
  <c r="R306" i="8"/>
  <c r="AV341" i="8"/>
  <c r="AV343" i="8" s="1"/>
  <c r="U366" i="8"/>
  <c r="Z366" i="8"/>
  <c r="B439" i="8"/>
  <c r="AI281" i="8"/>
  <c r="AI283" i="8" s="1"/>
  <c r="H306" i="8"/>
  <c r="AF281" i="8"/>
  <c r="AF283" i="8" s="1"/>
  <c r="E306" i="8"/>
  <c r="AY341" i="8"/>
  <c r="AY343" i="8" s="1"/>
  <c r="X366" i="8"/>
  <c r="AX341" i="8"/>
  <c r="AX343" i="8" s="1"/>
  <c r="W366" i="8"/>
  <c r="J450" i="7"/>
  <c r="L150" i="41" s="1"/>
  <c r="J452" i="7"/>
  <c r="L152" i="41" s="1"/>
  <c r="I452" i="7"/>
  <c r="K152" i="41" s="1"/>
  <c r="I450" i="7"/>
  <c r="K150" i="41" s="1"/>
  <c r="AC95" i="7"/>
  <c r="AC401" i="7"/>
  <c r="J441" i="7" s="1"/>
  <c r="AL55" i="7"/>
  <c r="AL340" i="7"/>
  <c r="BA55" i="7"/>
  <c r="BA340" i="7"/>
  <c r="AK55" i="7"/>
  <c r="AK340" i="7"/>
  <c r="AZ55" i="7"/>
  <c r="AZ340" i="7"/>
  <c r="AR55" i="7"/>
  <c r="AR340" i="7"/>
  <c r="AJ55" i="7"/>
  <c r="AJ340" i="7"/>
  <c r="AD55" i="7"/>
  <c r="AD340" i="7"/>
  <c r="AY55" i="7"/>
  <c r="AY340" i="7"/>
  <c r="AQ55" i="7"/>
  <c r="AQ340" i="7"/>
  <c r="AI55" i="7"/>
  <c r="AI340" i="7"/>
  <c r="AX55" i="7"/>
  <c r="AX340" i="7"/>
  <c r="AP55" i="7"/>
  <c r="AP340" i="7"/>
  <c r="AH55" i="7"/>
  <c r="AH340" i="7"/>
  <c r="AW55" i="7"/>
  <c r="AW340" i="7"/>
  <c r="AO55" i="7"/>
  <c r="AO340" i="7"/>
  <c r="AG55" i="7"/>
  <c r="AG340" i="7"/>
  <c r="AC55" i="7"/>
  <c r="AC340" i="7"/>
  <c r="AS55" i="7"/>
  <c r="AS340" i="7"/>
  <c r="AV55" i="7"/>
  <c r="AV340" i="7"/>
  <c r="AN55" i="7"/>
  <c r="AN340" i="7"/>
  <c r="AF55" i="7"/>
  <c r="AF340" i="7"/>
  <c r="AT55" i="7"/>
  <c r="AT340" i="7"/>
  <c r="AU55" i="7"/>
  <c r="AU340" i="7"/>
  <c r="AM55" i="7"/>
  <c r="AM340" i="7"/>
  <c r="AE55" i="7"/>
  <c r="AE340" i="7"/>
  <c r="BA13" i="7"/>
  <c r="BA277" i="7"/>
  <c r="H438" i="7" s="1"/>
  <c r="AC214" i="7"/>
  <c r="G435" i="7" s="1"/>
  <c r="AC173" i="7"/>
  <c r="AZ18" i="8"/>
  <c r="I245" i="7"/>
  <c r="AD18" i="8"/>
  <c r="AQ58" i="8"/>
  <c r="D245" i="7"/>
  <c r="T245" i="7"/>
  <c r="U204" i="7"/>
  <c r="J245" i="7"/>
  <c r="E204" i="7"/>
  <c r="Q245" i="7"/>
  <c r="V204" i="7"/>
  <c r="AT18" i="8"/>
  <c r="AY58" i="8"/>
  <c r="AI18" i="8"/>
  <c r="AG58" i="8"/>
  <c r="AV18" i="8"/>
  <c r="AF18" i="8"/>
  <c r="AX18" i="8"/>
  <c r="AL58" i="8"/>
  <c r="AL18" i="8"/>
  <c r="AR18" i="8"/>
  <c r="AJ18" i="8"/>
  <c r="AV98" i="8"/>
  <c r="AH18" i="8"/>
  <c r="AR98" i="8"/>
  <c r="AI98" i="8"/>
  <c r="AO58" i="8"/>
  <c r="AF98" i="8"/>
  <c r="AM58" i="8"/>
  <c r="AY98" i="8"/>
  <c r="AS58" i="8"/>
  <c r="AT98" i="8"/>
  <c r="AW58" i="8"/>
  <c r="BA98" i="8"/>
  <c r="AE98" i="8"/>
  <c r="AK98" i="8"/>
  <c r="AX98" i="8"/>
  <c r="AN18" i="8"/>
  <c r="AX58" i="8"/>
  <c r="AE58" i="8"/>
  <c r="AT58" i="8"/>
  <c r="AC58" i="8"/>
  <c r="AU18" i="8"/>
  <c r="AC18" i="8"/>
  <c r="AM98" i="8"/>
  <c r="AP98" i="8"/>
  <c r="AS18" i="8"/>
  <c r="AK58" i="8"/>
  <c r="AN98" i="8"/>
  <c r="AD58" i="8"/>
  <c r="AU58" i="8"/>
  <c r="AZ98" i="8"/>
  <c r="AI58" i="8"/>
  <c r="AG98" i="8"/>
  <c r="AZ58" i="8"/>
  <c r="AW18" i="8"/>
  <c r="AM18" i="8"/>
  <c r="AU98" i="8"/>
  <c r="AW98" i="8"/>
  <c r="AV58" i="8"/>
  <c r="AJ58" i="8"/>
  <c r="AY18" i="8"/>
  <c r="AG18" i="8"/>
  <c r="AE18" i="8"/>
  <c r="AK18" i="8"/>
  <c r="AC98" i="8"/>
  <c r="AN58" i="8"/>
  <c r="AO18" i="8"/>
  <c r="AD98" i="8"/>
  <c r="AS98" i="8"/>
  <c r="AP58" i="8"/>
  <c r="AH98" i="8"/>
  <c r="AF58" i="8"/>
  <c r="BA18" i="8"/>
  <c r="AQ18" i="8"/>
  <c r="AR58" i="8"/>
  <c r="BA58" i="8"/>
  <c r="AO98" i="8"/>
  <c r="I204" i="7"/>
  <c r="AR218" i="7"/>
  <c r="Y204" i="7"/>
  <c r="F245" i="7"/>
  <c r="V245" i="7"/>
  <c r="X245" i="7"/>
  <c r="W204" i="7"/>
  <c r="O204" i="7"/>
  <c r="G204" i="7"/>
  <c r="L204" i="7"/>
  <c r="M204" i="7"/>
  <c r="BA175" i="7"/>
  <c r="F437" i="7" s="1"/>
  <c r="R245" i="7"/>
  <c r="AN179" i="7"/>
  <c r="P245" i="7"/>
  <c r="Q204" i="7"/>
  <c r="F204" i="7"/>
  <c r="F438" i="7"/>
  <c r="G438" i="7"/>
  <c r="F436" i="7"/>
  <c r="X204" i="7"/>
  <c r="P204" i="7"/>
  <c r="H204" i="7"/>
  <c r="AU218" i="7"/>
  <c r="S245" i="7"/>
  <c r="K245" i="7"/>
  <c r="C245" i="7"/>
  <c r="G436" i="7"/>
  <c r="Z245" i="7"/>
  <c r="H245" i="7"/>
  <c r="AY220" i="7"/>
  <c r="AK220" i="7"/>
  <c r="AS220" i="7"/>
  <c r="AD220" i="7"/>
  <c r="AL220" i="7"/>
  <c r="AT220" i="7"/>
  <c r="E245" i="7"/>
  <c r="M245" i="7"/>
  <c r="U245" i="7"/>
  <c r="G245" i="7"/>
  <c r="O245" i="7"/>
  <c r="W245" i="7"/>
  <c r="B245" i="7"/>
  <c r="N245" i="7"/>
  <c r="BA216" i="7"/>
  <c r="G437" i="7" s="1"/>
  <c r="K204" i="7"/>
  <c r="S204" i="7"/>
  <c r="N204" i="7"/>
  <c r="R204" i="7"/>
  <c r="J204" i="7"/>
  <c r="C204" i="7"/>
  <c r="D204" i="7"/>
  <c r="T204" i="7"/>
  <c r="AI177" i="7"/>
  <c r="AX177" i="7"/>
  <c r="Z204" i="7"/>
  <c r="B204" i="7"/>
  <c r="AC343" i="8" l="1"/>
  <c r="J165" i="42"/>
  <c r="J177" i="42"/>
  <c r="J189" i="42"/>
  <c r="B456" i="8"/>
  <c r="D95" i="42"/>
  <c r="C457" i="8"/>
  <c r="E96" i="42"/>
  <c r="F175" i="42"/>
  <c r="F187" i="42"/>
  <c r="F163" i="42"/>
  <c r="K104" i="42"/>
  <c r="K116" i="42" s="1"/>
  <c r="K128" i="42"/>
  <c r="K140" i="42" s="1"/>
  <c r="C470" i="8"/>
  <c r="E152" i="42"/>
  <c r="J202" i="42"/>
  <c r="J239" i="42"/>
  <c r="J55" i="42"/>
  <c r="J18" i="42"/>
  <c r="G26" i="1"/>
  <c r="B457" i="8"/>
  <c r="D96" i="42"/>
  <c r="B468" i="8"/>
  <c r="D150" i="42"/>
  <c r="I449" i="8"/>
  <c r="K88" i="42"/>
  <c r="F249" i="42"/>
  <c r="F200" i="42"/>
  <c r="F237" i="42"/>
  <c r="F53" i="42"/>
  <c r="F16" i="42"/>
  <c r="E22" i="1"/>
  <c r="I471" i="8"/>
  <c r="K153" i="42"/>
  <c r="F131" i="42"/>
  <c r="F143" i="42" s="1"/>
  <c r="F107" i="42"/>
  <c r="F119" i="42" s="1"/>
  <c r="F100" i="42"/>
  <c r="F124" i="42"/>
  <c r="F127" i="42"/>
  <c r="F139" i="42" s="1"/>
  <c r="F103" i="42"/>
  <c r="F115" i="42" s="1"/>
  <c r="H451" i="8"/>
  <c r="J90" i="42"/>
  <c r="E100" i="42"/>
  <c r="E124" i="42"/>
  <c r="D474" i="8"/>
  <c r="F156" i="42"/>
  <c r="D467" i="8"/>
  <c r="F149" i="42"/>
  <c r="D470" i="8"/>
  <c r="F152" i="42"/>
  <c r="E103" i="42"/>
  <c r="E115" i="42" s="1"/>
  <c r="E127" i="42"/>
  <c r="E139" i="42" s="1"/>
  <c r="C467" i="8"/>
  <c r="E149" i="42"/>
  <c r="F162" i="42"/>
  <c r="F186" i="42"/>
  <c r="F174" i="42"/>
  <c r="C451" i="8"/>
  <c r="E90" i="42"/>
  <c r="B453" i="8"/>
  <c r="D92" i="42"/>
  <c r="D453" i="8"/>
  <c r="F92" i="42"/>
  <c r="D127" i="42"/>
  <c r="D139" i="42" s="1"/>
  <c r="D103" i="42"/>
  <c r="D115" i="42" s="1"/>
  <c r="D130" i="42"/>
  <c r="D142" i="42" s="1"/>
  <c r="D106" i="42"/>
  <c r="D118" i="42" s="1"/>
  <c r="F248" i="42"/>
  <c r="F199" i="42"/>
  <c r="F236" i="42"/>
  <c r="F52" i="42"/>
  <c r="F15" i="42"/>
  <c r="D22" i="1"/>
  <c r="C468" i="8"/>
  <c r="E150" i="42"/>
  <c r="I451" i="8"/>
  <c r="K90" i="42"/>
  <c r="B449" i="8"/>
  <c r="D88" i="42"/>
  <c r="D457" i="8"/>
  <c r="F96" i="42"/>
  <c r="B470" i="8"/>
  <c r="D152" i="42"/>
  <c r="B473" i="8"/>
  <c r="D155" i="42"/>
  <c r="D126" i="42"/>
  <c r="D138" i="42" s="1"/>
  <c r="D102" i="42"/>
  <c r="D114" i="42" s="1"/>
  <c r="C456" i="8"/>
  <c r="E95" i="42"/>
  <c r="C453" i="8"/>
  <c r="E92" i="42"/>
  <c r="D125" i="42"/>
  <c r="D137" i="42" s="1"/>
  <c r="D101" i="42"/>
  <c r="D113" i="42" s="1"/>
  <c r="E125" i="42"/>
  <c r="E137" i="42" s="1"/>
  <c r="E101" i="42"/>
  <c r="E113" i="42" s="1"/>
  <c r="B469" i="8"/>
  <c r="D151" i="42"/>
  <c r="S482" i="37"/>
  <c r="J91" i="41"/>
  <c r="L188" i="41"/>
  <c r="L176" i="41"/>
  <c r="L164" i="41"/>
  <c r="I89" i="41"/>
  <c r="H89" i="41"/>
  <c r="H90" i="41"/>
  <c r="L162" i="41"/>
  <c r="L186" i="41"/>
  <c r="L174" i="41"/>
  <c r="K103" i="41"/>
  <c r="K115" i="41" s="1"/>
  <c r="K127" i="41"/>
  <c r="K139" i="41" s="1"/>
  <c r="I91" i="41"/>
  <c r="H91" i="41"/>
  <c r="L101" i="41"/>
  <c r="L113" i="41" s="1"/>
  <c r="L125" i="41"/>
  <c r="L137" i="41" s="1"/>
  <c r="L94" i="41"/>
  <c r="K125" i="41"/>
  <c r="K137" i="41" s="1"/>
  <c r="K101" i="41"/>
  <c r="K113" i="41" s="1"/>
  <c r="I90" i="41"/>
  <c r="K162" i="41"/>
  <c r="K174" i="41"/>
  <c r="K186" i="41"/>
  <c r="I88" i="41"/>
  <c r="K188" i="41"/>
  <c r="K176" i="41"/>
  <c r="K164" i="41"/>
  <c r="L127" i="41"/>
  <c r="L139" i="41" s="1"/>
  <c r="L103" i="41"/>
  <c r="L115" i="41" s="1"/>
  <c r="F47" i="37"/>
  <c r="D464" i="37" s="1"/>
  <c r="AF479" i="37" s="1"/>
  <c r="F35" i="37"/>
  <c r="B464" i="37" s="1"/>
  <c r="AD479" i="37" s="1"/>
  <c r="K244" i="37"/>
  <c r="AE469" i="37" s="1"/>
  <c r="F231" i="37"/>
  <c r="R464" i="37" s="1"/>
  <c r="AH482" i="37" s="1"/>
  <c r="K194" i="37"/>
  <c r="W469" i="37" s="1"/>
  <c r="U504" i="37" s="1"/>
  <c r="F84" i="37"/>
  <c r="I464" i="37" s="1"/>
  <c r="AH480" i="37" s="1"/>
  <c r="E84" i="37"/>
  <c r="I463" i="37" s="1"/>
  <c r="V480" i="37" s="1"/>
  <c r="K182" i="37"/>
  <c r="U469" i="37" s="1"/>
  <c r="P504" i="37" s="1"/>
  <c r="K170" i="37"/>
  <c r="V469" i="37" s="1"/>
  <c r="S504" i="37" s="1"/>
  <c r="N510" i="37" s="1"/>
  <c r="F72" i="37"/>
  <c r="G464" i="37" s="1"/>
  <c r="AC480" i="37" s="1"/>
  <c r="E35" i="37"/>
  <c r="B463" i="37" s="1"/>
  <c r="R479" i="37" s="1"/>
  <c r="E219" i="37"/>
  <c r="P463" i="37" s="1"/>
  <c r="O482" i="37" s="1"/>
  <c r="K256" i="37"/>
  <c r="AF469" i="37" s="1"/>
  <c r="S508" i="37" s="1"/>
  <c r="E72" i="37"/>
  <c r="G463" i="37" s="1"/>
  <c r="Q480" i="37" s="1"/>
  <c r="E231" i="37"/>
  <c r="R463" i="37" s="1"/>
  <c r="V482" i="37" s="1"/>
  <c r="E47" i="37"/>
  <c r="D463" i="37" s="1"/>
  <c r="T479" i="37" s="1"/>
  <c r="F219" i="37"/>
  <c r="P464" i="37" s="1"/>
  <c r="AA482" i="37" s="1"/>
  <c r="L194" i="37"/>
  <c r="W470" i="37" s="1"/>
  <c r="AG504" i="37" s="1"/>
  <c r="L170" i="37"/>
  <c r="V470" i="37" s="1"/>
  <c r="AE504" i="37" s="1"/>
  <c r="J194" i="37"/>
  <c r="W468" i="37" s="1"/>
  <c r="I504" i="37" s="1"/>
  <c r="J244" i="37"/>
  <c r="AE468" i="37" s="1"/>
  <c r="J170" i="37"/>
  <c r="V468" i="37" s="1"/>
  <c r="G504" i="37" s="1"/>
  <c r="K225" i="37"/>
  <c r="K213" i="37"/>
  <c r="L217" i="37"/>
  <c r="L229" i="37"/>
  <c r="L39" i="37"/>
  <c r="L27" i="37"/>
  <c r="J27" i="37"/>
  <c r="J39" i="37"/>
  <c r="J182" i="37"/>
  <c r="U468" i="37" s="1"/>
  <c r="D504" i="37" s="1"/>
  <c r="J225" i="37"/>
  <c r="J213" i="37"/>
  <c r="K45" i="37"/>
  <c r="K33" i="37"/>
  <c r="L244" i="37"/>
  <c r="AE470" i="37" s="1"/>
  <c r="L78" i="37"/>
  <c r="L66" i="37"/>
  <c r="J223" i="37"/>
  <c r="J211" i="37"/>
  <c r="K29" i="37"/>
  <c r="K41" i="37"/>
  <c r="L70" i="37"/>
  <c r="L82" i="37"/>
  <c r="L256" i="37"/>
  <c r="AF470" i="37" s="1"/>
  <c r="AE508" i="37" s="1"/>
  <c r="J256" i="37"/>
  <c r="AF468" i="37" s="1"/>
  <c r="G508" i="37" s="1"/>
  <c r="J70" i="37"/>
  <c r="J82" i="37"/>
  <c r="J217" i="37"/>
  <c r="J229" i="37"/>
  <c r="K78" i="37"/>
  <c r="K66" i="37"/>
  <c r="J29" i="37"/>
  <c r="J41" i="37"/>
  <c r="J64" i="37"/>
  <c r="J76" i="37"/>
  <c r="L41" i="37"/>
  <c r="L29" i="37"/>
  <c r="L64" i="37"/>
  <c r="L76" i="37"/>
  <c r="J33" i="37"/>
  <c r="J45" i="37"/>
  <c r="L213" i="37"/>
  <c r="L225" i="37"/>
  <c r="K217" i="37"/>
  <c r="K229" i="37"/>
  <c r="L223" i="37"/>
  <c r="L211" i="37"/>
  <c r="K70" i="37"/>
  <c r="K82" i="37"/>
  <c r="J78" i="37"/>
  <c r="J66" i="37"/>
  <c r="L45" i="37"/>
  <c r="L33" i="37"/>
  <c r="L182" i="37"/>
  <c r="U470" i="37" s="1"/>
  <c r="AB504" i="37" s="1"/>
  <c r="I468" i="7"/>
  <c r="I470" i="7"/>
  <c r="J470" i="7"/>
  <c r="J468" i="7"/>
  <c r="C444" i="8"/>
  <c r="J435" i="8"/>
  <c r="AC404" i="8"/>
  <c r="J444" i="8" s="1"/>
  <c r="B444" i="8"/>
  <c r="H442" i="8"/>
  <c r="H435" i="8"/>
  <c r="AC283" i="8"/>
  <c r="H444" i="8" s="1"/>
  <c r="I442" i="8"/>
  <c r="D444" i="8"/>
  <c r="I444" i="8"/>
  <c r="G449" i="7"/>
  <c r="I149" i="41" s="1"/>
  <c r="H452" i="7"/>
  <c r="J152" i="41" s="1"/>
  <c r="G450" i="7"/>
  <c r="I150" i="41" s="1"/>
  <c r="F450" i="7"/>
  <c r="H150" i="41" s="1"/>
  <c r="F451" i="7"/>
  <c r="H151" i="41" s="1"/>
  <c r="G451" i="7"/>
  <c r="I151" i="41" s="1"/>
  <c r="G452" i="7"/>
  <c r="I152" i="41" s="1"/>
  <c r="F452" i="7"/>
  <c r="H152" i="41" s="1"/>
  <c r="J455" i="7"/>
  <c r="L155" i="41" s="1"/>
  <c r="I441" i="7"/>
  <c r="F439" i="7"/>
  <c r="G439" i="7"/>
  <c r="G442" i="7"/>
  <c r="F441" i="7"/>
  <c r="F435" i="7"/>
  <c r="F442" i="7"/>
  <c r="G441" i="7"/>
  <c r="E126" i="42" l="1"/>
  <c r="E138" i="42" s="1"/>
  <c r="E102" i="42"/>
  <c r="E114" i="42" s="1"/>
  <c r="D458" i="8"/>
  <c r="D476" i="8" s="1"/>
  <c r="F97" i="42"/>
  <c r="C458" i="8"/>
  <c r="C476" i="8" s="1"/>
  <c r="E97" i="42"/>
  <c r="E104" i="42"/>
  <c r="E116" i="42" s="1"/>
  <c r="E128" i="42"/>
  <c r="E140" i="42" s="1"/>
  <c r="D164" i="42"/>
  <c r="D188" i="42"/>
  <c r="D176" i="42"/>
  <c r="E162" i="42"/>
  <c r="E186" i="42"/>
  <c r="E174" i="42"/>
  <c r="D128" i="42"/>
  <c r="D140" i="42" s="1"/>
  <c r="D104" i="42"/>
  <c r="D116" i="42" s="1"/>
  <c r="E247" i="42"/>
  <c r="E198" i="42"/>
  <c r="E235" i="42"/>
  <c r="E14" i="42"/>
  <c r="E51" i="42"/>
  <c r="C21" i="1"/>
  <c r="F205" i="42"/>
  <c r="F254" i="42"/>
  <c r="F242" i="42"/>
  <c r="F58" i="42"/>
  <c r="F21" i="42"/>
  <c r="J22" i="1"/>
  <c r="F112" i="42"/>
  <c r="F77" i="42"/>
  <c r="F65" i="42"/>
  <c r="D248" i="42"/>
  <c r="D199" i="42"/>
  <c r="D236" i="42"/>
  <c r="D15" i="42"/>
  <c r="D52" i="42"/>
  <c r="D20" i="1"/>
  <c r="I456" i="8"/>
  <c r="K95" i="42"/>
  <c r="C471" i="8"/>
  <c r="E153" i="42"/>
  <c r="D250" i="42"/>
  <c r="D201" i="42"/>
  <c r="D238" i="42"/>
  <c r="D54" i="42"/>
  <c r="D17" i="42"/>
  <c r="F20" i="1"/>
  <c r="E248" i="42"/>
  <c r="E199" i="42"/>
  <c r="E236" i="42"/>
  <c r="E52" i="42"/>
  <c r="E15" i="42"/>
  <c r="D21" i="1"/>
  <c r="B471" i="8"/>
  <c r="D153" i="42"/>
  <c r="E136" i="42"/>
  <c r="D108" i="42"/>
  <c r="D120" i="42" s="1"/>
  <c r="D132" i="42"/>
  <c r="E108" i="42"/>
  <c r="E120" i="42" s="1"/>
  <c r="E132" i="42"/>
  <c r="E112" i="42"/>
  <c r="C475" i="8"/>
  <c r="E157" i="42"/>
  <c r="E169" i="42" s="1"/>
  <c r="H449" i="8"/>
  <c r="J88" i="42"/>
  <c r="D249" i="42"/>
  <c r="D200" i="42"/>
  <c r="D237" i="42"/>
  <c r="D53" i="42"/>
  <c r="D16" i="42"/>
  <c r="E20" i="1"/>
  <c r="C474" i="8"/>
  <c r="E156" i="42"/>
  <c r="D475" i="8"/>
  <c r="F157" i="42"/>
  <c r="F169" i="42" s="1"/>
  <c r="F27" i="42"/>
  <c r="F39" i="42"/>
  <c r="C469" i="8"/>
  <c r="E151" i="42"/>
  <c r="F176" i="42"/>
  <c r="F188" i="42"/>
  <c r="F164" i="42"/>
  <c r="J126" i="42"/>
  <c r="J138" i="42" s="1"/>
  <c r="J102" i="42"/>
  <c r="J114" i="42" s="1"/>
  <c r="K165" i="42"/>
  <c r="K177" i="42"/>
  <c r="K189" i="42"/>
  <c r="F224" i="42"/>
  <c r="F212" i="42"/>
  <c r="E250" i="42"/>
  <c r="E201" i="42"/>
  <c r="E238" i="42"/>
  <c r="E54" i="42"/>
  <c r="E17" i="42"/>
  <c r="F21" i="1"/>
  <c r="D107" i="42"/>
  <c r="D119" i="42" s="1"/>
  <c r="D131" i="42"/>
  <c r="D143" i="42" s="1"/>
  <c r="F238" i="42"/>
  <c r="F201" i="42"/>
  <c r="F250" i="42"/>
  <c r="F17" i="42"/>
  <c r="F54" i="42"/>
  <c r="F22" i="1"/>
  <c r="H469" i="8"/>
  <c r="J151" i="42"/>
  <c r="K202" i="42"/>
  <c r="K239" i="42"/>
  <c r="K55" i="42"/>
  <c r="K18" i="42"/>
  <c r="G27" i="1"/>
  <c r="J42" i="42"/>
  <c r="J30" i="42"/>
  <c r="B474" i="8"/>
  <c r="D156" i="42"/>
  <c r="E176" i="42"/>
  <c r="E188" i="42"/>
  <c r="E164" i="42"/>
  <c r="D124" i="42"/>
  <c r="D100" i="42"/>
  <c r="B458" i="8"/>
  <c r="B476" i="8" s="1"/>
  <c r="D97" i="42"/>
  <c r="B467" i="8"/>
  <c r="D149" i="42"/>
  <c r="F64" i="42"/>
  <c r="F76" i="42"/>
  <c r="F161" i="42"/>
  <c r="F185" i="42"/>
  <c r="F173" i="42"/>
  <c r="K100" i="42"/>
  <c r="K124" i="42"/>
  <c r="J67" i="42"/>
  <c r="J79" i="42"/>
  <c r="D175" i="42"/>
  <c r="D163" i="42"/>
  <c r="D187" i="42"/>
  <c r="F108" i="42"/>
  <c r="F120" i="42" s="1"/>
  <c r="F132" i="42"/>
  <c r="H456" i="8"/>
  <c r="J95" i="42"/>
  <c r="D191" i="42"/>
  <c r="D167" i="42"/>
  <c r="D179" i="42"/>
  <c r="K126" i="42"/>
  <c r="K138" i="42" s="1"/>
  <c r="K102" i="42"/>
  <c r="K114" i="42" s="1"/>
  <c r="F104" i="42"/>
  <c r="F116" i="42" s="1"/>
  <c r="F128" i="42"/>
  <c r="F140" i="42" s="1"/>
  <c r="F247" i="42"/>
  <c r="F198" i="42"/>
  <c r="F235" i="42"/>
  <c r="F51" i="42"/>
  <c r="F14" i="42"/>
  <c r="C22" i="1"/>
  <c r="F40" i="42"/>
  <c r="F28" i="42"/>
  <c r="I467" i="8"/>
  <c r="K149" i="42"/>
  <c r="E107" i="42"/>
  <c r="E119" i="42" s="1"/>
  <c r="E131" i="42"/>
  <c r="E143" i="42" s="1"/>
  <c r="B475" i="8"/>
  <c r="D157" i="42"/>
  <c r="D169" i="42" s="1"/>
  <c r="J449" i="8"/>
  <c r="L88" i="42"/>
  <c r="D204" i="42"/>
  <c r="D253" i="42"/>
  <c r="D241" i="42"/>
  <c r="D57" i="42"/>
  <c r="D20" i="42"/>
  <c r="I20" i="1"/>
  <c r="I469" i="8"/>
  <c r="K151" i="42"/>
  <c r="F211" i="42"/>
  <c r="F223" i="42"/>
  <c r="D471" i="8"/>
  <c r="F153" i="42"/>
  <c r="E161" i="42"/>
  <c r="E185" i="42"/>
  <c r="E173" i="42"/>
  <c r="F168" i="42"/>
  <c r="F192" i="42"/>
  <c r="F180" i="42"/>
  <c r="F136" i="42"/>
  <c r="F145" i="42" s="1"/>
  <c r="L428" i="42" s="1"/>
  <c r="AD445" i="42" s="1"/>
  <c r="F133" i="42"/>
  <c r="D162" i="42"/>
  <c r="D186" i="42"/>
  <c r="D174" i="42"/>
  <c r="H458" i="8"/>
  <c r="H476" i="8" s="1"/>
  <c r="J97" i="42"/>
  <c r="J458" i="8"/>
  <c r="J476" i="8" s="1"/>
  <c r="L97" i="42"/>
  <c r="I458" i="8"/>
  <c r="I476" i="8" s="1"/>
  <c r="K97" i="42"/>
  <c r="I100" i="41"/>
  <c r="I124" i="41"/>
  <c r="H101" i="41"/>
  <c r="H113" i="41" s="1"/>
  <c r="H125" i="41"/>
  <c r="H137" i="41" s="1"/>
  <c r="I95" i="41"/>
  <c r="I176" i="41"/>
  <c r="I188" i="41"/>
  <c r="I164" i="41"/>
  <c r="L106" i="41"/>
  <c r="L118" i="41" s="1"/>
  <c r="L130" i="41"/>
  <c r="L142" i="41" s="1"/>
  <c r="H188" i="41"/>
  <c r="H176" i="41"/>
  <c r="H164" i="41"/>
  <c r="I92" i="41"/>
  <c r="I175" i="41"/>
  <c r="I163" i="41"/>
  <c r="I187" i="41"/>
  <c r="D42" i="1"/>
  <c r="L199" i="41"/>
  <c r="L248" i="41"/>
  <c r="L236" i="41"/>
  <c r="L52" i="41"/>
  <c r="L15" i="41"/>
  <c r="I101" i="41"/>
  <c r="I113" i="41" s="1"/>
  <c r="I125" i="41"/>
  <c r="I137" i="41" s="1"/>
  <c r="H94" i="41"/>
  <c r="H92" i="41"/>
  <c r="H187" i="41"/>
  <c r="H163" i="41"/>
  <c r="H175" i="41"/>
  <c r="I94" i="41"/>
  <c r="I186" i="41"/>
  <c r="I174" i="41"/>
  <c r="I162" i="41"/>
  <c r="I126" i="41"/>
  <c r="I138" i="41" s="1"/>
  <c r="I102" i="41"/>
  <c r="I114" i="41" s="1"/>
  <c r="H103" i="41"/>
  <c r="H115" i="41" s="1"/>
  <c r="H127" i="41"/>
  <c r="H139" i="41" s="1"/>
  <c r="H186" i="41"/>
  <c r="H162" i="41"/>
  <c r="H174" i="41"/>
  <c r="F41" i="1"/>
  <c r="K250" i="41"/>
  <c r="K238" i="41"/>
  <c r="K54" i="41"/>
  <c r="K17" i="41"/>
  <c r="K201" i="41"/>
  <c r="H95" i="41"/>
  <c r="K94" i="41"/>
  <c r="J188" i="41"/>
  <c r="J176" i="41"/>
  <c r="J164" i="41"/>
  <c r="F42" i="1"/>
  <c r="L250" i="41"/>
  <c r="L238" i="41"/>
  <c r="L201" i="41"/>
  <c r="L54" i="41"/>
  <c r="L17" i="41"/>
  <c r="D41" i="1"/>
  <c r="K248" i="41"/>
  <c r="K236" i="41"/>
  <c r="K199" i="41"/>
  <c r="K52" i="41"/>
  <c r="K15" i="41"/>
  <c r="H102" i="41"/>
  <c r="H114" i="41" s="1"/>
  <c r="H126" i="41"/>
  <c r="H138" i="41" s="1"/>
  <c r="H88" i="41"/>
  <c r="L179" i="41"/>
  <c r="L191" i="41"/>
  <c r="L167" i="41"/>
  <c r="I161" i="41"/>
  <c r="I185" i="41"/>
  <c r="I173" i="41"/>
  <c r="I127" i="41"/>
  <c r="I139" i="41" s="1"/>
  <c r="I103" i="41"/>
  <c r="I115" i="41" s="1"/>
  <c r="J127" i="41"/>
  <c r="J139" i="41" s="1"/>
  <c r="J103" i="41"/>
  <c r="J115" i="41" s="1"/>
  <c r="L231" i="37"/>
  <c r="R470" i="37" s="1"/>
  <c r="AH503" i="37" s="1"/>
  <c r="L72" i="37"/>
  <c r="G470" i="37" s="1"/>
  <c r="AC501" i="37" s="1"/>
  <c r="K84" i="37"/>
  <c r="I469" i="37" s="1"/>
  <c r="V501" i="37" s="1"/>
  <c r="K47" i="37"/>
  <c r="D469" i="37" s="1"/>
  <c r="T500" i="37" s="1"/>
  <c r="L219" i="37"/>
  <c r="P470" i="37" s="1"/>
  <c r="AA503" i="37" s="1"/>
  <c r="J72" i="37"/>
  <c r="G468" i="37" s="1"/>
  <c r="E501" i="37" s="1"/>
  <c r="J47" i="37"/>
  <c r="D468" i="37" s="1"/>
  <c r="H500" i="37" s="1"/>
  <c r="L84" i="37"/>
  <c r="I470" i="37" s="1"/>
  <c r="AH501" i="37" s="1"/>
  <c r="K72" i="37"/>
  <c r="G469" i="37" s="1"/>
  <c r="Q501" i="37" s="1"/>
  <c r="J35" i="37"/>
  <c r="B468" i="37" s="1"/>
  <c r="F500" i="37" s="1"/>
  <c r="L35" i="37"/>
  <c r="B470" i="37" s="1"/>
  <c r="AD500" i="37" s="1"/>
  <c r="L47" i="37"/>
  <c r="D470" i="37" s="1"/>
  <c r="K35" i="37"/>
  <c r="B469" i="37" s="1"/>
  <c r="R500" i="37" s="1"/>
  <c r="J84" i="37"/>
  <c r="I468" i="37" s="1"/>
  <c r="J501" i="37" s="1"/>
  <c r="J219" i="37"/>
  <c r="P468" i="37" s="1"/>
  <c r="C503" i="37" s="1"/>
  <c r="J231" i="37"/>
  <c r="R468" i="37" s="1"/>
  <c r="J503" i="37" s="1"/>
  <c r="K219" i="37"/>
  <c r="P469" i="37" s="1"/>
  <c r="O503" i="37" s="1"/>
  <c r="K231" i="37"/>
  <c r="R469" i="37" s="1"/>
  <c r="F468" i="7"/>
  <c r="G468" i="7"/>
  <c r="H470" i="7"/>
  <c r="J473" i="7"/>
  <c r="G467" i="7"/>
  <c r="F470" i="7"/>
  <c r="G470" i="7"/>
  <c r="G469" i="7"/>
  <c r="F469" i="7"/>
  <c r="G455" i="7"/>
  <c r="I155" i="41" s="1"/>
  <c r="F456" i="7"/>
  <c r="H156" i="41" s="1"/>
  <c r="I455" i="7"/>
  <c r="K155" i="41" s="1"/>
  <c r="F455" i="7"/>
  <c r="H155" i="41" s="1"/>
  <c r="G453" i="7"/>
  <c r="I153" i="41" s="1"/>
  <c r="F449" i="7"/>
  <c r="H149" i="41" s="1"/>
  <c r="G456" i="7"/>
  <c r="I156" i="41" s="1"/>
  <c r="F453" i="7"/>
  <c r="H153" i="41" s="1"/>
  <c r="BA138" i="7"/>
  <c r="AZ138" i="7"/>
  <c r="AY138" i="7"/>
  <c r="AX138" i="7"/>
  <c r="AV138" i="7"/>
  <c r="AT138" i="7"/>
  <c r="AS138" i="7"/>
  <c r="AR138" i="7"/>
  <c r="AQ138" i="7"/>
  <c r="AP138" i="7"/>
  <c r="AN138" i="7"/>
  <c r="AL138" i="7"/>
  <c r="AK138" i="7"/>
  <c r="AJ138" i="7"/>
  <c r="AI138" i="7"/>
  <c r="AH138" i="7"/>
  <c r="AG138" i="7"/>
  <c r="AF138" i="7"/>
  <c r="AC138" i="7"/>
  <c r="BA136" i="7"/>
  <c r="AX136" i="7"/>
  <c r="AL136" i="7"/>
  <c r="AI136" i="7"/>
  <c r="B159" i="7"/>
  <c r="AC136" i="7" s="1"/>
  <c r="BA135" i="7"/>
  <c r="Z157" i="7"/>
  <c r="Z156" i="7"/>
  <c r="Z155" i="7"/>
  <c r="Z154" i="7"/>
  <c r="Z153" i="7"/>
  <c r="Z152" i="7"/>
  <c r="Z151" i="7"/>
  <c r="Z150" i="7"/>
  <c r="Z149" i="7"/>
  <c r="Z148" i="7"/>
  <c r="Z147" i="7"/>
  <c r="Z146" i="7"/>
  <c r="AC133" i="7"/>
  <c r="B143" i="7"/>
  <c r="B142" i="7"/>
  <c r="B141" i="7"/>
  <c r="B140" i="7"/>
  <c r="B139" i="7"/>
  <c r="AW138" i="7"/>
  <c r="AU138" i="7"/>
  <c r="AO138" i="7"/>
  <c r="AM138" i="7"/>
  <c r="AE138" i="7"/>
  <c r="AD138" i="7"/>
  <c r="B138" i="7"/>
  <c r="B137" i="7"/>
  <c r="AF136" i="7"/>
  <c r="B136" i="7"/>
  <c r="B135" i="7"/>
  <c r="B134" i="7"/>
  <c r="B133" i="7"/>
  <c r="B132" i="7"/>
  <c r="AC127" i="7"/>
  <c r="BA96" i="7"/>
  <c r="AZ96" i="7"/>
  <c r="AY96" i="7"/>
  <c r="AX96" i="7"/>
  <c r="AV96" i="7"/>
  <c r="AU96" i="7"/>
  <c r="AT96" i="7"/>
  <c r="AS96" i="7"/>
  <c r="AQ96" i="7"/>
  <c r="AP96" i="7"/>
  <c r="AO96" i="7"/>
  <c r="AN96" i="7"/>
  <c r="AM96" i="7"/>
  <c r="AL96" i="7"/>
  <c r="AK96" i="7"/>
  <c r="AJ96" i="7"/>
  <c r="AI96" i="7"/>
  <c r="AH96" i="7"/>
  <c r="AG96" i="7"/>
  <c r="AF96" i="7"/>
  <c r="AE96" i="7"/>
  <c r="AD96" i="7"/>
  <c r="AC96" i="7"/>
  <c r="BA94" i="7"/>
  <c r="AX94" i="7"/>
  <c r="V121" i="7"/>
  <c r="AU94" i="7"/>
  <c r="AR94" i="7"/>
  <c r="AO94" i="7"/>
  <c r="AL94" i="7"/>
  <c r="AI94" i="7"/>
  <c r="F121" i="7"/>
  <c r="AF94" i="7"/>
  <c r="B117" i="7"/>
  <c r="B422" i="7" s="1"/>
  <c r="AC399" i="7" s="1"/>
  <c r="J439" i="7" s="1"/>
  <c r="BA93" i="7"/>
  <c r="Z115" i="7"/>
  <c r="Z420" i="7" s="1"/>
  <c r="Z114" i="7"/>
  <c r="Z419" i="7" s="1"/>
  <c r="Z113" i="7"/>
  <c r="Z418" i="7" s="1"/>
  <c r="Z112" i="7"/>
  <c r="Z417" i="7" s="1"/>
  <c r="Z111" i="7"/>
  <c r="Z416" i="7" s="1"/>
  <c r="Z110" i="7"/>
  <c r="Z415" i="7" s="1"/>
  <c r="Z109" i="7"/>
  <c r="Z414" i="7" s="1"/>
  <c r="Z108" i="7"/>
  <c r="Z413" i="7" s="1"/>
  <c r="Z107" i="7"/>
  <c r="Z412" i="7" s="1"/>
  <c r="Z106" i="7"/>
  <c r="Z411" i="7" s="1"/>
  <c r="Z105" i="7"/>
  <c r="Z410" i="7" s="1"/>
  <c r="Z104" i="7"/>
  <c r="Z409" i="7" s="1"/>
  <c r="B101" i="7"/>
  <c r="B406" i="7" s="1"/>
  <c r="B100" i="7"/>
  <c r="B99" i="7"/>
  <c r="B98" i="7"/>
  <c r="B97" i="7"/>
  <c r="AW96" i="7"/>
  <c r="AR96" i="7"/>
  <c r="B96" i="7"/>
  <c r="B95" i="7"/>
  <c r="B94" i="7"/>
  <c r="B93" i="7"/>
  <c r="B92" i="7"/>
  <c r="AC91" i="7"/>
  <c r="B91" i="7"/>
  <c r="B90" i="7"/>
  <c r="B395" i="7" s="1"/>
  <c r="AC86" i="7"/>
  <c r="Z78" i="7"/>
  <c r="Z362" i="7" s="1"/>
  <c r="Y78" i="7"/>
  <c r="Y362" i="7" s="1"/>
  <c r="X78" i="7"/>
  <c r="X362" i="7" s="1"/>
  <c r="W78" i="7"/>
  <c r="W362" i="7" s="1"/>
  <c r="V78" i="7"/>
  <c r="V362" i="7" s="1"/>
  <c r="U78" i="7"/>
  <c r="U362" i="7" s="1"/>
  <c r="T78" i="7"/>
  <c r="T362" i="7" s="1"/>
  <c r="S78" i="7"/>
  <c r="S362" i="7" s="1"/>
  <c r="R78" i="7"/>
  <c r="R362" i="7" s="1"/>
  <c r="Q78" i="7"/>
  <c r="Q362" i="7" s="1"/>
  <c r="P78" i="7"/>
  <c r="P362" i="7" s="1"/>
  <c r="O78" i="7"/>
  <c r="O362" i="7" s="1"/>
  <c r="N78" i="7"/>
  <c r="N362" i="7" s="1"/>
  <c r="M78" i="7"/>
  <c r="M362" i="7" s="1"/>
  <c r="L78" i="7"/>
  <c r="L362" i="7" s="1"/>
  <c r="K78" i="7"/>
  <c r="K362" i="7" s="1"/>
  <c r="J78" i="7"/>
  <c r="J362" i="7" s="1"/>
  <c r="I78" i="7"/>
  <c r="I362" i="7" s="1"/>
  <c r="H78" i="7"/>
  <c r="H362" i="7" s="1"/>
  <c r="G78" i="7"/>
  <c r="G362" i="7" s="1"/>
  <c r="F78" i="7"/>
  <c r="F362" i="7" s="1"/>
  <c r="E78" i="7"/>
  <c r="E362" i="7" s="1"/>
  <c r="D78" i="7"/>
  <c r="D362" i="7" s="1"/>
  <c r="C78" i="7"/>
  <c r="C362" i="7" s="1"/>
  <c r="B78" i="7"/>
  <c r="B362" i="7" s="1"/>
  <c r="BA54" i="7"/>
  <c r="AX54" i="7"/>
  <c r="AU54" i="7"/>
  <c r="AR54" i="7"/>
  <c r="AF54" i="7"/>
  <c r="BA53" i="7"/>
  <c r="Z75" i="7"/>
  <c r="Z359" i="7" s="1"/>
  <c r="Z74" i="7"/>
  <c r="Z358" i="7" s="1"/>
  <c r="Z73" i="7"/>
  <c r="Z357" i="7" s="1"/>
  <c r="Z72" i="7"/>
  <c r="Z356" i="7" s="1"/>
  <c r="Z71" i="7"/>
  <c r="Z355" i="7" s="1"/>
  <c r="Z70" i="7"/>
  <c r="Z354" i="7" s="1"/>
  <c r="Z69" i="7"/>
  <c r="Z353" i="7" s="1"/>
  <c r="Z68" i="7"/>
  <c r="Z352" i="7" s="1"/>
  <c r="Z67" i="7"/>
  <c r="Z351" i="7" s="1"/>
  <c r="Z66" i="7"/>
  <c r="Z350" i="7" s="1"/>
  <c r="Z65" i="7"/>
  <c r="Z349" i="7" s="1"/>
  <c r="Z64" i="7"/>
  <c r="Z348" i="7" s="1"/>
  <c r="AC51" i="7"/>
  <c r="B61" i="7"/>
  <c r="B345" i="7" s="1"/>
  <c r="B60" i="7"/>
  <c r="B59" i="7"/>
  <c r="B58" i="7"/>
  <c r="B57" i="7"/>
  <c r="B56" i="7"/>
  <c r="B55" i="7"/>
  <c r="AL54" i="7"/>
  <c r="B54" i="7"/>
  <c r="B53" i="7"/>
  <c r="B52" i="7"/>
  <c r="B51" i="7"/>
  <c r="B50" i="7"/>
  <c r="B334" i="7" s="1"/>
  <c r="AC46" i="7"/>
  <c r="Z40" i="7"/>
  <c r="Y40" i="7"/>
  <c r="X40" i="7"/>
  <c r="W40" i="7"/>
  <c r="V40" i="7"/>
  <c r="U40" i="7"/>
  <c r="T40" i="7"/>
  <c r="S40" i="7"/>
  <c r="R40" i="7"/>
  <c r="Q40" i="7"/>
  <c r="P40" i="7"/>
  <c r="O40" i="7"/>
  <c r="N40" i="7"/>
  <c r="M40" i="7"/>
  <c r="L40" i="7"/>
  <c r="K40" i="7"/>
  <c r="J40" i="7"/>
  <c r="I40" i="7"/>
  <c r="H40" i="7"/>
  <c r="G40" i="7"/>
  <c r="F40" i="7"/>
  <c r="E40" i="7"/>
  <c r="D40" i="7"/>
  <c r="C40" i="7"/>
  <c r="B40" i="7"/>
  <c r="Z38" i="7"/>
  <c r="Y38" i="7"/>
  <c r="Y302" i="7" s="1"/>
  <c r="X38" i="7"/>
  <c r="X302" i="7" s="1"/>
  <c r="W38" i="7"/>
  <c r="V38" i="7"/>
  <c r="V302" i="7" s="1"/>
  <c r="U38" i="7"/>
  <c r="T38" i="7"/>
  <c r="S38" i="7"/>
  <c r="R38" i="7"/>
  <c r="R302" i="7" s="1"/>
  <c r="Q38" i="7"/>
  <c r="P38" i="7"/>
  <c r="P302" i="7" s="1"/>
  <c r="O38" i="7"/>
  <c r="N38" i="7"/>
  <c r="M38" i="7"/>
  <c r="L38" i="7"/>
  <c r="L302" i="7" s="1"/>
  <c r="K38" i="7"/>
  <c r="J38" i="7"/>
  <c r="J302" i="7" s="1"/>
  <c r="I38" i="7"/>
  <c r="I302" i="7" s="1"/>
  <c r="H38" i="7"/>
  <c r="G38" i="7"/>
  <c r="F38" i="7"/>
  <c r="F302" i="7" s="1"/>
  <c r="E38" i="7"/>
  <c r="D38" i="7"/>
  <c r="D302" i="7" s="1"/>
  <c r="C38" i="7"/>
  <c r="AC16" i="7"/>
  <c r="BA14" i="7"/>
  <c r="AR14" i="7"/>
  <c r="AO14" i="7"/>
  <c r="AL14" i="7"/>
  <c r="AI14" i="7"/>
  <c r="AF14" i="7"/>
  <c r="B37" i="7"/>
  <c r="B301" i="7" s="1"/>
  <c r="AC278" i="7" s="1"/>
  <c r="H439" i="7" s="1"/>
  <c r="Z35" i="7"/>
  <c r="Z299" i="7" s="1"/>
  <c r="Z34" i="7"/>
  <c r="Z298" i="7" s="1"/>
  <c r="Z33" i="7"/>
  <c r="Z297" i="7" s="1"/>
  <c r="Z32" i="7"/>
  <c r="Z296" i="7" s="1"/>
  <c r="Z31" i="7"/>
  <c r="Z295" i="7" s="1"/>
  <c r="Z30" i="7"/>
  <c r="Z294" i="7" s="1"/>
  <c r="Z29" i="7"/>
  <c r="Z293" i="7" s="1"/>
  <c r="Z28" i="7"/>
  <c r="Z292" i="7" s="1"/>
  <c r="Z27" i="7"/>
  <c r="Z291" i="7" s="1"/>
  <c r="Z26" i="7"/>
  <c r="Z290" i="7" s="1"/>
  <c r="Z25" i="7"/>
  <c r="Z289" i="7" s="1"/>
  <c r="Z24" i="7"/>
  <c r="Z288" i="7" s="1"/>
  <c r="B21" i="7"/>
  <c r="B285" i="7" s="1"/>
  <c r="B20" i="7"/>
  <c r="B19" i="7"/>
  <c r="B18" i="7"/>
  <c r="B17" i="7"/>
  <c r="B16" i="7"/>
  <c r="B15" i="7"/>
  <c r="AU14" i="7"/>
  <c r="B14" i="7"/>
  <c r="B13" i="7"/>
  <c r="B12" i="7"/>
  <c r="AC11" i="7"/>
  <c r="B11" i="7"/>
  <c r="B10" i="7"/>
  <c r="B274" i="7" s="1"/>
  <c r="AC6" i="7"/>
  <c r="E158" i="42" l="1"/>
  <c r="F121" i="42"/>
  <c r="M428" i="42" s="1"/>
  <c r="AE445" i="42" s="1"/>
  <c r="E121" i="42"/>
  <c r="M427" i="42" s="1"/>
  <c r="S445" i="42" s="1"/>
  <c r="D202" i="42"/>
  <c r="D239" i="42"/>
  <c r="D55" i="42"/>
  <c r="D18" i="42"/>
  <c r="G20" i="1"/>
  <c r="F165" i="42"/>
  <c r="F177" i="42"/>
  <c r="F182" i="42" s="1"/>
  <c r="U428" i="42" s="1"/>
  <c r="AB447" i="42" s="1"/>
  <c r="F189" i="42"/>
  <c r="F194" i="42" s="1"/>
  <c r="W428" i="42" s="1"/>
  <c r="AG447" i="42" s="1"/>
  <c r="D44" i="42"/>
  <c r="D32" i="42"/>
  <c r="H474" i="8"/>
  <c r="J156" i="42"/>
  <c r="K136" i="42"/>
  <c r="D173" i="42"/>
  <c r="D158" i="42"/>
  <c r="D161" i="42"/>
  <c r="D185" i="42"/>
  <c r="F41" i="42"/>
  <c r="F29" i="42"/>
  <c r="E192" i="42"/>
  <c r="E168" i="42"/>
  <c r="E180" i="42"/>
  <c r="E177" i="42"/>
  <c r="E165" i="42"/>
  <c r="E189" i="42"/>
  <c r="D223" i="42"/>
  <c r="D211" i="42"/>
  <c r="E75" i="42"/>
  <c r="E63" i="42"/>
  <c r="F202" i="42"/>
  <c r="F18" i="42"/>
  <c r="F239" i="42"/>
  <c r="F55" i="42"/>
  <c r="G22" i="1"/>
  <c r="D81" i="42"/>
  <c r="D69" i="42"/>
  <c r="D206" i="42"/>
  <c r="D255" i="42"/>
  <c r="D243" i="42"/>
  <c r="D22" i="42"/>
  <c r="D59" i="42"/>
  <c r="K20" i="1"/>
  <c r="F38" i="42"/>
  <c r="F26" i="42"/>
  <c r="K112" i="42"/>
  <c r="D247" i="42"/>
  <c r="D198" i="42"/>
  <c r="D235" i="42"/>
  <c r="D14" i="42"/>
  <c r="D51" i="42"/>
  <c r="C20" i="1"/>
  <c r="D168" i="42"/>
  <c r="D192" i="42"/>
  <c r="D180" i="42"/>
  <c r="E41" i="42"/>
  <c r="E29" i="42"/>
  <c r="E205" i="42"/>
  <c r="E254" i="42"/>
  <c r="E242" i="42"/>
  <c r="E21" i="42"/>
  <c r="E58" i="42"/>
  <c r="J21" i="1"/>
  <c r="E27" i="42"/>
  <c r="E39" i="42"/>
  <c r="D41" i="42"/>
  <c r="D29" i="42"/>
  <c r="E239" i="42"/>
  <c r="E18" i="42"/>
  <c r="E55" i="42"/>
  <c r="E202" i="42"/>
  <c r="G21" i="1"/>
  <c r="F33" i="42"/>
  <c r="F45" i="42"/>
  <c r="E38" i="42"/>
  <c r="E26" i="42"/>
  <c r="J131" i="42"/>
  <c r="J143" i="42" s="1"/>
  <c r="J107" i="42"/>
  <c r="J119" i="42" s="1"/>
  <c r="F63" i="42"/>
  <c r="F75" i="42"/>
  <c r="D58" i="42"/>
  <c r="D205" i="42"/>
  <c r="D254" i="42"/>
  <c r="D242" i="42"/>
  <c r="D21" i="42"/>
  <c r="J20" i="1"/>
  <c r="F213" i="42"/>
  <c r="F225" i="42"/>
  <c r="E163" i="42"/>
  <c r="E175" i="42"/>
  <c r="E187" i="42"/>
  <c r="J124" i="42"/>
  <c r="J100" i="42"/>
  <c r="E76" i="42"/>
  <c r="E64" i="42"/>
  <c r="K107" i="42"/>
  <c r="K119" i="42" s="1"/>
  <c r="K131" i="42"/>
  <c r="K143" i="42" s="1"/>
  <c r="F70" i="42"/>
  <c r="F82" i="42"/>
  <c r="E207" i="42"/>
  <c r="Q427" i="42" s="1"/>
  <c r="E60" i="42"/>
  <c r="H427" i="42" s="1"/>
  <c r="S444" i="42" s="1"/>
  <c r="E23" i="42"/>
  <c r="C427" i="42" s="1"/>
  <c r="S443" i="42" s="1"/>
  <c r="L21" i="1"/>
  <c r="F158" i="42"/>
  <c r="D207" i="42"/>
  <c r="Q426" i="42" s="1"/>
  <c r="G446" i="42" s="1"/>
  <c r="D60" i="42"/>
  <c r="H426" i="42" s="1"/>
  <c r="G444" i="42" s="1"/>
  <c r="D23" i="42"/>
  <c r="C426" i="42" s="1"/>
  <c r="G443" i="42" s="1"/>
  <c r="L20" i="1"/>
  <c r="E66" i="42"/>
  <c r="E78" i="42"/>
  <c r="E249" i="42"/>
  <c r="E200" i="42"/>
  <c r="E237" i="42"/>
  <c r="E53" i="42"/>
  <c r="E16" i="42"/>
  <c r="E21" i="1"/>
  <c r="D28" i="42"/>
  <c r="D40" i="42"/>
  <c r="H467" i="8"/>
  <c r="J149" i="42"/>
  <c r="D66" i="42"/>
  <c r="D78" i="42"/>
  <c r="I474" i="8"/>
  <c r="K156" i="42"/>
  <c r="K158" i="42" s="1"/>
  <c r="E222" i="42"/>
  <c r="E210" i="42"/>
  <c r="F78" i="42"/>
  <c r="F66" i="42"/>
  <c r="K187" i="42"/>
  <c r="K175" i="42"/>
  <c r="K163" i="42"/>
  <c r="D216" i="42"/>
  <c r="D228" i="42"/>
  <c r="K185" i="42"/>
  <c r="K161" i="42"/>
  <c r="K173" i="42"/>
  <c r="F210" i="42"/>
  <c r="F222" i="42"/>
  <c r="D112" i="42"/>
  <c r="D121" i="42" s="1"/>
  <c r="M426" i="42" s="1"/>
  <c r="G445" i="42" s="1"/>
  <c r="D109" i="42"/>
  <c r="J187" i="42"/>
  <c r="J175" i="42"/>
  <c r="J163" i="42"/>
  <c r="D65" i="42"/>
  <c r="D77" i="42"/>
  <c r="E133" i="42"/>
  <c r="E211" i="42"/>
  <c r="E223" i="42"/>
  <c r="F207" i="42"/>
  <c r="Q428" i="42" s="1"/>
  <c r="AE446" i="42" s="1"/>
  <c r="F60" i="42"/>
  <c r="H428" i="42" s="1"/>
  <c r="AE444" i="42" s="1"/>
  <c r="F23" i="42"/>
  <c r="C428" i="42" s="1"/>
  <c r="AE443" i="42" s="1"/>
  <c r="L22" i="1"/>
  <c r="F206" i="42"/>
  <c r="F255" i="42"/>
  <c r="F256" i="42" s="1"/>
  <c r="AF428" i="42" s="1"/>
  <c r="AE448" i="42" s="1"/>
  <c r="F243" i="42"/>
  <c r="F59" i="42"/>
  <c r="F22" i="42"/>
  <c r="K22" i="1"/>
  <c r="K249" i="42"/>
  <c r="K200" i="42"/>
  <c r="K237" i="42"/>
  <c r="K16" i="42"/>
  <c r="K53" i="42"/>
  <c r="E27" i="1"/>
  <c r="K247" i="42"/>
  <c r="K198" i="42"/>
  <c r="K235" i="42"/>
  <c r="K14" i="42"/>
  <c r="K51" i="42"/>
  <c r="C27" i="1"/>
  <c r="F170" i="42"/>
  <c r="V428" i="42" s="1"/>
  <c r="AE447" i="42" s="1"/>
  <c r="D136" i="42"/>
  <c r="D145" i="42" s="1"/>
  <c r="L426" i="42" s="1"/>
  <c r="F445" i="42" s="1"/>
  <c r="D133" i="42"/>
  <c r="J249" i="42"/>
  <c r="J200" i="42"/>
  <c r="J237" i="42"/>
  <c r="J16" i="42"/>
  <c r="J53" i="42"/>
  <c r="E26" i="1"/>
  <c r="E206" i="42"/>
  <c r="E255" i="42"/>
  <c r="E243" i="42"/>
  <c r="E59" i="42"/>
  <c r="E22" i="42"/>
  <c r="K21" i="1"/>
  <c r="E145" i="42"/>
  <c r="L427" i="42" s="1"/>
  <c r="R445" i="42" s="1"/>
  <c r="D225" i="42"/>
  <c r="D213" i="42"/>
  <c r="D76" i="42"/>
  <c r="D64" i="42"/>
  <c r="F229" i="42"/>
  <c r="F217" i="42"/>
  <c r="J467" i="8"/>
  <c r="L149" i="42"/>
  <c r="K67" i="42"/>
  <c r="K79" i="42"/>
  <c r="L124" i="42"/>
  <c r="L100" i="42"/>
  <c r="K30" i="42"/>
  <c r="K42" i="42"/>
  <c r="E213" i="42"/>
  <c r="E225" i="42"/>
  <c r="D212" i="42"/>
  <c r="D224" i="42"/>
  <c r="E109" i="42"/>
  <c r="D165" i="42"/>
  <c r="D189" i="42"/>
  <c r="D177" i="42"/>
  <c r="D182" i="42" s="1"/>
  <c r="U426" i="42" s="1"/>
  <c r="D447" i="42" s="1"/>
  <c r="D27" i="42"/>
  <c r="D39" i="42"/>
  <c r="F109" i="42"/>
  <c r="L27" i="1"/>
  <c r="K60" i="42"/>
  <c r="H433" i="42" s="1"/>
  <c r="S465" i="42" s="1"/>
  <c r="K23" i="42"/>
  <c r="C433" i="42" s="1"/>
  <c r="S464" i="42" s="1"/>
  <c r="K207" i="42"/>
  <c r="Q433" i="42" s="1"/>
  <c r="S467" i="42" s="1"/>
  <c r="L28" i="1"/>
  <c r="L60" i="42"/>
  <c r="H434" i="42" s="1"/>
  <c r="AE465" i="42" s="1"/>
  <c r="L23" i="42"/>
  <c r="C434" i="42" s="1"/>
  <c r="AE464" i="42" s="1"/>
  <c r="L207" i="42"/>
  <c r="Q434" i="42" s="1"/>
  <c r="AE467" i="42" s="1"/>
  <c r="L26" i="1"/>
  <c r="J60" i="42"/>
  <c r="H432" i="42" s="1"/>
  <c r="G465" i="42" s="1"/>
  <c r="J23" i="42"/>
  <c r="C432" i="42" s="1"/>
  <c r="G464" i="42" s="1"/>
  <c r="J207" i="42"/>
  <c r="Q432" i="42" s="1"/>
  <c r="G467" i="42" s="1"/>
  <c r="H180" i="41"/>
  <c r="H168" i="41"/>
  <c r="H192" i="41"/>
  <c r="I263" i="41"/>
  <c r="I287" i="41"/>
  <c r="I250" i="41"/>
  <c r="I275" i="41"/>
  <c r="I238" i="41"/>
  <c r="I54" i="41"/>
  <c r="I201" i="41"/>
  <c r="I17" i="41"/>
  <c r="K64" i="41"/>
  <c r="K76" i="41"/>
  <c r="L41" i="41"/>
  <c r="L29" i="41"/>
  <c r="H130" i="41"/>
  <c r="H142" i="41" s="1"/>
  <c r="H106" i="41"/>
  <c r="H118" i="41" s="1"/>
  <c r="I104" i="41"/>
  <c r="I116" i="41" s="1"/>
  <c r="I128" i="41"/>
  <c r="I140" i="41" s="1"/>
  <c r="J92" i="41"/>
  <c r="L92" i="41"/>
  <c r="I191" i="41"/>
  <c r="I179" i="41"/>
  <c r="I167" i="41"/>
  <c r="K223" i="41"/>
  <c r="K211" i="41"/>
  <c r="L78" i="41"/>
  <c r="L66" i="41"/>
  <c r="K41" i="41"/>
  <c r="K29" i="41"/>
  <c r="I130" i="41"/>
  <c r="I142" i="41" s="1"/>
  <c r="I106" i="41"/>
  <c r="I118" i="41" s="1"/>
  <c r="H263" i="41"/>
  <c r="H201" i="41"/>
  <c r="H287" i="41"/>
  <c r="H250" i="41"/>
  <c r="H275" i="41"/>
  <c r="H238" i="41"/>
  <c r="H17" i="41"/>
  <c r="H54" i="41"/>
  <c r="H236" i="41"/>
  <c r="H285" i="41"/>
  <c r="H273" i="41"/>
  <c r="H199" i="41"/>
  <c r="H52" i="41"/>
  <c r="H15" i="41"/>
  <c r="H261" i="41"/>
  <c r="H248" i="41"/>
  <c r="K78" i="41"/>
  <c r="K66" i="41"/>
  <c r="L223" i="41"/>
  <c r="L211" i="41"/>
  <c r="I107" i="41"/>
  <c r="I119" i="41" s="1"/>
  <c r="I131" i="41"/>
  <c r="I143" i="41" s="1"/>
  <c r="H165" i="41"/>
  <c r="H189" i="41"/>
  <c r="H177" i="41"/>
  <c r="I192" i="41"/>
  <c r="I180" i="41"/>
  <c r="I168" i="41"/>
  <c r="H100" i="41"/>
  <c r="H124" i="41"/>
  <c r="L225" i="41"/>
  <c r="L213" i="41"/>
  <c r="K106" i="41"/>
  <c r="K118" i="41" s="1"/>
  <c r="K130" i="41"/>
  <c r="K142" i="41" s="1"/>
  <c r="H185" i="41"/>
  <c r="H173" i="41"/>
  <c r="H161" i="41"/>
  <c r="I274" i="41"/>
  <c r="I200" i="41"/>
  <c r="I262" i="41"/>
  <c r="I286" i="41"/>
  <c r="I249" i="41"/>
  <c r="I237" i="41"/>
  <c r="I16" i="41"/>
  <c r="I53" i="41"/>
  <c r="I235" i="41"/>
  <c r="I260" i="41"/>
  <c r="I284" i="41"/>
  <c r="I272" i="41"/>
  <c r="I51" i="41"/>
  <c r="I14" i="41"/>
  <c r="I198" i="41"/>
  <c r="I247" i="41"/>
  <c r="I165" i="41"/>
  <c r="I189" i="41"/>
  <c r="I177" i="41"/>
  <c r="H274" i="41"/>
  <c r="H200" i="41"/>
  <c r="H262" i="41"/>
  <c r="H286" i="41"/>
  <c r="H249" i="41"/>
  <c r="H16" i="41"/>
  <c r="H237" i="41"/>
  <c r="H53" i="41"/>
  <c r="I42" i="1"/>
  <c r="L204" i="41"/>
  <c r="L253" i="41"/>
  <c r="L241" i="41"/>
  <c r="L20" i="41"/>
  <c r="L57" i="41"/>
  <c r="H107" i="41"/>
  <c r="H119" i="41" s="1"/>
  <c r="H131" i="41"/>
  <c r="H143" i="41" s="1"/>
  <c r="L27" i="41"/>
  <c r="L39" i="41"/>
  <c r="H191" i="41"/>
  <c r="H167" i="41"/>
  <c r="H179" i="41"/>
  <c r="I285" i="41"/>
  <c r="I273" i="41"/>
  <c r="I261" i="41"/>
  <c r="I248" i="41"/>
  <c r="I15" i="41"/>
  <c r="I52" i="41"/>
  <c r="I236" i="41"/>
  <c r="I199" i="41"/>
  <c r="H128" i="41"/>
  <c r="H140" i="41" s="1"/>
  <c r="H104" i="41"/>
  <c r="H116" i="41" s="1"/>
  <c r="L76" i="41"/>
  <c r="L64" i="41"/>
  <c r="I136" i="41"/>
  <c r="K167" i="41"/>
  <c r="K191" i="41"/>
  <c r="K179" i="41"/>
  <c r="F40" i="1"/>
  <c r="J201" i="41"/>
  <c r="J250" i="41"/>
  <c r="J238" i="41"/>
  <c r="J54" i="41"/>
  <c r="J17" i="41"/>
  <c r="K39" i="41"/>
  <c r="K27" i="41"/>
  <c r="K225" i="41"/>
  <c r="K213" i="41"/>
  <c r="I112" i="41"/>
  <c r="F39" i="1"/>
  <c r="E39" i="1"/>
  <c r="C39" i="1"/>
  <c r="E38" i="1"/>
  <c r="D39" i="1"/>
  <c r="F38" i="1"/>
  <c r="D38" i="1"/>
  <c r="AF500" i="37"/>
  <c r="V503" i="37"/>
  <c r="G471" i="7"/>
  <c r="F473" i="7"/>
  <c r="I473" i="7"/>
  <c r="F474" i="7"/>
  <c r="G473" i="7"/>
  <c r="F471" i="7"/>
  <c r="F467" i="7"/>
  <c r="G474" i="7"/>
  <c r="H453" i="7"/>
  <c r="J153" i="41" s="1"/>
  <c r="J453" i="7"/>
  <c r="L153" i="41" s="1"/>
  <c r="D43" i="29"/>
  <c r="B401" i="7"/>
  <c r="BA397" i="7"/>
  <c r="Z427" i="7"/>
  <c r="D38" i="29"/>
  <c r="B396" i="7"/>
  <c r="D44" i="29"/>
  <c r="B402" i="7"/>
  <c r="D39" i="29"/>
  <c r="B397" i="7"/>
  <c r="D45" i="29"/>
  <c r="B403" i="7"/>
  <c r="D40" i="29"/>
  <c r="B398" i="7"/>
  <c r="D46" i="29"/>
  <c r="B404" i="7"/>
  <c r="D41" i="29"/>
  <c r="B399" i="7"/>
  <c r="D47" i="29"/>
  <c r="B405" i="7"/>
  <c r="D42" i="29"/>
  <c r="B400" i="7"/>
  <c r="AU56" i="7"/>
  <c r="C40" i="29"/>
  <c r="B337" i="7"/>
  <c r="C47" i="29"/>
  <c r="B344" i="7"/>
  <c r="AF56" i="7"/>
  <c r="AN56" i="7"/>
  <c r="AV56" i="7"/>
  <c r="AL56" i="7"/>
  <c r="AM56" i="7"/>
  <c r="C41" i="29"/>
  <c r="B338" i="7"/>
  <c r="AG56" i="7"/>
  <c r="AO56" i="7"/>
  <c r="AW56" i="7"/>
  <c r="C38" i="29"/>
  <c r="B335" i="7"/>
  <c r="AH56" i="7"/>
  <c r="AP56" i="7"/>
  <c r="AX56" i="7"/>
  <c r="C46" i="29"/>
  <c r="B343" i="7"/>
  <c r="C42" i="29"/>
  <c r="B339" i="7"/>
  <c r="BA336" i="7"/>
  <c r="I437" i="7" s="1"/>
  <c r="AI56" i="7"/>
  <c r="AQ56" i="7"/>
  <c r="AY56" i="7"/>
  <c r="C45" i="29"/>
  <c r="B342" i="7"/>
  <c r="AD56" i="7"/>
  <c r="C43" i="29"/>
  <c r="B340" i="7"/>
  <c r="AJ56" i="7"/>
  <c r="AR56" i="7"/>
  <c r="AZ56" i="7"/>
  <c r="AT56" i="7"/>
  <c r="C39" i="29"/>
  <c r="B336" i="7"/>
  <c r="AE56" i="7"/>
  <c r="C44" i="29"/>
  <c r="B341" i="7"/>
  <c r="AC56" i="7"/>
  <c r="AC341" i="7"/>
  <c r="AK56" i="7"/>
  <c r="AS56" i="7"/>
  <c r="BA56" i="7"/>
  <c r="BA341" i="7"/>
  <c r="BA276" i="7"/>
  <c r="H437" i="7" s="1"/>
  <c r="AH16" i="7"/>
  <c r="G302" i="7"/>
  <c r="AP16" i="7"/>
  <c r="O302" i="7"/>
  <c r="AX16" i="7"/>
  <c r="W302" i="7"/>
  <c r="AG15" i="7"/>
  <c r="AG280" i="7"/>
  <c r="AO15" i="7"/>
  <c r="AO280" i="7"/>
  <c r="AW15" i="7"/>
  <c r="AW280" i="7"/>
  <c r="AG281" i="7"/>
  <c r="F306" i="7"/>
  <c r="AF15" i="7"/>
  <c r="AF280" i="7"/>
  <c r="B42" i="29"/>
  <c r="B279" i="7"/>
  <c r="AI16" i="7"/>
  <c r="H302" i="7"/>
  <c r="AQ281" i="7"/>
  <c r="P306" i="7"/>
  <c r="AY281" i="7"/>
  <c r="AH15" i="7"/>
  <c r="AH280" i="7"/>
  <c r="AP15" i="7"/>
  <c r="AP280" i="7"/>
  <c r="AX15" i="7"/>
  <c r="AX280" i="7"/>
  <c r="AW281" i="7"/>
  <c r="B43" i="29"/>
  <c r="B280" i="7"/>
  <c r="AJ281" i="7"/>
  <c r="AR16" i="7"/>
  <c r="Q302" i="7"/>
  <c r="AZ281" i="7"/>
  <c r="AI15" i="7"/>
  <c r="AI280" i="7"/>
  <c r="AQ15" i="7"/>
  <c r="AQ280" i="7"/>
  <c r="AY15" i="7"/>
  <c r="AY280" i="7"/>
  <c r="B38" i="29"/>
  <c r="B275" i="7"/>
  <c r="B44" i="29"/>
  <c r="B281" i="7"/>
  <c r="AK281" i="7"/>
  <c r="AS281" i="7"/>
  <c r="BA16" i="7"/>
  <c r="Z302" i="7"/>
  <c r="BA281" i="7" s="1"/>
  <c r="AJ15" i="7"/>
  <c r="AJ280" i="7"/>
  <c r="AR15" i="7"/>
  <c r="AR280" i="7"/>
  <c r="AZ15" i="7"/>
  <c r="AZ280" i="7"/>
  <c r="AD16" i="7"/>
  <c r="C302" i="7"/>
  <c r="AL16" i="7"/>
  <c r="K302" i="7"/>
  <c r="AT16" i="7"/>
  <c r="S302" i="7"/>
  <c r="AC15" i="7"/>
  <c r="AC280" i="7"/>
  <c r="AK15" i="7"/>
  <c r="AK280" i="7"/>
  <c r="AS15" i="7"/>
  <c r="AS280" i="7"/>
  <c r="BA15" i="7"/>
  <c r="BA280" i="7"/>
  <c r="B41" i="29"/>
  <c r="B278" i="7"/>
  <c r="AO16" i="7"/>
  <c r="N302" i="7"/>
  <c r="AN15" i="7"/>
  <c r="AN280" i="7"/>
  <c r="B45" i="29"/>
  <c r="B282" i="7"/>
  <c r="B46" i="29"/>
  <c r="B283" i="7"/>
  <c r="AE281" i="7"/>
  <c r="AM281" i="7"/>
  <c r="AU16" i="7"/>
  <c r="T302" i="7"/>
  <c r="AD15" i="7"/>
  <c r="AD280" i="7"/>
  <c r="AL15" i="7"/>
  <c r="AL280" i="7"/>
  <c r="AT15" i="7"/>
  <c r="AT280" i="7"/>
  <c r="AV15" i="7"/>
  <c r="AV280" i="7"/>
  <c r="B39" i="29"/>
  <c r="B276" i="7"/>
  <c r="B40" i="29"/>
  <c r="B277" i="7"/>
  <c r="B47" i="29"/>
  <c r="B284" i="7"/>
  <c r="AF16" i="7"/>
  <c r="E302" i="7"/>
  <c r="AN16" i="7"/>
  <c r="M302" i="7"/>
  <c r="AV16" i="7"/>
  <c r="U302" i="7"/>
  <c r="AE15" i="7"/>
  <c r="AE280" i="7"/>
  <c r="AM15" i="7"/>
  <c r="AM280" i="7"/>
  <c r="AU15" i="7"/>
  <c r="AU280" i="7"/>
  <c r="AC132" i="7"/>
  <c r="E435" i="7" s="1"/>
  <c r="AT404" i="7"/>
  <c r="AL404" i="7"/>
  <c r="AD404" i="7"/>
  <c r="AS404" i="7"/>
  <c r="AK404" i="7"/>
  <c r="AZ404" i="7"/>
  <c r="AR404" i="7"/>
  <c r="AJ404" i="7"/>
  <c r="AY404" i="7"/>
  <c r="AQ404" i="7"/>
  <c r="AI404" i="7"/>
  <c r="AX404" i="7"/>
  <c r="AP404" i="7"/>
  <c r="AH404" i="7"/>
  <c r="AW404" i="7"/>
  <c r="AV404" i="7"/>
  <c r="AN404" i="7"/>
  <c r="AF404" i="7"/>
  <c r="AO404" i="7"/>
  <c r="AU404" i="7"/>
  <c r="AM404" i="7"/>
  <c r="AE404" i="7"/>
  <c r="AG404" i="7"/>
  <c r="AI221" i="7"/>
  <c r="AQ221" i="7"/>
  <c r="AY221" i="7"/>
  <c r="AE180" i="7"/>
  <c r="AM180" i="7"/>
  <c r="AU180" i="7"/>
  <c r="AD139" i="7"/>
  <c r="AL139" i="7"/>
  <c r="AL140" i="7" s="1"/>
  <c r="AT139" i="7"/>
  <c r="AT140" i="7" s="1"/>
  <c r="AC139" i="7"/>
  <c r="AC180" i="7"/>
  <c r="AJ221" i="7"/>
  <c r="AR221" i="7"/>
  <c r="AZ221" i="7"/>
  <c r="AF180" i="7"/>
  <c r="AN180" i="7"/>
  <c r="AV180" i="7"/>
  <c r="AE139" i="7"/>
  <c r="AM139" i="7"/>
  <c r="AM140" i="7" s="1"/>
  <c r="AU139" i="7"/>
  <c r="AK139" i="7"/>
  <c r="AK221" i="7"/>
  <c r="AS221" i="7"/>
  <c r="BA221" i="7"/>
  <c r="AG180" i="7"/>
  <c r="AO180" i="7"/>
  <c r="AW180" i="7"/>
  <c r="AF139" i="7"/>
  <c r="AF140" i="7" s="1"/>
  <c r="AN139" i="7"/>
  <c r="AN140" i="7" s="1"/>
  <c r="AV139" i="7"/>
  <c r="AV140" i="7" s="1"/>
  <c r="AS139" i="7"/>
  <c r="AS140" i="7" s="1"/>
  <c r="AD221" i="7"/>
  <c r="AL221" i="7"/>
  <c r="AT221" i="7"/>
  <c r="AC221" i="7"/>
  <c r="AH180" i="7"/>
  <c r="AP180" i="7"/>
  <c r="AX180" i="7"/>
  <c r="AG139" i="7"/>
  <c r="AO139" i="7"/>
  <c r="AW139" i="7"/>
  <c r="AW140" i="7" s="1"/>
  <c r="AH221" i="7"/>
  <c r="AL180" i="7"/>
  <c r="AE221" i="7"/>
  <c r="AM221" i="7"/>
  <c r="AU221" i="7"/>
  <c r="AI180" i="7"/>
  <c r="AQ180" i="7"/>
  <c r="AY180" i="7"/>
  <c r="AH139" i="7"/>
  <c r="AH140" i="7" s="1"/>
  <c r="AP139" i="7"/>
  <c r="AP140" i="7" s="1"/>
  <c r="AX139" i="7"/>
  <c r="AX140" i="7" s="1"/>
  <c r="AF221" i="7"/>
  <c r="AN221" i="7"/>
  <c r="AV221" i="7"/>
  <c r="AJ180" i="7"/>
  <c r="AR180" i="7"/>
  <c r="AZ180" i="7"/>
  <c r="AI139" i="7"/>
  <c r="AI140" i="7" s="1"/>
  <c r="AQ139" i="7"/>
  <c r="AQ140" i="7" s="1"/>
  <c r="AY139" i="7"/>
  <c r="AY140" i="7" s="1"/>
  <c r="AP221" i="7"/>
  <c r="AD180" i="7"/>
  <c r="BA139" i="7"/>
  <c r="AG221" i="7"/>
  <c r="AO221" i="7"/>
  <c r="AW221" i="7"/>
  <c r="AK180" i="7"/>
  <c r="AS180" i="7"/>
  <c r="BA180" i="7"/>
  <c r="AJ139" i="7"/>
  <c r="AJ140" i="7" s="1"/>
  <c r="AR139" i="7"/>
  <c r="AZ139" i="7"/>
  <c r="AZ140" i="7" s="1"/>
  <c r="AX221" i="7"/>
  <c r="AT180" i="7"/>
  <c r="B37" i="29"/>
  <c r="AC10" i="7"/>
  <c r="B435" i="7" s="1"/>
  <c r="D88" i="41" s="1"/>
  <c r="D37" i="29"/>
  <c r="AC90" i="7"/>
  <c r="C37" i="29"/>
  <c r="AC50" i="7"/>
  <c r="C435" i="7" s="1"/>
  <c r="D41" i="7"/>
  <c r="L41" i="7"/>
  <c r="AN17" i="7"/>
  <c r="AI57" i="7"/>
  <c r="AT97" i="7"/>
  <c r="AT98" i="7" s="1"/>
  <c r="BA17" i="7"/>
  <c r="AM97" i="7"/>
  <c r="AM98" i="7" s="1"/>
  <c r="AL57" i="7"/>
  <c r="AR17" i="7"/>
  <c r="AM57" i="7"/>
  <c r="AK17" i="7"/>
  <c r="AS17" i="7"/>
  <c r="AQ57" i="7"/>
  <c r="AF17" i="7"/>
  <c r="AV17" i="7"/>
  <c r="AT57" i="7"/>
  <c r="AD97" i="7"/>
  <c r="AD98" i="7" s="1"/>
  <c r="AE57" i="7"/>
  <c r="AO17" i="7"/>
  <c r="AG17" i="7"/>
  <c r="AW17" i="7"/>
  <c r="AU57" i="7"/>
  <c r="AE97" i="7"/>
  <c r="AU97" i="7"/>
  <c r="AU98" i="7" s="1"/>
  <c r="AJ17" i="7"/>
  <c r="AZ17" i="7"/>
  <c r="AD57" i="7"/>
  <c r="AY57" i="7"/>
  <c r="AY58" i="7" s="1"/>
  <c r="AL97" i="7"/>
  <c r="AC14" i="7"/>
  <c r="AH17" i="7"/>
  <c r="AP17" i="7"/>
  <c r="AX17" i="7"/>
  <c r="AF57" i="7"/>
  <c r="AN57" i="7"/>
  <c r="AV57" i="7"/>
  <c r="AF97" i="7"/>
  <c r="AN97" i="7"/>
  <c r="AN98" i="7" s="1"/>
  <c r="AV97" i="7"/>
  <c r="AV98" i="7" s="1"/>
  <c r="AC17" i="7"/>
  <c r="AI17" i="7"/>
  <c r="AQ17" i="7"/>
  <c r="AY17" i="7"/>
  <c r="AG57" i="7"/>
  <c r="AO57" i="7"/>
  <c r="AW57" i="7"/>
  <c r="AG97" i="7"/>
  <c r="AO97" i="7"/>
  <c r="AW97" i="7"/>
  <c r="AW98" i="7" s="1"/>
  <c r="AC94" i="7"/>
  <c r="D439" i="7" s="1"/>
  <c r="F41" i="7"/>
  <c r="V41" i="7"/>
  <c r="AH57" i="7"/>
  <c r="AP57" i="7"/>
  <c r="AP58" i="7" s="1"/>
  <c r="AX57" i="7"/>
  <c r="AX58" i="7" s="1"/>
  <c r="AC54" i="7"/>
  <c r="AH97" i="7"/>
  <c r="AP97" i="7"/>
  <c r="AX97" i="7"/>
  <c r="AX98" i="7" s="1"/>
  <c r="AQ97" i="7"/>
  <c r="AQ98" i="7" s="1"/>
  <c r="AY97" i="7"/>
  <c r="AD17" i="7"/>
  <c r="AL17" i="7"/>
  <c r="AT17" i="7"/>
  <c r="AJ57" i="7"/>
  <c r="AR57" i="7"/>
  <c r="AZ57" i="7"/>
  <c r="AJ97" i="7"/>
  <c r="AJ98" i="7" s="1"/>
  <c r="AR97" i="7"/>
  <c r="AZ97" i="7"/>
  <c r="AI97" i="7"/>
  <c r="AI98" i="7" s="1"/>
  <c r="AE17" i="7"/>
  <c r="AM17" i="7"/>
  <c r="AU17" i="7"/>
  <c r="AC57" i="7"/>
  <c r="AK57" i="7"/>
  <c r="AS57" i="7"/>
  <c r="BA57" i="7"/>
  <c r="AC97" i="7"/>
  <c r="AK97" i="7"/>
  <c r="AK98" i="7" s="1"/>
  <c r="AS97" i="7"/>
  <c r="AS98" i="7" s="1"/>
  <c r="BA97" i="7"/>
  <c r="W41" i="7"/>
  <c r="G41" i="7"/>
  <c r="AM16" i="7"/>
  <c r="D442" i="7"/>
  <c r="D438" i="7"/>
  <c r="E436" i="7"/>
  <c r="B436" i="7"/>
  <c r="C438" i="7"/>
  <c r="C441" i="7"/>
  <c r="B438" i="7"/>
  <c r="E442" i="7"/>
  <c r="C436" i="7"/>
  <c r="E438" i="7"/>
  <c r="D436" i="7"/>
  <c r="V81" i="7"/>
  <c r="J121" i="7"/>
  <c r="R121" i="7"/>
  <c r="T41" i="7"/>
  <c r="P41" i="7"/>
  <c r="X41" i="7"/>
  <c r="F163" i="7"/>
  <c r="N163" i="7"/>
  <c r="V163" i="7"/>
  <c r="AE16" i="7"/>
  <c r="AG16" i="7"/>
  <c r="AW16" i="7"/>
  <c r="J41" i="7"/>
  <c r="R41" i="7"/>
  <c r="BA92" i="7"/>
  <c r="X163" i="7"/>
  <c r="C41" i="7"/>
  <c r="I163" i="7"/>
  <c r="Q163" i="7"/>
  <c r="Y163" i="7"/>
  <c r="I41" i="7"/>
  <c r="Y41" i="7"/>
  <c r="S81" i="7"/>
  <c r="C81" i="7"/>
  <c r="K41" i="7"/>
  <c r="AK16" i="7"/>
  <c r="H81" i="7"/>
  <c r="P81" i="7"/>
  <c r="X81" i="7"/>
  <c r="D163" i="7"/>
  <c r="L163" i="7"/>
  <c r="T163" i="7"/>
  <c r="J163" i="7"/>
  <c r="I81" i="7"/>
  <c r="Y81" i="7"/>
  <c r="K121" i="7"/>
  <c r="E163" i="7"/>
  <c r="M163" i="7"/>
  <c r="U163" i="7"/>
  <c r="H163" i="7"/>
  <c r="N81" i="7"/>
  <c r="E81" i="7"/>
  <c r="C121" i="7"/>
  <c r="S121" i="7"/>
  <c r="N121" i="7"/>
  <c r="B41" i="7"/>
  <c r="AS16" i="7"/>
  <c r="N41" i="7"/>
  <c r="D121" i="7"/>
  <c r="L121" i="7"/>
  <c r="T121" i="7"/>
  <c r="B163" i="7"/>
  <c r="Z163" i="7"/>
  <c r="R163" i="7"/>
  <c r="Z41" i="7"/>
  <c r="H41" i="7"/>
  <c r="S41" i="7"/>
  <c r="B81" i="7"/>
  <c r="K81" i="7"/>
  <c r="AO136" i="7"/>
  <c r="BA12" i="7"/>
  <c r="B437" i="7" s="1"/>
  <c r="I121" i="7"/>
  <c r="Y121" i="7"/>
  <c r="AR136" i="7"/>
  <c r="P163" i="7"/>
  <c r="G163" i="7"/>
  <c r="O163" i="7"/>
  <c r="W163" i="7"/>
  <c r="BA52" i="7"/>
  <c r="AU136" i="7"/>
  <c r="Q81" i="7"/>
  <c r="G121" i="7"/>
  <c r="O121" i="7"/>
  <c r="W121" i="7"/>
  <c r="H121" i="7"/>
  <c r="X121" i="7"/>
  <c r="O41" i="7"/>
  <c r="AX14" i="7"/>
  <c r="E41" i="7"/>
  <c r="M41" i="7"/>
  <c r="U41" i="7"/>
  <c r="G81" i="7"/>
  <c r="O81" i="7"/>
  <c r="W81" i="7"/>
  <c r="AQ16" i="7"/>
  <c r="AY16" i="7"/>
  <c r="J81" i="7"/>
  <c r="R81" i="7"/>
  <c r="P121" i="7"/>
  <c r="F81" i="7"/>
  <c r="AJ16" i="7"/>
  <c r="AZ16" i="7"/>
  <c r="Q41" i="7"/>
  <c r="AO54" i="7"/>
  <c r="Z121" i="7"/>
  <c r="Q121" i="7"/>
  <c r="AI54" i="7"/>
  <c r="Z81" i="7"/>
  <c r="D81" i="7"/>
  <c r="L81" i="7"/>
  <c r="T81" i="7"/>
  <c r="E121" i="7"/>
  <c r="M121" i="7"/>
  <c r="U121" i="7"/>
  <c r="BA134" i="7"/>
  <c r="E437" i="7" s="1"/>
  <c r="M81" i="7"/>
  <c r="U81" i="7"/>
  <c r="C163" i="7"/>
  <c r="K163" i="7"/>
  <c r="S163" i="7"/>
  <c r="B121" i="7"/>
  <c r="E182" i="42" l="1"/>
  <c r="U427" i="42" s="1"/>
  <c r="P447" i="42" s="1"/>
  <c r="E194" i="42"/>
  <c r="W427" i="42" s="1"/>
  <c r="U447" i="42" s="1"/>
  <c r="E170" i="42"/>
  <c r="V427" i="42" s="1"/>
  <c r="S447" i="42" s="1"/>
  <c r="K121" i="42"/>
  <c r="M433" i="42" s="1"/>
  <c r="S466" i="42" s="1"/>
  <c r="AZ58" i="7"/>
  <c r="E256" i="42"/>
  <c r="AF427" i="42" s="1"/>
  <c r="S448" i="42" s="1"/>
  <c r="K109" i="42"/>
  <c r="F244" i="42"/>
  <c r="AE428" i="42" s="1"/>
  <c r="D194" i="42"/>
  <c r="W426" i="42" s="1"/>
  <c r="I447" i="42" s="1"/>
  <c r="D256" i="42"/>
  <c r="AF426" i="42" s="1"/>
  <c r="G448" i="42" s="1"/>
  <c r="E230" i="42"/>
  <c r="E218" i="42"/>
  <c r="J212" i="42"/>
  <c r="J224" i="42"/>
  <c r="D70" i="42"/>
  <c r="D82" i="42"/>
  <c r="E45" i="42"/>
  <c r="E33" i="42"/>
  <c r="D34" i="42"/>
  <c r="D46" i="42"/>
  <c r="K133" i="42"/>
  <c r="J247" i="42"/>
  <c r="J198" i="42"/>
  <c r="J235" i="42"/>
  <c r="J14" i="42"/>
  <c r="J51" i="42"/>
  <c r="C26" i="1"/>
  <c r="E224" i="42"/>
  <c r="E212" i="42"/>
  <c r="E82" i="42"/>
  <c r="E70" i="42"/>
  <c r="D71" i="42"/>
  <c r="D83" i="42"/>
  <c r="L173" i="42"/>
  <c r="L182" i="42" s="1"/>
  <c r="U434" i="42" s="1"/>
  <c r="AB468" i="42" s="1"/>
  <c r="L185" i="42"/>
  <c r="L194" i="42" s="1"/>
  <c r="W434" i="42" s="1"/>
  <c r="AG468" i="42" s="1"/>
  <c r="L161" i="42"/>
  <c r="L170" i="42" s="1"/>
  <c r="V434" i="42" s="1"/>
  <c r="AE468" i="42" s="1"/>
  <c r="L158" i="42"/>
  <c r="K75" i="42"/>
  <c r="K63" i="42"/>
  <c r="K77" i="42"/>
  <c r="K65" i="42"/>
  <c r="F46" i="42"/>
  <c r="F34" i="42"/>
  <c r="E244" i="42"/>
  <c r="AE427" i="42" s="1"/>
  <c r="F67" i="42"/>
  <c r="F79" i="42"/>
  <c r="K145" i="42"/>
  <c r="L433" i="42" s="1"/>
  <c r="R466" i="42" s="1"/>
  <c r="L247" i="42"/>
  <c r="L256" i="42" s="1"/>
  <c r="AF434" i="42" s="1"/>
  <c r="AE472" i="42" s="1"/>
  <c r="L198" i="42"/>
  <c r="L235" i="42"/>
  <c r="L244" i="42" s="1"/>
  <c r="AE434" i="42" s="1"/>
  <c r="L14" i="42"/>
  <c r="L51" i="42"/>
  <c r="C28" i="1"/>
  <c r="K26" i="42"/>
  <c r="K38" i="42"/>
  <c r="K40" i="42"/>
  <c r="K28" i="42"/>
  <c r="F83" i="42"/>
  <c r="F71" i="42"/>
  <c r="K168" i="42"/>
  <c r="K170" i="42" s="1"/>
  <c r="V433" i="42" s="1"/>
  <c r="S468" i="42" s="1"/>
  <c r="K192" i="42"/>
  <c r="K194" i="42" s="1"/>
  <c r="W433" i="42" s="1"/>
  <c r="U468" i="42" s="1"/>
  <c r="K180" i="42"/>
  <c r="K182" i="42" s="1"/>
  <c r="U433" i="42" s="1"/>
  <c r="P468" i="42" s="1"/>
  <c r="J180" i="42"/>
  <c r="J192" i="42"/>
  <c r="J168" i="42"/>
  <c r="D42" i="42"/>
  <c r="D30" i="42"/>
  <c r="K58" i="42"/>
  <c r="K205" i="42"/>
  <c r="K254" i="42"/>
  <c r="K256" i="42" s="1"/>
  <c r="AF433" i="42" s="1"/>
  <c r="S472" i="42" s="1"/>
  <c r="K242" i="42"/>
  <c r="K244" i="42" s="1"/>
  <c r="AE433" i="42" s="1"/>
  <c r="K21" i="42"/>
  <c r="J27" i="1"/>
  <c r="E40" i="42"/>
  <c r="E28" i="42"/>
  <c r="J112" i="42"/>
  <c r="J121" i="42" s="1"/>
  <c r="M432" i="42" s="1"/>
  <c r="G466" i="42" s="1"/>
  <c r="J109" i="42"/>
  <c r="D45" i="42"/>
  <c r="D33" i="42"/>
  <c r="E217" i="42"/>
  <c r="E229" i="42"/>
  <c r="D63" i="42"/>
  <c r="D75" i="42"/>
  <c r="D230" i="42"/>
  <c r="D218" i="42"/>
  <c r="F42" i="42"/>
  <c r="F30" i="42"/>
  <c r="J254" i="42"/>
  <c r="J242" i="42"/>
  <c r="J58" i="42"/>
  <c r="J205" i="42"/>
  <c r="J21" i="42"/>
  <c r="J26" i="1"/>
  <c r="K210" i="42"/>
  <c r="K222" i="42"/>
  <c r="D79" i="42"/>
  <c r="D67" i="42"/>
  <c r="L136" i="42"/>
  <c r="L145" i="42" s="1"/>
  <c r="L434" i="42" s="1"/>
  <c r="AD466" i="42" s="1"/>
  <c r="L133" i="42"/>
  <c r="E71" i="42"/>
  <c r="E83" i="42"/>
  <c r="J65" i="42"/>
  <c r="J77" i="42"/>
  <c r="F230" i="42"/>
  <c r="F231" i="42" s="1"/>
  <c r="R428" i="42" s="1"/>
  <c r="AH446" i="42" s="1"/>
  <c r="F218" i="42"/>
  <c r="F219" i="42" s="1"/>
  <c r="P428" i="42" s="1"/>
  <c r="AA446" i="42" s="1"/>
  <c r="E77" i="42"/>
  <c r="E65" i="42"/>
  <c r="E67" i="42"/>
  <c r="E79" i="42"/>
  <c r="D244" i="42"/>
  <c r="AE426" i="42" s="1"/>
  <c r="D170" i="42"/>
  <c r="V426" i="42" s="1"/>
  <c r="G447" i="42" s="1"/>
  <c r="L112" i="42"/>
  <c r="L121" i="42" s="1"/>
  <c r="M434" i="42" s="1"/>
  <c r="AE466" i="42" s="1"/>
  <c r="L109" i="42"/>
  <c r="E34" i="42"/>
  <c r="E46" i="42"/>
  <c r="K224" i="42"/>
  <c r="K212" i="42"/>
  <c r="J136" i="42"/>
  <c r="J145" i="42" s="1"/>
  <c r="L432" i="42" s="1"/>
  <c r="F466" i="42" s="1"/>
  <c r="J133" i="42"/>
  <c r="D26" i="42"/>
  <c r="D38" i="42"/>
  <c r="J28" i="42"/>
  <c r="J40" i="42"/>
  <c r="J161" i="42"/>
  <c r="J170" i="42" s="1"/>
  <c r="V432" i="42" s="1"/>
  <c r="G468" i="42" s="1"/>
  <c r="J185" i="42"/>
  <c r="J173" i="42"/>
  <c r="J158" i="42"/>
  <c r="D217" i="42"/>
  <c r="D229" i="42"/>
  <c r="E42" i="42"/>
  <c r="E30" i="42"/>
  <c r="D222" i="42"/>
  <c r="D210" i="42"/>
  <c r="I182" i="41"/>
  <c r="U431" i="41" s="1"/>
  <c r="AB457" i="41" s="1"/>
  <c r="I194" i="41"/>
  <c r="W431" i="41" s="1"/>
  <c r="AG457" i="41" s="1"/>
  <c r="H182" i="41"/>
  <c r="U430" i="41" s="1"/>
  <c r="P457" i="41" s="1"/>
  <c r="H194" i="41"/>
  <c r="W430" i="41" s="1"/>
  <c r="U457" i="41" s="1"/>
  <c r="E91" i="41"/>
  <c r="D124" i="41"/>
  <c r="D100" i="41"/>
  <c r="L32" i="41"/>
  <c r="L44" i="41"/>
  <c r="I63" i="41"/>
  <c r="I75" i="41"/>
  <c r="I40" i="41"/>
  <c r="I28" i="41"/>
  <c r="D89" i="41"/>
  <c r="H247" i="41"/>
  <c r="H235" i="41"/>
  <c r="H260" i="41"/>
  <c r="H284" i="41"/>
  <c r="H272" i="41"/>
  <c r="H51" i="41"/>
  <c r="H14" i="41"/>
  <c r="H198" i="41"/>
  <c r="H28" i="41"/>
  <c r="H40" i="41"/>
  <c r="H225" i="41"/>
  <c r="H213" i="41"/>
  <c r="J128" i="41"/>
  <c r="J140" i="41" s="1"/>
  <c r="J104" i="41"/>
  <c r="J116" i="41" s="1"/>
  <c r="F89" i="41"/>
  <c r="G89" i="41"/>
  <c r="L177" i="41"/>
  <c r="L165" i="41"/>
  <c r="L189" i="41"/>
  <c r="J41" i="41"/>
  <c r="J29" i="41"/>
  <c r="H136" i="41"/>
  <c r="H145" i="41" s="1"/>
  <c r="L430" i="41" s="1"/>
  <c r="R455" i="41" s="1"/>
  <c r="H39" i="41"/>
  <c r="H27" i="41"/>
  <c r="H66" i="41"/>
  <c r="H78" i="41"/>
  <c r="G91" i="41"/>
  <c r="F91" i="41"/>
  <c r="J90" i="41"/>
  <c r="K90" i="41"/>
  <c r="J189" i="41"/>
  <c r="J177" i="41"/>
  <c r="J165" i="41"/>
  <c r="I202" i="41"/>
  <c r="I276" i="41"/>
  <c r="I239" i="41"/>
  <c r="I264" i="41"/>
  <c r="I288" i="41"/>
  <c r="I55" i="41"/>
  <c r="I18" i="41"/>
  <c r="J78" i="41"/>
  <c r="J66" i="41"/>
  <c r="H112" i="41"/>
  <c r="H64" i="41"/>
  <c r="H76" i="41"/>
  <c r="H41" i="41"/>
  <c r="H29" i="41"/>
  <c r="I41" i="41"/>
  <c r="I29" i="41"/>
  <c r="E88" i="41"/>
  <c r="G88" i="41"/>
  <c r="H254" i="41"/>
  <c r="H279" i="41"/>
  <c r="H242" i="41"/>
  <c r="H267" i="41"/>
  <c r="H205" i="41"/>
  <c r="H21" i="41"/>
  <c r="H291" i="41"/>
  <c r="H58" i="41"/>
  <c r="H266" i="41"/>
  <c r="H253" i="41"/>
  <c r="H241" i="41"/>
  <c r="H204" i="41"/>
  <c r="H57" i="41"/>
  <c r="H20" i="41"/>
  <c r="I211" i="41"/>
  <c r="I223" i="41"/>
  <c r="L228" i="41"/>
  <c r="L216" i="41"/>
  <c r="I225" i="41"/>
  <c r="I213" i="41"/>
  <c r="G90" i="41"/>
  <c r="D90" i="41"/>
  <c r="G95" i="41"/>
  <c r="F92" i="41"/>
  <c r="I253" i="41"/>
  <c r="I241" i="41"/>
  <c r="I204" i="41"/>
  <c r="I266" i="41"/>
  <c r="I57" i="41"/>
  <c r="I20" i="41"/>
  <c r="H223" i="41"/>
  <c r="H211" i="41"/>
  <c r="I78" i="41"/>
  <c r="I66" i="41"/>
  <c r="F95" i="41"/>
  <c r="D91" i="41"/>
  <c r="I145" i="41"/>
  <c r="L431" i="41" s="1"/>
  <c r="AD455" i="41" s="1"/>
  <c r="I76" i="41"/>
  <c r="I64" i="41"/>
  <c r="H212" i="41"/>
  <c r="H224" i="41"/>
  <c r="I222" i="41"/>
  <c r="I210" i="41"/>
  <c r="I224" i="41"/>
  <c r="I212" i="41"/>
  <c r="E89" i="41"/>
  <c r="E94" i="41"/>
  <c r="I254" i="41"/>
  <c r="I279" i="41"/>
  <c r="I242" i="41"/>
  <c r="I58" i="41"/>
  <c r="I267" i="41"/>
  <c r="I291" i="41"/>
  <c r="I205" i="41"/>
  <c r="I21" i="41"/>
  <c r="H288" i="41"/>
  <c r="H276" i="41"/>
  <c r="H239" i="41"/>
  <c r="H264" i="41"/>
  <c r="H202" i="41"/>
  <c r="H55" i="41"/>
  <c r="H18" i="41"/>
  <c r="I41" i="1"/>
  <c r="K241" i="41"/>
  <c r="K204" i="41"/>
  <c r="K20" i="41"/>
  <c r="K57" i="41"/>
  <c r="K253" i="41"/>
  <c r="J225" i="41"/>
  <c r="J213" i="41"/>
  <c r="I27" i="41"/>
  <c r="I39" i="41"/>
  <c r="L81" i="41"/>
  <c r="L69" i="41"/>
  <c r="H77" i="41"/>
  <c r="H65" i="41"/>
  <c r="I26" i="41"/>
  <c r="I38" i="41"/>
  <c r="I65" i="41"/>
  <c r="I77" i="41"/>
  <c r="L104" i="41"/>
  <c r="L116" i="41" s="1"/>
  <c r="L128" i="41"/>
  <c r="L140" i="41" s="1"/>
  <c r="J38" i="1"/>
  <c r="I38" i="1"/>
  <c r="AK58" i="7"/>
  <c r="I39" i="1"/>
  <c r="J39" i="1"/>
  <c r="G38" i="1"/>
  <c r="G39" i="1"/>
  <c r="C38" i="1"/>
  <c r="AD58" i="7"/>
  <c r="J471" i="7"/>
  <c r="H471" i="7"/>
  <c r="E452" i="7"/>
  <c r="G152" i="41" s="1"/>
  <c r="D452" i="7"/>
  <c r="F152" i="41" s="1"/>
  <c r="C450" i="7"/>
  <c r="E150" i="41" s="1"/>
  <c r="D456" i="7"/>
  <c r="F156" i="41" s="1"/>
  <c r="B451" i="7"/>
  <c r="D151" i="41" s="1"/>
  <c r="E456" i="7"/>
  <c r="G156" i="41" s="1"/>
  <c r="D453" i="7"/>
  <c r="F153" i="41" s="1"/>
  <c r="B452" i="7"/>
  <c r="D152" i="41" s="1"/>
  <c r="D450" i="7"/>
  <c r="F150" i="41" s="1"/>
  <c r="C455" i="7"/>
  <c r="E155" i="41" s="1"/>
  <c r="H451" i="7"/>
  <c r="J151" i="41" s="1"/>
  <c r="I451" i="7"/>
  <c r="K151" i="41" s="1"/>
  <c r="E450" i="7"/>
  <c r="G150" i="41" s="1"/>
  <c r="C452" i="7"/>
  <c r="E152" i="41" s="1"/>
  <c r="C449" i="7"/>
  <c r="E149" i="41" s="1"/>
  <c r="E449" i="7"/>
  <c r="G149" i="41" s="1"/>
  <c r="E451" i="7"/>
  <c r="G151" i="41" s="1"/>
  <c r="B450" i="7"/>
  <c r="D150" i="41" s="1"/>
  <c r="H441" i="7"/>
  <c r="AJ58" i="7"/>
  <c r="BA404" i="7"/>
  <c r="J437" i="7"/>
  <c r="BA343" i="7"/>
  <c r="AC395" i="7"/>
  <c r="J435" i="7" s="1"/>
  <c r="AM58" i="7"/>
  <c r="AL58" i="7"/>
  <c r="AF58" i="7"/>
  <c r="B427" i="7"/>
  <c r="B366" i="7"/>
  <c r="AN58" i="7"/>
  <c r="AE58" i="7"/>
  <c r="AV58" i="7"/>
  <c r="C442" i="7"/>
  <c r="AK283" i="7"/>
  <c r="AC334" i="7"/>
  <c r="AS341" i="7"/>
  <c r="AS343" i="7" s="1"/>
  <c r="R366" i="7"/>
  <c r="AZ341" i="7"/>
  <c r="AZ343" i="7" s="1"/>
  <c r="Y366" i="7"/>
  <c r="AX341" i="7"/>
  <c r="AX343" i="7" s="1"/>
  <c r="W366" i="7"/>
  <c r="AM341" i="7"/>
  <c r="AM343" i="7" s="1"/>
  <c r="L366" i="7"/>
  <c r="AS58" i="7"/>
  <c r="AW58" i="7"/>
  <c r="AK341" i="7"/>
  <c r="AK343" i="7" s="1"/>
  <c r="J366" i="7"/>
  <c r="AE341" i="7"/>
  <c r="AE343" i="7" s="1"/>
  <c r="D366" i="7"/>
  <c r="AR341" i="7"/>
  <c r="AR343" i="7" s="1"/>
  <c r="Q366" i="7"/>
  <c r="AP341" i="7"/>
  <c r="AP343" i="7" s="1"/>
  <c r="O366" i="7"/>
  <c r="AO341" i="7"/>
  <c r="AO343" i="7" s="1"/>
  <c r="N366" i="7"/>
  <c r="AL341" i="7"/>
  <c r="AL343" i="7" s="1"/>
  <c r="K366" i="7"/>
  <c r="AD341" i="7"/>
  <c r="AD343" i="7" s="1"/>
  <c r="C366" i="7"/>
  <c r="AI341" i="7"/>
  <c r="AI343" i="7" s="1"/>
  <c r="H366" i="7"/>
  <c r="AF341" i="7"/>
  <c r="AF343" i="7" s="1"/>
  <c r="E366" i="7"/>
  <c r="AE283" i="7"/>
  <c r="Z366" i="7"/>
  <c r="AW341" i="7"/>
  <c r="AW343" i="7" s="1"/>
  <c r="V366" i="7"/>
  <c r="AU58" i="7"/>
  <c r="AJ341" i="7"/>
  <c r="AJ343" i="7" s="1"/>
  <c r="I366" i="7"/>
  <c r="AY341" i="7"/>
  <c r="AY343" i="7" s="1"/>
  <c r="X366" i="7"/>
  <c r="AH341" i="7"/>
  <c r="AH343" i="7" s="1"/>
  <c r="G366" i="7"/>
  <c r="AG341" i="7"/>
  <c r="AG343" i="7" s="1"/>
  <c r="F366" i="7"/>
  <c r="AV341" i="7"/>
  <c r="AV343" i="7" s="1"/>
  <c r="U366" i="7"/>
  <c r="AQ58" i="7"/>
  <c r="AT341" i="7"/>
  <c r="AT343" i="7" s="1"/>
  <c r="S366" i="7"/>
  <c r="AQ341" i="7"/>
  <c r="AQ343" i="7" s="1"/>
  <c r="P366" i="7"/>
  <c r="AN341" i="7"/>
  <c r="AN343" i="7" s="1"/>
  <c r="M366" i="7"/>
  <c r="AU341" i="7"/>
  <c r="AU343" i="7" s="1"/>
  <c r="T366" i="7"/>
  <c r="AW283" i="7"/>
  <c r="AS283" i="7"/>
  <c r="AT18" i="7"/>
  <c r="AP18" i="7"/>
  <c r="AO18" i="7"/>
  <c r="BA283" i="7"/>
  <c r="AM283" i="7"/>
  <c r="AJ283" i="7"/>
  <c r="AZ283" i="7"/>
  <c r="AQ283" i="7"/>
  <c r="AG283" i="7"/>
  <c r="AR18" i="7"/>
  <c r="AD18" i="7"/>
  <c r="AN18" i="7"/>
  <c r="AL18" i="7"/>
  <c r="AF18" i="7"/>
  <c r="B441" i="7"/>
  <c r="D94" i="41" s="1"/>
  <c r="AI18" i="7"/>
  <c r="B306" i="7"/>
  <c r="AY283" i="7"/>
  <c r="J306" i="7"/>
  <c r="AX281" i="7"/>
  <c r="AX283" i="7" s="1"/>
  <c r="W306" i="7"/>
  <c r="AR281" i="7"/>
  <c r="AR283" i="7" s="1"/>
  <c r="Q306" i="7"/>
  <c r="L306" i="7"/>
  <c r="AL281" i="7"/>
  <c r="AL283" i="7" s="1"/>
  <c r="K306" i="7"/>
  <c r="I306" i="7"/>
  <c r="AI281" i="7"/>
  <c r="AI283" i="7" s="1"/>
  <c r="H306" i="7"/>
  <c r="AP281" i="7"/>
  <c r="AP283" i="7" s="1"/>
  <c r="O306" i="7"/>
  <c r="AU281" i="7"/>
  <c r="AU283" i="7" s="1"/>
  <c r="T306" i="7"/>
  <c r="AT281" i="7"/>
  <c r="AT283" i="7" s="1"/>
  <c r="S306" i="7"/>
  <c r="AV281" i="7"/>
  <c r="AV283" i="7" s="1"/>
  <c r="U306" i="7"/>
  <c r="D306" i="7"/>
  <c r="AO281" i="7"/>
  <c r="AO283" i="7" s="1"/>
  <c r="N306" i="7"/>
  <c r="AD281" i="7"/>
  <c r="C306" i="7"/>
  <c r="AH281" i="7"/>
  <c r="AH283" i="7" s="1"/>
  <c r="G306" i="7"/>
  <c r="AF281" i="7"/>
  <c r="AF283" i="7" s="1"/>
  <c r="E306" i="7"/>
  <c r="AN281" i="7"/>
  <c r="AN283" i="7" s="1"/>
  <c r="M306" i="7"/>
  <c r="R306" i="7"/>
  <c r="AC274" i="7"/>
  <c r="Y306" i="7"/>
  <c r="V306" i="7"/>
  <c r="X306" i="7"/>
  <c r="Z306" i="7"/>
  <c r="BA98" i="7"/>
  <c r="BA58" i="7"/>
  <c r="AR98" i="7"/>
  <c r="AP98" i="7"/>
  <c r="AE98" i="7"/>
  <c r="AV18" i="7"/>
  <c r="AZ98" i="7"/>
  <c r="AG58" i="7"/>
  <c r="AF98" i="7"/>
  <c r="AT58" i="7"/>
  <c r="AY98" i="7"/>
  <c r="AD140" i="7"/>
  <c r="AC18" i="7"/>
  <c r="B439" i="7"/>
  <c r="D92" i="41" s="1"/>
  <c r="G443" i="7"/>
  <c r="I96" i="41" s="1"/>
  <c r="AC222" i="7"/>
  <c r="AL181" i="7"/>
  <c r="AM181" i="7"/>
  <c r="AN181" i="7"/>
  <c r="AQ181" i="7"/>
  <c r="AR181" i="7"/>
  <c r="AO222" i="7"/>
  <c r="AK222" i="7"/>
  <c r="AT181" i="7"/>
  <c r="AU181" i="7"/>
  <c r="AV181" i="7"/>
  <c r="AY181" i="7"/>
  <c r="AZ181" i="7"/>
  <c r="AP222" i="7"/>
  <c r="BA222" i="7"/>
  <c r="AL222" i="7"/>
  <c r="AM222" i="7"/>
  <c r="AN222" i="7"/>
  <c r="AQ222" i="7"/>
  <c r="AR222" i="7"/>
  <c r="C443" i="7"/>
  <c r="E96" i="41" s="1"/>
  <c r="AG140" i="7"/>
  <c r="AH98" i="7"/>
  <c r="AD222" i="7"/>
  <c r="AJ222" i="7"/>
  <c r="AR58" i="7"/>
  <c r="F443" i="7"/>
  <c r="H96" i="41" s="1"/>
  <c r="AC181" i="7"/>
  <c r="AO181" i="7"/>
  <c r="AT222" i="7"/>
  <c r="AU222" i="7"/>
  <c r="AV222" i="7"/>
  <c r="AY222" i="7"/>
  <c r="AZ222" i="7"/>
  <c r="AO98" i="7"/>
  <c r="AH58" i="7"/>
  <c r="AS222" i="7"/>
  <c r="AF222" i="7"/>
  <c r="D443" i="7"/>
  <c r="F96" i="41" s="1"/>
  <c r="AK181" i="7"/>
  <c r="AX222" i="7"/>
  <c r="AG181" i="7"/>
  <c r="AW222" i="7"/>
  <c r="AW181" i="7"/>
  <c r="AG222" i="7"/>
  <c r="AE222" i="7"/>
  <c r="AE140" i="7"/>
  <c r="AG98" i="7"/>
  <c r="AM18" i="7"/>
  <c r="AS181" i="7"/>
  <c r="B443" i="7"/>
  <c r="D96" i="41" s="1"/>
  <c r="AX181" i="7"/>
  <c r="AH222" i="7"/>
  <c r="E443" i="7"/>
  <c r="G96" i="41" s="1"/>
  <c r="AP181" i="7"/>
  <c r="AH181" i="7"/>
  <c r="AI222" i="7"/>
  <c r="AU18" i="7"/>
  <c r="C439" i="7"/>
  <c r="BA181" i="7"/>
  <c r="AD181" i="7"/>
  <c r="AE181" i="7"/>
  <c r="AF181" i="7"/>
  <c r="AI181" i="7"/>
  <c r="AJ181" i="7"/>
  <c r="AR140" i="7"/>
  <c r="E439" i="7"/>
  <c r="D437" i="7"/>
  <c r="AW18" i="7"/>
  <c r="E441" i="7"/>
  <c r="B442" i="7"/>
  <c r="AG18" i="7"/>
  <c r="D435" i="7"/>
  <c r="BA18" i="7"/>
  <c r="C437" i="7"/>
  <c r="D441" i="7"/>
  <c r="AE18" i="7"/>
  <c r="AK18" i="7"/>
  <c r="AU140" i="7"/>
  <c r="AK140" i="7"/>
  <c r="AY18" i="7"/>
  <c r="AL98" i="7"/>
  <c r="AS18" i="7"/>
  <c r="AO140" i="7"/>
  <c r="AO58" i="7"/>
  <c r="AQ18" i="7"/>
  <c r="AZ18" i="7"/>
  <c r="AI58" i="7"/>
  <c r="AX18" i="7"/>
  <c r="AJ18" i="7"/>
  <c r="AC140" i="7"/>
  <c r="AH18" i="7"/>
  <c r="AC58" i="7"/>
  <c r="AC98" i="7"/>
  <c r="BA140" i="7"/>
  <c r="F35" i="42" l="1"/>
  <c r="B428" i="42" s="1"/>
  <c r="AD443" i="42" s="1"/>
  <c r="S446" i="42"/>
  <c r="J182" i="42"/>
  <c r="U432" i="42" s="1"/>
  <c r="D468" i="42" s="1"/>
  <c r="F84" i="42"/>
  <c r="I428" i="42" s="1"/>
  <c r="AH444" i="42" s="1"/>
  <c r="E72" i="42"/>
  <c r="G427" i="42" s="1"/>
  <c r="Q444" i="42" s="1"/>
  <c r="F72" i="42"/>
  <c r="G428" i="42" s="1"/>
  <c r="AC444" i="42" s="1"/>
  <c r="E219" i="42"/>
  <c r="P427" i="42" s="1"/>
  <c r="O446" i="42" s="1"/>
  <c r="E84" i="42"/>
  <c r="I427" i="42" s="1"/>
  <c r="V444" i="42" s="1"/>
  <c r="E231" i="42"/>
  <c r="R427" i="42" s="1"/>
  <c r="V446" i="42" s="1"/>
  <c r="F47" i="42"/>
  <c r="D428" i="42" s="1"/>
  <c r="AF443" i="42" s="1"/>
  <c r="E35" i="42"/>
  <c r="B427" i="42" s="1"/>
  <c r="R443" i="42" s="1"/>
  <c r="D219" i="42"/>
  <c r="P426" i="42" s="1"/>
  <c r="C446" i="42" s="1"/>
  <c r="J194" i="42"/>
  <c r="W432" i="42" s="1"/>
  <c r="I468" i="42" s="1"/>
  <c r="D72" i="42"/>
  <c r="G426" i="42" s="1"/>
  <c r="E444" i="42" s="1"/>
  <c r="J82" i="42"/>
  <c r="J70" i="42"/>
  <c r="K82" i="42"/>
  <c r="K84" i="42" s="1"/>
  <c r="I433" i="42" s="1"/>
  <c r="V465" i="42" s="1"/>
  <c r="K70" i="42"/>
  <c r="K72" i="42" s="1"/>
  <c r="G433" i="42" s="1"/>
  <c r="Q465" i="42" s="1"/>
  <c r="J210" i="42"/>
  <c r="J222" i="42"/>
  <c r="J229" i="42"/>
  <c r="J217" i="42"/>
  <c r="K229" i="42"/>
  <c r="K231" i="42" s="1"/>
  <c r="R433" i="42" s="1"/>
  <c r="K217" i="42"/>
  <c r="K219" i="42" s="1"/>
  <c r="P433" i="42" s="1"/>
  <c r="O467" i="42" s="1"/>
  <c r="L222" i="42"/>
  <c r="L231" i="42" s="1"/>
  <c r="R434" i="42" s="1"/>
  <c r="AH467" i="42" s="1"/>
  <c r="L210" i="42"/>
  <c r="L219" i="42" s="1"/>
  <c r="P434" i="42" s="1"/>
  <c r="AA467" i="42" s="1"/>
  <c r="J256" i="42"/>
  <c r="AF432" i="42" s="1"/>
  <c r="G472" i="42" s="1"/>
  <c r="J45" i="42"/>
  <c r="J33" i="42"/>
  <c r="D84" i="42"/>
  <c r="I426" i="42" s="1"/>
  <c r="J444" i="42" s="1"/>
  <c r="E47" i="42"/>
  <c r="D427" i="42" s="1"/>
  <c r="T443" i="42" s="1"/>
  <c r="J63" i="42"/>
  <c r="J75" i="42"/>
  <c r="D231" i="42"/>
  <c r="R426" i="42" s="1"/>
  <c r="J446" i="42" s="1"/>
  <c r="K45" i="42"/>
  <c r="K47" i="42" s="1"/>
  <c r="D433" i="42" s="1"/>
  <c r="T464" i="42" s="1"/>
  <c r="K33" i="42"/>
  <c r="K35" i="42" s="1"/>
  <c r="B433" i="42" s="1"/>
  <c r="R464" i="42" s="1"/>
  <c r="D35" i="42"/>
  <c r="B426" i="42" s="1"/>
  <c r="F443" i="42" s="1"/>
  <c r="L75" i="42"/>
  <c r="L84" i="42" s="1"/>
  <c r="I434" i="42" s="1"/>
  <c r="AH465" i="42" s="1"/>
  <c r="L63" i="42"/>
  <c r="L72" i="42" s="1"/>
  <c r="G434" i="42" s="1"/>
  <c r="AC465" i="42" s="1"/>
  <c r="J38" i="42"/>
  <c r="J26" i="42"/>
  <c r="D47" i="42"/>
  <c r="D426" i="42" s="1"/>
  <c r="H443" i="42" s="1"/>
  <c r="L26" i="42"/>
  <c r="L35" i="42" s="1"/>
  <c r="B434" i="42" s="1"/>
  <c r="AD464" i="42" s="1"/>
  <c r="L38" i="42"/>
  <c r="L47" i="42" s="1"/>
  <c r="D434" i="42" s="1"/>
  <c r="J244" i="42"/>
  <c r="AE432" i="42" s="1"/>
  <c r="L90" i="41"/>
  <c r="E188" i="41"/>
  <c r="E176" i="41"/>
  <c r="E164" i="41"/>
  <c r="H42" i="41"/>
  <c r="H30" i="41"/>
  <c r="D127" i="41"/>
  <c r="D139" i="41" s="1"/>
  <c r="D103" i="41"/>
  <c r="D115" i="41" s="1"/>
  <c r="G102" i="41"/>
  <c r="G114" i="41" s="1"/>
  <c r="G126" i="41"/>
  <c r="G138" i="41" s="1"/>
  <c r="J126" i="41"/>
  <c r="J138" i="41" s="1"/>
  <c r="J102" i="41"/>
  <c r="J114" i="41" s="1"/>
  <c r="H38" i="41"/>
  <c r="H26" i="41"/>
  <c r="G192" i="41"/>
  <c r="G168" i="41"/>
  <c r="G180" i="41"/>
  <c r="D95" i="41"/>
  <c r="D132" i="41"/>
  <c r="D108" i="41"/>
  <c r="D120" i="41" s="1"/>
  <c r="F132" i="41"/>
  <c r="F108" i="41"/>
  <c r="F120" i="41" s="1"/>
  <c r="G186" i="41"/>
  <c r="G174" i="41"/>
  <c r="G162" i="41"/>
  <c r="D187" i="41"/>
  <c r="D163" i="41"/>
  <c r="D175" i="41"/>
  <c r="K81" i="41"/>
  <c r="K69" i="41"/>
  <c r="H67" i="41"/>
  <c r="H79" i="41"/>
  <c r="I45" i="41"/>
  <c r="I33" i="41"/>
  <c r="I42" i="41"/>
  <c r="I30" i="41"/>
  <c r="H75" i="41"/>
  <c r="H63" i="41"/>
  <c r="D125" i="41"/>
  <c r="D137" i="41" s="1"/>
  <c r="D101" i="41"/>
  <c r="D113" i="41" s="1"/>
  <c r="G94" i="41"/>
  <c r="K175" i="41"/>
  <c r="K187" i="41"/>
  <c r="K163" i="41"/>
  <c r="F168" i="41"/>
  <c r="F192" i="41"/>
  <c r="F180" i="41"/>
  <c r="K44" i="41"/>
  <c r="K32" i="41"/>
  <c r="I217" i="41"/>
  <c r="I229" i="41"/>
  <c r="E130" i="41"/>
  <c r="E142" i="41" s="1"/>
  <c r="E106" i="41"/>
  <c r="E118" i="41" s="1"/>
  <c r="F131" i="41"/>
  <c r="F143" i="41" s="1"/>
  <c r="F107" i="41"/>
  <c r="F119" i="41" s="1"/>
  <c r="F104" i="41"/>
  <c r="F116" i="41" s="1"/>
  <c r="F128" i="41"/>
  <c r="F140" i="41" s="1"/>
  <c r="H44" i="41"/>
  <c r="H32" i="41"/>
  <c r="H82" i="41"/>
  <c r="H70" i="41"/>
  <c r="I79" i="41"/>
  <c r="I67" i="41"/>
  <c r="F103" i="41"/>
  <c r="F115" i="41" s="1"/>
  <c r="F127" i="41"/>
  <c r="F139" i="41" s="1"/>
  <c r="G101" i="41"/>
  <c r="G113" i="41" s="1"/>
  <c r="G125" i="41"/>
  <c r="G137" i="41" s="1"/>
  <c r="D104" i="41"/>
  <c r="D116" i="41" s="1"/>
  <c r="D128" i="41"/>
  <c r="D140" i="41" s="1"/>
  <c r="J94" i="41"/>
  <c r="J187" i="41"/>
  <c r="J163" i="41"/>
  <c r="J175" i="41"/>
  <c r="E186" i="41"/>
  <c r="E162" i="41"/>
  <c r="E174" i="41"/>
  <c r="G40" i="1"/>
  <c r="J239" i="41"/>
  <c r="J202" i="41"/>
  <c r="J55" i="41"/>
  <c r="J18" i="41"/>
  <c r="I44" i="41"/>
  <c r="I32" i="41"/>
  <c r="H81" i="41"/>
  <c r="H69" i="41"/>
  <c r="G100" i="41"/>
  <c r="G124" i="41"/>
  <c r="I108" i="41"/>
  <c r="I132" i="41"/>
  <c r="I133" i="41" s="1"/>
  <c r="F90" i="41"/>
  <c r="D186" i="41"/>
  <c r="D162" i="41"/>
  <c r="D174" i="41"/>
  <c r="E191" i="41"/>
  <c r="E179" i="41"/>
  <c r="E167" i="41"/>
  <c r="F176" i="41"/>
  <c r="F164" i="41"/>
  <c r="F188" i="41"/>
  <c r="G42" i="1"/>
  <c r="L239" i="41"/>
  <c r="L55" i="41"/>
  <c r="L202" i="41"/>
  <c r="L18" i="41"/>
  <c r="K228" i="41"/>
  <c r="K216" i="41"/>
  <c r="E125" i="41"/>
  <c r="E137" i="41" s="1"/>
  <c r="E101" i="41"/>
  <c r="E113" i="41" s="1"/>
  <c r="I81" i="41"/>
  <c r="I69" i="41"/>
  <c r="G107" i="41"/>
  <c r="G119" i="41" s="1"/>
  <c r="G131" i="41"/>
  <c r="G143" i="41" s="1"/>
  <c r="H216" i="41"/>
  <c r="H228" i="41"/>
  <c r="H45" i="41"/>
  <c r="H33" i="41"/>
  <c r="G103" i="41"/>
  <c r="G115" i="41" s="1"/>
  <c r="G127" i="41"/>
  <c r="G139" i="41" s="1"/>
  <c r="F101" i="41"/>
  <c r="F113" i="41" s="1"/>
  <c r="F125" i="41"/>
  <c r="F137" i="41" s="1"/>
  <c r="D112" i="41"/>
  <c r="F94" i="41"/>
  <c r="E132" i="41"/>
  <c r="E108" i="41"/>
  <c r="E120" i="41" s="1"/>
  <c r="E90" i="41"/>
  <c r="G92" i="41"/>
  <c r="E95" i="41"/>
  <c r="G163" i="41"/>
  <c r="G187" i="41"/>
  <c r="G175" i="41"/>
  <c r="F186" i="41"/>
  <c r="F174" i="41"/>
  <c r="F162" i="41"/>
  <c r="G188" i="41"/>
  <c r="G164" i="41"/>
  <c r="G176" i="41"/>
  <c r="E124" i="41"/>
  <c r="E100" i="41"/>
  <c r="D136" i="41"/>
  <c r="G108" i="41"/>
  <c r="G120" i="41" s="1"/>
  <c r="G132" i="41"/>
  <c r="H108" i="41"/>
  <c r="H132" i="41"/>
  <c r="H133" i="41" s="1"/>
  <c r="D106" i="41"/>
  <c r="D118" i="41" s="1"/>
  <c r="D130" i="41"/>
  <c r="D142" i="41" s="1"/>
  <c r="L88" i="41"/>
  <c r="G173" i="41"/>
  <c r="G185" i="41"/>
  <c r="G161" i="41"/>
  <c r="D188" i="41"/>
  <c r="D176" i="41"/>
  <c r="D164" i="41"/>
  <c r="I82" i="41"/>
  <c r="I70" i="41"/>
  <c r="I216" i="41"/>
  <c r="I228" i="41"/>
  <c r="D126" i="41"/>
  <c r="D138" i="41" s="1"/>
  <c r="D102" i="41"/>
  <c r="D114" i="41" s="1"/>
  <c r="H217" i="41"/>
  <c r="H229" i="41"/>
  <c r="K126" i="41"/>
  <c r="K138" i="41" s="1"/>
  <c r="K102" i="41"/>
  <c r="K114" i="41" s="1"/>
  <c r="E103" i="41"/>
  <c r="E115" i="41" s="1"/>
  <c r="E127" i="41"/>
  <c r="E139" i="41" s="1"/>
  <c r="F88" i="41"/>
  <c r="E92" i="41"/>
  <c r="E185" i="41"/>
  <c r="E161" i="41"/>
  <c r="E173" i="41"/>
  <c r="F177" i="41"/>
  <c r="F189" i="41"/>
  <c r="F165" i="41"/>
  <c r="H222" i="41"/>
  <c r="H210" i="41"/>
  <c r="F457" i="7"/>
  <c r="H157" i="41" s="1"/>
  <c r="B455" i="7"/>
  <c r="D155" i="41" s="1"/>
  <c r="E469" i="7"/>
  <c r="D468" i="7"/>
  <c r="E470" i="7"/>
  <c r="C473" i="7"/>
  <c r="E467" i="7"/>
  <c r="B457" i="7"/>
  <c r="G457" i="7"/>
  <c r="I157" i="41" s="1"/>
  <c r="C467" i="7"/>
  <c r="D471" i="7"/>
  <c r="D457" i="7"/>
  <c r="F157" i="41" s="1"/>
  <c r="F169" i="41" s="1"/>
  <c r="C470" i="7"/>
  <c r="E474" i="7"/>
  <c r="E457" i="7"/>
  <c r="G157" i="41" s="1"/>
  <c r="G169" i="41" s="1"/>
  <c r="D470" i="7"/>
  <c r="B470" i="7"/>
  <c r="AC404" i="7"/>
  <c r="J444" i="7" s="1"/>
  <c r="L97" i="41" s="1"/>
  <c r="E468" i="7"/>
  <c r="B469" i="7"/>
  <c r="B468" i="7"/>
  <c r="B453" i="7"/>
  <c r="D153" i="41" s="1"/>
  <c r="I469" i="7"/>
  <c r="D474" i="7"/>
  <c r="C457" i="7"/>
  <c r="E157" i="41" s="1"/>
  <c r="E169" i="41" s="1"/>
  <c r="H469" i="7"/>
  <c r="C468" i="7"/>
  <c r="J451" i="7"/>
  <c r="L151" i="41" s="1"/>
  <c r="D455" i="7"/>
  <c r="F155" i="41" s="1"/>
  <c r="C451" i="7"/>
  <c r="E151" i="41" s="1"/>
  <c r="E453" i="7"/>
  <c r="G153" i="41" s="1"/>
  <c r="H455" i="7"/>
  <c r="J155" i="41" s="1"/>
  <c r="D451" i="7"/>
  <c r="F151" i="41" s="1"/>
  <c r="C456" i="7"/>
  <c r="E156" i="41" s="1"/>
  <c r="E455" i="7"/>
  <c r="G155" i="41" s="1"/>
  <c r="D449" i="7"/>
  <c r="F149" i="41" s="1"/>
  <c r="J449" i="7"/>
  <c r="L149" i="41" s="1"/>
  <c r="B456" i="7"/>
  <c r="D156" i="41" s="1"/>
  <c r="C453" i="7"/>
  <c r="E153" i="41" s="1"/>
  <c r="I442" i="7"/>
  <c r="AC283" i="7"/>
  <c r="H435" i="7"/>
  <c r="AC343" i="7"/>
  <c r="I444" i="7" s="1"/>
  <c r="K97" i="41" s="1"/>
  <c r="I435" i="7"/>
  <c r="AD283" i="7"/>
  <c r="H442" i="7"/>
  <c r="F444" i="7"/>
  <c r="H97" i="41" s="1"/>
  <c r="B444" i="7"/>
  <c r="D97" i="41" s="1"/>
  <c r="G444" i="7"/>
  <c r="I97" i="41" s="1"/>
  <c r="B449" i="7"/>
  <c r="E444" i="7"/>
  <c r="G97" i="41" s="1"/>
  <c r="D444" i="7"/>
  <c r="F97" i="41" s="1"/>
  <c r="C444" i="7"/>
  <c r="E97" i="41" s="1"/>
  <c r="J35" i="42" l="1"/>
  <c r="B432" i="42" s="1"/>
  <c r="F464" i="42" s="1"/>
  <c r="J219" i="42"/>
  <c r="P432" i="42" s="1"/>
  <c r="C467" i="42" s="1"/>
  <c r="J47" i="42"/>
  <c r="D432" i="42" s="1"/>
  <c r="H464" i="42" s="1"/>
  <c r="J72" i="42"/>
  <c r="G432" i="42" s="1"/>
  <c r="E465" i="42" s="1"/>
  <c r="J231" i="42"/>
  <c r="R432" i="42" s="1"/>
  <c r="J467" i="42" s="1"/>
  <c r="J84" i="42"/>
  <c r="I432" i="42" s="1"/>
  <c r="J465" i="42" s="1"/>
  <c r="V467" i="42"/>
  <c r="AF464" i="42"/>
  <c r="E158" i="41"/>
  <c r="J95" i="41"/>
  <c r="D192" i="41"/>
  <c r="D168" i="41"/>
  <c r="D180" i="41"/>
  <c r="E187" i="41"/>
  <c r="E163" i="41"/>
  <c r="E175" i="41"/>
  <c r="F34" i="1"/>
  <c r="D250" i="41"/>
  <c r="D238" i="41"/>
  <c r="D201" i="41"/>
  <c r="D54" i="41"/>
  <c r="D17" i="41"/>
  <c r="I169" i="41"/>
  <c r="I170" i="41" s="1"/>
  <c r="V431" i="41" s="1"/>
  <c r="AE457" i="41" s="1"/>
  <c r="I158" i="41"/>
  <c r="D191" i="41"/>
  <c r="D179" i="41"/>
  <c r="D167" i="41"/>
  <c r="E126" i="41"/>
  <c r="E138" i="41" s="1"/>
  <c r="E102" i="41"/>
  <c r="E114" i="41" s="1"/>
  <c r="G112" i="41"/>
  <c r="J79" i="41"/>
  <c r="J67" i="41"/>
  <c r="J36" i="1"/>
  <c r="F205" i="41"/>
  <c r="F254" i="41"/>
  <c r="F242" i="41"/>
  <c r="F58" i="41"/>
  <c r="F21" i="41"/>
  <c r="L161" i="41"/>
  <c r="L185" i="41"/>
  <c r="L173" i="41"/>
  <c r="L158" i="41"/>
  <c r="F167" i="41"/>
  <c r="F191" i="41"/>
  <c r="F179" i="41"/>
  <c r="E41" i="1"/>
  <c r="K200" i="41"/>
  <c r="K249" i="41"/>
  <c r="K237" i="41"/>
  <c r="K53" i="41"/>
  <c r="K16" i="41"/>
  <c r="D34" i="1"/>
  <c r="D248" i="41"/>
  <c r="D236" i="41"/>
  <c r="D199" i="41"/>
  <c r="D52" i="41"/>
  <c r="D15" i="41"/>
  <c r="G263" i="41"/>
  <c r="G201" i="41"/>
  <c r="G287" i="41"/>
  <c r="G250" i="41"/>
  <c r="G275" i="41"/>
  <c r="G17" i="41"/>
  <c r="G238" i="41"/>
  <c r="G54" i="41"/>
  <c r="H169" i="41"/>
  <c r="H170" i="41" s="1"/>
  <c r="V430" i="41" s="1"/>
  <c r="S457" i="41" s="1"/>
  <c r="H158" i="41"/>
  <c r="E112" i="41"/>
  <c r="G189" i="41"/>
  <c r="G165" i="41"/>
  <c r="G177" i="41"/>
  <c r="K88" i="41"/>
  <c r="F36" i="1"/>
  <c r="F238" i="41"/>
  <c r="F201" i="41"/>
  <c r="F54" i="41"/>
  <c r="F17" i="41"/>
  <c r="F250" i="41"/>
  <c r="B475" i="7"/>
  <c r="D157" i="41"/>
  <c r="D169" i="41" s="1"/>
  <c r="I35" i="1"/>
  <c r="E204" i="41"/>
  <c r="E253" i="41"/>
  <c r="E241" i="41"/>
  <c r="E57" i="41"/>
  <c r="E20" i="41"/>
  <c r="E136" i="41"/>
  <c r="L42" i="41"/>
  <c r="L30" i="41"/>
  <c r="F102" i="41"/>
  <c r="F114" i="41" s="1"/>
  <c r="F126" i="41"/>
  <c r="F138" i="41" s="1"/>
  <c r="G130" i="41"/>
  <c r="G142" i="41" s="1"/>
  <c r="G106" i="41"/>
  <c r="G118" i="41" s="1"/>
  <c r="L187" i="41"/>
  <c r="L175" i="41"/>
  <c r="L163" i="41"/>
  <c r="E34" i="1"/>
  <c r="D249" i="41"/>
  <c r="D237" i="41"/>
  <c r="D53" i="41"/>
  <c r="D200" i="41"/>
  <c r="D16" i="41"/>
  <c r="G291" i="41"/>
  <c r="G254" i="41"/>
  <c r="G279" i="41"/>
  <c r="G242" i="41"/>
  <c r="G267" i="41"/>
  <c r="G205" i="41"/>
  <c r="G21" i="41"/>
  <c r="G58" i="41"/>
  <c r="D36" i="1"/>
  <c r="F248" i="41"/>
  <c r="F236" i="41"/>
  <c r="F199" i="41"/>
  <c r="F52" i="41"/>
  <c r="F15" i="41"/>
  <c r="E104" i="41"/>
  <c r="E116" i="41" s="1"/>
  <c r="E128" i="41"/>
  <c r="E140" i="41" s="1"/>
  <c r="G158" i="41"/>
  <c r="H120" i="41"/>
  <c r="H121" i="41" s="1"/>
  <c r="M430" i="41" s="1"/>
  <c r="S455" i="41" s="1"/>
  <c r="H109" i="41"/>
  <c r="J130" i="41"/>
  <c r="J142" i="41" s="1"/>
  <c r="J106" i="41"/>
  <c r="J118" i="41" s="1"/>
  <c r="G136" i="41"/>
  <c r="L102" i="41"/>
  <c r="L114" i="41" s="1"/>
  <c r="L126" i="41"/>
  <c r="L138" i="41" s="1"/>
  <c r="F185" i="41"/>
  <c r="F158" i="41"/>
  <c r="F161" i="41"/>
  <c r="F173" i="41"/>
  <c r="D35" i="1"/>
  <c r="E248" i="41"/>
  <c r="E236" i="41"/>
  <c r="E199" i="41"/>
  <c r="E52" i="41"/>
  <c r="E15" i="41"/>
  <c r="G167" i="41"/>
  <c r="G179" i="41"/>
  <c r="G191" i="41"/>
  <c r="J88" i="41"/>
  <c r="E168" i="41"/>
  <c r="E192" i="41"/>
  <c r="E180" i="41"/>
  <c r="E40" i="1"/>
  <c r="J249" i="41"/>
  <c r="J237" i="41"/>
  <c r="J200" i="41"/>
  <c r="J53" i="41"/>
  <c r="J16" i="41"/>
  <c r="D189" i="41"/>
  <c r="D165" i="41"/>
  <c r="D177" i="41"/>
  <c r="G36" i="1"/>
  <c r="F202" i="41"/>
  <c r="F18" i="41"/>
  <c r="F239" i="41"/>
  <c r="F55" i="41"/>
  <c r="G272" i="41"/>
  <c r="G247" i="41"/>
  <c r="G235" i="41"/>
  <c r="G260" i="41"/>
  <c r="G284" i="41"/>
  <c r="G198" i="41"/>
  <c r="G51" i="41"/>
  <c r="G14" i="41"/>
  <c r="E131" i="41"/>
  <c r="E143" i="41" s="1"/>
  <c r="E107" i="41"/>
  <c r="E119" i="41" s="1"/>
  <c r="F130" i="41"/>
  <c r="F142" i="41" s="1"/>
  <c r="F106" i="41"/>
  <c r="F118" i="41" s="1"/>
  <c r="D107" i="41"/>
  <c r="D119" i="41" s="1"/>
  <c r="D121" i="41" s="1"/>
  <c r="M426" i="41" s="1"/>
  <c r="G445" i="41" s="1"/>
  <c r="D131" i="41"/>
  <c r="D143" i="41" s="1"/>
  <c r="D145" i="41" s="1"/>
  <c r="L426" i="41" s="1"/>
  <c r="F445" i="41" s="1"/>
  <c r="B467" i="7"/>
  <c r="D149" i="41"/>
  <c r="G261" i="41"/>
  <c r="G248" i="41"/>
  <c r="G236" i="41"/>
  <c r="G285" i="41"/>
  <c r="G273" i="41"/>
  <c r="G52" i="41"/>
  <c r="G15" i="41"/>
  <c r="G199" i="41"/>
  <c r="F35" i="1"/>
  <c r="E250" i="41"/>
  <c r="E238" i="41"/>
  <c r="E201" i="41"/>
  <c r="E54" i="41"/>
  <c r="E17" i="41"/>
  <c r="I120" i="41"/>
  <c r="I121" i="41" s="1"/>
  <c r="M431" i="41" s="1"/>
  <c r="AE455" i="41" s="1"/>
  <c r="I109" i="41"/>
  <c r="E177" i="41"/>
  <c r="E165" i="41"/>
  <c r="E189" i="41"/>
  <c r="F163" i="41"/>
  <c r="F175" i="41"/>
  <c r="F187" i="41"/>
  <c r="G237" i="41"/>
  <c r="G274" i="41"/>
  <c r="G200" i="41"/>
  <c r="G262" i="41"/>
  <c r="G53" i="41"/>
  <c r="G286" i="41"/>
  <c r="G16" i="41"/>
  <c r="G249" i="41"/>
  <c r="F100" i="41"/>
  <c r="F124" i="41"/>
  <c r="K95" i="41"/>
  <c r="J179" i="41"/>
  <c r="J191" i="41"/>
  <c r="J167" i="41"/>
  <c r="C35" i="1"/>
  <c r="E247" i="41"/>
  <c r="E235" i="41"/>
  <c r="E51" i="41"/>
  <c r="E14" i="41"/>
  <c r="E198" i="41"/>
  <c r="L124" i="41"/>
  <c r="L100" i="41"/>
  <c r="G104" i="41"/>
  <c r="G116" i="41" s="1"/>
  <c r="G128" i="41"/>
  <c r="G140" i="41" s="1"/>
  <c r="L79" i="41"/>
  <c r="L67" i="41"/>
  <c r="J42" i="41"/>
  <c r="J30" i="41"/>
  <c r="F37" i="1"/>
  <c r="J37" i="1"/>
  <c r="C37" i="1"/>
  <c r="D37" i="1"/>
  <c r="E37" i="1"/>
  <c r="D467" i="7"/>
  <c r="J469" i="7"/>
  <c r="C475" i="7"/>
  <c r="J458" i="7"/>
  <c r="J476" i="7" s="1"/>
  <c r="F475" i="7"/>
  <c r="B473" i="7"/>
  <c r="E473" i="7"/>
  <c r="B471" i="7"/>
  <c r="D473" i="7"/>
  <c r="E458" i="7"/>
  <c r="E476" i="7" s="1"/>
  <c r="C474" i="7"/>
  <c r="J467" i="7"/>
  <c r="G458" i="7"/>
  <c r="G476" i="7" s="1"/>
  <c r="H444" i="7"/>
  <c r="J97" i="41" s="1"/>
  <c r="D469" i="7"/>
  <c r="H473" i="7"/>
  <c r="D458" i="7"/>
  <c r="D476" i="7" s="1"/>
  <c r="F458" i="7"/>
  <c r="F476" i="7" s="1"/>
  <c r="C471" i="7"/>
  <c r="E471" i="7"/>
  <c r="D475" i="7"/>
  <c r="G475" i="7"/>
  <c r="E475" i="7"/>
  <c r="I458" i="7"/>
  <c r="I476" i="7" s="1"/>
  <c r="B458" i="7"/>
  <c r="B476" i="7" s="1"/>
  <c r="C458" i="7"/>
  <c r="C476" i="7" s="1"/>
  <c r="B474" i="7"/>
  <c r="C469" i="7"/>
  <c r="H449" i="7"/>
  <c r="J149" i="41" s="1"/>
  <c r="H456" i="7"/>
  <c r="J156" i="41" s="1"/>
  <c r="I456" i="7"/>
  <c r="K156" i="41" s="1"/>
  <c r="I449" i="7"/>
  <c r="K149" i="41" s="1"/>
  <c r="D133" i="41" l="1"/>
  <c r="G182" i="41"/>
  <c r="U429" i="41" s="1"/>
  <c r="D457" i="41" s="1"/>
  <c r="G170" i="41"/>
  <c r="V429" i="41" s="1"/>
  <c r="G457" i="41" s="1"/>
  <c r="D109" i="41"/>
  <c r="F194" i="41"/>
  <c r="W428" i="41" s="1"/>
  <c r="AG447" i="41" s="1"/>
  <c r="E170" i="41"/>
  <c r="V427" i="41" s="1"/>
  <c r="S446" i="41" s="1"/>
  <c r="E182" i="41"/>
  <c r="U427" i="41" s="1"/>
  <c r="P447" i="41" s="1"/>
  <c r="G194" i="41"/>
  <c r="W429" i="41" s="1"/>
  <c r="I457" i="41" s="1"/>
  <c r="I243" i="41"/>
  <c r="I244" i="41" s="1"/>
  <c r="AE431" i="41" s="1"/>
  <c r="I268" i="41"/>
  <c r="I269" i="41" s="1"/>
  <c r="Z431" i="41" s="1"/>
  <c r="AE458" i="41" s="1"/>
  <c r="I292" i="41"/>
  <c r="I293" i="41" s="1"/>
  <c r="AB431" i="41" s="1"/>
  <c r="AI458" i="41" s="1"/>
  <c r="I206" i="41"/>
  <c r="I280" i="41"/>
  <c r="I281" i="41" s="1"/>
  <c r="AA431" i="41" s="1"/>
  <c r="AG458" i="41" s="1"/>
  <c r="I22" i="41"/>
  <c r="I255" i="41"/>
  <c r="I256" i="41" s="1"/>
  <c r="AF431" i="41" s="1"/>
  <c r="AE459" i="41" s="1"/>
  <c r="I59" i="41"/>
  <c r="E41" i="41"/>
  <c r="E29" i="41"/>
  <c r="E44" i="41"/>
  <c r="E32" i="41"/>
  <c r="K185" i="41"/>
  <c r="K173" i="41"/>
  <c r="K161" i="41"/>
  <c r="K158" i="41"/>
  <c r="G35" i="1"/>
  <c r="E239" i="41"/>
  <c r="E202" i="41"/>
  <c r="E55" i="41"/>
  <c r="E18" i="41"/>
  <c r="E194" i="41"/>
  <c r="W427" i="41" s="1"/>
  <c r="U447" i="41" s="1"/>
  <c r="E78" i="41"/>
  <c r="E66" i="41"/>
  <c r="G39" i="41"/>
  <c r="G27" i="41"/>
  <c r="J224" i="41"/>
  <c r="J212" i="41"/>
  <c r="F39" i="41"/>
  <c r="F27" i="41"/>
  <c r="G82" i="41"/>
  <c r="G70" i="41"/>
  <c r="E69" i="41"/>
  <c r="E81" i="41"/>
  <c r="K34" i="1"/>
  <c r="D255" i="41"/>
  <c r="D243" i="41"/>
  <c r="D206" i="41"/>
  <c r="D59" i="41"/>
  <c r="D22" i="41"/>
  <c r="E109" i="41"/>
  <c r="D76" i="41"/>
  <c r="D64" i="41"/>
  <c r="K77" i="41"/>
  <c r="K65" i="41"/>
  <c r="F82" i="41"/>
  <c r="F70" i="41"/>
  <c r="G109" i="41"/>
  <c r="J107" i="41"/>
  <c r="J119" i="41" s="1"/>
  <c r="J131" i="41"/>
  <c r="J143" i="41" s="1"/>
  <c r="E35" i="1"/>
  <c r="E249" i="41"/>
  <c r="E237" i="41"/>
  <c r="E200" i="41"/>
  <c r="E53" i="41"/>
  <c r="E16" i="41"/>
  <c r="K107" i="41"/>
  <c r="K119" i="41" s="1"/>
  <c r="K131" i="41"/>
  <c r="K143" i="41" s="1"/>
  <c r="G29" i="41"/>
  <c r="G41" i="41"/>
  <c r="C36" i="1"/>
  <c r="F247" i="41"/>
  <c r="F235" i="41"/>
  <c r="F51" i="41"/>
  <c r="F14" i="41"/>
  <c r="F198" i="41"/>
  <c r="F136" i="41"/>
  <c r="F145" i="41" s="1"/>
  <c r="L428" i="41" s="1"/>
  <c r="AD445" i="41" s="1"/>
  <c r="F133" i="41"/>
  <c r="G224" i="41"/>
  <c r="G212" i="41"/>
  <c r="E213" i="41"/>
  <c r="E225" i="41"/>
  <c r="G76" i="41"/>
  <c r="G64" i="41"/>
  <c r="D173" i="41"/>
  <c r="D182" i="41" s="1"/>
  <c r="U426" i="41" s="1"/>
  <c r="D447" i="41" s="1"/>
  <c r="D161" i="41"/>
  <c r="D170" i="41" s="1"/>
  <c r="V426" i="41" s="1"/>
  <c r="G447" i="41" s="1"/>
  <c r="D158" i="41"/>
  <c r="D185" i="41"/>
  <c r="D194" i="41" s="1"/>
  <c r="W426" i="41" s="1"/>
  <c r="I447" i="41" s="1"/>
  <c r="J100" i="41"/>
  <c r="J124" i="41"/>
  <c r="E223" i="41"/>
  <c r="E211" i="41"/>
  <c r="G45" i="41"/>
  <c r="G33" i="41"/>
  <c r="D40" i="41"/>
  <c r="D28" i="41"/>
  <c r="E121" i="41"/>
  <c r="M427" i="41" s="1"/>
  <c r="S445" i="41" s="1"/>
  <c r="D223" i="41"/>
  <c r="D211" i="41"/>
  <c r="G121" i="41"/>
  <c r="M429" i="41" s="1"/>
  <c r="G455" i="41" s="1"/>
  <c r="G280" i="41"/>
  <c r="G255" i="41"/>
  <c r="G243" i="41"/>
  <c r="G268" i="41"/>
  <c r="G292" i="41"/>
  <c r="G206" i="41"/>
  <c r="G22" i="41"/>
  <c r="G59" i="41"/>
  <c r="I36" i="1"/>
  <c r="F253" i="41"/>
  <c r="F241" i="41"/>
  <c r="F204" i="41"/>
  <c r="F20" i="41"/>
  <c r="F57" i="41"/>
  <c r="F45" i="41"/>
  <c r="F33" i="41"/>
  <c r="L39" i="1"/>
  <c r="I207" i="41"/>
  <c r="Q431" i="41" s="1"/>
  <c r="AE456" i="41" s="1"/>
  <c r="I23" i="41"/>
  <c r="C431" i="41" s="1"/>
  <c r="AE453" i="41" s="1"/>
  <c r="I60" i="41"/>
  <c r="H431" i="41" s="1"/>
  <c r="AE454" i="41" s="1"/>
  <c r="H255" i="41"/>
  <c r="H256" i="41" s="1"/>
  <c r="AF430" i="41" s="1"/>
  <c r="S459" i="41" s="1"/>
  <c r="H243" i="41"/>
  <c r="H244" i="41" s="1"/>
  <c r="AE430" i="41" s="1"/>
  <c r="H268" i="41"/>
  <c r="H269" i="41" s="1"/>
  <c r="Z430" i="41" s="1"/>
  <c r="S458" i="41" s="1"/>
  <c r="H59" i="41"/>
  <c r="H292" i="41"/>
  <c r="H293" i="41" s="1"/>
  <c r="AB430" i="41" s="1"/>
  <c r="W458" i="41" s="1"/>
  <c r="H280" i="41"/>
  <c r="H281" i="41" s="1"/>
  <c r="AA430" i="41" s="1"/>
  <c r="U458" i="41" s="1"/>
  <c r="H22" i="41"/>
  <c r="H206" i="41"/>
  <c r="L42" i="1"/>
  <c r="L207" i="41"/>
  <c r="Q434" i="41" s="1"/>
  <c r="AE467" i="41" s="1"/>
  <c r="L60" i="41"/>
  <c r="H434" i="41" s="1"/>
  <c r="AE465" i="41" s="1"/>
  <c r="L23" i="41"/>
  <c r="C434" i="41" s="1"/>
  <c r="AE464" i="41" s="1"/>
  <c r="L112" i="41"/>
  <c r="L121" i="41" s="1"/>
  <c r="M434" i="41" s="1"/>
  <c r="AE466" i="41" s="1"/>
  <c r="L109" i="41"/>
  <c r="F112" i="41"/>
  <c r="F121" i="41" s="1"/>
  <c r="M428" i="41" s="1"/>
  <c r="AE445" i="41" s="1"/>
  <c r="F109" i="41"/>
  <c r="C34" i="1"/>
  <c r="D247" i="41"/>
  <c r="D235" i="41"/>
  <c r="D198" i="41"/>
  <c r="D51" i="41"/>
  <c r="D14" i="41"/>
  <c r="G38" i="41"/>
  <c r="G26" i="41"/>
  <c r="F64" i="41"/>
  <c r="F76" i="41"/>
  <c r="G229" i="41"/>
  <c r="G217" i="41"/>
  <c r="D212" i="41"/>
  <c r="D224" i="41"/>
  <c r="F29" i="41"/>
  <c r="F41" i="41"/>
  <c r="K100" i="41"/>
  <c r="K124" i="41"/>
  <c r="D41" i="41"/>
  <c r="D29" i="41"/>
  <c r="G211" i="41"/>
  <c r="G223" i="41"/>
  <c r="F170" i="41"/>
  <c r="V428" i="41" s="1"/>
  <c r="AE447" i="41" s="1"/>
  <c r="I40" i="1"/>
  <c r="J253" i="41"/>
  <c r="J241" i="41"/>
  <c r="J57" i="41"/>
  <c r="J20" i="41"/>
  <c r="J204" i="41"/>
  <c r="G204" i="41"/>
  <c r="G266" i="41"/>
  <c r="G253" i="41"/>
  <c r="G241" i="41"/>
  <c r="G20" i="41"/>
  <c r="G57" i="41"/>
  <c r="L136" i="41"/>
  <c r="L145" i="41" s="1"/>
  <c r="L434" i="41" s="1"/>
  <c r="AD466" i="41" s="1"/>
  <c r="L133" i="41"/>
  <c r="F223" i="41"/>
  <c r="F211" i="41"/>
  <c r="D77" i="41"/>
  <c r="D65" i="41"/>
  <c r="F78" i="41"/>
  <c r="F66" i="41"/>
  <c r="L182" i="41"/>
  <c r="U434" i="41" s="1"/>
  <c r="AB468" i="41" s="1"/>
  <c r="D78" i="41"/>
  <c r="D66" i="41"/>
  <c r="J35" i="1"/>
  <c r="E254" i="41"/>
  <c r="E242" i="41"/>
  <c r="E58" i="41"/>
  <c r="E205" i="41"/>
  <c r="E21" i="41"/>
  <c r="J180" i="41"/>
  <c r="J168" i="41"/>
  <c r="J192" i="41"/>
  <c r="L38" i="1"/>
  <c r="H207" i="41"/>
  <c r="Q430" i="41" s="1"/>
  <c r="S456" i="41" s="1"/>
  <c r="H23" i="41"/>
  <c r="C430" i="41" s="1"/>
  <c r="S453" i="41" s="1"/>
  <c r="H60" i="41"/>
  <c r="H430" i="41" s="1"/>
  <c r="S454" i="41" s="1"/>
  <c r="L34" i="1"/>
  <c r="D207" i="41"/>
  <c r="Q426" i="41" s="1"/>
  <c r="G446" i="41" s="1"/>
  <c r="D60" i="41"/>
  <c r="H426" i="41" s="1"/>
  <c r="G444" i="41" s="1"/>
  <c r="D23" i="41"/>
  <c r="C426" i="41" s="1"/>
  <c r="G443" i="41" s="1"/>
  <c r="L36" i="1"/>
  <c r="F207" i="41"/>
  <c r="Q428" i="41" s="1"/>
  <c r="AE446" i="41" s="1"/>
  <c r="F23" i="41"/>
  <c r="C428" i="41" s="1"/>
  <c r="AE443" i="41" s="1"/>
  <c r="F60" i="41"/>
  <c r="H428" i="41" s="1"/>
  <c r="AE444" i="41" s="1"/>
  <c r="L37" i="1"/>
  <c r="G60" i="41"/>
  <c r="H429" i="41" s="1"/>
  <c r="G454" i="41" s="1"/>
  <c r="G207" i="41"/>
  <c r="Q429" i="41" s="1"/>
  <c r="G456" i="41" s="1"/>
  <c r="G23" i="41"/>
  <c r="C429" i="41" s="1"/>
  <c r="G453" i="41" s="1"/>
  <c r="E210" i="41"/>
  <c r="E222" i="41"/>
  <c r="G28" i="41"/>
  <c r="G40" i="41"/>
  <c r="G75" i="41"/>
  <c r="G63" i="41"/>
  <c r="F67" i="41"/>
  <c r="F79" i="41"/>
  <c r="G133" i="41"/>
  <c r="E145" i="41"/>
  <c r="L427" i="41" s="1"/>
  <c r="R445" i="41" s="1"/>
  <c r="E216" i="41"/>
  <c r="E228" i="41"/>
  <c r="G213" i="41"/>
  <c r="G225" i="41"/>
  <c r="K212" i="41"/>
  <c r="K224" i="41"/>
  <c r="L194" i="41"/>
  <c r="W434" i="41" s="1"/>
  <c r="AG468" i="41" s="1"/>
  <c r="F229" i="41"/>
  <c r="F217" i="41"/>
  <c r="E42" i="1"/>
  <c r="L249" i="41"/>
  <c r="L237" i="41"/>
  <c r="L200" i="41"/>
  <c r="L53" i="41"/>
  <c r="L16" i="41"/>
  <c r="J65" i="41"/>
  <c r="J77" i="41"/>
  <c r="J34" i="1"/>
  <c r="D205" i="41"/>
  <c r="D254" i="41"/>
  <c r="D242" i="41"/>
  <c r="D21" i="41"/>
  <c r="D58" i="41"/>
  <c r="J173" i="41"/>
  <c r="J185" i="41"/>
  <c r="J161" i="41"/>
  <c r="J158" i="41"/>
  <c r="C42" i="1"/>
  <c r="L247" i="41"/>
  <c r="L235" i="41"/>
  <c r="L198" i="41"/>
  <c r="L51" i="41"/>
  <c r="L14" i="41"/>
  <c r="G34" i="1"/>
  <c r="D239" i="41"/>
  <c r="D55" i="41"/>
  <c r="D18" i="41"/>
  <c r="D202" i="41"/>
  <c r="I34" i="1"/>
  <c r="D204" i="41"/>
  <c r="D253" i="41"/>
  <c r="D57" i="41"/>
  <c r="D20" i="41"/>
  <c r="D241" i="41"/>
  <c r="K35" i="1"/>
  <c r="E206" i="41"/>
  <c r="E255" i="41"/>
  <c r="E243" i="41"/>
  <c r="E59" i="41"/>
  <c r="E22" i="41"/>
  <c r="E38" i="41"/>
  <c r="E26" i="41"/>
  <c r="G222" i="41"/>
  <c r="G210" i="41"/>
  <c r="G145" i="41"/>
  <c r="L429" i="41" s="1"/>
  <c r="F455" i="41" s="1"/>
  <c r="E133" i="41"/>
  <c r="F225" i="41"/>
  <c r="F213" i="41"/>
  <c r="G78" i="41"/>
  <c r="G66" i="41"/>
  <c r="L170" i="41"/>
  <c r="V434" i="41" s="1"/>
  <c r="AE468" i="41" s="1"/>
  <c r="D213" i="41"/>
  <c r="D225" i="41"/>
  <c r="E76" i="41"/>
  <c r="E64" i="41"/>
  <c r="D39" i="41"/>
  <c r="D27" i="41"/>
  <c r="K40" i="41"/>
  <c r="K28" i="41"/>
  <c r="K180" i="41"/>
  <c r="K192" i="41"/>
  <c r="K168" i="41"/>
  <c r="K36" i="1"/>
  <c r="F255" i="41"/>
  <c r="F243" i="41"/>
  <c r="F22" i="41"/>
  <c r="F206" i="41"/>
  <c r="F59" i="41"/>
  <c r="L35" i="1"/>
  <c r="E60" i="41"/>
  <c r="H427" i="41" s="1"/>
  <c r="S444" i="41" s="1"/>
  <c r="E207" i="41"/>
  <c r="Q427" i="41" s="1"/>
  <c r="E23" i="41"/>
  <c r="C427" i="41" s="1"/>
  <c r="S443" i="41" s="1"/>
  <c r="L41" i="1"/>
  <c r="K207" i="41"/>
  <c r="Q433" i="41" s="1"/>
  <c r="S467" i="41" s="1"/>
  <c r="K60" i="41"/>
  <c r="H433" i="41" s="1"/>
  <c r="S465" i="41" s="1"/>
  <c r="K23" i="41"/>
  <c r="C433" i="41" s="1"/>
  <c r="S464" i="41" s="1"/>
  <c r="G288" i="41"/>
  <c r="G202" i="41"/>
  <c r="G276" i="41"/>
  <c r="G239" i="41"/>
  <c r="G18" i="41"/>
  <c r="G264" i="41"/>
  <c r="G55" i="41"/>
  <c r="E36" i="1"/>
  <c r="F249" i="41"/>
  <c r="F237" i="41"/>
  <c r="F53" i="41"/>
  <c r="F200" i="41"/>
  <c r="F16" i="41"/>
  <c r="E75" i="41"/>
  <c r="E63" i="41"/>
  <c r="G77" i="41"/>
  <c r="G65" i="41"/>
  <c r="F30" i="41"/>
  <c r="F42" i="41"/>
  <c r="J40" i="41"/>
  <c r="J28" i="41"/>
  <c r="E39" i="41"/>
  <c r="E27" i="41"/>
  <c r="F182" i="41"/>
  <c r="U428" i="41" s="1"/>
  <c r="AB447" i="41" s="1"/>
  <c r="I37" i="1"/>
  <c r="G37" i="1"/>
  <c r="K37" i="1"/>
  <c r="K39" i="1"/>
  <c r="K38" i="1"/>
  <c r="H458" i="7"/>
  <c r="H476" i="7" s="1"/>
  <c r="H474" i="7"/>
  <c r="I467" i="7"/>
  <c r="H467" i="7"/>
  <c r="I474" i="7"/>
  <c r="J170" i="41" l="1"/>
  <c r="V432" i="41" s="1"/>
  <c r="G468" i="41" s="1"/>
  <c r="G269" i="41"/>
  <c r="Z429" i="41" s="1"/>
  <c r="G458" i="41" s="1"/>
  <c r="G293" i="41"/>
  <c r="AB429" i="41" s="1"/>
  <c r="K458" i="41" s="1"/>
  <c r="F256" i="41"/>
  <c r="AF428" i="41" s="1"/>
  <c r="AE448" i="41" s="1"/>
  <c r="G256" i="41"/>
  <c r="AF429" i="41" s="1"/>
  <c r="G459" i="41" s="1"/>
  <c r="J182" i="41"/>
  <c r="U432" i="41" s="1"/>
  <c r="D468" i="41" s="1"/>
  <c r="L256" i="41"/>
  <c r="AF434" i="41" s="1"/>
  <c r="AE472" i="41" s="1"/>
  <c r="S447" i="41"/>
  <c r="J194" i="41"/>
  <c r="W432" i="41" s="1"/>
  <c r="I468" i="41" s="1"/>
  <c r="E244" i="41"/>
  <c r="AE427" i="41" s="1"/>
  <c r="E256" i="41"/>
  <c r="AF427" i="41" s="1"/>
  <c r="S448" i="41" s="1"/>
  <c r="G244" i="41"/>
  <c r="AE429" i="41" s="1"/>
  <c r="G281" i="41"/>
  <c r="AA429" i="41" s="1"/>
  <c r="I458" i="41" s="1"/>
  <c r="F28" i="41"/>
  <c r="F40" i="41"/>
  <c r="E82" i="41"/>
  <c r="E70" i="41"/>
  <c r="G230" i="41"/>
  <c r="G218" i="41"/>
  <c r="F210" i="41"/>
  <c r="F222" i="41"/>
  <c r="L40" i="1"/>
  <c r="J207" i="41"/>
  <c r="Q432" i="41" s="1"/>
  <c r="G467" i="41" s="1"/>
  <c r="J23" i="41"/>
  <c r="C432" i="41" s="1"/>
  <c r="G464" i="41" s="1"/>
  <c r="J60" i="41"/>
  <c r="H432" i="41" s="1"/>
  <c r="G465" i="41" s="1"/>
  <c r="F224" i="41"/>
  <c r="F212" i="41"/>
  <c r="F83" i="41"/>
  <c r="F71" i="41"/>
  <c r="L38" i="41"/>
  <c r="L26" i="41"/>
  <c r="L224" i="41"/>
  <c r="L212" i="41"/>
  <c r="G81" i="41"/>
  <c r="G69" i="41"/>
  <c r="J216" i="41"/>
  <c r="J228" i="41"/>
  <c r="J136" i="41"/>
  <c r="J145" i="41" s="1"/>
  <c r="L432" i="41" s="1"/>
  <c r="F466" i="41" s="1"/>
  <c r="J133" i="41"/>
  <c r="F38" i="41"/>
  <c r="F26" i="41"/>
  <c r="I230" i="41"/>
  <c r="I231" i="41" s="1"/>
  <c r="R431" i="41" s="1"/>
  <c r="AH456" i="41" s="1"/>
  <c r="I218" i="41"/>
  <c r="I219" i="41" s="1"/>
  <c r="P431" i="41" s="1"/>
  <c r="AA456" i="41" s="1"/>
  <c r="G67" i="41"/>
  <c r="G79" i="41"/>
  <c r="E46" i="41"/>
  <c r="E34" i="41"/>
  <c r="D229" i="41"/>
  <c r="D217" i="41"/>
  <c r="F46" i="41"/>
  <c r="F34" i="41"/>
  <c r="E83" i="41"/>
  <c r="E71" i="41"/>
  <c r="D32" i="41"/>
  <c r="D44" i="41"/>
  <c r="D42" i="41"/>
  <c r="D30" i="41"/>
  <c r="L222" i="41"/>
  <c r="L210" i="41"/>
  <c r="D38" i="41"/>
  <c r="D26" i="41"/>
  <c r="H83" i="41"/>
  <c r="H84" i="41" s="1"/>
  <c r="I430" i="41" s="1"/>
  <c r="V454" i="41" s="1"/>
  <c r="H71" i="41"/>
  <c r="H72" i="41" s="1"/>
  <c r="G430" i="41" s="1"/>
  <c r="Q454" i="41" s="1"/>
  <c r="F77" i="41"/>
  <c r="F65" i="41"/>
  <c r="G44" i="41"/>
  <c r="G32" i="41"/>
  <c r="J112" i="41"/>
  <c r="J121" i="41" s="1"/>
  <c r="M432" i="41" s="1"/>
  <c r="G466" i="41" s="1"/>
  <c r="J109" i="41"/>
  <c r="F75" i="41"/>
  <c r="F63" i="41"/>
  <c r="D81" i="41"/>
  <c r="D69" i="41"/>
  <c r="D79" i="41"/>
  <c r="D67" i="41"/>
  <c r="L244" i="41"/>
  <c r="AE434" i="41" s="1"/>
  <c r="D63" i="41"/>
  <c r="D75" i="41"/>
  <c r="F244" i="41"/>
  <c r="AE428" i="41" s="1"/>
  <c r="E40" i="41"/>
  <c r="E28" i="41"/>
  <c r="I71" i="41"/>
  <c r="I72" i="41" s="1"/>
  <c r="G431" i="41" s="1"/>
  <c r="AC454" i="41" s="1"/>
  <c r="I83" i="41"/>
  <c r="I84" i="41" s="1"/>
  <c r="I431" i="41" s="1"/>
  <c r="AH454" i="41" s="1"/>
  <c r="D218" i="41"/>
  <c r="D230" i="41"/>
  <c r="G42" i="41"/>
  <c r="G30" i="41"/>
  <c r="F230" i="41"/>
  <c r="F218" i="41"/>
  <c r="L75" i="41"/>
  <c r="L63" i="41"/>
  <c r="J44" i="41"/>
  <c r="J32" i="41"/>
  <c r="C41" i="1"/>
  <c r="K198" i="41"/>
  <c r="K247" i="41"/>
  <c r="K235" i="41"/>
  <c r="K14" i="41"/>
  <c r="K51" i="41"/>
  <c r="D82" i="41"/>
  <c r="D70" i="41"/>
  <c r="J81" i="41"/>
  <c r="J69" i="41"/>
  <c r="D210" i="41"/>
  <c r="D222" i="41"/>
  <c r="H230" i="41"/>
  <c r="H231" i="41" s="1"/>
  <c r="R430" i="41" s="1"/>
  <c r="V456" i="41" s="1"/>
  <c r="H218" i="41"/>
  <c r="H219" i="41" s="1"/>
  <c r="P430" i="41" s="1"/>
  <c r="O456" i="41" s="1"/>
  <c r="F81" i="41"/>
  <c r="F69" i="41"/>
  <c r="G71" i="41"/>
  <c r="G83" i="41"/>
  <c r="E65" i="41"/>
  <c r="E77" i="41"/>
  <c r="E30" i="41"/>
  <c r="E42" i="41"/>
  <c r="K170" i="41"/>
  <c r="V433" i="41" s="1"/>
  <c r="S468" i="41" s="1"/>
  <c r="L77" i="41"/>
  <c r="L65" i="41"/>
  <c r="E45" i="41"/>
  <c r="E33" i="41"/>
  <c r="K136" i="41"/>
  <c r="K145" i="41" s="1"/>
  <c r="L433" i="41" s="1"/>
  <c r="R466" i="41" s="1"/>
  <c r="K133" i="41"/>
  <c r="D244" i="41"/>
  <c r="AE426" i="41" s="1"/>
  <c r="H46" i="41"/>
  <c r="H47" i="41" s="1"/>
  <c r="D430" i="41" s="1"/>
  <c r="T453" i="41" s="1"/>
  <c r="H34" i="41"/>
  <c r="H35" i="41" s="1"/>
  <c r="B430" i="41" s="1"/>
  <c r="R453" i="41" s="1"/>
  <c r="F44" i="41"/>
  <c r="F32" i="41"/>
  <c r="G34" i="41"/>
  <c r="G46" i="41"/>
  <c r="D46" i="41"/>
  <c r="D34" i="41"/>
  <c r="E79" i="41"/>
  <c r="E67" i="41"/>
  <c r="K182" i="41"/>
  <c r="U433" i="41" s="1"/>
  <c r="P468" i="41" s="1"/>
  <c r="I46" i="41"/>
  <c r="I47" i="41" s="1"/>
  <c r="D431" i="41" s="1"/>
  <c r="AF453" i="41" s="1"/>
  <c r="I34" i="41"/>
  <c r="I35" i="41" s="1"/>
  <c r="B431" i="41" s="1"/>
  <c r="AD453" i="41" s="1"/>
  <c r="D45" i="41"/>
  <c r="D33" i="41"/>
  <c r="J41" i="1"/>
  <c r="K205" i="41"/>
  <c r="K254" i="41"/>
  <c r="K242" i="41"/>
  <c r="K21" i="41"/>
  <c r="K58" i="41"/>
  <c r="C40" i="1"/>
  <c r="J247" i="41"/>
  <c r="J235" i="41"/>
  <c r="J14" i="41"/>
  <c r="J198" i="41"/>
  <c r="J51" i="41"/>
  <c r="J40" i="1"/>
  <c r="J242" i="41"/>
  <c r="J205" i="41"/>
  <c r="J21" i="41"/>
  <c r="J58" i="41"/>
  <c r="J254" i="41"/>
  <c r="E218" i="41"/>
  <c r="E230" i="41"/>
  <c r="D216" i="41"/>
  <c r="D228" i="41"/>
  <c r="L40" i="41"/>
  <c r="L28" i="41"/>
  <c r="E229" i="41"/>
  <c r="E217" i="41"/>
  <c r="G216" i="41"/>
  <c r="G219" i="41" s="1"/>
  <c r="P429" i="41" s="1"/>
  <c r="C456" i="41" s="1"/>
  <c r="G228" i="41"/>
  <c r="K112" i="41"/>
  <c r="K121" i="41" s="1"/>
  <c r="M433" i="41" s="1"/>
  <c r="S466" i="41" s="1"/>
  <c r="K109" i="41"/>
  <c r="D256" i="41"/>
  <c r="AF426" i="41" s="1"/>
  <c r="G448" i="41" s="1"/>
  <c r="F228" i="41"/>
  <c r="F216" i="41"/>
  <c r="E224" i="41"/>
  <c r="E212" i="41"/>
  <c r="D71" i="41"/>
  <c r="D83" i="41"/>
  <c r="K194" i="41"/>
  <c r="W433" i="41" s="1"/>
  <c r="U468" i="41" s="1"/>
  <c r="G231" i="41" l="1"/>
  <c r="R429" i="41" s="1"/>
  <c r="J456" i="41" s="1"/>
  <c r="F231" i="41"/>
  <c r="R428" i="41" s="1"/>
  <c r="AH446" i="41" s="1"/>
  <c r="E72" i="41"/>
  <c r="G427" i="41" s="1"/>
  <c r="Q444" i="41" s="1"/>
  <c r="L219" i="41"/>
  <c r="P434" i="41" s="1"/>
  <c r="AA467" i="41" s="1"/>
  <c r="G72" i="41"/>
  <c r="G429" i="41" s="1"/>
  <c r="E454" i="41" s="1"/>
  <c r="E84" i="41"/>
  <c r="I427" i="41" s="1"/>
  <c r="V444" i="41" s="1"/>
  <c r="E47" i="41"/>
  <c r="D427" i="41" s="1"/>
  <c r="T443" i="41" s="1"/>
  <c r="E219" i="41"/>
  <c r="P427" i="41" s="1"/>
  <c r="O446" i="41" s="1"/>
  <c r="L231" i="41"/>
  <c r="R434" i="41" s="1"/>
  <c r="AH467" i="41" s="1"/>
  <c r="E35" i="41"/>
  <c r="B427" i="41" s="1"/>
  <c r="R443" i="41" s="1"/>
  <c r="F219" i="41"/>
  <c r="P428" i="41" s="1"/>
  <c r="AA446" i="41" s="1"/>
  <c r="G35" i="41"/>
  <c r="B429" i="41" s="1"/>
  <c r="F453" i="41" s="1"/>
  <c r="G47" i="41"/>
  <c r="D429" i="41" s="1"/>
  <c r="H453" i="41" s="1"/>
  <c r="J63" i="41"/>
  <c r="J75" i="41"/>
  <c r="K70" i="41"/>
  <c r="K82" i="41"/>
  <c r="K222" i="41"/>
  <c r="K210" i="41"/>
  <c r="J210" i="41"/>
  <c r="J222" i="41"/>
  <c r="K33" i="41"/>
  <c r="K45" i="41"/>
  <c r="F35" i="41"/>
  <c r="B428" i="41" s="1"/>
  <c r="AD443" i="41" s="1"/>
  <c r="J82" i="41"/>
  <c r="J70" i="41"/>
  <c r="J26" i="41"/>
  <c r="J38" i="41"/>
  <c r="F72" i="41"/>
  <c r="G428" i="41" s="1"/>
  <c r="AC444" i="41" s="1"/>
  <c r="F47" i="41"/>
  <c r="D428" i="41" s="1"/>
  <c r="AF443" i="41" s="1"/>
  <c r="J33" i="41"/>
  <c r="J45" i="41"/>
  <c r="D231" i="41"/>
  <c r="R426" i="41" s="1"/>
  <c r="J446" i="41" s="1"/>
  <c r="K63" i="41"/>
  <c r="K75" i="41"/>
  <c r="D84" i="41"/>
  <c r="I426" i="41" s="1"/>
  <c r="J444" i="41" s="1"/>
  <c r="F84" i="41"/>
  <c r="I428" i="41" s="1"/>
  <c r="AH444" i="41" s="1"/>
  <c r="J256" i="41"/>
  <c r="AF432" i="41" s="1"/>
  <c r="G472" i="41" s="1"/>
  <c r="D219" i="41"/>
  <c r="P426" i="41" s="1"/>
  <c r="C446" i="41" s="1"/>
  <c r="K38" i="41"/>
  <c r="K26" i="41"/>
  <c r="D72" i="41"/>
  <c r="G426" i="41" s="1"/>
  <c r="E444" i="41" s="1"/>
  <c r="L35" i="41"/>
  <c r="B434" i="41" s="1"/>
  <c r="AD464" i="41" s="1"/>
  <c r="E231" i="41"/>
  <c r="R427" i="41" s="1"/>
  <c r="V446" i="41" s="1"/>
  <c r="J229" i="41"/>
  <c r="J217" i="41"/>
  <c r="K229" i="41"/>
  <c r="K217" i="41"/>
  <c r="K244" i="41"/>
  <c r="AE433" i="41" s="1"/>
  <c r="D35" i="41"/>
  <c r="B426" i="41" s="1"/>
  <c r="F443" i="41" s="1"/>
  <c r="G84" i="41"/>
  <c r="I429" i="41" s="1"/>
  <c r="J454" i="41" s="1"/>
  <c r="L47" i="41"/>
  <c r="D434" i="41" s="1"/>
  <c r="J244" i="41"/>
  <c r="AE432" i="41" s="1"/>
  <c r="L72" i="41"/>
  <c r="G434" i="41" s="1"/>
  <c r="AC465" i="41" s="1"/>
  <c r="K256" i="41"/>
  <c r="AF433" i="41" s="1"/>
  <c r="S472" i="41" s="1"/>
  <c r="L84" i="41"/>
  <c r="I434" i="41" s="1"/>
  <c r="AH465" i="41" s="1"/>
  <c r="D47" i="41"/>
  <c r="D426" i="41" s="1"/>
  <c r="H443" i="41" s="1"/>
  <c r="K72" i="41" l="1"/>
  <c r="G433" i="41" s="1"/>
  <c r="Q465" i="41" s="1"/>
  <c r="J47" i="41"/>
  <c r="D432" i="41" s="1"/>
  <c r="H464" i="41" s="1"/>
  <c r="J72" i="41"/>
  <c r="G432" i="41" s="1"/>
  <c r="E465" i="41" s="1"/>
  <c r="J231" i="41"/>
  <c r="R432" i="41" s="1"/>
  <c r="J467" i="41" s="1"/>
  <c r="J219" i="41"/>
  <c r="P432" i="41" s="1"/>
  <c r="C467" i="41" s="1"/>
  <c r="K84" i="41"/>
  <c r="I433" i="41" s="1"/>
  <c r="V465" i="41" s="1"/>
  <c r="J35" i="41"/>
  <c r="B432" i="41" s="1"/>
  <c r="F464" i="41" s="1"/>
  <c r="K219" i="41"/>
  <c r="P433" i="41" s="1"/>
  <c r="O467" i="41" s="1"/>
  <c r="K35" i="41"/>
  <c r="B433" i="41" s="1"/>
  <c r="R464" i="41" s="1"/>
  <c r="K47" i="41"/>
  <c r="D433" i="41" s="1"/>
  <c r="T464" i="41" s="1"/>
  <c r="K231" i="41"/>
  <c r="R433" i="41" s="1"/>
  <c r="J84" i="41"/>
  <c r="I432" i="41" s="1"/>
  <c r="J465" i="41" s="1"/>
  <c r="AF464" i="41" l="1"/>
  <c r="V467" i="4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aottenbros</author>
  </authors>
  <commentList>
    <comment ref="B181" authorId="0" shapeId="0" xr:uid="{98DAF332-9363-4BC4-A3DC-9A4FCCFCD764}">
      <text>
        <r>
          <rPr>
            <sz val="9"/>
            <color indexed="81"/>
            <rFont val="Tahoma"/>
            <family val="2"/>
          </rPr>
          <t>per ton CO2 captured and stored mulitplied with Human Health damage characterisation factor</t>
        </r>
      </text>
    </comment>
    <comment ref="B193" authorId="0" shapeId="0" xr:uid="{6196D6D9-AC1F-4311-B42B-E68C71581765}">
      <text>
        <r>
          <rPr>
            <sz val="9"/>
            <color indexed="81"/>
            <rFont val="Tahoma"/>
            <family val="2"/>
          </rPr>
          <t>per ton CO2 captured and stored mulitplied with Human Health damage characterisation factor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aottenbros</author>
  </authors>
  <commentList>
    <comment ref="B181" authorId="0" shapeId="0" xr:uid="{BED2DD2B-7AE2-4334-8EB6-84065AAD0025}">
      <text>
        <r>
          <rPr>
            <sz val="9"/>
            <color indexed="81"/>
            <rFont val="Tahoma"/>
            <family val="2"/>
          </rPr>
          <t>per ton CO2 captured and stored mulitplied with Human Health damage characterisation factor</t>
        </r>
      </text>
    </comment>
    <comment ref="B193" authorId="0" shapeId="0" xr:uid="{22E505E5-A4E0-445B-8D1E-0DB3A44DB1AF}">
      <text>
        <r>
          <rPr>
            <sz val="9"/>
            <color indexed="81"/>
            <rFont val="Tahoma"/>
            <family val="2"/>
          </rPr>
          <t>per ton CO2 captured and stored mulitplied with Human Health damage characterisation factor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aottenbros</author>
  </authors>
  <commentList>
    <comment ref="B181" authorId="0" shapeId="0" xr:uid="{81DF9B7D-8DCA-43D3-87C0-4A2372AD21E8}">
      <text>
        <r>
          <rPr>
            <sz val="9"/>
            <color indexed="81"/>
            <rFont val="Tahoma"/>
            <family val="2"/>
          </rPr>
          <t>per ton CO2 captured and stored mulitplied with Human Health damage characterisation factor</t>
        </r>
      </text>
    </comment>
    <comment ref="B193" authorId="0" shapeId="0" xr:uid="{93230F04-72B7-4B9A-9C9A-9FC6D4782CE7}">
      <text>
        <r>
          <rPr>
            <sz val="9"/>
            <color indexed="81"/>
            <rFont val="Tahoma"/>
            <family val="2"/>
          </rPr>
          <t>per ton CO2 captured and stored mulitplied with Human Health damage characterisation factor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aottenbros</author>
  </authors>
  <commentList>
    <comment ref="B181" authorId="0" shapeId="0" xr:uid="{794B96AB-47DE-4F70-A3A3-D21B70AECA68}">
      <text>
        <r>
          <rPr>
            <sz val="9"/>
            <color indexed="81"/>
            <rFont val="Tahoma"/>
            <family val="2"/>
          </rPr>
          <t>per ton CO2 captured and stored mulitplied with Human Health damage characterisation factor</t>
        </r>
      </text>
    </comment>
    <comment ref="B193" authorId="0" shapeId="0" xr:uid="{B87BCF2B-EFA2-4F35-B894-C2C1E6B354DF}">
      <text>
        <r>
          <rPr>
            <sz val="9"/>
            <color indexed="81"/>
            <rFont val="Tahoma"/>
            <family val="2"/>
          </rPr>
          <t>per ton CO2 captured and stored mulitplied with Human Health damage characterisation factor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tc={39108864-C413-48F1-A3E3-DD0B8E990E94}</author>
  </authors>
  <commentList>
    <comment ref="BC97" authorId="0" shapeId="0" xr:uid="{C62C5C8B-7743-43F1-A873-196E2E2B3FF5}">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Zie BB31</t>
        </r>
      </text>
    </comment>
  </commentList>
</comments>
</file>

<file path=xl/sharedStrings.xml><?xml version="1.0" encoding="utf-8"?>
<sst xmlns="http://schemas.openxmlformats.org/spreadsheetml/2006/main" count="21825" uniqueCount="944">
  <si>
    <t>method</t>
  </si>
  <si>
    <t>scenario</t>
  </si>
  <si>
    <t>image - SSP2-Base - 2030</t>
  </si>
  <si>
    <t>image - SSP2-Base - 2035</t>
  </si>
  <si>
    <t>image - SSP2-Base - 2040</t>
  </si>
  <si>
    <t>image - SSP2-Base - 2045</t>
  </si>
  <si>
    <t>image - SSP2-Base - 2050</t>
  </si>
  <si>
    <t>image - SSP2-Base - 2055</t>
  </si>
  <si>
    <t>image - SSP2-RCP26 - 2030</t>
  </si>
  <si>
    <t>image - SSP2-RCP26 - 2035</t>
  </si>
  <si>
    <t>image - SSP2-RCP26 - 2040</t>
  </si>
  <si>
    <t>image - SSP2-RCP26 - 2045</t>
  </si>
  <si>
    <t>image - SSP2-RCP26 - 2050</t>
  </si>
  <si>
    <t>image - SSP2-RCP26 - 2055</t>
  </si>
  <si>
    <t>image - SSP2-RCP19 - 2030</t>
  </si>
  <si>
    <t>image - SSP2-RCP19 - 2035</t>
  </si>
  <si>
    <t>image - SSP2-RCP19 - 2040</t>
  </si>
  <si>
    <t>image - SSP2-RCP19 - 2045</t>
  </si>
  <si>
    <t>image - SSP2-RCP19 - 2050</t>
  </si>
  <si>
    <t>image - SSP2-RCP19 - 2055</t>
  </si>
  <si>
    <t>capacity factor onshore</t>
  </si>
  <si>
    <t>Air pretreatment production</t>
  </si>
  <si>
    <t>Air pretreatment EOL</t>
  </si>
  <si>
    <t>Air intake + transport production</t>
  </si>
  <si>
    <t>Air intake + transport EOL</t>
  </si>
  <si>
    <t>Cartridge EOL</t>
  </si>
  <si>
    <t>Cartridge production</t>
  </si>
  <si>
    <t>Vacuum vessel EOL</t>
  </si>
  <si>
    <t>Vacuum vessel production</t>
  </si>
  <si>
    <t>Vacuum system production</t>
  </si>
  <si>
    <t>Vacuum system EOL</t>
  </si>
  <si>
    <t>H2O treatment production</t>
  </si>
  <si>
    <t>H2O treatment EOL</t>
  </si>
  <si>
    <t>CO2 capture EOL</t>
  </si>
  <si>
    <t>CO2 capture production</t>
  </si>
  <si>
    <t>Air outlet EOL</t>
  </si>
  <si>
    <t>Air outlet production</t>
  </si>
  <si>
    <t>Base frame + housing EOL</t>
  </si>
  <si>
    <t>Base frame + housing production</t>
  </si>
  <si>
    <t>Electronics HW production</t>
  </si>
  <si>
    <t>Electronics HW EOL</t>
  </si>
  <si>
    <t>Infrastructure around DAC production</t>
  </si>
  <si>
    <t>Infrastructure around DAC EOL</t>
  </si>
  <si>
    <t>Assembly DAC</t>
  </si>
  <si>
    <t xml:space="preserve">Post DAC treatment production </t>
  </si>
  <si>
    <t xml:space="preserve">Post DAC treatment EOL </t>
  </si>
  <si>
    <t>Total</t>
  </si>
  <si>
    <t>Global warming, Human health</t>
  </si>
  <si>
    <t>DALY/kg CO2</t>
  </si>
  <si>
    <t>ReCiPe 2016 v1.03, endpoint (H), ReCiPe 2016 v1.03 endpoint incl bio CO2 (H), total: human health, human health</t>
  </si>
  <si>
    <t>ReCiPe 2016 v1.03, endpoint (H), ReCiPe 2016 v1.03 endpoint incl bio CO2 (H), total: ecosystem quality, ecosystem quality</t>
  </si>
  <si>
    <t>ReCiPe 2016 v1.03, midpoint (H), ReCiPe 2016 v1.03 midpoint incl bio CO2 and H2 (H), climate change, global warming potential (GWP1000)</t>
  </si>
  <si>
    <t>image - SSP2-Base - 2031</t>
  </si>
  <si>
    <t>image - SSP2-Base - 2032</t>
  </si>
  <si>
    <t>image - SSP2-Base - 2033</t>
  </si>
  <si>
    <t>image - SSP2-Base - 2034</t>
  </si>
  <si>
    <t>image - SSP2-Base - 2036</t>
  </si>
  <si>
    <t>image - SSP2-Base - 2037</t>
  </si>
  <si>
    <t>image - SSP2-Base - 2038</t>
  </si>
  <si>
    <t>image - SSP2-Base - 2039</t>
  </si>
  <si>
    <t>image - SSP2-Base - 2041</t>
  </si>
  <si>
    <t>image - SSP2-Base - 2042</t>
  </si>
  <si>
    <t>image - SSP2-Base - 2043</t>
  </si>
  <si>
    <t>image - SSP2-Base - 2044</t>
  </si>
  <si>
    <t>image - SSP2-Base - 2046</t>
  </si>
  <si>
    <t>image - SSP2-Base - 2047</t>
  </si>
  <si>
    <t>image - SSP2-Base - 2048</t>
  </si>
  <si>
    <t>image - SSP2-Base - 2049</t>
  </si>
  <si>
    <t>image - SSP2-Base - 2051</t>
  </si>
  <si>
    <t>image - SSP2-Base - 2052</t>
  </si>
  <si>
    <t>image - SSP2-Base - 2053</t>
  </si>
  <si>
    <t>image - SSP2-Base - 2054</t>
  </si>
  <si>
    <t>Life cycle assesment results for the SSP2 Base scenario</t>
  </si>
  <si>
    <t>Life cycle assesment results for the SSP2 RCP26 scenario</t>
  </si>
  <si>
    <t>image - SSP2-RCP26 - 2031</t>
  </si>
  <si>
    <t>image - SSP2-RCP26 - 2032</t>
  </si>
  <si>
    <t>image - SSP2-RCP26 - 2033</t>
  </si>
  <si>
    <t>image - SSP2-RCP26 - 2034</t>
  </si>
  <si>
    <t>image - SSP2-RCP26 - 2036</t>
  </si>
  <si>
    <t>image - SSP2-RCP26 - 2037</t>
  </si>
  <si>
    <t>image - SSP2-RCP26 - 2038</t>
  </si>
  <si>
    <t>image - SSP2-RCP26 - 2039</t>
  </si>
  <si>
    <t>image - SSP2-RCP26 - 2041</t>
  </si>
  <si>
    <t>image - SSP2-RCP26 - 2042</t>
  </si>
  <si>
    <t>image - SSP2-RCP26 - 2043</t>
  </si>
  <si>
    <t>image - SSP2-RCP26 - 2044</t>
  </si>
  <si>
    <t>image - SSP2-RCP26 - 2046</t>
  </si>
  <si>
    <t>image - SSP2-RCP26 - 2047</t>
  </si>
  <si>
    <t>image - SSP2-RCP26 - 2048</t>
  </si>
  <si>
    <t>image - SSP2-RCP26 - 2049</t>
  </si>
  <si>
    <t>image - SSP2-RCP26 - 2051</t>
  </si>
  <si>
    <t>image - SSP2-RCP26 - 2052</t>
  </si>
  <si>
    <t>image - SSP2-RCP26 - 2053</t>
  </si>
  <si>
    <t>image - SSP2-RCP26 - 2054</t>
  </si>
  <si>
    <t>Life cycle assesment results for the SSP2 RCP19 scenario</t>
  </si>
  <si>
    <t>image - SSP2-RCP19 - 2031</t>
  </si>
  <si>
    <t>image - SSP2-RCP19 - 2032</t>
  </si>
  <si>
    <t>image - SSP2-RCP19 - 2033</t>
  </si>
  <si>
    <t>image - SSP2-RCP19 - 2034</t>
  </si>
  <si>
    <t>image - SSP2-RCP19 - 2036</t>
  </si>
  <si>
    <t>image - SSP2-RCP19 - 2037</t>
  </si>
  <si>
    <t>image - SSP2-RCP19 - 2038</t>
  </si>
  <si>
    <t>image - SSP2-RCP19 - 2039</t>
  </si>
  <si>
    <t>image - SSP2-RCP19 - 2041</t>
  </si>
  <si>
    <t>image - SSP2-RCP19 - 2042</t>
  </si>
  <si>
    <t>image - SSP2-RCP19 - 2043</t>
  </si>
  <si>
    <t>image - SSP2-RCP19 - 2044</t>
  </si>
  <si>
    <t>image - SSP2-RCP19 - 2046</t>
  </si>
  <si>
    <t>image - SSP2-RCP19 - 2047</t>
  </si>
  <si>
    <t>image - SSP2-RCP19 - 2048</t>
  </si>
  <si>
    <t>image - SSP2-RCP19 - 2049</t>
  </si>
  <si>
    <t>image - SSP2-RCP19 - 2051</t>
  </si>
  <si>
    <t>image - SSP2-RCP19 - 2052</t>
  </si>
  <si>
    <t>image - SSP2-RCP19 - 2053</t>
  </si>
  <si>
    <t>image - SSP2-RCP19 - 2054</t>
  </si>
  <si>
    <t>Disassebly DAC</t>
  </si>
  <si>
    <t>Filter material (3 years)</t>
  </si>
  <si>
    <t>Construction - DAC</t>
  </si>
  <si>
    <t>Construction - geological storage</t>
  </si>
  <si>
    <t>Deconstruction - DAC</t>
  </si>
  <si>
    <t>Deconstruction - geological storage</t>
  </si>
  <si>
    <t>Sorbent material</t>
  </si>
  <si>
    <t>Operation - DAC</t>
  </si>
  <si>
    <t>Operation - geological storage</t>
  </si>
  <si>
    <t>CO2 captured and stored</t>
  </si>
  <si>
    <t>TOTAL per year</t>
  </si>
  <si>
    <t>DALY/ton CO2</t>
  </si>
  <si>
    <t>Capture capacity</t>
  </si>
  <si>
    <t>ton per year</t>
  </si>
  <si>
    <t>Lifetime</t>
  </si>
  <si>
    <t>years</t>
  </si>
  <si>
    <t>Data for the whole lifetime of 25 year</t>
  </si>
  <si>
    <t>in DALY per lifetime</t>
  </si>
  <si>
    <t>Data per year</t>
  </si>
  <si>
    <t>in DALY per year</t>
  </si>
  <si>
    <t>Data per ton CO2</t>
  </si>
  <si>
    <t>Life cycle assesment results for all scenarios per ton CO2 captured and stored</t>
  </si>
  <si>
    <t>TOTAL</t>
  </si>
  <si>
    <t>in DALY per ton CO2</t>
  </si>
  <si>
    <t>Grid-connected CO2 captured</t>
  </si>
  <si>
    <t>Wind supplied CO2 captured</t>
  </si>
  <si>
    <t>c</t>
  </si>
  <si>
    <t>PDF*yr/kg CO2</t>
  </si>
  <si>
    <t>Global warming, ecosystem damage</t>
  </si>
  <si>
    <t>kg CO2/ton CO2</t>
  </si>
  <si>
    <t>PDF*yr/ton CO2</t>
  </si>
  <si>
    <t>kg CO2/kg CO2</t>
  </si>
  <si>
    <t>Pessimistic</t>
  </si>
  <si>
    <t>Base</t>
  </si>
  <si>
    <t>Optimistic</t>
  </si>
  <si>
    <t>Material use</t>
  </si>
  <si>
    <t>Energy use</t>
  </si>
  <si>
    <t>100 MWh/yr</t>
  </si>
  <si>
    <t>20 years</t>
  </si>
  <si>
    <t>25 years</t>
  </si>
  <si>
    <t>1 year</t>
  </si>
  <si>
    <t>3 years</t>
  </si>
  <si>
    <t>5 years</t>
  </si>
  <si>
    <t>Capacity one DAC unit</t>
  </si>
  <si>
    <t>50 t CO2/yr</t>
  </si>
  <si>
    <t>100 t CO2/yr</t>
  </si>
  <si>
    <t>150 t CO2/yr</t>
  </si>
  <si>
    <t>MATERIAL USE</t>
  </si>
  <si>
    <t>Capacity DAC unit</t>
  </si>
  <si>
    <t>Per lifetime</t>
  </si>
  <si>
    <t>1 year replacement</t>
  </si>
  <si>
    <t>5 year replacement</t>
  </si>
  <si>
    <r>
      <t>1</t>
    </r>
    <r>
      <rPr>
        <sz val="12"/>
        <rFont val="Calibri"/>
        <family val="2"/>
        <scheme val="minor"/>
      </rPr>
      <t xml:space="preserve"> Department of Environmental Science, Radboud Institute for Biological and Environmental Sciences, Radboud University, P.O. Box 9010, 6500 GL, Nijmegen, The Netherlands.  </t>
    </r>
  </si>
  <si>
    <r>
      <t>2</t>
    </r>
    <r>
      <rPr>
        <sz val="12"/>
        <rFont val="Calibri"/>
        <family val="2"/>
        <scheme val="minor"/>
      </rPr>
      <t xml:space="preserve"> Carbyon BV, High Tech Campus 27, 5656 AE, Eindhoven, The Netherlands </t>
    </r>
  </si>
  <si>
    <r>
      <t>*</t>
    </r>
    <r>
      <rPr>
        <sz val="12"/>
        <rFont val="Calibri"/>
        <family val="2"/>
        <scheme val="minor"/>
      </rPr>
      <t xml:space="preserve"> Corresponding author: anne.ottenbros@ru.nl </t>
    </r>
  </si>
  <si>
    <t xml:space="preserve">This document contains the inventory data for constructing, operating and end-of-life treating of Carbyons fast-swing solid sorbent DAC system. Additionally, the inventory data for geological sequestration is included. </t>
  </si>
  <si>
    <t>Content</t>
  </si>
  <si>
    <t>Construction and deconstruction of one DAC unit on industrial scale</t>
  </si>
  <si>
    <t xml:space="preserve">This sheet contains information on the construction and deconstruction of Carbyon's DAC system. The data is obtained from Carbyon, unless stated otherwise behind the specific material flow. </t>
  </si>
  <si>
    <t xml:space="preserve">The DAC system consists of several sub-components, which are seperately modelled. </t>
  </si>
  <si>
    <t xml:space="preserve">The first table shows the different components. Additionally, electricity to assemble the components into one DAC machine is included, as well as transport over 100 km to the location of operation. For deconstruction, similar energy use and transportation distance is assumed. </t>
  </si>
  <si>
    <t>Market processes were preferred, as it is not yet known where the materials will be bought from on industrial scale</t>
  </si>
  <si>
    <t>In general, metals were modelled with the global market process. Metal working (to shape the metal sheet into the right shape) is modelled for production in Europe</t>
  </si>
  <si>
    <t>Unit process</t>
  </si>
  <si>
    <t xml:space="preserve">Amount </t>
  </si>
  <si>
    <t>Unit</t>
  </si>
  <si>
    <t>Remarks</t>
  </si>
  <si>
    <t xml:space="preserve">Source </t>
  </si>
  <si>
    <t xml:space="preserve">Output to the technosphere: product </t>
  </si>
  <si>
    <t>Construction DAC unit</t>
  </si>
  <si>
    <t>p</t>
  </si>
  <si>
    <t>Input from technosphere: materials/fuels</t>
  </si>
  <si>
    <t>Air pretreatment unit</t>
  </si>
  <si>
    <t>p/DAC unit</t>
  </si>
  <si>
    <t>Air intake + transport</t>
  </si>
  <si>
    <t xml:space="preserve">Cartrigde </t>
  </si>
  <si>
    <t>Vacuum vessel</t>
  </si>
  <si>
    <t>Vacuum system</t>
  </si>
  <si>
    <t>Water treatment</t>
  </si>
  <si>
    <t xml:space="preserve">CO2 capture </t>
  </si>
  <si>
    <t>Air outlet</t>
  </si>
  <si>
    <t>Base frame + housing</t>
  </si>
  <si>
    <t>Electronics in hardware</t>
  </si>
  <si>
    <t>Infrastructure around DAC</t>
  </si>
  <si>
    <t>Transport DAC unit</t>
  </si>
  <si>
    <t>tkm/DAC unit</t>
  </si>
  <si>
    <t>Transport, freight, lorry 3.5-7.5 metric ton, euro6 {RER}| market for transport, freight, lorry 3.5-7.5 metric ton, EURO6 | Cut-off, U</t>
  </si>
  <si>
    <t>Assembly DAC unit</t>
  </si>
  <si>
    <t>kWh/DAC unit</t>
  </si>
  <si>
    <t>Electricity, medium voltage {NL}| market for | Cut-off, U</t>
  </si>
  <si>
    <t>Deconstruction DAC unit</t>
  </si>
  <si>
    <t>Disassembly DAC unit</t>
  </si>
  <si>
    <t>1)</t>
  </si>
  <si>
    <t>RAW DATA from CARBYON</t>
  </si>
  <si>
    <t>Sub-components of the DAC system</t>
  </si>
  <si>
    <t>Expected production process to build the sub-component</t>
  </si>
  <si>
    <t>Material and energy input per component</t>
  </si>
  <si>
    <t>Data from Carbyon</t>
  </si>
  <si>
    <t>Expected technical lifetime</t>
  </si>
  <si>
    <t>Air pretreatment (filtering)</t>
  </si>
  <si>
    <t>Production process</t>
  </si>
  <si>
    <t>Desciption</t>
  </si>
  <si>
    <t>Material input (kg)</t>
  </si>
  <si>
    <t>Lifetime (yr)</t>
  </si>
  <si>
    <t xml:space="preserve">Filter unit </t>
  </si>
  <si>
    <t>PP/PET</t>
  </si>
  <si>
    <t>Filter housing</t>
  </si>
  <si>
    <t>Powder coating</t>
  </si>
  <si>
    <t>Steel</t>
  </si>
  <si>
    <t>Rain/Dust cover</t>
  </si>
  <si>
    <t>Air quality sensors</t>
  </si>
  <si>
    <t>Electronics</t>
  </si>
  <si>
    <t>-</t>
  </si>
  <si>
    <t xml:space="preserve">CALCULATED DATA </t>
  </si>
  <si>
    <t>Unit process - Air pretreatment</t>
  </si>
  <si>
    <t>Air pretreatment</t>
  </si>
  <si>
    <t>Component</t>
  </si>
  <si>
    <t>Material</t>
  </si>
  <si>
    <t>Treatment</t>
  </si>
  <si>
    <t>Filter</t>
  </si>
  <si>
    <t>PET</t>
  </si>
  <si>
    <t>kg/p</t>
  </si>
  <si>
    <t>Polyethylene terephthalate, granulate, amorphous {RER}| production | Cut-off, U</t>
  </si>
  <si>
    <t>Assumed that the filter (5kg in total) is made of 50% PP &amp; 50% PET.</t>
  </si>
  <si>
    <t>PP</t>
  </si>
  <si>
    <t>Polypropylene, granulate {RER}| production | Cut-off, U</t>
  </si>
  <si>
    <t>Steel, unalloyed {GLO}| market for | Cut-off, U</t>
  </si>
  <si>
    <t>Filterhousing</t>
  </si>
  <si>
    <t>m2/p</t>
  </si>
  <si>
    <t>Powder coat, steel {RER}| powder coating, steel | Cut-off, U</t>
  </si>
  <si>
    <t>https://www.engineeringtoolbox.com/steel-plates-weight-d_1561.html#:~:text=Steel%20Plate%20Thickness%20and%20Weight%20-%20Imperial%20Units,60%E2%80%9D%20widths%20and%2096%E2%80%9D%2C%20120%E2%80%9D%2C%20and%20144%E2%80%9D%20lengths, accessed on 6-12-2023</t>
  </si>
  <si>
    <t>Metal working</t>
  </si>
  <si>
    <t>Metal working, average for metal product manufacturing {RER}| processing | Cut-off, U</t>
  </si>
  <si>
    <t>Rain/dust cover</t>
  </si>
  <si>
    <t>Electronics, for control units {GLO}| market for | Cut-off, U</t>
  </si>
  <si>
    <t>Assumed weight for electronics in air pretreatment.</t>
  </si>
  <si>
    <t>Output waste and emissions to treatment</t>
  </si>
  <si>
    <t>Waste plastic, mixture {NL}| market for waste plastic, mixture | Cut-off, U</t>
  </si>
  <si>
    <t>Steel recycling</t>
  </si>
  <si>
    <t>Scrap steel {Europe without Switzerland}| market for scrap steel | Cut-off, U</t>
  </si>
  <si>
    <t>Electronic scrap</t>
  </si>
  <si>
    <t>Electronics scrap from control units {RER}| treatment of | Cut-off, U</t>
  </si>
  <si>
    <t>Assumed that electronics are separated and send to recycling.</t>
  </si>
  <si>
    <t>2)</t>
  </si>
  <si>
    <t>Fan</t>
  </si>
  <si>
    <t>Steel/Cu</t>
  </si>
  <si>
    <t>Ducts standard</t>
  </si>
  <si>
    <t>Air intake sensors</t>
  </si>
  <si>
    <t>Unit process - Air intake + transport</t>
  </si>
  <si>
    <t>Steel, low-alloyed {GLO}| market for | Cut-off, U</t>
  </si>
  <si>
    <t>Electric motor</t>
  </si>
  <si>
    <t>Electric motor, electric passenger car {GLO}| market for | Cut-off, U</t>
  </si>
  <si>
    <t xml:space="preserve">Assumed that the fan contains an electric motor (of 15 kg). Approximated with the electric motor from an electric passenger car. </t>
  </si>
  <si>
    <t>Ducts</t>
  </si>
  <si>
    <t>m/p</t>
  </si>
  <si>
    <t>Ventilation duct, steel, 100x50 mm {RER}| production | Cut-off, U</t>
  </si>
  <si>
    <t>3)</t>
  </si>
  <si>
    <t>Cartridge</t>
  </si>
  <si>
    <t>Panel total</t>
  </si>
  <si>
    <t>Panel frame</t>
  </si>
  <si>
    <t>Panel containment mesh</t>
  </si>
  <si>
    <t>Panel heating element</t>
  </si>
  <si>
    <t>Panel cables/connectors</t>
  </si>
  <si>
    <t>Cables</t>
  </si>
  <si>
    <t>Panel Sorbent</t>
  </si>
  <si>
    <t>See tab LCI DAC operation</t>
  </si>
  <si>
    <t>Modelled in LCI DAC operation, as the sorbent is replaced every three years.</t>
  </si>
  <si>
    <t>Heat shield/ frame</t>
  </si>
  <si>
    <t>Galvanized</t>
  </si>
  <si>
    <t>Cable harness</t>
  </si>
  <si>
    <t>Copper/aluminium</t>
  </si>
  <si>
    <t>Unit process - Cartridge</t>
  </si>
  <si>
    <t>Panel</t>
  </si>
  <si>
    <t>Metal workig</t>
  </si>
  <si>
    <t>Panel cables</t>
  </si>
  <si>
    <t>Cu/PTFE</t>
  </si>
  <si>
    <t>Cable, unspecified {GLO}| production | APOS, U</t>
  </si>
  <si>
    <t>Heat shield</t>
  </si>
  <si>
    <t>Aluminium</t>
  </si>
  <si>
    <t>Aluminium, cast alloy {GLO}| market for | Cut-off, U</t>
  </si>
  <si>
    <t>Aluminium recycling</t>
  </si>
  <si>
    <t>Scrap aluminium {Europe without Switzerland}| market for scrap aluminium | Cut-off, U</t>
  </si>
  <si>
    <t>Cable recycling</t>
  </si>
  <si>
    <t>Used cable {GLO}| market for | Cut-off, U</t>
  </si>
  <si>
    <t>4)</t>
  </si>
  <si>
    <t>Quantity</t>
  </si>
  <si>
    <t>Amount (pieces)</t>
  </si>
  <si>
    <t>Inner wall</t>
  </si>
  <si>
    <t>SS304</t>
  </si>
  <si>
    <t>Outer wall</t>
  </si>
  <si>
    <t>Pur</t>
  </si>
  <si>
    <t>pur</t>
  </si>
  <si>
    <t>Vacuum gate valves</t>
  </si>
  <si>
    <t>VFT (vacuum feedthrough)</t>
  </si>
  <si>
    <t>Small parts</t>
  </si>
  <si>
    <t>Unit process - Vacuum vessel</t>
  </si>
  <si>
    <t>Wall - inner</t>
  </si>
  <si>
    <t>Steel, chromium steel 18/8 {GLO}| market for | Cut-off, U</t>
  </si>
  <si>
    <t>Metal working, average for chromium steel product manufacturing {RER}| processing | Cut-off, U</t>
  </si>
  <si>
    <t>Wall - outer</t>
  </si>
  <si>
    <t xml:space="preserve">Pur </t>
  </si>
  <si>
    <t>Polyurethane, rigid foam {RER}| production | APOS, U</t>
  </si>
  <si>
    <t>VFT (Vacuum feedthrough)</t>
  </si>
  <si>
    <t>Waste pur</t>
  </si>
  <si>
    <t>Waste polyurethane foam {CH}| market for waste polyurethane foam | Cut-off, U</t>
  </si>
  <si>
    <t>5)</t>
  </si>
  <si>
    <t>Filter unit</t>
  </si>
  <si>
    <t>Vacuum pump</t>
  </si>
  <si>
    <t>SS304/Cu</t>
  </si>
  <si>
    <t>Vacuum sensors</t>
  </si>
  <si>
    <t>Tubing/couplings/valves</t>
  </si>
  <si>
    <t>Unit process - Vacuum system</t>
  </si>
  <si>
    <t>p/p</t>
  </si>
  <si>
    <t>Pump, 40W {GLO}| market for | Cut-off, U</t>
  </si>
  <si>
    <t>Modelled as electronics, instead of SS304.</t>
  </si>
  <si>
    <t>Tubing/coupling/valves</t>
  </si>
  <si>
    <t>6)</t>
  </si>
  <si>
    <t>H2O treatement</t>
  </si>
  <si>
    <t>Condensor</t>
  </si>
  <si>
    <t>Chiller</t>
  </si>
  <si>
    <t>Pump</t>
  </si>
  <si>
    <t>Unit process - H2O treatment</t>
  </si>
  <si>
    <t>H2O treatment</t>
  </si>
  <si>
    <t>Absorption chiller, 100kW {CH}| production | Cut-off, U</t>
  </si>
  <si>
    <t>7)</t>
  </si>
  <si>
    <t>CO2 capture</t>
  </si>
  <si>
    <t>CO2 sensor</t>
  </si>
  <si>
    <t>Compressor</t>
  </si>
  <si>
    <t>Unit process - CO2 capture</t>
  </si>
  <si>
    <t>8)</t>
  </si>
  <si>
    <t>Ducts custom</t>
  </si>
  <si>
    <t>Air outlet sensor (CO2)</t>
  </si>
  <si>
    <t>Unit process - Air outlet</t>
  </si>
  <si>
    <t>air outlet sensor (CO2)</t>
  </si>
  <si>
    <t>9)</t>
  </si>
  <si>
    <t>Frame</t>
  </si>
  <si>
    <t>Housing parts</t>
  </si>
  <si>
    <t>Unit process - Base frame + housing</t>
  </si>
  <si>
    <t>10)</t>
  </si>
  <si>
    <t>Electronics hardware</t>
  </si>
  <si>
    <t>Heating electronics (solid state relays)</t>
  </si>
  <si>
    <t>Embedded control PCB</t>
  </si>
  <si>
    <t>Generic E-HW</t>
  </si>
  <si>
    <t>Cabinet</t>
  </si>
  <si>
    <t>Safety (E-stop HW, pressure relief, …)</t>
  </si>
  <si>
    <t>Cabling</t>
  </si>
  <si>
    <t>Unit process - Electronics hardware</t>
  </si>
  <si>
    <t>Electronics HW</t>
  </si>
  <si>
    <t>Heating electronics</t>
  </si>
  <si>
    <t>Printed wiring board, through-hole mounted, unspecified, Pb free {GLO}| production | APOS, U</t>
  </si>
  <si>
    <t>Electronics, for control units {RER}| production | Cut-off, U</t>
  </si>
  <si>
    <t>Steel, unalloyed {RER}| steel production, converter, unalloyed | Cut-off, U</t>
  </si>
  <si>
    <t>Safety (E-stop HW, pressure relief…)</t>
  </si>
  <si>
    <t>Cu recyling</t>
  </si>
  <si>
    <t>11)</t>
  </si>
  <si>
    <t>Volume [m3]</t>
  </si>
  <si>
    <t>Density [kg/m3]</t>
  </si>
  <si>
    <t>Mass [kg]</t>
  </si>
  <si>
    <t>Asphalt</t>
  </si>
  <si>
    <t>Broken rubble</t>
  </si>
  <si>
    <t>Concrete</t>
  </si>
  <si>
    <t>3 legs per machine, of 1.5 m with a diameter of 30 cm</t>
  </si>
  <si>
    <t>Cables (low voltage)</t>
  </si>
  <si>
    <t>Cables (high voltage)</t>
  </si>
  <si>
    <t>Pipes (thin)</t>
  </si>
  <si>
    <t>Pipes (thick)</t>
  </si>
  <si>
    <t>Unit process - Infrastructure around DAC</t>
  </si>
  <si>
    <t>DAC unit - Infrastructure around DAC</t>
  </si>
  <si>
    <t>Road</t>
  </si>
  <si>
    <t>Mastic asphalt {CH}| production | Cut-off, U</t>
  </si>
  <si>
    <t>Lifetime 50 years</t>
  </si>
  <si>
    <t>Waste brick {Europe without Switzerland}| market for waste brick | Cut-off, U</t>
  </si>
  <si>
    <t>m3/p</t>
  </si>
  <si>
    <t>Concrete, normal {CH}| market for | Cut-off, U</t>
  </si>
  <si>
    <t>Electricity cables</t>
  </si>
  <si>
    <t>Cable, three-conductor cable {GLO}| market for | Cut-off, U</t>
  </si>
  <si>
    <t>27.5 km is connected to 11000 machines. Lifetime of 50 years</t>
  </si>
  <si>
    <t>Aluminium medium (10-25 kV) voltage cables</t>
  </si>
  <si>
    <t>5 km is connected to 11000 machines. Lifetime of 50 years</t>
  </si>
  <si>
    <t>Pipes</t>
  </si>
  <si>
    <t>Steel thin pipes</t>
  </si>
  <si>
    <t>Steel thick pipes</t>
  </si>
  <si>
    <t>Waste asphalt {CH}| market for waste asphalt | Cut-off, U</t>
  </si>
  <si>
    <t>Waste concrete {Europe without Switzerland}| market for waste concrete | Cut-off, U</t>
  </si>
  <si>
    <t xml:space="preserve">The sorbent material is made of K2CO3 on activated carbon felt. The felt (from Kynol: http://www.kynol.de/products.html) is made from Novoloid fibers, consisting of phenol aldehyde fibers.  </t>
  </si>
  <si>
    <t>Carbon felt</t>
  </si>
  <si>
    <t>The felt, made from phenol aldehyde, is modelled with the EcoInvent process "phenolic resin"</t>
  </si>
  <si>
    <t>Activation carbon felt</t>
  </si>
  <si>
    <t xml:space="preserve">For activation, the material (K2CO3+phenolic resin) is heated up to 850C. The entire activation process takes 15 minutes. </t>
  </si>
  <si>
    <t>To calculate the energy requirement, the following formula is used: Q=m*c*dT</t>
  </si>
  <si>
    <t>Q is the heat needed for activation in kJ, m the total mass in kg, c the specific heat capacity in kJ/(kgK) and dT the change in temperture in K.</t>
  </si>
  <si>
    <t>m</t>
  </si>
  <si>
    <t>kg</t>
  </si>
  <si>
    <t>kJ/(kgK)</t>
  </si>
  <si>
    <t>dT</t>
  </si>
  <si>
    <t>K</t>
  </si>
  <si>
    <t>From room temperature to 850C</t>
  </si>
  <si>
    <t>Q</t>
  </si>
  <si>
    <t>MJ</t>
  </si>
  <si>
    <t>Activated carbon felt</t>
  </si>
  <si>
    <t>Phenolic resin {RoW}| market for phenolic resin | Cut-off, U</t>
  </si>
  <si>
    <t>Weight ratio: 1:1</t>
  </si>
  <si>
    <t>K2CO3</t>
  </si>
  <si>
    <t>Potassium carbonate {GLO}| market for | Cut-off, U</t>
  </si>
  <si>
    <t>Heat for activation</t>
  </si>
  <si>
    <t>Heat, district or industrial, natural gas {RER}| market group for | Cut-off, U</t>
  </si>
  <si>
    <t xml:space="preserve">Incineration sorbent </t>
  </si>
  <si>
    <t>Municipal solid waste {NL}| market for municipal solid waste | Cut-off, U</t>
  </si>
  <si>
    <t>https://support.formlabs.com/s/article/Disposing-of-resin?language=en_US#:~:text=Disposal%20without%20a%20chemical%20waste%20stream&amp;text=Leave%20the%20container%20exposed%20to,and%20container%20as%20household%20waste.</t>
  </si>
  <si>
    <t>Sub-component</t>
  </si>
  <si>
    <t>Compression facility</t>
  </si>
  <si>
    <t xml:space="preserve">High alloyed steel </t>
  </si>
  <si>
    <t xml:space="preserve">Copper </t>
  </si>
  <si>
    <t xml:space="preserve">Polyethylene </t>
  </si>
  <si>
    <t>Low alloyed steel</t>
  </si>
  <si>
    <t xml:space="preserve">Diesel and heavy fuel oil </t>
  </si>
  <si>
    <t xml:space="preserve">Electricity (UCPTE) </t>
  </si>
  <si>
    <t>Transport of compressed CO2</t>
  </si>
  <si>
    <t>Sand</t>
  </si>
  <si>
    <t xml:space="preserve">Reinforcing steel </t>
  </si>
  <si>
    <t xml:space="preserve">Drawing of steel pipes </t>
  </si>
  <si>
    <t>Bitumen</t>
  </si>
  <si>
    <t>Diesel and heavy fuel oil</t>
  </si>
  <si>
    <t>Transport (35 km)</t>
  </si>
  <si>
    <t>Geological storage</t>
  </si>
  <si>
    <t xml:space="preserve">Sand </t>
  </si>
  <si>
    <t xml:space="preserve">Un-alloyed steel </t>
  </si>
  <si>
    <t xml:space="preserve">Concrete </t>
  </si>
  <si>
    <t>Transport</t>
  </si>
  <si>
    <t>Waste concrete</t>
  </si>
  <si>
    <t>Plastic waste</t>
  </si>
  <si>
    <t>Pilot scale</t>
  </si>
  <si>
    <t>Commercial scale</t>
  </si>
  <si>
    <t>Technical info</t>
  </si>
  <si>
    <t>Build in</t>
  </si>
  <si>
    <t>TRL</t>
  </si>
  <si>
    <t>Lifetime unit</t>
  </si>
  <si>
    <t>Electricity use</t>
  </si>
  <si>
    <t>kwh/ton CO2</t>
  </si>
  <si>
    <t>Capacity 1 unit</t>
  </si>
  <si>
    <t>ton CO2/year</t>
  </si>
  <si>
    <t>Electricity use per year</t>
  </si>
  <si>
    <t>MWh/year</t>
  </si>
  <si>
    <t xml:space="preserve">Electricity use per year </t>
  </si>
  <si>
    <t>Sorbent use</t>
  </si>
  <si>
    <t>Sorbent loading</t>
  </si>
  <si>
    <t>Lifetime sorbent material</t>
  </si>
  <si>
    <t>Sorbent usage per year</t>
  </si>
  <si>
    <t>kg/year</t>
  </si>
  <si>
    <t>Sorbent usage per ton CO2</t>
  </si>
  <si>
    <t>kg/ton CO2</t>
  </si>
  <si>
    <t>Land occupation</t>
  </si>
  <si>
    <t>m2 per machine</t>
  </si>
  <si>
    <t>Water output</t>
  </si>
  <si>
    <t>L/ton CO2</t>
  </si>
  <si>
    <t>m3/ton CO2</t>
  </si>
  <si>
    <t>m3/year</t>
  </si>
  <si>
    <t>Sequestering of one ton CO2 during operation</t>
  </si>
  <si>
    <t>Step 1</t>
  </si>
  <si>
    <t>Compression</t>
  </si>
  <si>
    <t>Electrcity use</t>
  </si>
  <si>
    <t>Source</t>
  </si>
  <si>
    <t>Change in pressure</t>
  </si>
  <si>
    <t>Energy requirement [kWh/t CO2]</t>
  </si>
  <si>
    <t>1 -&gt; 110 bar</t>
  </si>
  <si>
    <t>Fugutive emissions</t>
  </si>
  <si>
    <t>Fugitive CO2 emissions compression [t CO2/MW/yr]</t>
  </si>
  <si>
    <t>time period [yr]</t>
  </si>
  <si>
    <t>Compressor capacity [MW]</t>
  </si>
  <si>
    <t>Fugitive CO2 emissions compression over lifetime [t CO2]</t>
  </si>
  <si>
    <t>Total compressed CO2 over lifetime [t CO2]</t>
  </si>
  <si>
    <t>Percentage of leakage</t>
  </si>
  <si>
    <t>Fugitive leakage for one ton CO2 compression [kg CO2]</t>
  </si>
  <si>
    <t>Step 2</t>
  </si>
  <si>
    <t>Transport in pipeline</t>
  </si>
  <si>
    <t>Fugitive CO2 emissions transport [t CO2/(km*yr)]</t>
  </si>
  <si>
    <t>Transport distance [km]</t>
  </si>
  <si>
    <t>Fugitive CO2 emissions transport  per year [t CO2]</t>
  </si>
  <si>
    <t>Step 3</t>
  </si>
  <si>
    <t xml:space="preserve">Injection </t>
  </si>
  <si>
    <t>Life cycle assesment results for all scenarios and climate change, ecosystem damage and human health damage</t>
  </si>
  <si>
    <t>CLIMATE CHANGE (kg CO2-eq/ton CO2 captured and stored)</t>
  </si>
  <si>
    <t>ECOSYSTEM QUALITY (PDF*yr/ton CO2 captured and stored)</t>
  </si>
  <si>
    <t>HUMAN HEALTH (DALY/ton CO2 captured and stored)</t>
  </si>
  <si>
    <t>Parameters to change in the sensitivity analysis</t>
  </si>
  <si>
    <t>inventory values</t>
  </si>
  <si>
    <t>20% less</t>
  </si>
  <si>
    <t>20% more</t>
  </si>
  <si>
    <t>ENERGY USE</t>
  </si>
  <si>
    <t>LIFETIME DAC UNIT</t>
  </si>
  <si>
    <t>CAPACITY DAC UNIT</t>
  </si>
  <si>
    <t>150 MWh/yr</t>
  </si>
  <si>
    <t>Per year</t>
  </si>
  <si>
    <t>Lifetime of 25 years</t>
  </si>
  <si>
    <t>Per ton CO2</t>
  </si>
  <si>
    <t>Lifetime of 20 years</t>
  </si>
  <si>
    <t>Lifetime DAC system</t>
  </si>
  <si>
    <r>
      <t>3</t>
    </r>
    <r>
      <rPr>
        <sz val="12"/>
        <rFont val="Calibri"/>
        <family val="2"/>
        <scheme val="minor"/>
      </rPr>
      <t xml:space="preserve"> Expertise Group Circularity &amp; Sustainability Impact, TNO, , P.O. Box 80015, 3508 TA, Utrecht, The Netherlands </t>
    </r>
  </si>
  <si>
    <t>Selected ecoinvent v3.9.1 process</t>
  </si>
  <si>
    <t>SS304 is stainless steel, referred to with its old name 18/8 in ecoinvent v3.9.1</t>
  </si>
  <si>
    <t>Area [m2]</t>
  </si>
  <si>
    <t>1) Inventories</t>
  </si>
  <si>
    <t>b) Inventory - sorbent material</t>
  </si>
  <si>
    <t>a) Inventory - DAC production and deconstruction</t>
  </si>
  <si>
    <t>a) Results - human health damage</t>
  </si>
  <si>
    <t>b) Results - ecosystem damage</t>
  </si>
  <si>
    <t>a) Sensitivity analysis - human health damage</t>
  </si>
  <si>
    <t>b) Sensitivity analysis - ecosytem damage</t>
  </si>
  <si>
    <t>5) Raw data - results from Activity Browser</t>
  </si>
  <si>
    <t>Ecoinvent v3.9.1 process selection</t>
  </si>
  <si>
    <t xml:space="preserve">Weight of one DAC unit is 5 ton and is transported over an assumed distance of 100 km. </t>
  </si>
  <si>
    <t xml:space="preserve">Assumed that the sorbent is incinerated as household waste after 3 years (see 'source'). </t>
  </si>
  <si>
    <t xml:space="preserve">Sorbent production description </t>
  </si>
  <si>
    <t>Production and disposal of sorbent material</t>
  </si>
  <si>
    <t>Inventory for the production and disposal of the sorbent material</t>
  </si>
  <si>
    <t>Inventory for the construction of one DAC unit</t>
  </si>
  <si>
    <t>Inventory for the deconstruction of one DAC unit</t>
  </si>
  <si>
    <t>Inventory for the construction and deconstruction of components of one DAC unit</t>
  </si>
  <si>
    <t>2) Air intake + transport - production</t>
  </si>
  <si>
    <t>3) Cartridge - production</t>
  </si>
  <si>
    <t>4) Vacuum vessel - production</t>
  </si>
  <si>
    <t>5) Vacuum system - production</t>
  </si>
  <si>
    <t>6) H2O treatment - production</t>
  </si>
  <si>
    <t>1) Air pretreatment - production</t>
  </si>
  <si>
    <t>7) CO2 capture - production</t>
  </si>
  <si>
    <t>8) Air outlet - production</t>
  </si>
  <si>
    <t>9) Base frame + housing - production</t>
  </si>
  <si>
    <t>10) Electronics in hardware - production</t>
  </si>
  <si>
    <t xml:space="preserve">11) Infrastructure around DAC - production </t>
  </si>
  <si>
    <t>12) Assembly DAC unit</t>
  </si>
  <si>
    <t>per DAC unit</t>
  </si>
  <si>
    <t>13) Post-DAC treatment - production</t>
  </si>
  <si>
    <t>per ton CO2</t>
  </si>
  <si>
    <t>1) Air pretreatment - deconstruction</t>
  </si>
  <si>
    <t>2) Air intake + transport - deconstruction</t>
  </si>
  <si>
    <t>3) Cartridge - deconstruction</t>
  </si>
  <si>
    <t>4) Vacuum vessel - deconstruction</t>
  </si>
  <si>
    <t>5) Vacuum system - deconstruction</t>
  </si>
  <si>
    <t>6) H2O treatment - deconstruction</t>
  </si>
  <si>
    <t>7) CO2 capture - deconstruction</t>
  </si>
  <si>
    <t>8) Air outlet - deconstruction</t>
  </si>
  <si>
    <t>9) Base frame + housing - deconstruction</t>
  </si>
  <si>
    <t>10) Electronics in hardware - deconstruction</t>
  </si>
  <si>
    <t>11) Infrastructure around DAC - deconstruction</t>
  </si>
  <si>
    <t>12) Disassembly DAC unit</t>
  </si>
  <si>
    <t xml:space="preserve">13) Post-DAC treatment - deconstruction </t>
  </si>
  <si>
    <t xml:space="preserve">Filter material </t>
  </si>
  <si>
    <t>Electricity use post-DAC treatment</t>
  </si>
  <si>
    <t>Electricity use DAC machine - grid</t>
  </si>
  <si>
    <t>DALY/year</t>
  </si>
  <si>
    <t>PDF*yr/year</t>
  </si>
  <si>
    <t>kg CO2-eq/year</t>
  </si>
  <si>
    <t>DALY/ton CO2 captured and stored</t>
  </si>
  <si>
    <t>Energy use of 150 MWh/yr</t>
  </si>
  <si>
    <t>Energy use of 100 MWh/yr</t>
  </si>
  <si>
    <t>Energy use of 250 MWh/yr</t>
  </si>
  <si>
    <t>SENSIVITY SPIDER PLOTS (DALY/TON CO2 CAPTURED AND STORED)</t>
  </si>
  <si>
    <t>DALY/DAC lifetime</t>
  </si>
  <si>
    <t>3 year replacement</t>
  </si>
  <si>
    <t>Operation parameters for one DAC unit on different scales</t>
  </si>
  <si>
    <t>Koorneef et al. (2008), table 4</t>
  </si>
  <si>
    <t>Koorneef et al. (2008), table 4 &amp; Appendix D</t>
  </si>
  <si>
    <t>Koorneef et al. (2008), table 4 &amp; Appendix E</t>
  </si>
  <si>
    <t>The life cycle inventories for DAC construction and deconstruction are combined, to check that the system is mass-balanced. However, when implemented in Activity Browser, construction and deconstruction for each part were modelled seperately to take the appropriate building and dismantling year into account.</t>
  </si>
  <si>
    <t>These values for post-DAC treatment (i.e., CO2 sequestration) are based on: Koornneef, J., van Keulen, T., Faaij, A. &amp; Turkenburg, W. Life cycle assessment of a pulverized coal power plant with post-combustion capture, transport and storage of CO2. Int. J. Greenh. Gas Control 2, 448–467 (2008)</t>
  </si>
  <si>
    <t>Koorneef et al. (2008) Appendix E</t>
  </si>
  <si>
    <t>Injection</t>
  </si>
  <si>
    <t>Koorneef et al. (2008) Appendix D</t>
  </si>
  <si>
    <t>Koorneef et al. (2008) Appendix F</t>
  </si>
  <si>
    <t>Material [kg]</t>
  </si>
  <si>
    <t>Material [m3]</t>
  </si>
  <si>
    <t>Electricity input [kWh]</t>
  </si>
  <si>
    <t>Heat input [MJ]</t>
  </si>
  <si>
    <t>Transport [tkm]</t>
  </si>
  <si>
    <t>Total CO2 compressed over lifetime</t>
  </si>
  <si>
    <t>p/ton CO2</t>
  </si>
  <si>
    <t>MJ/ton CO2</t>
  </si>
  <si>
    <t>kWh/ton CO2</t>
  </si>
  <si>
    <t xml:space="preserve">Unit process </t>
  </si>
  <si>
    <t>Pipeline infrastructure</t>
  </si>
  <si>
    <t>tkm/ton CO2</t>
  </si>
  <si>
    <t>Total CO2 injected over lifetime</t>
  </si>
  <si>
    <t>total CO2 transported over lifetime</t>
  </si>
  <si>
    <t>There is no high-alloyed steel available in Ecoinvent, so low-alloyed steel was selected.</t>
  </si>
  <si>
    <t>Copper, cathode {GLO}| market for | Cut-off, U</t>
  </si>
  <si>
    <t>Polyethylene, high density, granulate {GLO}| market for | Cut-off, U</t>
  </si>
  <si>
    <t>Heat, district or industrial, other than natural gas {Europe without Switzerland}| market for heat, district or industrial, other than natural gas | Cut-off, U</t>
  </si>
  <si>
    <t>Sand {CH}| market for sand | Cut-off, U</t>
  </si>
  <si>
    <t>Reinforcing steel {GLO}| market for | Cut-off, U</t>
  </si>
  <si>
    <t>Bitumen adhesive compound, cold {RER}| production | Cut-off, U</t>
  </si>
  <si>
    <t>Transport, freight, lorry 3.5-7.5 metric ton, euro6 {RER}| market for transport, freight, lorry 3.5-7.5 metric ton, EURO6 | APOS, U</t>
  </si>
  <si>
    <t>Impact category</t>
  </si>
  <si>
    <t>Area of protection</t>
  </si>
  <si>
    <t>Category</t>
  </si>
  <si>
    <t>Individualist</t>
  </si>
  <si>
    <t>Hierarchist</t>
  </si>
  <si>
    <t>Egalitarian</t>
  </si>
  <si>
    <t>Midpoint</t>
  </si>
  <si>
    <t>Climate Change</t>
  </si>
  <si>
    <t>kg CO2eq</t>
  </si>
  <si>
    <t>Carbon dioxide, in air</t>
  </si>
  <si>
    <t>('natural resource', 'in air')</t>
  </si>
  <si>
    <t>Reference flow for impact category</t>
  </si>
  <si>
    <t>Carbon dioxide, non-fossil, resource correction</t>
  </si>
  <si>
    <t>Carbon dioxide, to soil or biomass stock</t>
  </si>
  <si>
    <t>('soil')</t>
  </si>
  <si>
    <t>('soil', 'agricultural')</t>
  </si>
  <si>
    <t>('soil', 'forestry')</t>
  </si>
  <si>
    <t>('soil', 'industrial')</t>
  </si>
  <si>
    <t>Hydrogen</t>
  </si>
  <si>
    <t>('air', 'non-urban air or from high stacks')</t>
  </si>
  <si>
    <t>('air', 'low population density, long-term')</t>
  </si>
  <si>
    <t>('air', 'lower stratisphere + upper troposphere')</t>
  </si>
  <si>
    <t>('air', 'urban air close to ground')</t>
  </si>
  <si>
    <t>('air', )</t>
  </si>
  <si>
    <t>Methane, fossil</t>
  </si>
  <si>
    <t>Methane, from soil or biomass stock</t>
  </si>
  <si>
    <t>Methane, non-fossil</t>
  </si>
  <si>
    <t>Midpoint-to-Endpoint conversion factor</t>
  </si>
  <si>
    <t>Human Health</t>
  </si>
  <si>
    <t>DALY/kg CO2eq</t>
  </si>
  <si>
    <t>Terrestrial ecosystems</t>
  </si>
  <si>
    <t>Species.year/kg CO2eq</t>
  </si>
  <si>
    <t>Aquatic ecosystems</t>
  </si>
  <si>
    <t>Endpoint</t>
  </si>
  <si>
    <t>Total: Human Health</t>
  </si>
  <si>
    <t>Total: Ecosystem Quality</t>
  </si>
  <si>
    <t>PP/PET recycling</t>
  </si>
  <si>
    <t>It is assumed that the weight of steel + powder coat equals the weight of uncoated steel. Based on values reported in the ecoinvent process of powder coating, it is calculated that the mass of the powder coat is approximately 0.6% and is thus small in comparison with the mass of steel.</t>
  </si>
  <si>
    <t>Total fan is 150 kg. It is assumed that the weight of steel + powder coat equals the weight of uncoated steel. Based on values reported in the ecoinvent process of powder coating, it is calculated that the mass of the powder coat is approximately 0.6% and is thus small in comparison with the mass of steel.</t>
  </si>
  <si>
    <t>To calculate the area needed to coat, see the table in the source for weight (kg/m2) depending on plate thickness. A 3 mm thick steel plate and coating on both sides is assumed. According to the source, this results in 23.6 kg/m2.</t>
  </si>
  <si>
    <t xml:space="preserve">According to description in ecoinvent process; 1.5 kg per 1 meter steel is produced. According to the inventory flows, 1.65 (unalloyed and alloyed steel) is required as input. 1.5 kg/m is assumed, as this is the most conservative. </t>
  </si>
  <si>
    <t>SS304 is stainless steel, referred to with its old name 18/8 in ecoinvent v3.9.1. The area of the steel is 7.5m² with a thickness of 2mm (sheet steel + galvanized + flanges). It is assumed that the weight of steel + powder coat equals the weight of uncoated steel. Based on values reported in the ecoinvent process of powder coating, it is calculated that the mass of the powder coat is approximately 0.6% and is thus small in comparison with the mass of steel.</t>
  </si>
  <si>
    <t>The area of the steel is 7.5m² with a thickness of 1 mm</t>
  </si>
  <si>
    <t>Approximately a volume of 0.75m³</t>
  </si>
  <si>
    <t>In total the water pump is 10 kg. According to ecoinvent processes, one pump is 2.4 kg, so 4 pumps are needed.</t>
  </si>
  <si>
    <t>The water pump consists mostly of iron and steel, so weight of water pump is included as output in steel recycling</t>
  </si>
  <si>
    <t xml:space="preserve">In total, 100 kg chiller needed. According to ecoinvent process; the weight of one chiller is 5110 kg. Waste of the chiller is already included in the ecoinvent process. </t>
  </si>
  <si>
    <t xml:space="preserve">In total the vacuum pump is 50 kg. According to ecoinvent processes, one compresser is 140 kg, so a 0.4 of the compressor is needed. Waste of the compressor is already included in the ecoinvent process. </t>
  </si>
  <si>
    <t>Lifetime 50 years instead of 25 years as other processes, so divided by 2.</t>
  </si>
  <si>
    <t>Height [m]</t>
  </si>
  <si>
    <t>Length [m]</t>
  </si>
  <si>
    <t>Width [m]</t>
  </si>
  <si>
    <t>Only aluminium content is considerd (major component). 27.5 km is needed per 10000 machines.</t>
  </si>
  <si>
    <t>Only aluminium content is considerd (major component). 5 km is needed per 10000 machines.</t>
  </si>
  <si>
    <t>Aluminium or steel content [kg/m]</t>
  </si>
  <si>
    <t>Data is per machine</t>
  </si>
  <si>
    <t>Aluminium low voltage cables</t>
  </si>
  <si>
    <t>Lifetime 50 years instead of 25 years as other processes, so divided by 2. assumed to be reused again for new DAC plant infrastructure.</t>
  </si>
  <si>
    <t>Asphalt waste treatment</t>
  </si>
  <si>
    <t>Concrete waste treatment</t>
  </si>
  <si>
    <t>Steel waste treatment</t>
  </si>
  <si>
    <t>Cable waste treatment</t>
  </si>
  <si>
    <t xml:space="preserve">According to ecoinvent process, the cables weight 1.04 kg per m </t>
  </si>
  <si>
    <t>Zinc coat, pieces {RER}| market for zinc coat, pieces | Cut-off, U</t>
  </si>
  <si>
    <t>Metal working, average for aluminium product manufacturing {RER}| processing | Cut-off, U</t>
  </si>
  <si>
    <t>Air compressor, screw-type compressor, 4kW {GLO}| production | Cut-off, U</t>
  </si>
  <si>
    <t>Nylon 6-6 {RER}|market for nylon 6-6| cut-off, U</t>
  </si>
  <si>
    <t>Nylon</t>
  </si>
  <si>
    <t>Aluminium alloy, AlLi {GLO} | market for| cut-off, U</t>
  </si>
  <si>
    <t>Epoxy resin insulator, SiO2 {GLO}|market for|cut-off, U</t>
  </si>
  <si>
    <t>Epoxy resin</t>
  </si>
  <si>
    <t>0.012kg nylon per solid state relay of 0.112 kg: https://www.mdpi.com/2071-1050/14/15/9557, table A2</t>
  </si>
  <si>
    <t>0.02 kg aluminium per solid state relay of 0.112 kg: https://www.mdpi.com/2071-1050/14/15/9557, table A2</t>
  </si>
  <si>
    <t>0.08 kg epoxy resin insulator per solid state relay of 0.112 kg: https://www.mdpi.com/2071-1050/14/15/9557, table A2</t>
  </si>
  <si>
    <t>Assumed that 10% consists of electronics for control units and the rest of steel.</t>
  </si>
  <si>
    <t>Metal working, average for steel product manufacturing {RER}| processing | Cut-off, U</t>
  </si>
  <si>
    <t>Municipal solid waste {RER}|market group for minicipal solid waste|Cut-off, U</t>
  </si>
  <si>
    <t>Municipal solid waste</t>
  </si>
  <si>
    <t xml:space="preserve">Weight of one DAC unit is 5 ton and each component is assumed to be transported over a distance of 100 km. </t>
  </si>
  <si>
    <t>Concrete, normal strength {CH}| market for | Cut-off, U</t>
  </si>
  <si>
    <t>Metal working, average for steel product manufacturing {RER}| market for | Cut-off, U</t>
  </si>
  <si>
    <t>Human health damage results with ReCiPe 2016 (I) impact assessment method</t>
  </si>
  <si>
    <t>Ecosystem damage results with ReCiPe 2016 (I) impact assessment method</t>
  </si>
  <si>
    <t>Climate change results with ReCiPe 2016 (I) impact assessment method</t>
  </si>
  <si>
    <t>Human health damage results with ReCiPe 2016 (H) impact assessment method</t>
  </si>
  <si>
    <t>Ecosystem damage results with ReCiPe 2016 (H) impact assessment method</t>
  </si>
  <si>
    <t>Climate change results with ReCiPe 2016 (H) impact assessment method</t>
  </si>
  <si>
    <t>Life cycle assesment results for the sensitivity analysis on climate change with ReCiPe 2016 (H) impact assessment method</t>
  </si>
  <si>
    <t>Human health damage results with ReCiPe 2016 (E) impact assessment method</t>
  </si>
  <si>
    <t>Ecosystem damage results with ReCiPe 2016 (E) impact assessment method</t>
  </si>
  <si>
    <t>Climate change results with ReCiPe 2016 (E) impact assessment method</t>
  </si>
  <si>
    <t>ReCiPe 2016 v1.03, endpoint (I), ReCiPe 2016 v1.03 endpoint incl bio CO2 (I), total: human health, human health</t>
  </si>
  <si>
    <t>ReCiPe 2016 v1.03, endpoint (I), ReCiPe 2016 v1.03 endpoint incl bio CO2 (I), total: ecosystem quality, ecosystem quality</t>
  </si>
  <si>
    <t>ReCiPe 2016 v1.03, midpoint (I), ReCiPe 2016 v1.03 midpoint incl bio CO2 and H2 (I), climate change, global warming potential (GWP1000)</t>
  </si>
  <si>
    <t>ReCiPe 2016 v1.03, midpoint (E), ReCiPe 2016 v1.03 midpoint incl bio CO2 and H2 (E), climate change, global warming potential (GWP1000)</t>
  </si>
  <si>
    <t>ReCiPe 2016 v1.03, endpoint (E), ReCiPe 2016 v1.03 endpoint incl bio CO2 (E), total: ecosystem quality, ecosystem quality</t>
  </si>
  <si>
    <t>ReCiPe 2016 v1.03, endpoint (E), ReCiPe 2016 v1.03 endpoint incl bio CO2 (E), total: human health, human health</t>
  </si>
  <si>
    <t>Name</t>
  </si>
  <si>
    <t>per year</t>
  </si>
  <si>
    <t>per sorbent lifetime (3 years)</t>
  </si>
  <si>
    <t>Hierarchist perspective</t>
  </si>
  <si>
    <t>Egalitarian perspective</t>
  </si>
  <si>
    <t>Individualist perspective</t>
  </si>
  <si>
    <t>The weight ratio between K2CO3 and the felt is 1:1, based on Hayashi, J., Uchibayashi, M., Horikawa, T., Muroyama, K. &amp; Gomes, V. G. Synthesizing activated carbons from resins by chemical activation with K2CO3. Carbon N. Y. 40, 2747–2752 (2002), doi.org/10.1016/S0008-6223(02)00151-3</t>
  </si>
  <si>
    <t>The energy requirement for the activation process of K2CO3 on the felt is based on Jiao, F., Sang, H., Guo, P., Miao, P. &amp; Wang, X. Efficient adsorption and porous features from activated carbon felts activated by the eutectic of Na2CO3 and K2CO3 with vapor. Chem. Phys. Lett. 803, 139831 (2022), doi.org/10.1016/j.cplett.2022.139831</t>
  </si>
  <si>
    <t xml:space="preserve">p.5 in Sand, M., Skeie, R. B., Sandstad, M., Krishnan, S., Myhre, G., Bryant, H., Derwent, R., Hauglustaine, D., Paulot, F., Prather, M., &amp; Stevenson, D. (2023). A multi-model assessment of the Global Warming Potential of hydrogen. Communications Earth &amp; Environment, 4(1). https://doi.org/10.1038/s43247-023-00857-8 </t>
  </si>
  <si>
    <t xml:space="preserve">CF fossil methane -2.75 in line with Muñoz, I., &amp; Schmidt, J. H. (2016). Methane oxidation, biogenic carbon, and the IPCC’s emission metrics. Proposal for a consistent greenhouse-gas accounting. The International Journal of Life Cycle Assessment, 21(8), 1069-1075. https://doi.org/10.1007/s11367-016-1091-z </t>
  </si>
  <si>
    <t>ESM 2 Tab. "global warming" from Huijbregts, M.A.J., Steinmann, Z.J.N., Elshout, P.M.F. et al. ReCiPe2016: a harmonised life cycle impact assessment method at midpoint and endpoint level. Int J Life Cycle Assess 22, 138–147 (2017). https://doi.org/10.1007/s11367-016-1246-y</t>
  </si>
  <si>
    <t>ESM 2 Tab. "midpoint to endpoint factors" from Huijbregts, M.A.J., Steinmann, Z.J.N., Elshout, P.M.F. et al. ReCiPe2016: a harmonised life cycle impact assessment method at midpoint and endpoint level. Int J Life Cycle Assess 22, 138–147 (2017). https://doi.org/10.1007/s11367-016-1246-y</t>
  </si>
  <si>
    <t>Wind Europe. Wind energy in Europe - 2021 Statistics and outlook for 2022-2026. (2022).</t>
  </si>
  <si>
    <t>Prospective enivronmental burdens and benefits fast-swing direct air carbon capture and storage </t>
  </si>
  <si>
    <t>2) Adjusted characterisation factors in ReCiPe 2016</t>
  </si>
  <si>
    <t>3) Results - Figure total impacts</t>
  </si>
  <si>
    <t>7) Results - ReCiPe 2016 Egalitarian perspective</t>
  </si>
  <si>
    <t>8) Results - ReCiPe 2016 Individualist perspective</t>
  </si>
  <si>
    <t>a) Hierarchist perspective</t>
  </si>
  <si>
    <t>b) Egalitarian perspective</t>
  </si>
  <si>
    <t>c) Individualist perspective</t>
  </si>
  <si>
    <t>Sequestration of CO2 by pipeline transport</t>
  </si>
  <si>
    <t>Inventory construction phase of compression, transport by pipeline and injection facility for geological sequestration</t>
  </si>
  <si>
    <t>Sequestration of CO2 by ship</t>
  </si>
  <si>
    <t>Liquefaction</t>
  </si>
  <si>
    <t>Aspelund et al. (2006) table 2</t>
  </si>
  <si>
    <t>Ecoinvent v3.9.1</t>
  </si>
  <si>
    <t>Transport by ship</t>
  </si>
  <si>
    <t>Unloading</t>
  </si>
  <si>
    <t>Loading</t>
  </si>
  <si>
    <t>As no material requirements for the facility and wells were noted, similar infrastructure was assumed as for compression and geological storage.</t>
  </si>
  <si>
    <t>Inventory construction phase of compression, transport by ship and injection facility for geological sequestration</t>
  </si>
  <si>
    <t>Change in pressure and temperature</t>
  </si>
  <si>
    <t>1 -&gt; 6.5 bar &amp; 15C -&gt; -52C</t>
  </si>
  <si>
    <t>Step 4</t>
  </si>
  <si>
    <t>Ecoinvent v3.9.1.</t>
  </si>
  <si>
    <t>Ecoinvent v3.9.1 process</t>
  </si>
  <si>
    <t>Transport, freight, sea, tanker for liquid goods other than petroleum and liquefied natural gas {GLO}| market for transport, freight, sea, tanker for liquid goods other than petroleum and liquefied natural gas | Cut-off, U</t>
  </si>
  <si>
    <t>Fugitive leakage [%]</t>
  </si>
  <si>
    <t>Bisinella, V, J Nedenskov, Christian Riber, Tore Hulgaard, and Thomas H Christensen. “Environmental Assessment of Amending the Amager Bakke Incineration Plant in Copenhagen with Carbon Capture and Storage.” Waste Management &amp; Research 40, no. 1 (September 29, 2021): 79–95</t>
  </si>
  <si>
    <t>Battery system</t>
  </si>
  <si>
    <t>kWh</t>
  </si>
  <si>
    <t>Battery management system</t>
  </si>
  <si>
    <t>Energy management system</t>
  </si>
  <si>
    <t>Li-ion (NMC) battery</t>
  </si>
  <si>
    <t>Power conditioning system: inverter</t>
  </si>
  <si>
    <t>kW</t>
  </si>
  <si>
    <t>Inventory for the construction of battery system</t>
  </si>
  <si>
    <t>BOS import</t>
  </si>
  <si>
    <t>Database</t>
  </si>
  <si>
    <t>NMC battery import</t>
  </si>
  <si>
    <t>14) Heat pump - production</t>
  </si>
  <si>
    <t>Land and water use DAC machine</t>
  </si>
  <si>
    <t>ReCiPe 2016 v1.03, endpoint (H), ReCiPe 2016 v1.03 endpoint incl bio CO2 (H), total: natural resources, natural resources</t>
  </si>
  <si>
    <t>Heat pump production</t>
  </si>
  <si>
    <t>Post DAC pipeline sequestration per year</t>
  </si>
  <si>
    <t>Land and water use DAC machine per year</t>
  </si>
  <si>
    <t>Electricity use DAC machine per year</t>
  </si>
  <si>
    <t>USD2013/year</t>
  </si>
  <si>
    <t>Resource damage results with ReCiPe 2016 (H) impact assessment method</t>
  </si>
  <si>
    <t>Contribution analysis for construction for all scenarios and climate change, ecosystem damage and human health damage (ReCiPe - Hierarchist)</t>
  </si>
  <si>
    <t>Resource damage results with ReCiPe 2016 (E) impact assessment method</t>
  </si>
  <si>
    <t>Resource damage results with ReCiPe 2016 (I) impact assessment method</t>
  </si>
  <si>
    <t>Energy supply = wind*capacity factor + grid*(1-capacity factor)</t>
  </si>
  <si>
    <t>Energy supply = grid</t>
  </si>
  <si>
    <t>Energy demand = 150E3 kWh/year with 100% running time</t>
  </si>
  <si>
    <t>per kWh</t>
  </si>
  <si>
    <t>Wind electricity</t>
  </si>
  <si>
    <t>Grid electricity</t>
  </si>
  <si>
    <t>Power conditioning system, home system</t>
  </si>
  <si>
    <t>Power conditioning system, container system</t>
  </si>
  <si>
    <t>per kW</t>
  </si>
  <si>
    <t>f_operation</t>
  </si>
  <si>
    <t>f_utilization</t>
  </si>
  <si>
    <t>Battery capacity</t>
  </si>
  <si>
    <t>Battery lifetime</t>
  </si>
  <si>
    <t>h</t>
  </si>
  <si>
    <t>Plant capacity</t>
  </si>
  <si>
    <t>Plant_capture_rate</t>
  </si>
  <si>
    <t>ton CO2/y</t>
  </si>
  <si>
    <t>DAC_el_use</t>
  </si>
  <si>
    <t>hours_p_year</t>
  </si>
  <si>
    <t>h/y</t>
  </si>
  <si>
    <t>DAC_plant_capacity</t>
  </si>
  <si>
    <t>Percentage of year system is in operation</t>
  </si>
  <si>
    <t>Plant capacity calculation:</t>
  </si>
  <si>
    <t>impact_bat</t>
  </si>
  <si>
    <t>DALY/kWh</t>
  </si>
  <si>
    <t>Impact_bat_pton</t>
  </si>
  <si>
    <t>tonCO2/yr</t>
  </si>
  <si>
    <t>Calculating impact battery per ton CO2 for large DAC plant</t>
  </si>
  <si>
    <t>DALY/tonCO2</t>
  </si>
  <si>
    <t>not running full-time, but less, due to intermittency</t>
  </si>
  <si>
    <t>Assumed to be build in 2030, so keep that impact throughout the years</t>
  </si>
  <si>
    <t>Battery</t>
  </si>
  <si>
    <t>f_bat</t>
  </si>
  <si>
    <t>e_bat</t>
  </si>
  <si>
    <t xml:space="preserve">Battery </t>
  </si>
  <si>
    <t>Global warming</t>
  </si>
  <si>
    <t>Resource damage (USD2013/ton CO2 captured and stored)</t>
  </si>
  <si>
    <t>100 tpa for S1 and S2</t>
  </si>
  <si>
    <t>50 tpa for S3</t>
  </si>
  <si>
    <t>50 tpa for S1 and S2</t>
  </si>
  <si>
    <t>25 tpa for S3</t>
  </si>
  <si>
    <t>150 tpa for S1 and S2</t>
  </si>
  <si>
    <t>75 tpa for S3</t>
  </si>
  <si>
    <t>Ship transport</t>
  </si>
  <si>
    <t>Distance [tkm/ton CO2]</t>
  </si>
  <si>
    <t>Amine sorbent</t>
  </si>
  <si>
    <t>per kg</t>
  </si>
  <si>
    <t>SORBENT TYPE</t>
  </si>
  <si>
    <t>Amine on silica</t>
  </si>
  <si>
    <t>Sorbent type - amine on silica</t>
  </si>
  <si>
    <t>CAPACITY FACTOR</t>
  </si>
  <si>
    <t>Capacity factor</t>
  </si>
  <si>
    <t>Curtailment factor</t>
  </si>
  <si>
    <t>F_curt=0</t>
  </si>
  <si>
    <t>f_curt</t>
  </si>
  <si>
    <t>kg CO2/ton CO2 captured and stored</t>
  </si>
  <si>
    <t>F_curt=0.5</t>
  </si>
  <si>
    <t>F_curt=0.25</t>
  </si>
  <si>
    <t>F_curt=0.75</t>
  </si>
  <si>
    <t>cap bat = 6h</t>
  </si>
  <si>
    <t>Cap bat = 3h</t>
  </si>
  <si>
    <t>Cap bat = 12 h</t>
  </si>
  <si>
    <t>f_bat = 0.25</t>
  </si>
  <si>
    <t>f_bat = 0.5</t>
  </si>
  <si>
    <t>f_bat = 0.12</t>
  </si>
  <si>
    <t>e_bat=0.87</t>
  </si>
  <si>
    <t>e_bat=0.9</t>
  </si>
  <si>
    <t>f_bat = 0.92</t>
  </si>
  <si>
    <t>Lifetime DAC unit</t>
  </si>
  <si>
    <t>Lifetime sorbent</t>
  </si>
  <si>
    <t>Sorbent type</t>
  </si>
  <si>
    <t>Battery share factor</t>
  </si>
  <si>
    <r>
      <t>Anne B. Ottenbros</t>
    </r>
    <r>
      <rPr>
        <vertAlign val="superscript"/>
        <sz val="9.5"/>
        <color theme="1"/>
        <rFont val="Calibri"/>
        <family val="2"/>
        <scheme val="minor"/>
      </rPr>
      <t>1*</t>
    </r>
    <r>
      <rPr>
        <sz val="12"/>
        <color theme="1"/>
        <rFont val="Calibri"/>
        <family val="2"/>
        <scheme val="minor"/>
      </rPr>
      <t>, Rosalie van Zelm</t>
    </r>
    <r>
      <rPr>
        <vertAlign val="superscript"/>
        <sz val="9.5"/>
        <color theme="1"/>
        <rFont val="Calibri"/>
        <family val="2"/>
        <scheme val="minor"/>
      </rPr>
      <t>1</t>
    </r>
    <r>
      <rPr>
        <sz val="12"/>
        <color theme="1"/>
        <rFont val="Calibri"/>
        <family val="2"/>
        <scheme val="minor"/>
      </rPr>
      <t>, Jasper Simons</t>
    </r>
    <r>
      <rPr>
        <vertAlign val="superscript"/>
        <sz val="9.5"/>
        <color theme="1"/>
        <rFont val="Calibri"/>
        <family val="2"/>
        <scheme val="minor"/>
      </rPr>
      <t>2</t>
    </r>
    <r>
      <rPr>
        <sz val="12"/>
        <color theme="1"/>
        <rFont val="Calibri"/>
        <family val="2"/>
        <scheme val="minor"/>
      </rPr>
      <t>, Mitchell K. van der Hulst</t>
    </r>
    <r>
      <rPr>
        <vertAlign val="superscript"/>
        <sz val="9.5"/>
        <color theme="1"/>
        <rFont val="Calibri"/>
        <family val="2"/>
        <scheme val="minor"/>
      </rPr>
      <t>1,3</t>
    </r>
    <r>
      <rPr>
        <sz val="12"/>
        <color theme="1"/>
        <rFont val="Calibri"/>
        <family val="2"/>
        <scheme val="minor"/>
      </rPr>
      <t>, Kiane de Kleijne</t>
    </r>
    <r>
      <rPr>
        <vertAlign val="superscript"/>
        <sz val="12"/>
        <color theme="1"/>
        <rFont val="Calibri"/>
        <family val="2"/>
        <scheme val="minor"/>
      </rPr>
      <t>4</t>
    </r>
    <r>
      <rPr>
        <sz val="12"/>
        <color theme="1"/>
        <rFont val="Calibri"/>
        <family val="2"/>
        <scheme val="minor"/>
      </rPr>
      <t xml:space="preserve"> Hans de Neve</t>
    </r>
    <r>
      <rPr>
        <vertAlign val="superscript"/>
        <sz val="9.5"/>
        <color theme="1"/>
        <rFont val="Calibri"/>
        <family val="2"/>
        <scheme val="minor"/>
      </rPr>
      <t>2</t>
    </r>
    <r>
      <rPr>
        <sz val="12"/>
        <color theme="1"/>
        <rFont val="Calibri"/>
        <family val="2"/>
        <scheme val="minor"/>
      </rPr>
      <t>, Mark A.J. Huijbregts</t>
    </r>
    <r>
      <rPr>
        <vertAlign val="superscript"/>
        <sz val="9.5"/>
        <color theme="1"/>
        <rFont val="Calibri"/>
        <family val="2"/>
        <scheme val="minor"/>
      </rPr>
      <t>1,3</t>
    </r>
    <r>
      <rPr>
        <sz val="9.5"/>
        <color theme="1"/>
        <rFont val="Calibri"/>
        <family val="2"/>
        <scheme val="minor"/>
      </rPr>
      <t> </t>
    </r>
  </si>
  <si>
    <t>for phenolic resin: Claucherty, Steven, and Hirotaka Sakaue. “Phenol-Formaldehyde Resin for Optical-Chemical Temperature Sensing.” Sensors, 2018. https://doi.org/10.3390/s18061756</t>
  </si>
  <si>
    <t>Data is gathered from: Schmidt, Tobias S, Martin Beuse, Xiaojin Zhang, Bjarne Steffen, Simon F Schneider, Alejandro Pena-Bello, Christian Bauer, and David Parra. “Additional Emissions and Cost from Storing Electricity in Stationary Battery Systems.” Environmental Science &amp; Technology 53, no. 7 (April 2, 2019): 3379–90. https://doi.org/10.1021/acs.est.8b05313</t>
  </si>
  <si>
    <t>For details of proceses included in the database, see Schmidt et al. (2019)</t>
  </si>
  <si>
    <t>This sheet contains information on the processes involved in the construction of a battery system.</t>
  </si>
  <si>
    <t>Production of battery system</t>
  </si>
  <si>
    <r>
      <t>Construction and deconstruction of CO</t>
    </r>
    <r>
      <rPr>
        <vertAlign val="subscript"/>
        <sz val="22"/>
        <color theme="0"/>
        <rFont val="Calibri"/>
        <family val="2"/>
        <scheme val="minor"/>
      </rPr>
      <t>2</t>
    </r>
    <r>
      <rPr>
        <sz val="22"/>
        <color theme="0"/>
        <rFont val="Calibri"/>
        <family val="2"/>
        <scheme val="minor"/>
      </rPr>
      <t xml:space="preserve"> transportation and storage</t>
    </r>
  </si>
  <si>
    <r>
      <t>This sheet contains information on the construction and deconstruction of CO</t>
    </r>
    <r>
      <rPr>
        <vertAlign val="subscript"/>
        <sz val="11"/>
        <color theme="1"/>
        <rFont val="Calibri"/>
        <family val="2"/>
        <scheme val="minor"/>
      </rPr>
      <t>2</t>
    </r>
    <r>
      <rPr>
        <sz val="11"/>
        <color theme="1"/>
        <rFont val="Calibri"/>
        <family val="2"/>
        <scheme val="minor"/>
      </rPr>
      <t xml:space="preserve"> sequestration by pipeline transport and ship transport.</t>
    </r>
  </si>
  <si>
    <t>These values for post-DAC treatment (i.e., CO2 sequestration by pipeline transport) are based on: Koornneef, J., van Keulen, T., Faaij, A. &amp; Turkenburg, W. Life cycle assessment of a pulverized coal power plant with post-combustion capture, transport and storage of CO2. Int. J. Greenh. Gas Control 2, 448–467 (2008)</t>
  </si>
  <si>
    <t>These values for post-DAC treatment (i.e., CO2 sequestration by ship transport) are based on: Aspelund, A, M J Mølnvik, and G De Koeijer. Ship Transport of CO2: Technical Solutions and Analysis of Costs, Energy Utilization, Exergy Efficiency and CO2 Emissions. Chemical Engineering Research and Design 84, no. 9 (2006): 847–55.</t>
  </si>
  <si>
    <r>
      <t>This sheet contains information on the operation of CO</t>
    </r>
    <r>
      <rPr>
        <vertAlign val="subscript"/>
        <sz val="11"/>
        <color theme="1"/>
        <rFont val="Calibri"/>
        <family val="2"/>
        <scheme val="minor"/>
      </rPr>
      <t>2</t>
    </r>
    <r>
      <rPr>
        <sz val="11"/>
        <color theme="1"/>
        <rFont val="Calibri"/>
        <family val="2"/>
        <scheme val="minor"/>
      </rPr>
      <t xml:space="preserve"> sequestration by pipeline transport and ship transport.</t>
    </r>
  </si>
  <si>
    <t>Grid-connected configuration</t>
  </si>
  <si>
    <t>Hybrid configuration</t>
  </si>
  <si>
    <t>Wind-connected configuration</t>
  </si>
  <si>
    <t>Hybrid</t>
  </si>
  <si>
    <t>Grid</t>
  </si>
  <si>
    <t>Wind</t>
  </si>
  <si>
    <r>
      <t>3-4</t>
    </r>
    <r>
      <rPr>
        <sz val="11"/>
        <color theme="1"/>
        <rFont val="Calibri"/>
        <family val="2"/>
      </rPr>
      <t>°</t>
    </r>
    <r>
      <rPr>
        <sz val="6.6"/>
        <color theme="1"/>
        <rFont val="Calibri"/>
        <family val="2"/>
      </rPr>
      <t xml:space="preserve">C </t>
    </r>
  </si>
  <si>
    <r>
      <t>CO</t>
    </r>
    <r>
      <rPr>
        <vertAlign val="subscript"/>
        <sz val="11"/>
        <color theme="1"/>
        <rFont val="Calibri"/>
        <family val="2"/>
        <scheme val="minor"/>
      </rPr>
      <t>2</t>
    </r>
    <r>
      <rPr>
        <sz val="11"/>
        <color theme="1"/>
        <rFont val="Calibri"/>
        <family val="2"/>
        <scheme val="minor"/>
      </rPr>
      <t xml:space="preserve"> captured and stored</t>
    </r>
  </si>
  <si>
    <t xml:space="preserve">250 MWh/yr </t>
  </si>
  <si>
    <t>Life time DAC unit</t>
  </si>
  <si>
    <t>Life time sorbent material</t>
  </si>
  <si>
    <t>LIFETIME SORBENT MATERIAL</t>
  </si>
  <si>
    <t>0.35 &amp; 0.45</t>
  </si>
  <si>
    <t>K2CO3 on phenolic resin and amine on silica</t>
  </si>
  <si>
    <t>kg CO2/DAC lifetime</t>
  </si>
  <si>
    <t>kg CO2/year</t>
  </si>
  <si>
    <t>SENSIVITY SPIDER PLOTS (kg CO2/TON CO2 CAPTURED AND STORED)</t>
  </si>
  <si>
    <t>Round trip efficiency</t>
  </si>
  <si>
    <t>Life cycle assesment results for the sensitivity analysis on human health damage with ReCiPe 2016 (H) impact assessment method</t>
  </si>
  <si>
    <t>Life cycle assesment results for the sensitivity analysis on ecosystem damage with ReCiPe 2016 (H) impact assessment method</t>
  </si>
  <si>
    <t>species*year/ton CO2 captured and stored</t>
  </si>
  <si>
    <t>species*year/DAC lifetime</t>
  </si>
  <si>
    <t>species*year/year</t>
  </si>
  <si>
    <t>SENSIVITY SPIDER PLOTS (species*year/TON CO2 CAPTURED AND STORED)</t>
  </si>
  <si>
    <t>kg CO2-eq/kWh</t>
  </si>
  <si>
    <t>kg CO2-eq/tonCO2</t>
  </si>
  <si>
    <t>in kg CO2-eq per lifetime</t>
  </si>
  <si>
    <t>in kg CO2-eq per year</t>
  </si>
  <si>
    <t>in kg CO2-eq per ton CO2</t>
  </si>
  <si>
    <t>species*year/kWh</t>
  </si>
  <si>
    <t>species*year/tonCO2</t>
  </si>
  <si>
    <t>in species*year per lifetime</t>
  </si>
  <si>
    <t>in species*year per year</t>
  </si>
  <si>
    <t>in species*year per ton CO2</t>
  </si>
  <si>
    <t>Air intake &amp; transport</t>
  </si>
  <si>
    <r>
      <t>CO</t>
    </r>
    <r>
      <rPr>
        <b/>
        <vertAlign val="subscript"/>
        <sz val="11"/>
        <color theme="1"/>
        <rFont val="Calibri"/>
        <family val="2"/>
        <scheme val="minor"/>
      </rPr>
      <t>2</t>
    </r>
    <r>
      <rPr>
        <b/>
        <sz val="11"/>
        <color theme="1"/>
        <rFont val="Calibri"/>
        <family val="2"/>
        <scheme val="minor"/>
      </rPr>
      <t xml:space="preserve"> capture</t>
    </r>
  </si>
  <si>
    <t xml:space="preserve">Base frame and housing </t>
  </si>
  <si>
    <t xml:space="preserve">Infrastructure around DAC </t>
  </si>
  <si>
    <t xml:space="preserve">Heat pump </t>
  </si>
  <si>
    <t>Life cycle assesment results for the sensitivity analysis on resource damage with ReCiPe 2016 (H) impact assessment method</t>
  </si>
  <si>
    <t>Grid configuration - 3.5 degrees</t>
  </si>
  <si>
    <t>Grid configuration - 1.5 degrees</t>
  </si>
  <si>
    <t>Grid configuration - 2 degrees</t>
  </si>
  <si>
    <t>Hybrid configuration - 3.5 degrees</t>
  </si>
  <si>
    <t>Hybrid configuration - 2 degrees</t>
  </si>
  <si>
    <t>Hybrid configuration - 1.5 degrees</t>
  </si>
  <si>
    <t>Wind configuration - 1.5 degrees</t>
  </si>
  <si>
    <t>Wind configuration - 3.5 degrees</t>
  </si>
  <si>
    <t>Wind configuration - 2 degrees</t>
  </si>
  <si>
    <t>UDS2013/ton CO2 captured and stored</t>
  </si>
  <si>
    <t>UDS2013/DAC lifetime</t>
  </si>
  <si>
    <t>UDS2013/year</t>
  </si>
  <si>
    <t>SENSIVITY SPIDER PLOTS (UDS2013/TON CO2 CAPTURED AND STORED)</t>
  </si>
  <si>
    <t>USD2013/kWh</t>
  </si>
  <si>
    <t>USD2013/tonCO2</t>
  </si>
  <si>
    <t>in UDS2013 per lifetime</t>
  </si>
  <si>
    <t>in UDS2013 per year</t>
  </si>
  <si>
    <t>in UDS2013 per ton CO2</t>
  </si>
  <si>
    <t>in USD2013 per lifetime</t>
  </si>
  <si>
    <t>in USD2013 per year</t>
  </si>
  <si>
    <t>in USD2013 per ton CO2</t>
  </si>
  <si>
    <t>kWh/year</t>
  </si>
  <si>
    <r>
      <t>&lt;2</t>
    </r>
    <r>
      <rPr>
        <sz val="11"/>
        <color theme="1"/>
        <rFont val="Calibri"/>
        <family val="2"/>
      </rPr>
      <t>°</t>
    </r>
    <r>
      <rPr>
        <sz val="6.6"/>
        <color theme="1"/>
        <rFont val="Calibri"/>
        <family val="2"/>
      </rPr>
      <t xml:space="preserve">C </t>
    </r>
  </si>
  <si>
    <r>
      <t>&lt;1.5</t>
    </r>
    <r>
      <rPr>
        <sz val="11"/>
        <color theme="1"/>
        <rFont val="Calibri"/>
        <family val="2"/>
      </rPr>
      <t>°</t>
    </r>
    <r>
      <rPr>
        <sz val="6.6"/>
        <color theme="1"/>
        <rFont val="Calibri"/>
        <family val="2"/>
      </rPr>
      <t xml:space="preserve">C </t>
    </r>
  </si>
  <si>
    <t>Resource availability (USD2013/ton CO2 captured and stored)</t>
  </si>
  <si>
    <t xml:space="preserve">1.6-1.8°C </t>
  </si>
  <si>
    <t>1.2-1.4°C</t>
  </si>
  <si>
    <t>species*yr/kg CO2</t>
  </si>
  <si>
    <t>species*yr/year</t>
  </si>
  <si>
    <t>species*yr/ton CO2</t>
  </si>
  <si>
    <t>species*yr/kWh</t>
  </si>
  <si>
    <t>species*yr/tonCO2</t>
  </si>
  <si>
    <t>in species*yr per lifetime</t>
  </si>
  <si>
    <t>in species*yr per year</t>
  </si>
  <si>
    <t>in species*yr per ton CO2</t>
  </si>
  <si>
    <t>Human health damage results with ship transport calculated with ReCiPe 2016 (H) impact assessment method</t>
  </si>
  <si>
    <t>Ecosystem damage results with ship transport calculated with ReCiPe 2016 (H) impact assessment method</t>
  </si>
  <si>
    <t>Resource damage results with ship transport calculated with ReCiPe 2016 (H) impact assessment method</t>
  </si>
  <si>
    <t>Climate change results with ship transport calculated with ReCiPe 2016 (H) impact assessment method</t>
  </si>
  <si>
    <t>c) Inventory - battery</t>
  </si>
  <si>
    <t>d) Inventory - post-DAC production and deconstruction</t>
  </si>
  <si>
    <t>e) Inventory - operation DAC</t>
  </si>
  <si>
    <t>f) Inventory - sequestration</t>
  </si>
  <si>
    <t>c) Results - resource damage</t>
  </si>
  <si>
    <t>c) Sensitivity analysis - resource damage</t>
  </si>
  <si>
    <r>
      <rPr>
        <vertAlign val="superscript"/>
        <sz val="12"/>
        <rFont val="Calibri"/>
        <family val="2"/>
        <scheme val="minor"/>
      </rPr>
      <t>4</t>
    </r>
    <r>
      <rPr>
        <sz val="12"/>
        <rFont val="Calibri"/>
        <family val="2"/>
        <scheme val="minor"/>
      </rPr>
      <t xml:space="preserve"> Technology, Innovation and Society Group, Department of Industrial Engineering and Innovation Sciences, Eindhoven University of Technology, Eindhoven, The Netherlands</t>
    </r>
  </si>
  <si>
    <t>d) Results - climate change</t>
  </si>
  <si>
    <t>d) Sensitivity analysis - climate change</t>
  </si>
  <si>
    <t>a) Figure results - ReCiPe Hierarchist perspective</t>
  </si>
  <si>
    <t>b) Figure results - ReCiPe Egalitarian perspective</t>
  </si>
  <si>
    <t>c) Figure results - ReCiPe Individualist perspective</t>
  </si>
  <si>
    <t>4) Results - Sensitivity analysis (ReCiPe 2016 Hierarchist perspective)</t>
  </si>
  <si>
    <t>5) Results - Contribution analysis</t>
  </si>
  <si>
    <t>6) Results - ReCiPe 2016 Hierarchist perspective</t>
  </si>
  <si>
    <t>9) Results - Ship transport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</si>
</sst>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E+00"/>
    <numFmt numFmtId="165" formatCode="0.000"/>
    <numFmt numFmtId="166" formatCode="0.0"/>
    <numFmt numFmtId="167" formatCode="0.000%"/>
    <numFmt numFmtId="168" formatCode="0.0%"/>
    <numFmt numFmtId="169" formatCode="0.000000000%"/>
  </numFmts>
  <fonts count="51" x14ac:knownFonts="1">
    <font>
      <sz val="11"/>
      <color theme="1"/>
      <name val="Calibri"/>
      <family val="2"/>
      <scheme val="minor"/>
    </font>
    <font>
      <b/>
      <sz val="11"/>
      <color theme="1"/>
      <name val="Calibri"/>
      <family val="2"/>
      <scheme val="minor"/>
    </font>
    <font>
      <sz val="11"/>
      <color theme="0"/>
      <name val="Calibri"/>
      <family val="2"/>
      <scheme val="minor"/>
    </font>
    <font>
      <sz val="16"/>
      <color theme="0"/>
      <name val="Calibri"/>
      <family val="2"/>
      <scheme val="minor"/>
    </font>
    <font>
      <sz val="11"/>
      <name val="Calibri"/>
      <family val="2"/>
      <scheme val="minor"/>
    </font>
    <font>
      <sz val="9"/>
      <color indexed="81"/>
      <name val="Tahoma"/>
      <family val="2"/>
    </font>
    <font>
      <sz val="11"/>
      <color theme="1"/>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u/>
      <sz val="11"/>
      <color theme="10"/>
      <name val="Calibri"/>
      <family val="2"/>
      <scheme val="minor"/>
    </font>
    <font>
      <i/>
      <sz val="11"/>
      <color theme="1"/>
      <name val="Calibri"/>
      <family val="2"/>
      <scheme val="minor"/>
    </font>
    <font>
      <sz val="22"/>
      <name val="Calibri"/>
      <family val="2"/>
      <scheme val="minor"/>
    </font>
    <font>
      <sz val="12"/>
      <name val="Calibri"/>
      <family val="2"/>
      <scheme val="minor"/>
    </font>
    <font>
      <vertAlign val="superscript"/>
      <sz val="9.5"/>
      <name val="Calibri"/>
      <family val="2"/>
      <scheme val="minor"/>
    </font>
    <font>
      <sz val="22"/>
      <color theme="0"/>
      <name val="Calibri"/>
      <family val="2"/>
      <scheme val="minor"/>
    </font>
    <font>
      <sz val="16"/>
      <name val="Calibri"/>
      <family val="2"/>
      <scheme val="minor"/>
    </font>
    <font>
      <sz val="18"/>
      <color theme="0"/>
      <name val="Calibri"/>
      <family val="2"/>
      <scheme val="minor"/>
    </font>
    <font>
      <b/>
      <sz val="18"/>
      <color theme="1"/>
      <name val="Calibri"/>
      <family val="2"/>
      <scheme val="minor"/>
    </font>
    <font>
      <b/>
      <sz val="12"/>
      <color theme="1"/>
      <name val="Calibri"/>
      <family val="2"/>
      <scheme val="minor"/>
    </font>
    <font>
      <b/>
      <sz val="12"/>
      <name val="Calibri"/>
      <family val="2"/>
      <scheme val="minor"/>
    </font>
    <font>
      <b/>
      <i/>
      <sz val="11"/>
      <color theme="1"/>
      <name val="Calibri"/>
      <family val="2"/>
      <scheme val="minor"/>
    </font>
    <font>
      <sz val="11"/>
      <color theme="1" tint="0.499984740745262"/>
      <name val="Calibri"/>
      <family val="2"/>
      <scheme val="minor"/>
    </font>
    <font>
      <sz val="8"/>
      <color theme="1" tint="0.499984740745262"/>
      <name val="Calibri"/>
      <family val="2"/>
      <scheme val="minor"/>
    </font>
    <font>
      <sz val="11"/>
      <color rgb="FFC00000"/>
      <name val="Calibri"/>
      <family val="2"/>
      <scheme val="minor"/>
    </font>
    <font>
      <b/>
      <i/>
      <sz val="11"/>
      <color theme="0"/>
      <name val="Calibri"/>
      <family val="2"/>
      <scheme val="minor"/>
    </font>
    <font>
      <i/>
      <sz val="11"/>
      <color theme="0"/>
      <name val="Calibri"/>
      <family val="2"/>
      <scheme val="minor"/>
    </font>
    <font>
      <sz val="12"/>
      <color theme="1"/>
      <name val="Calibri"/>
      <family val="2"/>
      <scheme val="minor"/>
    </font>
    <font>
      <i/>
      <sz val="10"/>
      <color theme="1"/>
      <name val="Calibri"/>
      <family val="2"/>
      <scheme val="minor"/>
    </font>
    <font>
      <b/>
      <sz val="12"/>
      <color theme="3" tint="-0.499984740745262"/>
      <name val="Calibri"/>
      <family val="2"/>
      <scheme val="minor"/>
    </font>
    <font>
      <i/>
      <sz val="12"/>
      <name val="Calibri"/>
      <family val="2"/>
      <scheme val="minor"/>
    </font>
    <font>
      <sz val="11"/>
      <color rgb="FF7F7F7F"/>
      <name val="Calibri"/>
      <family val="2"/>
      <scheme val="minor"/>
    </font>
    <font>
      <sz val="14"/>
      <color rgb="FFC00000"/>
      <name val="Calibri"/>
      <family val="2"/>
      <scheme val="minor"/>
    </font>
    <font>
      <b/>
      <sz val="12"/>
      <color theme="0"/>
      <name val="Calibri"/>
      <family val="2"/>
      <scheme val="minor"/>
    </font>
    <font>
      <sz val="14"/>
      <name val="Calibri"/>
      <family val="2"/>
      <scheme val="minor"/>
    </font>
    <font>
      <b/>
      <sz val="14"/>
      <name val="Calibri"/>
      <family val="2"/>
      <scheme val="minor"/>
    </font>
    <font>
      <i/>
      <sz val="11"/>
      <name val="Calibri"/>
      <family val="2"/>
      <scheme val="minor"/>
    </font>
    <font>
      <vertAlign val="superscript"/>
      <sz val="9.5"/>
      <color theme="1"/>
      <name val="Calibri"/>
      <family val="2"/>
      <scheme val="minor"/>
    </font>
    <font>
      <vertAlign val="superscript"/>
      <sz val="12"/>
      <color theme="1"/>
      <name val="Calibri"/>
      <family val="2"/>
      <scheme val="minor"/>
    </font>
    <font>
      <sz val="9.5"/>
      <color theme="1"/>
      <name val="Calibri"/>
      <family val="2"/>
      <scheme val="minor"/>
    </font>
    <font>
      <b/>
      <sz val="22"/>
      <name val="Calibri"/>
      <family val="2"/>
      <scheme val="minor"/>
    </font>
    <font>
      <i/>
      <sz val="11"/>
      <color theme="1" tint="0.499984740745262"/>
      <name val="Calibri"/>
      <family val="2"/>
      <scheme val="minor"/>
    </font>
    <font>
      <vertAlign val="subscript"/>
      <sz val="22"/>
      <color theme="0"/>
      <name val="Calibri"/>
      <family val="2"/>
      <scheme val="minor"/>
    </font>
    <font>
      <vertAlign val="subscript"/>
      <sz val="11"/>
      <color theme="1"/>
      <name val="Calibri"/>
      <family val="2"/>
      <scheme val="minor"/>
    </font>
    <font>
      <sz val="11"/>
      <color theme="1"/>
      <name val="Calibri"/>
      <family val="2"/>
    </font>
    <font>
      <sz val="6.6"/>
      <color theme="1"/>
      <name val="Calibri"/>
      <family val="2"/>
    </font>
    <font>
      <b/>
      <vertAlign val="subscript"/>
      <sz val="11"/>
      <color theme="1"/>
      <name val="Calibri"/>
      <family val="2"/>
      <scheme val="minor"/>
    </font>
    <font>
      <vertAlign val="superscript"/>
      <sz val="12"/>
      <name val="Calibri"/>
      <family val="2"/>
      <scheme val="minor"/>
    </font>
  </fonts>
  <fills count="33">
    <fill>
      <patternFill patternType="none"/>
    </fill>
    <fill>
      <patternFill patternType="gray125"/>
    </fill>
    <fill>
      <patternFill patternType="solid">
        <fgColor theme="5" tint="0.39997558519241921"/>
        <bgColor indexed="64"/>
      </patternFill>
    </fill>
    <fill>
      <patternFill patternType="solid">
        <fgColor theme="6" tint="0.39997558519241921"/>
        <bgColor indexed="64"/>
      </patternFill>
    </fill>
    <fill>
      <patternFill patternType="solid">
        <fgColor theme="3" tint="0.79998168889431442"/>
        <bgColor indexed="64"/>
      </patternFill>
    </fill>
    <fill>
      <patternFill patternType="solid">
        <fgColor theme="2"/>
        <bgColor indexed="64"/>
      </patternFill>
    </fill>
    <fill>
      <patternFill patternType="solid">
        <fgColor theme="5" tint="0.79998168889431442"/>
        <bgColor indexed="64"/>
      </patternFill>
    </fill>
    <fill>
      <patternFill patternType="solid">
        <fgColor theme="5" tint="-0.249977111117893"/>
        <bgColor indexed="64"/>
      </patternFill>
    </fill>
    <fill>
      <patternFill patternType="solid">
        <fgColor theme="3" tint="-0.499984740745262"/>
        <bgColor indexed="64"/>
      </patternFill>
    </fill>
    <fill>
      <patternFill patternType="solid">
        <fgColor theme="5" tint="-0.499984740745262"/>
        <bgColor indexed="64"/>
      </patternFill>
    </fill>
    <fill>
      <patternFill patternType="solid">
        <fgColor rgb="FFFFCC99"/>
      </patternFill>
    </fill>
    <fill>
      <patternFill patternType="solid">
        <fgColor rgb="FFF2F2F2"/>
      </patternFill>
    </fill>
    <fill>
      <patternFill patternType="solid">
        <fgColor rgb="FFFFFFCC"/>
      </patternFill>
    </fill>
    <fill>
      <patternFill patternType="solid">
        <fgColor theme="0"/>
        <bgColor indexed="64"/>
      </patternFill>
    </fill>
    <fill>
      <patternFill patternType="solid">
        <fgColor theme="3" tint="-0.249977111117893"/>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2" tint="-0.499984740745262"/>
        <bgColor indexed="64"/>
      </patternFill>
    </fill>
    <fill>
      <patternFill patternType="solid">
        <fgColor theme="1" tint="0.34998626667073579"/>
        <bgColor indexed="64"/>
      </patternFill>
    </fill>
    <fill>
      <patternFill patternType="solid">
        <fgColor theme="1" tint="0.249977111117893"/>
        <bgColor indexed="64"/>
      </patternFill>
    </fill>
    <fill>
      <patternFill patternType="solid">
        <fgColor theme="3" tint="0.59999389629810485"/>
        <bgColor indexed="64"/>
      </patternFill>
    </fill>
    <fill>
      <patternFill patternType="solid">
        <fgColor theme="5" tint="0.59999389629810485"/>
        <bgColor indexed="64"/>
      </patternFill>
    </fill>
    <fill>
      <patternFill patternType="solid">
        <fgColor theme="5"/>
        <bgColor indexed="64"/>
      </patternFill>
    </fill>
    <fill>
      <patternFill patternType="solid">
        <fgColor theme="3"/>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3" tint="0.39997558519241921"/>
        <bgColor indexed="64"/>
      </patternFill>
    </fill>
    <fill>
      <patternFill patternType="solid">
        <fgColor theme="7"/>
        <bgColor indexed="64"/>
      </patternFill>
    </fill>
    <fill>
      <patternFill patternType="solid">
        <fgColor theme="7" tint="-0.499984740745262"/>
        <bgColor indexed="64"/>
      </patternFill>
    </fill>
    <fill>
      <patternFill patternType="solid">
        <fgColor theme="6" tint="0.79998168889431442"/>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8">
    <xf numFmtId="0" fontId="0" fillId="0" borderId="0"/>
    <xf numFmtId="0" fontId="7" fillId="10" borderId="3" applyNumberFormat="0" applyAlignment="0" applyProtection="0"/>
    <xf numFmtId="0" fontId="8" fillId="11" borderId="4" applyNumberFormat="0" applyAlignment="0" applyProtection="0"/>
    <xf numFmtId="0" fontId="9" fillId="11" borderId="3" applyNumberFormat="0" applyAlignment="0" applyProtection="0"/>
    <xf numFmtId="0" fontId="6" fillId="12" borderId="5" applyNumberFormat="0" applyFont="0" applyAlignment="0" applyProtection="0"/>
    <xf numFmtId="0" fontId="12" fillId="0" borderId="0" applyNumberFormat="0" applyFill="0" applyBorder="0" applyAlignment="0" applyProtection="0"/>
    <xf numFmtId="0" fontId="13" fillId="0" borderId="0" applyNumberFormat="0" applyFill="0" applyBorder="0" applyAlignment="0" applyProtection="0"/>
    <xf numFmtId="9" fontId="6" fillId="0" borderId="0" applyFont="0" applyFill="0" applyBorder="0" applyAlignment="0" applyProtection="0"/>
  </cellStyleXfs>
  <cellXfs count="348">
    <xf numFmtId="0" fontId="0" fillId="0" borderId="0" xfId="0"/>
    <xf numFmtId="2" fontId="0" fillId="0" borderId="0" xfId="0" applyNumberFormat="1"/>
    <xf numFmtId="0" fontId="1" fillId="2" borderId="1" xfId="0" applyFont="1" applyFill="1" applyBorder="1" applyAlignment="1">
      <alignment horizontal="center" vertical="top"/>
    </xf>
    <xf numFmtId="1" fontId="0" fillId="0" borderId="0" xfId="0" applyNumberFormat="1"/>
    <xf numFmtId="0" fontId="0" fillId="4" borderId="0" xfId="0" applyFill="1"/>
    <xf numFmtId="0" fontId="0" fillId="5" borderId="0" xfId="0" applyFill="1"/>
    <xf numFmtId="11" fontId="0" fillId="0" borderId="0" xfId="0" applyNumberFormat="1"/>
    <xf numFmtId="164" fontId="0" fillId="0" borderId="0" xfId="0" applyNumberFormat="1"/>
    <xf numFmtId="0" fontId="0" fillId="0" borderId="0" xfId="0"/>
    <xf numFmtId="0" fontId="1" fillId="0" borderId="1" xfId="0" applyFont="1" applyBorder="1" applyAlignment="1">
      <alignment horizontal="center" vertical="top"/>
    </xf>
    <xf numFmtId="0" fontId="1" fillId="6" borderId="1" xfId="0" applyFont="1" applyFill="1" applyBorder="1" applyAlignment="1">
      <alignment horizontal="center" vertical="top"/>
    </xf>
    <xf numFmtId="0" fontId="3" fillId="8" borderId="0" xfId="0" applyFont="1" applyFill="1"/>
    <xf numFmtId="0" fontId="0" fillId="0" borderId="0" xfId="0"/>
    <xf numFmtId="0" fontId="1" fillId="0" borderId="1" xfId="0" applyFont="1" applyBorder="1" applyAlignment="1">
      <alignment horizontal="center" vertical="top"/>
    </xf>
    <xf numFmtId="0" fontId="1" fillId="0" borderId="1" xfId="0" applyFont="1" applyBorder="1" applyAlignment="1">
      <alignment horizontal="center" vertical="top"/>
    </xf>
    <xf numFmtId="0" fontId="0" fillId="6" borderId="0" xfId="0" applyFill="1"/>
    <xf numFmtId="11" fontId="0" fillId="6" borderId="0" xfId="0" applyNumberFormat="1" applyFill="1"/>
    <xf numFmtId="11" fontId="0" fillId="4" borderId="0" xfId="0" applyNumberFormat="1" applyFill="1"/>
    <xf numFmtId="11" fontId="3" fillId="8" borderId="0" xfId="0" applyNumberFormat="1" applyFont="1" applyFill="1"/>
    <xf numFmtId="11" fontId="2" fillId="9" borderId="0" xfId="0" applyNumberFormat="1" applyFont="1" applyFill="1"/>
    <xf numFmtId="11" fontId="0" fillId="9" borderId="0" xfId="0" applyNumberFormat="1" applyFill="1"/>
    <xf numFmtId="11" fontId="2" fillId="6" borderId="0" xfId="0" applyNumberFormat="1" applyFont="1" applyFill="1"/>
    <xf numFmtId="11" fontId="4" fillId="6" borderId="0" xfId="0" applyNumberFormat="1" applyFont="1" applyFill="1"/>
    <xf numFmtId="11" fontId="1" fillId="4" borderId="2" xfId="0" applyNumberFormat="1" applyFont="1" applyFill="1" applyBorder="1" applyAlignment="1">
      <alignment horizontal="left" vertical="top"/>
    </xf>
    <xf numFmtId="11" fontId="0" fillId="0" borderId="0" xfId="0" applyNumberFormat="1" applyFill="1" applyBorder="1"/>
    <xf numFmtId="1" fontId="0" fillId="3" borderId="0" xfId="0" applyNumberFormat="1" applyFill="1"/>
    <xf numFmtId="11" fontId="0" fillId="0" borderId="0" xfId="0" applyNumberFormat="1" applyFill="1"/>
    <xf numFmtId="11" fontId="14" fillId="0" borderId="0" xfId="0" applyNumberFormat="1" applyFont="1" applyFill="1"/>
    <xf numFmtId="0" fontId="0" fillId="0" borderId="0" xfId="0"/>
    <xf numFmtId="0" fontId="1" fillId="0" borderId="1" xfId="0" applyFont="1" applyBorder="1" applyAlignment="1">
      <alignment horizontal="center" vertical="top"/>
    </xf>
    <xf numFmtId="0" fontId="11" fillId="0" borderId="0" xfId="0" applyFont="1"/>
    <xf numFmtId="0" fontId="1" fillId="0" borderId="0" xfId="0" applyFont="1"/>
    <xf numFmtId="9" fontId="0" fillId="0" borderId="0" xfId="0" applyNumberFormat="1"/>
    <xf numFmtId="0" fontId="0" fillId="0" borderId="0" xfId="0" applyFill="1"/>
    <xf numFmtId="9" fontId="0" fillId="0" borderId="0" xfId="0" applyNumberFormat="1" applyFill="1"/>
    <xf numFmtId="1" fontId="0" fillId="0" borderId="0" xfId="0" applyNumberFormat="1" applyFill="1"/>
    <xf numFmtId="0" fontId="15" fillId="0" borderId="0" xfId="0" applyFont="1" applyAlignment="1">
      <alignment horizontal="left" vertical="center"/>
    </xf>
    <xf numFmtId="0" fontId="0" fillId="0" borderId="0" xfId="0" applyFont="1"/>
    <xf numFmtId="0" fontId="16" fillId="0" borderId="0" xfId="0" applyFont="1" applyAlignment="1">
      <alignment horizontal="left" vertical="center"/>
    </xf>
    <xf numFmtId="0" fontId="17" fillId="0" borderId="0" xfId="0" applyFont="1" applyAlignment="1">
      <alignment horizontal="left" vertical="center"/>
    </xf>
    <xf numFmtId="0" fontId="1" fillId="0" borderId="0" xfId="0" applyFont="1" applyFill="1"/>
    <xf numFmtId="0" fontId="0" fillId="5" borderId="0" xfId="0" applyFont="1" applyFill="1"/>
    <xf numFmtId="0" fontId="18" fillId="8" borderId="0" xfId="0" applyFont="1" applyFill="1"/>
    <xf numFmtId="0" fontId="3" fillId="13" borderId="0" xfId="0" applyFont="1" applyFill="1"/>
    <xf numFmtId="0" fontId="2" fillId="13" borderId="0" xfId="0" applyFont="1" applyFill="1"/>
    <xf numFmtId="0" fontId="0" fillId="13" borderId="0" xfId="0" applyFill="1"/>
    <xf numFmtId="0" fontId="1" fillId="13" borderId="0" xfId="0" applyFont="1" applyFill="1"/>
    <xf numFmtId="11" fontId="0" fillId="13" borderId="0" xfId="0" applyNumberFormat="1" applyFill="1"/>
    <xf numFmtId="0" fontId="0" fillId="13" borderId="0" xfId="0" applyFont="1" applyFill="1"/>
    <xf numFmtId="0" fontId="20" fillId="14" borderId="0" xfId="0" applyFont="1" applyFill="1"/>
    <xf numFmtId="0" fontId="21" fillId="14" borderId="0" xfId="0" applyFont="1" applyFill="1"/>
    <xf numFmtId="0" fontId="22" fillId="4" borderId="0" xfId="0" applyFont="1" applyFill="1"/>
    <xf numFmtId="0" fontId="23" fillId="4" borderId="0" xfId="0" applyFont="1" applyFill="1"/>
    <xf numFmtId="166" fontId="23" fillId="4" borderId="0" xfId="0" applyNumberFormat="1" applyFont="1" applyFill="1" applyAlignment="1">
      <alignment horizontal="center"/>
    </xf>
    <xf numFmtId="0" fontId="24" fillId="4" borderId="0" xfId="0" applyFont="1" applyFill="1"/>
    <xf numFmtId="0" fontId="25" fillId="4" borderId="0" xfId="0" applyFont="1" applyFill="1"/>
    <xf numFmtId="166" fontId="25" fillId="4" borderId="0" xfId="0" applyNumberFormat="1" applyFont="1" applyFill="1"/>
    <xf numFmtId="2" fontId="8" fillId="11" borderId="4" xfId="2" applyNumberFormat="1"/>
    <xf numFmtId="0" fontId="26" fillId="4" borderId="0" xfId="0" applyFont="1" applyFill="1"/>
    <xf numFmtId="2" fontId="7" fillId="10" borderId="3" xfId="1" applyNumberFormat="1"/>
    <xf numFmtId="0" fontId="4" fillId="4" borderId="0" xfId="0" applyFont="1" applyFill="1"/>
    <xf numFmtId="2" fontId="9" fillId="11" borderId="3" xfId="3" applyNumberFormat="1"/>
    <xf numFmtId="0" fontId="27" fillId="4" borderId="0" xfId="0" applyFont="1" applyFill="1"/>
    <xf numFmtId="0" fontId="7" fillId="10" borderId="3" xfId="1"/>
    <xf numFmtId="166" fontId="25" fillId="4" borderId="0" xfId="0" applyNumberFormat="1" applyFont="1" applyFill="1" applyAlignment="1">
      <alignment horizontal="center"/>
    </xf>
    <xf numFmtId="0" fontId="1" fillId="7" borderId="0" xfId="0" applyFont="1" applyFill="1"/>
    <xf numFmtId="0" fontId="10" fillId="2" borderId="0" xfId="0" applyFont="1" applyFill="1"/>
    <xf numFmtId="0" fontId="1" fillId="2" borderId="0" xfId="0" applyFont="1" applyFill="1"/>
    <xf numFmtId="0" fontId="28" fillId="15" borderId="0" xfId="0" applyFont="1" applyFill="1"/>
    <xf numFmtId="0" fontId="10" fillId="15" borderId="0" xfId="0" applyFont="1" applyFill="1"/>
    <xf numFmtId="0" fontId="1" fillId="15" borderId="0" xfId="0" applyFont="1" applyFill="1"/>
    <xf numFmtId="0" fontId="29" fillId="15" borderId="0" xfId="5" applyFont="1" applyFill="1" applyBorder="1"/>
    <xf numFmtId="0" fontId="29" fillId="15" borderId="0" xfId="5" applyFont="1" applyFill="1" applyBorder="1" applyAlignment="1">
      <alignment wrapText="1"/>
    </xf>
    <xf numFmtId="0" fontId="0" fillId="15" borderId="0" xfId="4" applyFont="1" applyFill="1" applyBorder="1" applyAlignment="1">
      <alignment wrapText="1"/>
    </xf>
    <xf numFmtId="0" fontId="0" fillId="15" borderId="0" xfId="0" applyFill="1"/>
    <xf numFmtId="0" fontId="1" fillId="15" borderId="1" xfId="0" applyFont="1" applyFill="1" applyBorder="1" applyAlignment="1">
      <alignment wrapText="1"/>
    </xf>
    <xf numFmtId="0" fontId="1" fillId="15" borderId="1" xfId="0" applyFont="1" applyFill="1" applyBorder="1"/>
    <xf numFmtId="0" fontId="1" fillId="15" borderId="0" xfId="0" applyFont="1" applyFill="1" applyBorder="1"/>
    <xf numFmtId="0" fontId="1" fillId="15" borderId="0" xfId="0" applyFont="1" applyFill="1" applyBorder="1" applyAlignment="1">
      <alignment wrapText="1"/>
    </xf>
    <xf numFmtId="0" fontId="0" fillId="15" borderId="1" xfId="0" applyFill="1" applyBorder="1"/>
    <xf numFmtId="0" fontId="0" fillId="15" borderId="1" xfId="0" applyFont="1" applyFill="1" applyBorder="1"/>
    <xf numFmtId="0" fontId="0" fillId="15" borderId="0" xfId="0" applyFill="1" applyBorder="1"/>
    <xf numFmtId="0" fontId="0" fillId="15" borderId="0" xfId="0" applyFill="1" applyBorder="1" applyAlignment="1">
      <alignment wrapText="1"/>
    </xf>
    <xf numFmtId="0" fontId="1" fillId="5" borderId="0" xfId="0" applyFont="1" applyFill="1"/>
    <xf numFmtId="0" fontId="24" fillId="5" borderId="0" xfId="0" applyFont="1" applyFill="1"/>
    <xf numFmtId="0" fontId="22" fillId="5" borderId="0" xfId="0" applyFont="1" applyFill="1"/>
    <xf numFmtId="0" fontId="25" fillId="5" borderId="0" xfId="0" applyFont="1" applyFill="1"/>
    <xf numFmtId="166" fontId="25" fillId="5" borderId="0" xfId="0" applyNumberFormat="1" applyFont="1" applyFill="1"/>
    <xf numFmtId="165" fontId="25" fillId="5" borderId="0" xfId="0" applyNumberFormat="1" applyFont="1" applyFill="1"/>
    <xf numFmtId="1" fontId="7" fillId="10" borderId="3" xfId="1" applyNumberFormat="1"/>
    <xf numFmtId="0" fontId="13" fillId="5" borderId="0" xfId="6" applyFill="1"/>
    <xf numFmtId="1" fontId="9" fillId="11" borderId="3" xfId="3" applyNumberFormat="1"/>
    <xf numFmtId="0" fontId="14" fillId="15" borderId="1" xfId="0" applyFont="1" applyFill="1" applyBorder="1"/>
    <xf numFmtId="166" fontId="0" fillId="15" borderId="1" xfId="0" applyNumberFormat="1" applyFill="1" applyBorder="1"/>
    <xf numFmtId="166" fontId="9" fillId="11" borderId="3" xfId="3" applyNumberFormat="1"/>
    <xf numFmtId="0" fontId="30" fillId="5" borderId="0" xfId="0" applyFont="1" applyFill="1"/>
    <xf numFmtId="0" fontId="9" fillId="11" borderId="3" xfId="3"/>
    <xf numFmtId="0" fontId="12" fillId="5" borderId="0" xfId="5" applyFill="1"/>
    <xf numFmtId="0" fontId="4" fillId="5" borderId="0" xfId="0" applyFont="1" applyFill="1"/>
    <xf numFmtId="0" fontId="27" fillId="5" borderId="0" xfId="0" applyFont="1" applyFill="1"/>
    <xf numFmtId="2" fontId="8" fillId="5" borderId="4" xfId="2" applyNumberFormat="1" applyFill="1"/>
    <xf numFmtId="2" fontId="0" fillId="15" borderId="1" xfId="0" applyNumberFormat="1" applyFill="1" applyBorder="1"/>
    <xf numFmtId="165" fontId="9" fillId="11" borderId="3" xfId="3" applyNumberFormat="1"/>
    <xf numFmtId="0" fontId="1" fillId="13" borderId="0" xfId="0" applyFont="1" applyFill="1" applyAlignment="1">
      <alignment horizontal="left" vertical="center"/>
    </xf>
    <xf numFmtId="0" fontId="14" fillId="13" borderId="0" xfId="0" applyFont="1" applyFill="1" applyAlignment="1">
      <alignment horizontal="left" vertical="center"/>
    </xf>
    <xf numFmtId="0" fontId="22" fillId="13" borderId="0" xfId="0" applyFont="1" applyFill="1" applyAlignment="1">
      <alignment horizontal="left" vertical="center"/>
    </xf>
    <xf numFmtId="0" fontId="0" fillId="13" borderId="1" xfId="0" applyFont="1" applyFill="1" applyBorder="1" applyAlignment="1">
      <alignment horizontal="left" vertical="center"/>
    </xf>
    <xf numFmtId="0" fontId="0" fillId="13" borderId="1" xfId="0" applyFont="1" applyFill="1" applyBorder="1"/>
    <xf numFmtId="0" fontId="30" fillId="13" borderId="1" xfId="0" applyFont="1" applyFill="1" applyBorder="1" applyAlignment="1">
      <alignment horizontal="left" vertical="center"/>
    </xf>
    <xf numFmtId="0" fontId="0" fillId="0" borderId="1" xfId="0" applyBorder="1"/>
    <xf numFmtId="0" fontId="14" fillId="13" borderId="1" xfId="0" applyFont="1" applyFill="1" applyBorder="1" applyAlignment="1">
      <alignment horizontal="left" vertical="center"/>
    </xf>
    <xf numFmtId="0" fontId="0" fillId="13" borderId="0" xfId="0" applyFont="1" applyFill="1" applyAlignment="1">
      <alignment horizontal="left" vertical="center"/>
    </xf>
    <xf numFmtId="0" fontId="1" fillId="13" borderId="1" xfId="0" applyFont="1" applyFill="1" applyBorder="1"/>
    <xf numFmtId="0" fontId="22" fillId="13" borderId="1" xfId="0" applyFont="1" applyFill="1" applyBorder="1" applyAlignment="1">
      <alignment horizontal="left" vertical="center"/>
    </xf>
    <xf numFmtId="0" fontId="1" fillId="13" borderId="1" xfId="0" applyFont="1" applyFill="1" applyBorder="1" applyAlignment="1">
      <alignment horizontal="left" vertical="center"/>
    </xf>
    <xf numFmtId="0" fontId="0" fillId="13" borderId="0" xfId="0" applyFont="1" applyFill="1" applyAlignment="1"/>
    <xf numFmtId="0" fontId="0" fillId="13" borderId="1" xfId="0" applyFill="1" applyBorder="1"/>
    <xf numFmtId="0" fontId="0" fillId="0" borderId="0" xfId="0" applyAlignment="1"/>
    <xf numFmtId="0" fontId="0" fillId="16" borderId="0" xfId="0" applyFill="1"/>
    <xf numFmtId="0" fontId="0" fillId="16" borderId="0" xfId="0" applyFill="1" applyAlignment="1">
      <alignment horizontal="left"/>
    </xf>
    <xf numFmtId="0" fontId="7" fillId="10" borderId="3" xfId="1" applyAlignment="1">
      <alignment horizontal="right"/>
    </xf>
    <xf numFmtId="0" fontId="0" fillId="16" borderId="0" xfId="0" applyFill="1" applyAlignment="1">
      <alignment horizontal="center"/>
    </xf>
    <xf numFmtId="0" fontId="0" fillId="17" borderId="0" xfId="0" applyFill="1"/>
    <xf numFmtId="0" fontId="2" fillId="18" borderId="0" xfId="0" applyFont="1" applyFill="1"/>
    <xf numFmtId="0" fontId="2" fillId="19" borderId="0" xfId="0" applyFont="1" applyFill="1"/>
    <xf numFmtId="0" fontId="0" fillId="7" borderId="0" xfId="0" applyFill="1"/>
    <xf numFmtId="11" fontId="0" fillId="0" borderId="1" xfId="0" applyNumberFormat="1" applyBorder="1"/>
    <xf numFmtId="1" fontId="0" fillId="0" borderId="1" xfId="0" applyNumberFormat="1" applyBorder="1"/>
    <xf numFmtId="0" fontId="1" fillId="0" borderId="1" xfId="0" applyFont="1" applyBorder="1"/>
    <xf numFmtId="0" fontId="14" fillId="0" borderId="1" xfId="0" applyFont="1" applyBorder="1"/>
    <xf numFmtId="0" fontId="1" fillId="0" borderId="0" xfId="0" applyFont="1" applyBorder="1" applyAlignment="1">
      <alignment horizontal="center" vertical="top"/>
    </xf>
    <xf numFmtId="0" fontId="0" fillId="20" borderId="0" xfId="0" applyFont="1" applyFill="1"/>
    <xf numFmtId="0" fontId="0" fillId="6" borderId="0" xfId="0" applyFont="1" applyFill="1"/>
    <xf numFmtId="0" fontId="0" fillId="22" borderId="0" xfId="0" applyFont="1" applyFill="1"/>
    <xf numFmtId="0" fontId="32" fillId="13" borderId="0" xfId="0" applyFont="1" applyFill="1"/>
    <xf numFmtId="0" fontId="25" fillId="13" borderId="0" xfId="0" applyFont="1" applyFill="1"/>
    <xf numFmtId="0" fontId="32" fillId="13" borderId="0" xfId="0" applyFont="1" applyFill="1" applyAlignment="1">
      <alignment horizontal="left" vertical="center"/>
    </xf>
    <xf numFmtId="0" fontId="1" fillId="0" borderId="1" xfId="0" applyFont="1" applyBorder="1" applyAlignment="1">
      <alignment horizontal="left" vertical="top"/>
    </xf>
    <xf numFmtId="11" fontId="3" fillId="23" borderId="0" xfId="0" applyNumberFormat="1" applyFont="1" applyFill="1"/>
    <xf numFmtId="11" fontId="0" fillId="23" borderId="0" xfId="0" applyNumberFormat="1" applyFill="1"/>
    <xf numFmtId="0" fontId="4" fillId="0" borderId="0" xfId="0" applyFont="1" applyFill="1"/>
    <xf numFmtId="0" fontId="14" fillId="0" borderId="0" xfId="0" applyFont="1"/>
    <xf numFmtId="9" fontId="0" fillId="0" borderId="1" xfId="0" applyNumberFormat="1" applyBorder="1"/>
    <xf numFmtId="0" fontId="2" fillId="0" borderId="0" xfId="0" applyFont="1" applyFill="1"/>
    <xf numFmtId="0" fontId="0" fillId="0" borderId="1" xfId="0" applyFill="1" applyBorder="1"/>
    <xf numFmtId="0" fontId="1" fillId="24" borderId="0" xfId="0" applyFont="1" applyFill="1"/>
    <xf numFmtId="0" fontId="0" fillId="24" borderId="0" xfId="0" applyFill="1"/>
    <xf numFmtId="0" fontId="0" fillId="24" borderId="1" xfId="0" applyFill="1" applyBorder="1"/>
    <xf numFmtId="0" fontId="1" fillId="24" borderId="1" xfId="0" applyFont="1" applyFill="1" applyBorder="1" applyAlignment="1">
      <alignment wrapText="1"/>
    </xf>
    <xf numFmtId="0" fontId="0" fillId="24" borderId="0" xfId="0" applyFill="1" applyBorder="1"/>
    <xf numFmtId="0" fontId="1" fillId="24" borderId="0" xfId="0" applyFont="1" applyFill="1" applyBorder="1"/>
    <xf numFmtId="0" fontId="0" fillId="24" borderId="1" xfId="0" applyFill="1" applyBorder="1" applyAlignment="1">
      <alignment wrapText="1"/>
    </xf>
    <xf numFmtId="0" fontId="1" fillId="25" borderId="0" xfId="0" applyFont="1" applyFill="1"/>
    <xf numFmtId="0" fontId="0" fillId="25" borderId="0" xfId="0" applyFill="1"/>
    <xf numFmtId="0" fontId="0" fillId="25" borderId="1" xfId="0" applyFill="1" applyBorder="1"/>
    <xf numFmtId="0" fontId="0" fillId="25" borderId="1" xfId="0" applyFill="1" applyBorder="1" applyAlignment="1">
      <alignment wrapText="1"/>
    </xf>
    <xf numFmtId="0" fontId="1" fillId="25" borderId="1" xfId="0" applyFont="1" applyFill="1" applyBorder="1" applyAlignment="1">
      <alignment wrapText="1"/>
    </xf>
    <xf numFmtId="0" fontId="1" fillId="26" borderId="0" xfId="0" applyFont="1" applyFill="1"/>
    <xf numFmtId="0" fontId="0" fillId="26" borderId="0" xfId="0" applyFill="1"/>
    <xf numFmtId="0" fontId="0" fillId="26" borderId="1" xfId="0" applyFill="1" applyBorder="1"/>
    <xf numFmtId="0" fontId="1" fillId="26" borderId="1" xfId="0" applyFont="1" applyFill="1" applyBorder="1" applyAlignment="1">
      <alignment wrapText="1"/>
    </xf>
    <xf numFmtId="0" fontId="1" fillId="26" borderId="1" xfId="0" applyFont="1" applyFill="1" applyBorder="1"/>
    <xf numFmtId="0" fontId="0" fillId="26" borderId="0" xfId="0" applyFill="1" applyBorder="1"/>
    <xf numFmtId="0" fontId="1" fillId="26" borderId="0" xfId="0" applyFont="1" applyFill="1" applyBorder="1"/>
    <xf numFmtId="0" fontId="31" fillId="0" borderId="0" xfId="0" applyFont="1" applyAlignment="1">
      <alignment wrapText="1"/>
    </xf>
    <xf numFmtId="0" fontId="33" fillId="0" borderId="0" xfId="0" applyFont="1" applyFill="1" applyAlignment="1"/>
    <xf numFmtId="0" fontId="0" fillId="0" borderId="1" xfId="0" applyBorder="1" applyAlignment="1"/>
    <xf numFmtId="0" fontId="0" fillId="0" borderId="1" xfId="0" applyFont="1" applyBorder="1" applyAlignment="1"/>
    <xf numFmtId="0" fontId="0" fillId="0" borderId="1" xfId="0" applyFill="1" applyBorder="1" applyAlignment="1"/>
    <xf numFmtId="11" fontId="9" fillId="11" borderId="3" xfId="3" applyNumberFormat="1"/>
    <xf numFmtId="0" fontId="1" fillId="4" borderId="0" xfId="0" applyFont="1" applyFill="1"/>
    <xf numFmtId="0" fontId="1" fillId="7" borderId="0" xfId="0" applyFont="1" applyFill="1" applyAlignment="1"/>
    <xf numFmtId="0" fontId="1" fillId="0" borderId="1" xfId="0" applyFont="1" applyBorder="1" applyAlignment="1"/>
    <xf numFmtId="11" fontId="0" fillId="0" borderId="1" xfId="0" applyNumberFormat="1" applyFill="1" applyBorder="1" applyAlignment="1"/>
    <xf numFmtId="11" fontId="0" fillId="0" borderId="1" xfId="0" applyNumberFormat="1" applyBorder="1" applyAlignment="1"/>
    <xf numFmtId="11" fontId="1" fillId="0" borderId="1" xfId="0" applyNumberFormat="1" applyFont="1" applyBorder="1" applyAlignment="1"/>
    <xf numFmtId="0" fontId="1" fillId="0" borderId="1" xfId="0" applyFont="1" applyFill="1" applyBorder="1" applyAlignment="1"/>
    <xf numFmtId="11" fontId="0" fillId="0" borderId="1" xfId="0" applyNumberFormat="1" applyFont="1" applyBorder="1" applyAlignment="1"/>
    <xf numFmtId="11" fontId="1" fillId="13" borderId="0" xfId="0" applyNumberFormat="1" applyFont="1" applyFill="1"/>
    <xf numFmtId="11" fontId="7" fillId="10" borderId="3" xfId="1" applyNumberFormat="1"/>
    <xf numFmtId="0" fontId="9" fillId="11" borderId="3" xfId="3" applyNumberFormat="1"/>
    <xf numFmtId="0" fontId="34" fillId="5" borderId="0" xfId="5" applyFont="1" applyFill="1"/>
    <xf numFmtId="166" fontId="0" fillId="15" borderId="1" xfId="0" applyNumberFormat="1" applyFont="1" applyFill="1" applyBorder="1"/>
    <xf numFmtId="0" fontId="35" fillId="5" borderId="0" xfId="0" applyFont="1" applyFill="1"/>
    <xf numFmtId="0" fontId="1" fillId="6" borderId="1" xfId="0" applyFont="1" applyFill="1" applyBorder="1" applyAlignment="1">
      <alignment horizontal="center" vertical="top"/>
    </xf>
    <xf numFmtId="0" fontId="1" fillId="2" borderId="1" xfId="0" applyFont="1" applyFill="1" applyBorder="1" applyAlignment="1">
      <alignment horizontal="center" vertical="top"/>
    </xf>
    <xf numFmtId="0" fontId="0" fillId="0" borderId="0" xfId="0"/>
    <xf numFmtId="0" fontId="0" fillId="0" borderId="0" xfId="0"/>
    <xf numFmtId="11" fontId="1" fillId="0" borderId="9" xfId="0" applyNumberFormat="1" applyFont="1" applyBorder="1"/>
    <xf numFmtId="49" fontId="0" fillId="3" borderId="0" xfId="0" applyNumberFormat="1" applyFill="1"/>
    <xf numFmtId="166" fontId="1" fillId="15" borderId="0" xfId="0" applyNumberFormat="1" applyFont="1" applyFill="1" applyBorder="1" applyAlignment="1">
      <alignment wrapText="1"/>
    </xf>
    <xf numFmtId="166" fontId="0" fillId="0" borderId="0" xfId="0" applyNumberFormat="1"/>
    <xf numFmtId="0" fontId="34" fillId="15" borderId="0" xfId="5" applyFont="1" applyFill="1"/>
    <xf numFmtId="165" fontId="9" fillId="11" borderId="3" xfId="3" applyNumberFormat="1" applyAlignment="1">
      <alignment wrapText="1"/>
    </xf>
    <xf numFmtId="10" fontId="9" fillId="11" borderId="3" xfId="3" applyNumberFormat="1"/>
    <xf numFmtId="167" fontId="9" fillId="11" borderId="3" xfId="3" applyNumberFormat="1"/>
    <xf numFmtId="0" fontId="36" fillId="23" borderId="0" xfId="0" applyFont="1" applyFill="1"/>
    <xf numFmtId="0" fontId="10" fillId="23" borderId="0" xfId="0" applyFont="1" applyFill="1"/>
    <xf numFmtId="11" fontId="10" fillId="23" borderId="0" xfId="0" applyNumberFormat="1" applyFont="1" applyFill="1"/>
    <xf numFmtId="0" fontId="2" fillId="23" borderId="0" xfId="0" applyFont="1" applyFill="1"/>
    <xf numFmtId="0" fontId="0" fillId="27" borderId="0" xfId="0" applyFont="1" applyFill="1"/>
    <xf numFmtId="0" fontId="0" fillId="2" borderId="0" xfId="0" applyFont="1" applyFill="1"/>
    <xf numFmtId="0" fontId="0" fillId="28" borderId="0" xfId="0" applyFont="1" applyFill="1"/>
    <xf numFmtId="0" fontId="1" fillId="7" borderId="1" xfId="0" applyFont="1" applyFill="1" applyBorder="1" applyAlignment="1">
      <alignment horizontal="center" vertical="top"/>
    </xf>
    <xf numFmtId="0" fontId="18" fillId="13" borderId="0" xfId="0" applyFont="1" applyFill="1"/>
    <xf numFmtId="0" fontId="37" fillId="29" borderId="0" xfId="0" applyFont="1" applyFill="1"/>
    <xf numFmtId="0" fontId="38" fillId="29" borderId="0" xfId="0" applyFont="1" applyFill="1"/>
    <xf numFmtId="0" fontId="0" fillId="25" borderId="0" xfId="0" applyFill="1" applyAlignment="1">
      <alignment vertical="center"/>
    </xf>
    <xf numFmtId="0" fontId="0" fillId="26" borderId="1" xfId="0" applyFont="1" applyFill="1" applyBorder="1"/>
    <xf numFmtId="0" fontId="0" fillId="26" borderId="0" xfId="0" applyFill="1" applyBorder="1" applyAlignment="1">
      <alignment horizontal="center" vertical="center"/>
    </xf>
    <xf numFmtId="0" fontId="0" fillId="26" borderId="0" xfId="0" applyFont="1" applyFill="1" applyBorder="1"/>
    <xf numFmtId="165" fontId="7" fillId="10" borderId="3" xfId="1" applyNumberFormat="1" applyAlignment="1">
      <alignment wrapText="1"/>
    </xf>
    <xf numFmtId="1" fontId="9" fillId="11" borderId="3" xfId="3" applyNumberFormat="1" applyAlignment="1">
      <alignment wrapText="1"/>
    </xf>
    <xf numFmtId="0" fontId="1" fillId="7" borderId="1" xfId="0" applyFont="1" applyFill="1" applyBorder="1" applyAlignment="1">
      <alignment horizontal="center" vertical="top"/>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0" fillId="9" borderId="1" xfId="0" applyFont="1" applyFill="1" applyBorder="1" applyAlignment="1">
      <alignment horizontal="center" vertical="top"/>
    </xf>
    <xf numFmtId="11" fontId="0" fillId="30" borderId="0" xfId="0" applyNumberFormat="1" applyFill="1"/>
    <xf numFmtId="0" fontId="1" fillId="6" borderId="1" xfId="0" applyFont="1" applyFill="1" applyBorder="1" applyAlignment="1">
      <alignment horizontal="center" vertical="top"/>
    </xf>
    <xf numFmtId="0" fontId="1" fillId="2" borderId="1" xfId="0" applyFont="1" applyFill="1" applyBorder="1" applyAlignment="1">
      <alignment horizontal="center" vertical="top"/>
    </xf>
    <xf numFmtId="0" fontId="10" fillId="9" borderId="1" xfId="0" applyFont="1" applyFill="1" applyBorder="1" applyAlignment="1">
      <alignment horizontal="center" vertical="top"/>
    </xf>
    <xf numFmtId="0" fontId="1" fillId="7" borderId="1" xfId="0" applyFont="1" applyFill="1" applyBorder="1" applyAlignment="1">
      <alignment horizontal="center" vertical="top"/>
    </xf>
    <xf numFmtId="0" fontId="1" fillId="6" borderId="1" xfId="0" applyFont="1" applyFill="1" applyBorder="1" applyAlignment="1">
      <alignment horizontal="center" vertical="top"/>
    </xf>
    <xf numFmtId="0" fontId="1" fillId="2" borderId="1" xfId="0" applyFont="1" applyFill="1" applyBorder="1" applyAlignment="1">
      <alignment horizontal="center" vertical="top"/>
    </xf>
    <xf numFmtId="0" fontId="10" fillId="9" borderId="1" xfId="0" applyFont="1" applyFill="1" applyBorder="1" applyAlignment="1">
      <alignment horizontal="center" vertical="top"/>
    </xf>
    <xf numFmtId="11" fontId="19" fillId="30" borderId="0" xfId="0" applyNumberFormat="1" applyFont="1" applyFill="1"/>
    <xf numFmtId="11" fontId="39" fillId="6" borderId="0" xfId="0" applyNumberFormat="1" applyFont="1" applyFill="1"/>
    <xf numFmtId="0" fontId="0" fillId="30" borderId="0" xfId="0" applyFill="1"/>
    <xf numFmtId="0" fontId="1" fillId="30" borderId="0" xfId="0" applyFont="1" applyFill="1" applyBorder="1" applyAlignment="1">
      <alignment horizontal="left" vertical="top"/>
    </xf>
    <xf numFmtId="11" fontId="1" fillId="0" borderId="0" xfId="0" applyNumberFormat="1" applyFont="1" applyFill="1" applyBorder="1" applyAlignment="1">
      <alignment horizontal="left" vertical="top"/>
    </xf>
    <xf numFmtId="0" fontId="1" fillId="0" borderId="0" xfId="0" applyFont="1" applyFill="1" applyBorder="1"/>
    <xf numFmtId="0" fontId="1" fillId="0" borderId="1" xfId="0" applyFont="1" applyFill="1" applyBorder="1"/>
    <xf numFmtId="11" fontId="3" fillId="31" borderId="0" xfId="0" applyNumberFormat="1" applyFont="1" applyFill="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11" fontId="0" fillId="9" borderId="0" xfId="0" applyNumberFormat="1" applyFont="1" applyFill="1"/>
    <xf numFmtId="11" fontId="14" fillId="9" borderId="0" xfId="0" applyNumberFormat="1" applyFont="1" applyFill="1"/>
    <xf numFmtId="11" fontId="1" fillId="9" borderId="0" xfId="0" applyNumberFormat="1" applyFont="1" applyFill="1"/>
    <xf numFmtId="2" fontId="0" fillId="6" borderId="0" xfId="0" applyNumberFormat="1" applyFill="1"/>
    <xf numFmtId="2" fontId="0" fillId="0" borderId="1" xfId="0" applyNumberFormat="1" applyBorder="1"/>
    <xf numFmtId="166" fontId="0" fillId="0" borderId="1" xfId="0" applyNumberFormat="1" applyBorder="1"/>
    <xf numFmtId="0" fontId="1" fillId="30" borderId="0" xfId="0" applyFont="1" applyFill="1" applyBorder="1"/>
    <xf numFmtId="0" fontId="0" fillId="0" borderId="2" xfId="0" applyFill="1" applyBorder="1"/>
    <xf numFmtId="0" fontId="0" fillId="0" borderId="0" xfId="0"/>
    <xf numFmtId="0" fontId="0" fillId="0" borderId="0" xfId="0"/>
    <xf numFmtId="11" fontId="0" fillId="0" borderId="0" xfId="0" applyNumberFormat="1" applyFont="1"/>
    <xf numFmtId="0" fontId="30" fillId="0" borderId="0" xfId="0" applyFont="1" applyAlignment="1">
      <alignment horizontal="left" vertical="center"/>
    </xf>
    <xf numFmtId="0" fontId="14" fillId="15" borderId="0" xfId="0" applyFont="1" applyFill="1" applyBorder="1"/>
    <xf numFmtId="0" fontId="43" fillId="0" borderId="0" xfId="0" applyFont="1" applyAlignment="1">
      <alignment horizontal="left" vertical="center"/>
    </xf>
    <xf numFmtId="0" fontId="44" fillId="4" borderId="0" xfId="0" applyFont="1" applyFill="1"/>
    <xf numFmtId="9" fontId="0" fillId="0" borderId="1" xfId="0" applyNumberFormat="1" applyFill="1" applyBorder="1"/>
    <xf numFmtId="11" fontId="0" fillId="0" borderId="1" xfId="0" applyNumberFormat="1" applyFill="1" applyBorder="1"/>
    <xf numFmtId="0" fontId="14" fillId="0" borderId="0" xfId="0" applyFont="1" applyBorder="1"/>
    <xf numFmtId="0" fontId="0" fillId="0" borderId="0" xfId="0" applyBorder="1"/>
    <xf numFmtId="11" fontId="0" fillId="0" borderId="1" xfId="0" applyNumberFormat="1" applyFont="1" applyBorder="1"/>
    <xf numFmtId="11" fontId="0" fillId="0" borderId="1" xfId="0" applyNumberFormat="1" applyFont="1" applyFill="1" applyBorder="1"/>
    <xf numFmtId="2" fontId="0" fillId="0" borderId="1" xfId="0" applyNumberFormat="1" applyFont="1" applyBorder="1"/>
    <xf numFmtId="0" fontId="0" fillId="0" borderId="1" xfId="0" applyFont="1" applyBorder="1"/>
    <xf numFmtId="2" fontId="0" fillId="0" borderId="1" xfId="0" applyNumberFormat="1" applyFill="1" applyBorder="1"/>
    <xf numFmtId="11" fontId="1" fillId="0" borderId="1" xfId="0" applyNumberFormat="1" applyFont="1" applyBorder="1"/>
    <xf numFmtId="11" fontId="4" fillId="0" borderId="0" xfId="0" applyNumberFormat="1" applyFont="1"/>
    <xf numFmtId="9" fontId="0" fillId="0" borderId="0" xfId="7" applyFont="1"/>
    <xf numFmtId="168" fontId="0" fillId="0" borderId="0" xfId="7" applyNumberFormat="1" applyFont="1"/>
    <xf numFmtId="169" fontId="0" fillId="0" borderId="0" xfId="7" applyNumberFormat="1" applyFont="1"/>
    <xf numFmtId="0" fontId="50" fillId="0" borderId="0" xfId="0" applyFont="1" applyAlignment="1">
      <alignment horizontal="left" vertical="center"/>
    </xf>
    <xf numFmtId="0" fontId="2" fillId="9" borderId="0" xfId="0" applyFont="1" applyFill="1"/>
    <xf numFmtId="0" fontId="0" fillId="32" borderId="0" xfId="0" applyFont="1" applyFill="1"/>
    <xf numFmtId="0" fontId="1" fillId="0" borderId="9" xfId="0" applyFont="1" applyFill="1" applyBorder="1" applyAlignment="1">
      <alignment horizontal="center"/>
    </xf>
    <xf numFmtId="0" fontId="1" fillId="0" borderId="10" xfId="0" applyFont="1" applyFill="1" applyBorder="1" applyAlignment="1">
      <alignment horizontal="center"/>
    </xf>
    <xf numFmtId="0" fontId="1" fillId="0" borderId="11" xfId="0" applyFont="1" applyFill="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1" fillId="2" borderId="7"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8" xfId="0" applyFont="1" applyFill="1" applyBorder="1" applyAlignment="1">
      <alignment horizontal="center" vertical="center"/>
    </xf>
    <xf numFmtId="0" fontId="1" fillId="21" borderId="7" xfId="0" applyFont="1" applyFill="1" applyBorder="1" applyAlignment="1">
      <alignment horizontal="center" vertical="center"/>
    </xf>
    <xf numFmtId="0" fontId="1" fillId="21" borderId="2" xfId="0" applyFont="1" applyFill="1" applyBorder="1" applyAlignment="1">
      <alignment horizontal="center" vertical="center"/>
    </xf>
    <xf numFmtId="0" fontId="1" fillId="21" borderId="8" xfId="0" applyFont="1" applyFill="1" applyBorder="1" applyAlignment="1">
      <alignment horizontal="center" vertical="center"/>
    </xf>
    <xf numFmtId="0" fontId="1" fillId="6" borderId="7" xfId="0" applyFont="1" applyFill="1" applyBorder="1" applyAlignment="1">
      <alignment horizontal="center" vertical="center"/>
    </xf>
    <xf numFmtId="0" fontId="1" fillId="6" borderId="2" xfId="0" applyFont="1" applyFill="1" applyBorder="1" applyAlignment="1">
      <alignment horizontal="center" vertical="center"/>
    </xf>
    <xf numFmtId="0" fontId="1" fillId="6" borderId="8" xfId="0" applyFont="1" applyFill="1" applyBorder="1" applyAlignment="1">
      <alignment horizontal="center" vertical="center"/>
    </xf>
    <xf numFmtId="0" fontId="0" fillId="2" borderId="0" xfId="0" applyFill="1" applyAlignment="1">
      <alignment horizontal="center"/>
    </xf>
    <xf numFmtId="0" fontId="0" fillId="7" borderId="0" xfId="0" applyFill="1" applyAlignment="1">
      <alignment horizontal="center"/>
    </xf>
    <xf numFmtId="0" fontId="0" fillId="25" borderId="6" xfId="0" applyFill="1" applyBorder="1" applyAlignment="1">
      <alignment horizontal="center" vertical="center"/>
    </xf>
    <xf numFmtId="0" fontId="0" fillId="26" borderId="6" xfId="0" applyFill="1" applyBorder="1" applyAlignment="1">
      <alignment horizontal="center" vertical="center"/>
    </xf>
    <xf numFmtId="0" fontId="0" fillId="24" borderId="6" xfId="0" applyFill="1" applyBorder="1" applyAlignment="1">
      <alignment horizontal="center" vertical="center"/>
    </xf>
    <xf numFmtId="0" fontId="0" fillId="24" borderId="0" xfId="0" applyFill="1" applyAlignment="1">
      <alignment horizontal="center" vertical="center"/>
    </xf>
    <xf numFmtId="0" fontId="0" fillId="25" borderId="0" xfId="0" applyFill="1" applyAlignment="1">
      <alignment horizontal="center" vertical="center"/>
    </xf>
    <xf numFmtId="0" fontId="0" fillId="0" borderId="1" xfId="0" applyBorder="1" applyAlignment="1">
      <alignment horizontal="center" vertical="center"/>
    </xf>
    <xf numFmtId="0" fontId="0" fillId="0" borderId="1" xfId="0" applyFill="1" applyBorder="1" applyAlignment="1">
      <alignment horizontal="center" vertical="center"/>
    </xf>
    <xf numFmtId="11" fontId="3" fillId="8" borderId="0" xfId="0" applyNumberFormat="1" applyFont="1" applyFill="1" applyAlignment="1">
      <alignment horizontal="center"/>
    </xf>
    <xf numFmtId="0" fontId="0" fillId="6" borderId="0" xfId="0" applyFill="1" applyAlignment="1">
      <alignment horizontal="center"/>
    </xf>
    <xf numFmtId="11" fontId="0" fillId="6" borderId="0" xfId="0" applyNumberFormat="1" applyFill="1" applyAlignment="1">
      <alignment horizontal="center"/>
    </xf>
    <xf numFmtId="0" fontId="1" fillId="6" borderId="1" xfId="0" applyFont="1" applyFill="1" applyBorder="1" applyAlignment="1">
      <alignment horizontal="center" vertical="top"/>
    </xf>
    <xf numFmtId="0" fontId="1" fillId="2" borderId="1" xfId="0" applyFont="1" applyFill="1" applyBorder="1" applyAlignment="1">
      <alignment horizontal="center" vertical="top"/>
    </xf>
    <xf numFmtId="0" fontId="1" fillId="7" borderId="9" xfId="0" applyFont="1" applyFill="1" applyBorder="1" applyAlignment="1">
      <alignment horizontal="center" vertical="top"/>
    </xf>
    <xf numFmtId="0" fontId="1" fillId="7" borderId="10" xfId="0" applyFont="1" applyFill="1" applyBorder="1" applyAlignment="1">
      <alignment horizontal="center" vertical="top"/>
    </xf>
    <xf numFmtId="0" fontId="1" fillId="7" borderId="11" xfId="0" applyFont="1" applyFill="1" applyBorder="1" applyAlignment="1">
      <alignment horizontal="center" vertical="top"/>
    </xf>
    <xf numFmtId="0" fontId="10" fillId="9" borderId="1" xfId="0" applyFont="1" applyFill="1" applyBorder="1" applyAlignment="1">
      <alignment horizontal="center" vertical="top"/>
    </xf>
    <xf numFmtId="0" fontId="1" fillId="6" borderId="9" xfId="0" applyFont="1" applyFill="1" applyBorder="1" applyAlignment="1">
      <alignment horizontal="center" vertical="top"/>
    </xf>
    <xf numFmtId="0" fontId="1" fillId="6" borderId="10" xfId="0" applyFont="1" applyFill="1" applyBorder="1" applyAlignment="1">
      <alignment horizontal="center" vertical="top"/>
    </xf>
    <xf numFmtId="0" fontId="1" fillId="6" borderId="11" xfId="0" applyFont="1" applyFill="1" applyBorder="1" applyAlignment="1">
      <alignment horizontal="center" vertical="top"/>
    </xf>
    <xf numFmtId="0" fontId="1" fillId="2" borderId="9" xfId="0" applyFont="1" applyFill="1" applyBorder="1" applyAlignment="1">
      <alignment horizontal="center" vertical="top"/>
    </xf>
    <xf numFmtId="0" fontId="1" fillId="2" borderId="10" xfId="0" applyFont="1" applyFill="1" applyBorder="1" applyAlignment="1">
      <alignment horizontal="center" vertical="top"/>
    </xf>
    <xf numFmtId="0" fontId="1" fillId="2" borderId="11" xfId="0" applyFont="1" applyFill="1" applyBorder="1" applyAlignment="1">
      <alignment horizontal="center" vertical="top"/>
    </xf>
    <xf numFmtId="0" fontId="10" fillId="9" borderId="9" xfId="0" applyFont="1" applyFill="1" applyBorder="1" applyAlignment="1">
      <alignment horizontal="center" vertical="top"/>
    </xf>
    <xf numFmtId="0" fontId="10" fillId="9" borderId="10" xfId="0" applyFont="1" applyFill="1" applyBorder="1" applyAlignment="1">
      <alignment horizontal="center" vertical="top"/>
    </xf>
    <xf numFmtId="0" fontId="10" fillId="9" borderId="11" xfId="0" applyFont="1" applyFill="1" applyBorder="1" applyAlignment="1">
      <alignment horizontal="center" vertical="top"/>
    </xf>
    <xf numFmtId="0" fontId="0" fillId="0" borderId="0" xfId="0"/>
  </cellXfs>
  <cellStyles count="8">
    <cellStyle name="Calculation" xfId="3" builtinId="22"/>
    <cellStyle name="Explanatory Text" xfId="5" builtinId="53"/>
    <cellStyle name="Hyperlink" xfId="6" builtinId="8"/>
    <cellStyle name="Input" xfId="1" builtinId="20"/>
    <cellStyle name="Normal" xfId="0" builtinId="0"/>
    <cellStyle name="Note" xfId="4" builtinId="10"/>
    <cellStyle name="Output" xfId="2" builtinId="21"/>
    <cellStyle name="Percent" xfId="7" builtinId="5"/>
  </cellStyles>
  <dxfs count="0"/>
  <tableStyles count="0" defaultTableStyle="TableStyleMedium2" defaultPivotStyle="PivotStyleLight16"/>
  <colors>
    <mruColors>
      <color rgb="FFFF8F8F"/>
      <color rgb="FFFF9900"/>
      <color rgb="FF996633"/>
      <color rgb="FFA4D3EA"/>
      <color rgb="FFFF4F4F"/>
      <color rgb="FF663300"/>
      <color rgb="FF009999"/>
      <color rgb="FFF08106"/>
      <color rgb="FF008080"/>
      <color rgb="FF00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00.xml.rels><?xml version="1.0" encoding="UTF-8" standalone="yes"?>
<Relationships xmlns="http://schemas.openxmlformats.org/package/2006/relationships"><Relationship Id="rId2" Type="http://schemas.microsoft.com/office/2011/relationships/chartColorStyle" Target="colors100.xml"/><Relationship Id="rId1" Type="http://schemas.microsoft.com/office/2011/relationships/chartStyle" Target="style100.xml"/></Relationships>
</file>

<file path=xl/charts/_rels/chart101.xml.rels><?xml version="1.0" encoding="UTF-8" standalone="yes"?>
<Relationships xmlns="http://schemas.openxmlformats.org/package/2006/relationships"><Relationship Id="rId2" Type="http://schemas.microsoft.com/office/2011/relationships/chartColorStyle" Target="colors101.xml"/><Relationship Id="rId1" Type="http://schemas.microsoft.com/office/2011/relationships/chartStyle" Target="style101.xml"/></Relationships>
</file>

<file path=xl/charts/_rels/chart102.xml.rels><?xml version="1.0" encoding="UTF-8" standalone="yes"?>
<Relationships xmlns="http://schemas.openxmlformats.org/package/2006/relationships"><Relationship Id="rId2" Type="http://schemas.microsoft.com/office/2011/relationships/chartColorStyle" Target="colors102.xml"/><Relationship Id="rId1" Type="http://schemas.microsoft.com/office/2011/relationships/chartStyle" Target="style102.xml"/></Relationships>
</file>

<file path=xl/charts/_rels/chart103.xml.rels><?xml version="1.0" encoding="UTF-8" standalone="yes"?>
<Relationships xmlns="http://schemas.openxmlformats.org/package/2006/relationships"><Relationship Id="rId2" Type="http://schemas.microsoft.com/office/2011/relationships/chartColorStyle" Target="colors103.xml"/><Relationship Id="rId1" Type="http://schemas.microsoft.com/office/2011/relationships/chartStyle" Target="style103.xml"/></Relationships>
</file>

<file path=xl/charts/_rels/chart104.xml.rels><?xml version="1.0" encoding="UTF-8" standalone="yes"?>
<Relationships xmlns="http://schemas.openxmlformats.org/package/2006/relationships"><Relationship Id="rId2" Type="http://schemas.microsoft.com/office/2011/relationships/chartColorStyle" Target="colors104.xml"/><Relationship Id="rId1" Type="http://schemas.microsoft.com/office/2011/relationships/chartStyle" Target="style104.xml"/></Relationships>
</file>

<file path=xl/charts/_rels/chart105.xml.rels><?xml version="1.0" encoding="UTF-8" standalone="yes"?>
<Relationships xmlns="http://schemas.openxmlformats.org/package/2006/relationships"><Relationship Id="rId2" Type="http://schemas.microsoft.com/office/2011/relationships/chartColorStyle" Target="colors105.xml"/><Relationship Id="rId1" Type="http://schemas.microsoft.com/office/2011/relationships/chartStyle" Target="style105.xml"/></Relationships>
</file>

<file path=xl/charts/_rels/chart106.xml.rels><?xml version="1.0" encoding="UTF-8" standalone="yes"?>
<Relationships xmlns="http://schemas.openxmlformats.org/package/2006/relationships"><Relationship Id="rId2" Type="http://schemas.microsoft.com/office/2011/relationships/chartColorStyle" Target="colors106.xml"/><Relationship Id="rId1" Type="http://schemas.microsoft.com/office/2011/relationships/chartStyle" Target="style106.xml"/></Relationships>
</file>

<file path=xl/charts/_rels/chart107.xml.rels><?xml version="1.0" encoding="UTF-8" standalone="yes"?>
<Relationships xmlns="http://schemas.openxmlformats.org/package/2006/relationships"><Relationship Id="rId2" Type="http://schemas.microsoft.com/office/2011/relationships/chartColorStyle" Target="colors107.xml"/><Relationship Id="rId1" Type="http://schemas.microsoft.com/office/2011/relationships/chartStyle" Target="style107.xml"/></Relationships>
</file>

<file path=xl/charts/_rels/chart108.xml.rels><?xml version="1.0" encoding="UTF-8" standalone="yes"?>
<Relationships xmlns="http://schemas.openxmlformats.org/package/2006/relationships"><Relationship Id="rId2" Type="http://schemas.microsoft.com/office/2011/relationships/chartColorStyle" Target="colors108.xml"/><Relationship Id="rId1" Type="http://schemas.microsoft.com/office/2011/relationships/chartStyle" Target="style108.xml"/></Relationships>
</file>

<file path=xl/charts/_rels/chart109.xml.rels><?xml version="1.0" encoding="UTF-8" standalone="yes"?>
<Relationships xmlns="http://schemas.openxmlformats.org/package/2006/relationships"><Relationship Id="rId2" Type="http://schemas.microsoft.com/office/2011/relationships/chartColorStyle" Target="colors109.xml"/><Relationship Id="rId1" Type="http://schemas.microsoft.com/office/2011/relationships/chartStyle" Target="style109.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10.xml.rels><?xml version="1.0" encoding="UTF-8" standalone="yes"?>
<Relationships xmlns="http://schemas.openxmlformats.org/package/2006/relationships"><Relationship Id="rId2" Type="http://schemas.microsoft.com/office/2011/relationships/chartColorStyle" Target="colors110.xml"/><Relationship Id="rId1" Type="http://schemas.microsoft.com/office/2011/relationships/chartStyle" Target="style110.xml"/></Relationships>
</file>

<file path=xl/charts/_rels/chart111.xml.rels><?xml version="1.0" encoding="UTF-8" standalone="yes"?>
<Relationships xmlns="http://schemas.openxmlformats.org/package/2006/relationships"><Relationship Id="rId2" Type="http://schemas.microsoft.com/office/2011/relationships/chartColorStyle" Target="colors111.xml"/><Relationship Id="rId1" Type="http://schemas.microsoft.com/office/2011/relationships/chartStyle" Target="style111.xml"/></Relationships>
</file>

<file path=xl/charts/_rels/chart112.xml.rels><?xml version="1.0" encoding="UTF-8" standalone="yes"?>
<Relationships xmlns="http://schemas.openxmlformats.org/package/2006/relationships"><Relationship Id="rId2" Type="http://schemas.microsoft.com/office/2011/relationships/chartColorStyle" Target="colors112.xml"/><Relationship Id="rId1" Type="http://schemas.microsoft.com/office/2011/relationships/chartStyle" Target="style112.xml"/></Relationships>
</file>

<file path=xl/charts/_rels/chart113.xml.rels><?xml version="1.0" encoding="UTF-8" standalone="yes"?>
<Relationships xmlns="http://schemas.openxmlformats.org/package/2006/relationships"><Relationship Id="rId2" Type="http://schemas.microsoft.com/office/2011/relationships/chartColorStyle" Target="colors113.xml"/><Relationship Id="rId1" Type="http://schemas.microsoft.com/office/2011/relationships/chartStyle" Target="style113.xml"/></Relationships>
</file>

<file path=xl/charts/_rels/chart114.xml.rels><?xml version="1.0" encoding="UTF-8" standalone="yes"?>
<Relationships xmlns="http://schemas.openxmlformats.org/package/2006/relationships"><Relationship Id="rId2" Type="http://schemas.microsoft.com/office/2011/relationships/chartColorStyle" Target="colors114.xml"/><Relationship Id="rId1" Type="http://schemas.microsoft.com/office/2011/relationships/chartStyle" Target="style114.xml"/></Relationships>
</file>

<file path=xl/charts/_rels/chart115.xml.rels><?xml version="1.0" encoding="UTF-8" standalone="yes"?>
<Relationships xmlns="http://schemas.openxmlformats.org/package/2006/relationships"><Relationship Id="rId2" Type="http://schemas.microsoft.com/office/2011/relationships/chartColorStyle" Target="colors115.xml"/><Relationship Id="rId1" Type="http://schemas.microsoft.com/office/2011/relationships/chartStyle" Target="style115.xml"/></Relationships>
</file>

<file path=xl/charts/_rels/chart116.xml.rels><?xml version="1.0" encoding="UTF-8" standalone="yes"?>
<Relationships xmlns="http://schemas.openxmlformats.org/package/2006/relationships"><Relationship Id="rId2" Type="http://schemas.microsoft.com/office/2011/relationships/chartColorStyle" Target="colors116.xml"/><Relationship Id="rId1" Type="http://schemas.microsoft.com/office/2011/relationships/chartStyle" Target="style116.xml"/></Relationships>
</file>

<file path=xl/charts/_rels/chart117.xml.rels><?xml version="1.0" encoding="UTF-8" standalone="yes"?>
<Relationships xmlns="http://schemas.openxmlformats.org/package/2006/relationships"><Relationship Id="rId2" Type="http://schemas.microsoft.com/office/2011/relationships/chartColorStyle" Target="colors117.xml"/><Relationship Id="rId1" Type="http://schemas.microsoft.com/office/2011/relationships/chartStyle" Target="style117.xml"/></Relationships>
</file>

<file path=xl/charts/_rels/chart118.xml.rels><?xml version="1.0" encoding="UTF-8" standalone="yes"?>
<Relationships xmlns="http://schemas.openxmlformats.org/package/2006/relationships"><Relationship Id="rId2" Type="http://schemas.microsoft.com/office/2011/relationships/chartColorStyle" Target="colors118.xml"/><Relationship Id="rId1" Type="http://schemas.microsoft.com/office/2011/relationships/chartStyle" Target="style118.xml"/></Relationships>
</file>

<file path=xl/charts/_rels/chart119.xml.rels><?xml version="1.0" encoding="UTF-8" standalone="yes"?>
<Relationships xmlns="http://schemas.openxmlformats.org/package/2006/relationships"><Relationship Id="rId2" Type="http://schemas.microsoft.com/office/2011/relationships/chartColorStyle" Target="colors119.xml"/><Relationship Id="rId1" Type="http://schemas.microsoft.com/office/2011/relationships/chartStyle" Target="style119.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20.xml.rels><?xml version="1.0" encoding="UTF-8" standalone="yes"?>
<Relationships xmlns="http://schemas.openxmlformats.org/package/2006/relationships"><Relationship Id="rId2" Type="http://schemas.microsoft.com/office/2011/relationships/chartColorStyle" Target="colors120.xml"/><Relationship Id="rId1" Type="http://schemas.microsoft.com/office/2011/relationships/chartStyle" Target="style120.xml"/></Relationships>
</file>

<file path=xl/charts/_rels/chart121.xml.rels><?xml version="1.0" encoding="UTF-8" standalone="yes"?>
<Relationships xmlns="http://schemas.openxmlformats.org/package/2006/relationships"><Relationship Id="rId2" Type="http://schemas.microsoft.com/office/2011/relationships/chartColorStyle" Target="colors121.xml"/><Relationship Id="rId1" Type="http://schemas.microsoft.com/office/2011/relationships/chartStyle" Target="style121.xml"/></Relationships>
</file>

<file path=xl/charts/_rels/chart122.xml.rels><?xml version="1.0" encoding="UTF-8" standalone="yes"?>
<Relationships xmlns="http://schemas.openxmlformats.org/package/2006/relationships"><Relationship Id="rId2" Type="http://schemas.microsoft.com/office/2011/relationships/chartColorStyle" Target="colors122.xml"/><Relationship Id="rId1" Type="http://schemas.microsoft.com/office/2011/relationships/chartStyle" Target="style122.xml"/></Relationships>
</file>

<file path=xl/charts/_rels/chart123.xml.rels><?xml version="1.0" encoding="UTF-8" standalone="yes"?>
<Relationships xmlns="http://schemas.openxmlformats.org/package/2006/relationships"><Relationship Id="rId2" Type="http://schemas.microsoft.com/office/2011/relationships/chartColorStyle" Target="colors123.xml"/><Relationship Id="rId1" Type="http://schemas.microsoft.com/office/2011/relationships/chartStyle" Target="style123.xml"/></Relationships>
</file>

<file path=xl/charts/_rels/chart124.xml.rels><?xml version="1.0" encoding="UTF-8" standalone="yes"?>
<Relationships xmlns="http://schemas.openxmlformats.org/package/2006/relationships"><Relationship Id="rId2" Type="http://schemas.microsoft.com/office/2011/relationships/chartColorStyle" Target="colors124.xml"/><Relationship Id="rId1" Type="http://schemas.microsoft.com/office/2011/relationships/chartStyle" Target="style124.xml"/></Relationships>
</file>

<file path=xl/charts/_rels/chart125.xml.rels><?xml version="1.0" encoding="UTF-8" standalone="yes"?>
<Relationships xmlns="http://schemas.openxmlformats.org/package/2006/relationships"><Relationship Id="rId2" Type="http://schemas.microsoft.com/office/2011/relationships/chartColorStyle" Target="colors125.xml"/><Relationship Id="rId1" Type="http://schemas.microsoft.com/office/2011/relationships/chartStyle" Target="style125.xml"/></Relationships>
</file>

<file path=xl/charts/_rels/chart126.xml.rels><?xml version="1.0" encoding="UTF-8" standalone="yes"?>
<Relationships xmlns="http://schemas.openxmlformats.org/package/2006/relationships"><Relationship Id="rId2" Type="http://schemas.microsoft.com/office/2011/relationships/chartColorStyle" Target="colors126.xml"/><Relationship Id="rId1" Type="http://schemas.microsoft.com/office/2011/relationships/chartStyle" Target="style126.xml"/></Relationships>
</file>

<file path=xl/charts/_rels/chart127.xml.rels><?xml version="1.0" encoding="UTF-8" standalone="yes"?>
<Relationships xmlns="http://schemas.openxmlformats.org/package/2006/relationships"><Relationship Id="rId2" Type="http://schemas.microsoft.com/office/2011/relationships/chartColorStyle" Target="colors127.xml"/><Relationship Id="rId1" Type="http://schemas.microsoft.com/office/2011/relationships/chartStyle" Target="style127.xml"/></Relationships>
</file>

<file path=xl/charts/_rels/chart128.xml.rels><?xml version="1.0" encoding="UTF-8" standalone="yes"?>
<Relationships xmlns="http://schemas.openxmlformats.org/package/2006/relationships"><Relationship Id="rId2" Type="http://schemas.microsoft.com/office/2011/relationships/chartColorStyle" Target="colors128.xml"/><Relationship Id="rId1" Type="http://schemas.microsoft.com/office/2011/relationships/chartStyle" Target="style128.xml"/></Relationships>
</file>

<file path=xl/charts/_rels/chart129.xml.rels><?xml version="1.0" encoding="UTF-8" standalone="yes"?>
<Relationships xmlns="http://schemas.openxmlformats.org/package/2006/relationships"><Relationship Id="rId2" Type="http://schemas.microsoft.com/office/2011/relationships/chartColorStyle" Target="colors129.xml"/><Relationship Id="rId1" Type="http://schemas.microsoft.com/office/2011/relationships/chartStyle" Target="style129.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30.xml.rels><?xml version="1.0" encoding="UTF-8" standalone="yes"?>
<Relationships xmlns="http://schemas.openxmlformats.org/package/2006/relationships"><Relationship Id="rId2" Type="http://schemas.microsoft.com/office/2011/relationships/chartColorStyle" Target="colors130.xml"/><Relationship Id="rId1" Type="http://schemas.microsoft.com/office/2011/relationships/chartStyle" Target="style130.xml"/></Relationships>
</file>

<file path=xl/charts/_rels/chart131.xml.rels><?xml version="1.0" encoding="UTF-8" standalone="yes"?>
<Relationships xmlns="http://schemas.openxmlformats.org/package/2006/relationships"><Relationship Id="rId2" Type="http://schemas.microsoft.com/office/2011/relationships/chartColorStyle" Target="colors131.xml"/><Relationship Id="rId1" Type="http://schemas.microsoft.com/office/2011/relationships/chartStyle" Target="style131.xml"/></Relationships>
</file>

<file path=xl/charts/_rels/chart132.xml.rels><?xml version="1.0" encoding="UTF-8" standalone="yes"?>
<Relationships xmlns="http://schemas.openxmlformats.org/package/2006/relationships"><Relationship Id="rId2" Type="http://schemas.microsoft.com/office/2011/relationships/chartColorStyle" Target="colors132.xml"/><Relationship Id="rId1" Type="http://schemas.microsoft.com/office/2011/relationships/chartStyle" Target="style132.xml"/></Relationships>
</file>

<file path=xl/charts/_rels/chart133.xml.rels><?xml version="1.0" encoding="UTF-8" standalone="yes"?>
<Relationships xmlns="http://schemas.openxmlformats.org/package/2006/relationships"><Relationship Id="rId2" Type="http://schemas.microsoft.com/office/2011/relationships/chartColorStyle" Target="colors133.xml"/><Relationship Id="rId1" Type="http://schemas.microsoft.com/office/2011/relationships/chartStyle" Target="style133.xml"/></Relationships>
</file>

<file path=xl/charts/_rels/chart134.xml.rels><?xml version="1.0" encoding="UTF-8" standalone="yes"?>
<Relationships xmlns="http://schemas.openxmlformats.org/package/2006/relationships"><Relationship Id="rId2" Type="http://schemas.microsoft.com/office/2011/relationships/chartColorStyle" Target="colors134.xml"/><Relationship Id="rId1" Type="http://schemas.microsoft.com/office/2011/relationships/chartStyle" Target="style134.xml"/></Relationships>
</file>

<file path=xl/charts/_rels/chart135.xml.rels><?xml version="1.0" encoding="UTF-8" standalone="yes"?>
<Relationships xmlns="http://schemas.openxmlformats.org/package/2006/relationships"><Relationship Id="rId2" Type="http://schemas.microsoft.com/office/2011/relationships/chartColorStyle" Target="colors135.xml"/><Relationship Id="rId1" Type="http://schemas.microsoft.com/office/2011/relationships/chartStyle" Target="style135.xml"/></Relationships>
</file>

<file path=xl/charts/_rels/chart136.xml.rels><?xml version="1.0" encoding="UTF-8" standalone="yes"?>
<Relationships xmlns="http://schemas.openxmlformats.org/package/2006/relationships"><Relationship Id="rId2" Type="http://schemas.microsoft.com/office/2011/relationships/chartColorStyle" Target="colors136.xml"/><Relationship Id="rId1" Type="http://schemas.microsoft.com/office/2011/relationships/chartStyle" Target="style136.xml"/></Relationships>
</file>

<file path=xl/charts/_rels/chart137.xml.rels><?xml version="1.0" encoding="UTF-8" standalone="yes"?>
<Relationships xmlns="http://schemas.openxmlformats.org/package/2006/relationships"><Relationship Id="rId2" Type="http://schemas.microsoft.com/office/2011/relationships/chartColorStyle" Target="colors137.xml"/><Relationship Id="rId1" Type="http://schemas.microsoft.com/office/2011/relationships/chartStyle" Target="style137.xml"/></Relationships>
</file>

<file path=xl/charts/_rels/chart138.xml.rels><?xml version="1.0" encoding="UTF-8" standalone="yes"?>
<Relationships xmlns="http://schemas.openxmlformats.org/package/2006/relationships"><Relationship Id="rId2" Type="http://schemas.microsoft.com/office/2011/relationships/chartColorStyle" Target="colors138.xml"/><Relationship Id="rId1" Type="http://schemas.microsoft.com/office/2011/relationships/chartStyle" Target="style138.xml"/></Relationships>
</file>

<file path=xl/charts/_rels/chart139.xml.rels><?xml version="1.0" encoding="UTF-8" standalone="yes"?>
<Relationships xmlns="http://schemas.openxmlformats.org/package/2006/relationships"><Relationship Id="rId2" Type="http://schemas.microsoft.com/office/2011/relationships/chartColorStyle" Target="colors139.xml"/><Relationship Id="rId1" Type="http://schemas.microsoft.com/office/2011/relationships/chartStyle" Target="style139.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40.xml.rels><?xml version="1.0" encoding="UTF-8" standalone="yes"?>
<Relationships xmlns="http://schemas.openxmlformats.org/package/2006/relationships"><Relationship Id="rId2" Type="http://schemas.microsoft.com/office/2011/relationships/chartColorStyle" Target="colors140.xml"/><Relationship Id="rId1" Type="http://schemas.microsoft.com/office/2011/relationships/chartStyle" Target="style140.xml"/></Relationships>
</file>

<file path=xl/charts/_rels/chart141.xml.rels><?xml version="1.0" encoding="UTF-8" standalone="yes"?>
<Relationships xmlns="http://schemas.openxmlformats.org/package/2006/relationships"><Relationship Id="rId2" Type="http://schemas.microsoft.com/office/2011/relationships/chartColorStyle" Target="colors141.xml"/><Relationship Id="rId1" Type="http://schemas.microsoft.com/office/2011/relationships/chartStyle" Target="style141.xml"/></Relationships>
</file>

<file path=xl/charts/_rels/chart142.xml.rels><?xml version="1.0" encoding="UTF-8" standalone="yes"?>
<Relationships xmlns="http://schemas.openxmlformats.org/package/2006/relationships"><Relationship Id="rId2" Type="http://schemas.microsoft.com/office/2011/relationships/chartColorStyle" Target="colors142.xml"/><Relationship Id="rId1" Type="http://schemas.microsoft.com/office/2011/relationships/chartStyle" Target="style142.xml"/></Relationships>
</file>

<file path=xl/charts/_rels/chart143.xml.rels><?xml version="1.0" encoding="UTF-8" standalone="yes"?>
<Relationships xmlns="http://schemas.openxmlformats.org/package/2006/relationships"><Relationship Id="rId2" Type="http://schemas.microsoft.com/office/2011/relationships/chartColorStyle" Target="colors143.xml"/><Relationship Id="rId1" Type="http://schemas.microsoft.com/office/2011/relationships/chartStyle" Target="style143.xml"/></Relationships>
</file>

<file path=xl/charts/_rels/chart144.xml.rels><?xml version="1.0" encoding="UTF-8" standalone="yes"?>
<Relationships xmlns="http://schemas.openxmlformats.org/package/2006/relationships"><Relationship Id="rId2" Type="http://schemas.microsoft.com/office/2011/relationships/chartColorStyle" Target="colors144.xml"/><Relationship Id="rId1" Type="http://schemas.microsoft.com/office/2011/relationships/chartStyle" Target="style144.xml"/></Relationships>
</file>

<file path=xl/charts/_rels/chart145.xml.rels><?xml version="1.0" encoding="UTF-8" standalone="yes"?>
<Relationships xmlns="http://schemas.openxmlformats.org/package/2006/relationships"><Relationship Id="rId2" Type="http://schemas.microsoft.com/office/2011/relationships/chartColorStyle" Target="colors145.xml"/><Relationship Id="rId1" Type="http://schemas.microsoft.com/office/2011/relationships/chartStyle" Target="style145.xml"/></Relationships>
</file>

<file path=xl/charts/_rels/chart146.xml.rels><?xml version="1.0" encoding="UTF-8" standalone="yes"?>
<Relationships xmlns="http://schemas.openxmlformats.org/package/2006/relationships"><Relationship Id="rId2" Type="http://schemas.microsoft.com/office/2011/relationships/chartColorStyle" Target="colors146.xml"/><Relationship Id="rId1" Type="http://schemas.microsoft.com/office/2011/relationships/chartStyle" Target="style146.xml"/></Relationships>
</file>

<file path=xl/charts/_rels/chart147.xml.rels><?xml version="1.0" encoding="UTF-8" standalone="yes"?>
<Relationships xmlns="http://schemas.openxmlformats.org/package/2006/relationships"><Relationship Id="rId2" Type="http://schemas.microsoft.com/office/2011/relationships/chartColorStyle" Target="colors147.xml"/><Relationship Id="rId1" Type="http://schemas.microsoft.com/office/2011/relationships/chartStyle" Target="style147.xml"/></Relationships>
</file>

<file path=xl/charts/_rels/chart148.xml.rels><?xml version="1.0" encoding="UTF-8" standalone="yes"?>
<Relationships xmlns="http://schemas.openxmlformats.org/package/2006/relationships"><Relationship Id="rId2" Type="http://schemas.microsoft.com/office/2011/relationships/chartColorStyle" Target="colors148.xml"/><Relationship Id="rId1" Type="http://schemas.microsoft.com/office/2011/relationships/chartStyle" Target="style148.xml"/></Relationships>
</file>

<file path=xl/charts/_rels/chart149.xml.rels><?xml version="1.0" encoding="UTF-8" standalone="yes"?>
<Relationships xmlns="http://schemas.openxmlformats.org/package/2006/relationships"><Relationship Id="rId2" Type="http://schemas.microsoft.com/office/2011/relationships/chartColorStyle" Target="colors149.xml"/><Relationship Id="rId1" Type="http://schemas.microsoft.com/office/2011/relationships/chartStyle" Target="style149.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50.xml.rels><?xml version="1.0" encoding="UTF-8" standalone="yes"?>
<Relationships xmlns="http://schemas.openxmlformats.org/package/2006/relationships"><Relationship Id="rId2" Type="http://schemas.microsoft.com/office/2011/relationships/chartColorStyle" Target="colors150.xml"/><Relationship Id="rId1" Type="http://schemas.microsoft.com/office/2011/relationships/chartStyle" Target="style150.xml"/></Relationships>
</file>

<file path=xl/charts/_rels/chart151.xml.rels><?xml version="1.0" encoding="UTF-8" standalone="yes"?>
<Relationships xmlns="http://schemas.openxmlformats.org/package/2006/relationships"><Relationship Id="rId2" Type="http://schemas.microsoft.com/office/2011/relationships/chartColorStyle" Target="colors151.xml"/><Relationship Id="rId1" Type="http://schemas.microsoft.com/office/2011/relationships/chartStyle" Target="style151.xml"/></Relationships>
</file>

<file path=xl/charts/_rels/chart152.xml.rels><?xml version="1.0" encoding="UTF-8" standalone="yes"?>
<Relationships xmlns="http://schemas.openxmlformats.org/package/2006/relationships"><Relationship Id="rId2" Type="http://schemas.microsoft.com/office/2011/relationships/chartColorStyle" Target="colors152.xml"/><Relationship Id="rId1" Type="http://schemas.microsoft.com/office/2011/relationships/chartStyle" Target="style152.xml"/></Relationships>
</file>

<file path=xl/charts/_rels/chart153.xml.rels><?xml version="1.0" encoding="UTF-8" standalone="yes"?>
<Relationships xmlns="http://schemas.openxmlformats.org/package/2006/relationships"><Relationship Id="rId2" Type="http://schemas.microsoft.com/office/2011/relationships/chartColorStyle" Target="colors153.xml"/><Relationship Id="rId1" Type="http://schemas.microsoft.com/office/2011/relationships/chartStyle" Target="style153.xml"/></Relationships>
</file>

<file path=xl/charts/_rels/chart154.xml.rels><?xml version="1.0" encoding="UTF-8" standalone="yes"?>
<Relationships xmlns="http://schemas.openxmlformats.org/package/2006/relationships"><Relationship Id="rId2" Type="http://schemas.microsoft.com/office/2011/relationships/chartColorStyle" Target="colors154.xml"/><Relationship Id="rId1" Type="http://schemas.microsoft.com/office/2011/relationships/chartStyle" Target="style154.xml"/></Relationships>
</file>

<file path=xl/charts/_rels/chart155.xml.rels><?xml version="1.0" encoding="UTF-8" standalone="yes"?>
<Relationships xmlns="http://schemas.openxmlformats.org/package/2006/relationships"><Relationship Id="rId2" Type="http://schemas.microsoft.com/office/2011/relationships/chartColorStyle" Target="colors155.xml"/><Relationship Id="rId1" Type="http://schemas.microsoft.com/office/2011/relationships/chartStyle" Target="style155.xml"/></Relationships>
</file>

<file path=xl/charts/_rels/chart156.xml.rels><?xml version="1.0" encoding="UTF-8" standalone="yes"?>
<Relationships xmlns="http://schemas.openxmlformats.org/package/2006/relationships"><Relationship Id="rId2" Type="http://schemas.microsoft.com/office/2011/relationships/chartColorStyle" Target="colors156.xml"/><Relationship Id="rId1" Type="http://schemas.microsoft.com/office/2011/relationships/chartStyle" Target="style156.xml"/></Relationships>
</file>

<file path=xl/charts/_rels/chart157.xml.rels><?xml version="1.0" encoding="UTF-8" standalone="yes"?>
<Relationships xmlns="http://schemas.openxmlformats.org/package/2006/relationships"><Relationship Id="rId2" Type="http://schemas.microsoft.com/office/2011/relationships/chartColorStyle" Target="colors157.xml"/><Relationship Id="rId1" Type="http://schemas.microsoft.com/office/2011/relationships/chartStyle" Target="style157.xml"/></Relationships>
</file>

<file path=xl/charts/_rels/chart158.xml.rels><?xml version="1.0" encoding="UTF-8" standalone="yes"?>
<Relationships xmlns="http://schemas.openxmlformats.org/package/2006/relationships"><Relationship Id="rId2" Type="http://schemas.microsoft.com/office/2011/relationships/chartColorStyle" Target="colors158.xml"/><Relationship Id="rId1" Type="http://schemas.microsoft.com/office/2011/relationships/chartStyle" Target="style158.xml"/></Relationships>
</file>

<file path=xl/charts/_rels/chart159.xml.rels><?xml version="1.0" encoding="UTF-8" standalone="yes"?>
<Relationships xmlns="http://schemas.openxmlformats.org/package/2006/relationships"><Relationship Id="rId2" Type="http://schemas.microsoft.com/office/2011/relationships/chartColorStyle" Target="colors159.xml"/><Relationship Id="rId1" Type="http://schemas.microsoft.com/office/2011/relationships/chartStyle" Target="style159.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60.xml.rels><?xml version="1.0" encoding="UTF-8" standalone="yes"?>
<Relationships xmlns="http://schemas.openxmlformats.org/package/2006/relationships"><Relationship Id="rId2" Type="http://schemas.microsoft.com/office/2011/relationships/chartColorStyle" Target="colors160.xml"/><Relationship Id="rId1" Type="http://schemas.microsoft.com/office/2011/relationships/chartStyle" Target="style160.xml"/></Relationships>
</file>

<file path=xl/charts/_rels/chart161.xml.rels><?xml version="1.0" encoding="UTF-8" standalone="yes"?>
<Relationships xmlns="http://schemas.openxmlformats.org/package/2006/relationships"><Relationship Id="rId2" Type="http://schemas.microsoft.com/office/2011/relationships/chartColorStyle" Target="colors161.xml"/><Relationship Id="rId1" Type="http://schemas.microsoft.com/office/2011/relationships/chartStyle" Target="style161.xml"/></Relationships>
</file>

<file path=xl/charts/_rels/chart162.xml.rels><?xml version="1.0" encoding="UTF-8" standalone="yes"?>
<Relationships xmlns="http://schemas.openxmlformats.org/package/2006/relationships"><Relationship Id="rId2" Type="http://schemas.microsoft.com/office/2011/relationships/chartColorStyle" Target="colors162.xml"/><Relationship Id="rId1" Type="http://schemas.microsoft.com/office/2011/relationships/chartStyle" Target="style162.xml"/></Relationships>
</file>

<file path=xl/charts/_rels/chart163.xml.rels><?xml version="1.0" encoding="UTF-8" standalone="yes"?>
<Relationships xmlns="http://schemas.openxmlformats.org/package/2006/relationships"><Relationship Id="rId2" Type="http://schemas.microsoft.com/office/2011/relationships/chartColorStyle" Target="colors163.xml"/><Relationship Id="rId1" Type="http://schemas.microsoft.com/office/2011/relationships/chartStyle" Target="style163.xml"/></Relationships>
</file>

<file path=xl/charts/_rels/chart164.xml.rels><?xml version="1.0" encoding="UTF-8" standalone="yes"?>
<Relationships xmlns="http://schemas.openxmlformats.org/package/2006/relationships"><Relationship Id="rId2" Type="http://schemas.microsoft.com/office/2011/relationships/chartColorStyle" Target="colors164.xml"/><Relationship Id="rId1" Type="http://schemas.microsoft.com/office/2011/relationships/chartStyle" Target="style164.xml"/></Relationships>
</file>

<file path=xl/charts/_rels/chart165.xml.rels><?xml version="1.0" encoding="UTF-8" standalone="yes"?>
<Relationships xmlns="http://schemas.openxmlformats.org/package/2006/relationships"><Relationship Id="rId2" Type="http://schemas.microsoft.com/office/2011/relationships/chartColorStyle" Target="colors165.xml"/><Relationship Id="rId1" Type="http://schemas.microsoft.com/office/2011/relationships/chartStyle" Target="style165.xml"/></Relationships>
</file>

<file path=xl/charts/_rels/chart166.xml.rels><?xml version="1.0" encoding="UTF-8" standalone="yes"?>
<Relationships xmlns="http://schemas.openxmlformats.org/package/2006/relationships"><Relationship Id="rId2" Type="http://schemas.microsoft.com/office/2011/relationships/chartColorStyle" Target="colors166.xml"/><Relationship Id="rId1" Type="http://schemas.microsoft.com/office/2011/relationships/chartStyle" Target="style166.xml"/></Relationships>
</file>

<file path=xl/charts/_rels/chart167.xml.rels><?xml version="1.0" encoding="UTF-8" standalone="yes"?>
<Relationships xmlns="http://schemas.openxmlformats.org/package/2006/relationships"><Relationship Id="rId2" Type="http://schemas.microsoft.com/office/2011/relationships/chartColorStyle" Target="colors167.xml"/><Relationship Id="rId1" Type="http://schemas.microsoft.com/office/2011/relationships/chartStyle" Target="style167.xml"/></Relationships>
</file>

<file path=xl/charts/_rels/chart168.xml.rels><?xml version="1.0" encoding="UTF-8" standalone="yes"?>
<Relationships xmlns="http://schemas.openxmlformats.org/package/2006/relationships"><Relationship Id="rId2" Type="http://schemas.microsoft.com/office/2011/relationships/chartColorStyle" Target="colors168.xml"/><Relationship Id="rId1" Type="http://schemas.microsoft.com/office/2011/relationships/chartStyle" Target="style168.xml"/></Relationships>
</file>

<file path=xl/charts/_rels/chart169.xml.rels><?xml version="1.0" encoding="UTF-8" standalone="yes"?>
<Relationships xmlns="http://schemas.openxmlformats.org/package/2006/relationships"><Relationship Id="rId2" Type="http://schemas.microsoft.com/office/2011/relationships/chartColorStyle" Target="colors169.xml"/><Relationship Id="rId1" Type="http://schemas.microsoft.com/office/2011/relationships/chartStyle" Target="style169.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70.xml.rels><?xml version="1.0" encoding="UTF-8" standalone="yes"?>
<Relationships xmlns="http://schemas.openxmlformats.org/package/2006/relationships"><Relationship Id="rId2" Type="http://schemas.microsoft.com/office/2011/relationships/chartColorStyle" Target="colors170.xml"/><Relationship Id="rId1" Type="http://schemas.microsoft.com/office/2011/relationships/chartStyle" Target="style170.xml"/></Relationships>
</file>

<file path=xl/charts/_rels/chart171.xml.rels><?xml version="1.0" encoding="UTF-8" standalone="yes"?>
<Relationships xmlns="http://schemas.openxmlformats.org/package/2006/relationships"><Relationship Id="rId2" Type="http://schemas.microsoft.com/office/2011/relationships/chartColorStyle" Target="colors171.xml"/><Relationship Id="rId1" Type="http://schemas.microsoft.com/office/2011/relationships/chartStyle" Target="style171.xml"/></Relationships>
</file>

<file path=xl/charts/_rels/chart172.xml.rels><?xml version="1.0" encoding="UTF-8" standalone="yes"?>
<Relationships xmlns="http://schemas.openxmlformats.org/package/2006/relationships"><Relationship Id="rId2" Type="http://schemas.microsoft.com/office/2011/relationships/chartColorStyle" Target="colors172.xml"/><Relationship Id="rId1" Type="http://schemas.microsoft.com/office/2011/relationships/chartStyle" Target="style172.xml"/></Relationships>
</file>

<file path=xl/charts/_rels/chart173.xml.rels><?xml version="1.0" encoding="UTF-8" standalone="yes"?>
<Relationships xmlns="http://schemas.openxmlformats.org/package/2006/relationships"><Relationship Id="rId2" Type="http://schemas.microsoft.com/office/2011/relationships/chartColorStyle" Target="colors173.xml"/><Relationship Id="rId1" Type="http://schemas.microsoft.com/office/2011/relationships/chartStyle" Target="style173.xml"/></Relationships>
</file>

<file path=xl/charts/_rels/chart174.xml.rels><?xml version="1.0" encoding="UTF-8" standalone="yes"?>
<Relationships xmlns="http://schemas.openxmlformats.org/package/2006/relationships"><Relationship Id="rId2" Type="http://schemas.microsoft.com/office/2011/relationships/chartColorStyle" Target="colors174.xml"/><Relationship Id="rId1" Type="http://schemas.microsoft.com/office/2011/relationships/chartStyle" Target="style174.xml"/></Relationships>
</file>

<file path=xl/charts/_rels/chart175.xml.rels><?xml version="1.0" encoding="UTF-8" standalone="yes"?>
<Relationships xmlns="http://schemas.openxmlformats.org/package/2006/relationships"><Relationship Id="rId2" Type="http://schemas.microsoft.com/office/2011/relationships/chartColorStyle" Target="colors175.xml"/><Relationship Id="rId1" Type="http://schemas.microsoft.com/office/2011/relationships/chartStyle" Target="style175.xml"/></Relationships>
</file>

<file path=xl/charts/_rels/chart176.xml.rels><?xml version="1.0" encoding="UTF-8" standalone="yes"?>
<Relationships xmlns="http://schemas.openxmlformats.org/package/2006/relationships"><Relationship Id="rId2" Type="http://schemas.microsoft.com/office/2011/relationships/chartColorStyle" Target="colors176.xml"/><Relationship Id="rId1" Type="http://schemas.microsoft.com/office/2011/relationships/chartStyle" Target="style176.xml"/></Relationships>
</file>

<file path=xl/charts/_rels/chart177.xml.rels><?xml version="1.0" encoding="UTF-8" standalone="yes"?>
<Relationships xmlns="http://schemas.openxmlformats.org/package/2006/relationships"><Relationship Id="rId2" Type="http://schemas.microsoft.com/office/2011/relationships/chartColorStyle" Target="colors177.xml"/><Relationship Id="rId1" Type="http://schemas.microsoft.com/office/2011/relationships/chartStyle" Target="style177.xml"/></Relationships>
</file>

<file path=xl/charts/_rels/chart178.xml.rels><?xml version="1.0" encoding="UTF-8" standalone="yes"?>
<Relationships xmlns="http://schemas.openxmlformats.org/package/2006/relationships"><Relationship Id="rId2" Type="http://schemas.microsoft.com/office/2011/relationships/chartColorStyle" Target="colors178.xml"/><Relationship Id="rId1" Type="http://schemas.microsoft.com/office/2011/relationships/chartStyle" Target="style178.xml"/></Relationships>
</file>

<file path=xl/charts/_rels/chart179.xml.rels><?xml version="1.0" encoding="UTF-8" standalone="yes"?>
<Relationships xmlns="http://schemas.openxmlformats.org/package/2006/relationships"><Relationship Id="rId2" Type="http://schemas.microsoft.com/office/2011/relationships/chartColorStyle" Target="colors179.xml"/><Relationship Id="rId1" Type="http://schemas.microsoft.com/office/2011/relationships/chartStyle" Target="style179.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80.xml.rels><?xml version="1.0" encoding="UTF-8" standalone="yes"?>
<Relationships xmlns="http://schemas.openxmlformats.org/package/2006/relationships"><Relationship Id="rId2" Type="http://schemas.microsoft.com/office/2011/relationships/chartColorStyle" Target="colors180.xml"/><Relationship Id="rId1" Type="http://schemas.microsoft.com/office/2011/relationships/chartStyle" Target="style180.xml"/></Relationships>
</file>

<file path=xl/charts/_rels/chart181.xml.rels><?xml version="1.0" encoding="UTF-8" standalone="yes"?>
<Relationships xmlns="http://schemas.openxmlformats.org/package/2006/relationships"><Relationship Id="rId2" Type="http://schemas.microsoft.com/office/2011/relationships/chartColorStyle" Target="colors181.xml"/><Relationship Id="rId1" Type="http://schemas.microsoft.com/office/2011/relationships/chartStyle" Target="style181.xml"/></Relationships>
</file>

<file path=xl/charts/_rels/chart182.xml.rels><?xml version="1.0" encoding="UTF-8" standalone="yes"?>
<Relationships xmlns="http://schemas.openxmlformats.org/package/2006/relationships"><Relationship Id="rId2" Type="http://schemas.microsoft.com/office/2011/relationships/chartColorStyle" Target="colors182.xml"/><Relationship Id="rId1" Type="http://schemas.microsoft.com/office/2011/relationships/chartStyle" Target="style182.xml"/></Relationships>
</file>

<file path=xl/charts/_rels/chart183.xml.rels><?xml version="1.0" encoding="UTF-8" standalone="yes"?>
<Relationships xmlns="http://schemas.openxmlformats.org/package/2006/relationships"><Relationship Id="rId2" Type="http://schemas.microsoft.com/office/2011/relationships/chartColorStyle" Target="colors183.xml"/><Relationship Id="rId1" Type="http://schemas.microsoft.com/office/2011/relationships/chartStyle" Target="style183.xml"/></Relationships>
</file>

<file path=xl/charts/_rels/chart184.xml.rels><?xml version="1.0" encoding="UTF-8" standalone="yes"?>
<Relationships xmlns="http://schemas.openxmlformats.org/package/2006/relationships"><Relationship Id="rId2" Type="http://schemas.microsoft.com/office/2011/relationships/chartColorStyle" Target="colors184.xml"/><Relationship Id="rId1" Type="http://schemas.microsoft.com/office/2011/relationships/chartStyle" Target="style184.xml"/></Relationships>
</file>

<file path=xl/charts/_rels/chart185.xml.rels><?xml version="1.0" encoding="UTF-8" standalone="yes"?>
<Relationships xmlns="http://schemas.openxmlformats.org/package/2006/relationships"><Relationship Id="rId2" Type="http://schemas.microsoft.com/office/2011/relationships/chartColorStyle" Target="colors185.xml"/><Relationship Id="rId1" Type="http://schemas.microsoft.com/office/2011/relationships/chartStyle" Target="style185.xml"/></Relationships>
</file>

<file path=xl/charts/_rels/chart186.xml.rels><?xml version="1.0" encoding="UTF-8" standalone="yes"?>
<Relationships xmlns="http://schemas.openxmlformats.org/package/2006/relationships"><Relationship Id="rId2" Type="http://schemas.microsoft.com/office/2011/relationships/chartColorStyle" Target="colors186.xml"/><Relationship Id="rId1" Type="http://schemas.microsoft.com/office/2011/relationships/chartStyle" Target="style186.xml"/></Relationships>
</file>

<file path=xl/charts/_rels/chart187.xml.rels><?xml version="1.0" encoding="UTF-8" standalone="yes"?>
<Relationships xmlns="http://schemas.openxmlformats.org/package/2006/relationships"><Relationship Id="rId2" Type="http://schemas.microsoft.com/office/2011/relationships/chartColorStyle" Target="colors187.xml"/><Relationship Id="rId1" Type="http://schemas.microsoft.com/office/2011/relationships/chartStyle" Target="style187.xml"/></Relationships>
</file>

<file path=xl/charts/_rels/chart188.xml.rels><?xml version="1.0" encoding="UTF-8" standalone="yes"?>
<Relationships xmlns="http://schemas.openxmlformats.org/package/2006/relationships"><Relationship Id="rId2" Type="http://schemas.microsoft.com/office/2011/relationships/chartColorStyle" Target="colors188.xml"/><Relationship Id="rId1" Type="http://schemas.microsoft.com/office/2011/relationships/chartStyle" Target="style188.xml"/></Relationships>
</file>

<file path=xl/charts/_rels/chart189.xml.rels><?xml version="1.0" encoding="UTF-8" standalone="yes"?>
<Relationships xmlns="http://schemas.openxmlformats.org/package/2006/relationships"><Relationship Id="rId2" Type="http://schemas.microsoft.com/office/2011/relationships/chartColorStyle" Target="colors189.xml"/><Relationship Id="rId1" Type="http://schemas.microsoft.com/office/2011/relationships/chartStyle" Target="style189.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190.xml.rels><?xml version="1.0" encoding="UTF-8" standalone="yes"?>
<Relationships xmlns="http://schemas.openxmlformats.org/package/2006/relationships"><Relationship Id="rId2" Type="http://schemas.microsoft.com/office/2011/relationships/chartColorStyle" Target="colors190.xml"/><Relationship Id="rId1" Type="http://schemas.microsoft.com/office/2011/relationships/chartStyle" Target="style190.xml"/></Relationships>
</file>

<file path=xl/charts/_rels/chart191.xml.rels><?xml version="1.0" encoding="UTF-8" standalone="yes"?>
<Relationships xmlns="http://schemas.openxmlformats.org/package/2006/relationships"><Relationship Id="rId2" Type="http://schemas.microsoft.com/office/2011/relationships/chartColorStyle" Target="colors191.xml"/><Relationship Id="rId1" Type="http://schemas.microsoft.com/office/2011/relationships/chartStyle" Target="style191.xml"/></Relationships>
</file>

<file path=xl/charts/_rels/chart192.xml.rels><?xml version="1.0" encoding="UTF-8" standalone="yes"?>
<Relationships xmlns="http://schemas.openxmlformats.org/package/2006/relationships"><Relationship Id="rId2" Type="http://schemas.microsoft.com/office/2011/relationships/chartColorStyle" Target="colors192.xml"/><Relationship Id="rId1" Type="http://schemas.microsoft.com/office/2011/relationships/chartStyle" Target="style192.xml"/></Relationships>
</file>

<file path=xl/charts/_rels/chart193.xml.rels><?xml version="1.0" encoding="UTF-8" standalone="yes"?>
<Relationships xmlns="http://schemas.openxmlformats.org/package/2006/relationships"><Relationship Id="rId2" Type="http://schemas.microsoft.com/office/2011/relationships/chartColorStyle" Target="colors193.xml"/><Relationship Id="rId1" Type="http://schemas.microsoft.com/office/2011/relationships/chartStyle" Target="style193.xml"/></Relationships>
</file>

<file path=xl/charts/_rels/chart194.xml.rels><?xml version="1.0" encoding="UTF-8" standalone="yes"?>
<Relationships xmlns="http://schemas.openxmlformats.org/package/2006/relationships"><Relationship Id="rId2" Type="http://schemas.microsoft.com/office/2011/relationships/chartColorStyle" Target="colors194.xml"/><Relationship Id="rId1" Type="http://schemas.microsoft.com/office/2011/relationships/chartStyle" Target="style194.xml"/></Relationships>
</file>

<file path=xl/charts/_rels/chart195.xml.rels><?xml version="1.0" encoding="UTF-8" standalone="yes"?>
<Relationships xmlns="http://schemas.openxmlformats.org/package/2006/relationships"><Relationship Id="rId2" Type="http://schemas.microsoft.com/office/2011/relationships/chartColorStyle" Target="colors195.xml"/><Relationship Id="rId1" Type="http://schemas.microsoft.com/office/2011/relationships/chartStyle" Target="style195.xml"/></Relationships>
</file>

<file path=xl/charts/_rels/chart196.xml.rels><?xml version="1.0" encoding="UTF-8" standalone="yes"?>
<Relationships xmlns="http://schemas.openxmlformats.org/package/2006/relationships"><Relationship Id="rId2" Type="http://schemas.microsoft.com/office/2011/relationships/chartColorStyle" Target="colors196.xml"/><Relationship Id="rId1" Type="http://schemas.microsoft.com/office/2011/relationships/chartStyle" Target="style19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69.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71.xml.rels><?xml version="1.0" encoding="UTF-8" standalone="yes"?>
<Relationships xmlns="http://schemas.openxmlformats.org/package/2006/relationships"><Relationship Id="rId2" Type="http://schemas.microsoft.com/office/2011/relationships/chartColorStyle" Target="colors71.xml"/><Relationship Id="rId1" Type="http://schemas.microsoft.com/office/2011/relationships/chartStyle" Target="style71.xml"/></Relationships>
</file>

<file path=xl/charts/_rels/chart72.xml.rels><?xml version="1.0" encoding="UTF-8" standalone="yes"?>
<Relationships xmlns="http://schemas.openxmlformats.org/package/2006/relationships"><Relationship Id="rId2" Type="http://schemas.microsoft.com/office/2011/relationships/chartColorStyle" Target="colors72.xml"/><Relationship Id="rId1" Type="http://schemas.microsoft.com/office/2011/relationships/chartStyle" Target="style72.xml"/></Relationships>
</file>

<file path=xl/charts/_rels/chart73.xml.rels><?xml version="1.0" encoding="UTF-8" standalone="yes"?>
<Relationships xmlns="http://schemas.openxmlformats.org/package/2006/relationships"><Relationship Id="rId2" Type="http://schemas.microsoft.com/office/2011/relationships/chartColorStyle" Target="colors73.xml"/><Relationship Id="rId1" Type="http://schemas.microsoft.com/office/2011/relationships/chartStyle" Target="style73.xml"/></Relationships>
</file>

<file path=xl/charts/_rels/chart74.xml.rels><?xml version="1.0" encoding="UTF-8" standalone="yes"?>
<Relationships xmlns="http://schemas.openxmlformats.org/package/2006/relationships"><Relationship Id="rId2" Type="http://schemas.microsoft.com/office/2011/relationships/chartColorStyle" Target="colors74.xml"/><Relationship Id="rId1" Type="http://schemas.microsoft.com/office/2011/relationships/chartStyle" Target="style74.xml"/></Relationships>
</file>

<file path=xl/charts/_rels/chart75.xml.rels><?xml version="1.0" encoding="UTF-8" standalone="yes"?>
<Relationships xmlns="http://schemas.openxmlformats.org/package/2006/relationships"><Relationship Id="rId2" Type="http://schemas.microsoft.com/office/2011/relationships/chartColorStyle" Target="colors75.xml"/><Relationship Id="rId1" Type="http://schemas.microsoft.com/office/2011/relationships/chartStyle" Target="style75.xml"/></Relationships>
</file>

<file path=xl/charts/_rels/chart76.xml.rels><?xml version="1.0" encoding="UTF-8" standalone="yes"?>
<Relationships xmlns="http://schemas.openxmlformats.org/package/2006/relationships"><Relationship Id="rId2" Type="http://schemas.microsoft.com/office/2011/relationships/chartColorStyle" Target="colors76.xml"/><Relationship Id="rId1" Type="http://schemas.microsoft.com/office/2011/relationships/chartStyle" Target="style76.xml"/></Relationships>
</file>

<file path=xl/charts/_rels/chart77.xml.rels><?xml version="1.0" encoding="UTF-8" standalone="yes"?>
<Relationships xmlns="http://schemas.openxmlformats.org/package/2006/relationships"><Relationship Id="rId2" Type="http://schemas.microsoft.com/office/2011/relationships/chartColorStyle" Target="colors77.xml"/><Relationship Id="rId1" Type="http://schemas.microsoft.com/office/2011/relationships/chartStyle" Target="style77.xml"/></Relationships>
</file>

<file path=xl/charts/_rels/chart78.xml.rels><?xml version="1.0" encoding="UTF-8" standalone="yes"?>
<Relationships xmlns="http://schemas.openxmlformats.org/package/2006/relationships"><Relationship Id="rId2" Type="http://schemas.microsoft.com/office/2011/relationships/chartColorStyle" Target="colors78.xml"/><Relationship Id="rId1" Type="http://schemas.microsoft.com/office/2011/relationships/chartStyle" Target="style78.xml"/></Relationships>
</file>

<file path=xl/charts/_rels/chart79.xml.rels><?xml version="1.0" encoding="UTF-8" standalone="yes"?>
<Relationships xmlns="http://schemas.openxmlformats.org/package/2006/relationships"><Relationship Id="rId2" Type="http://schemas.microsoft.com/office/2011/relationships/chartColorStyle" Target="colors79.xml"/><Relationship Id="rId1" Type="http://schemas.microsoft.com/office/2011/relationships/chartStyle" Target="style79.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80.xml.rels><?xml version="1.0" encoding="UTF-8" standalone="yes"?>
<Relationships xmlns="http://schemas.openxmlformats.org/package/2006/relationships"><Relationship Id="rId2" Type="http://schemas.microsoft.com/office/2011/relationships/chartColorStyle" Target="colors80.xml"/><Relationship Id="rId1" Type="http://schemas.microsoft.com/office/2011/relationships/chartStyle" Target="style80.xml"/></Relationships>
</file>

<file path=xl/charts/_rels/chart81.xml.rels><?xml version="1.0" encoding="UTF-8" standalone="yes"?>
<Relationships xmlns="http://schemas.openxmlformats.org/package/2006/relationships"><Relationship Id="rId2" Type="http://schemas.microsoft.com/office/2011/relationships/chartColorStyle" Target="colors81.xml"/><Relationship Id="rId1" Type="http://schemas.microsoft.com/office/2011/relationships/chartStyle" Target="style81.xml"/></Relationships>
</file>

<file path=xl/charts/_rels/chart82.xml.rels><?xml version="1.0" encoding="UTF-8" standalone="yes"?>
<Relationships xmlns="http://schemas.openxmlformats.org/package/2006/relationships"><Relationship Id="rId2" Type="http://schemas.microsoft.com/office/2011/relationships/chartColorStyle" Target="colors82.xml"/><Relationship Id="rId1" Type="http://schemas.microsoft.com/office/2011/relationships/chartStyle" Target="style82.xml"/></Relationships>
</file>

<file path=xl/charts/_rels/chart83.xml.rels><?xml version="1.0" encoding="UTF-8" standalone="yes"?>
<Relationships xmlns="http://schemas.openxmlformats.org/package/2006/relationships"><Relationship Id="rId2" Type="http://schemas.microsoft.com/office/2011/relationships/chartColorStyle" Target="colors83.xml"/><Relationship Id="rId1" Type="http://schemas.microsoft.com/office/2011/relationships/chartStyle" Target="style83.xml"/></Relationships>
</file>

<file path=xl/charts/_rels/chart84.xml.rels><?xml version="1.0" encoding="UTF-8" standalone="yes"?>
<Relationships xmlns="http://schemas.openxmlformats.org/package/2006/relationships"><Relationship Id="rId2" Type="http://schemas.microsoft.com/office/2011/relationships/chartColorStyle" Target="colors84.xml"/><Relationship Id="rId1" Type="http://schemas.microsoft.com/office/2011/relationships/chartStyle" Target="style84.xml"/></Relationships>
</file>

<file path=xl/charts/_rels/chart85.xml.rels><?xml version="1.0" encoding="UTF-8" standalone="yes"?>
<Relationships xmlns="http://schemas.openxmlformats.org/package/2006/relationships"><Relationship Id="rId2" Type="http://schemas.microsoft.com/office/2011/relationships/chartColorStyle" Target="colors85.xml"/><Relationship Id="rId1" Type="http://schemas.microsoft.com/office/2011/relationships/chartStyle" Target="style85.xml"/></Relationships>
</file>

<file path=xl/charts/_rels/chart86.xml.rels><?xml version="1.0" encoding="UTF-8" standalone="yes"?>
<Relationships xmlns="http://schemas.openxmlformats.org/package/2006/relationships"><Relationship Id="rId2" Type="http://schemas.microsoft.com/office/2011/relationships/chartColorStyle" Target="colors86.xml"/><Relationship Id="rId1" Type="http://schemas.microsoft.com/office/2011/relationships/chartStyle" Target="style86.xml"/></Relationships>
</file>

<file path=xl/charts/_rels/chart87.xml.rels><?xml version="1.0" encoding="UTF-8" standalone="yes"?>
<Relationships xmlns="http://schemas.openxmlformats.org/package/2006/relationships"><Relationship Id="rId2" Type="http://schemas.microsoft.com/office/2011/relationships/chartColorStyle" Target="colors87.xml"/><Relationship Id="rId1" Type="http://schemas.microsoft.com/office/2011/relationships/chartStyle" Target="style87.xml"/></Relationships>
</file>

<file path=xl/charts/_rels/chart88.xml.rels><?xml version="1.0" encoding="UTF-8" standalone="yes"?>
<Relationships xmlns="http://schemas.openxmlformats.org/package/2006/relationships"><Relationship Id="rId2" Type="http://schemas.microsoft.com/office/2011/relationships/chartColorStyle" Target="colors88.xml"/><Relationship Id="rId1" Type="http://schemas.microsoft.com/office/2011/relationships/chartStyle" Target="style88.xml"/></Relationships>
</file>

<file path=xl/charts/_rels/chart89.xml.rels><?xml version="1.0" encoding="UTF-8" standalone="yes"?>
<Relationships xmlns="http://schemas.openxmlformats.org/package/2006/relationships"><Relationship Id="rId2" Type="http://schemas.microsoft.com/office/2011/relationships/chartColorStyle" Target="colors89.xml"/><Relationship Id="rId1" Type="http://schemas.microsoft.com/office/2011/relationships/chartStyle" Target="style89.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90.xml.rels><?xml version="1.0" encoding="UTF-8" standalone="yes"?>
<Relationships xmlns="http://schemas.openxmlformats.org/package/2006/relationships"><Relationship Id="rId2" Type="http://schemas.microsoft.com/office/2011/relationships/chartColorStyle" Target="colors90.xml"/><Relationship Id="rId1" Type="http://schemas.microsoft.com/office/2011/relationships/chartStyle" Target="style90.xml"/></Relationships>
</file>

<file path=xl/charts/_rels/chart91.xml.rels><?xml version="1.0" encoding="UTF-8" standalone="yes"?>
<Relationships xmlns="http://schemas.openxmlformats.org/package/2006/relationships"><Relationship Id="rId2" Type="http://schemas.microsoft.com/office/2011/relationships/chartColorStyle" Target="colors91.xml"/><Relationship Id="rId1" Type="http://schemas.microsoft.com/office/2011/relationships/chartStyle" Target="style91.xml"/></Relationships>
</file>

<file path=xl/charts/_rels/chart92.xml.rels><?xml version="1.0" encoding="UTF-8" standalone="yes"?>
<Relationships xmlns="http://schemas.openxmlformats.org/package/2006/relationships"><Relationship Id="rId2" Type="http://schemas.microsoft.com/office/2011/relationships/chartColorStyle" Target="colors92.xml"/><Relationship Id="rId1" Type="http://schemas.microsoft.com/office/2011/relationships/chartStyle" Target="style92.xml"/></Relationships>
</file>

<file path=xl/charts/_rels/chart93.xml.rels><?xml version="1.0" encoding="UTF-8" standalone="yes"?>
<Relationships xmlns="http://schemas.openxmlformats.org/package/2006/relationships"><Relationship Id="rId2" Type="http://schemas.microsoft.com/office/2011/relationships/chartColorStyle" Target="colors93.xml"/><Relationship Id="rId1" Type="http://schemas.microsoft.com/office/2011/relationships/chartStyle" Target="style93.xml"/></Relationships>
</file>

<file path=xl/charts/_rels/chart94.xml.rels><?xml version="1.0" encoding="UTF-8" standalone="yes"?>
<Relationships xmlns="http://schemas.openxmlformats.org/package/2006/relationships"><Relationship Id="rId2" Type="http://schemas.microsoft.com/office/2011/relationships/chartColorStyle" Target="colors94.xml"/><Relationship Id="rId1" Type="http://schemas.microsoft.com/office/2011/relationships/chartStyle" Target="style94.xml"/></Relationships>
</file>

<file path=xl/charts/_rels/chart95.xml.rels><?xml version="1.0" encoding="UTF-8" standalone="yes"?>
<Relationships xmlns="http://schemas.openxmlformats.org/package/2006/relationships"><Relationship Id="rId2" Type="http://schemas.microsoft.com/office/2011/relationships/chartColorStyle" Target="colors95.xml"/><Relationship Id="rId1" Type="http://schemas.microsoft.com/office/2011/relationships/chartStyle" Target="style95.xml"/></Relationships>
</file>

<file path=xl/charts/_rels/chart96.xml.rels><?xml version="1.0" encoding="UTF-8" standalone="yes"?>
<Relationships xmlns="http://schemas.openxmlformats.org/package/2006/relationships"><Relationship Id="rId2" Type="http://schemas.microsoft.com/office/2011/relationships/chartColorStyle" Target="colors96.xml"/><Relationship Id="rId1" Type="http://schemas.microsoft.com/office/2011/relationships/chartStyle" Target="style96.xml"/></Relationships>
</file>

<file path=xl/charts/_rels/chart97.xml.rels><?xml version="1.0" encoding="UTF-8" standalone="yes"?>
<Relationships xmlns="http://schemas.openxmlformats.org/package/2006/relationships"><Relationship Id="rId2" Type="http://schemas.microsoft.com/office/2011/relationships/chartColorStyle" Target="colors97.xml"/><Relationship Id="rId1" Type="http://schemas.microsoft.com/office/2011/relationships/chartStyle" Target="style97.xml"/></Relationships>
</file>

<file path=xl/charts/_rels/chart98.xml.rels><?xml version="1.0" encoding="UTF-8" standalone="yes"?>
<Relationships xmlns="http://schemas.openxmlformats.org/package/2006/relationships"><Relationship Id="rId2" Type="http://schemas.microsoft.com/office/2011/relationships/chartColorStyle" Target="colors98.xml"/><Relationship Id="rId1" Type="http://schemas.microsoft.com/office/2011/relationships/chartStyle" Target="style98.xml"/></Relationships>
</file>

<file path=xl/charts/_rels/chart99.xml.rels><?xml version="1.0" encoding="UTF-8" standalone="yes"?>
<Relationships xmlns="http://schemas.openxmlformats.org/package/2006/relationships"><Relationship Id="rId2" Type="http://schemas.microsoft.com/office/2011/relationships/chartColorStyle" Target="colors99.xml"/><Relationship Id="rId1" Type="http://schemas.microsoft.com/office/2011/relationships/chartStyle" Target="style9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baseline="0">
                <a:solidFill>
                  <a:schemeClr val="tx1"/>
                </a:solidFill>
                <a:latin typeface="Verdana Pro" panose="020B0604030504040204" pitchFamily="34" charset="0"/>
                <a:ea typeface="+mn-ea"/>
                <a:cs typeface="Times New Roman" panose="02020603050405020304" pitchFamily="18" charset="0"/>
              </a:defRPr>
            </a:pPr>
            <a:r>
              <a:rPr lang="en-GB" b="0" i="1"/>
              <a:t>Benefits		Burdens</a:t>
            </a:r>
          </a:p>
        </c:rich>
      </c:tx>
      <c:layout>
        <c:manualLayout>
          <c:xMode val="edge"/>
          <c:yMode val="edge"/>
          <c:x val="0.41634754139571833"/>
          <c:y val="6.924574569824888E-3"/>
        </c:manualLayout>
      </c:layout>
      <c:overlay val="0"/>
      <c:spPr>
        <a:noFill/>
        <a:ln>
          <a:noFill/>
        </a:ln>
        <a:effectLst/>
      </c:spPr>
      <c:txPr>
        <a:bodyPr rot="0" spcFirstLastPara="1" vertOverflow="ellipsis" vert="horz" wrap="square" anchor="ctr" anchorCtr="1"/>
        <a:lstStyle/>
        <a:p>
          <a:pPr>
            <a:defRPr sz="1440" b="1"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title>
    <c:autoTitleDeleted val="0"/>
    <c:plotArea>
      <c:layout>
        <c:manualLayout>
          <c:layoutTarget val="inner"/>
          <c:xMode val="edge"/>
          <c:yMode val="edge"/>
          <c:x val="0.10403434643237103"/>
          <c:y val="0.11409636871261428"/>
          <c:w val="0.87227127494090295"/>
          <c:h val="0.58065330177074848"/>
        </c:manualLayout>
      </c:layout>
      <c:barChart>
        <c:barDir val="bar"/>
        <c:grouping val="stacked"/>
        <c:varyColors val="0"/>
        <c:ser>
          <c:idx val="0"/>
          <c:order val="0"/>
          <c:tx>
            <c:strRef>
              <c:f>'Figure Results ReCiPe (H)'!$C$5</c:f>
              <c:strCache>
                <c:ptCount val="1"/>
                <c:pt idx="0">
                  <c:v>Construction - DAC</c:v>
                </c:pt>
              </c:strCache>
            </c:strRef>
          </c:tx>
          <c:spPr>
            <a:solidFill>
              <a:schemeClr val="accent4">
                <a:lumMod val="75000"/>
              </a:schemeClr>
            </a:solidFill>
            <a:ln>
              <a:noFill/>
            </a:ln>
            <a:effectLst/>
          </c:spPr>
          <c:invertIfNegative val="0"/>
          <c:cat>
            <c:multiLvlStrRef>
              <c:f>'Figure Results ReCiPe (H)'!$A$6:$B$14</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(H)'!$C$6:$C$14</c:f>
              <c:numCache>
                <c:formatCode>0.00E+00</c:formatCode>
                <c:ptCount val="9"/>
                <c:pt idx="0">
                  <c:v>15.33891633430572</c:v>
                </c:pt>
                <c:pt idx="1">
                  <c:v>14.228720723813575</c:v>
                </c:pt>
                <c:pt idx="2">
                  <c:v>11.10767980382567</c:v>
                </c:pt>
                <c:pt idx="3">
                  <c:v>15.33891633430572</c:v>
                </c:pt>
                <c:pt idx="4">
                  <c:v>14.228720723813575</c:v>
                </c:pt>
                <c:pt idx="5">
                  <c:v>11.10767980382567</c:v>
                </c:pt>
                <c:pt idx="6">
                  <c:v>27.30109830898834</c:v>
                </c:pt>
                <c:pt idx="7">
                  <c:v>25.103103901411338</c:v>
                </c:pt>
                <c:pt idx="8">
                  <c:v>18.927767157790178</c:v>
                </c:pt>
              </c:numCache>
            </c:numRef>
          </c:val>
          <c:extLst>
            <c:ext xmlns:c16="http://schemas.microsoft.com/office/drawing/2014/chart" uri="{C3380CC4-5D6E-409C-BE32-E72D297353CC}">
              <c16:uniqueId val="{00000000-B6B8-43FF-925A-F9C620E826FC}"/>
            </c:ext>
          </c:extLst>
        </c:ser>
        <c:ser>
          <c:idx val="1"/>
          <c:order val="1"/>
          <c:tx>
            <c:strRef>
              <c:f>'Figure Results ReCiPe (H)'!$D$5</c:f>
              <c:strCache>
                <c:ptCount val="1"/>
                <c:pt idx="0">
                  <c:v>Construction - geological storage</c:v>
                </c:pt>
              </c:strCache>
            </c:strRef>
          </c:tx>
          <c:spPr>
            <a:solidFill>
              <a:schemeClr val="accent4">
                <a:lumMod val="60000"/>
                <a:lumOff val="40000"/>
              </a:schemeClr>
            </a:solidFill>
            <a:ln>
              <a:noFill/>
            </a:ln>
            <a:effectLst/>
          </c:spPr>
          <c:invertIfNegative val="0"/>
          <c:cat>
            <c:multiLvlStrRef>
              <c:f>'Figure Results ReCiPe (H)'!$A$6:$B$14</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(H)'!$D$6:$D$14</c:f>
              <c:numCache>
                <c:formatCode>0.00E+00</c:formatCode>
                <c:ptCount val="9"/>
                <c:pt idx="0">
                  <c:v>0.99242254336085489</c:v>
                </c:pt>
                <c:pt idx="1">
                  <c:v>0.92854228959986618</c:v>
                </c:pt>
                <c:pt idx="2">
                  <c:v>0.81224625777211612</c:v>
                </c:pt>
                <c:pt idx="3">
                  <c:v>0.99242254336085489</c:v>
                </c:pt>
                <c:pt idx="4">
                  <c:v>0.92854228959986618</c:v>
                </c:pt>
                <c:pt idx="5">
                  <c:v>0.81224625777211612</c:v>
                </c:pt>
                <c:pt idx="6">
                  <c:v>0.99242254336085489</c:v>
                </c:pt>
                <c:pt idx="7">
                  <c:v>0.92854228959986618</c:v>
                </c:pt>
                <c:pt idx="8">
                  <c:v>0.81224625777211612</c:v>
                </c:pt>
              </c:numCache>
            </c:numRef>
          </c:val>
          <c:extLst>
            <c:ext xmlns:c16="http://schemas.microsoft.com/office/drawing/2014/chart" uri="{C3380CC4-5D6E-409C-BE32-E72D297353CC}">
              <c16:uniqueId val="{00000001-B6B8-43FF-925A-F9C620E826FC}"/>
            </c:ext>
          </c:extLst>
        </c:ser>
        <c:ser>
          <c:idx val="3"/>
          <c:order val="2"/>
          <c:tx>
            <c:strRef>
              <c:f>'Figure Results ReCiPe (H)'!$E$5</c:f>
              <c:strCache>
                <c:ptCount val="1"/>
                <c:pt idx="0">
                  <c:v>Deconstruction - DAC</c:v>
                </c:pt>
              </c:strCache>
            </c:strRef>
          </c:tx>
          <c:spPr>
            <a:solidFill>
              <a:schemeClr val="accent2">
                <a:lumMod val="40000"/>
                <a:lumOff val="60000"/>
              </a:schemeClr>
            </a:solidFill>
            <a:ln>
              <a:noFill/>
            </a:ln>
            <a:effectLst/>
          </c:spPr>
          <c:invertIfNegative val="0"/>
          <c:cat>
            <c:multiLvlStrRef>
              <c:f>'Figure Results ReCiPe (H)'!$A$6:$B$14</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(H)'!$E$6:$E$14</c:f>
              <c:numCache>
                <c:formatCode>0.00E+00</c:formatCode>
                <c:ptCount val="9"/>
                <c:pt idx="0">
                  <c:v>0.27647349348275368</c:v>
                </c:pt>
                <c:pt idx="1">
                  <c:v>0.23135438070506198</c:v>
                </c:pt>
                <c:pt idx="2">
                  <c:v>0.20244068217927833</c:v>
                </c:pt>
                <c:pt idx="3">
                  <c:v>0.27647349348275368</c:v>
                </c:pt>
                <c:pt idx="4">
                  <c:v>0.23135438070506198</c:v>
                </c:pt>
                <c:pt idx="5">
                  <c:v>0.20244068217927833</c:v>
                </c:pt>
                <c:pt idx="6">
                  <c:v>0.55294698696550737</c:v>
                </c:pt>
                <c:pt idx="7">
                  <c:v>0.46270876141012396</c:v>
                </c:pt>
                <c:pt idx="8">
                  <c:v>0.40488136435855665</c:v>
                </c:pt>
              </c:numCache>
            </c:numRef>
          </c:val>
          <c:extLst>
            <c:ext xmlns:c16="http://schemas.microsoft.com/office/drawing/2014/chart" uri="{C3380CC4-5D6E-409C-BE32-E72D297353CC}">
              <c16:uniqueId val="{00000005-93D8-4F22-A5E2-C6A6DA755200}"/>
            </c:ext>
          </c:extLst>
        </c:ser>
        <c:ser>
          <c:idx val="4"/>
          <c:order val="3"/>
          <c:tx>
            <c:strRef>
              <c:f>'Figure Results ReCiPe (H)'!$F$5</c:f>
              <c:strCache>
                <c:ptCount val="1"/>
                <c:pt idx="0">
                  <c:v>Deconstruction - geological storage</c:v>
                </c:pt>
              </c:strCache>
            </c:strRef>
          </c:tx>
          <c:spPr>
            <a:solidFill>
              <a:srgbClr val="FF9900"/>
            </a:solidFill>
            <a:ln>
              <a:noFill/>
            </a:ln>
            <a:effectLst/>
          </c:spPr>
          <c:invertIfNegative val="0"/>
          <c:cat>
            <c:multiLvlStrRef>
              <c:f>'Figure Results ReCiPe (H)'!$A$6:$B$14</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(H)'!$F$6:$F$14</c:f>
              <c:numCache>
                <c:formatCode>0.00E+00</c:formatCode>
                <c:ptCount val="9"/>
                <c:pt idx="0">
                  <c:v>8.9978083648384714E-3</c:v>
                </c:pt>
                <c:pt idx="1">
                  <c:v>8.3835998236248491E-3</c:v>
                </c:pt>
                <c:pt idx="2">
                  <c:v>7.8840150412988301E-3</c:v>
                </c:pt>
                <c:pt idx="3">
                  <c:v>8.9978083648384714E-3</c:v>
                </c:pt>
                <c:pt idx="4">
                  <c:v>8.3835998236248491E-3</c:v>
                </c:pt>
                <c:pt idx="5">
                  <c:v>7.8840150412988301E-3</c:v>
                </c:pt>
                <c:pt idx="6">
                  <c:v>8.9978083648384714E-3</c:v>
                </c:pt>
                <c:pt idx="7">
                  <c:v>8.3835998236248491E-3</c:v>
                </c:pt>
                <c:pt idx="8">
                  <c:v>7.8840150412988301E-3</c:v>
                </c:pt>
              </c:numCache>
            </c:numRef>
          </c:val>
          <c:extLst>
            <c:ext xmlns:c16="http://schemas.microsoft.com/office/drawing/2014/chart" uri="{C3380CC4-5D6E-409C-BE32-E72D297353CC}">
              <c16:uniqueId val="{00000006-93D8-4F22-A5E2-C6A6DA755200}"/>
            </c:ext>
          </c:extLst>
        </c:ser>
        <c:ser>
          <c:idx val="5"/>
          <c:order val="4"/>
          <c:tx>
            <c:strRef>
              <c:f>'Figure Results ReCiPe (H)'!$G$5</c:f>
              <c:strCache>
                <c:ptCount val="1"/>
                <c:pt idx="0">
                  <c:v>Sorbent material</c:v>
                </c:pt>
              </c:strCache>
            </c:strRef>
          </c:tx>
          <c:spPr>
            <a:solidFill>
              <a:srgbClr val="FF8F8F"/>
            </a:solidFill>
            <a:ln>
              <a:noFill/>
            </a:ln>
            <a:effectLst/>
          </c:spPr>
          <c:invertIfNegative val="0"/>
          <c:cat>
            <c:multiLvlStrRef>
              <c:f>'Figure Results ReCiPe (H)'!$A$6:$B$14</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(H)'!$G$6:$G$14</c:f>
              <c:numCache>
                <c:formatCode>0.00E+00</c:formatCode>
                <c:ptCount val="9"/>
                <c:pt idx="0">
                  <c:v>4.201398547075331</c:v>
                </c:pt>
                <c:pt idx="1">
                  <c:v>3.5301952668074428</c:v>
                </c:pt>
                <c:pt idx="2">
                  <c:v>3.0325500058089316</c:v>
                </c:pt>
                <c:pt idx="3">
                  <c:v>4.201398547075331</c:v>
                </c:pt>
                <c:pt idx="4">
                  <c:v>3.5301952668074428</c:v>
                </c:pt>
                <c:pt idx="5">
                  <c:v>3.0325500058089316</c:v>
                </c:pt>
                <c:pt idx="6">
                  <c:v>8.402797094150662</c:v>
                </c:pt>
                <c:pt idx="7">
                  <c:v>7.0603905336148856</c:v>
                </c:pt>
                <c:pt idx="8">
                  <c:v>6.0651000116178633</c:v>
                </c:pt>
              </c:numCache>
            </c:numRef>
          </c:val>
          <c:extLst>
            <c:ext xmlns:c16="http://schemas.microsoft.com/office/drawing/2014/chart" uri="{C3380CC4-5D6E-409C-BE32-E72D297353CC}">
              <c16:uniqueId val="{00000007-93D8-4F22-A5E2-C6A6DA755200}"/>
            </c:ext>
          </c:extLst>
        </c:ser>
        <c:ser>
          <c:idx val="6"/>
          <c:order val="5"/>
          <c:tx>
            <c:strRef>
              <c:f>'Figure Results ReCiPe (H)'!$I$5</c:f>
              <c:strCache>
                <c:ptCount val="1"/>
                <c:pt idx="0">
                  <c:v>Operation - DAC</c:v>
                </c:pt>
              </c:strCache>
            </c:strRef>
          </c:tx>
          <c:spPr>
            <a:solidFill>
              <a:schemeClr val="accent2">
                <a:lumMod val="75000"/>
              </a:schemeClr>
            </a:solidFill>
            <a:ln>
              <a:noFill/>
            </a:ln>
            <a:effectLst/>
          </c:spPr>
          <c:invertIfNegative val="0"/>
          <c:cat>
            <c:multiLvlStrRef>
              <c:f>'Figure Results ReCiPe (H)'!$A$6:$B$14</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(H)'!$I$6:$I$14</c:f>
              <c:numCache>
                <c:formatCode>0.00E+00</c:formatCode>
                <c:ptCount val="9"/>
                <c:pt idx="0">
                  <c:v>575.06611068071641</c:v>
                </c:pt>
                <c:pt idx="1">
                  <c:v>123.28289086735381</c:v>
                </c:pt>
                <c:pt idx="2">
                  <c:v>-1.7017745936380504</c:v>
                </c:pt>
                <c:pt idx="3">
                  <c:v>443.48370274691973</c:v>
                </c:pt>
                <c:pt idx="4">
                  <c:v>96.772526359985974</c:v>
                </c:pt>
                <c:pt idx="5">
                  <c:v>0.25962057718256326</c:v>
                </c:pt>
                <c:pt idx="6">
                  <c:v>70.882385297689595</c:v>
                </c:pt>
                <c:pt idx="7">
                  <c:v>50.4086136689697</c:v>
                </c:pt>
                <c:pt idx="8">
                  <c:v>38.74344373594483</c:v>
                </c:pt>
              </c:numCache>
            </c:numRef>
          </c:val>
          <c:extLst>
            <c:ext xmlns:c16="http://schemas.microsoft.com/office/drawing/2014/chart" uri="{C3380CC4-5D6E-409C-BE32-E72D297353CC}">
              <c16:uniqueId val="{00000008-93D8-4F22-A5E2-C6A6DA755200}"/>
            </c:ext>
          </c:extLst>
        </c:ser>
        <c:ser>
          <c:idx val="7"/>
          <c:order val="6"/>
          <c:tx>
            <c:strRef>
              <c:f>'Figure Results ReCiPe (H)'!$J$5</c:f>
              <c:strCache>
                <c:ptCount val="1"/>
                <c:pt idx="0">
                  <c:v>Operation - geological storage</c:v>
                </c:pt>
              </c:strCache>
            </c:strRef>
          </c:tx>
          <c:spPr>
            <a:solidFill>
              <a:schemeClr val="accent2">
                <a:lumMod val="50000"/>
              </a:schemeClr>
            </a:solidFill>
            <a:ln>
              <a:noFill/>
            </a:ln>
            <a:effectLst/>
          </c:spPr>
          <c:invertIfNegative val="0"/>
          <c:cat>
            <c:multiLvlStrRef>
              <c:f>'Figure Results ReCiPe (H)'!$A$6:$B$14</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(H)'!$J$6:$J$14</c:f>
              <c:numCache>
                <c:formatCode>0.00E+00</c:formatCode>
                <c:ptCount val="9"/>
                <c:pt idx="0">
                  <c:v>44.48175454947296</c:v>
                </c:pt>
                <c:pt idx="1">
                  <c:v>10.344861824112719</c:v>
                </c:pt>
                <c:pt idx="2">
                  <c:v>0.75686347530398235</c:v>
                </c:pt>
                <c:pt idx="3">
                  <c:v>44.48175454947296</c:v>
                </c:pt>
                <c:pt idx="4">
                  <c:v>10.344861824112719</c:v>
                </c:pt>
                <c:pt idx="5">
                  <c:v>0.75686347530398235</c:v>
                </c:pt>
                <c:pt idx="6">
                  <c:v>44.48175454947296</c:v>
                </c:pt>
                <c:pt idx="7">
                  <c:v>10.344861824112719</c:v>
                </c:pt>
                <c:pt idx="8">
                  <c:v>0.75686347530398235</c:v>
                </c:pt>
              </c:numCache>
            </c:numRef>
          </c:val>
          <c:extLst>
            <c:ext xmlns:c16="http://schemas.microsoft.com/office/drawing/2014/chart" uri="{C3380CC4-5D6E-409C-BE32-E72D297353CC}">
              <c16:uniqueId val="{00000009-93D8-4F22-A5E2-C6A6DA755200}"/>
            </c:ext>
          </c:extLst>
        </c:ser>
        <c:ser>
          <c:idx val="9"/>
          <c:order val="8"/>
          <c:tx>
            <c:strRef>
              <c:f>'Figure Results ReCiPe (H)'!$H$5</c:f>
              <c:strCache>
                <c:ptCount val="1"/>
                <c:pt idx="0">
                  <c:v>Battery</c:v>
                </c:pt>
              </c:strCache>
            </c:strRef>
          </c:tx>
          <c:spPr>
            <a:solidFill>
              <a:schemeClr val="accent6">
                <a:lumMod val="75000"/>
              </a:schemeClr>
            </a:solidFill>
            <a:ln w="19050">
              <a:noFill/>
            </a:ln>
            <a:effectLst/>
          </c:spPr>
          <c:invertIfNegative val="0"/>
          <c:cat>
            <c:multiLvlStrRef>
              <c:f>'Figure Results ReCiPe (H)'!$A$6:$B$14</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(H)'!$H$6:$H$14</c:f>
              <c:numCache>
                <c:formatCode>0.00E+00</c:formatCode>
                <c:ptCount val="9"/>
                <c:pt idx="0">
                  <c:v>0</c:v>
                </c:pt>
                <c:pt idx="1">
                  <c:v>0</c:v>
                </c:pt>
                <c:pt idx="2">
                  <c:v>0</c:v>
                </c:pt>
                <c:pt idx="3">
                  <c:v>0</c:v>
                </c:pt>
                <c:pt idx="4">
                  <c:v>0</c:v>
                </c:pt>
                <c:pt idx="5">
                  <c:v>0</c:v>
                </c:pt>
                <c:pt idx="6" formatCode="0.00">
                  <c:v>90.318785932629567</c:v>
                </c:pt>
                <c:pt idx="7" formatCode="0.00">
                  <c:v>82.290114568489102</c:v>
                </c:pt>
                <c:pt idx="8" formatCode="0.00">
                  <c:v>54.968424837753538</c:v>
                </c:pt>
              </c:numCache>
            </c:numRef>
          </c:val>
          <c:extLst>
            <c:ext xmlns:c16="http://schemas.microsoft.com/office/drawing/2014/chart" uri="{C3380CC4-5D6E-409C-BE32-E72D297353CC}">
              <c16:uniqueId val="{00000000-A32A-42AF-89B6-AF14CB4D220E}"/>
            </c:ext>
          </c:extLst>
        </c:ser>
        <c:ser>
          <c:idx val="8"/>
          <c:order val="9"/>
          <c:tx>
            <c:strRef>
              <c:f>'Figure Results ReCiPe (H)'!$K$5</c:f>
              <c:strCache>
                <c:ptCount val="1"/>
                <c:pt idx="0">
                  <c:v>CO2 captured and stored</c:v>
                </c:pt>
              </c:strCache>
            </c:strRef>
          </c:tx>
          <c:spPr>
            <a:solidFill>
              <a:schemeClr val="tx2">
                <a:lumMod val="20000"/>
                <a:lumOff val="80000"/>
              </a:schemeClr>
            </a:solidFill>
            <a:ln w="19050">
              <a:noFill/>
            </a:ln>
            <a:effectLst/>
          </c:spPr>
          <c:invertIfNegative val="0"/>
          <c:cat>
            <c:multiLvlStrRef>
              <c:f>'Figure Results ReCiPe (H)'!$A$6:$B$14</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(H)'!$K$6:$K$14</c:f>
              <c:numCache>
                <c:formatCode>0.00E+00</c:formatCode>
                <c:ptCount val="9"/>
                <c:pt idx="0">
                  <c:v>-1000</c:v>
                </c:pt>
                <c:pt idx="1">
                  <c:v>-1000</c:v>
                </c:pt>
                <c:pt idx="2">
                  <c:v>-1000</c:v>
                </c:pt>
                <c:pt idx="3">
                  <c:v>-1000</c:v>
                </c:pt>
                <c:pt idx="4">
                  <c:v>-1000</c:v>
                </c:pt>
                <c:pt idx="5">
                  <c:v>-1000</c:v>
                </c:pt>
                <c:pt idx="6">
                  <c:v>-1000</c:v>
                </c:pt>
                <c:pt idx="7">
                  <c:v>-1000</c:v>
                </c:pt>
                <c:pt idx="8">
                  <c:v>-1000</c:v>
                </c:pt>
              </c:numCache>
            </c:numRef>
          </c:val>
          <c:extLst>
            <c:ext xmlns:c16="http://schemas.microsoft.com/office/drawing/2014/chart" uri="{C3380CC4-5D6E-409C-BE32-E72D297353CC}">
              <c16:uniqueId val="{00000000-2249-4B1C-94B4-9E6414C61F1F}"/>
            </c:ext>
          </c:extLst>
        </c:ser>
        <c:dLbls>
          <c:showLegendKey val="0"/>
          <c:showVal val="0"/>
          <c:showCatName val="0"/>
          <c:showSerName val="0"/>
          <c:showPercent val="0"/>
          <c:showBubbleSize val="0"/>
        </c:dLbls>
        <c:gapWidth val="150"/>
        <c:overlap val="100"/>
        <c:axId val="134262272"/>
        <c:axId val="135299072"/>
      </c:barChart>
      <c:scatterChart>
        <c:scatterStyle val="lineMarker"/>
        <c:varyColors val="0"/>
        <c:ser>
          <c:idx val="2"/>
          <c:order val="7"/>
          <c:tx>
            <c:strRef>
              <c:f>'Figure Results ReCiPe (H)'!$L$5</c:f>
              <c:strCache>
                <c:ptCount val="1"/>
                <c:pt idx="0">
                  <c:v>Total</c:v>
                </c:pt>
              </c:strCache>
            </c:strRef>
          </c:tx>
          <c:spPr>
            <a:ln w="19050" cap="rnd" cmpd="sng" algn="ctr">
              <a:noFill/>
              <a:prstDash val="solid"/>
              <a:round/>
            </a:ln>
            <a:effectLst/>
          </c:spPr>
          <c:marker>
            <c:symbol val="circle"/>
            <c:size val="7"/>
            <c:spPr>
              <a:solidFill>
                <a:schemeClr val="tx1"/>
              </a:solidFill>
              <a:ln w="6350" cap="flat" cmpd="sng" algn="ctr">
                <a:noFill/>
                <a:prstDash val="solid"/>
                <a:round/>
              </a:ln>
              <a:effectLst/>
            </c:spPr>
          </c:marker>
          <c:dLbls>
            <c:spPr>
              <a:noFill/>
              <a:ln>
                <a:noFill/>
              </a:ln>
              <a:effectLst/>
            </c:spPr>
            <c:txPr>
              <a:bodyPr rot="0" spcFirstLastPara="1" vertOverflow="ellipsis" vert="horz" wrap="square" lIns="0" tIns="0" rIns="0" bIns="0" anchor="ctr" anchorCtr="1"/>
              <a:lstStyle/>
              <a:p>
                <a:pPr>
                  <a:defRPr sz="1200" b="0"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dLblPos val="t"/>
            <c:showLegendKey val="0"/>
            <c:showVal val="0"/>
            <c:showCatName val="1"/>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LeaderLines val="1"/>
                <c15:leaderLines>
                  <c:spPr>
                    <a:ln w="6350" cap="flat" cmpd="sng" algn="ctr">
                      <a:solidFill>
                        <a:schemeClr val="tx1"/>
                      </a:solidFill>
                      <a:prstDash val="solid"/>
                      <a:round/>
                    </a:ln>
                    <a:effectLst/>
                  </c:spPr>
                </c15:leaderLines>
              </c:ext>
            </c:extLst>
          </c:dLbls>
          <c:xVal>
            <c:numRef>
              <c:f>'Figure Results ReCiPe (H)'!$L$6:$L$14</c:f>
              <c:numCache>
                <c:formatCode>0</c:formatCode>
                <c:ptCount val="9"/>
                <c:pt idx="0">
                  <c:v>-359.63392604322115</c:v>
                </c:pt>
                <c:pt idx="1">
                  <c:v>-847.44505104778398</c:v>
                </c:pt>
                <c:pt idx="2">
                  <c:v>-985.78211035370691</c:v>
                </c:pt>
                <c:pt idx="3">
                  <c:v>-491.21633397701771</c:v>
                </c:pt>
                <c:pt idx="4">
                  <c:v>-873.95541555515172</c:v>
                </c:pt>
                <c:pt idx="5">
                  <c:v>-983.82071518288637</c:v>
                </c:pt>
                <c:pt idx="6">
                  <c:v>-757.05881147837772</c:v>
                </c:pt>
                <c:pt idx="7">
                  <c:v>-823.39328085256852</c:v>
                </c:pt>
                <c:pt idx="8">
                  <c:v>-879.31338914441756</c:v>
                </c:pt>
              </c:numCache>
            </c:numRef>
          </c:xVal>
          <c:yVal>
            <c:numRef>
              <c:f>'Figure Results ReCiPe (H)'!$M$6:$M$14</c:f>
              <c:numCache>
                <c:formatCode>General</c:formatCode>
                <c:ptCount val="9"/>
                <c:pt idx="0">
                  <c:v>8.5</c:v>
                </c:pt>
                <c:pt idx="1">
                  <c:v>7.5</c:v>
                </c:pt>
                <c:pt idx="2">
                  <c:v>6.5</c:v>
                </c:pt>
                <c:pt idx="3">
                  <c:v>5.5</c:v>
                </c:pt>
                <c:pt idx="4">
                  <c:v>4.5</c:v>
                </c:pt>
                <c:pt idx="5">
                  <c:v>3.5</c:v>
                </c:pt>
                <c:pt idx="6">
                  <c:v>2.5</c:v>
                </c:pt>
                <c:pt idx="7">
                  <c:v>1.5</c:v>
                </c:pt>
                <c:pt idx="8">
                  <c:v>0.5</c:v>
                </c:pt>
              </c:numCache>
            </c:numRef>
          </c:yVal>
          <c:smooth val="0"/>
          <c:extLst>
            <c:ext xmlns:c16="http://schemas.microsoft.com/office/drawing/2014/chart" uri="{C3380CC4-5D6E-409C-BE32-E72D297353CC}">
              <c16:uniqueId val="{00000002-B6B8-43FF-925A-F9C620E826FC}"/>
            </c:ext>
          </c:extLst>
        </c:ser>
        <c:dLbls>
          <c:showLegendKey val="0"/>
          <c:showVal val="0"/>
          <c:showCatName val="0"/>
          <c:showSerName val="0"/>
          <c:showPercent val="0"/>
          <c:showBubbleSize val="0"/>
        </c:dLbls>
        <c:axId val="620675072"/>
        <c:axId val="620677376"/>
      </c:scatterChart>
      <c:catAx>
        <c:axId val="134262272"/>
        <c:scaling>
          <c:orientation val="maxMin"/>
        </c:scaling>
        <c:delete val="0"/>
        <c:axPos val="l"/>
        <c:numFmt formatCode="@" sourceLinked="0"/>
        <c:majorTickMark val="none"/>
        <c:minorTickMark val="none"/>
        <c:tickLblPos val="low"/>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200" b="1"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crossAx val="135299072"/>
        <c:crossesAt val="0"/>
        <c:auto val="1"/>
        <c:lblAlgn val="ctr"/>
        <c:lblOffset val="100"/>
        <c:noMultiLvlLbl val="0"/>
      </c:catAx>
      <c:valAx>
        <c:axId val="135299072"/>
        <c:scaling>
          <c:orientation val="minMax"/>
          <c:max val="1200"/>
          <c:min val="-1200"/>
        </c:scaling>
        <c:delete val="0"/>
        <c:axPos val="b"/>
        <c:title>
          <c:tx>
            <c:rich>
              <a:bodyPr rot="0" spcFirstLastPara="1" vertOverflow="ellipsis" vert="horz" wrap="square" anchor="ctr" anchorCtr="1"/>
              <a:lstStyle/>
              <a:p>
                <a:pPr>
                  <a:defRPr sz="1200" b="1" i="0" u="none" strike="noStrike" kern="1200" baseline="0">
                    <a:solidFill>
                      <a:schemeClr val="tx1"/>
                    </a:solidFill>
                    <a:latin typeface="Verdana Pro" panose="020B0604030504040204" pitchFamily="34" charset="0"/>
                    <a:ea typeface="+mn-ea"/>
                    <a:cs typeface="Times New Roman" panose="02020603050405020304" pitchFamily="18" charset="0"/>
                  </a:defRPr>
                </a:pPr>
                <a:r>
                  <a:rPr lang="en-GB"/>
                  <a:t>Climate change [kg CO</a:t>
                </a:r>
                <a:r>
                  <a:rPr lang="en-GB" baseline="-25000"/>
                  <a:t>2-eq</a:t>
                </a:r>
                <a:r>
                  <a:rPr lang="en-GB"/>
                  <a:t>/ton CO</a:t>
                </a:r>
                <a:r>
                  <a:rPr lang="en-GB" baseline="-25000"/>
                  <a:t>2</a:t>
                </a:r>
                <a:r>
                  <a:rPr lang="en-GB"/>
                  <a:t> captured and stored]</a:t>
                </a:r>
              </a:p>
            </c:rich>
          </c:tx>
          <c:layout>
            <c:manualLayout>
              <c:xMode val="edge"/>
              <c:yMode val="edge"/>
              <c:x val="0.27800052377388296"/>
              <c:y val="0.78551286617398275"/>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title>
        <c:numFmt formatCode="0" sourceLinked="0"/>
        <c:majorTickMark val="out"/>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200" b="0"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crossAx val="134262272"/>
        <c:crosses val="max"/>
        <c:crossBetween val="between"/>
        <c:majorUnit val="300"/>
      </c:valAx>
      <c:valAx>
        <c:axId val="620677376"/>
        <c:scaling>
          <c:orientation val="minMax"/>
        </c:scaling>
        <c:delete val="1"/>
        <c:axPos val="r"/>
        <c:numFmt formatCode="General" sourceLinked="1"/>
        <c:majorTickMark val="out"/>
        <c:minorTickMark val="none"/>
        <c:tickLblPos val="nextTo"/>
        <c:crossAx val="620675072"/>
        <c:crosses val="max"/>
        <c:crossBetween val="midCat"/>
      </c:valAx>
      <c:valAx>
        <c:axId val="620675072"/>
        <c:scaling>
          <c:orientation val="minMax"/>
        </c:scaling>
        <c:delete val="1"/>
        <c:axPos val="b"/>
        <c:numFmt formatCode="0" sourceLinked="1"/>
        <c:majorTickMark val="out"/>
        <c:minorTickMark val="none"/>
        <c:tickLblPos val="nextTo"/>
        <c:crossAx val="620677376"/>
        <c:crossesAt val="0"/>
        <c:crossBetween val="midCat"/>
      </c:valAx>
      <c:spPr>
        <a:solidFill>
          <a:schemeClr val="bg1"/>
        </a:solidFill>
        <a:ln>
          <a:noFill/>
        </a:ln>
        <a:effectLst/>
      </c:spPr>
    </c:plotArea>
    <c:legend>
      <c:legendPos val="b"/>
      <c:layout>
        <c:manualLayout>
          <c:xMode val="edge"/>
          <c:yMode val="edge"/>
          <c:x val="0"/>
          <c:y val="0.85299752179962662"/>
          <c:w val="1"/>
          <c:h val="0.14488198973620317"/>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legend>
    <c:plotVisOnly val="1"/>
    <c:dispBlanksAs val="gap"/>
    <c:showDLblsOverMax val="0"/>
  </c:chart>
  <c:spPr>
    <a:noFill/>
    <a:ln w="6350" cap="flat" cmpd="sng" algn="ctr">
      <a:noFill/>
      <a:prstDash val="solid"/>
      <a:round/>
    </a:ln>
    <a:effectLst/>
  </c:spPr>
  <c:txPr>
    <a:bodyPr/>
    <a:lstStyle/>
    <a:p>
      <a:pPr>
        <a:defRPr sz="1200">
          <a:solidFill>
            <a:schemeClr val="tx1"/>
          </a:solidFill>
          <a:latin typeface="Verdana Pro" panose="020B0604030504040204" pitchFamily="34" charset="0"/>
          <a:cs typeface="Times New Roman" panose="02020603050405020304" pitchFamily="18" charset="0"/>
        </a:defRPr>
      </a:pPr>
      <a:endParaRPr lang="en-N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baseline="0">
                <a:solidFill>
                  <a:schemeClr val="tx1"/>
                </a:solidFill>
                <a:latin typeface="Verdana Pro" panose="020B0604030504040204" pitchFamily="34" charset="0"/>
                <a:ea typeface="+mn-ea"/>
                <a:cs typeface="Times New Roman" panose="02020603050405020304" pitchFamily="18" charset="0"/>
              </a:defRPr>
            </a:pPr>
            <a:r>
              <a:rPr lang="en-GB" b="0" i="1"/>
              <a:t>Benefits 		Burdens</a:t>
            </a:r>
          </a:p>
        </c:rich>
      </c:tx>
      <c:layout>
        <c:manualLayout>
          <c:xMode val="edge"/>
          <c:yMode val="edge"/>
          <c:x val="0.41612055886789057"/>
          <c:y val="3.6010695580724049E-4"/>
        </c:manualLayout>
      </c:layout>
      <c:overlay val="0"/>
      <c:spPr>
        <a:noFill/>
        <a:ln>
          <a:noFill/>
        </a:ln>
        <a:effectLst/>
      </c:spPr>
      <c:txPr>
        <a:bodyPr rot="0" spcFirstLastPara="1" vertOverflow="ellipsis" vert="horz" wrap="square" anchor="ctr" anchorCtr="1"/>
        <a:lstStyle/>
        <a:p>
          <a:pPr>
            <a:defRPr sz="1440" b="1"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title>
    <c:autoTitleDeleted val="0"/>
    <c:plotArea>
      <c:layout>
        <c:manualLayout>
          <c:layoutTarget val="inner"/>
          <c:xMode val="edge"/>
          <c:yMode val="edge"/>
          <c:x val="0.10872056492635196"/>
          <c:y val="0.11409636871261428"/>
          <c:w val="0.86761107490211198"/>
          <c:h val="0.57683998234902512"/>
        </c:manualLayout>
      </c:layout>
      <c:barChart>
        <c:barDir val="bar"/>
        <c:grouping val="stacked"/>
        <c:varyColors val="0"/>
        <c:ser>
          <c:idx val="0"/>
          <c:order val="0"/>
          <c:tx>
            <c:strRef>
              <c:f>'Figure Results ReCiPe (I)'!$C$5</c:f>
              <c:strCache>
                <c:ptCount val="1"/>
                <c:pt idx="0">
                  <c:v>Construction - DAC</c:v>
                </c:pt>
              </c:strCache>
            </c:strRef>
          </c:tx>
          <c:spPr>
            <a:solidFill>
              <a:schemeClr val="accent4">
                <a:lumMod val="75000"/>
              </a:schemeClr>
            </a:solidFill>
            <a:ln>
              <a:noFill/>
            </a:ln>
            <a:effectLst/>
          </c:spPr>
          <c:invertIfNegative val="0"/>
          <c:cat>
            <c:multiLvlStrRef>
              <c:f>'Figure Results ReCiPe (I)'!$A$20:$B$28</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(I)'!$C$20:$C$28</c:f>
              <c:numCache>
                <c:formatCode>0</c:formatCode>
                <c:ptCount val="9"/>
                <c:pt idx="0">
                  <c:v>43.812957792641285</c:v>
                </c:pt>
                <c:pt idx="1">
                  <c:v>41.77423562439332</c:v>
                </c:pt>
                <c:pt idx="2">
                  <c:v>36.152447217254199</c:v>
                </c:pt>
                <c:pt idx="3">
                  <c:v>43.812957792641285</c:v>
                </c:pt>
                <c:pt idx="4">
                  <c:v>41.77423562439332</c:v>
                </c:pt>
                <c:pt idx="5">
                  <c:v>36.152447217254199</c:v>
                </c:pt>
                <c:pt idx="6">
                  <c:v>81.509088285324069</c:v>
                </c:pt>
                <c:pt idx="7">
                  <c:v>77.468792775947321</c:v>
                </c:pt>
                <c:pt idx="8">
                  <c:v>66.328680917544901</c:v>
                </c:pt>
              </c:numCache>
            </c:numRef>
          </c:val>
          <c:extLst>
            <c:ext xmlns:c16="http://schemas.microsoft.com/office/drawing/2014/chart" uri="{C3380CC4-5D6E-409C-BE32-E72D297353CC}">
              <c16:uniqueId val="{00000000-1AA7-406E-927B-2F98891E273B}"/>
            </c:ext>
          </c:extLst>
        </c:ser>
        <c:ser>
          <c:idx val="1"/>
          <c:order val="1"/>
          <c:tx>
            <c:strRef>
              <c:f>'Figure Results ReCiPe (I)'!$D$5</c:f>
              <c:strCache>
                <c:ptCount val="1"/>
                <c:pt idx="0">
                  <c:v>Construction - geological storage</c:v>
                </c:pt>
              </c:strCache>
            </c:strRef>
          </c:tx>
          <c:spPr>
            <a:solidFill>
              <a:schemeClr val="accent4">
                <a:lumMod val="60000"/>
                <a:lumOff val="40000"/>
              </a:schemeClr>
            </a:solidFill>
            <a:ln>
              <a:noFill/>
            </a:ln>
            <a:effectLst/>
          </c:spPr>
          <c:invertIfNegative val="0"/>
          <c:cat>
            <c:multiLvlStrRef>
              <c:f>'Figure Results ReCiPe (I)'!$A$20:$B$28</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(I)'!$D$20:$D$28</c:f>
              <c:numCache>
                <c:formatCode>0</c:formatCode>
                <c:ptCount val="9"/>
                <c:pt idx="0">
                  <c:v>2.2328694640301179</c:v>
                </c:pt>
                <c:pt idx="1">
                  <c:v>2.134640684270519</c:v>
                </c:pt>
                <c:pt idx="2">
                  <c:v>1.9993022840392169</c:v>
                </c:pt>
                <c:pt idx="3">
                  <c:v>2.2328694640301179</c:v>
                </c:pt>
                <c:pt idx="4">
                  <c:v>2.134640684270519</c:v>
                </c:pt>
                <c:pt idx="5">
                  <c:v>1.9993022840392169</c:v>
                </c:pt>
                <c:pt idx="6">
                  <c:v>2.2328694640301179</c:v>
                </c:pt>
                <c:pt idx="7">
                  <c:v>2.134640684270519</c:v>
                </c:pt>
                <c:pt idx="8">
                  <c:v>1.9993022840392169</c:v>
                </c:pt>
              </c:numCache>
            </c:numRef>
          </c:val>
          <c:extLst>
            <c:ext xmlns:c16="http://schemas.microsoft.com/office/drawing/2014/chart" uri="{C3380CC4-5D6E-409C-BE32-E72D297353CC}">
              <c16:uniqueId val="{00000001-1AA7-406E-927B-2F98891E273B}"/>
            </c:ext>
          </c:extLst>
        </c:ser>
        <c:ser>
          <c:idx val="3"/>
          <c:order val="3"/>
          <c:tx>
            <c:strRef>
              <c:f>'Figure Results ReCiPe (I)'!$E$5</c:f>
              <c:strCache>
                <c:ptCount val="1"/>
                <c:pt idx="0">
                  <c:v>Deconstruction - DAC</c:v>
                </c:pt>
              </c:strCache>
            </c:strRef>
          </c:tx>
          <c:spPr>
            <a:solidFill>
              <a:schemeClr val="accent2">
                <a:lumMod val="40000"/>
                <a:lumOff val="60000"/>
              </a:schemeClr>
            </a:solidFill>
            <a:ln>
              <a:noFill/>
            </a:ln>
            <a:effectLst/>
          </c:spPr>
          <c:invertIfNegative val="0"/>
          <c:cat>
            <c:multiLvlStrRef>
              <c:f>'Figure Results ReCiPe (I)'!$A$20:$B$28</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(I)'!$E$20:$E$28</c:f>
              <c:numCache>
                <c:formatCode>0</c:formatCode>
                <c:ptCount val="9"/>
                <c:pt idx="0">
                  <c:v>0.49552487485115543</c:v>
                </c:pt>
                <c:pt idx="1">
                  <c:v>0.4956020537347281</c:v>
                </c:pt>
                <c:pt idx="2">
                  <c:v>0.52685374557554843</c:v>
                </c:pt>
                <c:pt idx="3">
                  <c:v>0.49552487485115543</c:v>
                </c:pt>
                <c:pt idx="4">
                  <c:v>0.4956020537347281</c:v>
                </c:pt>
                <c:pt idx="5">
                  <c:v>0.52685374557554843</c:v>
                </c:pt>
                <c:pt idx="6">
                  <c:v>0.99104974970231086</c:v>
                </c:pt>
                <c:pt idx="7">
                  <c:v>0.9912041074694562</c:v>
                </c:pt>
                <c:pt idx="8">
                  <c:v>1.0537074911510969</c:v>
                </c:pt>
              </c:numCache>
            </c:numRef>
          </c:val>
          <c:extLst>
            <c:ext xmlns:c16="http://schemas.microsoft.com/office/drawing/2014/chart" uri="{C3380CC4-5D6E-409C-BE32-E72D297353CC}">
              <c16:uniqueId val="{00000002-1AA7-406E-927B-2F98891E273B}"/>
            </c:ext>
          </c:extLst>
        </c:ser>
        <c:ser>
          <c:idx val="4"/>
          <c:order val="4"/>
          <c:tx>
            <c:strRef>
              <c:f>'Figure Results ReCiPe (I)'!$F$5</c:f>
              <c:strCache>
                <c:ptCount val="1"/>
                <c:pt idx="0">
                  <c:v>Deconstruction - geological storage</c:v>
                </c:pt>
              </c:strCache>
            </c:strRef>
          </c:tx>
          <c:spPr>
            <a:solidFill>
              <a:srgbClr val="FF9900"/>
            </a:solidFill>
            <a:ln>
              <a:noFill/>
            </a:ln>
            <a:effectLst/>
          </c:spPr>
          <c:invertIfNegative val="0"/>
          <c:cat>
            <c:multiLvlStrRef>
              <c:f>'Figure Results ReCiPe (I)'!$A$20:$B$28</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(I)'!$F$20:$F$28</c:f>
              <c:numCache>
                <c:formatCode>0</c:formatCode>
                <c:ptCount val="9"/>
                <c:pt idx="0">
                  <c:v>1.5598354448040979E-2</c:v>
                </c:pt>
                <c:pt idx="1">
                  <c:v>1.5589426826469951E-2</c:v>
                </c:pt>
                <c:pt idx="2">
                  <c:v>1.6748904685144825E-2</c:v>
                </c:pt>
                <c:pt idx="3">
                  <c:v>1.5598354448040979E-2</c:v>
                </c:pt>
                <c:pt idx="4">
                  <c:v>1.5589426826469951E-2</c:v>
                </c:pt>
                <c:pt idx="5">
                  <c:v>1.6748904685144825E-2</c:v>
                </c:pt>
                <c:pt idx="6">
                  <c:v>1.5598354448040979E-2</c:v>
                </c:pt>
                <c:pt idx="7">
                  <c:v>1.5589426826469951E-2</c:v>
                </c:pt>
                <c:pt idx="8">
                  <c:v>1.6748904685144825E-2</c:v>
                </c:pt>
              </c:numCache>
            </c:numRef>
          </c:val>
          <c:extLst>
            <c:ext xmlns:c16="http://schemas.microsoft.com/office/drawing/2014/chart" uri="{C3380CC4-5D6E-409C-BE32-E72D297353CC}">
              <c16:uniqueId val="{00000003-1AA7-406E-927B-2F98891E273B}"/>
            </c:ext>
          </c:extLst>
        </c:ser>
        <c:ser>
          <c:idx val="5"/>
          <c:order val="5"/>
          <c:tx>
            <c:strRef>
              <c:f>'Figure Results ReCiPe (I)'!$G$5</c:f>
              <c:strCache>
                <c:ptCount val="1"/>
                <c:pt idx="0">
                  <c:v>Sorbent material</c:v>
                </c:pt>
              </c:strCache>
            </c:strRef>
          </c:tx>
          <c:spPr>
            <a:solidFill>
              <a:srgbClr val="FF8F8F"/>
            </a:solidFill>
            <a:ln>
              <a:noFill/>
            </a:ln>
            <a:effectLst/>
          </c:spPr>
          <c:invertIfNegative val="0"/>
          <c:cat>
            <c:multiLvlStrRef>
              <c:f>'Figure Results ReCiPe (I)'!$A$20:$B$28</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(I)'!$G$20:$G$28</c:f>
              <c:numCache>
                <c:formatCode>0</c:formatCode>
                <c:ptCount val="9"/>
                <c:pt idx="0">
                  <c:v>6.7793379736803612</c:v>
                </c:pt>
                <c:pt idx="1">
                  <c:v>5.807291026588862</c:v>
                </c:pt>
                <c:pt idx="2">
                  <c:v>5.3243205029919389</c:v>
                </c:pt>
                <c:pt idx="3">
                  <c:v>6.7793379736803612</c:v>
                </c:pt>
                <c:pt idx="4">
                  <c:v>5.807291026588862</c:v>
                </c:pt>
                <c:pt idx="5">
                  <c:v>5.3243205029919389</c:v>
                </c:pt>
                <c:pt idx="6">
                  <c:v>13.558675947360722</c:v>
                </c:pt>
                <c:pt idx="7">
                  <c:v>11.614582053177724</c:v>
                </c:pt>
                <c:pt idx="8">
                  <c:v>10.648641005983878</c:v>
                </c:pt>
              </c:numCache>
            </c:numRef>
          </c:val>
          <c:extLst>
            <c:ext xmlns:c16="http://schemas.microsoft.com/office/drawing/2014/chart" uri="{C3380CC4-5D6E-409C-BE32-E72D297353CC}">
              <c16:uniqueId val="{00000004-1AA7-406E-927B-2F98891E273B}"/>
            </c:ext>
          </c:extLst>
        </c:ser>
        <c:ser>
          <c:idx val="7"/>
          <c:order val="6"/>
          <c:tx>
            <c:strRef>
              <c:f>'Figure Results ReCiPe (I)'!$I$5</c:f>
              <c:strCache>
                <c:ptCount val="1"/>
                <c:pt idx="0">
                  <c:v>Operation - DAC</c:v>
                </c:pt>
              </c:strCache>
            </c:strRef>
          </c:tx>
          <c:spPr>
            <a:solidFill>
              <a:schemeClr val="accent2">
                <a:lumMod val="75000"/>
              </a:schemeClr>
            </a:solidFill>
            <a:ln>
              <a:noFill/>
            </a:ln>
            <a:effectLst/>
          </c:spPr>
          <c:invertIfNegative val="0"/>
          <c:cat>
            <c:multiLvlStrRef>
              <c:f>'Figure Results ReCiPe (I)'!$A$20:$B$28</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(I)'!$I$20:$I$28</c:f>
              <c:numCache>
                <c:formatCode>0</c:formatCode>
                <c:ptCount val="9"/>
                <c:pt idx="0">
                  <c:v>1154.9633231724424</c:v>
                </c:pt>
                <c:pt idx="1">
                  <c:v>330.11906104006954</c:v>
                </c:pt>
                <c:pt idx="2">
                  <c:v>238.91879287545524</c:v>
                </c:pt>
                <c:pt idx="3">
                  <c:v>912.44181982257294</c:v>
                </c:pt>
                <c:pt idx="4">
                  <c:v>280.15661044715296</c:v>
                </c:pt>
                <c:pt idx="5">
                  <c:v>210.10770405265143</c:v>
                </c:pt>
                <c:pt idx="6">
                  <c:v>416.51716547569799</c:v>
                </c:pt>
                <c:pt idx="7">
                  <c:v>389.4571631020483</c:v>
                </c:pt>
                <c:pt idx="8">
                  <c:v>380.86000770104482</c:v>
                </c:pt>
              </c:numCache>
            </c:numRef>
          </c:val>
          <c:extLst>
            <c:ext xmlns:c16="http://schemas.microsoft.com/office/drawing/2014/chart" uri="{C3380CC4-5D6E-409C-BE32-E72D297353CC}">
              <c16:uniqueId val="{00000005-1AA7-406E-927B-2F98891E273B}"/>
            </c:ext>
          </c:extLst>
        </c:ser>
        <c:ser>
          <c:idx val="6"/>
          <c:order val="7"/>
          <c:tx>
            <c:strRef>
              <c:f>'Figure Results ReCiPe (I)'!$J$5</c:f>
              <c:strCache>
                <c:ptCount val="1"/>
                <c:pt idx="0">
                  <c:v>Operation - geological storage</c:v>
                </c:pt>
              </c:strCache>
            </c:strRef>
          </c:tx>
          <c:spPr>
            <a:solidFill>
              <a:schemeClr val="accent2">
                <a:lumMod val="50000"/>
              </a:schemeClr>
            </a:solidFill>
            <a:ln w="19050">
              <a:noFill/>
            </a:ln>
            <a:effectLst/>
          </c:spPr>
          <c:invertIfNegative val="0"/>
          <c:cat>
            <c:multiLvlStrRef>
              <c:f>'Figure Results ReCiPe (I)'!$A$20:$B$28</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(I)'!$J$20:$J$28</c:f>
              <c:numCache>
                <c:formatCode>0</c:formatCode>
                <c:ptCount val="9"/>
                <c:pt idx="0">
                  <c:v>98.516709870010587</c:v>
                </c:pt>
                <c:pt idx="1">
                  <c:v>36.284884994475313</c:v>
                </c:pt>
                <c:pt idx="2">
                  <c:v>29.186540527348029</c:v>
                </c:pt>
                <c:pt idx="3">
                  <c:v>0.2265884327010243</c:v>
                </c:pt>
                <c:pt idx="4">
                  <c:v>8.3455235487293181E-2</c:v>
                </c:pt>
                <c:pt idx="5">
                  <c:v>6.7129043212900474E-2</c:v>
                </c:pt>
                <c:pt idx="6">
                  <c:v>98.516709870010587</c:v>
                </c:pt>
                <c:pt idx="7">
                  <c:v>36.284884994475313</c:v>
                </c:pt>
                <c:pt idx="8">
                  <c:v>29.186540527348029</c:v>
                </c:pt>
              </c:numCache>
            </c:numRef>
          </c:val>
          <c:extLst>
            <c:ext xmlns:c16="http://schemas.microsoft.com/office/drawing/2014/chart" uri="{C3380CC4-5D6E-409C-BE32-E72D297353CC}">
              <c16:uniqueId val="{00000006-1AA7-406E-927B-2F98891E273B}"/>
            </c:ext>
          </c:extLst>
        </c:ser>
        <c:ser>
          <c:idx val="8"/>
          <c:order val="8"/>
          <c:tx>
            <c:strRef>
              <c:f>'Figure Results ReCiPe (I)'!$K$5</c:f>
              <c:strCache>
                <c:ptCount val="1"/>
                <c:pt idx="0">
                  <c:v>CO2 captured and stored</c:v>
                </c:pt>
              </c:strCache>
            </c:strRef>
          </c:tx>
          <c:spPr>
            <a:solidFill>
              <a:schemeClr val="tx2">
                <a:lumMod val="20000"/>
                <a:lumOff val="80000"/>
              </a:schemeClr>
            </a:solidFill>
            <a:ln>
              <a:noFill/>
            </a:ln>
            <a:effectLst/>
          </c:spPr>
          <c:invertIfNegative val="0"/>
          <c:cat>
            <c:multiLvlStrRef>
              <c:f>'Figure Results ReCiPe (I)'!$A$20:$B$28</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(I)'!$K$20:$K$28</c:f>
              <c:numCache>
                <c:formatCode>0</c:formatCode>
                <c:ptCount val="9"/>
                <c:pt idx="0">
                  <c:v>-532.01450000000034</c:v>
                </c:pt>
                <c:pt idx="1">
                  <c:v>-532.01450000000034</c:v>
                </c:pt>
                <c:pt idx="2">
                  <c:v>-532.01450000000034</c:v>
                </c:pt>
                <c:pt idx="3">
                  <c:v>-532.01450000000034</c:v>
                </c:pt>
                <c:pt idx="4">
                  <c:v>-532.01450000000034</c:v>
                </c:pt>
                <c:pt idx="5">
                  <c:v>-532.01450000000034</c:v>
                </c:pt>
                <c:pt idx="6">
                  <c:v>-532.01450000000034</c:v>
                </c:pt>
                <c:pt idx="7">
                  <c:v>-532.01450000000034</c:v>
                </c:pt>
                <c:pt idx="8">
                  <c:v>-532.01450000000034</c:v>
                </c:pt>
              </c:numCache>
            </c:numRef>
          </c:val>
          <c:extLst>
            <c:ext xmlns:c16="http://schemas.microsoft.com/office/drawing/2014/chart" uri="{C3380CC4-5D6E-409C-BE32-E72D297353CC}">
              <c16:uniqueId val="{00000007-1AA7-406E-927B-2F98891E273B}"/>
            </c:ext>
          </c:extLst>
        </c:ser>
        <c:ser>
          <c:idx val="9"/>
          <c:order val="9"/>
          <c:tx>
            <c:strRef>
              <c:f>'Figure Results ReCiPe (I)'!$H$19</c:f>
              <c:strCache>
                <c:ptCount val="1"/>
                <c:pt idx="0">
                  <c:v>Battery</c:v>
                </c:pt>
              </c:strCache>
            </c:strRef>
          </c:tx>
          <c:spPr>
            <a:solidFill>
              <a:schemeClr val="accent6">
                <a:lumMod val="75000"/>
              </a:schemeClr>
            </a:solidFill>
            <a:ln w="19050">
              <a:noFill/>
            </a:ln>
            <a:effectLst/>
          </c:spPr>
          <c:invertIfNegative val="0"/>
          <c:cat>
            <c:multiLvlStrRef>
              <c:f>'Figure Results ReCiPe (I)'!$A$20:$B$28</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(I)'!$H$20:$H$28</c:f>
              <c:numCache>
                <c:formatCode>0</c:formatCode>
                <c:ptCount val="9"/>
                <c:pt idx="0">
                  <c:v>0</c:v>
                </c:pt>
                <c:pt idx="1">
                  <c:v>0</c:v>
                </c:pt>
                <c:pt idx="2">
                  <c:v>0</c:v>
                </c:pt>
                <c:pt idx="3">
                  <c:v>0</c:v>
                </c:pt>
                <c:pt idx="4">
                  <c:v>0</c:v>
                </c:pt>
                <c:pt idx="5">
                  <c:v>0</c:v>
                </c:pt>
                <c:pt idx="6">
                  <c:v>582.61150210976382</c:v>
                </c:pt>
                <c:pt idx="7">
                  <c:v>567.92993826575389</c:v>
                </c:pt>
                <c:pt idx="8">
                  <c:v>518.29191677815152</c:v>
                </c:pt>
              </c:numCache>
            </c:numRef>
          </c:val>
          <c:extLst>
            <c:ext xmlns:c16="http://schemas.microsoft.com/office/drawing/2014/chart" uri="{C3380CC4-5D6E-409C-BE32-E72D297353CC}">
              <c16:uniqueId val="{00000008-1AA7-406E-927B-2F98891E273B}"/>
            </c:ext>
          </c:extLst>
        </c:ser>
        <c:dLbls>
          <c:showLegendKey val="0"/>
          <c:showVal val="0"/>
          <c:showCatName val="0"/>
          <c:showSerName val="0"/>
          <c:showPercent val="0"/>
          <c:showBubbleSize val="0"/>
        </c:dLbls>
        <c:gapWidth val="150"/>
        <c:overlap val="100"/>
        <c:axId val="134262272"/>
        <c:axId val="135299072"/>
      </c:barChart>
      <c:scatterChart>
        <c:scatterStyle val="lineMarker"/>
        <c:varyColors val="0"/>
        <c:ser>
          <c:idx val="2"/>
          <c:order val="2"/>
          <c:tx>
            <c:strRef>
              <c:f>'Figure Results ReCiPe (I)'!$L$19</c:f>
              <c:strCache>
                <c:ptCount val="1"/>
                <c:pt idx="0">
                  <c:v>Total</c:v>
                </c:pt>
              </c:strCache>
            </c:strRef>
          </c:tx>
          <c:spPr>
            <a:ln w="19050" cap="rnd" cmpd="sng" algn="ctr">
              <a:noFill/>
              <a:prstDash val="solid"/>
              <a:round/>
            </a:ln>
            <a:effectLst/>
          </c:spPr>
          <c:marker>
            <c:symbol val="circle"/>
            <c:size val="7"/>
            <c:spPr>
              <a:solidFill>
                <a:schemeClr val="tx1"/>
              </a:solidFill>
              <a:ln w="6350" cap="flat" cmpd="sng" algn="ctr">
                <a:noFill/>
                <a:prstDash val="solid"/>
                <a:round/>
              </a:ln>
              <a:effectLst/>
            </c:spPr>
          </c:marker>
          <c:dLbls>
            <c:numFmt formatCode="0" sourceLinked="0"/>
            <c:spPr>
              <a:noFill/>
              <a:ln>
                <a:noFill/>
              </a:ln>
              <a:effectLst/>
            </c:spPr>
            <c:txPr>
              <a:bodyPr rot="0" spcFirstLastPara="1" vertOverflow="ellipsis" vert="horz" wrap="square" lIns="0" tIns="0" rIns="0" bIns="0" anchor="ctr" anchorCtr="1"/>
              <a:lstStyle/>
              <a:p>
                <a:pPr>
                  <a:defRPr sz="1200" b="0"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dLblPos val="t"/>
            <c:showLegendKey val="0"/>
            <c:showVal val="0"/>
            <c:showCatName val="1"/>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LeaderLines val="1"/>
                <c15:leaderLines>
                  <c:spPr>
                    <a:ln w="6350" cap="flat" cmpd="sng" algn="ctr">
                      <a:solidFill>
                        <a:schemeClr val="tx1"/>
                      </a:solidFill>
                      <a:prstDash val="solid"/>
                      <a:round/>
                    </a:ln>
                    <a:effectLst/>
                  </c:spPr>
                </c15:leaderLines>
              </c:ext>
            </c:extLst>
          </c:dLbls>
          <c:xVal>
            <c:numRef>
              <c:f>'Figure Results ReCiPe (I)'!$L$20:$L$28</c:f>
              <c:numCache>
                <c:formatCode>0</c:formatCode>
                <c:ptCount val="9"/>
                <c:pt idx="0">
                  <c:v>774.80182150210362</c:v>
                </c:pt>
                <c:pt idx="1">
                  <c:v>-115.38319514964134</c:v>
                </c:pt>
                <c:pt idx="2">
                  <c:v>-219.88949394265074</c:v>
                </c:pt>
                <c:pt idx="3">
                  <c:v>433.99019671492505</c:v>
                </c:pt>
                <c:pt idx="4">
                  <c:v>-201.54707550154595</c:v>
                </c:pt>
                <c:pt idx="5">
                  <c:v>-277.81999424958963</c:v>
                </c:pt>
                <c:pt idx="6">
                  <c:v>663.93815925633749</c:v>
                </c:pt>
                <c:pt idx="7">
                  <c:v>553.88229540996872</c:v>
                </c:pt>
                <c:pt idx="8">
                  <c:v>476.37104560994874</c:v>
                </c:pt>
              </c:numCache>
            </c:numRef>
          </c:xVal>
          <c:yVal>
            <c:numRef>
              <c:f>'Figure Results ReCiPe (I)'!$M$20:$M$28</c:f>
              <c:numCache>
                <c:formatCode>General</c:formatCode>
                <c:ptCount val="9"/>
                <c:pt idx="0">
                  <c:v>8.5</c:v>
                </c:pt>
                <c:pt idx="1">
                  <c:v>7.5</c:v>
                </c:pt>
                <c:pt idx="2">
                  <c:v>6.5</c:v>
                </c:pt>
                <c:pt idx="3">
                  <c:v>5.5</c:v>
                </c:pt>
                <c:pt idx="4">
                  <c:v>4.5</c:v>
                </c:pt>
                <c:pt idx="5">
                  <c:v>3.5</c:v>
                </c:pt>
                <c:pt idx="6">
                  <c:v>2.5</c:v>
                </c:pt>
                <c:pt idx="7">
                  <c:v>1.5</c:v>
                </c:pt>
                <c:pt idx="8">
                  <c:v>0.5</c:v>
                </c:pt>
              </c:numCache>
            </c:numRef>
          </c:yVal>
          <c:smooth val="0"/>
          <c:extLst>
            <c:ext xmlns:c16="http://schemas.microsoft.com/office/drawing/2014/chart" uri="{C3380CC4-5D6E-409C-BE32-E72D297353CC}">
              <c16:uniqueId val="{00000009-1AA7-406E-927B-2F98891E273B}"/>
            </c:ext>
          </c:extLst>
        </c:ser>
        <c:dLbls>
          <c:showLegendKey val="0"/>
          <c:showVal val="0"/>
          <c:showCatName val="0"/>
          <c:showSerName val="0"/>
          <c:showPercent val="0"/>
          <c:showBubbleSize val="0"/>
        </c:dLbls>
        <c:axId val="620675072"/>
        <c:axId val="620677376"/>
      </c:scatterChart>
      <c:catAx>
        <c:axId val="134262272"/>
        <c:scaling>
          <c:orientation val="maxMin"/>
        </c:scaling>
        <c:delete val="0"/>
        <c:axPos val="l"/>
        <c:numFmt formatCode="@" sourceLinked="0"/>
        <c:majorTickMark val="none"/>
        <c:minorTickMark val="none"/>
        <c:tickLblPos val="low"/>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200" b="1"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crossAx val="135299072"/>
        <c:crossesAt val="0"/>
        <c:auto val="1"/>
        <c:lblAlgn val="ctr"/>
        <c:lblOffset val="100"/>
        <c:noMultiLvlLbl val="0"/>
      </c:catAx>
      <c:valAx>
        <c:axId val="135299072"/>
        <c:scaling>
          <c:orientation val="minMax"/>
          <c:min val="-1500"/>
        </c:scaling>
        <c:delete val="0"/>
        <c:axPos val="b"/>
        <c:title>
          <c:tx>
            <c:rich>
              <a:bodyPr rot="0" spcFirstLastPara="1" vertOverflow="ellipsis" vert="horz" wrap="square" anchor="ctr" anchorCtr="1"/>
              <a:lstStyle/>
              <a:p>
                <a:pPr>
                  <a:defRPr sz="1200" b="1" i="0" u="none" strike="noStrike" kern="1200" baseline="0">
                    <a:solidFill>
                      <a:schemeClr val="tx1"/>
                    </a:solidFill>
                    <a:latin typeface="Verdana Pro" panose="020B0604030504040204" pitchFamily="34" charset="0"/>
                    <a:ea typeface="+mn-ea"/>
                    <a:cs typeface="Times New Roman" panose="02020603050405020304" pitchFamily="18" charset="0"/>
                  </a:defRPr>
                </a:pPr>
                <a:r>
                  <a:rPr lang="en-GB"/>
                  <a:t>Ecosystem damage [10</a:t>
                </a:r>
                <a:r>
                  <a:rPr lang="en-GB" baseline="30000"/>
                  <a:t>-9</a:t>
                </a:r>
                <a:r>
                  <a:rPr lang="en-GB"/>
                  <a:t> species.year/ton CO</a:t>
                </a:r>
                <a:r>
                  <a:rPr lang="en-GB" baseline="-25000"/>
                  <a:t>2</a:t>
                </a:r>
                <a:r>
                  <a:rPr lang="en-GB"/>
                  <a:t> captured and stored]</a:t>
                </a:r>
              </a:p>
            </c:rich>
          </c:tx>
          <c:layout>
            <c:manualLayout>
              <c:xMode val="edge"/>
              <c:yMode val="edge"/>
              <c:x val="0.28699738748382636"/>
              <c:y val="0.77718768784982051"/>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title>
        <c:numFmt formatCode="0" sourceLinked="0"/>
        <c:majorTickMark val="out"/>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200" b="0"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crossAx val="134262272"/>
        <c:crosses val="max"/>
        <c:crossBetween val="between"/>
      </c:valAx>
      <c:valAx>
        <c:axId val="620677376"/>
        <c:scaling>
          <c:orientation val="minMax"/>
        </c:scaling>
        <c:delete val="1"/>
        <c:axPos val="r"/>
        <c:numFmt formatCode="General" sourceLinked="1"/>
        <c:majorTickMark val="out"/>
        <c:minorTickMark val="none"/>
        <c:tickLblPos val="nextTo"/>
        <c:crossAx val="620675072"/>
        <c:crosses val="max"/>
        <c:crossBetween val="midCat"/>
      </c:valAx>
      <c:valAx>
        <c:axId val="620675072"/>
        <c:scaling>
          <c:orientation val="minMax"/>
        </c:scaling>
        <c:delete val="1"/>
        <c:axPos val="b"/>
        <c:numFmt formatCode="0" sourceLinked="1"/>
        <c:majorTickMark val="out"/>
        <c:minorTickMark val="none"/>
        <c:tickLblPos val="nextTo"/>
        <c:crossAx val="620677376"/>
        <c:crossesAt val="0"/>
        <c:crossBetween val="midCat"/>
      </c:valAx>
      <c:spPr>
        <a:solidFill>
          <a:schemeClr val="bg1"/>
        </a:solidFill>
        <a:ln>
          <a:noFill/>
        </a:ln>
        <a:effectLst/>
      </c:spPr>
    </c:plotArea>
    <c:plotVisOnly val="1"/>
    <c:dispBlanksAs val="gap"/>
    <c:showDLblsOverMax val="0"/>
  </c:chart>
  <c:spPr>
    <a:noFill/>
    <a:ln w="6350" cap="flat" cmpd="sng" algn="ctr">
      <a:noFill/>
      <a:prstDash val="solid"/>
      <a:round/>
    </a:ln>
    <a:effectLst/>
  </c:spPr>
  <c:txPr>
    <a:bodyPr/>
    <a:lstStyle/>
    <a:p>
      <a:pPr>
        <a:defRPr sz="1200">
          <a:solidFill>
            <a:schemeClr val="tx1"/>
          </a:solidFill>
          <a:latin typeface="Verdana Pro" panose="020B0604030504040204" pitchFamily="34" charset="0"/>
          <a:cs typeface="Times New Roman" panose="02020603050405020304" pitchFamily="18" charset="0"/>
        </a:defRPr>
      </a:pPr>
      <a:endParaRPr lang="en-NL"/>
    </a:p>
  </c:txPr>
  <c:printSettings>
    <c:headerFooter/>
    <c:pageMargins b="0.75" l="0.7" r="0.7" t="0.75" header="0.3" footer="0.3"/>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(E) - ESD'!$AB$90</c:f>
              <c:strCache>
                <c:ptCount val="1"/>
                <c:pt idx="0">
                  <c:v>Construction - DAC</c:v>
                </c:pt>
              </c:strCache>
            </c:strRef>
          </c:tx>
          <c:spPr>
            <a:solidFill>
              <a:schemeClr val="accent4">
                <a:lumMod val="75000"/>
              </a:schemeClr>
            </a:solidFill>
            <a:ln>
              <a:noFill/>
            </a:ln>
            <a:effectLst/>
          </c:spPr>
          <c:invertIfNegative val="0"/>
          <c:cat>
            <c:numRef>
              <c:f>'Results ReCiPe (E) - ESD'!$AC$89:$BA$89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ESD'!$AC$90:$BA$90</c:f>
              <c:numCache>
                <c:formatCode>0.00E+00</c:formatCode>
                <c:ptCount val="25"/>
                <c:pt idx="0">
                  <c:v>7.0848469196898647E-3</c:v>
                </c:pt>
              </c:numCache>
            </c:numRef>
          </c:val>
          <c:extLst>
            <c:ext xmlns:c16="http://schemas.microsoft.com/office/drawing/2014/chart" uri="{C3380CC4-5D6E-409C-BE32-E72D297353CC}">
              <c16:uniqueId val="{00000000-D84F-40CB-9828-742A78DDEA02}"/>
            </c:ext>
          </c:extLst>
        </c:ser>
        <c:ser>
          <c:idx val="1"/>
          <c:order val="1"/>
          <c:tx>
            <c:strRef>
              <c:f>'Results ReCiPe (E) - ESD'!$AB$91</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(E) - ESD'!$AC$89:$BA$89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ESD'!$AC$91:$BA$91</c:f>
              <c:numCache>
                <c:formatCode>0.00E+00</c:formatCode>
                <c:ptCount val="25"/>
                <c:pt idx="0">
                  <c:v>2.0171086658104479E-4</c:v>
                </c:pt>
              </c:numCache>
            </c:numRef>
          </c:val>
          <c:extLst>
            <c:ext xmlns:c16="http://schemas.microsoft.com/office/drawing/2014/chart" uri="{C3380CC4-5D6E-409C-BE32-E72D297353CC}">
              <c16:uniqueId val="{00000001-D84F-40CB-9828-742A78DDEA02}"/>
            </c:ext>
          </c:extLst>
        </c:ser>
        <c:ser>
          <c:idx val="2"/>
          <c:order val="2"/>
          <c:tx>
            <c:strRef>
              <c:f>'Results ReCiPe (E) - ESD'!$AB$92</c:f>
              <c:strCache>
                <c:ptCount val="1"/>
                <c:pt idx="0">
                  <c:v>Deconstruction - DAC</c:v>
                </c:pt>
              </c:strCache>
            </c:strRef>
          </c:tx>
          <c:spPr>
            <a:solidFill>
              <a:schemeClr val="accent2">
                <a:lumMod val="40000"/>
                <a:lumOff val="60000"/>
              </a:schemeClr>
            </a:solidFill>
            <a:ln>
              <a:noFill/>
            </a:ln>
            <a:effectLst/>
          </c:spPr>
          <c:invertIfNegative val="0"/>
          <c:cat>
            <c:numRef>
              <c:f>'Results ReCiPe (E) - ESD'!$AC$89:$BA$89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ESD'!$AC$92:$BA$92</c:f>
              <c:numCache>
                <c:formatCode>0.00E+00</c:formatCode>
                <c:ptCount val="25"/>
                <c:pt idx="24">
                  <c:v>8.7284618353200512E-5</c:v>
                </c:pt>
              </c:numCache>
            </c:numRef>
          </c:val>
          <c:extLst>
            <c:ext xmlns:c16="http://schemas.microsoft.com/office/drawing/2014/chart" uri="{C3380CC4-5D6E-409C-BE32-E72D297353CC}">
              <c16:uniqueId val="{00000002-D84F-40CB-9828-742A78DDEA02}"/>
            </c:ext>
          </c:extLst>
        </c:ser>
        <c:ser>
          <c:idx val="3"/>
          <c:order val="3"/>
          <c:tx>
            <c:strRef>
              <c:f>'Results ReCiPe (E) - ESD'!$AB$93</c:f>
              <c:strCache>
                <c:ptCount val="1"/>
                <c:pt idx="0">
                  <c:v>Deconstruction - geological storage</c:v>
                </c:pt>
              </c:strCache>
            </c:strRef>
          </c:tx>
          <c:spPr>
            <a:solidFill>
              <a:srgbClr val="FF9900"/>
            </a:solidFill>
            <a:ln>
              <a:noFill/>
            </a:ln>
            <a:effectLst/>
          </c:spPr>
          <c:invertIfNegative val="0"/>
          <c:cat>
            <c:numRef>
              <c:f>'Results ReCiPe (E) - ESD'!$AC$89:$BA$89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ESD'!$AC$93:$BA$93</c:f>
              <c:numCache>
                <c:formatCode>0.00E+00</c:formatCode>
                <c:ptCount val="25"/>
                <c:pt idx="24">
                  <c:v>1.614429119184463E-6</c:v>
                </c:pt>
              </c:numCache>
            </c:numRef>
          </c:val>
          <c:extLst>
            <c:ext xmlns:c16="http://schemas.microsoft.com/office/drawing/2014/chart" uri="{C3380CC4-5D6E-409C-BE32-E72D297353CC}">
              <c16:uniqueId val="{00000003-D84F-40CB-9828-742A78DDEA02}"/>
            </c:ext>
          </c:extLst>
        </c:ser>
        <c:ser>
          <c:idx val="4"/>
          <c:order val="4"/>
          <c:tx>
            <c:strRef>
              <c:f>'Results ReCiPe (E) - ESD'!$AB$94</c:f>
              <c:strCache>
                <c:ptCount val="1"/>
                <c:pt idx="0">
                  <c:v>Sorbent material</c:v>
                </c:pt>
              </c:strCache>
            </c:strRef>
          </c:tx>
          <c:spPr>
            <a:solidFill>
              <a:srgbClr val="FF8F8F"/>
            </a:solidFill>
            <a:ln>
              <a:noFill/>
            </a:ln>
            <a:effectLst/>
          </c:spPr>
          <c:invertIfNegative val="0"/>
          <c:cat>
            <c:numRef>
              <c:f>'Results ReCiPe (E) - ESD'!$AC$89:$BA$89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ESD'!$AC$94:$BA$94</c:f>
              <c:numCache>
                <c:formatCode>0.00E+00</c:formatCode>
                <c:ptCount val="25"/>
                <c:pt idx="0">
                  <c:v>8.7945321917406969E-5</c:v>
                </c:pt>
                <c:pt idx="3">
                  <c:v>8.6080196213763786E-5</c:v>
                </c:pt>
                <c:pt idx="6">
                  <c:v>8.4701027712607356E-5</c:v>
                </c:pt>
                <c:pt idx="9">
                  <c:v>8.4330044138947001E-5</c:v>
                </c:pt>
                <c:pt idx="12">
                  <c:v>8.4172574646746671E-5</c:v>
                </c:pt>
                <c:pt idx="15">
                  <c:v>8.4149742944760532E-5</c:v>
                </c:pt>
                <c:pt idx="18">
                  <c:v>8.4022324846170663E-5</c:v>
                </c:pt>
                <c:pt idx="21">
                  <c:v>8.3912901277463149E-5</c:v>
                </c:pt>
                <c:pt idx="24">
                  <c:v>8.3823048059039279E-5</c:v>
                </c:pt>
              </c:numCache>
            </c:numRef>
          </c:val>
          <c:extLst>
            <c:ext xmlns:c16="http://schemas.microsoft.com/office/drawing/2014/chart" uri="{C3380CC4-5D6E-409C-BE32-E72D297353CC}">
              <c16:uniqueId val="{00000004-D84F-40CB-9828-742A78DDEA02}"/>
            </c:ext>
          </c:extLst>
        </c:ser>
        <c:ser>
          <c:idx val="5"/>
          <c:order val="5"/>
          <c:tx>
            <c:strRef>
              <c:f>'Results ReCiPe (E) - ESD'!$AB$95</c:f>
              <c:strCache>
                <c:ptCount val="1"/>
                <c:pt idx="0">
                  <c:v>Operation - DAC</c:v>
                </c:pt>
              </c:strCache>
            </c:strRef>
          </c:tx>
          <c:spPr>
            <a:solidFill>
              <a:schemeClr val="accent2">
                <a:lumMod val="75000"/>
              </a:schemeClr>
            </a:solidFill>
            <a:ln>
              <a:noFill/>
            </a:ln>
            <a:effectLst/>
          </c:spPr>
          <c:invertIfNegative val="0"/>
          <c:cat>
            <c:numRef>
              <c:f>'Results ReCiPe (E) - ESD'!$AC$89:$BA$89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ESD'!$AC$95:$BA$95</c:f>
              <c:numCache>
                <c:formatCode>0.00E+00</c:formatCode>
                <c:ptCount val="25"/>
                <c:pt idx="0">
                  <c:v>7.7842015872899516E-4</c:v>
                </c:pt>
                <c:pt idx="1">
                  <c:v>7.0576981209729563E-4</c:v>
                </c:pt>
                <c:pt idx="2">
                  <c:v>6.328917986540768E-4</c:v>
                </c:pt>
                <c:pt idx="3">
                  <c:v>5.5947403866482147E-4</c:v>
                </c:pt>
                <c:pt idx="4">
                  <c:v>4.8608199091221358E-4</c:v>
                </c:pt>
                <c:pt idx="5">
                  <c:v>4.1243163869631469E-4</c:v>
                </c:pt>
                <c:pt idx="6">
                  <c:v>3.9927243755658796E-4</c:v>
                </c:pt>
                <c:pt idx="7">
                  <c:v>3.8600857030315986E-4</c:v>
                </c:pt>
                <c:pt idx="8">
                  <c:v>3.7277638177652289E-4</c:v>
                </c:pt>
                <c:pt idx="9">
                  <c:v>3.5932277305028679E-4</c:v>
                </c:pt>
                <c:pt idx="10">
                  <c:v>3.4576636806251147E-4</c:v>
                </c:pt>
                <c:pt idx="11">
                  <c:v>3.3525264997527409E-4</c:v>
                </c:pt>
                <c:pt idx="12">
                  <c:v>3.247556150564606E-4</c:v>
                </c:pt>
                <c:pt idx="13">
                  <c:v>3.1454986231331181E-4</c:v>
                </c:pt>
                <c:pt idx="14">
                  <c:v>3.0406411515718971E-4</c:v>
                </c:pt>
                <c:pt idx="15">
                  <c:v>2.9358419681528016E-4</c:v>
                </c:pt>
                <c:pt idx="16">
                  <c:v>2.8662199528050648E-4</c:v>
                </c:pt>
                <c:pt idx="17">
                  <c:v>2.7970167088526378E-4</c:v>
                </c:pt>
                <c:pt idx="18">
                  <c:v>2.7306526020859151E-4</c:v>
                </c:pt>
                <c:pt idx="19">
                  <c:v>2.662347853325039E-4</c:v>
                </c:pt>
                <c:pt idx="20">
                  <c:v>2.5944743979057521E-4</c:v>
                </c:pt>
                <c:pt idx="21">
                  <c:v>2.49705515251174E-4</c:v>
                </c:pt>
                <c:pt idx="22">
                  <c:v>2.3906647893478939E-4</c:v>
                </c:pt>
                <c:pt idx="23">
                  <c:v>2.2840295138079828E-4</c:v>
                </c:pt>
                <c:pt idx="24">
                  <c:v>2.1771265023379279E-4</c:v>
                </c:pt>
              </c:numCache>
            </c:numRef>
          </c:val>
          <c:extLst>
            <c:ext xmlns:c16="http://schemas.microsoft.com/office/drawing/2014/chart" uri="{C3380CC4-5D6E-409C-BE32-E72D297353CC}">
              <c16:uniqueId val="{00000005-D84F-40CB-9828-742A78DDEA02}"/>
            </c:ext>
          </c:extLst>
        </c:ser>
        <c:ser>
          <c:idx val="6"/>
          <c:order val="6"/>
          <c:tx>
            <c:strRef>
              <c:f>'Results ReCiPe (E) - ESD'!$AB$96</c:f>
              <c:strCache>
                <c:ptCount val="1"/>
                <c:pt idx="0">
                  <c:v>Operation - geological storage</c:v>
                </c:pt>
              </c:strCache>
            </c:strRef>
          </c:tx>
          <c:spPr>
            <a:solidFill>
              <a:schemeClr val="accent2">
                <a:lumMod val="50000"/>
              </a:schemeClr>
            </a:solidFill>
            <a:ln>
              <a:noFill/>
            </a:ln>
            <a:effectLst/>
          </c:spPr>
          <c:invertIfNegative val="0"/>
          <c:cat>
            <c:numRef>
              <c:f>'Results ReCiPe (E) - ESD'!$AC$89:$BA$89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ESD'!$AC$96:$BA$96</c:f>
              <c:numCache>
                <c:formatCode>0.00E+00</c:formatCode>
                <c:ptCount val="25"/>
                <c:pt idx="0">
                  <c:v>1.456084525219708E-4</c:v>
                </c:pt>
                <c:pt idx="1">
                  <c:v>1.4017468893098069E-4</c:v>
                </c:pt>
                <c:pt idx="2">
                  <c:v>1.3475952580976081E-4</c:v>
                </c:pt>
                <c:pt idx="3">
                  <c:v>1.293335500761272E-4</c:v>
                </c:pt>
                <c:pt idx="4">
                  <c:v>1.2395062622680859E-4</c:v>
                </c:pt>
                <c:pt idx="5">
                  <c:v>1.185834295987205E-4</c:v>
                </c:pt>
                <c:pt idx="6">
                  <c:v>1.1771060585217591E-4</c:v>
                </c:pt>
                <c:pt idx="7">
                  <c:v>1.16833943721544E-4</c:v>
                </c:pt>
                <c:pt idx="8">
                  <c:v>1.159652418509333E-4</c:v>
                </c:pt>
                <c:pt idx="9">
                  <c:v>1.1508263612706489E-4</c:v>
                </c:pt>
                <c:pt idx="10">
                  <c:v>1.141964847306081E-4</c:v>
                </c:pt>
                <c:pt idx="11">
                  <c:v>1.133380361355944E-4</c:v>
                </c:pt>
                <c:pt idx="12">
                  <c:v>1.124802198269645E-4</c:v>
                </c:pt>
                <c:pt idx="13">
                  <c:v>1.1164524655020241E-4</c:v>
                </c:pt>
                <c:pt idx="14">
                  <c:v>1.10787010495255E-4</c:v>
                </c:pt>
                <c:pt idx="15">
                  <c:v>1.099285088707221E-4</c:v>
                </c:pt>
                <c:pt idx="16">
                  <c:v>1.0901691646877621E-4</c:v>
                </c:pt>
                <c:pt idx="17">
                  <c:v>1.081053784874311E-4</c:v>
                </c:pt>
                <c:pt idx="18">
                  <c:v>1.072136947078792E-4</c:v>
                </c:pt>
                <c:pt idx="19">
                  <c:v>1.0630277243236071E-4</c:v>
                </c:pt>
                <c:pt idx="20">
                  <c:v>1.0539194848440001E-4</c:v>
                </c:pt>
                <c:pt idx="21">
                  <c:v>1.0476727799141969E-4</c:v>
                </c:pt>
                <c:pt idx="22">
                  <c:v>1.0406991524002318E-4</c:v>
                </c:pt>
                <c:pt idx="23">
                  <c:v>1.0337310314103419E-4</c:v>
                </c:pt>
                <c:pt idx="24">
                  <c:v>1.0267660315129621E-4</c:v>
                </c:pt>
              </c:numCache>
            </c:numRef>
          </c:val>
          <c:extLst>
            <c:ext xmlns:c16="http://schemas.microsoft.com/office/drawing/2014/chart" uri="{C3380CC4-5D6E-409C-BE32-E72D297353CC}">
              <c16:uniqueId val="{00000006-D84F-40CB-9828-742A78DDEA02}"/>
            </c:ext>
          </c:extLst>
        </c:ser>
        <c:ser>
          <c:idx val="7"/>
          <c:order val="7"/>
          <c:tx>
            <c:strRef>
              <c:f>'Results ReCiPe (E) - ESD'!$AB$97</c:f>
              <c:strCache>
                <c:ptCount val="1"/>
                <c:pt idx="0">
                  <c:v>CO2 captured and stored</c:v>
                </c:pt>
              </c:strCache>
            </c:strRef>
          </c:tx>
          <c:spPr>
            <a:solidFill>
              <a:schemeClr val="tx2">
                <a:lumMod val="20000"/>
                <a:lumOff val="80000"/>
              </a:schemeClr>
            </a:solidFill>
            <a:ln>
              <a:noFill/>
            </a:ln>
            <a:effectLst/>
          </c:spPr>
          <c:invertIfNegative val="0"/>
          <c:cat>
            <c:numRef>
              <c:f>'Results ReCiPe (E) - ESD'!$AC$89:$BA$89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ESD'!$AC$97:$BA$97</c:f>
              <c:numCache>
                <c:formatCode>0.00E+00</c:formatCode>
                <c:ptCount val="25"/>
                <c:pt idx="0">
                  <c:v>-2.5000681999999995E-3</c:v>
                </c:pt>
                <c:pt idx="1">
                  <c:v>-2.5000681999999995E-3</c:v>
                </c:pt>
                <c:pt idx="2">
                  <c:v>-2.5000681999999995E-3</c:v>
                </c:pt>
                <c:pt idx="3">
                  <c:v>-2.5000681999999995E-3</c:v>
                </c:pt>
                <c:pt idx="4">
                  <c:v>-2.5000681999999995E-3</c:v>
                </c:pt>
                <c:pt idx="5">
                  <c:v>-2.5000681999999995E-3</c:v>
                </c:pt>
                <c:pt idx="6">
                  <c:v>-2.5000681999999995E-3</c:v>
                </c:pt>
                <c:pt idx="7">
                  <c:v>-2.5000681999999995E-3</c:v>
                </c:pt>
                <c:pt idx="8">
                  <c:v>-2.5000681999999995E-3</c:v>
                </c:pt>
                <c:pt idx="9">
                  <c:v>-2.5000681999999995E-3</c:v>
                </c:pt>
                <c:pt idx="10">
                  <c:v>-2.5000681999999995E-3</c:v>
                </c:pt>
                <c:pt idx="11">
                  <c:v>-2.5000681999999995E-3</c:v>
                </c:pt>
                <c:pt idx="12">
                  <c:v>-2.5000681999999995E-3</c:v>
                </c:pt>
                <c:pt idx="13">
                  <c:v>-2.5000681999999995E-3</c:v>
                </c:pt>
                <c:pt idx="14">
                  <c:v>-2.5000681999999995E-3</c:v>
                </c:pt>
                <c:pt idx="15">
                  <c:v>-2.5000681999999995E-3</c:v>
                </c:pt>
                <c:pt idx="16">
                  <c:v>-2.5000681999999995E-3</c:v>
                </c:pt>
                <c:pt idx="17">
                  <c:v>-2.5000681999999995E-3</c:v>
                </c:pt>
                <c:pt idx="18">
                  <c:v>-2.5000681999999995E-3</c:v>
                </c:pt>
                <c:pt idx="19">
                  <c:v>-2.5000681999999995E-3</c:v>
                </c:pt>
                <c:pt idx="20">
                  <c:v>-2.5000681999999995E-3</c:v>
                </c:pt>
                <c:pt idx="21">
                  <c:v>-2.5000681999999995E-3</c:v>
                </c:pt>
                <c:pt idx="22">
                  <c:v>-2.5000681999999995E-3</c:v>
                </c:pt>
                <c:pt idx="23">
                  <c:v>-2.5000681999999995E-3</c:v>
                </c:pt>
                <c:pt idx="24">
                  <c:v>-2.5000681999999995E-3</c:v>
                </c:pt>
              </c:numCache>
            </c:numRef>
          </c:val>
          <c:extLst>
            <c:ext xmlns:c16="http://schemas.microsoft.com/office/drawing/2014/chart" uri="{C3380CC4-5D6E-409C-BE32-E72D297353CC}">
              <c16:uniqueId val="{00000007-D84F-40CB-9828-742A78DDEA02}"/>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(E) - ESD'!$AB$98</c:f>
              <c:strCache>
                <c:ptCount val="1"/>
                <c:pt idx="0">
                  <c:v>TOTAL per year</c:v>
                </c:pt>
              </c:strCache>
            </c:strRef>
          </c:tx>
          <c:spPr>
            <a:ln w="25400" cap="rnd">
              <a:noFill/>
              <a:round/>
            </a:ln>
            <a:effectLst/>
          </c:spPr>
          <c:marker>
            <c:symbol val="circle"/>
            <c:size val="5"/>
            <c:spPr>
              <a:solidFill>
                <a:schemeClr val="tx1"/>
              </a:solidFill>
              <a:ln w="9525">
                <a:solidFill>
                  <a:schemeClr val="tx1"/>
                </a:solidFill>
              </a:ln>
              <a:effectLst/>
            </c:spPr>
          </c:marker>
          <c:cat>
            <c:numRef>
              <c:f>'Results ReCiPe (E) - ESD'!$AC$89:$BA$89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ESD'!$AC$98:$BA$98</c:f>
              <c:numCache>
                <c:formatCode>0.00E+00</c:formatCode>
                <c:ptCount val="25"/>
                <c:pt idx="0">
                  <c:v>5.7984635194392826E-3</c:v>
                </c:pt>
                <c:pt idx="1">
                  <c:v>-1.6541236989717231E-3</c:v>
                </c:pt>
                <c:pt idx="2">
                  <c:v>-1.7324168755361619E-3</c:v>
                </c:pt>
                <c:pt idx="3">
                  <c:v>-1.725180415045287E-3</c:v>
                </c:pt>
                <c:pt idx="4">
                  <c:v>-1.8900355828609773E-3</c:v>
                </c:pt>
                <c:pt idx="5">
                  <c:v>-1.9690531317049643E-3</c:v>
                </c:pt>
                <c:pt idx="6">
                  <c:v>-1.8983841288786282E-3</c:v>
                </c:pt>
                <c:pt idx="7">
                  <c:v>-1.9972256859752957E-3</c:v>
                </c:pt>
                <c:pt idx="8">
                  <c:v>-2.0113265763725434E-3</c:v>
                </c:pt>
                <c:pt idx="9">
                  <c:v>-1.9413327466837008E-3</c:v>
                </c:pt>
                <c:pt idx="10">
                  <c:v>-2.04010534720688E-3</c:v>
                </c:pt>
                <c:pt idx="11">
                  <c:v>-2.0514775138891308E-3</c:v>
                </c:pt>
                <c:pt idx="12">
                  <c:v>-1.9786597904698274E-3</c:v>
                </c:pt>
                <c:pt idx="13">
                  <c:v>-2.073873091136485E-3</c:v>
                </c:pt>
                <c:pt idx="14">
                  <c:v>-2.0852170743475549E-3</c:v>
                </c:pt>
                <c:pt idx="15">
                  <c:v>-2.0124057513692365E-3</c:v>
                </c:pt>
                <c:pt idx="16">
                  <c:v>-2.1044292882507168E-3</c:v>
                </c:pt>
                <c:pt idx="17">
                  <c:v>-2.1122611506273047E-3</c:v>
                </c:pt>
                <c:pt idx="18">
                  <c:v>-2.0357669202373582E-3</c:v>
                </c:pt>
                <c:pt idx="19">
                  <c:v>-2.1275306422351347E-3</c:v>
                </c:pt>
                <c:pt idx="20">
                  <c:v>-2.1352288117250243E-3</c:v>
                </c:pt>
                <c:pt idx="21">
                  <c:v>-2.0616825054799426E-3</c:v>
                </c:pt>
                <c:pt idx="22">
                  <c:v>-2.1569318058251869E-3</c:v>
                </c:pt>
                <c:pt idx="23">
                  <c:v>-2.1682921454781669E-3</c:v>
                </c:pt>
                <c:pt idx="24">
                  <c:v>-2.0069568510834865E-3</c:v>
                </c:pt>
              </c:numCache>
            </c:numRef>
          </c:val>
          <c:smooth val="0"/>
          <c:extLst>
            <c:ext xmlns:c16="http://schemas.microsoft.com/office/drawing/2014/chart" uri="{C3380CC4-5D6E-409C-BE32-E72D297353CC}">
              <c16:uniqueId val="{00000008-D84F-40CB-9828-742A78DDEA02}"/>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Ecosystem damage </a:t>
                </a:r>
                <a:br>
                  <a:rPr lang="nl-NL"/>
                </a:br>
                <a:r>
                  <a:rPr lang="nl-NL"/>
                  <a:t>(PDF*yr/ton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(E) - ESD'!$AB$132</c:f>
              <c:strCache>
                <c:ptCount val="1"/>
                <c:pt idx="0">
                  <c:v>Construction - DAC</c:v>
                </c:pt>
              </c:strCache>
            </c:strRef>
          </c:tx>
          <c:spPr>
            <a:solidFill>
              <a:schemeClr val="accent4">
                <a:lumMod val="75000"/>
              </a:schemeClr>
            </a:solidFill>
            <a:ln>
              <a:noFill/>
            </a:ln>
            <a:effectLst/>
          </c:spPr>
          <c:invertIfNegative val="0"/>
          <c:cat>
            <c:numRef>
              <c:f>'Results ReCiPe (E) - ESD'!$AC$131:$BA$131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ESD'!$AC$132:$BA$132</c:f>
              <c:numCache>
                <c:formatCode>0.00E+00</c:formatCode>
                <c:ptCount val="25"/>
                <c:pt idx="0">
                  <c:v>7.5205433444198531E-3</c:v>
                </c:pt>
              </c:numCache>
            </c:numRef>
          </c:val>
          <c:extLst>
            <c:ext xmlns:c16="http://schemas.microsoft.com/office/drawing/2014/chart" uri="{C3380CC4-5D6E-409C-BE32-E72D297353CC}">
              <c16:uniqueId val="{00000000-099D-49C9-9157-CFF7F3112CFC}"/>
            </c:ext>
          </c:extLst>
        </c:ser>
        <c:ser>
          <c:idx val="1"/>
          <c:order val="1"/>
          <c:tx>
            <c:strRef>
              <c:f>'Results ReCiPe (E) - ESD'!$AB$133</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(E) - ESD'!$AC$131:$BA$131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ESD'!$AC$133:$BA$133</c:f>
              <c:numCache>
                <c:formatCode>0.00E+00</c:formatCode>
                <c:ptCount val="25"/>
                <c:pt idx="0">
                  <c:v>2.1953654340738595E-4</c:v>
                </c:pt>
              </c:numCache>
            </c:numRef>
          </c:val>
          <c:extLst>
            <c:ext xmlns:c16="http://schemas.microsoft.com/office/drawing/2014/chart" uri="{C3380CC4-5D6E-409C-BE32-E72D297353CC}">
              <c16:uniqueId val="{00000001-099D-49C9-9157-CFF7F3112CFC}"/>
            </c:ext>
          </c:extLst>
        </c:ser>
        <c:ser>
          <c:idx val="2"/>
          <c:order val="2"/>
          <c:tx>
            <c:strRef>
              <c:f>'Results ReCiPe (E) - ESD'!$AB$134</c:f>
              <c:strCache>
                <c:ptCount val="1"/>
                <c:pt idx="0">
                  <c:v>Deconstruction - DAC</c:v>
                </c:pt>
              </c:strCache>
            </c:strRef>
          </c:tx>
          <c:spPr>
            <a:solidFill>
              <a:schemeClr val="accent2">
                <a:lumMod val="40000"/>
                <a:lumOff val="60000"/>
              </a:schemeClr>
            </a:solidFill>
            <a:ln>
              <a:noFill/>
            </a:ln>
            <a:effectLst/>
          </c:spPr>
          <c:invertIfNegative val="0"/>
          <c:cat>
            <c:numRef>
              <c:f>'Results ReCiPe (E) - ESD'!$AC$131:$BA$131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ESD'!$AC$134:$BA$134</c:f>
              <c:numCache>
                <c:formatCode>0.00E+00</c:formatCode>
                <c:ptCount val="25"/>
                <c:pt idx="24">
                  <c:v>9.2556580539513285E-5</c:v>
                </c:pt>
              </c:numCache>
            </c:numRef>
          </c:val>
          <c:extLst>
            <c:ext xmlns:c16="http://schemas.microsoft.com/office/drawing/2014/chart" uri="{C3380CC4-5D6E-409C-BE32-E72D297353CC}">
              <c16:uniqueId val="{00000002-099D-49C9-9157-CFF7F3112CFC}"/>
            </c:ext>
          </c:extLst>
        </c:ser>
        <c:ser>
          <c:idx val="3"/>
          <c:order val="3"/>
          <c:tx>
            <c:strRef>
              <c:f>'Results ReCiPe (E) - ESD'!$AB$135</c:f>
              <c:strCache>
                <c:ptCount val="1"/>
                <c:pt idx="0">
                  <c:v>Deconstruction - geological storage</c:v>
                </c:pt>
              </c:strCache>
            </c:strRef>
          </c:tx>
          <c:spPr>
            <a:solidFill>
              <a:srgbClr val="FF9900"/>
            </a:solidFill>
            <a:ln>
              <a:noFill/>
            </a:ln>
            <a:effectLst/>
          </c:spPr>
          <c:invertIfNegative val="0"/>
          <c:cat>
            <c:numRef>
              <c:f>'Results ReCiPe (E) - ESD'!$AC$131:$BA$131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ESD'!$AC$135:$BA$135</c:f>
              <c:numCache>
                <c:formatCode>0.00E+00</c:formatCode>
                <c:ptCount val="25"/>
                <c:pt idx="24">
                  <c:v>1.6915974917172185E-6</c:v>
                </c:pt>
              </c:numCache>
            </c:numRef>
          </c:val>
          <c:extLst>
            <c:ext xmlns:c16="http://schemas.microsoft.com/office/drawing/2014/chart" uri="{C3380CC4-5D6E-409C-BE32-E72D297353CC}">
              <c16:uniqueId val="{00000003-099D-49C9-9157-CFF7F3112CFC}"/>
            </c:ext>
          </c:extLst>
        </c:ser>
        <c:ser>
          <c:idx val="4"/>
          <c:order val="4"/>
          <c:tx>
            <c:strRef>
              <c:f>'Results ReCiPe (E) - ESD'!$AB$136</c:f>
              <c:strCache>
                <c:ptCount val="1"/>
                <c:pt idx="0">
                  <c:v>Sorbent material</c:v>
                </c:pt>
              </c:strCache>
            </c:strRef>
          </c:tx>
          <c:spPr>
            <a:solidFill>
              <a:srgbClr val="FF8F8F"/>
            </a:solidFill>
            <a:ln>
              <a:noFill/>
            </a:ln>
            <a:effectLst/>
          </c:spPr>
          <c:invertIfNegative val="0"/>
          <c:cat>
            <c:numRef>
              <c:f>'Results ReCiPe (E) - ESD'!$AC$131:$BA$131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ESD'!$AC$136:$BA$136</c:f>
              <c:numCache>
                <c:formatCode>0.00E+00</c:formatCode>
                <c:ptCount val="25"/>
                <c:pt idx="0">
                  <c:v>9.6070786883955476E-5</c:v>
                </c:pt>
                <c:pt idx="3">
                  <c:v>9.5821625581055684E-5</c:v>
                </c:pt>
                <c:pt idx="6">
                  <c:v>9.5829318269014544E-5</c:v>
                </c:pt>
                <c:pt idx="9">
                  <c:v>9.6195219555553151E-5</c:v>
                </c:pt>
                <c:pt idx="12">
                  <c:v>9.671044208302645E-5</c:v>
                </c:pt>
                <c:pt idx="15">
                  <c:v>9.7352908438601063E-5</c:v>
                </c:pt>
                <c:pt idx="18">
                  <c:v>9.6952281836548256E-5</c:v>
                </c:pt>
                <c:pt idx="21">
                  <c:v>9.6376407293463591E-5</c:v>
                </c:pt>
                <c:pt idx="24">
                  <c:v>9.5439879467151915E-5</c:v>
                </c:pt>
              </c:numCache>
            </c:numRef>
          </c:val>
          <c:extLst>
            <c:ext xmlns:c16="http://schemas.microsoft.com/office/drawing/2014/chart" uri="{C3380CC4-5D6E-409C-BE32-E72D297353CC}">
              <c16:uniqueId val="{00000004-099D-49C9-9157-CFF7F3112CFC}"/>
            </c:ext>
          </c:extLst>
        </c:ser>
        <c:ser>
          <c:idx val="5"/>
          <c:order val="5"/>
          <c:tx>
            <c:strRef>
              <c:f>'Results ReCiPe (E) - ESD'!$AB$137</c:f>
              <c:strCache>
                <c:ptCount val="1"/>
                <c:pt idx="0">
                  <c:v>Operation - DAC</c:v>
                </c:pt>
              </c:strCache>
            </c:strRef>
          </c:tx>
          <c:spPr>
            <a:solidFill>
              <a:schemeClr val="accent2">
                <a:lumMod val="75000"/>
              </a:schemeClr>
            </a:solidFill>
            <a:ln>
              <a:noFill/>
            </a:ln>
            <a:effectLst/>
          </c:spPr>
          <c:invertIfNegative val="0"/>
          <c:cat>
            <c:numRef>
              <c:f>'Results ReCiPe (E) - ESD'!$AC$131:$BA$131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ESD'!$AC$137:$BA$137</c:f>
              <c:numCache>
                <c:formatCode>0.00E+00</c:formatCode>
                <c:ptCount val="25"/>
                <c:pt idx="0">
                  <c:v>1.7130098203942637E-3</c:v>
                </c:pt>
                <c:pt idx="1">
                  <c:v>1.7085103746382454E-3</c:v>
                </c:pt>
                <c:pt idx="2">
                  <c:v>1.7039953474628832E-3</c:v>
                </c:pt>
                <c:pt idx="3">
                  <c:v>1.6991407612738472E-3</c:v>
                </c:pt>
                <c:pt idx="4">
                  <c:v>1.6945930439044915E-3</c:v>
                </c:pt>
                <c:pt idx="5">
                  <c:v>1.6900267152200178E-3</c:v>
                </c:pt>
                <c:pt idx="6">
                  <c:v>1.8248178162741683E-3</c:v>
                </c:pt>
                <c:pt idx="7">
                  <c:v>1.9594280491649217E-3</c:v>
                </c:pt>
                <c:pt idx="8">
                  <c:v>2.0939463807402919E-3</c:v>
                </c:pt>
                <c:pt idx="9">
                  <c:v>2.2283349713968972E-3</c:v>
                </c:pt>
                <c:pt idx="10">
                  <c:v>2.3625624356746603E-3</c:v>
                </c:pt>
                <c:pt idx="11">
                  <c:v>2.6187212840031874E-3</c:v>
                </c:pt>
                <c:pt idx="12">
                  <c:v>2.8755064710469813E-3</c:v>
                </c:pt>
                <c:pt idx="13">
                  <c:v>3.1330984840610872E-3</c:v>
                </c:pt>
                <c:pt idx="14">
                  <c:v>3.3911433304197693E-3</c:v>
                </c:pt>
                <c:pt idx="15">
                  <c:v>3.6498277507463922E-3</c:v>
                </c:pt>
                <c:pt idx="16">
                  <c:v>3.6697062788360185E-3</c:v>
                </c:pt>
                <c:pt idx="17">
                  <c:v>3.6895699852511907E-3</c:v>
                </c:pt>
                <c:pt idx="18">
                  <c:v>3.7095341901348233E-3</c:v>
                </c:pt>
                <c:pt idx="19">
                  <c:v>3.7293689194388253E-3</c:v>
                </c:pt>
                <c:pt idx="20">
                  <c:v>3.7491908583130139E-3</c:v>
                </c:pt>
                <c:pt idx="21">
                  <c:v>3.6457130044412864E-3</c:v>
                </c:pt>
                <c:pt idx="22">
                  <c:v>3.5374462610666072E-3</c:v>
                </c:pt>
                <c:pt idx="23">
                  <c:v>3.4288096152501049E-3</c:v>
                </c:pt>
                <c:pt idx="24">
                  <c:v>3.3197995781245695E-3</c:v>
                </c:pt>
              </c:numCache>
            </c:numRef>
          </c:val>
          <c:extLst>
            <c:ext xmlns:c16="http://schemas.microsoft.com/office/drawing/2014/chart" uri="{C3380CC4-5D6E-409C-BE32-E72D297353CC}">
              <c16:uniqueId val="{00000005-099D-49C9-9157-CFF7F3112CFC}"/>
            </c:ext>
          </c:extLst>
        </c:ser>
        <c:ser>
          <c:idx val="6"/>
          <c:order val="6"/>
          <c:tx>
            <c:strRef>
              <c:f>'Results ReCiPe (E) - ESD'!$AB$138</c:f>
              <c:strCache>
                <c:ptCount val="1"/>
                <c:pt idx="0">
                  <c:v>Operation - geological storage</c:v>
                </c:pt>
              </c:strCache>
            </c:strRef>
          </c:tx>
          <c:spPr>
            <a:solidFill>
              <a:schemeClr val="accent2">
                <a:lumMod val="50000"/>
              </a:schemeClr>
            </a:solidFill>
            <a:ln>
              <a:noFill/>
            </a:ln>
            <a:effectLst/>
          </c:spPr>
          <c:invertIfNegative val="0"/>
          <c:cat>
            <c:numRef>
              <c:f>'Results ReCiPe (E) - ESD'!$AC$131:$BA$131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ESD'!$AC$138:$BA$138</c:f>
              <c:numCache>
                <c:formatCode>0.00E+00</c:formatCode>
                <c:ptCount val="25"/>
                <c:pt idx="0">
                  <c:v>5.5704306774635861E-7</c:v>
                </c:pt>
                <c:pt idx="1">
                  <c:v>5.5578781478436711E-7</c:v>
                </c:pt>
                <c:pt idx="2">
                  <c:v>5.5453101963575786E-7</c:v>
                </c:pt>
                <c:pt idx="3">
                  <c:v>5.532043184037725E-7</c:v>
                </c:pt>
                <c:pt idx="4">
                  <c:v>5.5194357671639628E-7</c:v>
                </c:pt>
                <c:pt idx="5">
                  <c:v>5.506807324077468E-7</c:v>
                </c:pt>
                <c:pt idx="6">
                  <c:v>5.8128019134522022E-7</c:v>
                </c:pt>
                <c:pt idx="7">
                  <c:v>6.1175054423136818E-7</c:v>
                </c:pt>
                <c:pt idx="8">
                  <c:v>6.4211124223443625E-7</c:v>
                </c:pt>
                <c:pt idx="9">
                  <c:v>6.7235630773165469E-7</c:v>
                </c:pt>
                <c:pt idx="10">
                  <c:v>7.024777256708064E-7</c:v>
                </c:pt>
                <c:pt idx="11">
                  <c:v>7.6023541100293324E-7</c:v>
                </c:pt>
                <c:pt idx="12">
                  <c:v>8.1800281936731393E-7</c:v>
                </c:pt>
                <c:pt idx="13">
                  <c:v>8.7581765853991049E-7</c:v>
                </c:pt>
                <c:pt idx="14">
                  <c:v>9.3360493940671723E-7</c:v>
                </c:pt>
                <c:pt idx="15">
                  <c:v>9.9140300061212511E-7</c:v>
                </c:pt>
                <c:pt idx="16">
                  <c:v>9.9529351534045399E-7</c:v>
                </c:pt>
                <c:pt idx="17">
                  <c:v>9.9917164212807048E-7</c:v>
                </c:pt>
                <c:pt idx="18">
                  <c:v>1.0030609827978977E-6</c:v>
                </c:pt>
                <c:pt idx="19">
                  <c:v>1.006914514932204E-6</c:v>
                </c:pt>
                <c:pt idx="20">
                  <c:v>1.0107561468465621E-6</c:v>
                </c:pt>
                <c:pt idx="21">
                  <c:v>9.8634821001391628E-7</c:v>
                </c:pt>
                <c:pt idx="22">
                  <c:v>9.6095588346336296E-7</c:v>
                </c:pt>
                <c:pt idx="23">
                  <c:v>9.3557843594790124E-7</c:v>
                </c:pt>
                <c:pt idx="24">
                  <c:v>9.1021529685242282E-7</c:v>
                </c:pt>
              </c:numCache>
            </c:numRef>
          </c:val>
          <c:extLst>
            <c:ext xmlns:c16="http://schemas.microsoft.com/office/drawing/2014/chart" uri="{C3380CC4-5D6E-409C-BE32-E72D297353CC}">
              <c16:uniqueId val="{00000006-099D-49C9-9157-CFF7F3112CFC}"/>
            </c:ext>
          </c:extLst>
        </c:ser>
        <c:ser>
          <c:idx val="7"/>
          <c:order val="7"/>
          <c:tx>
            <c:strRef>
              <c:f>'Results ReCiPe (E) - ESD'!$AB$139</c:f>
              <c:strCache>
                <c:ptCount val="1"/>
                <c:pt idx="0">
                  <c:v>CO2 captured and stored</c:v>
                </c:pt>
              </c:strCache>
            </c:strRef>
          </c:tx>
          <c:spPr>
            <a:solidFill>
              <a:schemeClr val="tx2">
                <a:lumMod val="20000"/>
                <a:lumOff val="80000"/>
              </a:schemeClr>
            </a:solidFill>
            <a:ln>
              <a:noFill/>
            </a:ln>
            <a:effectLst/>
          </c:spPr>
          <c:invertIfNegative val="0"/>
          <c:cat>
            <c:numRef>
              <c:f>'Results ReCiPe (E) - ESD'!$AC$131:$BA$131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ESD'!$AC$139:$BA$139</c:f>
              <c:numCache>
                <c:formatCode>0.00E+00</c:formatCode>
                <c:ptCount val="25"/>
                <c:pt idx="0">
                  <c:v>-2.5000681999999995E-3</c:v>
                </c:pt>
                <c:pt idx="1">
                  <c:v>-2.5000681999999995E-3</c:v>
                </c:pt>
                <c:pt idx="2">
                  <c:v>-2.5000681999999995E-3</c:v>
                </c:pt>
                <c:pt idx="3">
                  <c:v>-2.5000681999999995E-3</c:v>
                </c:pt>
                <c:pt idx="4">
                  <c:v>-2.5000681999999995E-3</c:v>
                </c:pt>
                <c:pt idx="5">
                  <c:v>-2.5000681999999995E-3</c:v>
                </c:pt>
                <c:pt idx="6">
                  <c:v>-2.5000681999999995E-3</c:v>
                </c:pt>
                <c:pt idx="7">
                  <c:v>-2.5000681999999995E-3</c:v>
                </c:pt>
                <c:pt idx="8">
                  <c:v>-2.5000681999999995E-3</c:v>
                </c:pt>
                <c:pt idx="9">
                  <c:v>-2.5000681999999995E-3</c:v>
                </c:pt>
                <c:pt idx="10">
                  <c:v>-2.5000681999999995E-3</c:v>
                </c:pt>
                <c:pt idx="11">
                  <c:v>-2.5000681999999995E-3</c:v>
                </c:pt>
                <c:pt idx="12">
                  <c:v>-2.5000681999999995E-3</c:v>
                </c:pt>
                <c:pt idx="13">
                  <c:v>-2.5000681999999995E-3</c:v>
                </c:pt>
                <c:pt idx="14">
                  <c:v>-2.5000681999999995E-3</c:v>
                </c:pt>
                <c:pt idx="15">
                  <c:v>-2.5000681999999995E-3</c:v>
                </c:pt>
                <c:pt idx="16">
                  <c:v>-2.5000681999999995E-3</c:v>
                </c:pt>
                <c:pt idx="17">
                  <c:v>-2.5000681999999995E-3</c:v>
                </c:pt>
                <c:pt idx="18">
                  <c:v>-2.5000681999999995E-3</c:v>
                </c:pt>
                <c:pt idx="19">
                  <c:v>-2.5000681999999995E-3</c:v>
                </c:pt>
                <c:pt idx="20">
                  <c:v>-2.5000681999999995E-3</c:v>
                </c:pt>
                <c:pt idx="21">
                  <c:v>-2.5000681999999995E-3</c:v>
                </c:pt>
                <c:pt idx="22">
                  <c:v>-2.5000681999999995E-3</c:v>
                </c:pt>
                <c:pt idx="23">
                  <c:v>-2.5000681999999995E-3</c:v>
                </c:pt>
                <c:pt idx="24">
                  <c:v>-2.5000681999999995E-3</c:v>
                </c:pt>
              </c:numCache>
            </c:numRef>
          </c:val>
          <c:extLst>
            <c:ext xmlns:c16="http://schemas.microsoft.com/office/drawing/2014/chart" uri="{C3380CC4-5D6E-409C-BE32-E72D297353CC}">
              <c16:uniqueId val="{00000007-099D-49C9-9157-CFF7F3112CFC}"/>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(E) - ESD'!$AB$140</c:f>
              <c:strCache>
                <c:ptCount val="1"/>
                <c:pt idx="0">
                  <c:v>TOTAL per year</c:v>
                </c:pt>
              </c:strCache>
            </c:strRef>
          </c:tx>
          <c:spPr>
            <a:ln w="28575" cap="rnd">
              <a:noFill/>
              <a:round/>
            </a:ln>
            <a:effectLst/>
          </c:spPr>
          <c:marker>
            <c:symbol val="circle"/>
            <c:size val="5"/>
            <c:spPr>
              <a:solidFill>
                <a:schemeClr val="tx1"/>
              </a:solidFill>
              <a:ln w="9525">
                <a:solidFill>
                  <a:schemeClr val="accent3">
                    <a:lumMod val="60000"/>
                  </a:schemeClr>
                </a:solidFill>
              </a:ln>
              <a:effectLst/>
            </c:spPr>
          </c:marker>
          <c:cat>
            <c:numRef>
              <c:f>'Results ReCiPe (E) - ESD'!$AC$131:$BA$131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ESD'!$AC$140:$BA$140</c:f>
              <c:numCache>
                <c:formatCode>0.00E+00</c:formatCode>
                <c:ptCount val="25"/>
                <c:pt idx="0">
                  <c:v>7.0496493381732054E-3</c:v>
                </c:pt>
                <c:pt idx="1">
                  <c:v>-7.9100203754696972E-4</c:v>
                </c:pt>
                <c:pt idx="2">
                  <c:v>-7.9551832151748044E-4</c:v>
                </c:pt>
                <c:pt idx="3">
                  <c:v>-7.0455260882669284E-4</c:v>
                </c:pt>
                <c:pt idx="4">
                  <c:v>-8.0492321251879155E-4</c:v>
                </c:pt>
                <c:pt idx="5">
                  <c:v>-8.0949080404757391E-4</c:v>
                </c:pt>
                <c:pt idx="6">
                  <c:v>-5.7883978526547118E-4</c:v>
                </c:pt>
                <c:pt idx="7">
                  <c:v>-5.4002840029084617E-4</c:v>
                </c:pt>
                <c:pt idx="8">
                  <c:v>-4.0547970801747303E-4</c:v>
                </c:pt>
                <c:pt idx="9">
                  <c:v>-1.7486565273981724E-4</c:v>
                </c:pt>
                <c:pt idx="10">
                  <c:v>-1.3680328659966849E-4</c:v>
                </c:pt>
                <c:pt idx="11">
                  <c:v>1.1941331941419091E-4</c:v>
                </c:pt>
                <c:pt idx="12">
                  <c:v>4.7296671594937532E-4</c:v>
                </c:pt>
                <c:pt idx="13">
                  <c:v>6.3390610171962757E-4</c:v>
                </c:pt>
                <c:pt idx="14">
                  <c:v>8.9200873535917645E-4</c:v>
                </c:pt>
                <c:pt idx="15">
                  <c:v>1.2481038621856059E-3</c:v>
                </c:pt>
                <c:pt idx="16">
                  <c:v>1.1706333723513597E-3</c:v>
                </c:pt>
                <c:pt idx="17">
                  <c:v>1.1905009568933195E-3</c:v>
                </c:pt>
                <c:pt idx="18">
                  <c:v>1.3074213329541703E-3</c:v>
                </c:pt>
                <c:pt idx="19">
                  <c:v>1.2303076339537579E-3</c:v>
                </c:pt>
                <c:pt idx="20">
                  <c:v>1.250133414459861E-3</c:v>
                </c:pt>
                <c:pt idx="21">
                  <c:v>1.2430075599447646E-3</c:v>
                </c:pt>
                <c:pt idx="22">
                  <c:v>1.0383390169500712E-3</c:v>
                </c:pt>
                <c:pt idx="23">
                  <c:v>9.2967699368605352E-4</c:v>
                </c:pt>
                <c:pt idx="24">
                  <c:v>1.010329650919805E-3</c:v>
                </c:pt>
              </c:numCache>
            </c:numRef>
          </c:val>
          <c:smooth val="0"/>
          <c:extLst>
            <c:ext xmlns:c16="http://schemas.microsoft.com/office/drawing/2014/chart" uri="{C3380CC4-5D6E-409C-BE32-E72D297353CC}">
              <c16:uniqueId val="{00000008-099D-49C9-9157-CFF7F3112CFC}"/>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Ecosystem</a:t>
                </a:r>
                <a:r>
                  <a:rPr lang="nl-NL" baseline="0"/>
                  <a:t> damage</a:t>
                </a:r>
              </a:p>
              <a:p>
                <a:pPr algn="ctr" rtl="0">
                  <a:defRPr/>
                </a:pPr>
                <a:r>
                  <a:rPr lang="nl-NL" baseline="0"/>
                  <a:t>[PDF*yr</a:t>
                </a:r>
                <a:r>
                  <a:rPr lang="nl-NL"/>
                  <a:t>/ton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(E) - ESD'!$AB$173</c:f>
              <c:strCache>
                <c:ptCount val="1"/>
                <c:pt idx="0">
                  <c:v>Construction - DAC</c:v>
                </c:pt>
              </c:strCache>
            </c:strRef>
          </c:tx>
          <c:spPr>
            <a:solidFill>
              <a:schemeClr val="accent4">
                <a:lumMod val="75000"/>
              </a:schemeClr>
            </a:solidFill>
            <a:ln>
              <a:noFill/>
            </a:ln>
            <a:effectLst/>
          </c:spPr>
          <c:invertIfNegative val="0"/>
          <c:cat>
            <c:numRef>
              <c:f>'Results ReCiPe (E) - ESD'!$AC$172:$BA$172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ESD'!$AC$173:$BA$173</c:f>
              <c:numCache>
                <c:formatCode>0.00E+00</c:formatCode>
                <c:ptCount val="25"/>
                <c:pt idx="0">
                  <c:v>7.3912740668568159E-3</c:v>
                </c:pt>
              </c:numCache>
            </c:numRef>
          </c:val>
          <c:extLst>
            <c:ext xmlns:c16="http://schemas.microsoft.com/office/drawing/2014/chart" uri="{C3380CC4-5D6E-409C-BE32-E72D297353CC}">
              <c16:uniqueId val="{00000000-C7B0-4134-A5EB-7A349E0DA0E8}"/>
            </c:ext>
          </c:extLst>
        </c:ser>
        <c:ser>
          <c:idx val="1"/>
          <c:order val="1"/>
          <c:tx>
            <c:strRef>
              <c:f>'Results ReCiPe (E) - ESD'!$AB$174</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(E) - ESD'!$AC$172:$BA$172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ESD'!$AC$174:$BA$174</c:f>
              <c:numCache>
                <c:formatCode>0.00E+00</c:formatCode>
                <c:ptCount val="25"/>
                <c:pt idx="0">
                  <c:v>2.1252840683002016E-4</c:v>
                </c:pt>
              </c:numCache>
            </c:numRef>
          </c:val>
          <c:extLst>
            <c:ext xmlns:c16="http://schemas.microsoft.com/office/drawing/2014/chart" uri="{C3380CC4-5D6E-409C-BE32-E72D297353CC}">
              <c16:uniqueId val="{00000001-C7B0-4134-A5EB-7A349E0DA0E8}"/>
            </c:ext>
          </c:extLst>
        </c:ser>
        <c:ser>
          <c:idx val="2"/>
          <c:order val="2"/>
          <c:tx>
            <c:strRef>
              <c:f>'Results ReCiPe (E) - ESD'!$AB$175</c:f>
              <c:strCache>
                <c:ptCount val="1"/>
                <c:pt idx="0">
                  <c:v>Deconstruction - DAC</c:v>
                </c:pt>
              </c:strCache>
            </c:strRef>
          </c:tx>
          <c:spPr>
            <a:solidFill>
              <a:schemeClr val="accent2">
                <a:lumMod val="40000"/>
                <a:lumOff val="60000"/>
              </a:schemeClr>
            </a:solidFill>
            <a:ln>
              <a:noFill/>
            </a:ln>
            <a:effectLst/>
          </c:spPr>
          <c:invertIfNegative val="0"/>
          <c:cat>
            <c:numRef>
              <c:f>'Results ReCiPe (E) - ESD'!$AC$172:$BA$172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ESD'!$AC$175:$BA$175</c:f>
              <c:numCache>
                <c:formatCode>0.00E+00</c:formatCode>
                <c:ptCount val="25"/>
                <c:pt idx="24">
                  <c:v>8.8841262894916216E-5</c:v>
                </c:pt>
              </c:numCache>
            </c:numRef>
          </c:val>
          <c:extLst>
            <c:ext xmlns:c16="http://schemas.microsoft.com/office/drawing/2014/chart" uri="{C3380CC4-5D6E-409C-BE32-E72D297353CC}">
              <c16:uniqueId val="{00000002-C7B0-4134-A5EB-7A349E0DA0E8}"/>
            </c:ext>
          </c:extLst>
        </c:ser>
        <c:ser>
          <c:idx val="3"/>
          <c:order val="3"/>
          <c:tx>
            <c:strRef>
              <c:f>'Results ReCiPe (E) - ESD'!$AB$176</c:f>
              <c:strCache>
                <c:ptCount val="1"/>
                <c:pt idx="0">
                  <c:v>Deconstruction - geological storage</c:v>
                </c:pt>
              </c:strCache>
            </c:strRef>
          </c:tx>
          <c:spPr>
            <a:solidFill>
              <a:srgbClr val="FF9900"/>
            </a:solidFill>
            <a:ln>
              <a:noFill/>
            </a:ln>
            <a:effectLst/>
          </c:spPr>
          <c:invertIfNegative val="0"/>
          <c:cat>
            <c:numRef>
              <c:f>'Results ReCiPe (E) - ESD'!$AC$172:$BA$172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ESD'!$AC$176:$BA$176</c:f>
              <c:numCache>
                <c:formatCode>0.00E+00</c:formatCode>
                <c:ptCount val="25"/>
                <c:pt idx="24">
                  <c:v>1.6394591401967032E-6</c:v>
                </c:pt>
              </c:numCache>
            </c:numRef>
          </c:val>
          <c:extLst>
            <c:ext xmlns:c16="http://schemas.microsoft.com/office/drawing/2014/chart" uri="{C3380CC4-5D6E-409C-BE32-E72D297353CC}">
              <c16:uniqueId val="{00000003-C7B0-4134-A5EB-7A349E0DA0E8}"/>
            </c:ext>
          </c:extLst>
        </c:ser>
        <c:ser>
          <c:idx val="4"/>
          <c:order val="4"/>
          <c:tx>
            <c:strRef>
              <c:f>'Results ReCiPe (E) - ESD'!$AB$177</c:f>
              <c:strCache>
                <c:ptCount val="1"/>
                <c:pt idx="0">
                  <c:v>Sorbent material</c:v>
                </c:pt>
              </c:strCache>
            </c:strRef>
          </c:tx>
          <c:spPr>
            <a:solidFill>
              <a:srgbClr val="FF8F8F"/>
            </a:solidFill>
            <a:ln>
              <a:noFill/>
            </a:ln>
            <a:effectLst/>
          </c:spPr>
          <c:invertIfNegative val="0"/>
          <c:cat>
            <c:numRef>
              <c:f>'Results ReCiPe (E) - ESD'!$AC$172:$BA$172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ESD'!$AC$177:$BA$177</c:f>
              <c:numCache>
                <c:formatCode>0.00E+00</c:formatCode>
                <c:ptCount val="25"/>
                <c:pt idx="0">
                  <c:v>9.4301611037095288E-5</c:v>
                </c:pt>
                <c:pt idx="3">
                  <c:v>9.2886477686598764E-5</c:v>
                </c:pt>
                <c:pt idx="6">
                  <c:v>9.1489785996520763E-5</c:v>
                </c:pt>
                <c:pt idx="9">
                  <c:v>9.0033315985642623E-5</c:v>
                </c:pt>
                <c:pt idx="12">
                  <c:v>8.8459173995158276E-5</c:v>
                </c:pt>
                <c:pt idx="15">
                  <c:v>8.68753434169571E-5</c:v>
                </c:pt>
                <c:pt idx="18">
                  <c:v>8.5817679992132394E-5</c:v>
                </c:pt>
                <c:pt idx="21">
                  <c:v>8.506043847028737E-5</c:v>
                </c:pt>
                <c:pt idx="24">
                  <c:v>8.4860138497287434E-5</c:v>
                </c:pt>
              </c:numCache>
            </c:numRef>
          </c:val>
          <c:extLst>
            <c:ext xmlns:c16="http://schemas.microsoft.com/office/drawing/2014/chart" uri="{C3380CC4-5D6E-409C-BE32-E72D297353CC}">
              <c16:uniqueId val="{00000004-C7B0-4134-A5EB-7A349E0DA0E8}"/>
            </c:ext>
          </c:extLst>
        </c:ser>
        <c:ser>
          <c:idx val="5"/>
          <c:order val="5"/>
          <c:tx>
            <c:strRef>
              <c:f>'Results ReCiPe (E) - ESD'!$AB$178</c:f>
              <c:strCache>
                <c:ptCount val="1"/>
                <c:pt idx="0">
                  <c:v>Operation - DAC</c:v>
                </c:pt>
              </c:strCache>
            </c:strRef>
          </c:tx>
          <c:spPr>
            <a:solidFill>
              <a:schemeClr val="accent2">
                <a:lumMod val="75000"/>
              </a:schemeClr>
            </a:solidFill>
            <a:ln>
              <a:noFill/>
            </a:ln>
            <a:effectLst/>
          </c:spPr>
          <c:invertIfNegative val="0"/>
          <c:cat>
            <c:numRef>
              <c:f>'Results ReCiPe (E) - ESD'!$AC$172:$BA$172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ESD'!$AC$178:$BA$178</c:f>
              <c:numCache>
                <c:formatCode>0.00E+00</c:formatCode>
                <c:ptCount val="25"/>
                <c:pt idx="0">
                  <c:v>1.412833224446726E-3</c:v>
                </c:pt>
                <c:pt idx="1">
                  <c:v>1.3150924256803585E-3</c:v>
                </c:pt>
                <c:pt idx="2">
                  <c:v>1.2172900141901419E-3</c:v>
                </c:pt>
                <c:pt idx="3">
                  <c:v>1.1190965811557557E-3</c:v>
                </c:pt>
                <c:pt idx="4">
                  <c:v>1.0211577997747568E-3</c:v>
                </c:pt>
                <c:pt idx="5">
                  <c:v>9.2314260445759905E-4</c:v>
                </c:pt>
                <c:pt idx="6">
                  <c:v>8.7380404340124326E-4</c:v>
                </c:pt>
                <c:pt idx="7">
                  <c:v>8.2456490090684507E-4</c:v>
                </c:pt>
                <c:pt idx="8">
                  <c:v>7.7539105978102643E-4</c:v>
                </c:pt>
                <c:pt idx="9">
                  <c:v>7.2618509644425803E-4</c:v>
                </c:pt>
                <c:pt idx="10">
                  <c:v>6.7695754938268892E-4</c:v>
                </c:pt>
                <c:pt idx="11">
                  <c:v>6.4977584537856306E-4</c:v>
                </c:pt>
                <c:pt idx="12">
                  <c:v>6.2245325104523551E-4</c:v>
                </c:pt>
                <c:pt idx="13">
                  <c:v>5.9514579514316197E-4</c:v>
                </c:pt>
                <c:pt idx="14">
                  <c:v>5.6753894895164223E-4</c:v>
                </c:pt>
                <c:pt idx="15">
                  <c:v>5.3979331545927361E-4</c:v>
                </c:pt>
                <c:pt idx="16">
                  <c:v>5.3091929467888441E-4</c:v>
                </c:pt>
                <c:pt idx="17">
                  <c:v>5.2203085308281006E-4</c:v>
                </c:pt>
                <c:pt idx="18">
                  <c:v>5.1326376252432593E-4</c:v>
                </c:pt>
                <c:pt idx="19">
                  <c:v>5.0434878736568909E-4</c:v>
                </c:pt>
                <c:pt idx="20">
                  <c:v>4.9521940393169568E-4</c:v>
                </c:pt>
                <c:pt idx="21">
                  <c:v>4.9311579350245485E-4</c:v>
                </c:pt>
                <c:pt idx="22">
                  <c:v>4.9037830707349822E-4</c:v>
                </c:pt>
                <c:pt idx="23">
                  <c:v>4.876365437249069E-4</c:v>
                </c:pt>
                <c:pt idx="24">
                  <c:v>4.8488881793507394E-4</c:v>
                </c:pt>
              </c:numCache>
            </c:numRef>
          </c:val>
          <c:extLst>
            <c:ext xmlns:c16="http://schemas.microsoft.com/office/drawing/2014/chart" uri="{C3380CC4-5D6E-409C-BE32-E72D297353CC}">
              <c16:uniqueId val="{00000005-C7B0-4134-A5EB-7A349E0DA0E8}"/>
            </c:ext>
          </c:extLst>
        </c:ser>
        <c:ser>
          <c:idx val="6"/>
          <c:order val="6"/>
          <c:tx>
            <c:strRef>
              <c:f>'Results ReCiPe (E) - ESD'!$AB$179</c:f>
              <c:strCache>
                <c:ptCount val="1"/>
                <c:pt idx="0">
                  <c:v>Operation - geological storage</c:v>
                </c:pt>
              </c:strCache>
            </c:strRef>
          </c:tx>
          <c:spPr>
            <a:solidFill>
              <a:schemeClr val="accent2">
                <a:lumMod val="50000"/>
              </a:schemeClr>
            </a:solidFill>
            <a:ln>
              <a:noFill/>
            </a:ln>
            <a:effectLst/>
          </c:spPr>
          <c:invertIfNegative val="0"/>
          <c:cat>
            <c:numRef>
              <c:f>'Results ReCiPe (E) - ESD'!$AC$172:$BA$172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ESD'!$AC$179:$BA$179</c:f>
              <c:numCache>
                <c:formatCode>0.00E+00</c:formatCode>
                <c:ptCount val="25"/>
                <c:pt idx="0">
                  <c:v>4.8760485247032904E-7</c:v>
                </c:pt>
                <c:pt idx="1">
                  <c:v>4.6504457192274615E-7</c:v>
                </c:pt>
                <c:pt idx="2">
                  <c:v>4.4257444748324395E-7</c:v>
                </c:pt>
                <c:pt idx="3">
                  <c:v>4.201239044839275E-7</c:v>
                </c:pt>
                <c:pt idx="4">
                  <c:v>3.9783058232146812E-7</c:v>
                </c:pt>
                <c:pt idx="5">
                  <c:v>3.7562404778643313E-7</c:v>
                </c:pt>
                <c:pt idx="6">
                  <c:v>3.6441396062556494E-7</c:v>
                </c:pt>
                <c:pt idx="7">
                  <c:v>3.5324006282342531E-7</c:v>
                </c:pt>
                <c:pt idx="8">
                  <c:v>3.4209804415007298E-7</c:v>
                </c:pt>
                <c:pt idx="9">
                  <c:v>3.3097285702457221E-7</c:v>
                </c:pt>
                <c:pt idx="10">
                  <c:v>3.1986598285833877E-7</c:v>
                </c:pt>
                <c:pt idx="11">
                  <c:v>3.1359287861240376E-7</c:v>
                </c:pt>
                <c:pt idx="12">
                  <c:v>3.072897762228293E-7</c:v>
                </c:pt>
                <c:pt idx="13">
                  <c:v>3.0099008377612796E-7</c:v>
                </c:pt>
                <c:pt idx="14">
                  <c:v>2.9462627090369284E-7</c:v>
                </c:pt>
                <c:pt idx="15">
                  <c:v>2.8823275108831463E-7</c:v>
                </c:pt>
                <c:pt idx="16">
                  <c:v>2.8582932090217996E-7</c:v>
                </c:pt>
                <c:pt idx="17">
                  <c:v>2.8341956593278602E-7</c:v>
                </c:pt>
                <c:pt idx="18">
                  <c:v>2.8103291968602143E-7</c:v>
                </c:pt>
                <c:pt idx="19">
                  <c:v>2.7861058334426603E-7</c:v>
                </c:pt>
                <c:pt idx="20">
                  <c:v>2.7618238934971503E-7</c:v>
                </c:pt>
                <c:pt idx="21">
                  <c:v>2.7592582162345372E-7</c:v>
                </c:pt>
                <c:pt idx="22">
                  <c:v>2.7551587143910868E-7</c:v>
                </c:pt>
                <c:pt idx="23">
                  <c:v>2.7510666321048117E-7</c:v>
                </c:pt>
                <c:pt idx="24">
                  <c:v>2.74697624232507E-7</c:v>
                </c:pt>
              </c:numCache>
            </c:numRef>
          </c:val>
          <c:extLst>
            <c:ext xmlns:c16="http://schemas.microsoft.com/office/drawing/2014/chart" uri="{C3380CC4-5D6E-409C-BE32-E72D297353CC}">
              <c16:uniqueId val="{00000006-C7B0-4134-A5EB-7A349E0DA0E8}"/>
            </c:ext>
          </c:extLst>
        </c:ser>
        <c:ser>
          <c:idx val="7"/>
          <c:order val="7"/>
          <c:tx>
            <c:strRef>
              <c:f>'Results ReCiPe (E) - ESD'!$AB$180</c:f>
              <c:strCache>
                <c:ptCount val="1"/>
                <c:pt idx="0">
                  <c:v>CO2 captured and stored</c:v>
                </c:pt>
              </c:strCache>
            </c:strRef>
          </c:tx>
          <c:spPr>
            <a:solidFill>
              <a:schemeClr val="tx2">
                <a:lumMod val="20000"/>
                <a:lumOff val="80000"/>
              </a:schemeClr>
            </a:solidFill>
            <a:ln>
              <a:noFill/>
            </a:ln>
            <a:effectLst/>
          </c:spPr>
          <c:invertIfNegative val="0"/>
          <c:cat>
            <c:numRef>
              <c:f>'Results ReCiPe (E) - ESD'!$AC$172:$BA$172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ESD'!$AC$180:$BA$180</c:f>
              <c:numCache>
                <c:formatCode>0.00E+00</c:formatCode>
                <c:ptCount val="25"/>
                <c:pt idx="0">
                  <c:v>-2.5000681999999995E-3</c:v>
                </c:pt>
                <c:pt idx="1">
                  <c:v>-2.5000681999999995E-3</c:v>
                </c:pt>
                <c:pt idx="2">
                  <c:v>-2.5000681999999995E-3</c:v>
                </c:pt>
                <c:pt idx="3">
                  <c:v>-2.5000681999999995E-3</c:v>
                </c:pt>
                <c:pt idx="4">
                  <c:v>-2.5000681999999995E-3</c:v>
                </c:pt>
                <c:pt idx="5">
                  <c:v>-2.5000681999999995E-3</c:v>
                </c:pt>
                <c:pt idx="6">
                  <c:v>-2.5000681999999995E-3</c:v>
                </c:pt>
                <c:pt idx="7">
                  <c:v>-2.5000681999999995E-3</c:v>
                </c:pt>
                <c:pt idx="8">
                  <c:v>-2.5000681999999995E-3</c:v>
                </c:pt>
                <c:pt idx="9">
                  <c:v>-2.5000681999999995E-3</c:v>
                </c:pt>
                <c:pt idx="10">
                  <c:v>-2.5000681999999995E-3</c:v>
                </c:pt>
                <c:pt idx="11">
                  <c:v>-2.5000681999999995E-3</c:v>
                </c:pt>
                <c:pt idx="12">
                  <c:v>-2.5000681999999995E-3</c:v>
                </c:pt>
                <c:pt idx="13">
                  <c:v>-2.5000681999999995E-3</c:v>
                </c:pt>
                <c:pt idx="14">
                  <c:v>-2.5000681999999995E-3</c:v>
                </c:pt>
                <c:pt idx="15">
                  <c:v>-2.5000681999999995E-3</c:v>
                </c:pt>
                <c:pt idx="16">
                  <c:v>-2.5000681999999995E-3</c:v>
                </c:pt>
                <c:pt idx="17">
                  <c:v>-2.5000681999999995E-3</c:v>
                </c:pt>
                <c:pt idx="18">
                  <c:v>-2.5000681999999995E-3</c:v>
                </c:pt>
                <c:pt idx="19">
                  <c:v>-2.5000681999999995E-3</c:v>
                </c:pt>
                <c:pt idx="20">
                  <c:v>-2.5000681999999995E-3</c:v>
                </c:pt>
                <c:pt idx="21">
                  <c:v>-2.5000681999999995E-3</c:v>
                </c:pt>
                <c:pt idx="22">
                  <c:v>-2.5000681999999995E-3</c:v>
                </c:pt>
                <c:pt idx="23">
                  <c:v>-2.5000681999999995E-3</c:v>
                </c:pt>
                <c:pt idx="24">
                  <c:v>-2.5000681999999995E-3</c:v>
                </c:pt>
              </c:numCache>
            </c:numRef>
          </c:val>
          <c:extLst>
            <c:ext xmlns:c16="http://schemas.microsoft.com/office/drawing/2014/chart" uri="{C3380CC4-5D6E-409C-BE32-E72D297353CC}">
              <c16:uniqueId val="{00000007-C7B0-4134-A5EB-7A349E0DA0E8}"/>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(E) - ESD'!$AB$181</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cat>
            <c:numRef>
              <c:f>'Results ReCiPe (E) - ESD'!$AC$172:$BA$172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ESD'!$AC$181:$BA$181</c:f>
              <c:numCache>
                <c:formatCode>0.00E+00</c:formatCode>
                <c:ptCount val="25"/>
                <c:pt idx="0">
                  <c:v>6.6113567140231285E-3</c:v>
                </c:pt>
                <c:pt idx="1">
                  <c:v>-1.1845107297477181E-3</c:v>
                </c:pt>
                <c:pt idx="2">
                  <c:v>-1.2823356113623743E-3</c:v>
                </c:pt>
                <c:pt idx="3">
                  <c:v>-1.287665017253161E-3</c:v>
                </c:pt>
                <c:pt idx="4">
                  <c:v>-1.4785125696429211E-3</c:v>
                </c:pt>
                <c:pt idx="5">
                  <c:v>-1.5765499714946139E-3</c:v>
                </c:pt>
                <c:pt idx="6">
                  <c:v>-1.5344099566416099E-3</c:v>
                </c:pt>
                <c:pt idx="7">
                  <c:v>-1.675150059030331E-3</c:v>
                </c:pt>
                <c:pt idx="8">
                  <c:v>-1.7243350421748231E-3</c:v>
                </c:pt>
                <c:pt idx="9">
                  <c:v>-1.6835188147130743E-3</c:v>
                </c:pt>
                <c:pt idx="10">
                  <c:v>-1.8227907846344522E-3</c:v>
                </c:pt>
                <c:pt idx="11">
                  <c:v>-1.8499787617428242E-3</c:v>
                </c:pt>
                <c:pt idx="12">
                  <c:v>-1.7888484851833828E-3</c:v>
                </c:pt>
                <c:pt idx="13">
                  <c:v>-1.9046214147730614E-3</c:v>
                </c:pt>
                <c:pt idx="14">
                  <c:v>-1.9322346247774534E-3</c:v>
                </c:pt>
                <c:pt idx="15">
                  <c:v>-1.8731113083726805E-3</c:v>
                </c:pt>
                <c:pt idx="16">
                  <c:v>-1.968863076000213E-3</c:v>
                </c:pt>
                <c:pt idx="17">
                  <c:v>-1.9777539273512566E-3</c:v>
                </c:pt>
                <c:pt idx="18">
                  <c:v>-1.900705724563855E-3</c:v>
                </c:pt>
                <c:pt idx="19">
                  <c:v>-1.9954408020509662E-3</c:v>
                </c:pt>
                <c:pt idx="20">
                  <c:v>-2.004572613678954E-3</c:v>
                </c:pt>
                <c:pt idx="21">
                  <c:v>-1.9216160422056336E-3</c:v>
                </c:pt>
                <c:pt idx="22">
                  <c:v>-2.0094143770550623E-3</c:v>
                </c:pt>
                <c:pt idx="23">
                  <c:v>-2.0121565496118822E-3</c:v>
                </c:pt>
                <c:pt idx="24">
                  <c:v>-1.8395638239082925E-3</c:v>
                </c:pt>
              </c:numCache>
            </c:numRef>
          </c:val>
          <c:smooth val="0"/>
          <c:extLst>
            <c:ext xmlns:c16="http://schemas.microsoft.com/office/drawing/2014/chart" uri="{C3380CC4-5D6E-409C-BE32-E72D297353CC}">
              <c16:uniqueId val="{00000008-C7B0-4134-A5EB-7A349E0DA0E8}"/>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Ecosystem damage</a:t>
                </a:r>
              </a:p>
              <a:p>
                <a:pPr algn="ctr" rtl="0">
                  <a:defRPr/>
                </a:pPr>
                <a:r>
                  <a:rPr lang="nl-NL"/>
                  <a:t>[PDF*yr/ton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(E) - ESD'!$AB$214</c:f>
              <c:strCache>
                <c:ptCount val="1"/>
                <c:pt idx="0">
                  <c:v>Construction - DAC</c:v>
                </c:pt>
              </c:strCache>
            </c:strRef>
          </c:tx>
          <c:spPr>
            <a:solidFill>
              <a:schemeClr val="accent4">
                <a:lumMod val="75000"/>
              </a:schemeClr>
            </a:solidFill>
            <a:ln>
              <a:noFill/>
            </a:ln>
            <a:effectLst/>
          </c:spPr>
          <c:invertIfNegative val="0"/>
          <c:cat>
            <c:numRef>
              <c:f>'Results ReCiPe (E) - ESD'!$AC$213:$BA$213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ESD'!$AC$214:$BA$214</c:f>
              <c:numCache>
                <c:formatCode>0.00E+00</c:formatCode>
                <c:ptCount val="25"/>
                <c:pt idx="0">
                  <c:v>7.0848469196898647E-3</c:v>
                </c:pt>
              </c:numCache>
            </c:numRef>
          </c:val>
          <c:extLst>
            <c:ext xmlns:c16="http://schemas.microsoft.com/office/drawing/2014/chart" uri="{C3380CC4-5D6E-409C-BE32-E72D297353CC}">
              <c16:uniqueId val="{00000000-4801-4820-9374-9001B7914940}"/>
            </c:ext>
          </c:extLst>
        </c:ser>
        <c:ser>
          <c:idx val="1"/>
          <c:order val="1"/>
          <c:tx>
            <c:strRef>
              <c:f>'Results ReCiPe (E) - ESD'!$AB$215</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(E) - ESD'!$AC$213:$BA$213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ESD'!$AC$215:$BA$215</c:f>
              <c:numCache>
                <c:formatCode>0.00E+00</c:formatCode>
                <c:ptCount val="25"/>
                <c:pt idx="0">
                  <c:v>2.0171086658104479E-4</c:v>
                </c:pt>
              </c:numCache>
            </c:numRef>
          </c:val>
          <c:extLst>
            <c:ext xmlns:c16="http://schemas.microsoft.com/office/drawing/2014/chart" uri="{C3380CC4-5D6E-409C-BE32-E72D297353CC}">
              <c16:uniqueId val="{00000001-4801-4820-9374-9001B7914940}"/>
            </c:ext>
          </c:extLst>
        </c:ser>
        <c:ser>
          <c:idx val="2"/>
          <c:order val="2"/>
          <c:tx>
            <c:strRef>
              <c:f>'Results ReCiPe (E) - ESD'!$AB$216</c:f>
              <c:strCache>
                <c:ptCount val="1"/>
                <c:pt idx="0">
                  <c:v>Deconstruction - DAC</c:v>
                </c:pt>
              </c:strCache>
            </c:strRef>
          </c:tx>
          <c:spPr>
            <a:solidFill>
              <a:schemeClr val="accent2">
                <a:lumMod val="40000"/>
                <a:lumOff val="60000"/>
              </a:schemeClr>
            </a:solidFill>
            <a:ln>
              <a:noFill/>
            </a:ln>
            <a:effectLst/>
          </c:spPr>
          <c:invertIfNegative val="0"/>
          <c:cat>
            <c:numRef>
              <c:f>'Results ReCiPe (E) - ESD'!$AC$213:$BA$213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ESD'!$AC$216:$BA$216</c:f>
              <c:numCache>
                <c:formatCode>0.00E+00</c:formatCode>
                <c:ptCount val="25"/>
                <c:pt idx="24">
                  <c:v>8.7284618353200512E-5</c:v>
                </c:pt>
              </c:numCache>
            </c:numRef>
          </c:val>
          <c:extLst>
            <c:ext xmlns:c16="http://schemas.microsoft.com/office/drawing/2014/chart" uri="{C3380CC4-5D6E-409C-BE32-E72D297353CC}">
              <c16:uniqueId val="{00000002-4801-4820-9374-9001B7914940}"/>
            </c:ext>
          </c:extLst>
        </c:ser>
        <c:ser>
          <c:idx val="3"/>
          <c:order val="3"/>
          <c:tx>
            <c:strRef>
              <c:f>'Results ReCiPe (E) - ESD'!$AB$217</c:f>
              <c:strCache>
                <c:ptCount val="1"/>
                <c:pt idx="0">
                  <c:v>Deconstruction - geological storage</c:v>
                </c:pt>
              </c:strCache>
            </c:strRef>
          </c:tx>
          <c:spPr>
            <a:solidFill>
              <a:schemeClr val="accent4"/>
            </a:solidFill>
            <a:ln>
              <a:noFill/>
            </a:ln>
            <a:effectLst/>
          </c:spPr>
          <c:invertIfNegative val="0"/>
          <c:cat>
            <c:numRef>
              <c:f>'Results ReCiPe (E) - ESD'!$AC$213:$BA$213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ESD'!$AC$217:$BA$217</c:f>
              <c:numCache>
                <c:formatCode>0.00E+00</c:formatCode>
                <c:ptCount val="25"/>
                <c:pt idx="24">
                  <c:v>1.614429119184463E-6</c:v>
                </c:pt>
              </c:numCache>
            </c:numRef>
          </c:val>
          <c:extLst>
            <c:ext xmlns:c16="http://schemas.microsoft.com/office/drawing/2014/chart" uri="{C3380CC4-5D6E-409C-BE32-E72D297353CC}">
              <c16:uniqueId val="{00000003-4801-4820-9374-9001B7914940}"/>
            </c:ext>
          </c:extLst>
        </c:ser>
        <c:ser>
          <c:idx val="4"/>
          <c:order val="4"/>
          <c:tx>
            <c:strRef>
              <c:f>'Results ReCiPe (E) - ESD'!$AB$218</c:f>
              <c:strCache>
                <c:ptCount val="1"/>
                <c:pt idx="0">
                  <c:v>Sorbent material</c:v>
                </c:pt>
              </c:strCache>
            </c:strRef>
          </c:tx>
          <c:spPr>
            <a:solidFill>
              <a:srgbClr val="FF8F8F"/>
            </a:solidFill>
            <a:ln>
              <a:noFill/>
            </a:ln>
            <a:effectLst/>
          </c:spPr>
          <c:invertIfNegative val="0"/>
          <c:cat>
            <c:numRef>
              <c:f>'Results ReCiPe (E) - ESD'!$AC$213:$BA$213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ESD'!$AC$218:$BA$218</c:f>
              <c:numCache>
                <c:formatCode>0.00E+00</c:formatCode>
                <c:ptCount val="25"/>
                <c:pt idx="0">
                  <c:v>8.7945321917406969E-5</c:v>
                </c:pt>
                <c:pt idx="3">
                  <c:v>8.6080196213763786E-5</c:v>
                </c:pt>
                <c:pt idx="6">
                  <c:v>8.4701027712607356E-5</c:v>
                </c:pt>
                <c:pt idx="9">
                  <c:v>8.4330044138947001E-5</c:v>
                </c:pt>
                <c:pt idx="12">
                  <c:v>8.4172574646746671E-5</c:v>
                </c:pt>
                <c:pt idx="15">
                  <c:v>8.4149742944760532E-5</c:v>
                </c:pt>
                <c:pt idx="18">
                  <c:v>8.4022324846170663E-5</c:v>
                </c:pt>
                <c:pt idx="21">
                  <c:v>8.3912901277463149E-5</c:v>
                </c:pt>
                <c:pt idx="24">
                  <c:v>8.3823048059039279E-5</c:v>
                </c:pt>
              </c:numCache>
            </c:numRef>
          </c:val>
          <c:extLst>
            <c:ext xmlns:c16="http://schemas.microsoft.com/office/drawing/2014/chart" uri="{C3380CC4-5D6E-409C-BE32-E72D297353CC}">
              <c16:uniqueId val="{00000004-4801-4820-9374-9001B7914940}"/>
            </c:ext>
          </c:extLst>
        </c:ser>
        <c:ser>
          <c:idx val="5"/>
          <c:order val="5"/>
          <c:tx>
            <c:strRef>
              <c:f>'Results ReCiPe (E) - ESD'!$AB$219</c:f>
              <c:strCache>
                <c:ptCount val="1"/>
                <c:pt idx="0">
                  <c:v>Operation - DAC</c:v>
                </c:pt>
              </c:strCache>
            </c:strRef>
          </c:tx>
          <c:spPr>
            <a:solidFill>
              <a:schemeClr val="accent2">
                <a:lumMod val="75000"/>
              </a:schemeClr>
            </a:solidFill>
            <a:ln>
              <a:noFill/>
            </a:ln>
            <a:effectLst/>
          </c:spPr>
          <c:invertIfNegative val="0"/>
          <c:cat>
            <c:numRef>
              <c:f>'Results ReCiPe (E) - ESD'!$AC$213:$BA$213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ESD'!$AC$219:$BA$219</c:f>
              <c:numCache>
                <c:formatCode>0.00E+00</c:formatCode>
                <c:ptCount val="25"/>
                <c:pt idx="0">
                  <c:v>7.5146495617668099E-4</c:v>
                </c:pt>
                <c:pt idx="1">
                  <c:v>6.9540139037785581E-4</c:v>
                </c:pt>
                <c:pt idx="2">
                  <c:v>6.3916242765754553E-4</c:v>
                </c:pt>
                <c:pt idx="3">
                  <c:v>5.8242305298043188E-4</c:v>
                </c:pt>
                <c:pt idx="4">
                  <c:v>5.2577118723708572E-4</c:v>
                </c:pt>
                <c:pt idx="5">
                  <c:v>4.6891922502476021E-4</c:v>
                </c:pt>
                <c:pt idx="6">
                  <c:v>4.5868313118981746E-4</c:v>
                </c:pt>
                <c:pt idx="7">
                  <c:v>4.4837126462131161E-4</c:v>
                </c:pt>
                <c:pt idx="8">
                  <c:v>4.3810824858151782E-4</c:v>
                </c:pt>
                <c:pt idx="9">
                  <c:v>4.2765957351921486E-4</c:v>
                </c:pt>
                <c:pt idx="10">
                  <c:v>4.1713762097217601E-4</c:v>
                </c:pt>
                <c:pt idx="11">
                  <c:v>4.090339684751344E-4</c:v>
                </c:pt>
                <c:pt idx="12">
                  <c:v>4.0094738762231632E-4</c:v>
                </c:pt>
                <c:pt idx="13">
                  <c:v>3.9311166561650421E-4</c:v>
                </c:pt>
                <c:pt idx="14">
                  <c:v>3.8503705619273468E-4</c:v>
                </c:pt>
                <c:pt idx="15">
                  <c:v>3.7696688905927781E-4</c:v>
                </c:pt>
                <c:pt idx="16">
                  <c:v>3.715876561211832E-4</c:v>
                </c:pt>
                <c:pt idx="17">
                  <c:v>3.6624222419144164E-4</c:v>
                </c:pt>
                <c:pt idx="18">
                  <c:v>3.6113727070326979E-4</c:v>
                </c:pt>
                <c:pt idx="19">
                  <c:v>3.5586273750504383E-4</c:v>
                </c:pt>
                <c:pt idx="20">
                  <c:v>3.5062164338320334E-4</c:v>
                </c:pt>
                <c:pt idx="21">
                  <c:v>3.4318182629757894E-4</c:v>
                </c:pt>
                <c:pt idx="22">
                  <c:v>3.3503372041246264E-4</c:v>
                </c:pt>
                <c:pt idx="23">
                  <c:v>3.2686736403517408E-4</c:v>
                </c:pt>
                <c:pt idx="24">
                  <c:v>3.1868100523180996E-4</c:v>
                </c:pt>
              </c:numCache>
            </c:numRef>
          </c:val>
          <c:extLst>
            <c:ext xmlns:c16="http://schemas.microsoft.com/office/drawing/2014/chart" uri="{C3380CC4-5D6E-409C-BE32-E72D297353CC}">
              <c16:uniqueId val="{00000005-4801-4820-9374-9001B7914940}"/>
            </c:ext>
          </c:extLst>
        </c:ser>
        <c:ser>
          <c:idx val="6"/>
          <c:order val="6"/>
          <c:tx>
            <c:strRef>
              <c:f>'Results ReCiPe (E) - ESD'!$AB$220</c:f>
              <c:strCache>
                <c:ptCount val="1"/>
                <c:pt idx="0">
                  <c:v>Operation - geological storage</c:v>
                </c:pt>
              </c:strCache>
            </c:strRef>
          </c:tx>
          <c:spPr>
            <a:solidFill>
              <a:schemeClr val="accent2">
                <a:lumMod val="50000"/>
              </a:schemeClr>
            </a:solidFill>
            <a:ln>
              <a:noFill/>
            </a:ln>
            <a:effectLst/>
          </c:spPr>
          <c:invertIfNegative val="0"/>
          <c:cat>
            <c:numRef>
              <c:f>'Results ReCiPe (E) - ESD'!$AC$213:$BA$213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ESD'!$AC$220:$BA$220</c:f>
              <c:numCache>
                <c:formatCode>0.00E+00</c:formatCode>
                <c:ptCount val="25"/>
                <c:pt idx="0">
                  <c:v>3.3489944080053284E-7</c:v>
                </c:pt>
                <c:pt idx="1">
                  <c:v>3.2240178454125563E-7</c:v>
                </c:pt>
                <c:pt idx="2">
                  <c:v>3.0994690936244985E-7</c:v>
                </c:pt>
                <c:pt idx="3">
                  <c:v>2.9746716517509258E-7</c:v>
                </c:pt>
                <c:pt idx="4">
                  <c:v>2.8508644032165978E-7</c:v>
                </c:pt>
                <c:pt idx="5">
                  <c:v>2.7274188807705714E-7</c:v>
                </c:pt>
                <c:pt idx="6">
                  <c:v>2.7073439346000458E-7</c:v>
                </c:pt>
                <c:pt idx="7">
                  <c:v>2.6871807055955121E-7</c:v>
                </c:pt>
                <c:pt idx="8">
                  <c:v>2.6672005625714659E-7</c:v>
                </c:pt>
                <c:pt idx="9">
                  <c:v>2.6469006309224929E-7</c:v>
                </c:pt>
                <c:pt idx="10">
                  <c:v>2.6265191488039863E-7</c:v>
                </c:pt>
                <c:pt idx="11">
                  <c:v>2.6067748311186712E-7</c:v>
                </c:pt>
                <c:pt idx="12">
                  <c:v>2.5870450560201839E-7</c:v>
                </c:pt>
                <c:pt idx="13">
                  <c:v>2.5678406706546552E-7</c:v>
                </c:pt>
                <c:pt idx="14">
                  <c:v>2.5481012413908648E-7</c:v>
                </c:pt>
                <c:pt idx="15">
                  <c:v>2.5283557040266083E-7</c:v>
                </c:pt>
                <c:pt idx="16">
                  <c:v>2.5073890787818527E-7</c:v>
                </c:pt>
                <c:pt idx="17">
                  <c:v>2.4864237052109155E-7</c:v>
                </c:pt>
                <c:pt idx="18">
                  <c:v>2.4659149782812216E-7</c:v>
                </c:pt>
                <c:pt idx="19">
                  <c:v>2.4449637659442965E-7</c:v>
                </c:pt>
                <c:pt idx="20">
                  <c:v>2.4240148151412001E-7</c:v>
                </c:pt>
                <c:pt idx="21">
                  <c:v>2.4096473938026532E-7</c:v>
                </c:pt>
                <c:pt idx="22">
                  <c:v>2.3936080505205335E-7</c:v>
                </c:pt>
                <c:pt idx="23">
                  <c:v>2.3775813722437866E-7</c:v>
                </c:pt>
                <c:pt idx="24">
                  <c:v>2.3615618724798129E-7</c:v>
                </c:pt>
              </c:numCache>
            </c:numRef>
          </c:val>
          <c:extLst>
            <c:ext xmlns:c16="http://schemas.microsoft.com/office/drawing/2014/chart" uri="{C3380CC4-5D6E-409C-BE32-E72D297353CC}">
              <c16:uniqueId val="{00000006-4801-4820-9374-9001B7914940}"/>
            </c:ext>
          </c:extLst>
        </c:ser>
        <c:ser>
          <c:idx val="7"/>
          <c:order val="7"/>
          <c:tx>
            <c:strRef>
              <c:f>'Results ReCiPe (E) - ESD'!$AB$221</c:f>
              <c:strCache>
                <c:ptCount val="1"/>
                <c:pt idx="0">
                  <c:v>CO2 captured and stored</c:v>
                </c:pt>
              </c:strCache>
            </c:strRef>
          </c:tx>
          <c:spPr>
            <a:solidFill>
              <a:schemeClr val="tx2">
                <a:lumMod val="20000"/>
                <a:lumOff val="80000"/>
              </a:schemeClr>
            </a:solidFill>
            <a:ln>
              <a:noFill/>
            </a:ln>
            <a:effectLst/>
          </c:spPr>
          <c:invertIfNegative val="0"/>
          <c:cat>
            <c:numRef>
              <c:f>'Results ReCiPe (E) - ESD'!$AC$213:$BA$213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ESD'!$AC$221:$BA$221</c:f>
              <c:numCache>
                <c:formatCode>0.00E+00</c:formatCode>
                <c:ptCount val="25"/>
                <c:pt idx="0">
                  <c:v>-2.5000681999999995E-3</c:v>
                </c:pt>
                <c:pt idx="1">
                  <c:v>-2.5000681999999995E-3</c:v>
                </c:pt>
                <c:pt idx="2">
                  <c:v>-2.5000681999999995E-3</c:v>
                </c:pt>
                <c:pt idx="3">
                  <c:v>-2.5000681999999995E-3</c:v>
                </c:pt>
                <c:pt idx="4">
                  <c:v>-2.5000681999999995E-3</c:v>
                </c:pt>
                <c:pt idx="5">
                  <c:v>-2.5000681999999995E-3</c:v>
                </c:pt>
                <c:pt idx="6">
                  <c:v>-2.5000681999999995E-3</c:v>
                </c:pt>
                <c:pt idx="7">
                  <c:v>-2.5000681999999995E-3</c:v>
                </c:pt>
                <c:pt idx="8">
                  <c:v>-2.5000681999999995E-3</c:v>
                </c:pt>
                <c:pt idx="9">
                  <c:v>-2.5000681999999995E-3</c:v>
                </c:pt>
                <c:pt idx="10">
                  <c:v>-2.5000681999999995E-3</c:v>
                </c:pt>
                <c:pt idx="11">
                  <c:v>-2.5000681999999995E-3</c:v>
                </c:pt>
                <c:pt idx="12">
                  <c:v>-2.5000681999999995E-3</c:v>
                </c:pt>
                <c:pt idx="13">
                  <c:v>-2.5000681999999995E-3</c:v>
                </c:pt>
                <c:pt idx="14">
                  <c:v>-2.5000681999999995E-3</c:v>
                </c:pt>
                <c:pt idx="15">
                  <c:v>-2.5000681999999995E-3</c:v>
                </c:pt>
                <c:pt idx="16">
                  <c:v>-2.5000681999999995E-3</c:v>
                </c:pt>
                <c:pt idx="17">
                  <c:v>-2.5000681999999995E-3</c:v>
                </c:pt>
                <c:pt idx="18">
                  <c:v>-2.5000681999999995E-3</c:v>
                </c:pt>
                <c:pt idx="19">
                  <c:v>-2.5000681999999995E-3</c:v>
                </c:pt>
                <c:pt idx="20">
                  <c:v>-2.5000681999999995E-3</c:v>
                </c:pt>
                <c:pt idx="21">
                  <c:v>-2.5000681999999995E-3</c:v>
                </c:pt>
                <c:pt idx="22">
                  <c:v>-2.5000681999999995E-3</c:v>
                </c:pt>
                <c:pt idx="23">
                  <c:v>-2.5000681999999995E-3</c:v>
                </c:pt>
                <c:pt idx="24">
                  <c:v>-2.5000681999999995E-3</c:v>
                </c:pt>
              </c:numCache>
            </c:numRef>
          </c:val>
          <c:extLst>
            <c:ext xmlns:c16="http://schemas.microsoft.com/office/drawing/2014/chart" uri="{C3380CC4-5D6E-409C-BE32-E72D297353CC}">
              <c16:uniqueId val="{00000007-4801-4820-9374-9001B7914940}"/>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(E) - ESD'!$AB$222</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cat>
            <c:numRef>
              <c:f>'Results ReCiPe (E) - ESD'!$AC$213:$BA$213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ESD'!$AC$222:$BA$222</c:f>
              <c:numCache>
                <c:formatCode>0.00E+00</c:formatCode>
                <c:ptCount val="25"/>
                <c:pt idx="0">
                  <c:v>5.626234763805798E-3</c:v>
                </c:pt>
                <c:pt idx="1">
                  <c:v>-1.8043444078376025E-3</c:v>
                </c:pt>
                <c:pt idx="2">
                  <c:v>-1.8605958254330915E-3</c:v>
                </c:pt>
                <c:pt idx="3">
                  <c:v>-1.8312674836406288E-3</c:v>
                </c:pt>
                <c:pt idx="4">
                  <c:v>-1.9740119263225919E-3</c:v>
                </c:pt>
                <c:pt idx="5">
                  <c:v>-2.030876233087162E-3</c:v>
                </c:pt>
                <c:pt idx="6">
                  <c:v>-1.9564133067041145E-3</c:v>
                </c:pt>
                <c:pt idx="7">
                  <c:v>-2.0514282173081282E-3</c:v>
                </c:pt>
                <c:pt idx="8">
                  <c:v>-2.0616932313622244E-3</c:v>
                </c:pt>
                <c:pt idx="9">
                  <c:v>-1.9878138922787454E-3</c:v>
                </c:pt>
                <c:pt idx="10">
                  <c:v>-2.0826679271129431E-3</c:v>
                </c:pt>
                <c:pt idx="11">
                  <c:v>-2.0907735540417532E-3</c:v>
                </c:pt>
                <c:pt idx="12">
                  <c:v>-2.0146895332253346E-3</c:v>
                </c:pt>
                <c:pt idx="13">
                  <c:v>-2.1066997503164297E-3</c:v>
                </c:pt>
                <c:pt idx="14">
                  <c:v>-2.1147763336831259E-3</c:v>
                </c:pt>
                <c:pt idx="15">
                  <c:v>-2.0386987324255584E-3</c:v>
                </c:pt>
                <c:pt idx="16">
                  <c:v>-2.1282298049709381E-3</c:v>
                </c:pt>
                <c:pt idx="17">
                  <c:v>-2.1335773334380369E-3</c:v>
                </c:pt>
                <c:pt idx="18">
                  <c:v>-2.054662012952731E-3</c:v>
                </c:pt>
                <c:pt idx="19">
                  <c:v>-2.143960966118361E-3</c:v>
                </c:pt>
                <c:pt idx="20">
                  <c:v>-2.1492041551352818E-3</c:v>
                </c:pt>
                <c:pt idx="21">
                  <c:v>-2.072732507685577E-3</c:v>
                </c:pt>
                <c:pt idx="22">
                  <c:v>-2.1647951187824849E-3</c:v>
                </c:pt>
                <c:pt idx="23">
                  <c:v>-2.1729630778276011E-3</c:v>
                </c:pt>
                <c:pt idx="24">
                  <c:v>-2.0084289430495174E-3</c:v>
                </c:pt>
              </c:numCache>
            </c:numRef>
          </c:val>
          <c:smooth val="0"/>
          <c:extLst>
            <c:ext xmlns:c16="http://schemas.microsoft.com/office/drawing/2014/chart" uri="{C3380CC4-5D6E-409C-BE32-E72D297353CC}">
              <c16:uniqueId val="{00000008-4801-4820-9374-9001B7914940}"/>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Ecosystem damage</a:t>
                </a:r>
              </a:p>
              <a:p>
                <a:pPr algn="ctr" rtl="0">
                  <a:defRPr/>
                </a:pPr>
                <a:r>
                  <a:rPr lang="nl-NL"/>
                  <a:t>[PDF*yr/ton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26879729621161"/>
          <c:y val="5.4106329588493672E-2"/>
          <c:w val="0.87797394606685986"/>
          <c:h val="0.75500483548693564"/>
        </c:manualLayout>
      </c:layout>
      <c:barChart>
        <c:barDir val="col"/>
        <c:grouping val="stacked"/>
        <c:varyColors val="0"/>
        <c:ser>
          <c:idx val="0"/>
          <c:order val="0"/>
          <c:tx>
            <c:strRef>
              <c:f>'Results ReCiPe (E) - ESD'!$AB$274</c:f>
              <c:strCache>
                <c:ptCount val="1"/>
                <c:pt idx="0">
                  <c:v>Construction - DAC</c:v>
                </c:pt>
              </c:strCache>
            </c:strRef>
          </c:tx>
          <c:spPr>
            <a:solidFill>
              <a:schemeClr val="accent4">
                <a:lumMod val="75000"/>
              </a:schemeClr>
            </a:solidFill>
            <a:ln>
              <a:noFill/>
            </a:ln>
            <a:effectLst/>
          </c:spPr>
          <c:invertIfNegative val="0"/>
          <c:cat>
            <c:numRef>
              <c:f>'Results ReCiPe (E) - ESD'!$AC$273:$BA$273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ESD'!$AC$274:$BA$274</c:f>
              <c:numCache>
                <c:formatCode>0.00E+00</c:formatCode>
                <c:ptCount val="25"/>
                <c:pt idx="0">
                  <c:v>7.3199019140040957E-3</c:v>
                </c:pt>
              </c:numCache>
            </c:numRef>
          </c:val>
          <c:extLst>
            <c:ext xmlns:c16="http://schemas.microsoft.com/office/drawing/2014/chart" uri="{C3380CC4-5D6E-409C-BE32-E72D297353CC}">
              <c16:uniqueId val="{00000000-827A-445A-BCC2-8F8AFF4E7E64}"/>
            </c:ext>
          </c:extLst>
        </c:ser>
        <c:ser>
          <c:idx val="1"/>
          <c:order val="1"/>
          <c:tx>
            <c:strRef>
              <c:f>'Results ReCiPe (E) - ESD'!$AB$275</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(E) - ESD'!$AC$273:$BA$273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ESD'!$AC$275:$BA$275</c:f>
              <c:numCache>
                <c:formatCode>0.00E+00</c:formatCode>
                <c:ptCount val="25"/>
                <c:pt idx="0">
                  <c:v>1.0976827170369297E-4</c:v>
                </c:pt>
              </c:numCache>
            </c:numRef>
          </c:val>
          <c:extLst>
            <c:ext xmlns:c16="http://schemas.microsoft.com/office/drawing/2014/chart" uri="{C3380CC4-5D6E-409C-BE32-E72D297353CC}">
              <c16:uniqueId val="{00000001-827A-445A-BCC2-8F8AFF4E7E64}"/>
            </c:ext>
          </c:extLst>
        </c:ser>
        <c:ser>
          <c:idx val="2"/>
          <c:order val="2"/>
          <c:tx>
            <c:strRef>
              <c:f>'Results ReCiPe (E) - ESD'!$AB$276</c:f>
              <c:strCache>
                <c:ptCount val="1"/>
                <c:pt idx="0">
                  <c:v>Deconstruction - DAC</c:v>
                </c:pt>
              </c:strCache>
            </c:strRef>
          </c:tx>
          <c:spPr>
            <a:solidFill>
              <a:schemeClr val="accent2">
                <a:lumMod val="40000"/>
                <a:lumOff val="60000"/>
              </a:schemeClr>
            </a:solidFill>
            <a:ln>
              <a:noFill/>
            </a:ln>
            <a:effectLst/>
          </c:spPr>
          <c:invertIfNegative val="0"/>
          <c:cat>
            <c:numRef>
              <c:f>'Results ReCiPe (E) - ESD'!$AC$273:$BA$273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ESD'!$AC$276:$BA$276</c:f>
              <c:numCache>
                <c:formatCode>0.00E+00</c:formatCode>
                <c:ptCount val="25"/>
                <c:pt idx="24">
                  <c:v>9.2556580539513285E-5</c:v>
                </c:pt>
              </c:numCache>
            </c:numRef>
          </c:val>
          <c:extLst>
            <c:ext xmlns:c16="http://schemas.microsoft.com/office/drawing/2014/chart" uri="{C3380CC4-5D6E-409C-BE32-E72D297353CC}">
              <c16:uniqueId val="{00000002-827A-445A-BCC2-8F8AFF4E7E64}"/>
            </c:ext>
          </c:extLst>
        </c:ser>
        <c:ser>
          <c:idx val="3"/>
          <c:order val="3"/>
          <c:tx>
            <c:strRef>
              <c:f>'Results ReCiPe (E) - ESD'!$AB$277</c:f>
              <c:strCache>
                <c:ptCount val="1"/>
                <c:pt idx="0">
                  <c:v>Deconstruction - geological storage</c:v>
                </c:pt>
              </c:strCache>
            </c:strRef>
          </c:tx>
          <c:spPr>
            <a:solidFill>
              <a:srgbClr val="FF9900"/>
            </a:solidFill>
            <a:ln>
              <a:noFill/>
            </a:ln>
            <a:effectLst/>
          </c:spPr>
          <c:invertIfNegative val="0"/>
          <c:cat>
            <c:numRef>
              <c:f>'Results ReCiPe (E) - ESD'!$AC$273:$BA$273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ESD'!$AC$277:$BA$277</c:f>
              <c:numCache>
                <c:formatCode>0.00E+00</c:formatCode>
                <c:ptCount val="25"/>
                <c:pt idx="24">
                  <c:v>8.4579874585860926E-7</c:v>
                </c:pt>
              </c:numCache>
            </c:numRef>
          </c:val>
          <c:extLst>
            <c:ext xmlns:c16="http://schemas.microsoft.com/office/drawing/2014/chart" uri="{C3380CC4-5D6E-409C-BE32-E72D297353CC}">
              <c16:uniqueId val="{00000003-827A-445A-BCC2-8F8AFF4E7E64}"/>
            </c:ext>
          </c:extLst>
        </c:ser>
        <c:ser>
          <c:idx val="4"/>
          <c:order val="4"/>
          <c:tx>
            <c:strRef>
              <c:f>'Results ReCiPe (E) - ESD'!$AB$278</c:f>
              <c:strCache>
                <c:ptCount val="1"/>
                <c:pt idx="0">
                  <c:v>Sorbent material</c:v>
                </c:pt>
              </c:strCache>
            </c:strRef>
          </c:tx>
          <c:spPr>
            <a:solidFill>
              <a:srgbClr val="FF8F8F"/>
            </a:solidFill>
            <a:ln>
              <a:noFill/>
            </a:ln>
            <a:effectLst/>
          </c:spPr>
          <c:invertIfNegative val="0"/>
          <c:cat>
            <c:numRef>
              <c:f>'Results ReCiPe (E) - ESD'!$AC$273:$BA$273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ESD'!$AC$278:$BA$278</c:f>
              <c:numCache>
                <c:formatCode>0.00E+00</c:formatCode>
                <c:ptCount val="25"/>
                <c:pt idx="0">
                  <c:v>9.6070786883955476E-5</c:v>
                </c:pt>
                <c:pt idx="3">
                  <c:v>9.5821625581055684E-5</c:v>
                </c:pt>
                <c:pt idx="6">
                  <c:v>9.5829318269014544E-5</c:v>
                </c:pt>
                <c:pt idx="9">
                  <c:v>9.6195219555553151E-5</c:v>
                </c:pt>
                <c:pt idx="12">
                  <c:v>9.671044208302645E-5</c:v>
                </c:pt>
                <c:pt idx="15">
                  <c:v>9.7352908438601063E-5</c:v>
                </c:pt>
                <c:pt idx="18">
                  <c:v>9.6952281836548256E-5</c:v>
                </c:pt>
                <c:pt idx="21">
                  <c:v>9.6376407293463591E-5</c:v>
                </c:pt>
                <c:pt idx="24">
                  <c:v>9.5439879467151915E-5</c:v>
                </c:pt>
              </c:numCache>
            </c:numRef>
          </c:val>
          <c:extLst>
            <c:ext xmlns:c16="http://schemas.microsoft.com/office/drawing/2014/chart" uri="{C3380CC4-5D6E-409C-BE32-E72D297353CC}">
              <c16:uniqueId val="{00000004-827A-445A-BCC2-8F8AFF4E7E64}"/>
            </c:ext>
          </c:extLst>
        </c:ser>
        <c:ser>
          <c:idx val="5"/>
          <c:order val="5"/>
          <c:tx>
            <c:strRef>
              <c:f>'Results ReCiPe (E) - ESD'!$AB$279</c:f>
              <c:strCache>
                <c:ptCount val="1"/>
                <c:pt idx="0">
                  <c:v>Battery</c:v>
                </c:pt>
              </c:strCache>
            </c:strRef>
          </c:tx>
          <c:spPr>
            <a:solidFill>
              <a:schemeClr val="accent6">
                <a:lumMod val="50000"/>
              </a:schemeClr>
            </a:solidFill>
            <a:ln>
              <a:noFill/>
            </a:ln>
            <a:effectLst/>
          </c:spPr>
          <c:invertIfNegative val="0"/>
          <c:cat>
            <c:numRef>
              <c:f>'Results ReCiPe (E) - ESD'!$AC$273:$BA$273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ESD'!$AC$279:$BA$279</c:f>
              <c:numCache>
                <c:formatCode>0.00E+00</c:formatCode>
                <c:ptCount val="25"/>
                <c:pt idx="0">
                  <c:v>1.9926666043942618E-3</c:v>
                </c:pt>
                <c:pt idx="1">
                  <c:v>1.9926666043942618E-3</c:v>
                </c:pt>
                <c:pt idx="2">
                  <c:v>1.9926666043942618E-3</c:v>
                </c:pt>
                <c:pt idx="3">
                  <c:v>1.9926666043942618E-3</c:v>
                </c:pt>
                <c:pt idx="4">
                  <c:v>1.9926666043942618E-3</c:v>
                </c:pt>
                <c:pt idx="5">
                  <c:v>1.9926666043942618E-3</c:v>
                </c:pt>
                <c:pt idx="6">
                  <c:v>1.9926666043942618E-3</c:v>
                </c:pt>
                <c:pt idx="7">
                  <c:v>1.9926666043942618E-3</c:v>
                </c:pt>
                <c:pt idx="8">
                  <c:v>1.9926666043942618E-3</c:v>
                </c:pt>
                <c:pt idx="9">
                  <c:v>1.9926666043942618E-3</c:v>
                </c:pt>
                <c:pt idx="10">
                  <c:v>1.9926666043942618E-3</c:v>
                </c:pt>
                <c:pt idx="11">
                  <c:v>1.9926666043942618E-3</c:v>
                </c:pt>
                <c:pt idx="12">
                  <c:v>1.9926666043942618E-3</c:v>
                </c:pt>
                <c:pt idx="13">
                  <c:v>1.9926666043942618E-3</c:v>
                </c:pt>
                <c:pt idx="14">
                  <c:v>1.9926666043942618E-3</c:v>
                </c:pt>
                <c:pt idx="15">
                  <c:v>1.9926666043942618E-3</c:v>
                </c:pt>
                <c:pt idx="16">
                  <c:v>1.9926666043942618E-3</c:v>
                </c:pt>
                <c:pt idx="17">
                  <c:v>1.9926666043942618E-3</c:v>
                </c:pt>
                <c:pt idx="18">
                  <c:v>1.9926666043942618E-3</c:v>
                </c:pt>
                <c:pt idx="19">
                  <c:v>1.9926666043942618E-3</c:v>
                </c:pt>
                <c:pt idx="20">
                  <c:v>1.9926666043942618E-3</c:v>
                </c:pt>
                <c:pt idx="21">
                  <c:v>1.9926666043942618E-3</c:v>
                </c:pt>
                <c:pt idx="22">
                  <c:v>1.9926666043942618E-3</c:v>
                </c:pt>
                <c:pt idx="23">
                  <c:v>1.9926666043942618E-3</c:v>
                </c:pt>
                <c:pt idx="24">
                  <c:v>1.9926666043942618E-3</c:v>
                </c:pt>
              </c:numCache>
            </c:numRef>
          </c:val>
          <c:extLst>
            <c:ext xmlns:c16="http://schemas.microsoft.com/office/drawing/2014/chart" uri="{C3380CC4-5D6E-409C-BE32-E72D297353CC}">
              <c16:uniqueId val="{00000005-827A-445A-BCC2-8F8AFF4E7E64}"/>
            </c:ext>
          </c:extLst>
        </c:ser>
        <c:ser>
          <c:idx val="6"/>
          <c:order val="6"/>
          <c:tx>
            <c:strRef>
              <c:f>'Results ReCiPe (E) - ESD'!$AB$280</c:f>
              <c:strCache>
                <c:ptCount val="1"/>
                <c:pt idx="0">
                  <c:v>Operation - DAC</c:v>
                </c:pt>
              </c:strCache>
            </c:strRef>
          </c:tx>
          <c:spPr>
            <a:solidFill>
              <a:schemeClr val="accent2">
                <a:lumMod val="75000"/>
              </a:schemeClr>
            </a:solidFill>
            <a:ln>
              <a:noFill/>
            </a:ln>
            <a:effectLst/>
          </c:spPr>
          <c:invertIfNegative val="0"/>
          <c:cat>
            <c:numRef>
              <c:f>'Results ReCiPe (E) - ESD'!$AC$273:$BA$273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ESD'!$AC$280:$BA$280</c:f>
              <c:numCache>
                <c:formatCode>0.00E+00</c:formatCode>
                <c:ptCount val="25"/>
                <c:pt idx="0">
                  <c:v>1.2111757381217403E-3</c:v>
                </c:pt>
                <c:pt idx="1">
                  <c:v>1.2107734341248084E-3</c:v>
                </c:pt>
                <c:pt idx="2">
                  <c:v>1.2103879827427362E-3</c:v>
                </c:pt>
                <c:pt idx="3">
                  <c:v>1.2095933050688145E-3</c:v>
                </c:pt>
                <c:pt idx="4">
                  <c:v>1.2092432433617416E-3</c:v>
                </c:pt>
                <c:pt idx="5">
                  <c:v>1.2089039805493354E-3</c:v>
                </c:pt>
                <c:pt idx="6">
                  <c:v>1.2088542808800101E-3</c:v>
                </c:pt>
                <c:pt idx="7">
                  <c:v>1.2088446406106612E-3</c:v>
                </c:pt>
                <c:pt idx="8">
                  <c:v>1.208949608196002E-3</c:v>
                </c:pt>
                <c:pt idx="9">
                  <c:v>1.2090141986579499E-3</c:v>
                </c:pt>
                <c:pt idx="10">
                  <c:v>1.2091067815817556E-3</c:v>
                </c:pt>
                <c:pt idx="11">
                  <c:v>1.2095368567246144E-3</c:v>
                </c:pt>
                <c:pt idx="12">
                  <c:v>1.2099987611041241E-3</c:v>
                </c:pt>
                <c:pt idx="13">
                  <c:v>1.2106835853523462E-3</c:v>
                </c:pt>
                <c:pt idx="14">
                  <c:v>1.2112087192850441E-3</c:v>
                </c:pt>
                <c:pt idx="15">
                  <c:v>1.2117754788492539E-3</c:v>
                </c:pt>
                <c:pt idx="16">
                  <c:v>1.2112333018230829E-3</c:v>
                </c:pt>
                <c:pt idx="17">
                  <c:v>1.2106897538520284E-3</c:v>
                </c:pt>
                <c:pt idx="18">
                  <c:v>1.210276848811982E-3</c:v>
                </c:pt>
                <c:pt idx="19">
                  <c:v>1.2097278704424656E-3</c:v>
                </c:pt>
                <c:pt idx="20">
                  <c:v>1.2091750705185151E-3</c:v>
                </c:pt>
                <c:pt idx="21">
                  <c:v>1.2082701711876227E-3</c:v>
                </c:pt>
                <c:pt idx="22">
                  <c:v>1.2071873044331724E-3</c:v>
                </c:pt>
                <c:pt idx="23">
                  <c:v>1.2060983427733696E-3</c:v>
                </c:pt>
                <c:pt idx="24">
                  <c:v>1.2050029865524616E-3</c:v>
                </c:pt>
              </c:numCache>
            </c:numRef>
          </c:val>
          <c:extLst>
            <c:ext xmlns:c16="http://schemas.microsoft.com/office/drawing/2014/chart" uri="{C3380CC4-5D6E-409C-BE32-E72D297353CC}">
              <c16:uniqueId val="{00000006-827A-445A-BCC2-8F8AFF4E7E64}"/>
            </c:ext>
          </c:extLst>
        </c:ser>
        <c:ser>
          <c:idx val="7"/>
          <c:order val="7"/>
          <c:tx>
            <c:strRef>
              <c:f>'Results ReCiPe (E) - ESD'!$AB$281</c:f>
              <c:strCache>
                <c:ptCount val="1"/>
                <c:pt idx="0">
                  <c:v>Operation - geological storage</c:v>
                </c:pt>
              </c:strCache>
            </c:strRef>
          </c:tx>
          <c:spPr>
            <a:solidFill>
              <a:schemeClr val="accent2">
                <a:lumMod val="50000"/>
              </a:schemeClr>
            </a:solidFill>
            <a:ln>
              <a:noFill/>
            </a:ln>
            <a:effectLst/>
          </c:spPr>
          <c:invertIfNegative val="0"/>
          <c:cat>
            <c:numRef>
              <c:f>'Results ReCiPe (E) - ESD'!$AC$273:$BA$273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ESD'!$AC$281:$BA$281</c:f>
              <c:numCache>
                <c:formatCode>0.00E+00</c:formatCode>
                <c:ptCount val="25"/>
                <c:pt idx="0">
                  <c:v>1.2109631907529534E-4</c:v>
                </c:pt>
                <c:pt idx="1">
                  <c:v>1.2082343799660154E-4</c:v>
                </c:pt>
                <c:pt idx="2">
                  <c:v>1.2055022165994736E-4</c:v>
                </c:pt>
                <c:pt idx="3">
                  <c:v>1.202618083486462E-4</c:v>
                </c:pt>
                <c:pt idx="4">
                  <c:v>1.199877340687818E-4</c:v>
                </c:pt>
                <c:pt idx="5">
                  <c:v>1.1971320269733625E-4</c:v>
                </c:pt>
                <c:pt idx="6">
                  <c:v>1.2636525898809136E-4</c:v>
                </c:pt>
                <c:pt idx="7">
                  <c:v>1.3298924874594959E-4</c:v>
                </c:pt>
                <c:pt idx="8">
                  <c:v>1.3958940048574699E-4</c:v>
                </c:pt>
                <c:pt idx="9">
                  <c:v>1.4616441472427275E-4</c:v>
                </c:pt>
                <c:pt idx="10">
                  <c:v>1.5271254905887096E-4</c:v>
                </c:pt>
                <c:pt idx="11">
                  <c:v>1.652685676093333E-4</c:v>
                </c:pt>
                <c:pt idx="12">
                  <c:v>1.7782669986245953E-4</c:v>
                </c:pt>
                <c:pt idx="13">
                  <c:v>1.9039514316085011E-4</c:v>
                </c:pt>
                <c:pt idx="14">
                  <c:v>2.0295759552319941E-4</c:v>
                </c:pt>
                <c:pt idx="15">
                  <c:v>2.155223914374185E-4</c:v>
                </c:pt>
                <c:pt idx="16">
                  <c:v>2.1636815550879436E-4</c:v>
                </c:pt>
                <c:pt idx="17">
                  <c:v>2.1721122654958051E-4</c:v>
                </c:pt>
                <c:pt idx="18">
                  <c:v>2.1805673539084734E-4</c:v>
                </c:pt>
                <c:pt idx="19">
                  <c:v>2.1889445976787044E-4</c:v>
                </c:pt>
                <c:pt idx="20">
                  <c:v>2.1972959714055694E-4</c:v>
                </c:pt>
                <c:pt idx="21">
                  <c:v>2.1442352391606875E-4</c:v>
                </c:pt>
                <c:pt idx="22">
                  <c:v>2.0890345292681804E-4</c:v>
                </c:pt>
                <c:pt idx="23">
                  <c:v>2.0338661651041331E-4</c:v>
                </c:pt>
                <c:pt idx="24">
                  <c:v>1.978728906200919E-4</c:v>
                </c:pt>
              </c:numCache>
            </c:numRef>
          </c:val>
          <c:extLst>
            <c:ext xmlns:c16="http://schemas.microsoft.com/office/drawing/2014/chart" uri="{C3380CC4-5D6E-409C-BE32-E72D297353CC}">
              <c16:uniqueId val="{00000007-827A-445A-BCC2-8F8AFF4E7E64}"/>
            </c:ext>
          </c:extLst>
        </c:ser>
        <c:ser>
          <c:idx val="8"/>
          <c:order val="8"/>
          <c:tx>
            <c:strRef>
              <c:f>'Results ReCiPe (E) - ESD'!$AB$282</c:f>
              <c:strCache>
                <c:ptCount val="1"/>
                <c:pt idx="0">
                  <c:v>CO2 captured and stored</c:v>
                </c:pt>
              </c:strCache>
            </c:strRef>
          </c:tx>
          <c:spPr>
            <a:solidFill>
              <a:schemeClr val="tx2">
                <a:lumMod val="20000"/>
                <a:lumOff val="80000"/>
              </a:schemeClr>
            </a:solidFill>
            <a:ln>
              <a:noFill/>
            </a:ln>
            <a:effectLst/>
          </c:spPr>
          <c:invertIfNegative val="0"/>
          <c:cat>
            <c:numRef>
              <c:f>'Results ReCiPe (E) - ESD'!$AC$273:$BA$273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ESD'!$AC$282:$BA$282</c:f>
              <c:numCache>
                <c:formatCode>0.00E+00</c:formatCode>
                <c:ptCount val="25"/>
                <c:pt idx="0">
                  <c:v>-1.2500340999999997E-3</c:v>
                </c:pt>
                <c:pt idx="1">
                  <c:v>-1.2500340999999997E-3</c:v>
                </c:pt>
                <c:pt idx="2">
                  <c:v>-1.2500340999999997E-3</c:v>
                </c:pt>
                <c:pt idx="3">
                  <c:v>-1.2500340999999997E-3</c:v>
                </c:pt>
                <c:pt idx="4">
                  <c:v>-1.2500340999999997E-3</c:v>
                </c:pt>
                <c:pt idx="5">
                  <c:v>-1.2500340999999997E-3</c:v>
                </c:pt>
                <c:pt idx="6">
                  <c:v>-1.2500340999999997E-3</c:v>
                </c:pt>
                <c:pt idx="7">
                  <c:v>-1.2500340999999997E-3</c:v>
                </c:pt>
                <c:pt idx="8">
                  <c:v>-1.2500340999999997E-3</c:v>
                </c:pt>
                <c:pt idx="9">
                  <c:v>-1.2500340999999997E-3</c:v>
                </c:pt>
                <c:pt idx="10">
                  <c:v>-1.2500340999999997E-3</c:v>
                </c:pt>
                <c:pt idx="11">
                  <c:v>-1.2500340999999997E-3</c:v>
                </c:pt>
                <c:pt idx="12">
                  <c:v>-1.2500340999999997E-3</c:v>
                </c:pt>
                <c:pt idx="13">
                  <c:v>-1.2500340999999997E-3</c:v>
                </c:pt>
                <c:pt idx="14">
                  <c:v>-1.2500340999999997E-3</c:v>
                </c:pt>
                <c:pt idx="15">
                  <c:v>-1.2500340999999997E-3</c:v>
                </c:pt>
                <c:pt idx="16">
                  <c:v>-1.2500340999999997E-3</c:v>
                </c:pt>
                <c:pt idx="17">
                  <c:v>-1.2500340999999997E-3</c:v>
                </c:pt>
                <c:pt idx="18">
                  <c:v>-1.2500340999999997E-3</c:v>
                </c:pt>
                <c:pt idx="19">
                  <c:v>-1.2500340999999997E-3</c:v>
                </c:pt>
                <c:pt idx="20">
                  <c:v>-1.2500340999999997E-3</c:v>
                </c:pt>
                <c:pt idx="21">
                  <c:v>-1.2500340999999997E-3</c:v>
                </c:pt>
                <c:pt idx="22">
                  <c:v>-1.2500340999999997E-3</c:v>
                </c:pt>
                <c:pt idx="23">
                  <c:v>-1.2500340999999997E-3</c:v>
                </c:pt>
                <c:pt idx="24">
                  <c:v>-1.2500340999999997E-3</c:v>
                </c:pt>
              </c:numCache>
            </c:numRef>
          </c:val>
          <c:extLst>
            <c:ext xmlns:c16="http://schemas.microsoft.com/office/drawing/2014/chart" uri="{C3380CC4-5D6E-409C-BE32-E72D297353CC}">
              <c16:uniqueId val="{00000008-827A-445A-BCC2-8F8AFF4E7E64}"/>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(E) - ESD'!$AB$283</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cat>
            <c:numRef>
              <c:f>'Results ReCiPe (E) - ESD'!$AC$273:$BA$273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ESD'!$AC$283:$BA$283</c:f>
              <c:numCache>
                <c:formatCode>0.00E+00</c:formatCode>
                <c:ptCount val="25"/>
                <c:pt idx="0">
                  <c:v>9.600645534183043E-3</c:v>
                </c:pt>
                <c:pt idx="1">
                  <c:v>2.0742293765156719E-3</c:v>
                </c:pt>
                <c:pt idx="2">
                  <c:v>2.0735707087969459E-3</c:v>
                </c:pt>
                <c:pt idx="3">
                  <c:v>2.1683092433927784E-3</c:v>
                </c:pt>
                <c:pt idx="4">
                  <c:v>2.0718634818247855E-3</c:v>
                </c:pt>
                <c:pt idx="5">
                  <c:v>2.0712496876409336E-3</c:v>
                </c:pt>
                <c:pt idx="6">
                  <c:v>2.173681362531378E-3</c:v>
                </c:pt>
                <c:pt idx="7">
                  <c:v>2.0844663937508731E-3</c:v>
                </c:pt>
                <c:pt idx="8">
                  <c:v>2.0911715130760111E-3</c:v>
                </c:pt>
                <c:pt idx="9">
                  <c:v>2.1940063373320378E-3</c:v>
                </c:pt>
                <c:pt idx="10">
                  <c:v>2.1044518350348887E-3</c:v>
                </c:pt>
                <c:pt idx="11">
                  <c:v>2.11743792872821E-3</c:v>
                </c:pt>
                <c:pt idx="12">
                  <c:v>2.2271684074438719E-3</c:v>
                </c:pt>
                <c:pt idx="13">
                  <c:v>2.1437112329074585E-3</c:v>
                </c:pt>
                <c:pt idx="14">
                  <c:v>2.1567988192025054E-3</c:v>
                </c:pt>
                <c:pt idx="15">
                  <c:v>2.2672832831195358E-3</c:v>
                </c:pt>
                <c:pt idx="16">
                  <c:v>2.1702339617261394E-3</c:v>
                </c:pt>
                <c:pt idx="17">
                  <c:v>2.1705334847958711E-3</c:v>
                </c:pt>
                <c:pt idx="18">
                  <c:v>2.2679183704336398E-3</c:v>
                </c:pt>
                <c:pt idx="19">
                  <c:v>2.1712548346045977E-3</c:v>
                </c:pt>
                <c:pt idx="20">
                  <c:v>2.1715371720533341E-3</c:v>
                </c:pt>
                <c:pt idx="21">
                  <c:v>2.261702606791417E-3</c:v>
                </c:pt>
                <c:pt idx="22">
                  <c:v>2.1587232617542524E-3</c:v>
                </c:pt>
                <c:pt idx="23">
                  <c:v>2.152117463678045E-3</c:v>
                </c:pt>
                <c:pt idx="24">
                  <c:v>2.334350640319339E-3</c:v>
                </c:pt>
              </c:numCache>
            </c:numRef>
          </c:val>
          <c:smooth val="0"/>
          <c:extLst>
            <c:ext xmlns:c16="http://schemas.microsoft.com/office/drawing/2014/chart" uri="{C3380CC4-5D6E-409C-BE32-E72D297353CC}">
              <c16:uniqueId val="{00000009-827A-445A-BCC2-8F8AFF4E7E64}"/>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Ecosystem damage</a:t>
                </a:r>
              </a:p>
              <a:p>
                <a:pPr algn="ctr" rtl="0">
                  <a:defRPr/>
                </a:pPr>
                <a:r>
                  <a:rPr lang="nl-NL"/>
                  <a:t>[PDF*yr/ton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(E) - ESD'!$AB$334</c:f>
              <c:strCache>
                <c:ptCount val="1"/>
                <c:pt idx="0">
                  <c:v>Construction - DAC</c:v>
                </c:pt>
              </c:strCache>
            </c:strRef>
          </c:tx>
          <c:spPr>
            <a:solidFill>
              <a:schemeClr val="accent4">
                <a:lumMod val="75000"/>
              </a:schemeClr>
            </a:solidFill>
            <a:ln>
              <a:noFill/>
            </a:ln>
            <a:effectLst/>
          </c:spPr>
          <c:invertIfNegative val="0"/>
          <c:cat>
            <c:numRef>
              <c:f>'Results ReCiPe (E) - ESD'!$AC$333:$BA$333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ESD'!$AC$334:$BA$334</c:f>
              <c:numCache>
                <c:formatCode>0.00E+00</c:formatCode>
                <c:ptCount val="25"/>
                <c:pt idx="0">
                  <c:v>7.1918833226860945E-3</c:v>
                </c:pt>
              </c:numCache>
            </c:numRef>
          </c:val>
          <c:extLst>
            <c:ext xmlns:c16="http://schemas.microsoft.com/office/drawing/2014/chart" uri="{C3380CC4-5D6E-409C-BE32-E72D297353CC}">
              <c16:uniqueId val="{00000000-1846-461C-9A79-FC402AB4DBFC}"/>
            </c:ext>
          </c:extLst>
        </c:ser>
        <c:ser>
          <c:idx val="1"/>
          <c:order val="1"/>
          <c:tx>
            <c:strRef>
              <c:f>'Results ReCiPe (E) - ESD'!$AB$335</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(E) - ESD'!$AC$333:$BA$333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ESD'!$AC$335:$BA$335</c:f>
              <c:numCache>
                <c:formatCode>0.00E+00</c:formatCode>
                <c:ptCount val="25"/>
                <c:pt idx="0">
                  <c:v>1.0626420341501008E-4</c:v>
                </c:pt>
              </c:numCache>
            </c:numRef>
          </c:val>
          <c:extLst>
            <c:ext xmlns:c16="http://schemas.microsoft.com/office/drawing/2014/chart" uri="{C3380CC4-5D6E-409C-BE32-E72D297353CC}">
              <c16:uniqueId val="{00000001-1846-461C-9A79-FC402AB4DBFC}"/>
            </c:ext>
          </c:extLst>
        </c:ser>
        <c:ser>
          <c:idx val="2"/>
          <c:order val="2"/>
          <c:tx>
            <c:strRef>
              <c:f>'Results ReCiPe (E) - ESD'!$AB$336</c:f>
              <c:strCache>
                <c:ptCount val="1"/>
                <c:pt idx="0">
                  <c:v>Deconstruction - DAC</c:v>
                </c:pt>
              </c:strCache>
            </c:strRef>
          </c:tx>
          <c:spPr>
            <a:solidFill>
              <a:schemeClr val="accent2">
                <a:lumMod val="40000"/>
                <a:lumOff val="60000"/>
              </a:schemeClr>
            </a:solidFill>
            <a:ln>
              <a:noFill/>
            </a:ln>
            <a:effectLst/>
          </c:spPr>
          <c:invertIfNegative val="0"/>
          <c:cat>
            <c:numRef>
              <c:f>'Results ReCiPe (E) - ESD'!$AC$333:$BA$333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ESD'!$AC$336:$BA$336</c:f>
              <c:numCache>
                <c:formatCode>0.00E+00</c:formatCode>
                <c:ptCount val="25"/>
                <c:pt idx="24">
                  <c:v>8.8841262894916216E-5</c:v>
                </c:pt>
              </c:numCache>
            </c:numRef>
          </c:val>
          <c:extLst>
            <c:ext xmlns:c16="http://schemas.microsoft.com/office/drawing/2014/chart" uri="{C3380CC4-5D6E-409C-BE32-E72D297353CC}">
              <c16:uniqueId val="{00000002-1846-461C-9A79-FC402AB4DBFC}"/>
            </c:ext>
          </c:extLst>
        </c:ser>
        <c:ser>
          <c:idx val="3"/>
          <c:order val="3"/>
          <c:tx>
            <c:strRef>
              <c:f>'Results ReCiPe (E) - ESD'!$AB$337</c:f>
              <c:strCache>
                <c:ptCount val="1"/>
                <c:pt idx="0">
                  <c:v>Deconstruction - geological storage</c:v>
                </c:pt>
              </c:strCache>
            </c:strRef>
          </c:tx>
          <c:spPr>
            <a:solidFill>
              <a:srgbClr val="FF9900"/>
            </a:solidFill>
            <a:ln>
              <a:noFill/>
            </a:ln>
            <a:effectLst/>
          </c:spPr>
          <c:invertIfNegative val="0"/>
          <c:cat>
            <c:numRef>
              <c:f>'Results ReCiPe (E) - ESD'!$AC$333:$BA$333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ESD'!$AC$337:$BA$337</c:f>
              <c:numCache>
                <c:formatCode>0.00E+00</c:formatCode>
                <c:ptCount val="25"/>
                <c:pt idx="24">
                  <c:v>8.1972957009835161E-7</c:v>
                </c:pt>
              </c:numCache>
            </c:numRef>
          </c:val>
          <c:extLst>
            <c:ext xmlns:c16="http://schemas.microsoft.com/office/drawing/2014/chart" uri="{C3380CC4-5D6E-409C-BE32-E72D297353CC}">
              <c16:uniqueId val="{00000003-1846-461C-9A79-FC402AB4DBFC}"/>
            </c:ext>
          </c:extLst>
        </c:ser>
        <c:ser>
          <c:idx val="4"/>
          <c:order val="4"/>
          <c:tx>
            <c:strRef>
              <c:f>'Results ReCiPe (E) - ESD'!$AB$338</c:f>
              <c:strCache>
                <c:ptCount val="1"/>
                <c:pt idx="0">
                  <c:v>Sorbent material</c:v>
                </c:pt>
              </c:strCache>
            </c:strRef>
          </c:tx>
          <c:spPr>
            <a:solidFill>
              <a:srgbClr val="FF8F8F"/>
            </a:solidFill>
            <a:ln>
              <a:noFill/>
            </a:ln>
            <a:effectLst/>
          </c:spPr>
          <c:invertIfNegative val="0"/>
          <c:cat>
            <c:numRef>
              <c:f>'Results ReCiPe (E) - ESD'!$AC$333:$BA$333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ESD'!$AC$338:$BA$338</c:f>
              <c:numCache>
                <c:formatCode>0.00E+00</c:formatCode>
                <c:ptCount val="25"/>
                <c:pt idx="0">
                  <c:v>9.4301611037095288E-5</c:v>
                </c:pt>
                <c:pt idx="3">
                  <c:v>9.2886477686598764E-5</c:v>
                </c:pt>
                <c:pt idx="6">
                  <c:v>9.1489785996520763E-5</c:v>
                </c:pt>
                <c:pt idx="9">
                  <c:v>9.0033315985642623E-5</c:v>
                </c:pt>
                <c:pt idx="12">
                  <c:v>8.8459173995158276E-5</c:v>
                </c:pt>
                <c:pt idx="15">
                  <c:v>8.68753434169571E-5</c:v>
                </c:pt>
                <c:pt idx="18">
                  <c:v>8.5817679992132394E-5</c:v>
                </c:pt>
                <c:pt idx="21">
                  <c:v>8.506043847028737E-5</c:v>
                </c:pt>
                <c:pt idx="24">
                  <c:v>8.4860138497287434E-5</c:v>
                </c:pt>
              </c:numCache>
            </c:numRef>
          </c:val>
          <c:extLst>
            <c:ext xmlns:c16="http://schemas.microsoft.com/office/drawing/2014/chart" uri="{C3380CC4-5D6E-409C-BE32-E72D297353CC}">
              <c16:uniqueId val="{00000004-1846-461C-9A79-FC402AB4DBFC}"/>
            </c:ext>
          </c:extLst>
        </c:ser>
        <c:ser>
          <c:idx val="5"/>
          <c:order val="5"/>
          <c:tx>
            <c:strRef>
              <c:f>'Results ReCiPe (E) - ESD'!$AB$339</c:f>
              <c:strCache>
                <c:ptCount val="1"/>
                <c:pt idx="0">
                  <c:v>Battery</c:v>
                </c:pt>
              </c:strCache>
            </c:strRef>
          </c:tx>
          <c:spPr>
            <a:solidFill>
              <a:schemeClr val="accent6">
                <a:lumMod val="50000"/>
              </a:schemeClr>
            </a:solidFill>
            <a:ln>
              <a:noFill/>
            </a:ln>
            <a:effectLst/>
          </c:spPr>
          <c:invertIfNegative val="0"/>
          <c:cat>
            <c:numRef>
              <c:f>'Results ReCiPe (E) - ESD'!$AC$333:$BA$333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ESD'!$AC$339:$BA$339</c:f>
              <c:numCache>
                <c:formatCode>0.00E+00</c:formatCode>
                <c:ptCount val="25"/>
                <c:pt idx="0">
                  <c:v>1.9735214628359143E-3</c:v>
                </c:pt>
                <c:pt idx="1">
                  <c:v>1.9735214628359143E-3</c:v>
                </c:pt>
                <c:pt idx="2">
                  <c:v>1.9735214628359143E-3</c:v>
                </c:pt>
                <c:pt idx="3">
                  <c:v>1.9735214628359143E-3</c:v>
                </c:pt>
                <c:pt idx="4">
                  <c:v>1.9735214628359143E-3</c:v>
                </c:pt>
                <c:pt idx="5">
                  <c:v>1.9735214628359143E-3</c:v>
                </c:pt>
                <c:pt idx="6">
                  <c:v>1.9735214628359143E-3</c:v>
                </c:pt>
                <c:pt idx="7">
                  <c:v>1.9735214628359143E-3</c:v>
                </c:pt>
                <c:pt idx="8">
                  <c:v>1.9735214628359143E-3</c:v>
                </c:pt>
                <c:pt idx="9">
                  <c:v>1.9735214628359143E-3</c:v>
                </c:pt>
                <c:pt idx="10">
                  <c:v>1.9735214628359143E-3</c:v>
                </c:pt>
                <c:pt idx="11">
                  <c:v>1.9735214628359143E-3</c:v>
                </c:pt>
                <c:pt idx="12">
                  <c:v>1.9735214628359143E-3</c:v>
                </c:pt>
                <c:pt idx="13">
                  <c:v>1.9735214628359143E-3</c:v>
                </c:pt>
                <c:pt idx="14">
                  <c:v>1.9735214628359143E-3</c:v>
                </c:pt>
                <c:pt idx="15">
                  <c:v>1.9735214628359143E-3</c:v>
                </c:pt>
                <c:pt idx="16">
                  <c:v>1.9735214628359143E-3</c:v>
                </c:pt>
                <c:pt idx="17">
                  <c:v>1.9735214628359143E-3</c:v>
                </c:pt>
                <c:pt idx="18">
                  <c:v>1.9735214628359143E-3</c:v>
                </c:pt>
                <c:pt idx="19">
                  <c:v>1.9735214628359143E-3</c:v>
                </c:pt>
                <c:pt idx="20">
                  <c:v>1.9735214628359143E-3</c:v>
                </c:pt>
                <c:pt idx="21">
                  <c:v>1.9735214628359143E-3</c:v>
                </c:pt>
                <c:pt idx="22">
                  <c:v>1.9735214628359143E-3</c:v>
                </c:pt>
                <c:pt idx="23">
                  <c:v>1.9735214628359143E-3</c:v>
                </c:pt>
                <c:pt idx="24">
                  <c:v>1.9735214628359143E-3</c:v>
                </c:pt>
              </c:numCache>
            </c:numRef>
          </c:val>
          <c:extLst>
            <c:ext xmlns:c16="http://schemas.microsoft.com/office/drawing/2014/chart" uri="{C3380CC4-5D6E-409C-BE32-E72D297353CC}">
              <c16:uniqueId val="{00000005-1846-461C-9A79-FC402AB4DBFC}"/>
            </c:ext>
          </c:extLst>
        </c:ser>
        <c:ser>
          <c:idx val="6"/>
          <c:order val="6"/>
          <c:tx>
            <c:strRef>
              <c:f>'Results ReCiPe (E) - ESD'!$AB$340</c:f>
              <c:strCache>
                <c:ptCount val="1"/>
                <c:pt idx="0">
                  <c:v>Operation - DAC</c:v>
                </c:pt>
              </c:strCache>
            </c:strRef>
          </c:tx>
          <c:spPr>
            <a:solidFill>
              <a:schemeClr val="accent2">
                <a:lumMod val="75000"/>
              </a:schemeClr>
            </a:solidFill>
            <a:ln>
              <a:noFill/>
            </a:ln>
            <a:effectLst/>
          </c:spPr>
          <c:invertIfNegative val="0"/>
          <c:cat>
            <c:numRef>
              <c:f>'Results ReCiPe (E) - ESD'!$AC$333:$BA$333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ESD'!$AC$340:$BA$340</c:f>
              <c:numCache>
                <c:formatCode>0.00E+00</c:formatCode>
                <c:ptCount val="25"/>
                <c:pt idx="0">
                  <c:v>1.1970827619491972E-3</c:v>
                </c:pt>
                <c:pt idx="1">
                  <c:v>1.194325462868165E-3</c:v>
                </c:pt>
                <c:pt idx="2">
                  <c:v>1.1915321092244775E-3</c:v>
                </c:pt>
                <c:pt idx="3">
                  <c:v>1.1882927927586891E-3</c:v>
                </c:pt>
                <c:pt idx="4">
                  <c:v>1.1854338312407738E-3</c:v>
                </c:pt>
                <c:pt idx="5">
                  <c:v>1.1825354138834524E-3</c:v>
                </c:pt>
                <c:pt idx="6">
                  <c:v>1.1799640778315558E-3</c:v>
                </c:pt>
                <c:pt idx="7">
                  <c:v>1.1775824528140965E-3</c:v>
                </c:pt>
                <c:pt idx="8">
                  <c:v>1.1753456294021883E-3</c:v>
                </c:pt>
                <c:pt idx="9">
                  <c:v>1.1730414879167371E-3</c:v>
                </c:pt>
                <c:pt idx="10">
                  <c:v>1.1707160488769657E-3</c:v>
                </c:pt>
                <c:pt idx="11">
                  <c:v>1.1689076444223213E-3</c:v>
                </c:pt>
                <c:pt idx="12">
                  <c:v>1.1671196590984376E-3</c:v>
                </c:pt>
                <c:pt idx="13">
                  <c:v>1.1654645123745711E-3</c:v>
                </c:pt>
                <c:pt idx="14">
                  <c:v>1.1637118284957568E-3</c:v>
                </c:pt>
                <c:pt idx="15">
                  <c:v>1.1619739610434301E-3</c:v>
                </c:pt>
                <c:pt idx="16">
                  <c:v>1.1608761188017745E-3</c:v>
                </c:pt>
                <c:pt idx="17">
                  <c:v>1.1598045091423838E-3</c:v>
                </c:pt>
                <c:pt idx="18">
                  <c:v>1.1588452606370529E-3</c:v>
                </c:pt>
                <c:pt idx="19">
                  <c:v>1.1578238548216903E-3</c:v>
                </c:pt>
                <c:pt idx="20">
                  <c:v>1.1567367916455165E-3</c:v>
                </c:pt>
                <c:pt idx="21">
                  <c:v>1.1566087930818662E-3</c:v>
                </c:pt>
                <c:pt idx="22">
                  <c:v>1.156331049589484E-3</c:v>
                </c:pt>
                <c:pt idx="23">
                  <c:v>1.1560564465492946E-3</c:v>
                </c:pt>
                <c:pt idx="24">
                  <c:v>1.15578520090902E-3</c:v>
                </c:pt>
              </c:numCache>
            </c:numRef>
          </c:val>
          <c:extLst>
            <c:ext xmlns:c16="http://schemas.microsoft.com/office/drawing/2014/chart" uri="{C3380CC4-5D6E-409C-BE32-E72D297353CC}">
              <c16:uniqueId val="{00000006-1846-461C-9A79-FC402AB4DBFC}"/>
            </c:ext>
          </c:extLst>
        </c:ser>
        <c:ser>
          <c:idx val="7"/>
          <c:order val="7"/>
          <c:tx>
            <c:strRef>
              <c:f>'Results ReCiPe (E) - ESD'!$AB$341</c:f>
              <c:strCache>
                <c:ptCount val="1"/>
                <c:pt idx="0">
                  <c:v>Operation - geological storage</c:v>
                </c:pt>
              </c:strCache>
            </c:strRef>
          </c:tx>
          <c:spPr>
            <a:solidFill>
              <a:schemeClr val="accent2">
                <a:lumMod val="50000"/>
              </a:schemeClr>
            </a:solidFill>
            <a:ln>
              <a:noFill/>
            </a:ln>
            <a:effectLst/>
          </c:spPr>
          <c:invertIfNegative val="0"/>
          <c:cat>
            <c:numRef>
              <c:f>'Results ReCiPe (E) - ESD'!$AC$333:$BA$333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ESD'!$AC$341:$BA$341</c:f>
              <c:numCache>
                <c:formatCode>0.00E+00</c:formatCode>
                <c:ptCount val="25"/>
                <c:pt idx="0">
                  <c:v>1.0600105488485415E-4</c:v>
                </c:pt>
                <c:pt idx="1">
                  <c:v>1.0109664607016219E-4</c:v>
                </c:pt>
                <c:pt idx="2">
                  <c:v>9.621183640940085E-5</c:v>
                </c:pt>
                <c:pt idx="3">
                  <c:v>9.1331283583462496E-5</c:v>
                </c:pt>
                <c:pt idx="4">
                  <c:v>8.6484909200319152E-5</c:v>
                </c:pt>
                <c:pt idx="5">
                  <c:v>8.1657401692702844E-5</c:v>
                </c:pt>
                <c:pt idx="6">
                  <c:v>7.9220426222948893E-5</c:v>
                </c:pt>
                <c:pt idx="7">
                  <c:v>7.6791318005092451E-5</c:v>
                </c:pt>
                <c:pt idx="8">
                  <c:v>7.4369140032624553E-5</c:v>
                </c:pt>
                <c:pt idx="9">
                  <c:v>7.1950621092298306E-5</c:v>
                </c:pt>
                <c:pt idx="10">
                  <c:v>6.9536083230073651E-5</c:v>
                </c:pt>
                <c:pt idx="11">
                  <c:v>6.8172364915739943E-5</c:v>
                </c:pt>
                <c:pt idx="12">
                  <c:v>6.6802125265832444E-5</c:v>
                </c:pt>
                <c:pt idx="13">
                  <c:v>6.543262690785391E-5</c:v>
                </c:pt>
                <c:pt idx="14">
                  <c:v>6.4049189326889747E-5</c:v>
                </c:pt>
                <c:pt idx="15">
                  <c:v>6.2659293714851009E-5</c:v>
                </c:pt>
                <c:pt idx="16">
                  <c:v>6.2136808891778255E-5</c:v>
                </c:pt>
                <c:pt idx="17">
                  <c:v>6.161294911582305E-5</c:v>
                </c:pt>
                <c:pt idx="18">
                  <c:v>6.1094112975222054E-5</c:v>
                </c:pt>
                <c:pt idx="19">
                  <c:v>6.05675181183187E-5</c:v>
                </c:pt>
                <c:pt idx="20">
                  <c:v>6.0039649858633695E-5</c:v>
                </c:pt>
                <c:pt idx="21">
                  <c:v>5.9983874265968199E-5</c:v>
                </c:pt>
                <c:pt idx="22">
                  <c:v>5.9894754660675794E-5</c:v>
                </c:pt>
                <c:pt idx="23">
                  <c:v>5.9805796350104594E-5</c:v>
                </c:pt>
                <c:pt idx="24">
                  <c:v>5.9716874833153695E-5</c:v>
                </c:pt>
              </c:numCache>
            </c:numRef>
          </c:val>
          <c:extLst>
            <c:ext xmlns:c16="http://schemas.microsoft.com/office/drawing/2014/chart" uri="{C3380CC4-5D6E-409C-BE32-E72D297353CC}">
              <c16:uniqueId val="{00000007-1846-461C-9A79-FC402AB4DBFC}"/>
            </c:ext>
          </c:extLst>
        </c:ser>
        <c:ser>
          <c:idx val="8"/>
          <c:order val="8"/>
          <c:tx>
            <c:strRef>
              <c:f>'Results ReCiPe (E) - ESD'!$AB$342</c:f>
              <c:strCache>
                <c:ptCount val="1"/>
                <c:pt idx="0">
                  <c:v>CO2 captured and stored</c:v>
                </c:pt>
              </c:strCache>
            </c:strRef>
          </c:tx>
          <c:spPr>
            <a:solidFill>
              <a:schemeClr val="tx2">
                <a:lumMod val="20000"/>
                <a:lumOff val="80000"/>
              </a:schemeClr>
            </a:solidFill>
            <a:ln>
              <a:noFill/>
            </a:ln>
            <a:effectLst/>
          </c:spPr>
          <c:invertIfNegative val="0"/>
          <c:cat>
            <c:numRef>
              <c:f>'Results ReCiPe (E) - ESD'!$AC$333:$BA$333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ESD'!$AC$342:$BA$342</c:f>
              <c:numCache>
                <c:formatCode>0.00E+00</c:formatCode>
                <c:ptCount val="25"/>
                <c:pt idx="0">
                  <c:v>-1.2500340999999997E-3</c:v>
                </c:pt>
                <c:pt idx="1">
                  <c:v>-1.2500340999999997E-3</c:v>
                </c:pt>
                <c:pt idx="2">
                  <c:v>-1.2500340999999997E-3</c:v>
                </c:pt>
                <c:pt idx="3">
                  <c:v>-1.2500340999999997E-3</c:v>
                </c:pt>
                <c:pt idx="4">
                  <c:v>-1.2500340999999997E-3</c:v>
                </c:pt>
                <c:pt idx="5">
                  <c:v>-1.2500340999999997E-3</c:v>
                </c:pt>
                <c:pt idx="6">
                  <c:v>-1.2500340999999997E-3</c:v>
                </c:pt>
                <c:pt idx="7">
                  <c:v>-1.2500340999999997E-3</c:v>
                </c:pt>
                <c:pt idx="8">
                  <c:v>-1.2500340999999997E-3</c:v>
                </c:pt>
                <c:pt idx="9">
                  <c:v>-1.2500340999999997E-3</c:v>
                </c:pt>
                <c:pt idx="10">
                  <c:v>-1.2500340999999997E-3</c:v>
                </c:pt>
                <c:pt idx="11">
                  <c:v>-1.2500340999999997E-3</c:v>
                </c:pt>
                <c:pt idx="12">
                  <c:v>-1.2500340999999997E-3</c:v>
                </c:pt>
                <c:pt idx="13">
                  <c:v>-1.2500340999999997E-3</c:v>
                </c:pt>
                <c:pt idx="14">
                  <c:v>-1.2500340999999997E-3</c:v>
                </c:pt>
                <c:pt idx="15">
                  <c:v>-1.2500340999999997E-3</c:v>
                </c:pt>
                <c:pt idx="16">
                  <c:v>-1.2500340999999997E-3</c:v>
                </c:pt>
                <c:pt idx="17">
                  <c:v>-1.2500340999999997E-3</c:v>
                </c:pt>
                <c:pt idx="18">
                  <c:v>-1.2500340999999997E-3</c:v>
                </c:pt>
                <c:pt idx="19">
                  <c:v>-1.2500340999999997E-3</c:v>
                </c:pt>
                <c:pt idx="20">
                  <c:v>-1.2500340999999997E-3</c:v>
                </c:pt>
                <c:pt idx="21">
                  <c:v>-1.2500340999999997E-3</c:v>
                </c:pt>
                <c:pt idx="22">
                  <c:v>-1.2500340999999997E-3</c:v>
                </c:pt>
                <c:pt idx="23">
                  <c:v>-1.2500340999999997E-3</c:v>
                </c:pt>
                <c:pt idx="24">
                  <c:v>-1.2500340999999997E-3</c:v>
                </c:pt>
              </c:numCache>
            </c:numRef>
          </c:val>
          <c:extLst>
            <c:ext xmlns:c16="http://schemas.microsoft.com/office/drawing/2014/chart" uri="{C3380CC4-5D6E-409C-BE32-E72D297353CC}">
              <c16:uniqueId val="{00000008-1846-461C-9A79-FC402AB4DBFC}"/>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(E) - ESD'!$AB$343</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cat>
            <c:numRef>
              <c:f>'Results ReCiPe (E) - ESD'!$AC$333:$BA$333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ESD'!$AC$343:$BA$343</c:f>
              <c:numCache>
                <c:formatCode>0.00E+00</c:formatCode>
                <c:ptCount val="25"/>
                <c:pt idx="0">
                  <c:v>9.4190203168081649E-3</c:v>
                </c:pt>
                <c:pt idx="1">
                  <c:v>2.0189094717742422E-3</c:v>
                </c:pt>
                <c:pt idx="2">
                  <c:v>2.0112313084697932E-3</c:v>
                </c:pt>
                <c:pt idx="3">
                  <c:v>2.095997916864665E-3</c:v>
                </c:pt>
                <c:pt idx="4">
                  <c:v>1.9954061032770075E-3</c:v>
                </c:pt>
                <c:pt idx="5">
                  <c:v>1.9876801784120698E-3</c:v>
                </c:pt>
                <c:pt idx="6">
                  <c:v>2.07416165288694E-3</c:v>
                </c:pt>
                <c:pt idx="7">
                  <c:v>1.9778611336551035E-3</c:v>
                </c:pt>
                <c:pt idx="8">
                  <c:v>1.9732021322707276E-3</c:v>
                </c:pt>
                <c:pt idx="9">
                  <c:v>2.0585127878305926E-3</c:v>
                </c:pt>
                <c:pt idx="10">
                  <c:v>1.9637394949429537E-3</c:v>
                </c:pt>
                <c:pt idx="11">
                  <c:v>1.960567372173976E-3</c:v>
                </c:pt>
                <c:pt idx="12">
                  <c:v>2.0458683211953431E-3</c:v>
                </c:pt>
                <c:pt idx="13">
                  <c:v>1.9543845021183399E-3</c:v>
                </c:pt>
                <c:pt idx="14">
                  <c:v>1.9512483806585611E-3</c:v>
                </c:pt>
                <c:pt idx="15">
                  <c:v>2.034995961011153E-3</c:v>
                </c:pt>
                <c:pt idx="16">
                  <c:v>1.9465002905294676E-3</c:v>
                </c:pt>
                <c:pt idx="17">
                  <c:v>1.9449048210941219E-3</c:v>
                </c:pt>
                <c:pt idx="18">
                  <c:v>2.0292444164403218E-3</c:v>
                </c:pt>
                <c:pt idx="19">
                  <c:v>1.9418787357759239E-3</c:v>
                </c:pt>
                <c:pt idx="20">
                  <c:v>1.9402638043400648E-3</c:v>
                </c:pt>
                <c:pt idx="21">
                  <c:v>2.0251404686540365E-3</c:v>
                </c:pt>
                <c:pt idx="22">
                  <c:v>1.9397131670860746E-3</c:v>
                </c:pt>
                <c:pt idx="23">
                  <c:v>1.9393496057353143E-3</c:v>
                </c:pt>
                <c:pt idx="24">
                  <c:v>2.1135105695403904E-3</c:v>
                </c:pt>
              </c:numCache>
            </c:numRef>
          </c:val>
          <c:smooth val="0"/>
          <c:extLst>
            <c:ext xmlns:c16="http://schemas.microsoft.com/office/drawing/2014/chart" uri="{C3380CC4-5D6E-409C-BE32-E72D297353CC}">
              <c16:uniqueId val="{00000009-1846-461C-9A79-FC402AB4DBFC}"/>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Ecosystem damage</a:t>
                </a:r>
              </a:p>
              <a:p>
                <a:pPr algn="ctr" rtl="0">
                  <a:defRPr/>
                </a:pPr>
                <a:r>
                  <a:rPr lang="nl-NL"/>
                  <a:t>[PDF*yr/ton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(E) - ESD'!$AB$395</c:f>
              <c:strCache>
                <c:ptCount val="1"/>
                <c:pt idx="0">
                  <c:v>Construction - DAC</c:v>
                </c:pt>
              </c:strCache>
            </c:strRef>
          </c:tx>
          <c:spPr>
            <a:solidFill>
              <a:schemeClr val="accent4">
                <a:lumMod val="75000"/>
              </a:schemeClr>
            </a:solidFill>
            <a:ln>
              <a:noFill/>
            </a:ln>
            <a:effectLst/>
          </c:spPr>
          <c:invertIfNegative val="0"/>
          <c:cat>
            <c:numRef>
              <c:f>'Results ReCiPe (E) - ESD'!$AC$394:$BA$394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ESD'!$AC$395:$BA$395</c:f>
              <c:numCache>
                <c:formatCode>0.00E+00</c:formatCode>
                <c:ptCount val="25"/>
                <c:pt idx="0">
                  <c:v>6.8884688456748765E-3</c:v>
                </c:pt>
              </c:numCache>
            </c:numRef>
          </c:val>
          <c:extLst>
            <c:ext xmlns:c16="http://schemas.microsoft.com/office/drawing/2014/chart" uri="{C3380CC4-5D6E-409C-BE32-E72D297353CC}">
              <c16:uniqueId val="{00000000-4406-42A6-A093-0CC0E0DCE8CC}"/>
            </c:ext>
          </c:extLst>
        </c:ser>
        <c:ser>
          <c:idx val="1"/>
          <c:order val="1"/>
          <c:tx>
            <c:strRef>
              <c:f>'Results ReCiPe (E) - ESD'!$AB$396</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(E) - ESD'!$AC$394:$BA$394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ESD'!$AC$396:$BA$396</c:f>
              <c:numCache>
                <c:formatCode>0.00E+00</c:formatCode>
                <c:ptCount val="25"/>
                <c:pt idx="0">
                  <c:v>1.0085543329052239E-4</c:v>
                </c:pt>
              </c:numCache>
            </c:numRef>
          </c:val>
          <c:extLst>
            <c:ext xmlns:c16="http://schemas.microsoft.com/office/drawing/2014/chart" uri="{C3380CC4-5D6E-409C-BE32-E72D297353CC}">
              <c16:uniqueId val="{00000001-4406-42A6-A093-0CC0E0DCE8CC}"/>
            </c:ext>
          </c:extLst>
        </c:ser>
        <c:ser>
          <c:idx val="2"/>
          <c:order val="2"/>
          <c:tx>
            <c:strRef>
              <c:f>'Results ReCiPe (E) - ESD'!$AB$397</c:f>
              <c:strCache>
                <c:ptCount val="1"/>
                <c:pt idx="0">
                  <c:v>Deconstruction - DAC</c:v>
                </c:pt>
              </c:strCache>
            </c:strRef>
          </c:tx>
          <c:spPr>
            <a:solidFill>
              <a:schemeClr val="accent2">
                <a:lumMod val="40000"/>
                <a:lumOff val="60000"/>
              </a:schemeClr>
            </a:solidFill>
            <a:ln>
              <a:noFill/>
            </a:ln>
            <a:effectLst/>
          </c:spPr>
          <c:invertIfNegative val="0"/>
          <c:cat>
            <c:numRef>
              <c:f>'Results ReCiPe (E) - ESD'!$AC$394:$BA$394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ESD'!$AC$397:$BA$397</c:f>
              <c:numCache>
                <c:formatCode>0.00E+00</c:formatCode>
                <c:ptCount val="25"/>
                <c:pt idx="24">
                  <c:v>8.7284618353200512E-5</c:v>
                </c:pt>
              </c:numCache>
            </c:numRef>
          </c:val>
          <c:extLst>
            <c:ext xmlns:c16="http://schemas.microsoft.com/office/drawing/2014/chart" uri="{C3380CC4-5D6E-409C-BE32-E72D297353CC}">
              <c16:uniqueId val="{00000002-4406-42A6-A093-0CC0E0DCE8CC}"/>
            </c:ext>
          </c:extLst>
        </c:ser>
        <c:ser>
          <c:idx val="3"/>
          <c:order val="3"/>
          <c:tx>
            <c:strRef>
              <c:f>'Results ReCiPe (E) - ESD'!$AB$398</c:f>
              <c:strCache>
                <c:ptCount val="1"/>
                <c:pt idx="0">
                  <c:v>Deconstruction - geological storage</c:v>
                </c:pt>
              </c:strCache>
            </c:strRef>
          </c:tx>
          <c:spPr>
            <a:solidFill>
              <a:srgbClr val="FF9900"/>
            </a:solidFill>
            <a:ln>
              <a:noFill/>
            </a:ln>
            <a:effectLst/>
          </c:spPr>
          <c:invertIfNegative val="0"/>
          <c:cat>
            <c:numRef>
              <c:f>'Results ReCiPe (E) - ESD'!$AC$394:$BA$394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ESD'!$AC$398:$BA$398</c:f>
              <c:numCache>
                <c:formatCode>0.00E+00</c:formatCode>
                <c:ptCount val="25"/>
                <c:pt idx="24">
                  <c:v>8.0721455959223152E-7</c:v>
                </c:pt>
              </c:numCache>
            </c:numRef>
          </c:val>
          <c:extLst>
            <c:ext xmlns:c16="http://schemas.microsoft.com/office/drawing/2014/chart" uri="{C3380CC4-5D6E-409C-BE32-E72D297353CC}">
              <c16:uniqueId val="{00000003-4406-42A6-A093-0CC0E0DCE8CC}"/>
            </c:ext>
          </c:extLst>
        </c:ser>
        <c:ser>
          <c:idx val="4"/>
          <c:order val="4"/>
          <c:tx>
            <c:strRef>
              <c:f>'Results ReCiPe (E) - ESD'!$AB$399</c:f>
              <c:strCache>
                <c:ptCount val="1"/>
                <c:pt idx="0">
                  <c:v>Sorbent material</c:v>
                </c:pt>
              </c:strCache>
            </c:strRef>
          </c:tx>
          <c:spPr>
            <a:solidFill>
              <a:srgbClr val="FF8F8F"/>
            </a:solidFill>
            <a:ln>
              <a:noFill/>
            </a:ln>
            <a:effectLst/>
          </c:spPr>
          <c:invertIfNegative val="0"/>
          <c:cat>
            <c:numRef>
              <c:f>'Results ReCiPe (E) - ESD'!$AC$394:$BA$394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ESD'!$AC$399:$BA$399</c:f>
              <c:numCache>
                <c:formatCode>0.00E+00</c:formatCode>
                <c:ptCount val="25"/>
                <c:pt idx="0">
                  <c:v>8.7945321917406969E-5</c:v>
                </c:pt>
                <c:pt idx="3">
                  <c:v>8.6080196213763786E-5</c:v>
                </c:pt>
                <c:pt idx="6">
                  <c:v>8.4701027712607356E-5</c:v>
                </c:pt>
                <c:pt idx="9">
                  <c:v>8.4330044138947001E-5</c:v>
                </c:pt>
                <c:pt idx="12">
                  <c:v>8.4172574646746671E-5</c:v>
                </c:pt>
                <c:pt idx="15">
                  <c:v>8.4149742944760532E-5</c:v>
                </c:pt>
                <c:pt idx="18">
                  <c:v>8.4022324846170663E-5</c:v>
                </c:pt>
                <c:pt idx="21">
                  <c:v>8.3912901277463149E-5</c:v>
                </c:pt>
                <c:pt idx="24">
                  <c:v>8.3823048059039279E-5</c:v>
                </c:pt>
              </c:numCache>
            </c:numRef>
          </c:val>
          <c:extLst>
            <c:ext xmlns:c16="http://schemas.microsoft.com/office/drawing/2014/chart" uri="{C3380CC4-5D6E-409C-BE32-E72D297353CC}">
              <c16:uniqueId val="{00000004-4406-42A6-A093-0CC0E0DCE8CC}"/>
            </c:ext>
          </c:extLst>
        </c:ser>
        <c:ser>
          <c:idx val="5"/>
          <c:order val="5"/>
          <c:tx>
            <c:strRef>
              <c:f>'Results ReCiPe (E) - ESD'!$AB$400</c:f>
              <c:strCache>
                <c:ptCount val="1"/>
                <c:pt idx="0">
                  <c:v>Battery</c:v>
                </c:pt>
              </c:strCache>
            </c:strRef>
          </c:tx>
          <c:spPr>
            <a:solidFill>
              <a:schemeClr val="accent6">
                <a:lumMod val="75000"/>
              </a:schemeClr>
            </a:solidFill>
            <a:ln>
              <a:noFill/>
            </a:ln>
            <a:effectLst/>
          </c:spPr>
          <c:invertIfNegative val="0"/>
          <c:cat>
            <c:numRef>
              <c:f>'Results ReCiPe (E) - ESD'!$AC$394:$BA$394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ESD'!$AC$400:$BA$400</c:f>
              <c:numCache>
                <c:formatCode>0.00E+00</c:formatCode>
                <c:ptCount val="25"/>
                <c:pt idx="0">
                  <c:v>1.9199922201137345E-3</c:v>
                </c:pt>
                <c:pt idx="1">
                  <c:v>1.9199922201137345E-3</c:v>
                </c:pt>
                <c:pt idx="2">
                  <c:v>1.9199922201137345E-3</c:v>
                </c:pt>
                <c:pt idx="3">
                  <c:v>1.9199922201137345E-3</c:v>
                </c:pt>
                <c:pt idx="4">
                  <c:v>1.9199922201137345E-3</c:v>
                </c:pt>
                <c:pt idx="5">
                  <c:v>1.9199922201137345E-3</c:v>
                </c:pt>
                <c:pt idx="6">
                  <c:v>1.9199922201137345E-3</c:v>
                </c:pt>
                <c:pt idx="7">
                  <c:v>1.9199922201137345E-3</c:v>
                </c:pt>
                <c:pt idx="8">
                  <c:v>1.9199922201137345E-3</c:v>
                </c:pt>
                <c:pt idx="9">
                  <c:v>1.9199922201137345E-3</c:v>
                </c:pt>
                <c:pt idx="10">
                  <c:v>1.9199922201137345E-3</c:v>
                </c:pt>
                <c:pt idx="11">
                  <c:v>1.9199922201137345E-3</c:v>
                </c:pt>
                <c:pt idx="12">
                  <c:v>1.9199922201137345E-3</c:v>
                </c:pt>
                <c:pt idx="13">
                  <c:v>1.9199922201137345E-3</c:v>
                </c:pt>
                <c:pt idx="14">
                  <c:v>1.9199922201137345E-3</c:v>
                </c:pt>
                <c:pt idx="15">
                  <c:v>1.9199922201137345E-3</c:v>
                </c:pt>
                <c:pt idx="16">
                  <c:v>1.9199922201137345E-3</c:v>
                </c:pt>
                <c:pt idx="17">
                  <c:v>1.9199922201137345E-3</c:v>
                </c:pt>
                <c:pt idx="18">
                  <c:v>1.9199922201137345E-3</c:v>
                </c:pt>
                <c:pt idx="19">
                  <c:v>1.9199922201137345E-3</c:v>
                </c:pt>
                <c:pt idx="20">
                  <c:v>1.9199922201137345E-3</c:v>
                </c:pt>
                <c:pt idx="21">
                  <c:v>1.9199922201137345E-3</c:v>
                </c:pt>
                <c:pt idx="22">
                  <c:v>1.9199922201137345E-3</c:v>
                </c:pt>
                <c:pt idx="23">
                  <c:v>1.9199922201137345E-3</c:v>
                </c:pt>
                <c:pt idx="24">
                  <c:v>1.9199922201137345E-3</c:v>
                </c:pt>
              </c:numCache>
            </c:numRef>
          </c:val>
          <c:extLst>
            <c:ext xmlns:c16="http://schemas.microsoft.com/office/drawing/2014/chart" uri="{C3380CC4-5D6E-409C-BE32-E72D297353CC}">
              <c16:uniqueId val="{00000005-4406-42A6-A093-0CC0E0DCE8CC}"/>
            </c:ext>
          </c:extLst>
        </c:ser>
        <c:ser>
          <c:idx val="6"/>
          <c:order val="6"/>
          <c:tx>
            <c:strRef>
              <c:f>'Results ReCiPe (E) - ESD'!$AB$401</c:f>
              <c:strCache>
                <c:ptCount val="1"/>
                <c:pt idx="0">
                  <c:v>Operation - DAC</c:v>
                </c:pt>
              </c:strCache>
            </c:strRef>
          </c:tx>
          <c:spPr>
            <a:solidFill>
              <a:schemeClr val="accent2">
                <a:lumMod val="75000"/>
              </a:schemeClr>
            </a:solidFill>
            <a:ln>
              <a:noFill/>
            </a:ln>
            <a:effectLst/>
          </c:spPr>
          <c:invertIfNegative val="0"/>
          <c:cat>
            <c:numRef>
              <c:f>'Results ReCiPe (E) - ESD'!$AC$394:$BA$394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ESD'!$AC$401:$BA$401</c:f>
              <c:numCache>
                <c:formatCode>0.00E+00</c:formatCode>
                <c:ptCount val="25"/>
                <c:pt idx="0">
                  <c:v>1.1716651846833135E-3</c:v>
                </c:pt>
                <c:pt idx="1">
                  <c:v>1.1684874034776646E-3</c:v>
                </c:pt>
                <c:pt idx="2">
                  <c:v>1.1652958170485469E-3</c:v>
                </c:pt>
                <c:pt idx="3">
                  <c:v>1.1616694874920907E-3</c:v>
                </c:pt>
                <c:pt idx="4">
                  <c:v>1.1583690442833047E-3</c:v>
                </c:pt>
                <c:pt idx="5">
                  <c:v>1.1550477769161896E-3</c:v>
                </c:pt>
                <c:pt idx="6">
                  <c:v>1.1540713508992346E-3</c:v>
                </c:pt>
                <c:pt idx="7">
                  <c:v>1.1531138546847616E-3</c:v>
                </c:pt>
                <c:pt idx="8">
                  <c:v>1.1522757702417453E-3</c:v>
                </c:pt>
                <c:pt idx="9">
                  <c:v>1.1513556997665105E-3</c:v>
                </c:pt>
                <c:pt idx="10">
                  <c:v>1.150459252103705E-3</c:v>
                </c:pt>
                <c:pt idx="11">
                  <c:v>1.1500607237688552E-3</c:v>
                </c:pt>
                <c:pt idx="12">
                  <c:v>1.1496817785124147E-3</c:v>
                </c:pt>
                <c:pt idx="13">
                  <c:v>1.1494408721276956E-3</c:v>
                </c:pt>
                <c:pt idx="14">
                  <c:v>1.1490772940330755E-3</c:v>
                </c:pt>
                <c:pt idx="15">
                  <c:v>1.1487137040293901E-3</c:v>
                </c:pt>
                <c:pt idx="16">
                  <c:v>1.1483815793581367E-3</c:v>
                </c:pt>
                <c:pt idx="17">
                  <c:v>1.1480580833020165E-3</c:v>
                </c:pt>
                <c:pt idx="18">
                  <c:v>1.1478503207945608E-3</c:v>
                </c:pt>
                <c:pt idx="19">
                  <c:v>1.1475382128930732E-3</c:v>
                </c:pt>
                <c:pt idx="20">
                  <c:v>1.1472288135320075E-3</c:v>
                </c:pt>
                <c:pt idx="21">
                  <c:v>1.1472306756777169E-3</c:v>
                </c:pt>
                <c:pt idx="22">
                  <c:v>1.1470689235779264E-3</c:v>
                </c:pt>
                <c:pt idx="23">
                  <c:v>1.1469092616295756E-3</c:v>
                </c:pt>
                <c:pt idx="24">
                  <c:v>1.1467516377679085E-3</c:v>
                </c:pt>
              </c:numCache>
            </c:numRef>
          </c:val>
          <c:extLst>
            <c:ext xmlns:c16="http://schemas.microsoft.com/office/drawing/2014/chart" uri="{C3380CC4-5D6E-409C-BE32-E72D297353CC}">
              <c16:uniqueId val="{00000006-4406-42A6-A093-0CC0E0DCE8CC}"/>
            </c:ext>
          </c:extLst>
        </c:ser>
        <c:ser>
          <c:idx val="7"/>
          <c:order val="7"/>
          <c:tx>
            <c:strRef>
              <c:f>'Results ReCiPe (E) - ESD'!$AB$402</c:f>
              <c:strCache>
                <c:ptCount val="1"/>
                <c:pt idx="0">
                  <c:v>Operation - geological storage</c:v>
                </c:pt>
              </c:strCache>
            </c:strRef>
          </c:tx>
          <c:spPr>
            <a:solidFill>
              <a:schemeClr val="accent2">
                <a:lumMod val="50000"/>
              </a:schemeClr>
            </a:solidFill>
            <a:ln>
              <a:noFill/>
            </a:ln>
            <a:effectLst/>
          </c:spPr>
          <c:invertIfNegative val="0"/>
          <c:cat>
            <c:numRef>
              <c:f>'Results ReCiPe (E) - ESD'!$AC$394:$BA$394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ESD'!$AC$402:$BA$402</c:f>
              <c:numCache>
                <c:formatCode>0.00E+00</c:formatCode>
                <c:ptCount val="25"/>
                <c:pt idx="0">
                  <c:v>7.2804226260985401E-5</c:v>
                </c:pt>
                <c:pt idx="1">
                  <c:v>7.0087344465490347E-5</c:v>
                </c:pt>
                <c:pt idx="2">
                  <c:v>6.7379762904880403E-5</c:v>
                </c:pt>
                <c:pt idx="3">
                  <c:v>6.4666775038063601E-5</c:v>
                </c:pt>
                <c:pt idx="4">
                  <c:v>6.1975313113404293E-5</c:v>
                </c:pt>
                <c:pt idx="5">
                  <c:v>5.9291714799360251E-5</c:v>
                </c:pt>
                <c:pt idx="6">
                  <c:v>5.8855302926087953E-5</c:v>
                </c:pt>
                <c:pt idx="7">
                  <c:v>5.8416971860771998E-5</c:v>
                </c:pt>
                <c:pt idx="8">
                  <c:v>5.7982620925466651E-5</c:v>
                </c:pt>
                <c:pt idx="9">
                  <c:v>5.7541318063532445E-5</c:v>
                </c:pt>
                <c:pt idx="10">
                  <c:v>5.7098242365304049E-5</c:v>
                </c:pt>
                <c:pt idx="11">
                  <c:v>5.66690180677972E-5</c:v>
                </c:pt>
                <c:pt idx="12">
                  <c:v>5.624010991348225E-5</c:v>
                </c:pt>
                <c:pt idx="13">
                  <c:v>5.5822623275101203E-5</c:v>
                </c:pt>
                <c:pt idx="14">
                  <c:v>5.5393505247627498E-5</c:v>
                </c:pt>
                <c:pt idx="15">
                  <c:v>5.4964254435361049E-5</c:v>
                </c:pt>
                <c:pt idx="16">
                  <c:v>5.4508458234388104E-5</c:v>
                </c:pt>
                <c:pt idx="17">
                  <c:v>5.4052689243715551E-5</c:v>
                </c:pt>
                <c:pt idx="18">
                  <c:v>5.36068473539396E-5</c:v>
                </c:pt>
                <c:pt idx="19">
                  <c:v>5.3151386216180354E-5</c:v>
                </c:pt>
                <c:pt idx="20">
                  <c:v>5.2695974242200005E-5</c:v>
                </c:pt>
                <c:pt idx="21">
                  <c:v>5.2383638995709844E-5</c:v>
                </c:pt>
                <c:pt idx="22">
                  <c:v>5.2034957620011592E-5</c:v>
                </c:pt>
                <c:pt idx="23">
                  <c:v>5.1686551570517097E-5</c:v>
                </c:pt>
                <c:pt idx="24">
                  <c:v>5.1338301575648103E-5</c:v>
                </c:pt>
              </c:numCache>
            </c:numRef>
          </c:val>
          <c:extLst>
            <c:ext xmlns:c16="http://schemas.microsoft.com/office/drawing/2014/chart" uri="{C3380CC4-5D6E-409C-BE32-E72D297353CC}">
              <c16:uniqueId val="{00000007-4406-42A6-A093-0CC0E0DCE8CC}"/>
            </c:ext>
          </c:extLst>
        </c:ser>
        <c:ser>
          <c:idx val="8"/>
          <c:order val="8"/>
          <c:tx>
            <c:strRef>
              <c:f>'Results ReCiPe (E) - ESD'!$AB$403</c:f>
              <c:strCache>
                <c:ptCount val="1"/>
                <c:pt idx="0">
                  <c:v>CO2 captured and stored</c:v>
                </c:pt>
              </c:strCache>
            </c:strRef>
          </c:tx>
          <c:spPr>
            <a:solidFill>
              <a:schemeClr val="tx2">
                <a:lumMod val="20000"/>
                <a:lumOff val="80000"/>
              </a:schemeClr>
            </a:solidFill>
            <a:ln>
              <a:noFill/>
            </a:ln>
            <a:effectLst/>
          </c:spPr>
          <c:invertIfNegative val="0"/>
          <c:cat>
            <c:numRef>
              <c:f>'Results ReCiPe (E) - ESD'!$AC$394:$BA$394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ESD'!$AC$403:$BA$403</c:f>
              <c:numCache>
                <c:formatCode>0.00E+00</c:formatCode>
                <c:ptCount val="25"/>
                <c:pt idx="0">
                  <c:v>-1.2500340999999997E-3</c:v>
                </c:pt>
                <c:pt idx="1">
                  <c:v>-1.2500340999999997E-3</c:v>
                </c:pt>
                <c:pt idx="2">
                  <c:v>-1.2500340999999997E-3</c:v>
                </c:pt>
                <c:pt idx="3">
                  <c:v>-1.2500340999999997E-3</c:v>
                </c:pt>
                <c:pt idx="4">
                  <c:v>-1.2500340999999997E-3</c:v>
                </c:pt>
                <c:pt idx="5">
                  <c:v>-1.2500340999999997E-3</c:v>
                </c:pt>
                <c:pt idx="6">
                  <c:v>-1.2500340999999997E-3</c:v>
                </c:pt>
                <c:pt idx="7">
                  <c:v>-1.2500340999999997E-3</c:v>
                </c:pt>
                <c:pt idx="8">
                  <c:v>-1.2500340999999997E-3</c:v>
                </c:pt>
                <c:pt idx="9">
                  <c:v>-1.2500340999999997E-3</c:v>
                </c:pt>
                <c:pt idx="10">
                  <c:v>-1.2500340999999997E-3</c:v>
                </c:pt>
                <c:pt idx="11">
                  <c:v>-1.2500340999999997E-3</c:v>
                </c:pt>
                <c:pt idx="12">
                  <c:v>-1.2500340999999997E-3</c:v>
                </c:pt>
                <c:pt idx="13">
                  <c:v>-1.2500340999999997E-3</c:v>
                </c:pt>
                <c:pt idx="14">
                  <c:v>-1.2500340999999997E-3</c:v>
                </c:pt>
                <c:pt idx="15">
                  <c:v>-1.2500340999999997E-3</c:v>
                </c:pt>
                <c:pt idx="16">
                  <c:v>-1.2500340999999997E-3</c:v>
                </c:pt>
                <c:pt idx="17">
                  <c:v>-1.2500340999999997E-3</c:v>
                </c:pt>
                <c:pt idx="18">
                  <c:v>-1.2500340999999997E-3</c:v>
                </c:pt>
                <c:pt idx="19">
                  <c:v>-1.2500340999999997E-3</c:v>
                </c:pt>
                <c:pt idx="20">
                  <c:v>-1.2500340999999997E-3</c:v>
                </c:pt>
                <c:pt idx="21">
                  <c:v>-1.2500340999999997E-3</c:v>
                </c:pt>
                <c:pt idx="22">
                  <c:v>-1.2500340999999997E-3</c:v>
                </c:pt>
                <c:pt idx="23">
                  <c:v>-1.2500340999999997E-3</c:v>
                </c:pt>
                <c:pt idx="24">
                  <c:v>-1.2500340999999997E-3</c:v>
                </c:pt>
              </c:numCache>
            </c:numRef>
          </c:val>
          <c:extLst>
            <c:ext xmlns:c16="http://schemas.microsoft.com/office/drawing/2014/chart" uri="{C3380CC4-5D6E-409C-BE32-E72D297353CC}">
              <c16:uniqueId val="{00000008-4406-42A6-A093-0CC0E0DCE8CC}"/>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(E) - ESD'!$AB$404</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cat>
            <c:numRef>
              <c:f>'Results ReCiPe (E) - ESD'!$AC$394:$BA$394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ESD'!$AC$404:$BA$404</c:f>
              <c:numCache>
                <c:formatCode>0.00E+00</c:formatCode>
                <c:ptCount val="25"/>
                <c:pt idx="0">
                  <c:v>8.9916971319408383E-3</c:v>
                </c:pt>
                <c:pt idx="1">
                  <c:v>1.9085328680568895E-3</c:v>
                </c:pt>
                <c:pt idx="2">
                  <c:v>1.9026337000671622E-3</c:v>
                </c:pt>
                <c:pt idx="3">
                  <c:v>1.9823745788576531E-3</c:v>
                </c:pt>
                <c:pt idx="4">
                  <c:v>1.8903024775104435E-3</c:v>
                </c:pt>
                <c:pt idx="5">
                  <c:v>1.8842976118292843E-3</c:v>
                </c:pt>
                <c:pt idx="6">
                  <c:v>1.9675858016516647E-3</c:v>
                </c:pt>
                <c:pt idx="7">
                  <c:v>1.8814889466592685E-3</c:v>
                </c:pt>
                <c:pt idx="8">
                  <c:v>1.8802165112809469E-3</c:v>
                </c:pt>
                <c:pt idx="9">
                  <c:v>1.9631851820827249E-3</c:v>
                </c:pt>
                <c:pt idx="10">
                  <c:v>1.8775156145827442E-3</c:v>
                </c:pt>
                <c:pt idx="11">
                  <c:v>1.8766878619503871E-3</c:v>
                </c:pt>
                <c:pt idx="12">
                  <c:v>1.9600525831863784E-3</c:v>
                </c:pt>
                <c:pt idx="13">
                  <c:v>1.8752216155165317E-3</c:v>
                </c:pt>
                <c:pt idx="14">
                  <c:v>1.8744289193944378E-3</c:v>
                </c:pt>
                <c:pt idx="15">
                  <c:v>1.9577858215232466E-3</c:v>
                </c:pt>
                <c:pt idx="16">
                  <c:v>1.8728481577062594E-3</c:v>
                </c:pt>
                <c:pt idx="17">
                  <c:v>1.8720688926594669E-3</c:v>
                </c:pt>
                <c:pt idx="18">
                  <c:v>1.9554376131084056E-3</c:v>
                </c:pt>
                <c:pt idx="19">
                  <c:v>1.8706477192229885E-3</c:v>
                </c:pt>
                <c:pt idx="20">
                  <c:v>1.8698829078879421E-3</c:v>
                </c:pt>
                <c:pt idx="21">
                  <c:v>1.9534853360646245E-3</c:v>
                </c:pt>
                <c:pt idx="22">
                  <c:v>1.8690620013116729E-3</c:v>
                </c:pt>
                <c:pt idx="23">
                  <c:v>1.8685539333138275E-3</c:v>
                </c:pt>
                <c:pt idx="24">
                  <c:v>2.0399629404291237E-3</c:v>
                </c:pt>
              </c:numCache>
            </c:numRef>
          </c:val>
          <c:smooth val="0"/>
          <c:extLst>
            <c:ext xmlns:c16="http://schemas.microsoft.com/office/drawing/2014/chart" uri="{C3380CC4-5D6E-409C-BE32-E72D297353CC}">
              <c16:uniqueId val="{00000009-4406-42A6-A093-0CC0E0DCE8CC}"/>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Ecosystem damage</a:t>
                </a:r>
              </a:p>
              <a:p>
                <a:pPr algn="ctr" rtl="0">
                  <a:defRPr/>
                </a:pPr>
                <a:r>
                  <a:rPr lang="nl-NL"/>
                  <a:t>[PDF*yr/ton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(E) - RD'!$AB$10</c:f>
              <c:strCache>
                <c:ptCount val="1"/>
                <c:pt idx="0">
                  <c:v>Construction - DAC</c:v>
                </c:pt>
              </c:strCache>
            </c:strRef>
          </c:tx>
          <c:spPr>
            <a:solidFill>
              <a:schemeClr val="accent4">
                <a:lumMod val="75000"/>
              </a:schemeClr>
            </a:solidFill>
            <a:ln>
              <a:noFill/>
            </a:ln>
            <a:effectLst/>
          </c:spPr>
          <c:invertIfNegative val="0"/>
          <c:cat>
            <c:numRef>
              <c:f>'Results ReCiPe (E) - RD'!$AC$9:$BA$9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RD'!$AC$10:$BA$10</c:f>
              <c:numCache>
                <c:formatCode>0.00E+00</c:formatCode>
                <c:ptCount val="25"/>
                <c:pt idx="0">
                  <c:v>2965.0301428358648</c:v>
                </c:pt>
              </c:numCache>
            </c:numRef>
          </c:val>
          <c:extLst>
            <c:ext xmlns:c16="http://schemas.microsoft.com/office/drawing/2014/chart" uri="{C3380CC4-5D6E-409C-BE32-E72D297353CC}">
              <c16:uniqueId val="{00000000-0506-44BF-B3A2-9CA4E451FB16}"/>
            </c:ext>
          </c:extLst>
        </c:ser>
        <c:ser>
          <c:idx val="1"/>
          <c:order val="1"/>
          <c:tx>
            <c:strRef>
              <c:f>'Results ReCiPe (E) - RD'!$AB$11</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(E) - RD'!$AC$9:$BA$9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RD'!$AC$11:$BA$11</c:f>
              <c:numCache>
                <c:formatCode>0.00E+00</c:formatCode>
                <c:ptCount val="25"/>
                <c:pt idx="0">
                  <c:v>272.33360397786203</c:v>
                </c:pt>
              </c:numCache>
            </c:numRef>
          </c:val>
          <c:extLst>
            <c:ext xmlns:c16="http://schemas.microsoft.com/office/drawing/2014/chart" uri="{C3380CC4-5D6E-409C-BE32-E72D297353CC}">
              <c16:uniqueId val="{00000001-0506-44BF-B3A2-9CA4E451FB16}"/>
            </c:ext>
          </c:extLst>
        </c:ser>
        <c:ser>
          <c:idx val="2"/>
          <c:order val="2"/>
          <c:tx>
            <c:strRef>
              <c:f>'Results ReCiPe (E) - RD'!$AB$12</c:f>
              <c:strCache>
                <c:ptCount val="1"/>
                <c:pt idx="0">
                  <c:v>Deconstruction - DAC</c:v>
                </c:pt>
              </c:strCache>
            </c:strRef>
          </c:tx>
          <c:spPr>
            <a:solidFill>
              <a:schemeClr val="accent2">
                <a:lumMod val="40000"/>
                <a:lumOff val="60000"/>
              </a:schemeClr>
            </a:solidFill>
            <a:ln>
              <a:noFill/>
            </a:ln>
            <a:effectLst/>
          </c:spPr>
          <c:invertIfNegative val="0"/>
          <c:cat>
            <c:numRef>
              <c:f>'Results ReCiPe (E) - RD'!$AC$9:$BA$9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RD'!$AC$12:$BA$12</c:f>
              <c:numCache>
                <c:formatCode>0.00E+00</c:formatCode>
                <c:ptCount val="25"/>
                <c:pt idx="24">
                  <c:v>46.163153956689108</c:v>
                </c:pt>
              </c:numCache>
            </c:numRef>
          </c:val>
          <c:extLst>
            <c:ext xmlns:c16="http://schemas.microsoft.com/office/drawing/2014/chart" uri="{C3380CC4-5D6E-409C-BE32-E72D297353CC}">
              <c16:uniqueId val="{00000002-0506-44BF-B3A2-9CA4E451FB16}"/>
            </c:ext>
          </c:extLst>
        </c:ser>
        <c:ser>
          <c:idx val="3"/>
          <c:order val="3"/>
          <c:tx>
            <c:strRef>
              <c:f>'Results ReCiPe (E) - RD'!$AB$13</c:f>
              <c:strCache>
                <c:ptCount val="1"/>
                <c:pt idx="0">
                  <c:v>Deconstruction - geological storage</c:v>
                </c:pt>
              </c:strCache>
            </c:strRef>
          </c:tx>
          <c:spPr>
            <a:solidFill>
              <a:srgbClr val="FF9900"/>
            </a:solidFill>
            <a:ln>
              <a:noFill/>
            </a:ln>
            <a:effectLst/>
          </c:spPr>
          <c:invertIfNegative val="0"/>
          <c:cat>
            <c:numRef>
              <c:f>'Results ReCiPe (E) - RD'!$AC$9:$BA$9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RD'!$AC$13:$BA$13</c:f>
              <c:numCache>
                <c:formatCode>0.00E+00</c:formatCode>
                <c:ptCount val="25"/>
                <c:pt idx="24">
                  <c:v>1.3503554367435455</c:v>
                </c:pt>
              </c:numCache>
            </c:numRef>
          </c:val>
          <c:extLst>
            <c:ext xmlns:c16="http://schemas.microsoft.com/office/drawing/2014/chart" uri="{C3380CC4-5D6E-409C-BE32-E72D297353CC}">
              <c16:uniqueId val="{00000003-0506-44BF-B3A2-9CA4E451FB16}"/>
            </c:ext>
          </c:extLst>
        </c:ser>
        <c:ser>
          <c:idx val="4"/>
          <c:order val="4"/>
          <c:tx>
            <c:strRef>
              <c:f>'Results ReCiPe (E) - RD'!$AB$14</c:f>
              <c:strCache>
                <c:ptCount val="1"/>
                <c:pt idx="0">
                  <c:v>Sorbent material</c:v>
                </c:pt>
              </c:strCache>
            </c:strRef>
          </c:tx>
          <c:spPr>
            <a:solidFill>
              <a:srgbClr val="FF8F8F"/>
            </a:solidFill>
            <a:ln>
              <a:noFill/>
            </a:ln>
            <a:effectLst/>
          </c:spPr>
          <c:invertIfNegative val="0"/>
          <c:cat>
            <c:numRef>
              <c:f>'Results ReCiPe (E) - RD'!$AC$9:$BA$9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RD'!$AC$14:$BA$14</c:f>
              <c:numCache>
                <c:formatCode>0.00E+00</c:formatCode>
                <c:ptCount val="25"/>
                <c:pt idx="0">
                  <c:v>119.1904376828072</c:v>
                </c:pt>
                <c:pt idx="3">
                  <c:v>118.3718965782387</c:v>
                </c:pt>
                <c:pt idx="6">
                  <c:v>118.2908864371209</c:v>
                </c:pt>
                <c:pt idx="9">
                  <c:v>117.82210845498651</c:v>
                </c:pt>
                <c:pt idx="12">
                  <c:v>117.9174008500527</c:v>
                </c:pt>
                <c:pt idx="15">
                  <c:v>117.9147244662052</c:v>
                </c:pt>
                <c:pt idx="18">
                  <c:v>117.61608634126139</c:v>
                </c:pt>
                <c:pt idx="21">
                  <c:v>117.44781323215599</c:v>
                </c:pt>
                <c:pt idx="24">
                  <c:v>117.264158753236</c:v>
                </c:pt>
              </c:numCache>
            </c:numRef>
          </c:val>
          <c:extLst>
            <c:ext xmlns:c16="http://schemas.microsoft.com/office/drawing/2014/chart" uri="{C3380CC4-5D6E-409C-BE32-E72D297353CC}">
              <c16:uniqueId val="{00000004-0506-44BF-B3A2-9CA4E451FB16}"/>
            </c:ext>
          </c:extLst>
        </c:ser>
        <c:ser>
          <c:idx val="5"/>
          <c:order val="5"/>
          <c:tx>
            <c:strRef>
              <c:f>'Results ReCiPe (E) - RD'!$AB$15</c:f>
              <c:strCache>
                <c:ptCount val="1"/>
                <c:pt idx="0">
                  <c:v>Operation - DAC</c:v>
                </c:pt>
              </c:strCache>
            </c:strRef>
          </c:tx>
          <c:spPr>
            <a:solidFill>
              <a:schemeClr val="accent2">
                <a:lumMod val="75000"/>
              </a:schemeClr>
            </a:solidFill>
            <a:ln>
              <a:noFill/>
            </a:ln>
            <a:effectLst/>
          </c:spPr>
          <c:invertIfNegative val="0"/>
          <c:cat>
            <c:numRef>
              <c:f>'Results ReCiPe (E) - RD'!$AC$9:$BA$9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RD'!$AC$15:$BA$15</c:f>
              <c:numCache>
                <c:formatCode>0.00E+00</c:formatCode>
                <c:ptCount val="25"/>
                <c:pt idx="0">
                  <c:v>2683.8874573103321</c:v>
                </c:pt>
                <c:pt idx="1">
                  <c:v>2692.793890721297</c:v>
                </c:pt>
                <c:pt idx="2">
                  <c:v>2701.7783403338281</c:v>
                </c:pt>
                <c:pt idx="3">
                  <c:v>2706.700672917465</c:v>
                </c:pt>
                <c:pt idx="4">
                  <c:v>2715.8995028076838</c:v>
                </c:pt>
                <c:pt idx="5">
                  <c:v>2725.1741389802619</c:v>
                </c:pt>
                <c:pt idx="6">
                  <c:v>2814.0402210849438</c:v>
                </c:pt>
                <c:pt idx="7">
                  <c:v>2902.7887290809399</c:v>
                </c:pt>
                <c:pt idx="8">
                  <c:v>2988.3527774562708</c:v>
                </c:pt>
                <c:pt idx="9">
                  <c:v>3077.020353301285</c:v>
                </c:pt>
                <c:pt idx="10">
                  <c:v>3165.5987547228292</c:v>
                </c:pt>
                <c:pt idx="11">
                  <c:v>3263.6331652469598</c:v>
                </c:pt>
                <c:pt idx="12">
                  <c:v>3361.7811818242822</c:v>
                </c:pt>
                <c:pt idx="13">
                  <c:v>3459.354841568017</c:v>
                </c:pt>
                <c:pt idx="14">
                  <c:v>3557.726115966937</c:v>
                </c:pt>
                <c:pt idx="15">
                  <c:v>3656.195924025676</c:v>
                </c:pt>
                <c:pt idx="16">
                  <c:v>3753.4578396803349</c:v>
                </c:pt>
                <c:pt idx="17">
                  <c:v>3850.7555417609692</c:v>
                </c:pt>
                <c:pt idx="18">
                  <c:v>3947.4971433905689</c:v>
                </c:pt>
                <c:pt idx="19">
                  <c:v>4044.9280830876269</c:v>
                </c:pt>
                <c:pt idx="20">
                  <c:v>4142.4339106704592</c:v>
                </c:pt>
                <c:pt idx="21">
                  <c:v>4120.7292199534086</c:v>
                </c:pt>
                <c:pt idx="22">
                  <c:v>4099.064890458726</c:v>
                </c:pt>
                <c:pt idx="23">
                  <c:v>4077.3865797364019</c:v>
                </c:pt>
                <c:pt idx="24">
                  <c:v>4055.6927614695442</c:v>
                </c:pt>
              </c:numCache>
            </c:numRef>
          </c:val>
          <c:extLst>
            <c:ext xmlns:c16="http://schemas.microsoft.com/office/drawing/2014/chart" uri="{C3380CC4-5D6E-409C-BE32-E72D297353CC}">
              <c16:uniqueId val="{00000005-0506-44BF-B3A2-9CA4E451FB16}"/>
            </c:ext>
          </c:extLst>
        </c:ser>
        <c:ser>
          <c:idx val="6"/>
          <c:order val="6"/>
          <c:tx>
            <c:strRef>
              <c:f>'Results ReCiPe (E) - RD'!$AB$16</c:f>
              <c:strCache>
                <c:ptCount val="1"/>
                <c:pt idx="0">
                  <c:v>Operation - geological storage</c:v>
                </c:pt>
              </c:strCache>
            </c:strRef>
          </c:tx>
          <c:spPr>
            <a:solidFill>
              <a:schemeClr val="accent2">
                <a:lumMod val="50000"/>
              </a:schemeClr>
            </a:solidFill>
            <a:ln>
              <a:noFill/>
            </a:ln>
            <a:effectLst/>
          </c:spPr>
          <c:invertIfNegative val="0"/>
          <c:cat>
            <c:numRef>
              <c:f>'Results ReCiPe (E) - RD'!$AC$9:$BA$9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RD'!$AC$16:$BA$16</c:f>
              <c:numCache>
                <c:formatCode>0.00E+00</c:formatCode>
                <c:ptCount val="25"/>
                <c:pt idx="0">
                  <c:v>213.7561645339245</c:v>
                </c:pt>
                <c:pt idx="1">
                  <c:v>214.11317364597031</c:v>
                </c:pt>
                <c:pt idx="2">
                  <c:v>214.47341165806512</c:v>
                </c:pt>
                <c:pt idx="3">
                  <c:v>214.46251116288622</c:v>
                </c:pt>
                <c:pt idx="4">
                  <c:v>214.83388134716211</c:v>
                </c:pt>
                <c:pt idx="5">
                  <c:v>215.20812374772089</c:v>
                </c:pt>
                <c:pt idx="6">
                  <c:v>221.66170122876531</c:v>
                </c:pt>
                <c:pt idx="7">
                  <c:v>228.08739714241969</c:v>
                </c:pt>
                <c:pt idx="8">
                  <c:v>234.21005826383578</c:v>
                </c:pt>
                <c:pt idx="9">
                  <c:v>240.59224526784581</c:v>
                </c:pt>
                <c:pt idx="10">
                  <c:v>246.94875172326101</c:v>
                </c:pt>
                <c:pt idx="11">
                  <c:v>254.07462545926279</c:v>
                </c:pt>
                <c:pt idx="12">
                  <c:v>261.19243499886392</c:v>
                </c:pt>
                <c:pt idx="13">
                  <c:v>268.23816375017429</c:v>
                </c:pt>
                <c:pt idx="14">
                  <c:v>275.33963760225271</c:v>
                </c:pt>
                <c:pt idx="15">
                  <c:v>282.43183756937771</c:v>
                </c:pt>
                <c:pt idx="16">
                  <c:v>289.44400481244838</c:v>
                </c:pt>
                <c:pt idx="17">
                  <c:v>296.44474292503941</c:v>
                </c:pt>
                <c:pt idx="18">
                  <c:v>303.37780162099631</c:v>
                </c:pt>
                <c:pt idx="19">
                  <c:v>310.36040504167272</c:v>
                </c:pt>
                <c:pt idx="20">
                  <c:v>317.3344517929184</c:v>
                </c:pt>
                <c:pt idx="21">
                  <c:v>315.12577015084941</c:v>
                </c:pt>
                <c:pt idx="22">
                  <c:v>312.93130103149196</c:v>
                </c:pt>
                <c:pt idx="23">
                  <c:v>310.74231942013807</c:v>
                </c:pt>
                <c:pt idx="24">
                  <c:v>308.55861400518438</c:v>
                </c:pt>
              </c:numCache>
            </c:numRef>
          </c:val>
          <c:extLst>
            <c:ext xmlns:c16="http://schemas.microsoft.com/office/drawing/2014/chart" uri="{C3380CC4-5D6E-409C-BE32-E72D297353CC}">
              <c16:uniqueId val="{00000006-0506-44BF-B3A2-9CA4E451FB16}"/>
            </c:ext>
          </c:extLst>
        </c:ser>
        <c:ser>
          <c:idx val="7"/>
          <c:order val="7"/>
          <c:tx>
            <c:strRef>
              <c:f>'Results ReCiPe (E) - RD'!$AB$17</c:f>
              <c:strCache>
                <c:ptCount val="1"/>
                <c:pt idx="0">
                  <c:v>CO2 captured and stored</c:v>
                </c:pt>
              </c:strCache>
            </c:strRef>
          </c:tx>
          <c:spPr>
            <a:solidFill>
              <a:schemeClr val="tx2">
                <a:lumMod val="20000"/>
                <a:lumOff val="80000"/>
              </a:schemeClr>
            </a:solidFill>
            <a:ln>
              <a:noFill/>
            </a:ln>
            <a:effectLst/>
          </c:spPr>
          <c:invertIfNegative val="0"/>
          <c:cat>
            <c:numRef>
              <c:f>'Results ReCiPe (E) - RD'!$AC$9:$BA$9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RD'!$AC$17:$BA$17</c:f>
              <c:numCache>
                <c:formatCode>0.00E+00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7-0506-44BF-B3A2-9CA4E451FB16}"/>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(E) - RD'!$AB$18</c:f>
              <c:strCache>
                <c:ptCount val="1"/>
                <c:pt idx="0">
                  <c:v>TOTAL per year</c:v>
                </c:pt>
              </c:strCache>
            </c:strRef>
          </c:tx>
          <c:spPr>
            <a:ln w="25400" cap="rnd">
              <a:noFill/>
              <a:round/>
            </a:ln>
            <a:effectLst/>
          </c:spPr>
          <c:marker>
            <c:symbol val="circle"/>
            <c:size val="5"/>
            <c:spPr>
              <a:solidFill>
                <a:schemeClr val="tx1"/>
              </a:solidFill>
              <a:ln w="9525">
                <a:solidFill>
                  <a:schemeClr val="tx1"/>
                </a:solidFill>
              </a:ln>
              <a:effectLst/>
            </c:spPr>
          </c:marker>
          <c:cat>
            <c:numRef>
              <c:f>'Results ReCiPe (E) - RD'!$AC$9:$BA$9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RD'!$AC$18:$BA$18</c:f>
              <c:numCache>
                <c:formatCode>0.00E+00</c:formatCode>
                <c:ptCount val="25"/>
                <c:pt idx="0">
                  <c:v>6254.1978063407905</c:v>
                </c:pt>
                <c:pt idx="1">
                  <c:v>2906.9070643672671</c:v>
                </c:pt>
                <c:pt idx="2">
                  <c:v>2916.2517519918933</c:v>
                </c:pt>
                <c:pt idx="3">
                  <c:v>3039.5350806585898</c:v>
                </c:pt>
                <c:pt idx="4">
                  <c:v>2930.7333841548461</c:v>
                </c:pt>
                <c:pt idx="5">
                  <c:v>2940.3822627279828</c:v>
                </c:pt>
                <c:pt idx="6">
                  <c:v>3153.9928087508301</c:v>
                </c:pt>
                <c:pt idx="7">
                  <c:v>3130.8761262233597</c:v>
                </c:pt>
                <c:pt idx="8">
                  <c:v>3222.5628357201067</c:v>
                </c:pt>
                <c:pt idx="9">
                  <c:v>3435.4347070241174</c:v>
                </c:pt>
                <c:pt idx="10">
                  <c:v>3412.5475064460902</c:v>
                </c:pt>
                <c:pt idx="11">
                  <c:v>3517.7077907062226</c:v>
                </c:pt>
                <c:pt idx="12">
                  <c:v>3740.8910176731988</c:v>
                </c:pt>
                <c:pt idx="13">
                  <c:v>3727.5930053181914</c:v>
                </c:pt>
                <c:pt idx="14">
                  <c:v>3833.0657535691898</c:v>
                </c:pt>
                <c:pt idx="15">
                  <c:v>4056.5424860612593</c:v>
                </c:pt>
                <c:pt idx="16">
                  <c:v>4042.9018444927833</c:v>
                </c:pt>
                <c:pt idx="17">
                  <c:v>4147.2002846860087</c:v>
                </c:pt>
                <c:pt idx="18">
                  <c:v>4368.4910313528271</c:v>
                </c:pt>
                <c:pt idx="19">
                  <c:v>4355.2884881292994</c:v>
                </c:pt>
                <c:pt idx="20">
                  <c:v>4459.7683624633773</c:v>
                </c:pt>
                <c:pt idx="21">
                  <c:v>4553.3028033364135</c:v>
                </c:pt>
                <c:pt idx="22">
                  <c:v>4411.9961914902178</c:v>
                </c:pt>
                <c:pt idx="23">
                  <c:v>4388.1288991565398</c:v>
                </c:pt>
                <c:pt idx="24">
                  <c:v>4529.0290436213972</c:v>
                </c:pt>
              </c:numCache>
            </c:numRef>
          </c:val>
          <c:smooth val="0"/>
          <c:extLst>
            <c:ext xmlns:c16="http://schemas.microsoft.com/office/drawing/2014/chart" uri="{C3380CC4-5D6E-409C-BE32-E72D297353CC}">
              <c16:uniqueId val="{00000008-0506-44BF-B3A2-9CA4E451FB16}"/>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Resource damage</a:t>
                </a:r>
              </a:p>
              <a:p>
                <a:pPr algn="ctr" rtl="0">
                  <a:defRPr/>
                </a:pPr>
                <a:r>
                  <a:rPr lang="nl-NL"/>
                  <a:t>[USD2013/ton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(E) - RD'!$AB$50</c:f>
              <c:strCache>
                <c:ptCount val="1"/>
                <c:pt idx="0">
                  <c:v>Construction - DAC</c:v>
                </c:pt>
              </c:strCache>
            </c:strRef>
          </c:tx>
          <c:spPr>
            <a:solidFill>
              <a:schemeClr val="accent4">
                <a:lumMod val="75000"/>
              </a:schemeClr>
            </a:solidFill>
            <a:ln>
              <a:noFill/>
            </a:ln>
            <a:effectLst/>
          </c:spPr>
          <c:invertIfNegative val="0"/>
          <c:cat>
            <c:numRef>
              <c:f>'Results ReCiPe (E) - RD'!$AC$49:$BA$49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RD'!$AC$50:$BA$50</c:f>
              <c:numCache>
                <c:formatCode>0.00E+00</c:formatCode>
                <c:ptCount val="25"/>
                <c:pt idx="0">
                  <c:v>2892.6593074930947</c:v>
                </c:pt>
              </c:numCache>
            </c:numRef>
          </c:val>
          <c:extLst>
            <c:ext xmlns:c16="http://schemas.microsoft.com/office/drawing/2014/chart" uri="{C3380CC4-5D6E-409C-BE32-E72D297353CC}">
              <c16:uniqueId val="{00000000-AD86-44B5-B39F-A7BFED9AA339}"/>
            </c:ext>
          </c:extLst>
        </c:ser>
        <c:ser>
          <c:idx val="1"/>
          <c:order val="1"/>
          <c:tx>
            <c:strRef>
              <c:f>'Results ReCiPe (E) - RD'!$AB$51</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(E) - RD'!$AC$49:$BA$49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RD'!$AC$51:$BA$51</c:f>
              <c:numCache>
                <c:formatCode>0.00E+00</c:formatCode>
                <c:ptCount val="25"/>
                <c:pt idx="0">
                  <c:v>268.94629988832151</c:v>
                </c:pt>
              </c:numCache>
            </c:numRef>
          </c:val>
          <c:extLst>
            <c:ext xmlns:c16="http://schemas.microsoft.com/office/drawing/2014/chart" uri="{C3380CC4-5D6E-409C-BE32-E72D297353CC}">
              <c16:uniqueId val="{00000001-AD86-44B5-B39F-A7BFED9AA339}"/>
            </c:ext>
          </c:extLst>
        </c:ser>
        <c:ser>
          <c:idx val="2"/>
          <c:order val="2"/>
          <c:tx>
            <c:strRef>
              <c:f>'Results ReCiPe (E) - RD'!$AB$52</c:f>
              <c:strCache>
                <c:ptCount val="1"/>
                <c:pt idx="0">
                  <c:v>Deconstruction - DAC</c:v>
                </c:pt>
              </c:strCache>
            </c:strRef>
          </c:tx>
          <c:spPr>
            <a:solidFill>
              <a:schemeClr val="accent2">
                <a:lumMod val="40000"/>
                <a:lumOff val="60000"/>
              </a:schemeClr>
            </a:solidFill>
            <a:ln>
              <a:noFill/>
            </a:ln>
            <a:effectLst/>
          </c:spPr>
          <c:invertIfNegative val="0"/>
          <c:cat>
            <c:numRef>
              <c:f>'Results ReCiPe (E) - RD'!$AC$49:$BA$49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RD'!$AC$52:$BA$52</c:f>
              <c:numCache>
                <c:formatCode>0.00E+00</c:formatCode>
                <c:ptCount val="25"/>
                <c:pt idx="24">
                  <c:v>41.824707218963411</c:v>
                </c:pt>
              </c:numCache>
            </c:numRef>
          </c:val>
          <c:extLst>
            <c:ext xmlns:c16="http://schemas.microsoft.com/office/drawing/2014/chart" uri="{C3380CC4-5D6E-409C-BE32-E72D297353CC}">
              <c16:uniqueId val="{00000002-AD86-44B5-B39F-A7BFED9AA339}"/>
            </c:ext>
          </c:extLst>
        </c:ser>
        <c:ser>
          <c:idx val="3"/>
          <c:order val="3"/>
          <c:tx>
            <c:strRef>
              <c:f>'Results ReCiPe (E) - RD'!$AB$53</c:f>
              <c:strCache>
                <c:ptCount val="1"/>
                <c:pt idx="0">
                  <c:v>Deconstruction - geological storage</c:v>
                </c:pt>
              </c:strCache>
            </c:strRef>
          </c:tx>
          <c:spPr>
            <a:solidFill>
              <a:srgbClr val="FF9900"/>
            </a:solidFill>
            <a:ln>
              <a:noFill/>
            </a:ln>
            <a:effectLst/>
          </c:spPr>
          <c:invertIfNegative val="0"/>
          <c:cat>
            <c:numRef>
              <c:f>'Results ReCiPe (E) - RD'!$AC$49:$BA$49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RD'!$AC$53:$BA$53</c:f>
              <c:numCache>
                <c:formatCode>0.00E+00</c:formatCode>
                <c:ptCount val="25"/>
                <c:pt idx="24">
                  <c:v>1.2970170042936588</c:v>
                </c:pt>
              </c:numCache>
            </c:numRef>
          </c:val>
          <c:extLst>
            <c:ext xmlns:c16="http://schemas.microsoft.com/office/drawing/2014/chart" uri="{C3380CC4-5D6E-409C-BE32-E72D297353CC}">
              <c16:uniqueId val="{00000003-AD86-44B5-B39F-A7BFED9AA339}"/>
            </c:ext>
          </c:extLst>
        </c:ser>
        <c:ser>
          <c:idx val="4"/>
          <c:order val="4"/>
          <c:tx>
            <c:strRef>
              <c:f>'Results ReCiPe (E) - RD'!$AB$54</c:f>
              <c:strCache>
                <c:ptCount val="1"/>
                <c:pt idx="0">
                  <c:v>Sorbent material</c:v>
                </c:pt>
              </c:strCache>
            </c:strRef>
          </c:tx>
          <c:spPr>
            <a:solidFill>
              <a:srgbClr val="FF8F8F"/>
            </a:solidFill>
            <a:ln>
              <a:noFill/>
            </a:ln>
            <a:effectLst/>
          </c:spPr>
          <c:invertIfNegative val="0"/>
          <c:cat>
            <c:numRef>
              <c:f>'Results ReCiPe (E) - RD'!$AC$49:$BA$49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RD'!$AC$54:$BA$54</c:f>
              <c:numCache>
                <c:formatCode>0.00E+00</c:formatCode>
                <c:ptCount val="25"/>
                <c:pt idx="0">
                  <c:v>118.1438789925995</c:v>
                </c:pt>
                <c:pt idx="3">
                  <c:v>116.6612753102726</c:v>
                </c:pt>
                <c:pt idx="6">
                  <c:v>116.18081695012491</c:v>
                </c:pt>
                <c:pt idx="9">
                  <c:v>115.90171224187471</c:v>
                </c:pt>
                <c:pt idx="12">
                  <c:v>115.3805853817795</c:v>
                </c:pt>
                <c:pt idx="15">
                  <c:v>114.3803047375598</c:v>
                </c:pt>
                <c:pt idx="18">
                  <c:v>113.57035329969089</c:v>
                </c:pt>
                <c:pt idx="21">
                  <c:v>113.03996369373409</c:v>
                </c:pt>
                <c:pt idx="24">
                  <c:v>112.7955257307044</c:v>
                </c:pt>
              </c:numCache>
            </c:numRef>
          </c:val>
          <c:extLst>
            <c:ext xmlns:c16="http://schemas.microsoft.com/office/drawing/2014/chart" uri="{C3380CC4-5D6E-409C-BE32-E72D297353CC}">
              <c16:uniqueId val="{00000004-AD86-44B5-B39F-A7BFED9AA339}"/>
            </c:ext>
          </c:extLst>
        </c:ser>
        <c:ser>
          <c:idx val="5"/>
          <c:order val="5"/>
          <c:tx>
            <c:strRef>
              <c:f>'Results ReCiPe (E) - RD'!$AB$55</c:f>
              <c:strCache>
                <c:ptCount val="1"/>
                <c:pt idx="0">
                  <c:v>Operation - DAC</c:v>
                </c:pt>
              </c:strCache>
            </c:strRef>
          </c:tx>
          <c:spPr>
            <a:solidFill>
              <a:schemeClr val="accent2">
                <a:lumMod val="75000"/>
              </a:schemeClr>
            </a:solidFill>
            <a:ln>
              <a:noFill/>
            </a:ln>
            <a:effectLst/>
          </c:spPr>
          <c:invertIfNegative val="0"/>
          <c:cat>
            <c:numRef>
              <c:f>'Results ReCiPe (E) - RD'!$AC$49:$BA$49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RD'!$AC$55:$BA$55</c:f>
              <c:numCache>
                <c:formatCode>0.00E+00</c:formatCode>
                <c:ptCount val="25"/>
                <c:pt idx="0">
                  <c:v>2644.949885334418</c:v>
                </c:pt>
                <c:pt idx="1">
                  <c:v>2594.108167558657</c:v>
                </c:pt>
                <c:pt idx="2">
                  <c:v>2543.2682253138478</c:v>
                </c:pt>
                <c:pt idx="3">
                  <c:v>2487.9521157601371</c:v>
                </c:pt>
                <c:pt idx="4">
                  <c:v>2437.1242839401812</c:v>
                </c:pt>
                <c:pt idx="5">
                  <c:v>2386.2906882774419</c:v>
                </c:pt>
                <c:pt idx="6">
                  <c:v>2370.2419294222841</c:v>
                </c:pt>
                <c:pt idx="7">
                  <c:v>2354.0763815873088</c:v>
                </c:pt>
                <c:pt idx="8">
                  <c:v>2333.8324188162778</c:v>
                </c:pt>
                <c:pt idx="9">
                  <c:v>2317.252732820411</c:v>
                </c:pt>
                <c:pt idx="10">
                  <c:v>2300.4890050248891</c:v>
                </c:pt>
                <c:pt idx="11">
                  <c:v>2282.2775874176141</c:v>
                </c:pt>
                <c:pt idx="12">
                  <c:v>2263.7893700673549</c:v>
                </c:pt>
                <c:pt idx="13">
                  <c:v>2244.103764658988</c:v>
                </c:pt>
                <c:pt idx="14">
                  <c:v>2225.0759031368611</c:v>
                </c:pt>
                <c:pt idx="15">
                  <c:v>2205.775813645459</c:v>
                </c:pt>
                <c:pt idx="16">
                  <c:v>2220.5533834973212</c:v>
                </c:pt>
                <c:pt idx="17">
                  <c:v>2235.0614604309171</c:v>
                </c:pt>
                <c:pt idx="18">
                  <c:v>2248.3959084608359</c:v>
                </c:pt>
                <c:pt idx="19">
                  <c:v>2262.3771476040938</c:v>
                </c:pt>
                <c:pt idx="20">
                  <c:v>2276.09950326947</c:v>
                </c:pt>
                <c:pt idx="21">
                  <c:v>2255.913271043959</c:v>
                </c:pt>
                <c:pt idx="22">
                  <c:v>2235.7336912014089</c:v>
                </c:pt>
                <c:pt idx="23">
                  <c:v>2215.4684828238019</c:v>
                </c:pt>
                <c:pt idx="24">
                  <c:v>2195.1143549592839</c:v>
                </c:pt>
              </c:numCache>
            </c:numRef>
          </c:val>
          <c:extLst>
            <c:ext xmlns:c16="http://schemas.microsoft.com/office/drawing/2014/chart" uri="{C3380CC4-5D6E-409C-BE32-E72D297353CC}">
              <c16:uniqueId val="{00000005-AD86-44B5-B39F-A7BFED9AA339}"/>
            </c:ext>
          </c:extLst>
        </c:ser>
        <c:ser>
          <c:idx val="6"/>
          <c:order val="6"/>
          <c:tx>
            <c:strRef>
              <c:f>'Results ReCiPe (E) - RD'!$AB$56</c:f>
              <c:strCache>
                <c:ptCount val="1"/>
                <c:pt idx="0">
                  <c:v>Operation - geological storage</c:v>
                </c:pt>
              </c:strCache>
            </c:strRef>
          </c:tx>
          <c:spPr>
            <a:solidFill>
              <a:schemeClr val="accent2">
                <a:lumMod val="50000"/>
              </a:schemeClr>
            </a:solidFill>
            <a:ln>
              <a:noFill/>
            </a:ln>
            <a:effectLst/>
          </c:spPr>
          <c:invertIfNegative val="0"/>
          <c:cat>
            <c:numRef>
              <c:f>'Results ReCiPe (E) - RD'!$AC$49:$BA$49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RD'!$AC$56:$BA$56</c:f>
              <c:numCache>
                <c:formatCode>0.00E+00</c:formatCode>
                <c:ptCount val="25"/>
                <c:pt idx="0">
                  <c:v>2.0982451198193321</c:v>
                </c:pt>
                <c:pt idx="1">
                  <c:v>2.054803612812834</c:v>
                </c:pt>
                <c:pt idx="2">
                  <c:v>2.0115285872716222</c:v>
                </c:pt>
                <c:pt idx="3">
                  <c:v>1.9644333568935839</c:v>
                </c:pt>
                <c:pt idx="4">
                  <c:v>1.921504554775475</c:v>
                </c:pt>
                <c:pt idx="5">
                  <c:v>1.878735307757506</c:v>
                </c:pt>
                <c:pt idx="6">
                  <c:v>1.864768726679908</c:v>
                </c:pt>
                <c:pt idx="7">
                  <c:v>1.850736871027072</c:v>
                </c:pt>
                <c:pt idx="8">
                  <c:v>1.833232119602765</c:v>
                </c:pt>
                <c:pt idx="9">
                  <c:v>1.818939704424031</c:v>
                </c:pt>
                <c:pt idx="10">
                  <c:v>1.8045300648257681</c:v>
                </c:pt>
                <c:pt idx="11">
                  <c:v>1.790468027180862</c:v>
                </c:pt>
                <c:pt idx="12">
                  <c:v>1.7762058944472989</c:v>
                </c:pt>
                <c:pt idx="13">
                  <c:v>1.7609330761533979</c:v>
                </c:pt>
                <c:pt idx="14">
                  <c:v>1.746282363638975</c:v>
                </c:pt>
                <c:pt idx="15">
                  <c:v>1.7314337625106699</c:v>
                </c:pt>
                <c:pt idx="16">
                  <c:v>1.744896830163998</c:v>
                </c:pt>
                <c:pt idx="17">
                  <c:v>1.7582230446217719</c:v>
                </c:pt>
                <c:pt idx="18">
                  <c:v>1.7706192702385231</c:v>
                </c:pt>
                <c:pt idx="19">
                  <c:v>1.7836763237471001</c:v>
                </c:pt>
                <c:pt idx="20">
                  <c:v>1.796598926791638</c:v>
                </c:pt>
                <c:pt idx="21">
                  <c:v>1.7788713351427301</c:v>
                </c:pt>
                <c:pt idx="22">
                  <c:v>1.761233199962833</c:v>
                </c:pt>
                <c:pt idx="23">
                  <c:v>1.7435785226161611</c:v>
                </c:pt>
                <c:pt idx="24">
                  <c:v>1.725904260858679</c:v>
                </c:pt>
              </c:numCache>
            </c:numRef>
          </c:val>
          <c:extLst>
            <c:ext xmlns:c16="http://schemas.microsoft.com/office/drawing/2014/chart" uri="{C3380CC4-5D6E-409C-BE32-E72D297353CC}">
              <c16:uniqueId val="{00000006-AD86-44B5-B39F-A7BFED9AA339}"/>
            </c:ext>
          </c:extLst>
        </c:ser>
        <c:ser>
          <c:idx val="7"/>
          <c:order val="7"/>
          <c:tx>
            <c:strRef>
              <c:f>'Results ReCiPe (E) - RD'!$AB$57</c:f>
              <c:strCache>
                <c:ptCount val="1"/>
                <c:pt idx="0">
                  <c:v>CO2 captured and stored</c:v>
                </c:pt>
              </c:strCache>
            </c:strRef>
          </c:tx>
          <c:spPr>
            <a:solidFill>
              <a:schemeClr val="tx2">
                <a:lumMod val="20000"/>
                <a:lumOff val="80000"/>
              </a:schemeClr>
            </a:solidFill>
            <a:ln>
              <a:noFill/>
            </a:ln>
            <a:effectLst/>
          </c:spPr>
          <c:invertIfNegative val="0"/>
          <c:cat>
            <c:numRef>
              <c:f>'Results ReCiPe (E) - RD'!$AC$49:$BA$49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RD'!$AC$57:$BA$57</c:f>
              <c:numCache>
                <c:formatCode>0.00E+00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7-AD86-44B5-B39F-A7BFED9AA339}"/>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(E) - RD'!$AB$58</c:f>
              <c:strCache>
                <c:ptCount val="1"/>
                <c:pt idx="0">
                  <c:v>TOTAL per year</c:v>
                </c:pt>
              </c:strCache>
            </c:strRef>
          </c:tx>
          <c:spPr>
            <a:ln w="25400" cap="rnd">
              <a:noFill/>
              <a:round/>
            </a:ln>
            <a:effectLst/>
          </c:spPr>
          <c:marker>
            <c:symbol val="circle"/>
            <c:size val="5"/>
            <c:spPr>
              <a:solidFill>
                <a:schemeClr val="tx1"/>
              </a:solidFill>
              <a:ln w="9525">
                <a:solidFill>
                  <a:schemeClr val="tx1"/>
                </a:solidFill>
              </a:ln>
              <a:effectLst/>
            </c:spPr>
          </c:marker>
          <c:cat>
            <c:numRef>
              <c:f>'Results ReCiPe (E) - RD'!$AC$49:$BA$49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RD'!$AC$58:$BA$58</c:f>
              <c:numCache>
                <c:formatCode>0.00E+00</c:formatCode>
                <c:ptCount val="25"/>
                <c:pt idx="0">
                  <c:v>5926.797616828253</c:v>
                </c:pt>
                <c:pt idx="1">
                  <c:v>2596.16297117147</c:v>
                </c:pt>
                <c:pt idx="2">
                  <c:v>2545.2797539011194</c:v>
                </c:pt>
                <c:pt idx="3">
                  <c:v>2606.5778244273033</c:v>
                </c:pt>
                <c:pt idx="4">
                  <c:v>2439.0457884949565</c:v>
                </c:pt>
                <c:pt idx="5">
                  <c:v>2388.1694235851992</c:v>
                </c:pt>
                <c:pt idx="6">
                  <c:v>2488.287515099089</c:v>
                </c:pt>
                <c:pt idx="7">
                  <c:v>2355.9271184583358</c:v>
                </c:pt>
                <c:pt idx="8">
                  <c:v>2335.6656509358804</c:v>
                </c:pt>
                <c:pt idx="9">
                  <c:v>2434.9733847667094</c:v>
                </c:pt>
                <c:pt idx="10">
                  <c:v>2302.2935350897151</c:v>
                </c:pt>
                <c:pt idx="11">
                  <c:v>2284.0680554447949</c:v>
                </c:pt>
                <c:pt idx="12">
                  <c:v>2380.9461613435815</c:v>
                </c:pt>
                <c:pt idx="13">
                  <c:v>2245.8646977351414</c:v>
                </c:pt>
                <c:pt idx="14">
                  <c:v>2226.8221855004999</c:v>
                </c:pt>
                <c:pt idx="15">
                  <c:v>2321.8875521455298</c:v>
                </c:pt>
                <c:pt idx="16">
                  <c:v>2222.2982803274854</c:v>
                </c:pt>
                <c:pt idx="17">
                  <c:v>2236.819683475539</c:v>
                </c:pt>
                <c:pt idx="18">
                  <c:v>2363.7368810307653</c:v>
                </c:pt>
                <c:pt idx="19">
                  <c:v>2264.1608239278407</c:v>
                </c:pt>
                <c:pt idx="20">
                  <c:v>2277.8961021962618</c:v>
                </c:pt>
                <c:pt idx="21">
                  <c:v>2370.7321060728359</c:v>
                </c:pt>
                <c:pt idx="22">
                  <c:v>2237.4949244013719</c:v>
                </c:pt>
                <c:pt idx="23">
                  <c:v>2217.2120613464181</c:v>
                </c:pt>
                <c:pt idx="24">
                  <c:v>2352.7575091741041</c:v>
                </c:pt>
              </c:numCache>
            </c:numRef>
          </c:val>
          <c:smooth val="0"/>
          <c:extLst>
            <c:ext xmlns:c16="http://schemas.microsoft.com/office/drawing/2014/chart" uri="{C3380CC4-5D6E-409C-BE32-E72D297353CC}">
              <c16:uniqueId val="{00000008-AD86-44B5-B39F-A7BFED9AA339}"/>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Resource damage</a:t>
                </a:r>
              </a:p>
              <a:p>
                <a:pPr algn="ctr" rtl="0">
                  <a:defRPr/>
                </a:pPr>
                <a:r>
                  <a:rPr lang="nl-NL"/>
                  <a:t>[USD2013/ton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(E) - RD'!$AB$90</c:f>
              <c:strCache>
                <c:ptCount val="1"/>
                <c:pt idx="0">
                  <c:v>Construction - DAC</c:v>
                </c:pt>
              </c:strCache>
            </c:strRef>
          </c:tx>
          <c:spPr>
            <a:solidFill>
              <a:schemeClr val="accent4">
                <a:lumMod val="75000"/>
              </a:schemeClr>
            </a:solidFill>
            <a:ln>
              <a:noFill/>
            </a:ln>
            <a:effectLst/>
          </c:spPr>
          <c:invertIfNegative val="0"/>
          <c:cat>
            <c:numRef>
              <c:f>'Results ReCiPe (E) - RD'!$AC$89:$BA$89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RD'!$AC$90:$BA$90</c:f>
              <c:numCache>
                <c:formatCode>0.00E+00</c:formatCode>
                <c:ptCount val="25"/>
                <c:pt idx="0">
                  <c:v>2702.2385266828496</c:v>
                </c:pt>
              </c:numCache>
            </c:numRef>
          </c:val>
          <c:extLst>
            <c:ext xmlns:c16="http://schemas.microsoft.com/office/drawing/2014/chart" uri="{C3380CC4-5D6E-409C-BE32-E72D297353CC}">
              <c16:uniqueId val="{00000000-A7BF-4A63-B8E1-CAC24ABF0230}"/>
            </c:ext>
          </c:extLst>
        </c:ser>
        <c:ser>
          <c:idx val="1"/>
          <c:order val="1"/>
          <c:tx>
            <c:strRef>
              <c:f>'Results ReCiPe (E) - RD'!$AB$91</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(E) - RD'!$AC$89:$BA$89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RD'!$AC$91:$BA$91</c:f>
              <c:numCache>
                <c:formatCode>0.00E+00</c:formatCode>
                <c:ptCount val="25"/>
                <c:pt idx="0">
                  <c:v>259.70352548768199</c:v>
                </c:pt>
              </c:numCache>
            </c:numRef>
          </c:val>
          <c:extLst>
            <c:ext xmlns:c16="http://schemas.microsoft.com/office/drawing/2014/chart" uri="{C3380CC4-5D6E-409C-BE32-E72D297353CC}">
              <c16:uniqueId val="{00000001-A7BF-4A63-B8E1-CAC24ABF0230}"/>
            </c:ext>
          </c:extLst>
        </c:ser>
        <c:ser>
          <c:idx val="2"/>
          <c:order val="2"/>
          <c:tx>
            <c:strRef>
              <c:f>'Results ReCiPe (E) - RD'!$AB$92</c:f>
              <c:strCache>
                <c:ptCount val="1"/>
                <c:pt idx="0">
                  <c:v>Deconstruction - DAC</c:v>
                </c:pt>
              </c:strCache>
            </c:strRef>
          </c:tx>
          <c:spPr>
            <a:solidFill>
              <a:schemeClr val="accent2">
                <a:lumMod val="40000"/>
                <a:lumOff val="60000"/>
              </a:schemeClr>
            </a:solidFill>
            <a:ln>
              <a:noFill/>
            </a:ln>
            <a:effectLst/>
          </c:spPr>
          <c:invertIfNegative val="0"/>
          <c:cat>
            <c:numRef>
              <c:f>'Results ReCiPe (E) - RD'!$AC$89:$BA$89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RD'!$AC$92:$BA$92</c:f>
              <c:numCache>
                <c:formatCode>0.00E+00</c:formatCode>
                <c:ptCount val="25"/>
                <c:pt idx="24">
                  <c:v>38.803973700478906</c:v>
                </c:pt>
              </c:numCache>
            </c:numRef>
          </c:val>
          <c:extLst>
            <c:ext xmlns:c16="http://schemas.microsoft.com/office/drawing/2014/chart" uri="{C3380CC4-5D6E-409C-BE32-E72D297353CC}">
              <c16:uniqueId val="{00000002-A7BF-4A63-B8E1-CAC24ABF0230}"/>
            </c:ext>
          </c:extLst>
        </c:ser>
        <c:ser>
          <c:idx val="3"/>
          <c:order val="3"/>
          <c:tx>
            <c:strRef>
              <c:f>'Results ReCiPe (E) - RD'!$AB$93</c:f>
              <c:strCache>
                <c:ptCount val="1"/>
                <c:pt idx="0">
                  <c:v>Deconstruction - geological storage</c:v>
                </c:pt>
              </c:strCache>
            </c:strRef>
          </c:tx>
          <c:spPr>
            <a:solidFill>
              <a:srgbClr val="FF9900"/>
            </a:solidFill>
            <a:ln>
              <a:noFill/>
            </a:ln>
            <a:effectLst/>
          </c:spPr>
          <c:invertIfNegative val="0"/>
          <c:cat>
            <c:numRef>
              <c:f>'Results ReCiPe (E) - RD'!$AC$89:$BA$89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RD'!$AC$93:$BA$93</c:f>
              <c:numCache>
                <c:formatCode>0.00E+00</c:formatCode>
                <c:ptCount val="25"/>
                <c:pt idx="24">
                  <c:v>1.2292258629747401</c:v>
                </c:pt>
              </c:numCache>
            </c:numRef>
          </c:val>
          <c:extLst>
            <c:ext xmlns:c16="http://schemas.microsoft.com/office/drawing/2014/chart" uri="{C3380CC4-5D6E-409C-BE32-E72D297353CC}">
              <c16:uniqueId val="{00000003-A7BF-4A63-B8E1-CAC24ABF0230}"/>
            </c:ext>
          </c:extLst>
        </c:ser>
        <c:ser>
          <c:idx val="4"/>
          <c:order val="4"/>
          <c:tx>
            <c:strRef>
              <c:f>'Results ReCiPe (E) - RD'!$AB$94</c:f>
              <c:strCache>
                <c:ptCount val="1"/>
                <c:pt idx="0">
                  <c:v>Sorbent material</c:v>
                </c:pt>
              </c:strCache>
            </c:strRef>
          </c:tx>
          <c:spPr>
            <a:solidFill>
              <a:srgbClr val="FF8F8F"/>
            </a:solidFill>
            <a:ln>
              <a:noFill/>
            </a:ln>
            <a:effectLst/>
          </c:spPr>
          <c:invertIfNegative val="0"/>
          <c:cat>
            <c:numRef>
              <c:f>'Results ReCiPe (E) - RD'!$AC$89:$BA$89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RD'!$AC$94:$BA$94</c:f>
              <c:numCache>
                <c:formatCode>0.00E+00</c:formatCode>
                <c:ptCount val="25"/>
                <c:pt idx="0">
                  <c:v>114.3683807366764</c:v>
                </c:pt>
                <c:pt idx="3">
                  <c:v>112.5935013842018</c:v>
                </c:pt>
                <c:pt idx="6">
                  <c:v>112.32417693968689</c:v>
                </c:pt>
                <c:pt idx="9">
                  <c:v>113.32500088396689</c:v>
                </c:pt>
                <c:pt idx="12">
                  <c:v>113.72581624339961</c:v>
                </c:pt>
                <c:pt idx="15">
                  <c:v>113.5067955292801</c:v>
                </c:pt>
                <c:pt idx="18">
                  <c:v>112.3594591286536</c:v>
                </c:pt>
                <c:pt idx="21">
                  <c:v>111.6217687079732</c:v>
                </c:pt>
                <c:pt idx="24">
                  <c:v>111.42686667692951</c:v>
                </c:pt>
              </c:numCache>
            </c:numRef>
          </c:val>
          <c:extLst>
            <c:ext xmlns:c16="http://schemas.microsoft.com/office/drawing/2014/chart" uri="{C3380CC4-5D6E-409C-BE32-E72D297353CC}">
              <c16:uniqueId val="{00000004-A7BF-4A63-B8E1-CAC24ABF0230}"/>
            </c:ext>
          </c:extLst>
        </c:ser>
        <c:ser>
          <c:idx val="5"/>
          <c:order val="5"/>
          <c:tx>
            <c:strRef>
              <c:f>'Results ReCiPe (E) - RD'!$AB$95</c:f>
              <c:strCache>
                <c:ptCount val="1"/>
                <c:pt idx="0">
                  <c:v>Operation - DAC</c:v>
                </c:pt>
              </c:strCache>
            </c:strRef>
          </c:tx>
          <c:spPr>
            <a:solidFill>
              <a:schemeClr val="accent2">
                <a:lumMod val="75000"/>
              </a:schemeClr>
            </a:solidFill>
            <a:ln>
              <a:noFill/>
            </a:ln>
            <a:effectLst/>
          </c:spPr>
          <c:invertIfNegative val="0"/>
          <c:cat>
            <c:numRef>
              <c:f>'Results ReCiPe (E) - RD'!$AC$89:$BA$89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RD'!$AC$95:$BA$95</c:f>
              <c:numCache>
                <c:formatCode>0.00E+00</c:formatCode>
                <c:ptCount val="25"/>
                <c:pt idx="0">
                  <c:v>1510.7493365932501</c:v>
                </c:pt>
                <c:pt idx="1">
                  <c:v>1385.9991447781149</c:v>
                </c:pt>
                <c:pt idx="2">
                  <c:v>1260.2773376581019</c:v>
                </c:pt>
                <c:pt idx="3">
                  <c:v>1128.34625773889</c:v>
                </c:pt>
                <c:pt idx="4">
                  <c:v>1000.440188322833</c:v>
                </c:pt>
                <c:pt idx="5">
                  <c:v>871.55848134317296</c:v>
                </c:pt>
                <c:pt idx="6">
                  <c:v>1015.470817850551</c:v>
                </c:pt>
                <c:pt idx="7">
                  <c:v>1159.0219882185629</c:v>
                </c:pt>
                <c:pt idx="8">
                  <c:v>1296.8374260700809</c:v>
                </c:pt>
                <c:pt idx="9">
                  <c:v>1439.47258851779</c:v>
                </c:pt>
                <c:pt idx="10">
                  <c:v>1581.773844079341</c:v>
                </c:pt>
                <c:pt idx="11">
                  <c:v>1760.0580930279939</c:v>
                </c:pt>
                <c:pt idx="12">
                  <c:v>1937.7659222301961</c:v>
                </c:pt>
                <c:pt idx="13">
                  <c:v>2113.707474991043</c:v>
                </c:pt>
                <c:pt idx="14">
                  <c:v>2290.295719418571</c:v>
                </c:pt>
                <c:pt idx="15">
                  <c:v>2466.3054098087928</c:v>
                </c:pt>
                <c:pt idx="16">
                  <c:v>2402.6598382644488</c:v>
                </c:pt>
                <c:pt idx="17">
                  <c:v>2339.3419634308411</c:v>
                </c:pt>
                <c:pt idx="18">
                  <c:v>2275.2745233690821</c:v>
                </c:pt>
                <c:pt idx="19">
                  <c:v>2212.6306551164821</c:v>
                </c:pt>
                <c:pt idx="20">
                  <c:v>2150.294905185307</c:v>
                </c:pt>
                <c:pt idx="21">
                  <c:v>2150.606479327841</c:v>
                </c:pt>
                <c:pt idx="22">
                  <c:v>2150.9899152228418</c:v>
                </c:pt>
                <c:pt idx="23">
                  <c:v>2151.356553279456</c:v>
                </c:pt>
                <c:pt idx="24">
                  <c:v>2151.7045534483518</c:v>
                </c:pt>
              </c:numCache>
            </c:numRef>
          </c:val>
          <c:extLst>
            <c:ext xmlns:c16="http://schemas.microsoft.com/office/drawing/2014/chart" uri="{C3380CC4-5D6E-409C-BE32-E72D297353CC}">
              <c16:uniqueId val="{00000005-A7BF-4A63-B8E1-CAC24ABF0230}"/>
            </c:ext>
          </c:extLst>
        </c:ser>
        <c:ser>
          <c:idx val="6"/>
          <c:order val="6"/>
          <c:tx>
            <c:strRef>
              <c:f>'Results ReCiPe (E) - RD'!$AB$96</c:f>
              <c:strCache>
                <c:ptCount val="1"/>
                <c:pt idx="0">
                  <c:v>Operation - geological storage</c:v>
                </c:pt>
              </c:strCache>
            </c:strRef>
          </c:tx>
          <c:spPr>
            <a:solidFill>
              <a:schemeClr val="accent2">
                <a:lumMod val="50000"/>
              </a:schemeClr>
            </a:solidFill>
            <a:ln>
              <a:noFill/>
            </a:ln>
            <a:effectLst/>
          </c:spPr>
          <c:invertIfNegative val="0"/>
          <c:cat>
            <c:numRef>
              <c:f>'Results ReCiPe (E) - RD'!$AC$89:$BA$89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RD'!$AC$96:$BA$96</c:f>
              <c:numCache>
                <c:formatCode>0.00E+00</c:formatCode>
                <c:ptCount val="25"/>
                <c:pt idx="0">
                  <c:v>123.02041989163439</c:v>
                </c:pt>
                <c:pt idx="1">
                  <c:v>113.168355221741</c:v>
                </c:pt>
                <c:pt idx="2">
                  <c:v>103.3105466624649</c:v>
                </c:pt>
                <c:pt idx="3">
                  <c:v>92.995621550295454</c:v>
                </c:pt>
                <c:pt idx="4">
                  <c:v>83.111714201283888</c:v>
                </c:pt>
                <c:pt idx="5">
                  <c:v>73.223729729510069</c:v>
                </c:pt>
                <c:pt idx="6">
                  <c:v>83.884832308648711</c:v>
                </c:pt>
                <c:pt idx="7">
                  <c:v>94.471920332828333</c:v>
                </c:pt>
                <c:pt idx="8">
                  <c:v>104.54458438611429</c:v>
                </c:pt>
                <c:pt idx="9">
                  <c:v>114.97113745009231</c:v>
                </c:pt>
                <c:pt idx="10">
                  <c:v>125.3262553775311</c:v>
                </c:pt>
                <c:pt idx="11">
                  <c:v>138.53033504075449</c:v>
                </c:pt>
                <c:pt idx="12">
                  <c:v>151.7142805666696</c:v>
                </c:pt>
                <c:pt idx="13">
                  <c:v>164.7782457633767</c:v>
                </c:pt>
                <c:pt idx="14">
                  <c:v>177.9241906952733</c:v>
                </c:pt>
                <c:pt idx="15">
                  <c:v>191.0494282034141</c:v>
                </c:pt>
                <c:pt idx="16">
                  <c:v>187.01387471032581</c:v>
                </c:pt>
                <c:pt idx="17">
                  <c:v>182.9611295071519</c:v>
                </c:pt>
                <c:pt idx="18">
                  <c:v>178.79993755321081</c:v>
                </c:pt>
                <c:pt idx="19">
                  <c:v>174.7147434167785</c:v>
                </c:pt>
                <c:pt idx="20">
                  <c:v>170.61144881673999</c:v>
                </c:pt>
                <c:pt idx="21">
                  <c:v>170.41214540435371</c:v>
                </c:pt>
                <c:pt idx="22">
                  <c:v>170.2215706332619</c:v>
                </c:pt>
                <c:pt idx="23">
                  <c:v>170.02960896366901</c:v>
                </c:pt>
                <c:pt idx="24">
                  <c:v>169.83604940899738</c:v>
                </c:pt>
              </c:numCache>
            </c:numRef>
          </c:val>
          <c:extLst>
            <c:ext xmlns:c16="http://schemas.microsoft.com/office/drawing/2014/chart" uri="{C3380CC4-5D6E-409C-BE32-E72D297353CC}">
              <c16:uniqueId val="{00000006-A7BF-4A63-B8E1-CAC24ABF0230}"/>
            </c:ext>
          </c:extLst>
        </c:ser>
        <c:ser>
          <c:idx val="7"/>
          <c:order val="7"/>
          <c:tx>
            <c:strRef>
              <c:f>'Results ReCiPe (E) - RD'!$AB$97</c:f>
              <c:strCache>
                <c:ptCount val="1"/>
                <c:pt idx="0">
                  <c:v>CO2 captured and stored</c:v>
                </c:pt>
              </c:strCache>
            </c:strRef>
          </c:tx>
          <c:spPr>
            <a:solidFill>
              <a:schemeClr val="tx2">
                <a:lumMod val="20000"/>
                <a:lumOff val="80000"/>
              </a:schemeClr>
            </a:solidFill>
            <a:ln>
              <a:noFill/>
            </a:ln>
            <a:effectLst/>
          </c:spPr>
          <c:invertIfNegative val="0"/>
          <c:cat>
            <c:numRef>
              <c:f>'Results ReCiPe (E) - RD'!$AC$89:$BA$89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RD'!$AC$97:$BA$97</c:f>
              <c:numCache>
                <c:formatCode>0.00E+00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7-A7BF-4A63-B8E1-CAC24ABF0230}"/>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(E) - RD'!$AB$98</c:f>
              <c:strCache>
                <c:ptCount val="1"/>
                <c:pt idx="0">
                  <c:v>TOTAL per year</c:v>
                </c:pt>
              </c:strCache>
            </c:strRef>
          </c:tx>
          <c:spPr>
            <a:ln w="25400" cap="rnd">
              <a:noFill/>
              <a:round/>
            </a:ln>
            <a:effectLst/>
          </c:spPr>
          <c:marker>
            <c:symbol val="circle"/>
            <c:size val="5"/>
            <c:spPr>
              <a:solidFill>
                <a:schemeClr val="tx1"/>
              </a:solidFill>
              <a:ln w="9525">
                <a:solidFill>
                  <a:schemeClr val="tx1"/>
                </a:solidFill>
              </a:ln>
              <a:effectLst/>
            </c:spPr>
          </c:marker>
          <c:cat>
            <c:numRef>
              <c:f>'Results ReCiPe (E) - RD'!$AC$89:$BA$89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RD'!$AC$98:$BA$98</c:f>
              <c:numCache>
                <c:formatCode>0.00E+00</c:formatCode>
                <c:ptCount val="25"/>
                <c:pt idx="0">
                  <c:v>4710.0801893920925</c:v>
                </c:pt>
                <c:pt idx="1">
                  <c:v>1499.1674999998559</c:v>
                </c:pt>
                <c:pt idx="2">
                  <c:v>1363.5878843205669</c:v>
                </c:pt>
                <c:pt idx="3">
                  <c:v>1333.9353806733873</c:v>
                </c:pt>
                <c:pt idx="4">
                  <c:v>1083.5519025241169</c:v>
                </c:pt>
                <c:pt idx="5">
                  <c:v>944.78221107268303</c:v>
                </c:pt>
                <c:pt idx="6">
                  <c:v>1211.6798270988868</c:v>
                </c:pt>
                <c:pt idx="7">
                  <c:v>1253.4939085513913</c:v>
                </c:pt>
                <c:pt idx="8">
                  <c:v>1401.3820104561953</c:v>
                </c:pt>
                <c:pt idx="9">
                  <c:v>1667.7687268518491</c:v>
                </c:pt>
                <c:pt idx="10">
                  <c:v>1707.1000994568722</c:v>
                </c:pt>
                <c:pt idx="11">
                  <c:v>1898.5884280687483</c:v>
                </c:pt>
                <c:pt idx="12">
                  <c:v>2203.2060190402653</c:v>
                </c:pt>
                <c:pt idx="13">
                  <c:v>2278.4857207544196</c:v>
                </c:pt>
                <c:pt idx="14">
                  <c:v>2468.2199101138444</c:v>
                </c:pt>
                <c:pt idx="15">
                  <c:v>2770.8616335414872</c:v>
                </c:pt>
                <c:pt idx="16">
                  <c:v>2589.6737129747744</c:v>
                </c:pt>
                <c:pt idx="17">
                  <c:v>2522.3030929379929</c:v>
                </c:pt>
                <c:pt idx="18">
                  <c:v>2566.4339200509467</c:v>
                </c:pt>
                <c:pt idx="19">
                  <c:v>2387.3453985332608</c:v>
                </c:pt>
                <c:pt idx="20">
                  <c:v>2320.906354002047</c:v>
                </c:pt>
                <c:pt idx="21">
                  <c:v>2432.6403934401683</c:v>
                </c:pt>
                <c:pt idx="22">
                  <c:v>2321.2114858561035</c:v>
                </c:pt>
                <c:pt idx="23">
                  <c:v>2321.386162243125</c:v>
                </c:pt>
                <c:pt idx="24">
                  <c:v>2473.0006690977325</c:v>
                </c:pt>
              </c:numCache>
            </c:numRef>
          </c:val>
          <c:smooth val="0"/>
          <c:extLst>
            <c:ext xmlns:c16="http://schemas.microsoft.com/office/drawing/2014/chart" uri="{C3380CC4-5D6E-409C-BE32-E72D297353CC}">
              <c16:uniqueId val="{00000008-A7BF-4A63-B8E1-CAC24ABF0230}"/>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Resource damage</a:t>
                </a:r>
              </a:p>
              <a:p>
                <a:pPr algn="ctr" rtl="0">
                  <a:defRPr/>
                </a:pPr>
                <a:r>
                  <a:rPr lang="nl-NL"/>
                  <a:t>[USD2013/ton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baseline="0">
                <a:solidFill>
                  <a:schemeClr val="tx1"/>
                </a:solidFill>
                <a:latin typeface="Verdana Pro" panose="020B0604030504040204" pitchFamily="34" charset="0"/>
                <a:ea typeface="+mn-ea"/>
                <a:cs typeface="Times New Roman" panose="02020603050405020304" pitchFamily="18" charset="0"/>
              </a:defRPr>
            </a:pPr>
            <a:r>
              <a:rPr lang="en-GB" b="0" i="1"/>
              <a:t>Benefits 		Burdens</a:t>
            </a:r>
          </a:p>
        </c:rich>
      </c:tx>
      <c:layout>
        <c:manualLayout>
          <c:xMode val="edge"/>
          <c:yMode val="edge"/>
          <c:x val="0.41617777436685638"/>
          <c:y val="4.1461155214611465E-3"/>
        </c:manualLayout>
      </c:layout>
      <c:overlay val="0"/>
      <c:spPr>
        <a:noFill/>
        <a:ln>
          <a:noFill/>
        </a:ln>
        <a:effectLst/>
      </c:spPr>
      <c:txPr>
        <a:bodyPr rot="0" spcFirstLastPara="1" vertOverflow="ellipsis" vert="horz" wrap="square" anchor="ctr" anchorCtr="1"/>
        <a:lstStyle/>
        <a:p>
          <a:pPr>
            <a:defRPr sz="1440" b="1"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title>
    <c:autoTitleDeleted val="0"/>
    <c:plotArea>
      <c:layout>
        <c:manualLayout>
          <c:layoutTarget val="inner"/>
          <c:xMode val="edge"/>
          <c:yMode val="edge"/>
          <c:x val="0.1062528150229942"/>
          <c:y val="0.11409636871261428"/>
          <c:w val="0.87030657315031501"/>
          <c:h val="0.58068260610820854"/>
        </c:manualLayout>
      </c:layout>
      <c:barChart>
        <c:barDir val="bar"/>
        <c:grouping val="stacked"/>
        <c:varyColors val="0"/>
        <c:ser>
          <c:idx val="0"/>
          <c:order val="0"/>
          <c:tx>
            <c:strRef>
              <c:f>'Figure Results ReCiPe (I)'!$C$5</c:f>
              <c:strCache>
                <c:ptCount val="1"/>
                <c:pt idx="0">
                  <c:v>Construction - DAC</c:v>
                </c:pt>
              </c:strCache>
            </c:strRef>
          </c:tx>
          <c:spPr>
            <a:solidFill>
              <a:schemeClr val="accent4">
                <a:lumMod val="75000"/>
              </a:schemeClr>
            </a:solidFill>
            <a:ln>
              <a:noFill/>
            </a:ln>
            <a:effectLst/>
          </c:spPr>
          <c:invertIfNegative val="0"/>
          <c:cat>
            <c:multiLvlStrRef>
              <c:f>'Figure Results ReCiPe (I)'!$A$34:$B$42</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(I)'!$C$34:$C$42</c:f>
              <c:numCache>
                <c:formatCode>0</c:formatCode>
                <c:ptCount val="9"/>
                <c:pt idx="0">
                  <c:v>7.1191274683244021</c:v>
                </c:pt>
                <c:pt idx="1">
                  <c:v>6.7981413280216296</c:v>
                </c:pt>
                <c:pt idx="2">
                  <c:v>6.1425146440572762</c:v>
                </c:pt>
                <c:pt idx="3">
                  <c:v>7.1191274683244021</c:v>
                </c:pt>
                <c:pt idx="4">
                  <c:v>6.7981413280216296</c:v>
                </c:pt>
                <c:pt idx="5">
                  <c:v>6.1425146440572762</c:v>
                </c:pt>
                <c:pt idx="6">
                  <c:v>13.453905091956926</c:v>
                </c:pt>
                <c:pt idx="7">
                  <c:v>12.818215757321449</c:v>
                </c:pt>
                <c:pt idx="8">
                  <c:v>11.522065211437216</c:v>
                </c:pt>
              </c:numCache>
            </c:numRef>
          </c:val>
          <c:extLst>
            <c:ext xmlns:c16="http://schemas.microsoft.com/office/drawing/2014/chart" uri="{C3380CC4-5D6E-409C-BE32-E72D297353CC}">
              <c16:uniqueId val="{00000000-DD77-413D-8F84-D83A6BB2328A}"/>
            </c:ext>
          </c:extLst>
        </c:ser>
        <c:ser>
          <c:idx val="1"/>
          <c:order val="1"/>
          <c:tx>
            <c:strRef>
              <c:f>'Figure Results ReCiPe (I)'!$D$5</c:f>
              <c:strCache>
                <c:ptCount val="1"/>
                <c:pt idx="0">
                  <c:v>Construction - geological storage</c:v>
                </c:pt>
              </c:strCache>
            </c:strRef>
          </c:tx>
          <c:spPr>
            <a:solidFill>
              <a:schemeClr val="accent4">
                <a:lumMod val="60000"/>
                <a:lumOff val="40000"/>
              </a:schemeClr>
            </a:solidFill>
            <a:ln>
              <a:noFill/>
            </a:ln>
            <a:effectLst/>
          </c:spPr>
          <c:invertIfNegative val="0"/>
          <c:cat>
            <c:multiLvlStrRef>
              <c:f>'Figure Results ReCiPe (I)'!$A$34:$B$42</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(I)'!$D$34:$D$42</c:f>
              <c:numCache>
                <c:formatCode>0</c:formatCode>
                <c:ptCount val="9"/>
                <c:pt idx="0">
                  <c:v>0.42282716610996196</c:v>
                </c:pt>
                <c:pt idx="1">
                  <c:v>0.39908445143758253</c:v>
                </c:pt>
                <c:pt idx="2">
                  <c:v>0.3748519928927736</c:v>
                </c:pt>
                <c:pt idx="3">
                  <c:v>0.42282716610996196</c:v>
                </c:pt>
                <c:pt idx="4">
                  <c:v>0.39908445143758253</c:v>
                </c:pt>
                <c:pt idx="5">
                  <c:v>0.3748519928927736</c:v>
                </c:pt>
                <c:pt idx="6">
                  <c:v>0.42282716610996196</c:v>
                </c:pt>
                <c:pt idx="7">
                  <c:v>0.39908445143758253</c:v>
                </c:pt>
                <c:pt idx="8">
                  <c:v>0.3748519928927736</c:v>
                </c:pt>
              </c:numCache>
            </c:numRef>
          </c:val>
          <c:extLst>
            <c:ext xmlns:c16="http://schemas.microsoft.com/office/drawing/2014/chart" uri="{C3380CC4-5D6E-409C-BE32-E72D297353CC}">
              <c16:uniqueId val="{00000001-DD77-413D-8F84-D83A6BB2328A}"/>
            </c:ext>
          </c:extLst>
        </c:ser>
        <c:ser>
          <c:idx val="3"/>
          <c:order val="2"/>
          <c:tx>
            <c:strRef>
              <c:f>'Figure Results ReCiPe (I)'!$E$5</c:f>
              <c:strCache>
                <c:ptCount val="1"/>
                <c:pt idx="0">
                  <c:v>Deconstruction - DAC</c:v>
                </c:pt>
              </c:strCache>
            </c:strRef>
          </c:tx>
          <c:spPr>
            <a:solidFill>
              <a:schemeClr val="accent2">
                <a:lumMod val="40000"/>
                <a:lumOff val="60000"/>
              </a:schemeClr>
            </a:solidFill>
            <a:ln>
              <a:noFill/>
            </a:ln>
            <a:effectLst/>
          </c:spPr>
          <c:invertIfNegative val="0"/>
          <c:cat>
            <c:multiLvlStrRef>
              <c:f>'Figure Results ReCiPe (I)'!$A$34:$B$42</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(I)'!$E$34:$E$42</c:f>
              <c:numCache>
                <c:formatCode>0</c:formatCode>
                <c:ptCount val="9"/>
                <c:pt idx="0">
                  <c:v>6.0339697447134265E-2</c:v>
                </c:pt>
                <c:pt idx="1">
                  <c:v>5.529180640693792E-2</c:v>
                </c:pt>
                <c:pt idx="2">
                  <c:v>5.2844270496462203E-2</c:v>
                </c:pt>
                <c:pt idx="3">
                  <c:v>6.0339697447134265E-2</c:v>
                </c:pt>
                <c:pt idx="4">
                  <c:v>5.529180640693792E-2</c:v>
                </c:pt>
                <c:pt idx="5">
                  <c:v>5.2844270496462203E-2</c:v>
                </c:pt>
                <c:pt idx="6">
                  <c:v>0.12067939489426853</c:v>
                </c:pt>
                <c:pt idx="7">
                  <c:v>0.11058361281387584</c:v>
                </c:pt>
                <c:pt idx="8">
                  <c:v>0.10568854099292441</c:v>
                </c:pt>
              </c:numCache>
            </c:numRef>
          </c:val>
          <c:extLst>
            <c:ext xmlns:c16="http://schemas.microsoft.com/office/drawing/2014/chart" uri="{C3380CC4-5D6E-409C-BE32-E72D297353CC}">
              <c16:uniqueId val="{00000002-DD77-413D-8F84-D83A6BB2328A}"/>
            </c:ext>
          </c:extLst>
        </c:ser>
        <c:ser>
          <c:idx val="4"/>
          <c:order val="3"/>
          <c:tx>
            <c:strRef>
              <c:f>'Figure Results ReCiPe (I)'!$F$5</c:f>
              <c:strCache>
                <c:ptCount val="1"/>
                <c:pt idx="0">
                  <c:v>Deconstruction - geological storage</c:v>
                </c:pt>
              </c:strCache>
            </c:strRef>
          </c:tx>
          <c:spPr>
            <a:solidFill>
              <a:srgbClr val="FF9900"/>
            </a:solidFill>
            <a:ln>
              <a:noFill/>
            </a:ln>
            <a:effectLst/>
          </c:spPr>
          <c:invertIfNegative val="0"/>
          <c:cat>
            <c:multiLvlStrRef>
              <c:f>'Figure Results ReCiPe (I)'!$A$34:$B$42</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(I)'!$F$34:$F$42</c:f>
              <c:numCache>
                <c:formatCode>0</c:formatCode>
                <c:ptCount val="9"/>
                <c:pt idx="0">
                  <c:v>2.0675384522667239E-3</c:v>
                </c:pt>
                <c:pt idx="1">
                  <c:v>1.9884022504237544E-3</c:v>
                </c:pt>
                <c:pt idx="2">
                  <c:v>1.9465068158079437E-3</c:v>
                </c:pt>
                <c:pt idx="3">
                  <c:v>2.0675384522667239E-3</c:v>
                </c:pt>
                <c:pt idx="4">
                  <c:v>1.9884022504237544E-3</c:v>
                </c:pt>
                <c:pt idx="5">
                  <c:v>1.9465068158079437E-3</c:v>
                </c:pt>
                <c:pt idx="6">
                  <c:v>2.0675384522667239E-3</c:v>
                </c:pt>
                <c:pt idx="7">
                  <c:v>1.9884022504237544E-3</c:v>
                </c:pt>
                <c:pt idx="8">
                  <c:v>1.9465068158079437E-3</c:v>
                </c:pt>
              </c:numCache>
            </c:numRef>
          </c:val>
          <c:extLst>
            <c:ext xmlns:c16="http://schemas.microsoft.com/office/drawing/2014/chart" uri="{C3380CC4-5D6E-409C-BE32-E72D297353CC}">
              <c16:uniqueId val="{00000003-DD77-413D-8F84-D83A6BB2328A}"/>
            </c:ext>
          </c:extLst>
        </c:ser>
        <c:ser>
          <c:idx val="5"/>
          <c:order val="4"/>
          <c:tx>
            <c:strRef>
              <c:f>'Figure Results ReCiPe (I)'!$G$5</c:f>
              <c:strCache>
                <c:ptCount val="1"/>
                <c:pt idx="0">
                  <c:v>Sorbent material</c:v>
                </c:pt>
              </c:strCache>
            </c:strRef>
          </c:tx>
          <c:spPr>
            <a:solidFill>
              <a:srgbClr val="FF8F8F"/>
            </a:solidFill>
            <a:ln>
              <a:noFill/>
            </a:ln>
            <a:effectLst/>
          </c:spPr>
          <c:invertIfNegative val="0"/>
          <c:cat>
            <c:multiLvlStrRef>
              <c:f>'Figure Results ReCiPe (I)'!$A$34:$B$42</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(I)'!$G$34:$G$42</c:f>
              <c:numCache>
                <c:formatCode>0</c:formatCode>
                <c:ptCount val="9"/>
                <c:pt idx="0">
                  <c:v>1.0858026612057008</c:v>
                </c:pt>
                <c:pt idx="1">
                  <c:v>0.96354760218112512</c:v>
                </c:pt>
                <c:pt idx="2">
                  <c:v>0.86365706419980692</c:v>
                </c:pt>
                <c:pt idx="3">
                  <c:v>1.0858026612057008</c:v>
                </c:pt>
                <c:pt idx="4">
                  <c:v>0.96354760218112512</c:v>
                </c:pt>
                <c:pt idx="5">
                  <c:v>0.86365706419980692</c:v>
                </c:pt>
                <c:pt idx="6">
                  <c:v>2.1716053224114016</c:v>
                </c:pt>
                <c:pt idx="7">
                  <c:v>1.9270952043622502</c:v>
                </c:pt>
                <c:pt idx="8">
                  <c:v>1.7273141283996138</c:v>
                </c:pt>
              </c:numCache>
            </c:numRef>
          </c:val>
          <c:extLst>
            <c:ext xmlns:c16="http://schemas.microsoft.com/office/drawing/2014/chart" uri="{C3380CC4-5D6E-409C-BE32-E72D297353CC}">
              <c16:uniqueId val="{00000004-DD77-413D-8F84-D83A6BB2328A}"/>
            </c:ext>
          </c:extLst>
        </c:ser>
        <c:ser>
          <c:idx val="6"/>
          <c:order val="5"/>
          <c:tx>
            <c:strRef>
              <c:f>'Figure Results ReCiPe (I)'!$I$5</c:f>
              <c:strCache>
                <c:ptCount val="1"/>
                <c:pt idx="0">
                  <c:v>Operation - DAC</c:v>
                </c:pt>
              </c:strCache>
            </c:strRef>
          </c:tx>
          <c:spPr>
            <a:solidFill>
              <a:schemeClr val="accent2">
                <a:lumMod val="75000"/>
              </a:schemeClr>
            </a:solidFill>
            <a:ln>
              <a:noFill/>
            </a:ln>
            <a:effectLst/>
          </c:spPr>
          <c:invertIfNegative val="0"/>
          <c:cat>
            <c:multiLvlStrRef>
              <c:f>'Figure Results ReCiPe (I)'!$A$34:$B$42</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(I)'!$I$34:$I$42</c:f>
              <c:numCache>
                <c:formatCode>0</c:formatCode>
                <c:ptCount val="9"/>
                <c:pt idx="0">
                  <c:v>100.03528147641921</c:v>
                </c:pt>
                <c:pt idx="1">
                  <c:v>53.080008252036869</c:v>
                </c:pt>
                <c:pt idx="2">
                  <c:v>45.807806637409527</c:v>
                </c:pt>
                <c:pt idx="3">
                  <c:v>79.956696319389067</c:v>
                </c:pt>
                <c:pt idx="4">
                  <c:v>43.785044384578221</c:v>
                </c:pt>
                <c:pt idx="5">
                  <c:v>35.142457001867193</c:v>
                </c:pt>
                <c:pt idx="6">
                  <c:v>41.76338870069273</c:v>
                </c:pt>
                <c:pt idx="7">
                  <c:v>38.269296201749938</c:v>
                </c:pt>
                <c:pt idx="8">
                  <c:v>36.105740242390794</c:v>
                </c:pt>
              </c:numCache>
            </c:numRef>
          </c:val>
          <c:extLst>
            <c:ext xmlns:c16="http://schemas.microsoft.com/office/drawing/2014/chart" uri="{C3380CC4-5D6E-409C-BE32-E72D297353CC}">
              <c16:uniqueId val="{00000005-DD77-413D-8F84-D83A6BB2328A}"/>
            </c:ext>
          </c:extLst>
        </c:ser>
        <c:ser>
          <c:idx val="7"/>
          <c:order val="6"/>
          <c:tx>
            <c:strRef>
              <c:f>'Figure Results ReCiPe (I)'!$J$5</c:f>
              <c:strCache>
                <c:ptCount val="1"/>
                <c:pt idx="0">
                  <c:v>Operation - geological storage</c:v>
                </c:pt>
              </c:strCache>
            </c:strRef>
          </c:tx>
          <c:spPr>
            <a:solidFill>
              <a:schemeClr val="accent2">
                <a:lumMod val="50000"/>
              </a:schemeClr>
            </a:solidFill>
            <a:ln>
              <a:noFill/>
            </a:ln>
            <a:effectLst/>
          </c:spPr>
          <c:invertIfNegative val="0"/>
          <c:cat>
            <c:multiLvlStrRef>
              <c:f>'Figure Results ReCiPe (I)'!$A$34:$B$42</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(I)'!$J$34:$J$42</c:f>
              <c:numCache>
                <c:formatCode>0</c:formatCode>
                <c:ptCount val="9"/>
                <c:pt idx="0">
                  <c:v>8.2232134487580844</c:v>
                </c:pt>
                <c:pt idx="1">
                  <c:v>4.6517640237957156</c:v>
                </c:pt>
                <c:pt idx="2">
                  <c:v>3.7735793782251146</c:v>
                </c:pt>
                <c:pt idx="3">
                  <c:v>8.2232134487580844</c:v>
                </c:pt>
                <c:pt idx="4">
                  <c:v>4.6517640237957156</c:v>
                </c:pt>
                <c:pt idx="5">
                  <c:v>3.7735793782251146</c:v>
                </c:pt>
                <c:pt idx="6">
                  <c:v>8.2232134487580844</c:v>
                </c:pt>
                <c:pt idx="7">
                  <c:v>4.6517640237957156</c:v>
                </c:pt>
                <c:pt idx="8">
                  <c:v>3.7735793782251146</c:v>
                </c:pt>
              </c:numCache>
            </c:numRef>
          </c:val>
          <c:extLst>
            <c:ext xmlns:c16="http://schemas.microsoft.com/office/drawing/2014/chart" uri="{C3380CC4-5D6E-409C-BE32-E72D297353CC}">
              <c16:uniqueId val="{00000006-DD77-413D-8F84-D83A6BB2328A}"/>
            </c:ext>
          </c:extLst>
        </c:ser>
        <c:ser>
          <c:idx val="2"/>
          <c:order val="7"/>
          <c:tx>
            <c:strRef>
              <c:f>'Figure Results ReCiPe (I)'!$K$5</c:f>
              <c:strCache>
                <c:ptCount val="1"/>
                <c:pt idx="0">
                  <c:v>CO2 captured and stored</c:v>
                </c:pt>
              </c:strCache>
            </c:strRef>
          </c:tx>
          <c:spPr>
            <a:solidFill>
              <a:schemeClr val="tx2">
                <a:lumMod val="20000"/>
                <a:lumOff val="80000"/>
              </a:schemeClr>
            </a:solidFill>
            <a:ln w="19050">
              <a:noFill/>
            </a:ln>
            <a:effectLst/>
          </c:spPr>
          <c:invertIfNegative val="0"/>
          <c:cat>
            <c:multiLvlStrRef>
              <c:f>'Figure Results ReCiPe (I)'!$A$34:$B$42</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(I)'!$K$34:$K$42</c:f>
              <c:numCache>
                <c:formatCode>0</c:formatCode>
                <c:ptCount val="9"/>
                <c:pt idx="0">
                  <c:v>-81.19999999999996</c:v>
                </c:pt>
                <c:pt idx="1">
                  <c:v>-81.19999999999996</c:v>
                </c:pt>
                <c:pt idx="2">
                  <c:v>-81.19999999999996</c:v>
                </c:pt>
                <c:pt idx="3">
                  <c:v>-81.19999999999996</c:v>
                </c:pt>
                <c:pt idx="4">
                  <c:v>-81.19999999999996</c:v>
                </c:pt>
                <c:pt idx="5">
                  <c:v>-81.19999999999996</c:v>
                </c:pt>
                <c:pt idx="6">
                  <c:v>-81.19999999999996</c:v>
                </c:pt>
                <c:pt idx="7">
                  <c:v>-81.19999999999996</c:v>
                </c:pt>
                <c:pt idx="8">
                  <c:v>-81.19999999999996</c:v>
                </c:pt>
              </c:numCache>
            </c:numRef>
          </c:val>
          <c:extLst>
            <c:ext xmlns:c16="http://schemas.microsoft.com/office/drawing/2014/chart" uri="{C3380CC4-5D6E-409C-BE32-E72D297353CC}">
              <c16:uniqueId val="{00000007-DD77-413D-8F84-D83A6BB2328A}"/>
            </c:ext>
          </c:extLst>
        </c:ser>
        <c:ser>
          <c:idx val="9"/>
          <c:order val="9"/>
          <c:tx>
            <c:strRef>
              <c:f>'Figure Results ReCiPe (I)'!$H$33</c:f>
              <c:strCache>
                <c:ptCount val="1"/>
                <c:pt idx="0">
                  <c:v>Battery</c:v>
                </c:pt>
              </c:strCache>
            </c:strRef>
          </c:tx>
          <c:spPr>
            <a:solidFill>
              <a:schemeClr val="accent6">
                <a:lumMod val="75000"/>
              </a:schemeClr>
            </a:solidFill>
            <a:ln w="19050">
              <a:noFill/>
            </a:ln>
            <a:effectLst/>
          </c:spPr>
          <c:invertIfNegative val="0"/>
          <c:cat>
            <c:multiLvlStrRef>
              <c:f>'Figure Results ReCiPe (I)'!$A$34:$B$42</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(I)'!$H$34:$H$42</c:f>
              <c:numCache>
                <c:formatCode>0</c:formatCode>
                <c:ptCount val="9"/>
                <c:pt idx="0">
                  <c:v>0</c:v>
                </c:pt>
                <c:pt idx="1">
                  <c:v>0</c:v>
                </c:pt>
                <c:pt idx="2">
                  <c:v>0</c:v>
                </c:pt>
                <c:pt idx="3">
                  <c:v>0</c:v>
                </c:pt>
                <c:pt idx="4">
                  <c:v>0</c:v>
                </c:pt>
                <c:pt idx="5">
                  <c:v>0</c:v>
                </c:pt>
                <c:pt idx="6">
                  <c:v>47.321270741391281</c:v>
                </c:pt>
                <c:pt idx="7">
                  <c:v>45.683801208439007</c:v>
                </c:pt>
                <c:pt idx="8">
                  <c:v>40.174640545143113</c:v>
                </c:pt>
              </c:numCache>
            </c:numRef>
          </c:val>
          <c:extLst>
            <c:ext xmlns:c16="http://schemas.microsoft.com/office/drawing/2014/chart" uri="{C3380CC4-5D6E-409C-BE32-E72D297353CC}">
              <c16:uniqueId val="{00000008-DD77-413D-8F84-D83A6BB2328A}"/>
            </c:ext>
          </c:extLst>
        </c:ser>
        <c:dLbls>
          <c:showLegendKey val="0"/>
          <c:showVal val="0"/>
          <c:showCatName val="0"/>
          <c:showSerName val="0"/>
          <c:showPercent val="0"/>
          <c:showBubbleSize val="0"/>
        </c:dLbls>
        <c:gapWidth val="150"/>
        <c:overlap val="100"/>
        <c:axId val="134262272"/>
        <c:axId val="135299072"/>
      </c:barChart>
      <c:scatterChart>
        <c:scatterStyle val="lineMarker"/>
        <c:varyColors val="0"/>
        <c:ser>
          <c:idx val="8"/>
          <c:order val="8"/>
          <c:tx>
            <c:strRef>
              <c:f>'Figure Results ReCiPe (I)'!$L$33</c:f>
              <c:strCache>
                <c:ptCount val="1"/>
                <c:pt idx="0">
                  <c:v>Total</c:v>
                </c:pt>
              </c:strCache>
            </c:strRef>
          </c:tx>
          <c:spPr>
            <a:ln w="19050" cap="rnd" cmpd="sng" algn="ctr">
              <a:noFill/>
              <a:prstDash val="solid"/>
              <a:round/>
            </a:ln>
            <a:effectLst/>
          </c:spPr>
          <c:marker>
            <c:symbol val="circle"/>
            <c:size val="7"/>
            <c:spPr>
              <a:solidFill>
                <a:schemeClr val="tx1"/>
              </a:solidFill>
              <a:ln w="6350" cap="flat" cmpd="sng" algn="ctr">
                <a:noFill/>
                <a:prstDash val="solid"/>
                <a:round/>
              </a:ln>
              <a:effectLst/>
            </c:spPr>
          </c:marker>
          <c:dLbls>
            <c:spPr>
              <a:noFill/>
              <a:ln>
                <a:noFill/>
              </a:ln>
              <a:effectLst/>
            </c:spPr>
            <c:txPr>
              <a:bodyPr rot="0" spcFirstLastPara="1" vertOverflow="ellipsis" vert="horz" wrap="square" lIns="0" tIns="0" rIns="0" bIns="0" anchor="ctr" anchorCtr="1"/>
              <a:lstStyle/>
              <a:p>
                <a:pPr>
                  <a:defRPr sz="1200" b="0"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dLblPos val="t"/>
            <c:showLegendKey val="0"/>
            <c:showVal val="0"/>
            <c:showCatName val="1"/>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LeaderLines val="1"/>
                <c15:leaderLines>
                  <c:spPr>
                    <a:ln w="6350" cap="flat" cmpd="sng" algn="ctr">
                      <a:solidFill>
                        <a:schemeClr val="tx1"/>
                      </a:solidFill>
                      <a:prstDash val="solid"/>
                      <a:round/>
                    </a:ln>
                    <a:effectLst/>
                  </c:spPr>
                </c15:leaderLines>
              </c:ext>
            </c:extLst>
          </c:dLbls>
          <c:xVal>
            <c:numRef>
              <c:f>'Figure Results ReCiPe (I)'!$L$34:$L$42</c:f>
              <c:numCache>
                <c:formatCode>0</c:formatCode>
                <c:ptCount val="9"/>
                <c:pt idx="0">
                  <c:v>35.748659456716773</c:v>
                </c:pt>
                <c:pt idx="1">
                  <c:v>-15.250174133869701</c:v>
                </c:pt>
                <c:pt idx="2">
                  <c:v>-24.182799505903219</c:v>
                </c:pt>
                <c:pt idx="3">
                  <c:v>15.670074299686643</c:v>
                </c:pt>
                <c:pt idx="4">
                  <c:v>-24.545138001328347</c:v>
                </c:pt>
                <c:pt idx="5">
                  <c:v>-34.848149141445539</c:v>
                </c:pt>
                <c:pt idx="6">
                  <c:v>32.278957404666947</c:v>
                </c:pt>
                <c:pt idx="7">
                  <c:v>22.661828862170232</c:v>
                </c:pt>
                <c:pt idx="8">
                  <c:v>12.585826546297394</c:v>
                </c:pt>
              </c:numCache>
            </c:numRef>
          </c:xVal>
          <c:yVal>
            <c:numRef>
              <c:f>'Figure Results ReCiPe (I)'!$M$34:$M$42</c:f>
              <c:numCache>
                <c:formatCode>General</c:formatCode>
                <c:ptCount val="9"/>
                <c:pt idx="0" formatCode="0.0">
                  <c:v>8.5</c:v>
                </c:pt>
                <c:pt idx="1">
                  <c:v>7.5</c:v>
                </c:pt>
                <c:pt idx="2">
                  <c:v>6.5</c:v>
                </c:pt>
                <c:pt idx="3">
                  <c:v>5.5</c:v>
                </c:pt>
                <c:pt idx="4">
                  <c:v>4.5</c:v>
                </c:pt>
                <c:pt idx="5">
                  <c:v>3.5</c:v>
                </c:pt>
                <c:pt idx="6">
                  <c:v>2.5</c:v>
                </c:pt>
                <c:pt idx="7">
                  <c:v>1.5</c:v>
                </c:pt>
                <c:pt idx="8">
                  <c:v>0.5</c:v>
                </c:pt>
              </c:numCache>
            </c:numRef>
          </c:yVal>
          <c:smooth val="0"/>
          <c:extLst>
            <c:ext xmlns:c16="http://schemas.microsoft.com/office/drawing/2014/chart" uri="{C3380CC4-5D6E-409C-BE32-E72D297353CC}">
              <c16:uniqueId val="{00000009-DD77-413D-8F84-D83A6BB2328A}"/>
            </c:ext>
          </c:extLst>
        </c:ser>
        <c:dLbls>
          <c:showLegendKey val="0"/>
          <c:showVal val="0"/>
          <c:showCatName val="0"/>
          <c:showSerName val="0"/>
          <c:showPercent val="0"/>
          <c:showBubbleSize val="0"/>
        </c:dLbls>
        <c:axId val="620675072"/>
        <c:axId val="620677376"/>
      </c:scatterChart>
      <c:catAx>
        <c:axId val="134262272"/>
        <c:scaling>
          <c:orientation val="maxMin"/>
        </c:scaling>
        <c:delete val="0"/>
        <c:axPos val="l"/>
        <c:numFmt formatCode="@" sourceLinked="0"/>
        <c:majorTickMark val="none"/>
        <c:minorTickMark val="none"/>
        <c:tickLblPos val="low"/>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200" b="1"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crossAx val="135299072"/>
        <c:crossesAt val="0"/>
        <c:auto val="1"/>
        <c:lblAlgn val="ctr"/>
        <c:lblOffset val="100"/>
        <c:noMultiLvlLbl val="0"/>
      </c:catAx>
      <c:valAx>
        <c:axId val="135299072"/>
        <c:scaling>
          <c:orientation val="minMax"/>
          <c:min val="-150"/>
        </c:scaling>
        <c:delete val="0"/>
        <c:axPos val="b"/>
        <c:title>
          <c:tx>
            <c:rich>
              <a:bodyPr rot="0" spcFirstLastPara="1" vertOverflow="ellipsis" vert="horz" wrap="square" anchor="ctr" anchorCtr="1"/>
              <a:lstStyle/>
              <a:p>
                <a:pPr>
                  <a:defRPr sz="1200" b="1" i="0" u="none" strike="noStrike" kern="1200" baseline="0">
                    <a:solidFill>
                      <a:schemeClr val="tx1"/>
                    </a:solidFill>
                    <a:latin typeface="Verdana Pro" panose="020B0604030504040204" pitchFamily="34" charset="0"/>
                    <a:ea typeface="+mn-ea"/>
                    <a:cs typeface="Times New Roman" panose="02020603050405020304" pitchFamily="18" charset="0"/>
                  </a:defRPr>
                </a:pPr>
                <a:r>
                  <a:rPr lang="en-GB"/>
                  <a:t>Human health damage [10</a:t>
                </a:r>
                <a:r>
                  <a:rPr lang="en-GB" baseline="30000"/>
                  <a:t>-6</a:t>
                </a:r>
                <a:r>
                  <a:rPr lang="en-GB"/>
                  <a:t> DALY/ton CO</a:t>
                </a:r>
                <a:r>
                  <a:rPr lang="en-GB" baseline="-25000"/>
                  <a:t>2</a:t>
                </a:r>
                <a:r>
                  <a:rPr lang="en-GB"/>
                  <a:t> captured and stored]</a:t>
                </a:r>
              </a:p>
            </c:rich>
          </c:tx>
          <c:layout>
            <c:manualLayout>
              <c:xMode val="edge"/>
              <c:yMode val="edge"/>
              <c:x val="0.27594482503754775"/>
              <c:y val="0.78871841109294127"/>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title>
        <c:numFmt formatCode="0" sourceLinked="0"/>
        <c:majorTickMark val="out"/>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200" b="0"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crossAx val="134262272"/>
        <c:crosses val="max"/>
        <c:crossBetween val="between"/>
      </c:valAx>
      <c:valAx>
        <c:axId val="620677376"/>
        <c:scaling>
          <c:orientation val="minMax"/>
        </c:scaling>
        <c:delete val="1"/>
        <c:axPos val="r"/>
        <c:numFmt formatCode="0.0" sourceLinked="1"/>
        <c:majorTickMark val="out"/>
        <c:minorTickMark val="none"/>
        <c:tickLblPos val="nextTo"/>
        <c:crossAx val="620675072"/>
        <c:crosses val="max"/>
        <c:crossBetween val="midCat"/>
      </c:valAx>
      <c:valAx>
        <c:axId val="620675072"/>
        <c:scaling>
          <c:orientation val="minMax"/>
        </c:scaling>
        <c:delete val="1"/>
        <c:axPos val="b"/>
        <c:numFmt formatCode="0" sourceLinked="1"/>
        <c:majorTickMark val="out"/>
        <c:minorTickMark val="none"/>
        <c:tickLblPos val="nextTo"/>
        <c:crossAx val="620677376"/>
        <c:crossesAt val="0"/>
        <c:crossBetween val="midCat"/>
      </c:valAx>
      <c:spPr>
        <a:solidFill>
          <a:schemeClr val="bg1"/>
        </a:solidFill>
        <a:ln>
          <a:noFill/>
        </a:ln>
        <a:effectLst/>
      </c:spPr>
    </c:plotArea>
    <c:plotVisOnly val="1"/>
    <c:dispBlanksAs val="gap"/>
    <c:showDLblsOverMax val="0"/>
  </c:chart>
  <c:spPr>
    <a:noFill/>
    <a:ln w="6350" cap="flat" cmpd="sng" algn="ctr">
      <a:noFill/>
      <a:prstDash val="solid"/>
      <a:round/>
    </a:ln>
    <a:effectLst/>
  </c:spPr>
  <c:txPr>
    <a:bodyPr/>
    <a:lstStyle/>
    <a:p>
      <a:pPr>
        <a:defRPr sz="1200">
          <a:solidFill>
            <a:schemeClr val="tx1"/>
          </a:solidFill>
          <a:latin typeface="Verdana Pro" panose="020B0604030504040204" pitchFamily="34" charset="0"/>
          <a:cs typeface="Times New Roman" panose="02020603050405020304" pitchFamily="18" charset="0"/>
        </a:defRPr>
      </a:pPr>
      <a:endParaRPr lang="en-NL"/>
    </a:p>
  </c:txPr>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(E) - RD'!$AB$132</c:f>
              <c:strCache>
                <c:ptCount val="1"/>
                <c:pt idx="0">
                  <c:v>Construction - DAC</c:v>
                </c:pt>
              </c:strCache>
            </c:strRef>
          </c:tx>
          <c:spPr>
            <a:solidFill>
              <a:schemeClr val="accent4">
                <a:lumMod val="75000"/>
              </a:schemeClr>
            </a:solidFill>
            <a:ln>
              <a:noFill/>
            </a:ln>
            <a:effectLst/>
          </c:spPr>
          <c:invertIfNegative val="0"/>
          <c:cat>
            <c:numRef>
              <c:f>'Results ReCiPe (E) - RD'!$AC$131:$BA$131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RD'!$AC$132:$BA$132</c:f>
              <c:numCache>
                <c:formatCode>0.00E+00</c:formatCode>
                <c:ptCount val="25"/>
                <c:pt idx="0">
                  <c:v>2965.0301428358648</c:v>
                </c:pt>
              </c:numCache>
            </c:numRef>
          </c:val>
          <c:extLst>
            <c:ext xmlns:c16="http://schemas.microsoft.com/office/drawing/2014/chart" uri="{C3380CC4-5D6E-409C-BE32-E72D297353CC}">
              <c16:uniqueId val="{00000000-1569-434E-ADE4-DE016D8A319E}"/>
            </c:ext>
          </c:extLst>
        </c:ser>
        <c:ser>
          <c:idx val="1"/>
          <c:order val="1"/>
          <c:tx>
            <c:strRef>
              <c:f>'Results ReCiPe (E) - RD'!$AB$133</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(E) - RD'!$AC$131:$BA$131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RD'!$AC$133:$BA$133</c:f>
              <c:numCache>
                <c:formatCode>0.00E+00</c:formatCode>
                <c:ptCount val="25"/>
                <c:pt idx="0">
                  <c:v>272.33360397786203</c:v>
                </c:pt>
              </c:numCache>
            </c:numRef>
          </c:val>
          <c:extLst>
            <c:ext xmlns:c16="http://schemas.microsoft.com/office/drawing/2014/chart" uri="{C3380CC4-5D6E-409C-BE32-E72D297353CC}">
              <c16:uniqueId val="{00000001-1569-434E-ADE4-DE016D8A319E}"/>
            </c:ext>
          </c:extLst>
        </c:ser>
        <c:ser>
          <c:idx val="2"/>
          <c:order val="2"/>
          <c:tx>
            <c:strRef>
              <c:f>'Results ReCiPe (E) - RD'!$AB$134</c:f>
              <c:strCache>
                <c:ptCount val="1"/>
                <c:pt idx="0">
                  <c:v>Deconstruction - DAC</c:v>
                </c:pt>
              </c:strCache>
            </c:strRef>
          </c:tx>
          <c:spPr>
            <a:solidFill>
              <a:schemeClr val="accent2">
                <a:lumMod val="40000"/>
                <a:lumOff val="60000"/>
              </a:schemeClr>
            </a:solidFill>
            <a:ln>
              <a:noFill/>
            </a:ln>
            <a:effectLst/>
          </c:spPr>
          <c:invertIfNegative val="0"/>
          <c:cat>
            <c:numRef>
              <c:f>'Results ReCiPe (E) - RD'!$AC$131:$BA$131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RD'!$AC$134:$BA$134</c:f>
              <c:numCache>
                <c:formatCode>0.00E+00</c:formatCode>
                <c:ptCount val="25"/>
                <c:pt idx="24">
                  <c:v>46.163153956689108</c:v>
                </c:pt>
              </c:numCache>
            </c:numRef>
          </c:val>
          <c:extLst>
            <c:ext xmlns:c16="http://schemas.microsoft.com/office/drawing/2014/chart" uri="{C3380CC4-5D6E-409C-BE32-E72D297353CC}">
              <c16:uniqueId val="{00000002-1569-434E-ADE4-DE016D8A319E}"/>
            </c:ext>
          </c:extLst>
        </c:ser>
        <c:ser>
          <c:idx val="3"/>
          <c:order val="3"/>
          <c:tx>
            <c:strRef>
              <c:f>'Results ReCiPe (E) - RD'!$AB$135</c:f>
              <c:strCache>
                <c:ptCount val="1"/>
                <c:pt idx="0">
                  <c:v>Deconstruction - geological storage</c:v>
                </c:pt>
              </c:strCache>
            </c:strRef>
          </c:tx>
          <c:spPr>
            <a:solidFill>
              <a:srgbClr val="FF9900"/>
            </a:solidFill>
            <a:ln>
              <a:noFill/>
            </a:ln>
            <a:effectLst/>
          </c:spPr>
          <c:invertIfNegative val="0"/>
          <c:cat>
            <c:numRef>
              <c:f>'Results ReCiPe (E) - RD'!$AC$131:$BA$131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RD'!$AC$135:$BA$135</c:f>
              <c:numCache>
                <c:formatCode>0.00E+00</c:formatCode>
                <c:ptCount val="25"/>
                <c:pt idx="24">
                  <c:v>1.3503554367435455</c:v>
                </c:pt>
              </c:numCache>
            </c:numRef>
          </c:val>
          <c:extLst>
            <c:ext xmlns:c16="http://schemas.microsoft.com/office/drawing/2014/chart" uri="{C3380CC4-5D6E-409C-BE32-E72D297353CC}">
              <c16:uniqueId val="{00000003-1569-434E-ADE4-DE016D8A319E}"/>
            </c:ext>
          </c:extLst>
        </c:ser>
        <c:ser>
          <c:idx val="4"/>
          <c:order val="4"/>
          <c:tx>
            <c:strRef>
              <c:f>'Results ReCiPe (E) - RD'!$AB$136</c:f>
              <c:strCache>
                <c:ptCount val="1"/>
                <c:pt idx="0">
                  <c:v>Sorbent material</c:v>
                </c:pt>
              </c:strCache>
            </c:strRef>
          </c:tx>
          <c:spPr>
            <a:solidFill>
              <a:srgbClr val="FF8F8F"/>
            </a:solidFill>
            <a:ln>
              <a:noFill/>
            </a:ln>
            <a:effectLst/>
          </c:spPr>
          <c:invertIfNegative val="0"/>
          <c:cat>
            <c:numRef>
              <c:f>'Results ReCiPe (E) - RD'!$AC$131:$BA$131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RD'!$AC$136:$BA$136</c:f>
              <c:numCache>
                <c:formatCode>0.00E+00</c:formatCode>
                <c:ptCount val="25"/>
                <c:pt idx="0">
                  <c:v>119.1904376828072</c:v>
                </c:pt>
                <c:pt idx="3">
                  <c:v>118.3718965782387</c:v>
                </c:pt>
                <c:pt idx="6">
                  <c:v>118.2908864371209</c:v>
                </c:pt>
                <c:pt idx="9">
                  <c:v>117.82210845498651</c:v>
                </c:pt>
                <c:pt idx="12">
                  <c:v>117.9174008500527</c:v>
                </c:pt>
                <c:pt idx="15">
                  <c:v>117.9147244662052</c:v>
                </c:pt>
                <c:pt idx="18">
                  <c:v>117.61608634126139</c:v>
                </c:pt>
                <c:pt idx="21">
                  <c:v>117.44781323215599</c:v>
                </c:pt>
                <c:pt idx="24">
                  <c:v>117.264158753236</c:v>
                </c:pt>
              </c:numCache>
            </c:numRef>
          </c:val>
          <c:extLst>
            <c:ext xmlns:c16="http://schemas.microsoft.com/office/drawing/2014/chart" uri="{C3380CC4-5D6E-409C-BE32-E72D297353CC}">
              <c16:uniqueId val="{00000004-1569-434E-ADE4-DE016D8A319E}"/>
            </c:ext>
          </c:extLst>
        </c:ser>
        <c:ser>
          <c:idx val="5"/>
          <c:order val="5"/>
          <c:tx>
            <c:strRef>
              <c:f>'Results ReCiPe (E) - RD'!$AB$137</c:f>
              <c:strCache>
                <c:ptCount val="1"/>
                <c:pt idx="0">
                  <c:v>Operation - DAC</c:v>
                </c:pt>
              </c:strCache>
            </c:strRef>
          </c:tx>
          <c:spPr>
            <a:solidFill>
              <a:schemeClr val="accent2">
                <a:lumMod val="75000"/>
              </a:schemeClr>
            </a:solidFill>
            <a:ln>
              <a:noFill/>
            </a:ln>
            <a:effectLst/>
          </c:spPr>
          <c:invertIfNegative val="0"/>
          <c:cat>
            <c:numRef>
              <c:f>'Results ReCiPe (E) - RD'!$AC$131:$BA$131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RD'!$AC$137:$BA$137</c:f>
              <c:numCache>
                <c:formatCode>0.00E+00</c:formatCode>
                <c:ptCount val="25"/>
                <c:pt idx="0">
                  <c:v>2116.289847013235</c:v>
                </c:pt>
                <c:pt idx="1">
                  <c:v>2122.9016157887113</c:v>
                </c:pt>
                <c:pt idx="2">
                  <c:v>2129.5768882130174</c:v>
                </c:pt>
                <c:pt idx="3">
                  <c:v>2132.4528914535163</c:v>
                </c:pt>
                <c:pt idx="4">
                  <c:v>2139.3010850810715</c:v>
                </c:pt>
                <c:pt idx="5">
                  <c:v>2146.2098384335004</c:v>
                </c:pt>
                <c:pt idx="6">
                  <c:v>2213.8572577561599</c:v>
                </c:pt>
                <c:pt idx="7">
                  <c:v>2281.4212029230348</c:v>
                </c:pt>
                <c:pt idx="8">
                  <c:v>2346.0758204056456</c:v>
                </c:pt>
                <c:pt idx="9">
                  <c:v>2413.5923548032447</c:v>
                </c:pt>
                <c:pt idx="10">
                  <c:v>2481.0454639238724</c:v>
                </c:pt>
                <c:pt idx="11">
                  <c:v>2555.7630418984786</c:v>
                </c:pt>
                <c:pt idx="12">
                  <c:v>2630.5725238979298</c:v>
                </c:pt>
                <c:pt idx="13">
                  <c:v>2704.8146953080491</c:v>
                </c:pt>
                <c:pt idx="14">
                  <c:v>2779.8052944123051</c:v>
                </c:pt>
                <c:pt idx="15">
                  <c:v>2854.8779257908232</c:v>
                </c:pt>
                <c:pt idx="16">
                  <c:v>2928.9877994678077</c:v>
                </c:pt>
                <c:pt idx="17">
                  <c:v>3003.1252391554749</c:v>
                </c:pt>
                <c:pt idx="18">
                  <c:v>3076.7075126061786</c:v>
                </c:pt>
                <c:pt idx="19">
                  <c:v>3150.9483728810769</c:v>
                </c:pt>
                <c:pt idx="20">
                  <c:v>3225.2464317275972</c:v>
                </c:pt>
                <c:pt idx="21">
                  <c:v>3208.614576597211</c:v>
                </c:pt>
                <c:pt idx="22">
                  <c:v>3192.0143471350057</c:v>
                </c:pt>
                <c:pt idx="23">
                  <c:v>3175.4041792718867</c:v>
                </c:pt>
                <c:pt idx="24">
                  <c:v>3158.7828534003756</c:v>
                </c:pt>
              </c:numCache>
            </c:numRef>
          </c:val>
          <c:extLst>
            <c:ext xmlns:c16="http://schemas.microsoft.com/office/drawing/2014/chart" uri="{C3380CC4-5D6E-409C-BE32-E72D297353CC}">
              <c16:uniqueId val="{00000005-1569-434E-ADE4-DE016D8A319E}"/>
            </c:ext>
          </c:extLst>
        </c:ser>
        <c:ser>
          <c:idx val="6"/>
          <c:order val="6"/>
          <c:tx>
            <c:strRef>
              <c:f>'Results ReCiPe (E) - RD'!$AB$138</c:f>
              <c:strCache>
                <c:ptCount val="1"/>
                <c:pt idx="0">
                  <c:v>Operation - geological storage</c:v>
                </c:pt>
              </c:strCache>
            </c:strRef>
          </c:tx>
          <c:spPr>
            <a:solidFill>
              <a:schemeClr val="accent2">
                <a:lumMod val="50000"/>
              </a:schemeClr>
            </a:solidFill>
            <a:ln>
              <a:noFill/>
            </a:ln>
            <a:effectLst/>
          </c:spPr>
          <c:invertIfNegative val="0"/>
          <c:cat>
            <c:numRef>
              <c:f>'Results ReCiPe (E) - RD'!$AC$131:$BA$131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RD'!$AC$138:$BA$138</c:f>
              <c:numCache>
                <c:formatCode>0.00E+00</c:formatCode>
                <c:ptCount val="25"/>
                <c:pt idx="0">
                  <c:v>213.7561645339245</c:v>
                </c:pt>
                <c:pt idx="1">
                  <c:v>214.11317364597031</c:v>
                </c:pt>
                <c:pt idx="2">
                  <c:v>214.47341165806512</c:v>
                </c:pt>
                <c:pt idx="3">
                  <c:v>214.46251116288622</c:v>
                </c:pt>
                <c:pt idx="4">
                  <c:v>214.83388134716211</c:v>
                </c:pt>
                <c:pt idx="5">
                  <c:v>215.20812374772089</c:v>
                </c:pt>
                <c:pt idx="6">
                  <c:v>221.66170122876531</c:v>
                </c:pt>
                <c:pt idx="7">
                  <c:v>228.08739714241969</c:v>
                </c:pt>
                <c:pt idx="8">
                  <c:v>234.21005826383578</c:v>
                </c:pt>
                <c:pt idx="9">
                  <c:v>240.59224526784581</c:v>
                </c:pt>
                <c:pt idx="10">
                  <c:v>246.94875172326101</c:v>
                </c:pt>
                <c:pt idx="11">
                  <c:v>254.07462545926279</c:v>
                </c:pt>
                <c:pt idx="12">
                  <c:v>261.19243499886392</c:v>
                </c:pt>
                <c:pt idx="13">
                  <c:v>268.23816375017429</c:v>
                </c:pt>
                <c:pt idx="14">
                  <c:v>275.33963760225271</c:v>
                </c:pt>
                <c:pt idx="15">
                  <c:v>282.43183756937771</c:v>
                </c:pt>
                <c:pt idx="16">
                  <c:v>289.44400481244838</c:v>
                </c:pt>
                <c:pt idx="17">
                  <c:v>296.44474292503941</c:v>
                </c:pt>
                <c:pt idx="18">
                  <c:v>303.37780162099631</c:v>
                </c:pt>
                <c:pt idx="19">
                  <c:v>310.36040504167272</c:v>
                </c:pt>
                <c:pt idx="20">
                  <c:v>317.3344517929184</c:v>
                </c:pt>
                <c:pt idx="21">
                  <c:v>315.12577015084941</c:v>
                </c:pt>
                <c:pt idx="22">
                  <c:v>312.93130103149196</c:v>
                </c:pt>
                <c:pt idx="23">
                  <c:v>310.74231942013807</c:v>
                </c:pt>
                <c:pt idx="24">
                  <c:v>308.55861400518438</c:v>
                </c:pt>
              </c:numCache>
            </c:numRef>
          </c:val>
          <c:extLst>
            <c:ext xmlns:c16="http://schemas.microsoft.com/office/drawing/2014/chart" uri="{C3380CC4-5D6E-409C-BE32-E72D297353CC}">
              <c16:uniqueId val="{00000006-1569-434E-ADE4-DE016D8A319E}"/>
            </c:ext>
          </c:extLst>
        </c:ser>
        <c:ser>
          <c:idx val="7"/>
          <c:order val="7"/>
          <c:tx>
            <c:strRef>
              <c:f>'Results ReCiPe (E) - RD'!$AB$139</c:f>
              <c:strCache>
                <c:ptCount val="1"/>
                <c:pt idx="0">
                  <c:v>CO2 captured and stored</c:v>
                </c:pt>
              </c:strCache>
            </c:strRef>
          </c:tx>
          <c:spPr>
            <a:solidFill>
              <a:schemeClr val="tx2">
                <a:lumMod val="20000"/>
                <a:lumOff val="80000"/>
              </a:schemeClr>
            </a:solidFill>
            <a:ln>
              <a:noFill/>
            </a:ln>
            <a:effectLst/>
          </c:spPr>
          <c:invertIfNegative val="0"/>
          <c:cat>
            <c:numRef>
              <c:f>'Results ReCiPe (E) - RD'!$AC$131:$BA$131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RD'!$AC$139:$BA$139</c:f>
              <c:numCache>
                <c:formatCode>0.00E+00</c:formatCode>
                <c:ptCount val="25"/>
              </c:numCache>
            </c:numRef>
          </c:val>
          <c:extLst>
            <c:ext xmlns:c16="http://schemas.microsoft.com/office/drawing/2014/chart" uri="{C3380CC4-5D6E-409C-BE32-E72D297353CC}">
              <c16:uniqueId val="{00000007-1569-434E-ADE4-DE016D8A319E}"/>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(E) - RD'!$AB$140</c:f>
              <c:strCache>
                <c:ptCount val="1"/>
                <c:pt idx="0">
                  <c:v>TOTAL per year</c:v>
                </c:pt>
              </c:strCache>
            </c:strRef>
          </c:tx>
          <c:spPr>
            <a:ln w="28575" cap="rnd">
              <a:noFill/>
              <a:round/>
            </a:ln>
            <a:effectLst/>
          </c:spPr>
          <c:marker>
            <c:symbol val="circle"/>
            <c:size val="5"/>
            <c:spPr>
              <a:solidFill>
                <a:schemeClr val="tx1"/>
              </a:solidFill>
              <a:ln w="9525">
                <a:solidFill>
                  <a:schemeClr val="accent3">
                    <a:lumMod val="60000"/>
                  </a:schemeClr>
                </a:solidFill>
              </a:ln>
              <a:effectLst/>
            </c:spPr>
          </c:marker>
          <c:cat>
            <c:numRef>
              <c:f>'Results ReCiPe (E) - RD'!$AC$131:$BA$131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RD'!$AC$140:$BA$140</c:f>
              <c:numCache>
                <c:formatCode>0.00E+00</c:formatCode>
                <c:ptCount val="25"/>
                <c:pt idx="0">
                  <c:v>5686.6001960436934</c:v>
                </c:pt>
                <c:pt idx="1">
                  <c:v>2337.0147894346815</c:v>
                </c:pt>
                <c:pt idx="2">
                  <c:v>2344.0502998710826</c:v>
                </c:pt>
                <c:pt idx="3">
                  <c:v>2465.287299194641</c:v>
                </c:pt>
                <c:pt idx="4">
                  <c:v>2354.1349664282334</c:v>
                </c:pt>
                <c:pt idx="5">
                  <c:v>2361.4179621812214</c:v>
                </c:pt>
                <c:pt idx="6">
                  <c:v>2553.8098454220462</c:v>
                </c:pt>
                <c:pt idx="7">
                  <c:v>2509.5086000654546</c:v>
                </c:pt>
                <c:pt idx="8">
                  <c:v>2580.2858786694815</c:v>
                </c:pt>
                <c:pt idx="9">
                  <c:v>2772.0067085260771</c:v>
                </c:pt>
                <c:pt idx="10">
                  <c:v>2727.9942156471334</c:v>
                </c:pt>
                <c:pt idx="11">
                  <c:v>2809.8376673577413</c:v>
                </c:pt>
                <c:pt idx="12">
                  <c:v>3009.6823597468465</c:v>
                </c:pt>
                <c:pt idx="13">
                  <c:v>2973.0528590582235</c:v>
                </c:pt>
                <c:pt idx="14">
                  <c:v>3055.144932014558</c:v>
                </c:pt>
                <c:pt idx="15">
                  <c:v>3255.2244878264064</c:v>
                </c:pt>
                <c:pt idx="16">
                  <c:v>3218.4318042802561</c:v>
                </c:pt>
                <c:pt idx="17">
                  <c:v>3299.5699820805144</c:v>
                </c:pt>
                <c:pt idx="18">
                  <c:v>3497.7014005684364</c:v>
                </c:pt>
                <c:pt idx="19">
                  <c:v>3461.3087779227499</c:v>
                </c:pt>
                <c:pt idx="20">
                  <c:v>3542.5808835205157</c:v>
                </c:pt>
                <c:pt idx="21">
                  <c:v>3641.1881599802164</c:v>
                </c:pt>
                <c:pt idx="22">
                  <c:v>3504.9456481664974</c:v>
                </c:pt>
                <c:pt idx="23">
                  <c:v>3486.1464986920246</c:v>
                </c:pt>
                <c:pt idx="24">
                  <c:v>3632.1191355522287</c:v>
                </c:pt>
              </c:numCache>
            </c:numRef>
          </c:val>
          <c:smooth val="0"/>
          <c:extLst>
            <c:ext xmlns:c16="http://schemas.microsoft.com/office/drawing/2014/chart" uri="{C3380CC4-5D6E-409C-BE32-E72D297353CC}">
              <c16:uniqueId val="{00000008-1569-434E-ADE4-DE016D8A319E}"/>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Resource damage</a:t>
                </a:r>
              </a:p>
              <a:p>
                <a:pPr algn="ctr" rtl="0">
                  <a:defRPr/>
                </a:pPr>
                <a:r>
                  <a:rPr lang="nl-NL"/>
                  <a:t>[USD2013/ton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(E) - RD'!$AB$173</c:f>
              <c:strCache>
                <c:ptCount val="1"/>
                <c:pt idx="0">
                  <c:v>Construction - DAC</c:v>
                </c:pt>
              </c:strCache>
            </c:strRef>
          </c:tx>
          <c:spPr>
            <a:solidFill>
              <a:schemeClr val="accent4">
                <a:lumMod val="75000"/>
              </a:schemeClr>
            </a:solidFill>
            <a:ln>
              <a:noFill/>
            </a:ln>
            <a:effectLst/>
          </c:spPr>
          <c:invertIfNegative val="0"/>
          <c:cat>
            <c:numRef>
              <c:f>'Results ReCiPe (E) - RD'!$AC$172:$BA$172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RD'!$AC$173:$BA$173</c:f>
              <c:numCache>
                <c:formatCode>0.00E+00</c:formatCode>
                <c:ptCount val="25"/>
                <c:pt idx="0">
                  <c:v>2892.6593074930947</c:v>
                </c:pt>
              </c:numCache>
            </c:numRef>
          </c:val>
          <c:extLst>
            <c:ext xmlns:c16="http://schemas.microsoft.com/office/drawing/2014/chart" uri="{C3380CC4-5D6E-409C-BE32-E72D297353CC}">
              <c16:uniqueId val="{00000000-B7C2-4BAD-A5B8-AAB1DFC03C30}"/>
            </c:ext>
          </c:extLst>
        </c:ser>
        <c:ser>
          <c:idx val="1"/>
          <c:order val="1"/>
          <c:tx>
            <c:strRef>
              <c:f>'Results ReCiPe (E) - RD'!$AB$174</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(E) - RD'!$AC$172:$BA$172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RD'!$AC$174:$BA$174</c:f>
              <c:numCache>
                <c:formatCode>0.00E+00</c:formatCode>
                <c:ptCount val="25"/>
                <c:pt idx="0">
                  <c:v>268.94629988832151</c:v>
                </c:pt>
              </c:numCache>
            </c:numRef>
          </c:val>
          <c:extLst>
            <c:ext xmlns:c16="http://schemas.microsoft.com/office/drawing/2014/chart" uri="{C3380CC4-5D6E-409C-BE32-E72D297353CC}">
              <c16:uniqueId val="{00000001-B7C2-4BAD-A5B8-AAB1DFC03C30}"/>
            </c:ext>
          </c:extLst>
        </c:ser>
        <c:ser>
          <c:idx val="2"/>
          <c:order val="2"/>
          <c:tx>
            <c:strRef>
              <c:f>'Results ReCiPe (E) - RD'!$AB$175</c:f>
              <c:strCache>
                <c:ptCount val="1"/>
                <c:pt idx="0">
                  <c:v>Deconstruction - DAC</c:v>
                </c:pt>
              </c:strCache>
            </c:strRef>
          </c:tx>
          <c:spPr>
            <a:solidFill>
              <a:schemeClr val="accent2">
                <a:lumMod val="40000"/>
                <a:lumOff val="60000"/>
              </a:schemeClr>
            </a:solidFill>
            <a:ln>
              <a:noFill/>
            </a:ln>
            <a:effectLst/>
          </c:spPr>
          <c:invertIfNegative val="0"/>
          <c:cat>
            <c:numRef>
              <c:f>'Results ReCiPe (E) - RD'!$AC$172:$BA$172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RD'!$AC$175:$BA$175</c:f>
              <c:numCache>
                <c:formatCode>0.00E+00</c:formatCode>
                <c:ptCount val="25"/>
                <c:pt idx="24">
                  <c:v>41.824707218963411</c:v>
                </c:pt>
              </c:numCache>
            </c:numRef>
          </c:val>
          <c:extLst>
            <c:ext xmlns:c16="http://schemas.microsoft.com/office/drawing/2014/chart" uri="{C3380CC4-5D6E-409C-BE32-E72D297353CC}">
              <c16:uniqueId val="{00000002-B7C2-4BAD-A5B8-AAB1DFC03C30}"/>
            </c:ext>
          </c:extLst>
        </c:ser>
        <c:ser>
          <c:idx val="3"/>
          <c:order val="3"/>
          <c:tx>
            <c:strRef>
              <c:f>'Results ReCiPe (E) - RD'!$AB$176</c:f>
              <c:strCache>
                <c:ptCount val="1"/>
                <c:pt idx="0">
                  <c:v>Deconstruction - geological storage</c:v>
                </c:pt>
              </c:strCache>
            </c:strRef>
          </c:tx>
          <c:spPr>
            <a:solidFill>
              <a:srgbClr val="FF9900"/>
            </a:solidFill>
            <a:ln>
              <a:noFill/>
            </a:ln>
            <a:effectLst/>
          </c:spPr>
          <c:invertIfNegative val="0"/>
          <c:cat>
            <c:numRef>
              <c:f>'Results ReCiPe (E) - RD'!$AC$172:$BA$172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RD'!$AC$176:$BA$176</c:f>
              <c:numCache>
                <c:formatCode>0.00E+00</c:formatCode>
                <c:ptCount val="25"/>
                <c:pt idx="24">
                  <c:v>1.2970170042936588</c:v>
                </c:pt>
              </c:numCache>
            </c:numRef>
          </c:val>
          <c:extLst>
            <c:ext xmlns:c16="http://schemas.microsoft.com/office/drawing/2014/chart" uri="{C3380CC4-5D6E-409C-BE32-E72D297353CC}">
              <c16:uniqueId val="{00000003-B7C2-4BAD-A5B8-AAB1DFC03C30}"/>
            </c:ext>
          </c:extLst>
        </c:ser>
        <c:ser>
          <c:idx val="4"/>
          <c:order val="4"/>
          <c:tx>
            <c:strRef>
              <c:f>'Results ReCiPe (E) - RD'!$AB$177</c:f>
              <c:strCache>
                <c:ptCount val="1"/>
                <c:pt idx="0">
                  <c:v>Sorbent material</c:v>
                </c:pt>
              </c:strCache>
            </c:strRef>
          </c:tx>
          <c:spPr>
            <a:solidFill>
              <a:srgbClr val="FF8F8F"/>
            </a:solidFill>
            <a:ln>
              <a:noFill/>
            </a:ln>
            <a:effectLst/>
          </c:spPr>
          <c:invertIfNegative val="0"/>
          <c:cat>
            <c:numRef>
              <c:f>'Results ReCiPe (E) - RD'!$AC$172:$BA$172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RD'!$AC$177:$BA$177</c:f>
              <c:numCache>
                <c:formatCode>0.00E+00</c:formatCode>
                <c:ptCount val="25"/>
                <c:pt idx="0">
                  <c:v>118.1438789925995</c:v>
                </c:pt>
                <c:pt idx="3">
                  <c:v>116.6612753102726</c:v>
                </c:pt>
                <c:pt idx="6">
                  <c:v>116.18081695012491</c:v>
                </c:pt>
                <c:pt idx="9">
                  <c:v>115.90171224187471</c:v>
                </c:pt>
                <c:pt idx="12">
                  <c:v>115.3805853817795</c:v>
                </c:pt>
                <c:pt idx="15">
                  <c:v>114.3803047375598</c:v>
                </c:pt>
                <c:pt idx="18">
                  <c:v>113.57035329969089</c:v>
                </c:pt>
                <c:pt idx="21">
                  <c:v>113.03996369373409</c:v>
                </c:pt>
                <c:pt idx="24">
                  <c:v>112.7955257307044</c:v>
                </c:pt>
              </c:numCache>
            </c:numRef>
          </c:val>
          <c:extLst>
            <c:ext xmlns:c16="http://schemas.microsoft.com/office/drawing/2014/chart" uri="{C3380CC4-5D6E-409C-BE32-E72D297353CC}">
              <c16:uniqueId val="{00000004-B7C2-4BAD-A5B8-AAB1DFC03C30}"/>
            </c:ext>
          </c:extLst>
        </c:ser>
        <c:ser>
          <c:idx val="5"/>
          <c:order val="5"/>
          <c:tx>
            <c:strRef>
              <c:f>'Results ReCiPe (E) - RD'!$AB$178</c:f>
              <c:strCache>
                <c:ptCount val="1"/>
                <c:pt idx="0">
                  <c:v>Operation - DAC</c:v>
                </c:pt>
              </c:strCache>
            </c:strRef>
          </c:tx>
          <c:spPr>
            <a:solidFill>
              <a:schemeClr val="accent2">
                <a:lumMod val="75000"/>
              </a:schemeClr>
            </a:solidFill>
            <a:ln>
              <a:noFill/>
            </a:ln>
            <a:effectLst/>
          </c:spPr>
          <c:invertIfNegative val="0"/>
          <c:cat>
            <c:numRef>
              <c:f>'Results ReCiPe (E) - RD'!$AC$172:$BA$172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RD'!$AC$178:$BA$178</c:f>
              <c:numCache>
                <c:formatCode>0.00E+00</c:formatCode>
                <c:ptCount val="25"/>
                <c:pt idx="0">
                  <c:v>2086.3209732763257</c:v>
                </c:pt>
                <c:pt idx="1">
                  <c:v>2047.3340524605596</c:v>
                </c:pt>
                <c:pt idx="2">
                  <c:v>2008.3394494699369</c:v>
                </c:pt>
                <c:pt idx="3">
                  <c:v>1965.2251979460416</c:v>
                </c:pt>
                <c:pt idx="4">
                  <c:v>1926.2240180532576</c:v>
                </c:pt>
                <c:pt idx="5">
                  <c:v>1887.2064413753837</c:v>
                </c:pt>
                <c:pt idx="6">
                  <c:v>1874.7814418270834</c:v>
                </c:pt>
                <c:pt idx="7">
                  <c:v>1862.2954756629422</c:v>
                </c:pt>
                <c:pt idx="8">
                  <c:v>1846.2360516788378</c:v>
                </c:pt>
                <c:pt idx="9">
                  <c:v>1833.4489611262086</c:v>
                </c:pt>
                <c:pt idx="10">
                  <c:v>1820.516821870714</c:v>
                </c:pt>
                <c:pt idx="11">
                  <c:v>1806.3383690792407</c:v>
                </c:pt>
                <c:pt idx="12">
                  <c:v>1791.9510686927595</c:v>
                </c:pt>
                <c:pt idx="13">
                  <c:v>1776.5210107493642</c:v>
                </c:pt>
                <c:pt idx="14">
                  <c:v>1761.7276989750646</c:v>
                </c:pt>
                <c:pt idx="15">
                  <c:v>1746.727365901269</c:v>
                </c:pt>
                <c:pt idx="16">
                  <c:v>1757.7545632323049</c:v>
                </c:pt>
                <c:pt idx="17">
                  <c:v>1768.579634759458</c:v>
                </c:pt>
                <c:pt idx="18">
                  <c:v>1778.3881283605006</c:v>
                </c:pt>
                <c:pt idx="19">
                  <c:v>1788.8210528453631</c:v>
                </c:pt>
                <c:pt idx="20">
                  <c:v>1799.0567333895788</c:v>
                </c:pt>
                <c:pt idx="21">
                  <c:v>1783.5971212029935</c:v>
                </c:pt>
                <c:pt idx="22">
                  <c:v>1768.1434829277343</c:v>
                </c:pt>
                <c:pt idx="23">
                  <c:v>1752.6252380764649</c:v>
                </c:pt>
                <c:pt idx="24">
                  <c:v>1737.0398172491941</c:v>
                </c:pt>
              </c:numCache>
            </c:numRef>
          </c:val>
          <c:extLst>
            <c:ext xmlns:c16="http://schemas.microsoft.com/office/drawing/2014/chart" uri="{C3380CC4-5D6E-409C-BE32-E72D297353CC}">
              <c16:uniqueId val="{00000005-B7C2-4BAD-A5B8-AAB1DFC03C30}"/>
            </c:ext>
          </c:extLst>
        </c:ser>
        <c:ser>
          <c:idx val="6"/>
          <c:order val="6"/>
          <c:tx>
            <c:strRef>
              <c:f>'Results ReCiPe (E) - RD'!$AB$179</c:f>
              <c:strCache>
                <c:ptCount val="1"/>
                <c:pt idx="0">
                  <c:v>Operation - geological storage</c:v>
                </c:pt>
              </c:strCache>
            </c:strRef>
          </c:tx>
          <c:spPr>
            <a:solidFill>
              <a:schemeClr val="accent2">
                <a:lumMod val="50000"/>
              </a:schemeClr>
            </a:solidFill>
            <a:ln>
              <a:noFill/>
            </a:ln>
            <a:effectLst/>
          </c:spPr>
          <c:invertIfNegative val="0"/>
          <c:cat>
            <c:numRef>
              <c:f>'Results ReCiPe (E) - RD'!$AC$172:$BA$172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RD'!$AC$179:$BA$179</c:f>
              <c:numCache>
                <c:formatCode>0.00E+00</c:formatCode>
                <c:ptCount val="25"/>
                <c:pt idx="0">
                  <c:v>209.82451198193323</c:v>
                </c:pt>
                <c:pt idx="1">
                  <c:v>205.48036128128339</c:v>
                </c:pt>
                <c:pt idx="2">
                  <c:v>201.15285872716223</c:v>
                </c:pt>
                <c:pt idx="3">
                  <c:v>196.44333568935838</c:v>
                </c:pt>
                <c:pt idx="4">
                  <c:v>192.1504554775475</c:v>
                </c:pt>
                <c:pt idx="5">
                  <c:v>187.8735307757506</c:v>
                </c:pt>
                <c:pt idx="6">
                  <c:v>186.47687266799079</c:v>
                </c:pt>
                <c:pt idx="7">
                  <c:v>185.0736871027072</c:v>
                </c:pt>
                <c:pt idx="8">
                  <c:v>183.3232119602765</c:v>
                </c:pt>
                <c:pt idx="9">
                  <c:v>181.89397044240309</c:v>
                </c:pt>
                <c:pt idx="10">
                  <c:v>180.4530064825768</c:v>
                </c:pt>
                <c:pt idx="11">
                  <c:v>179.04680271808618</c:v>
                </c:pt>
                <c:pt idx="12">
                  <c:v>177.62058944472989</c:v>
                </c:pt>
                <c:pt idx="13">
                  <c:v>176.0933076153398</c:v>
                </c:pt>
                <c:pt idx="14">
                  <c:v>174.62823636389751</c:v>
                </c:pt>
                <c:pt idx="15">
                  <c:v>173.143376251067</c:v>
                </c:pt>
                <c:pt idx="16">
                  <c:v>174.48968301639979</c:v>
                </c:pt>
                <c:pt idx="17">
                  <c:v>175.82230446217719</c:v>
                </c:pt>
                <c:pt idx="18">
                  <c:v>177.06192702385232</c:v>
                </c:pt>
                <c:pt idx="19">
                  <c:v>178.36763237471001</c:v>
                </c:pt>
                <c:pt idx="20">
                  <c:v>179.65989267916379</c:v>
                </c:pt>
                <c:pt idx="21">
                  <c:v>177.88713351427302</c:v>
                </c:pt>
                <c:pt idx="22">
                  <c:v>176.1233199962833</c:v>
                </c:pt>
                <c:pt idx="23">
                  <c:v>174.3578522616161</c:v>
                </c:pt>
                <c:pt idx="24">
                  <c:v>172.5904260858679</c:v>
                </c:pt>
              </c:numCache>
            </c:numRef>
          </c:val>
          <c:extLst>
            <c:ext xmlns:c16="http://schemas.microsoft.com/office/drawing/2014/chart" uri="{C3380CC4-5D6E-409C-BE32-E72D297353CC}">
              <c16:uniqueId val="{00000006-B7C2-4BAD-A5B8-AAB1DFC03C30}"/>
            </c:ext>
          </c:extLst>
        </c:ser>
        <c:ser>
          <c:idx val="7"/>
          <c:order val="7"/>
          <c:tx>
            <c:strRef>
              <c:f>'Results ReCiPe (E) - RD'!$AB$180</c:f>
              <c:strCache>
                <c:ptCount val="1"/>
                <c:pt idx="0">
                  <c:v>CO2 captured and stored</c:v>
                </c:pt>
              </c:strCache>
            </c:strRef>
          </c:tx>
          <c:spPr>
            <a:solidFill>
              <a:schemeClr val="tx2">
                <a:lumMod val="20000"/>
                <a:lumOff val="80000"/>
              </a:schemeClr>
            </a:solidFill>
            <a:ln>
              <a:noFill/>
            </a:ln>
            <a:effectLst/>
          </c:spPr>
          <c:invertIfNegative val="0"/>
          <c:cat>
            <c:numRef>
              <c:f>'Results ReCiPe (E) - RD'!$AC$172:$BA$172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RD'!$AC$180:$BA$180</c:f>
              <c:numCache>
                <c:formatCode>0.00E+00</c:formatCode>
                <c:ptCount val="25"/>
              </c:numCache>
            </c:numRef>
          </c:val>
          <c:extLst>
            <c:ext xmlns:c16="http://schemas.microsoft.com/office/drawing/2014/chart" uri="{C3380CC4-5D6E-409C-BE32-E72D297353CC}">
              <c16:uniqueId val="{00000007-B7C2-4BAD-A5B8-AAB1DFC03C30}"/>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(E) - RD'!$AB$181</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cat>
            <c:numRef>
              <c:f>'Results ReCiPe (E) - RD'!$AC$172:$BA$172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RD'!$AC$181:$BA$181</c:f>
              <c:numCache>
                <c:formatCode>0.00E+00</c:formatCode>
                <c:ptCount val="25"/>
                <c:pt idx="0">
                  <c:v>5575.894971632275</c:v>
                </c:pt>
                <c:pt idx="1">
                  <c:v>2252.8144137418431</c:v>
                </c:pt>
                <c:pt idx="2">
                  <c:v>2209.4923081970992</c:v>
                </c:pt>
                <c:pt idx="3">
                  <c:v>2278.3298089456725</c:v>
                </c:pt>
                <c:pt idx="4">
                  <c:v>2118.3744735308051</c:v>
                </c:pt>
                <c:pt idx="5">
                  <c:v>2075.0799721511344</c:v>
                </c:pt>
                <c:pt idx="6">
                  <c:v>2177.4391314451991</c:v>
                </c:pt>
                <c:pt idx="7">
                  <c:v>2047.3691627656494</c:v>
                </c:pt>
                <c:pt idx="8">
                  <c:v>2029.5592636391143</c:v>
                </c:pt>
                <c:pt idx="9">
                  <c:v>2131.2446438104862</c:v>
                </c:pt>
                <c:pt idx="10">
                  <c:v>2000.9698283532907</c:v>
                </c:pt>
                <c:pt idx="11">
                  <c:v>1985.3851717973268</c:v>
                </c:pt>
                <c:pt idx="12">
                  <c:v>2084.9522435192689</c:v>
                </c:pt>
                <c:pt idx="13">
                  <c:v>1952.6143183647041</c:v>
                </c:pt>
                <c:pt idx="14">
                  <c:v>1936.3559353389621</c:v>
                </c:pt>
                <c:pt idx="15">
                  <c:v>2034.2510468898956</c:v>
                </c:pt>
                <c:pt idx="16">
                  <c:v>1932.2442462487047</c:v>
                </c:pt>
                <c:pt idx="17">
                  <c:v>1944.4019392216353</c:v>
                </c:pt>
                <c:pt idx="18">
                  <c:v>2069.0204086840436</c:v>
                </c:pt>
                <c:pt idx="19">
                  <c:v>1967.188685220073</c:v>
                </c:pt>
                <c:pt idx="20">
                  <c:v>1978.7166260687425</c:v>
                </c:pt>
                <c:pt idx="21">
                  <c:v>2074.5242184110007</c:v>
                </c:pt>
                <c:pt idx="22">
                  <c:v>1944.2668029240176</c:v>
                </c:pt>
                <c:pt idx="23">
                  <c:v>1926.983090338081</c:v>
                </c:pt>
                <c:pt idx="24">
                  <c:v>2065.5474932890234</c:v>
                </c:pt>
              </c:numCache>
            </c:numRef>
          </c:val>
          <c:smooth val="0"/>
          <c:extLst>
            <c:ext xmlns:c16="http://schemas.microsoft.com/office/drawing/2014/chart" uri="{C3380CC4-5D6E-409C-BE32-E72D297353CC}">
              <c16:uniqueId val="{00000008-B7C2-4BAD-A5B8-AAB1DFC03C30}"/>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Resource damage</a:t>
                </a:r>
              </a:p>
              <a:p>
                <a:pPr algn="ctr" rtl="0">
                  <a:defRPr/>
                </a:pPr>
                <a:r>
                  <a:rPr lang="nl-NL"/>
                  <a:t>[USD2013/ton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(E) - RD'!$AB$214</c:f>
              <c:strCache>
                <c:ptCount val="1"/>
                <c:pt idx="0">
                  <c:v>Construction - DAC</c:v>
                </c:pt>
              </c:strCache>
            </c:strRef>
          </c:tx>
          <c:spPr>
            <a:solidFill>
              <a:schemeClr val="accent4">
                <a:lumMod val="75000"/>
              </a:schemeClr>
            </a:solidFill>
            <a:ln>
              <a:noFill/>
            </a:ln>
            <a:effectLst/>
          </c:spPr>
          <c:invertIfNegative val="0"/>
          <c:cat>
            <c:numRef>
              <c:f>'Results ReCiPe (E) - RD'!$AC$213:$BA$213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RD'!$AC$214:$BA$214</c:f>
              <c:numCache>
                <c:formatCode>0.00E+00</c:formatCode>
                <c:ptCount val="25"/>
                <c:pt idx="0">
                  <c:v>2702.2385266828496</c:v>
                </c:pt>
              </c:numCache>
            </c:numRef>
          </c:val>
          <c:extLst>
            <c:ext xmlns:c16="http://schemas.microsoft.com/office/drawing/2014/chart" uri="{C3380CC4-5D6E-409C-BE32-E72D297353CC}">
              <c16:uniqueId val="{00000000-43C9-44BB-A9BD-A719CD7C8164}"/>
            </c:ext>
          </c:extLst>
        </c:ser>
        <c:ser>
          <c:idx val="1"/>
          <c:order val="1"/>
          <c:tx>
            <c:strRef>
              <c:f>'Results ReCiPe (E) - RD'!$AB$215</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(E) - RD'!$AC$213:$BA$213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RD'!$AC$215:$BA$215</c:f>
              <c:numCache>
                <c:formatCode>0.00E+00</c:formatCode>
                <c:ptCount val="25"/>
                <c:pt idx="0">
                  <c:v>259.70352548768199</c:v>
                </c:pt>
              </c:numCache>
            </c:numRef>
          </c:val>
          <c:extLst>
            <c:ext xmlns:c16="http://schemas.microsoft.com/office/drawing/2014/chart" uri="{C3380CC4-5D6E-409C-BE32-E72D297353CC}">
              <c16:uniqueId val="{00000001-43C9-44BB-A9BD-A719CD7C8164}"/>
            </c:ext>
          </c:extLst>
        </c:ser>
        <c:ser>
          <c:idx val="2"/>
          <c:order val="2"/>
          <c:tx>
            <c:strRef>
              <c:f>'Results ReCiPe (E) - RD'!$AB$216</c:f>
              <c:strCache>
                <c:ptCount val="1"/>
                <c:pt idx="0">
                  <c:v>Deconstruction - DAC</c:v>
                </c:pt>
              </c:strCache>
            </c:strRef>
          </c:tx>
          <c:spPr>
            <a:solidFill>
              <a:schemeClr val="accent2">
                <a:lumMod val="40000"/>
                <a:lumOff val="60000"/>
              </a:schemeClr>
            </a:solidFill>
            <a:ln>
              <a:noFill/>
            </a:ln>
            <a:effectLst/>
          </c:spPr>
          <c:invertIfNegative val="0"/>
          <c:cat>
            <c:numRef>
              <c:f>'Results ReCiPe (E) - RD'!$AC$213:$BA$213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RD'!$AC$216:$BA$216</c:f>
              <c:numCache>
                <c:formatCode>0.00E+00</c:formatCode>
                <c:ptCount val="25"/>
                <c:pt idx="24">
                  <c:v>38.803973700478906</c:v>
                </c:pt>
              </c:numCache>
            </c:numRef>
          </c:val>
          <c:extLst>
            <c:ext xmlns:c16="http://schemas.microsoft.com/office/drawing/2014/chart" uri="{C3380CC4-5D6E-409C-BE32-E72D297353CC}">
              <c16:uniqueId val="{00000002-43C9-44BB-A9BD-A719CD7C8164}"/>
            </c:ext>
          </c:extLst>
        </c:ser>
        <c:ser>
          <c:idx val="3"/>
          <c:order val="3"/>
          <c:tx>
            <c:strRef>
              <c:f>'Results ReCiPe (E) - RD'!$AB$217</c:f>
              <c:strCache>
                <c:ptCount val="1"/>
                <c:pt idx="0">
                  <c:v>Deconstruction - geological storage</c:v>
                </c:pt>
              </c:strCache>
            </c:strRef>
          </c:tx>
          <c:spPr>
            <a:solidFill>
              <a:srgbClr val="FF9900"/>
            </a:solidFill>
            <a:ln>
              <a:noFill/>
            </a:ln>
            <a:effectLst/>
          </c:spPr>
          <c:invertIfNegative val="0"/>
          <c:cat>
            <c:numRef>
              <c:f>'Results ReCiPe (E) - RD'!$AC$213:$BA$213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RD'!$AC$217:$BA$217</c:f>
              <c:numCache>
                <c:formatCode>0.00E+00</c:formatCode>
                <c:ptCount val="25"/>
                <c:pt idx="24">
                  <c:v>1.2292258629747401</c:v>
                </c:pt>
              </c:numCache>
            </c:numRef>
          </c:val>
          <c:extLst>
            <c:ext xmlns:c16="http://schemas.microsoft.com/office/drawing/2014/chart" uri="{C3380CC4-5D6E-409C-BE32-E72D297353CC}">
              <c16:uniqueId val="{00000003-43C9-44BB-A9BD-A719CD7C8164}"/>
            </c:ext>
          </c:extLst>
        </c:ser>
        <c:ser>
          <c:idx val="4"/>
          <c:order val="4"/>
          <c:tx>
            <c:strRef>
              <c:f>'Results ReCiPe (E) - RD'!$AB$218</c:f>
              <c:strCache>
                <c:ptCount val="1"/>
                <c:pt idx="0">
                  <c:v>Sorbent material</c:v>
                </c:pt>
              </c:strCache>
            </c:strRef>
          </c:tx>
          <c:spPr>
            <a:solidFill>
              <a:srgbClr val="FF8F8F"/>
            </a:solidFill>
            <a:ln>
              <a:noFill/>
            </a:ln>
            <a:effectLst/>
          </c:spPr>
          <c:invertIfNegative val="0"/>
          <c:cat>
            <c:numRef>
              <c:f>'Results ReCiPe (E) - RD'!$AC$213:$BA$213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RD'!$AC$218:$BA$218</c:f>
              <c:numCache>
                <c:formatCode>0.00E+00</c:formatCode>
                <c:ptCount val="25"/>
                <c:pt idx="0">
                  <c:v>114.3683807366764</c:v>
                </c:pt>
                <c:pt idx="3">
                  <c:v>112.5935013842018</c:v>
                </c:pt>
                <c:pt idx="6">
                  <c:v>112.32417693968689</c:v>
                </c:pt>
                <c:pt idx="9">
                  <c:v>113.32500088396689</c:v>
                </c:pt>
                <c:pt idx="12">
                  <c:v>113.72581624339961</c:v>
                </c:pt>
                <c:pt idx="15">
                  <c:v>113.5067955292801</c:v>
                </c:pt>
                <c:pt idx="18">
                  <c:v>112.3594591286536</c:v>
                </c:pt>
                <c:pt idx="21">
                  <c:v>111.6217687079732</c:v>
                </c:pt>
                <c:pt idx="24">
                  <c:v>111.42686667692951</c:v>
                </c:pt>
              </c:numCache>
            </c:numRef>
          </c:val>
          <c:extLst>
            <c:ext xmlns:c16="http://schemas.microsoft.com/office/drawing/2014/chart" uri="{C3380CC4-5D6E-409C-BE32-E72D297353CC}">
              <c16:uniqueId val="{00000004-43C9-44BB-A9BD-A719CD7C8164}"/>
            </c:ext>
          </c:extLst>
        </c:ser>
        <c:ser>
          <c:idx val="5"/>
          <c:order val="5"/>
          <c:tx>
            <c:strRef>
              <c:f>'Results ReCiPe (E) - RD'!$AB$219</c:f>
              <c:strCache>
                <c:ptCount val="1"/>
                <c:pt idx="0">
                  <c:v>Operation - DAC</c:v>
                </c:pt>
              </c:strCache>
            </c:strRef>
          </c:tx>
          <c:spPr>
            <a:solidFill>
              <a:schemeClr val="accent2">
                <a:lumMod val="75000"/>
              </a:schemeClr>
            </a:solidFill>
            <a:ln>
              <a:noFill/>
            </a:ln>
            <a:effectLst/>
          </c:spPr>
          <c:invertIfNegative val="0"/>
          <c:cat>
            <c:numRef>
              <c:f>'Results ReCiPe (E) - RD'!$AC$213:$BA$213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RD'!$AC$219:$BA$219</c:f>
              <c:numCache>
                <c:formatCode>0.00E+00</c:formatCode>
                <c:ptCount val="25"/>
                <c:pt idx="0">
                  <c:v>1218.0763896306767</c:v>
                </c:pt>
                <c:pt idx="1">
                  <c:v>1122.6420509360951</c:v>
                </c:pt>
                <c:pt idx="2">
                  <c:v>1026.4601422472872</c:v>
                </c:pt>
                <c:pt idx="3">
                  <c:v>924.86337230067863</c:v>
                </c:pt>
                <c:pt idx="4">
                  <c:v>826.9962018424452</c:v>
                </c:pt>
                <c:pt idx="5">
                  <c:v>728.38132407338799</c:v>
                </c:pt>
                <c:pt idx="6">
                  <c:v>838.33232341873565</c:v>
                </c:pt>
                <c:pt idx="7">
                  <c:v>948.00017582767396</c:v>
                </c:pt>
                <c:pt idx="8">
                  <c:v>1052.8376606045488</c:v>
                </c:pt>
                <c:pt idx="9">
                  <c:v>1161.7976673492083</c:v>
                </c:pt>
                <c:pt idx="10">
                  <c:v>1270.4968165088494</c:v>
                </c:pt>
                <c:pt idx="11">
                  <c:v>1406.3740903018656</c:v>
                </c:pt>
                <c:pt idx="12">
                  <c:v>1541.8135322914363</c:v>
                </c:pt>
                <c:pt idx="13">
                  <c:v>1675.7826360665654</c:v>
                </c:pt>
                <c:pt idx="14">
                  <c:v>1810.3698091070112</c:v>
                </c:pt>
                <c:pt idx="15">
                  <c:v>1944.5141000752865</c:v>
                </c:pt>
                <c:pt idx="16">
                  <c:v>1895.6599142508051</c:v>
                </c:pt>
                <c:pt idx="17">
                  <c:v>1847.0590298024658</c:v>
                </c:pt>
                <c:pt idx="18">
                  <c:v>1797.7715149329067</c:v>
                </c:pt>
                <c:pt idx="19">
                  <c:v>1749.6880054780345</c:v>
                </c:pt>
                <c:pt idx="20">
                  <c:v>1701.8243520075091</c:v>
                </c:pt>
                <c:pt idx="21">
                  <c:v>1701.9893566343837</c:v>
                </c:pt>
                <c:pt idx="22">
                  <c:v>1702.2096981675973</c:v>
                </c:pt>
                <c:pt idx="23">
                  <c:v>1702.4175286934283</c:v>
                </c:pt>
                <c:pt idx="24">
                  <c:v>1702.6114388482245</c:v>
                </c:pt>
              </c:numCache>
            </c:numRef>
          </c:val>
          <c:extLst>
            <c:ext xmlns:c16="http://schemas.microsoft.com/office/drawing/2014/chart" uri="{C3380CC4-5D6E-409C-BE32-E72D297353CC}">
              <c16:uniqueId val="{00000005-43C9-44BB-A9BD-A719CD7C8164}"/>
            </c:ext>
          </c:extLst>
        </c:ser>
        <c:ser>
          <c:idx val="6"/>
          <c:order val="6"/>
          <c:tx>
            <c:strRef>
              <c:f>'Results ReCiPe (E) - RD'!$AB$220</c:f>
              <c:strCache>
                <c:ptCount val="1"/>
                <c:pt idx="0">
                  <c:v>Operation - geological storage</c:v>
                </c:pt>
              </c:strCache>
            </c:strRef>
          </c:tx>
          <c:spPr>
            <a:solidFill>
              <a:schemeClr val="accent2">
                <a:lumMod val="50000"/>
              </a:schemeClr>
            </a:solidFill>
            <a:ln>
              <a:noFill/>
            </a:ln>
            <a:effectLst/>
          </c:spPr>
          <c:invertIfNegative val="0"/>
          <c:cat>
            <c:numRef>
              <c:f>'Results ReCiPe (E) - RD'!$AC$213:$BA$213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RD'!$AC$220:$BA$220</c:f>
              <c:numCache>
                <c:formatCode>0.00E+00</c:formatCode>
                <c:ptCount val="25"/>
                <c:pt idx="0">
                  <c:v>123.02041989163439</c:v>
                </c:pt>
                <c:pt idx="1">
                  <c:v>113.168355221741</c:v>
                </c:pt>
                <c:pt idx="2">
                  <c:v>103.3105466624649</c:v>
                </c:pt>
                <c:pt idx="3">
                  <c:v>92.995621550295454</c:v>
                </c:pt>
                <c:pt idx="4">
                  <c:v>83.111714201283888</c:v>
                </c:pt>
                <c:pt idx="5">
                  <c:v>73.223729729510069</c:v>
                </c:pt>
                <c:pt idx="6">
                  <c:v>83.884832308648711</c:v>
                </c:pt>
                <c:pt idx="7">
                  <c:v>94.471920332828333</c:v>
                </c:pt>
                <c:pt idx="8">
                  <c:v>104.54458438611429</c:v>
                </c:pt>
                <c:pt idx="9">
                  <c:v>114.97113745009231</c:v>
                </c:pt>
                <c:pt idx="10">
                  <c:v>125.3262553775311</c:v>
                </c:pt>
                <c:pt idx="11">
                  <c:v>138.53033504075449</c:v>
                </c:pt>
                <c:pt idx="12">
                  <c:v>151.7142805666696</c:v>
                </c:pt>
                <c:pt idx="13">
                  <c:v>164.7782457633767</c:v>
                </c:pt>
                <c:pt idx="14">
                  <c:v>177.9241906952733</c:v>
                </c:pt>
                <c:pt idx="15">
                  <c:v>191.0494282034141</c:v>
                </c:pt>
                <c:pt idx="16">
                  <c:v>187.01387471032581</c:v>
                </c:pt>
                <c:pt idx="17">
                  <c:v>182.9611295071519</c:v>
                </c:pt>
                <c:pt idx="18">
                  <c:v>178.79993755321081</c:v>
                </c:pt>
                <c:pt idx="19">
                  <c:v>174.7147434167785</c:v>
                </c:pt>
                <c:pt idx="20">
                  <c:v>170.61144881673999</c:v>
                </c:pt>
                <c:pt idx="21">
                  <c:v>170.41214540435371</c:v>
                </c:pt>
                <c:pt idx="22">
                  <c:v>170.2215706332619</c:v>
                </c:pt>
                <c:pt idx="23">
                  <c:v>170.02960896366901</c:v>
                </c:pt>
                <c:pt idx="24">
                  <c:v>169.83604940899738</c:v>
                </c:pt>
              </c:numCache>
            </c:numRef>
          </c:val>
          <c:extLst>
            <c:ext xmlns:c16="http://schemas.microsoft.com/office/drawing/2014/chart" uri="{C3380CC4-5D6E-409C-BE32-E72D297353CC}">
              <c16:uniqueId val="{00000006-43C9-44BB-A9BD-A719CD7C8164}"/>
            </c:ext>
          </c:extLst>
        </c:ser>
        <c:ser>
          <c:idx val="7"/>
          <c:order val="7"/>
          <c:tx>
            <c:strRef>
              <c:f>'Results ReCiPe (E) - RD'!$AB$221</c:f>
              <c:strCache>
                <c:ptCount val="1"/>
                <c:pt idx="0">
                  <c:v>CO2 captured and stored</c:v>
                </c:pt>
              </c:strCache>
            </c:strRef>
          </c:tx>
          <c:spPr>
            <a:solidFill>
              <a:schemeClr val="tx2">
                <a:lumMod val="20000"/>
                <a:lumOff val="80000"/>
              </a:schemeClr>
            </a:solidFill>
            <a:ln>
              <a:noFill/>
            </a:ln>
            <a:effectLst/>
          </c:spPr>
          <c:invertIfNegative val="0"/>
          <c:cat>
            <c:numRef>
              <c:f>'Results ReCiPe (E) - RD'!$AC$213:$BA$213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RD'!$AC$221:$BA$221</c:f>
              <c:numCache>
                <c:formatCode>0.00E+00</c:formatCode>
                <c:ptCount val="25"/>
              </c:numCache>
            </c:numRef>
          </c:val>
          <c:extLst>
            <c:ext xmlns:c16="http://schemas.microsoft.com/office/drawing/2014/chart" uri="{C3380CC4-5D6E-409C-BE32-E72D297353CC}">
              <c16:uniqueId val="{00000007-43C9-44BB-A9BD-A719CD7C8164}"/>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(E) - RD'!$AB$222</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cat>
            <c:numRef>
              <c:f>'Results ReCiPe (E) - RD'!$AC$213:$BA$213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RD'!$AC$222:$BA$222</c:f>
              <c:numCache>
                <c:formatCode>0.00E+00</c:formatCode>
                <c:ptCount val="25"/>
                <c:pt idx="0">
                  <c:v>4417.4072424295191</c:v>
                </c:pt>
                <c:pt idx="1">
                  <c:v>1235.810406157836</c:v>
                </c:pt>
                <c:pt idx="2">
                  <c:v>1129.7706889097522</c:v>
                </c:pt>
                <c:pt idx="3">
                  <c:v>1130.452495235176</c:v>
                </c:pt>
                <c:pt idx="4">
                  <c:v>910.10791604372912</c:v>
                </c:pt>
                <c:pt idx="5">
                  <c:v>801.60505380289806</c:v>
                </c:pt>
                <c:pt idx="6">
                  <c:v>1034.5413326670714</c:v>
                </c:pt>
                <c:pt idx="7">
                  <c:v>1042.4720961605024</c:v>
                </c:pt>
                <c:pt idx="8">
                  <c:v>1157.3822449906631</c:v>
                </c:pt>
                <c:pt idx="9">
                  <c:v>1390.0938056832674</c:v>
                </c:pt>
                <c:pt idx="10">
                  <c:v>1395.8230718863806</c:v>
                </c:pt>
                <c:pt idx="11">
                  <c:v>1544.90442534262</c:v>
                </c:pt>
                <c:pt idx="12">
                  <c:v>1807.2536291015056</c:v>
                </c:pt>
                <c:pt idx="13">
                  <c:v>1840.560881829942</c:v>
                </c:pt>
                <c:pt idx="14">
                  <c:v>1988.2939998022844</c:v>
                </c:pt>
                <c:pt idx="15">
                  <c:v>2249.0703238079809</c:v>
                </c:pt>
                <c:pt idx="16">
                  <c:v>2082.6737889611309</c:v>
                </c:pt>
                <c:pt idx="17">
                  <c:v>2030.0201593096176</c:v>
                </c:pt>
                <c:pt idx="18">
                  <c:v>2088.930911614771</c:v>
                </c:pt>
                <c:pt idx="19">
                  <c:v>1924.4027488948129</c:v>
                </c:pt>
                <c:pt idx="20">
                  <c:v>1872.4358008242491</c:v>
                </c:pt>
                <c:pt idx="21">
                  <c:v>1984.0232707467105</c:v>
                </c:pt>
                <c:pt idx="22">
                  <c:v>1872.4312688008592</c:v>
                </c:pt>
                <c:pt idx="23">
                  <c:v>1872.4471376570973</c:v>
                </c:pt>
                <c:pt idx="24">
                  <c:v>2023.9075544976049</c:v>
                </c:pt>
              </c:numCache>
            </c:numRef>
          </c:val>
          <c:smooth val="0"/>
          <c:extLst>
            <c:ext xmlns:c16="http://schemas.microsoft.com/office/drawing/2014/chart" uri="{C3380CC4-5D6E-409C-BE32-E72D297353CC}">
              <c16:uniqueId val="{00000008-43C9-44BB-A9BD-A719CD7C8164}"/>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Resource damage</a:t>
                </a:r>
              </a:p>
              <a:p>
                <a:pPr algn="ctr" rtl="0">
                  <a:defRPr/>
                </a:pPr>
                <a:r>
                  <a:rPr lang="nl-NL"/>
                  <a:t>[USD2013/ton CO2 captured and stored)</a:t>
                </a:r>
                <a:endParaRPr lang="en-NL"/>
              </a:p>
              <a:p>
                <a:pPr algn="ctr" rtl="0">
                  <a:defRPr/>
                </a:pPr>
                <a:endParaRPr lang="nl-NL"/>
              </a:p>
            </c:rich>
          </c:tx>
          <c:layout>
            <c:manualLayout>
              <c:xMode val="edge"/>
              <c:yMode val="edge"/>
              <c:x val="6.7964303221400941E-3"/>
              <c:y val="0.15891094104477338"/>
            </c:manualLayout>
          </c:layout>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26879729621161"/>
          <c:y val="5.4106329588493672E-2"/>
          <c:w val="0.87797394606685986"/>
          <c:h val="0.75500483548693564"/>
        </c:manualLayout>
      </c:layout>
      <c:barChart>
        <c:barDir val="col"/>
        <c:grouping val="stacked"/>
        <c:varyColors val="0"/>
        <c:ser>
          <c:idx val="0"/>
          <c:order val="0"/>
          <c:tx>
            <c:strRef>
              <c:f>'Results ReCiPe (E) - RD'!$AB$274</c:f>
              <c:strCache>
                <c:ptCount val="1"/>
                <c:pt idx="0">
                  <c:v>Construction - DAC</c:v>
                </c:pt>
              </c:strCache>
            </c:strRef>
          </c:tx>
          <c:spPr>
            <a:solidFill>
              <a:schemeClr val="accent4">
                <a:lumMod val="75000"/>
              </a:schemeClr>
            </a:solidFill>
            <a:ln>
              <a:noFill/>
            </a:ln>
            <a:effectLst/>
          </c:spPr>
          <c:invertIfNegative val="0"/>
          <c:cat>
            <c:numRef>
              <c:f>'Results ReCiPe (E) - RD'!$AC$273:$BA$273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RD'!$AC$274:$BA$274</c:f>
              <c:numCache>
                <c:formatCode>0.00E+00</c:formatCode>
                <c:ptCount val="25"/>
                <c:pt idx="0">
                  <c:v>2917.0162501260224</c:v>
                </c:pt>
              </c:numCache>
            </c:numRef>
          </c:val>
          <c:extLst>
            <c:ext xmlns:c16="http://schemas.microsoft.com/office/drawing/2014/chart" uri="{C3380CC4-5D6E-409C-BE32-E72D297353CC}">
              <c16:uniqueId val="{00000000-583C-4AEA-9578-5413001E7DA1}"/>
            </c:ext>
          </c:extLst>
        </c:ser>
        <c:ser>
          <c:idx val="1"/>
          <c:order val="1"/>
          <c:tx>
            <c:strRef>
              <c:f>'Results ReCiPe (E) - RD'!$AB$275</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(E) - RD'!$AC$273:$BA$273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RD'!$AC$275:$BA$275</c:f>
              <c:numCache>
                <c:formatCode>0.00E+00</c:formatCode>
                <c:ptCount val="25"/>
                <c:pt idx="0">
                  <c:v>136.16680198893101</c:v>
                </c:pt>
              </c:numCache>
            </c:numRef>
          </c:val>
          <c:extLst>
            <c:ext xmlns:c16="http://schemas.microsoft.com/office/drawing/2014/chart" uri="{C3380CC4-5D6E-409C-BE32-E72D297353CC}">
              <c16:uniqueId val="{00000001-583C-4AEA-9578-5413001E7DA1}"/>
            </c:ext>
          </c:extLst>
        </c:ser>
        <c:ser>
          <c:idx val="2"/>
          <c:order val="2"/>
          <c:tx>
            <c:strRef>
              <c:f>'Results ReCiPe (E) - RD'!$AB$276</c:f>
              <c:strCache>
                <c:ptCount val="1"/>
                <c:pt idx="0">
                  <c:v>Deconstruction - DAC</c:v>
                </c:pt>
              </c:strCache>
            </c:strRef>
          </c:tx>
          <c:spPr>
            <a:solidFill>
              <a:schemeClr val="accent2">
                <a:lumMod val="40000"/>
                <a:lumOff val="60000"/>
              </a:schemeClr>
            </a:solidFill>
            <a:ln>
              <a:noFill/>
            </a:ln>
            <a:effectLst/>
          </c:spPr>
          <c:invertIfNegative val="0"/>
          <c:cat>
            <c:numRef>
              <c:f>'Results ReCiPe (E) - RD'!$AC$273:$BA$273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RD'!$AC$276:$BA$276</c:f>
              <c:numCache>
                <c:formatCode>0.00E+00</c:formatCode>
                <c:ptCount val="25"/>
                <c:pt idx="24">
                  <c:v>46.163153956689108</c:v>
                </c:pt>
              </c:numCache>
            </c:numRef>
          </c:val>
          <c:extLst>
            <c:ext xmlns:c16="http://schemas.microsoft.com/office/drawing/2014/chart" uri="{C3380CC4-5D6E-409C-BE32-E72D297353CC}">
              <c16:uniqueId val="{00000002-583C-4AEA-9578-5413001E7DA1}"/>
            </c:ext>
          </c:extLst>
        </c:ser>
        <c:ser>
          <c:idx val="3"/>
          <c:order val="3"/>
          <c:tx>
            <c:strRef>
              <c:f>'Results ReCiPe (E) - RD'!$AB$277</c:f>
              <c:strCache>
                <c:ptCount val="1"/>
                <c:pt idx="0">
                  <c:v>Deconstruction - geological storage</c:v>
                </c:pt>
              </c:strCache>
            </c:strRef>
          </c:tx>
          <c:spPr>
            <a:solidFill>
              <a:srgbClr val="FF9900"/>
            </a:solidFill>
            <a:ln>
              <a:noFill/>
            </a:ln>
            <a:effectLst/>
          </c:spPr>
          <c:invertIfNegative val="0"/>
          <c:cat>
            <c:numRef>
              <c:f>'Results ReCiPe (E) - RD'!$AC$273:$BA$273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RD'!$AC$277:$BA$277</c:f>
              <c:numCache>
                <c:formatCode>0.00E+00</c:formatCode>
                <c:ptCount val="25"/>
                <c:pt idx="24">
                  <c:v>0.67517771837177276</c:v>
                </c:pt>
              </c:numCache>
            </c:numRef>
          </c:val>
          <c:extLst>
            <c:ext xmlns:c16="http://schemas.microsoft.com/office/drawing/2014/chart" uri="{C3380CC4-5D6E-409C-BE32-E72D297353CC}">
              <c16:uniqueId val="{00000003-583C-4AEA-9578-5413001E7DA1}"/>
            </c:ext>
          </c:extLst>
        </c:ser>
        <c:ser>
          <c:idx val="4"/>
          <c:order val="4"/>
          <c:tx>
            <c:strRef>
              <c:f>'Results ReCiPe (E) - RD'!$AB$278</c:f>
              <c:strCache>
                <c:ptCount val="1"/>
                <c:pt idx="0">
                  <c:v>Sorbent material</c:v>
                </c:pt>
              </c:strCache>
            </c:strRef>
          </c:tx>
          <c:spPr>
            <a:solidFill>
              <a:srgbClr val="FF8F8F"/>
            </a:solidFill>
            <a:ln>
              <a:noFill/>
            </a:ln>
            <a:effectLst/>
          </c:spPr>
          <c:invertIfNegative val="0"/>
          <c:cat>
            <c:numRef>
              <c:f>'Results ReCiPe (E) - RD'!$AC$273:$BA$273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RD'!$AC$278:$BA$278</c:f>
              <c:numCache>
                <c:formatCode>0.00E+00</c:formatCode>
                <c:ptCount val="25"/>
                <c:pt idx="0">
                  <c:v>119.1904376828072</c:v>
                </c:pt>
                <c:pt idx="3">
                  <c:v>118.3718965782387</c:v>
                </c:pt>
                <c:pt idx="6">
                  <c:v>118.2908864371209</c:v>
                </c:pt>
                <c:pt idx="9">
                  <c:v>117.82210845498651</c:v>
                </c:pt>
                <c:pt idx="12">
                  <c:v>117.9174008500527</c:v>
                </c:pt>
                <c:pt idx="15">
                  <c:v>117.9147244662052</c:v>
                </c:pt>
                <c:pt idx="18">
                  <c:v>117.61608634126139</c:v>
                </c:pt>
                <c:pt idx="21">
                  <c:v>117.44781323215599</c:v>
                </c:pt>
                <c:pt idx="24">
                  <c:v>117.264158753236</c:v>
                </c:pt>
              </c:numCache>
            </c:numRef>
          </c:val>
          <c:extLst>
            <c:ext xmlns:c16="http://schemas.microsoft.com/office/drawing/2014/chart" uri="{C3380CC4-5D6E-409C-BE32-E72D297353CC}">
              <c16:uniqueId val="{00000004-583C-4AEA-9578-5413001E7DA1}"/>
            </c:ext>
          </c:extLst>
        </c:ser>
        <c:ser>
          <c:idx val="5"/>
          <c:order val="5"/>
          <c:tx>
            <c:strRef>
              <c:f>'Results ReCiPe (E) - RD'!$AB$279</c:f>
              <c:strCache>
                <c:ptCount val="1"/>
                <c:pt idx="0">
                  <c:v>Battery</c:v>
                </c:pt>
              </c:strCache>
            </c:strRef>
          </c:tx>
          <c:spPr>
            <a:solidFill>
              <a:schemeClr val="accent6">
                <a:lumMod val="50000"/>
              </a:schemeClr>
            </a:solidFill>
            <a:ln>
              <a:noFill/>
            </a:ln>
            <a:effectLst/>
          </c:spPr>
          <c:invertIfNegative val="0"/>
          <c:cat>
            <c:numRef>
              <c:f>'Results ReCiPe (E) - RD'!$AC$273:$BA$273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RD'!$AC$279:$BA$279</c:f>
              <c:numCache>
                <c:formatCode>0.00E+00</c:formatCode>
                <c:ptCount val="25"/>
                <c:pt idx="0">
                  <c:v>438.74984827748796</c:v>
                </c:pt>
                <c:pt idx="1">
                  <c:v>438.74984827748796</c:v>
                </c:pt>
                <c:pt idx="2">
                  <c:v>438.74984827748796</c:v>
                </c:pt>
                <c:pt idx="3">
                  <c:v>438.74984827748796</c:v>
                </c:pt>
                <c:pt idx="4">
                  <c:v>438.74984827748796</c:v>
                </c:pt>
                <c:pt idx="5">
                  <c:v>438.74984827748796</c:v>
                </c:pt>
                <c:pt idx="6">
                  <c:v>438.74984827748796</c:v>
                </c:pt>
                <c:pt idx="7">
                  <c:v>438.74984827748796</c:v>
                </c:pt>
                <c:pt idx="8">
                  <c:v>438.74984827748796</c:v>
                </c:pt>
                <c:pt idx="9">
                  <c:v>438.74984827748796</c:v>
                </c:pt>
                <c:pt idx="10">
                  <c:v>438.74984827748796</c:v>
                </c:pt>
                <c:pt idx="11">
                  <c:v>438.74984827748796</c:v>
                </c:pt>
                <c:pt idx="12">
                  <c:v>438.74984827748796</c:v>
                </c:pt>
                <c:pt idx="13">
                  <c:v>438.74984827748796</c:v>
                </c:pt>
                <c:pt idx="14">
                  <c:v>438.74984827748796</c:v>
                </c:pt>
                <c:pt idx="15">
                  <c:v>438.74984827748796</c:v>
                </c:pt>
                <c:pt idx="16">
                  <c:v>438.74984827748796</c:v>
                </c:pt>
                <c:pt idx="17">
                  <c:v>438.74984827748796</c:v>
                </c:pt>
                <c:pt idx="18">
                  <c:v>438.74984827748796</c:v>
                </c:pt>
                <c:pt idx="19">
                  <c:v>438.74984827748796</c:v>
                </c:pt>
                <c:pt idx="20">
                  <c:v>438.74984827748796</c:v>
                </c:pt>
                <c:pt idx="21">
                  <c:v>438.74984827748796</c:v>
                </c:pt>
                <c:pt idx="22">
                  <c:v>438.74984827748796</c:v>
                </c:pt>
                <c:pt idx="23">
                  <c:v>438.74984827748796</c:v>
                </c:pt>
                <c:pt idx="24">
                  <c:v>438.74984827748796</c:v>
                </c:pt>
              </c:numCache>
            </c:numRef>
          </c:val>
          <c:extLst>
            <c:ext xmlns:c16="http://schemas.microsoft.com/office/drawing/2014/chart" uri="{C3380CC4-5D6E-409C-BE32-E72D297353CC}">
              <c16:uniqueId val="{00000005-583C-4AEA-9578-5413001E7DA1}"/>
            </c:ext>
          </c:extLst>
        </c:ser>
        <c:ser>
          <c:idx val="6"/>
          <c:order val="6"/>
          <c:tx>
            <c:strRef>
              <c:f>'Results ReCiPe (E) - RD'!$AB$280</c:f>
              <c:strCache>
                <c:ptCount val="1"/>
                <c:pt idx="0">
                  <c:v>Operation - DAC</c:v>
                </c:pt>
              </c:strCache>
            </c:strRef>
          </c:tx>
          <c:spPr>
            <a:solidFill>
              <a:schemeClr val="accent2">
                <a:lumMod val="75000"/>
              </a:schemeClr>
            </a:solidFill>
            <a:ln>
              <a:noFill/>
            </a:ln>
            <a:effectLst/>
          </c:spPr>
          <c:invertIfNegative val="0"/>
          <c:cat>
            <c:numRef>
              <c:f>'Results ReCiPe (E) - RD'!$AC$273:$BA$273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RD'!$AC$280:$BA$280</c:f>
              <c:numCache>
                <c:formatCode>0.00E+00</c:formatCode>
                <c:ptCount val="25"/>
                <c:pt idx="0">
                  <c:v>360.43199555124954</c:v>
                </c:pt>
                <c:pt idx="1">
                  <c:v>359.56048865248164</c:v>
                </c:pt>
                <c:pt idx="2">
                  <c:v>358.70701328240875</c:v>
                </c:pt>
                <c:pt idx="3">
                  <c:v>354.42405801937088</c:v>
                </c:pt>
                <c:pt idx="4">
                  <c:v>353.61258894317245</c:v>
                </c:pt>
                <c:pt idx="5">
                  <c:v>352.81302049488261</c:v>
                </c:pt>
                <c:pt idx="6">
                  <c:v>352.10165730160855</c:v>
                </c:pt>
                <c:pt idx="7">
                  <c:v>351.4180641063333</c:v>
                </c:pt>
                <c:pt idx="8">
                  <c:v>348.37810888889817</c:v>
                </c:pt>
                <c:pt idx="9">
                  <c:v>347.75979936182483</c:v>
                </c:pt>
                <c:pt idx="10">
                  <c:v>347.16193610281425</c:v>
                </c:pt>
                <c:pt idx="11">
                  <c:v>346.86758657794502</c:v>
                </c:pt>
                <c:pt idx="12">
                  <c:v>346.59673296837218</c:v>
                </c:pt>
                <c:pt idx="13">
                  <c:v>345.68852907027565</c:v>
                </c:pt>
                <c:pt idx="14">
                  <c:v>345.46683633641948</c:v>
                </c:pt>
                <c:pt idx="15">
                  <c:v>345.27596023425195</c:v>
                </c:pt>
                <c:pt idx="16">
                  <c:v>344.84465948807332</c:v>
                </c:pt>
                <c:pt idx="17">
                  <c:v>344.41415124570079</c:v>
                </c:pt>
                <c:pt idx="18">
                  <c:v>343.33933376331476</c:v>
                </c:pt>
                <c:pt idx="19">
                  <c:v>342.91662910248294</c:v>
                </c:pt>
                <c:pt idx="20">
                  <c:v>342.49384838486969</c:v>
                </c:pt>
                <c:pt idx="21">
                  <c:v>342.13315208535988</c:v>
                </c:pt>
                <c:pt idx="22">
                  <c:v>341.77644692212669</c:v>
                </c:pt>
                <c:pt idx="23">
                  <c:v>341.4231806226652</c:v>
                </c:pt>
                <c:pt idx="24">
                  <c:v>341.07310734926216</c:v>
                </c:pt>
              </c:numCache>
            </c:numRef>
          </c:val>
          <c:extLst>
            <c:ext xmlns:c16="http://schemas.microsoft.com/office/drawing/2014/chart" uri="{C3380CC4-5D6E-409C-BE32-E72D297353CC}">
              <c16:uniqueId val="{00000006-583C-4AEA-9578-5413001E7DA1}"/>
            </c:ext>
          </c:extLst>
        </c:ser>
        <c:ser>
          <c:idx val="7"/>
          <c:order val="7"/>
          <c:tx>
            <c:strRef>
              <c:f>'Results ReCiPe (E) - RD'!$AB$281</c:f>
              <c:strCache>
                <c:ptCount val="1"/>
                <c:pt idx="0">
                  <c:v>Operation - geological storage</c:v>
                </c:pt>
              </c:strCache>
            </c:strRef>
          </c:tx>
          <c:spPr>
            <a:solidFill>
              <a:schemeClr val="accent2">
                <a:lumMod val="50000"/>
              </a:schemeClr>
            </a:solidFill>
            <a:ln>
              <a:noFill/>
            </a:ln>
            <a:effectLst/>
          </c:spPr>
          <c:invertIfNegative val="0"/>
          <c:cat>
            <c:numRef>
              <c:f>'Results ReCiPe (E) - RD'!$AC$273:$BA$273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RD'!$AC$281:$BA$281</c:f>
              <c:numCache>
                <c:formatCode>0.00E+00</c:formatCode>
                <c:ptCount val="25"/>
                <c:pt idx="0">
                  <c:v>106.87808226696225</c:v>
                </c:pt>
                <c:pt idx="1">
                  <c:v>107.05658682298515</c:v>
                </c:pt>
                <c:pt idx="2">
                  <c:v>107.23670582903256</c:v>
                </c:pt>
                <c:pt idx="3">
                  <c:v>107.23125558144311</c:v>
                </c:pt>
                <c:pt idx="4">
                  <c:v>107.41694067358105</c:v>
                </c:pt>
                <c:pt idx="5">
                  <c:v>107.60406187386045</c:v>
                </c:pt>
                <c:pt idx="6">
                  <c:v>110.83085061438265</c:v>
                </c:pt>
                <c:pt idx="7">
                  <c:v>114.04369857120984</c:v>
                </c:pt>
                <c:pt idx="8">
                  <c:v>117.10502913191789</c:v>
                </c:pt>
                <c:pt idx="9">
                  <c:v>120.29612263392291</c:v>
                </c:pt>
                <c:pt idx="10">
                  <c:v>123.47437586163051</c:v>
                </c:pt>
                <c:pt idx="11">
                  <c:v>127.0373127296314</c:v>
                </c:pt>
                <c:pt idx="12">
                  <c:v>130.59621749943196</c:v>
                </c:pt>
                <c:pt idx="13">
                  <c:v>134.11908187508715</c:v>
                </c:pt>
                <c:pt idx="14">
                  <c:v>137.66981880112635</c:v>
                </c:pt>
                <c:pt idx="15">
                  <c:v>141.21591878468885</c:v>
                </c:pt>
                <c:pt idx="16">
                  <c:v>144.72200240622419</c:v>
                </c:pt>
                <c:pt idx="17">
                  <c:v>148.2223714625197</c:v>
                </c:pt>
                <c:pt idx="18">
                  <c:v>151.68890081049815</c:v>
                </c:pt>
                <c:pt idx="19">
                  <c:v>155.18020252083636</c:v>
                </c:pt>
                <c:pt idx="20">
                  <c:v>158.6672258964592</c:v>
                </c:pt>
                <c:pt idx="21">
                  <c:v>157.5628850754247</c:v>
                </c:pt>
                <c:pt idx="22">
                  <c:v>156.46565051574598</c:v>
                </c:pt>
                <c:pt idx="23">
                  <c:v>155.37115971006904</c:v>
                </c:pt>
                <c:pt idx="24">
                  <c:v>154.27930700259219</c:v>
                </c:pt>
              </c:numCache>
            </c:numRef>
          </c:val>
          <c:extLst>
            <c:ext xmlns:c16="http://schemas.microsoft.com/office/drawing/2014/chart" uri="{C3380CC4-5D6E-409C-BE32-E72D297353CC}">
              <c16:uniqueId val="{00000007-583C-4AEA-9578-5413001E7DA1}"/>
            </c:ext>
          </c:extLst>
        </c:ser>
        <c:ser>
          <c:idx val="8"/>
          <c:order val="8"/>
          <c:tx>
            <c:strRef>
              <c:f>'Results ReCiPe (E) - RD'!$AB$282</c:f>
              <c:strCache>
                <c:ptCount val="1"/>
                <c:pt idx="0">
                  <c:v>CO2 captured and stored</c:v>
                </c:pt>
              </c:strCache>
            </c:strRef>
          </c:tx>
          <c:spPr>
            <a:solidFill>
              <a:schemeClr val="tx2">
                <a:lumMod val="20000"/>
                <a:lumOff val="80000"/>
              </a:schemeClr>
            </a:solidFill>
            <a:ln>
              <a:noFill/>
            </a:ln>
            <a:effectLst/>
          </c:spPr>
          <c:invertIfNegative val="0"/>
          <c:cat>
            <c:numRef>
              <c:f>'Results ReCiPe (E) - RD'!$AC$273:$BA$273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RD'!$AC$282:$BA$282</c:f>
              <c:numCache>
                <c:formatCode>0.00E+00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8-583C-4AEA-9578-5413001E7DA1}"/>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(E) - RD'!$AB$283</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cat>
            <c:numRef>
              <c:f>'Results ReCiPe (E) - RD'!$AC$273:$BA$273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RD'!$AC$283:$BA$283</c:f>
              <c:numCache>
                <c:formatCode>0.00E+00</c:formatCode>
                <c:ptCount val="25"/>
                <c:pt idx="0">
                  <c:v>4078.4334158934607</c:v>
                </c:pt>
                <c:pt idx="1">
                  <c:v>905.36692375295479</c:v>
                </c:pt>
                <c:pt idx="2">
                  <c:v>904.69356738892918</c:v>
                </c:pt>
                <c:pt idx="3">
                  <c:v>1018.7770584565405</c:v>
                </c:pt>
                <c:pt idx="4">
                  <c:v>899.77937789424152</c:v>
                </c:pt>
                <c:pt idx="5">
                  <c:v>899.16693064623109</c:v>
                </c:pt>
                <c:pt idx="6">
                  <c:v>1019.9732426306</c:v>
                </c:pt>
                <c:pt idx="7">
                  <c:v>904.21161095503101</c:v>
                </c:pt>
                <c:pt idx="8">
                  <c:v>904.23298629830401</c:v>
                </c:pt>
                <c:pt idx="9">
                  <c:v>1024.6278787282224</c:v>
                </c:pt>
                <c:pt idx="10">
                  <c:v>909.38616024193266</c:v>
                </c:pt>
                <c:pt idx="11">
                  <c:v>912.65474758506434</c:v>
                </c:pt>
                <c:pt idx="12">
                  <c:v>1033.8601995953447</c:v>
                </c:pt>
                <c:pt idx="13">
                  <c:v>918.55745922285087</c:v>
                </c:pt>
                <c:pt idx="14">
                  <c:v>921.88650341503376</c:v>
                </c:pt>
                <c:pt idx="15">
                  <c:v>1043.1564517626341</c:v>
                </c:pt>
                <c:pt idx="16">
                  <c:v>928.31651017178547</c:v>
                </c:pt>
                <c:pt idx="17">
                  <c:v>931.38637098570848</c:v>
                </c:pt>
                <c:pt idx="18">
                  <c:v>1051.3941691925622</c:v>
                </c:pt>
                <c:pt idx="19">
                  <c:v>936.84667990080732</c:v>
                </c:pt>
                <c:pt idx="20">
                  <c:v>939.91092255881688</c:v>
                </c:pt>
                <c:pt idx="21">
                  <c:v>1055.8936986704284</c:v>
                </c:pt>
                <c:pt idx="22">
                  <c:v>936.99194571536066</c:v>
                </c:pt>
                <c:pt idx="23">
                  <c:v>935.54418861022225</c:v>
                </c:pt>
                <c:pt idx="24">
                  <c:v>1098.2047530576392</c:v>
                </c:pt>
              </c:numCache>
            </c:numRef>
          </c:val>
          <c:smooth val="0"/>
          <c:extLst>
            <c:ext xmlns:c16="http://schemas.microsoft.com/office/drawing/2014/chart" uri="{C3380CC4-5D6E-409C-BE32-E72D297353CC}">
              <c16:uniqueId val="{00000009-583C-4AEA-9578-5413001E7DA1}"/>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Resource damage</a:t>
                </a:r>
              </a:p>
              <a:p>
                <a:pPr algn="ctr" rtl="0">
                  <a:defRPr/>
                </a:pPr>
                <a:r>
                  <a:rPr lang="nl-NL"/>
                  <a:t>[USD2013/ton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(E) - RD'!$AB$334</c:f>
              <c:strCache>
                <c:ptCount val="1"/>
                <c:pt idx="0">
                  <c:v>Construction - DAC</c:v>
                </c:pt>
              </c:strCache>
            </c:strRef>
          </c:tx>
          <c:spPr>
            <a:solidFill>
              <a:schemeClr val="accent4">
                <a:lumMod val="75000"/>
              </a:schemeClr>
            </a:solidFill>
            <a:ln>
              <a:noFill/>
            </a:ln>
            <a:effectLst/>
          </c:spPr>
          <c:invertIfNegative val="0"/>
          <c:cat>
            <c:numRef>
              <c:f>'Results ReCiPe (E) - RD'!$AC$333:$BA$333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RD'!$AC$334:$BA$334</c:f>
              <c:numCache>
                <c:formatCode>0.00E+00</c:formatCode>
                <c:ptCount val="25"/>
                <c:pt idx="0">
                  <c:v>2845.4572022954248</c:v>
                </c:pt>
              </c:numCache>
            </c:numRef>
          </c:val>
          <c:extLst>
            <c:ext xmlns:c16="http://schemas.microsoft.com/office/drawing/2014/chart" uri="{C3380CC4-5D6E-409C-BE32-E72D297353CC}">
              <c16:uniqueId val="{00000000-C488-456A-B1C8-BB99CDF44D80}"/>
            </c:ext>
          </c:extLst>
        </c:ser>
        <c:ser>
          <c:idx val="1"/>
          <c:order val="1"/>
          <c:tx>
            <c:strRef>
              <c:f>'Results ReCiPe (E) - RD'!$AB$335</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(E) - RD'!$AC$333:$BA$333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RD'!$AC$335:$BA$335</c:f>
              <c:numCache>
                <c:formatCode>0.00E+00</c:formatCode>
                <c:ptCount val="25"/>
                <c:pt idx="0">
                  <c:v>134.47314994416075</c:v>
                </c:pt>
              </c:numCache>
            </c:numRef>
          </c:val>
          <c:extLst>
            <c:ext xmlns:c16="http://schemas.microsoft.com/office/drawing/2014/chart" uri="{C3380CC4-5D6E-409C-BE32-E72D297353CC}">
              <c16:uniqueId val="{00000001-C488-456A-B1C8-BB99CDF44D80}"/>
            </c:ext>
          </c:extLst>
        </c:ser>
        <c:ser>
          <c:idx val="2"/>
          <c:order val="2"/>
          <c:tx>
            <c:strRef>
              <c:f>'Results ReCiPe (E) - RD'!$AB$336</c:f>
              <c:strCache>
                <c:ptCount val="1"/>
                <c:pt idx="0">
                  <c:v>Deconstruction - DAC</c:v>
                </c:pt>
              </c:strCache>
            </c:strRef>
          </c:tx>
          <c:spPr>
            <a:solidFill>
              <a:schemeClr val="accent2">
                <a:lumMod val="40000"/>
                <a:lumOff val="60000"/>
              </a:schemeClr>
            </a:solidFill>
            <a:ln>
              <a:noFill/>
            </a:ln>
            <a:effectLst/>
          </c:spPr>
          <c:invertIfNegative val="0"/>
          <c:cat>
            <c:numRef>
              <c:f>'Results ReCiPe (E) - RD'!$AC$333:$BA$333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RD'!$AC$336:$BA$336</c:f>
              <c:numCache>
                <c:formatCode>0.00E+00</c:formatCode>
                <c:ptCount val="25"/>
                <c:pt idx="24">
                  <c:v>41.824707218963411</c:v>
                </c:pt>
              </c:numCache>
            </c:numRef>
          </c:val>
          <c:extLst>
            <c:ext xmlns:c16="http://schemas.microsoft.com/office/drawing/2014/chart" uri="{C3380CC4-5D6E-409C-BE32-E72D297353CC}">
              <c16:uniqueId val="{00000002-C488-456A-B1C8-BB99CDF44D80}"/>
            </c:ext>
          </c:extLst>
        </c:ser>
        <c:ser>
          <c:idx val="3"/>
          <c:order val="3"/>
          <c:tx>
            <c:strRef>
              <c:f>'Results ReCiPe (E) - RD'!$AB$337</c:f>
              <c:strCache>
                <c:ptCount val="1"/>
                <c:pt idx="0">
                  <c:v>Deconstruction - geological storage</c:v>
                </c:pt>
              </c:strCache>
            </c:strRef>
          </c:tx>
          <c:spPr>
            <a:solidFill>
              <a:srgbClr val="FF9900"/>
            </a:solidFill>
            <a:ln>
              <a:noFill/>
            </a:ln>
            <a:effectLst/>
          </c:spPr>
          <c:invertIfNegative val="0"/>
          <c:cat>
            <c:numRef>
              <c:f>'Results ReCiPe (E) - RD'!$AC$333:$BA$333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RD'!$AC$337:$BA$337</c:f>
              <c:numCache>
                <c:formatCode>0.00E+00</c:formatCode>
                <c:ptCount val="25"/>
                <c:pt idx="24">
                  <c:v>0.64850850214682942</c:v>
                </c:pt>
              </c:numCache>
            </c:numRef>
          </c:val>
          <c:extLst>
            <c:ext xmlns:c16="http://schemas.microsoft.com/office/drawing/2014/chart" uri="{C3380CC4-5D6E-409C-BE32-E72D297353CC}">
              <c16:uniqueId val="{00000003-C488-456A-B1C8-BB99CDF44D80}"/>
            </c:ext>
          </c:extLst>
        </c:ser>
        <c:ser>
          <c:idx val="4"/>
          <c:order val="4"/>
          <c:tx>
            <c:strRef>
              <c:f>'Results ReCiPe (E) - RD'!$AB$338</c:f>
              <c:strCache>
                <c:ptCount val="1"/>
                <c:pt idx="0">
                  <c:v>Sorbent material</c:v>
                </c:pt>
              </c:strCache>
            </c:strRef>
          </c:tx>
          <c:spPr>
            <a:solidFill>
              <a:srgbClr val="FF8F8F"/>
            </a:solidFill>
            <a:ln>
              <a:noFill/>
            </a:ln>
            <a:effectLst/>
          </c:spPr>
          <c:invertIfNegative val="0"/>
          <c:cat>
            <c:numRef>
              <c:f>'Results ReCiPe (E) - RD'!$AC$333:$BA$333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RD'!$AC$338:$BA$338</c:f>
              <c:numCache>
                <c:formatCode>0.00E+00</c:formatCode>
                <c:ptCount val="25"/>
                <c:pt idx="0">
                  <c:v>118.1438789925995</c:v>
                </c:pt>
                <c:pt idx="3">
                  <c:v>116.6612753102726</c:v>
                </c:pt>
                <c:pt idx="6">
                  <c:v>116.18081695012491</c:v>
                </c:pt>
                <c:pt idx="9">
                  <c:v>115.90171224187471</c:v>
                </c:pt>
                <c:pt idx="12">
                  <c:v>115.3805853817795</c:v>
                </c:pt>
                <c:pt idx="15">
                  <c:v>114.3803047375598</c:v>
                </c:pt>
                <c:pt idx="18">
                  <c:v>113.57035329969089</c:v>
                </c:pt>
                <c:pt idx="21">
                  <c:v>113.03996369373409</c:v>
                </c:pt>
                <c:pt idx="24">
                  <c:v>112.7955257307044</c:v>
                </c:pt>
              </c:numCache>
            </c:numRef>
          </c:val>
          <c:extLst>
            <c:ext xmlns:c16="http://schemas.microsoft.com/office/drawing/2014/chart" uri="{C3380CC4-5D6E-409C-BE32-E72D297353CC}">
              <c16:uniqueId val="{00000004-C488-456A-B1C8-BB99CDF44D80}"/>
            </c:ext>
          </c:extLst>
        </c:ser>
        <c:ser>
          <c:idx val="5"/>
          <c:order val="5"/>
          <c:tx>
            <c:strRef>
              <c:f>'Results ReCiPe (E) - RD'!$AB$339</c:f>
              <c:strCache>
                <c:ptCount val="1"/>
                <c:pt idx="0">
                  <c:v>Battery</c:v>
                </c:pt>
              </c:strCache>
            </c:strRef>
          </c:tx>
          <c:spPr>
            <a:solidFill>
              <a:schemeClr val="accent6">
                <a:lumMod val="50000"/>
              </a:schemeClr>
            </a:solidFill>
            <a:ln>
              <a:noFill/>
            </a:ln>
            <a:effectLst/>
          </c:spPr>
          <c:invertIfNegative val="0"/>
          <c:cat>
            <c:numRef>
              <c:f>'Results ReCiPe (E) - RD'!$AC$333:$BA$333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RD'!$AC$339:$BA$339</c:f>
              <c:numCache>
                <c:formatCode>0.00E+00</c:formatCode>
                <c:ptCount val="25"/>
                <c:pt idx="0">
                  <c:v>427.36665791586307</c:v>
                </c:pt>
                <c:pt idx="1">
                  <c:v>427.36665791586307</c:v>
                </c:pt>
                <c:pt idx="2">
                  <c:v>427.36665791586307</c:v>
                </c:pt>
                <c:pt idx="3">
                  <c:v>427.36665791586307</c:v>
                </c:pt>
                <c:pt idx="4">
                  <c:v>427.36665791586307</c:v>
                </c:pt>
                <c:pt idx="5">
                  <c:v>427.36665791586307</c:v>
                </c:pt>
                <c:pt idx="6">
                  <c:v>427.36665791586307</c:v>
                </c:pt>
                <c:pt idx="7">
                  <c:v>427.36665791586307</c:v>
                </c:pt>
                <c:pt idx="8">
                  <c:v>427.36665791586307</c:v>
                </c:pt>
                <c:pt idx="9">
                  <c:v>427.36665791586307</c:v>
                </c:pt>
                <c:pt idx="10">
                  <c:v>427.36665791586307</c:v>
                </c:pt>
                <c:pt idx="11">
                  <c:v>427.36665791586307</c:v>
                </c:pt>
                <c:pt idx="12">
                  <c:v>427.36665791586307</c:v>
                </c:pt>
                <c:pt idx="13">
                  <c:v>427.36665791586307</c:v>
                </c:pt>
                <c:pt idx="14">
                  <c:v>427.36665791586307</c:v>
                </c:pt>
                <c:pt idx="15">
                  <c:v>427.36665791586307</c:v>
                </c:pt>
                <c:pt idx="16">
                  <c:v>427.36665791586307</c:v>
                </c:pt>
                <c:pt idx="17">
                  <c:v>427.36665791586307</c:v>
                </c:pt>
                <c:pt idx="18">
                  <c:v>427.36665791586307</c:v>
                </c:pt>
                <c:pt idx="19">
                  <c:v>427.36665791586307</c:v>
                </c:pt>
                <c:pt idx="20">
                  <c:v>427.36665791586307</c:v>
                </c:pt>
                <c:pt idx="21">
                  <c:v>427.36665791586307</c:v>
                </c:pt>
                <c:pt idx="22">
                  <c:v>427.36665791586307</c:v>
                </c:pt>
                <c:pt idx="23">
                  <c:v>427.36665791586307</c:v>
                </c:pt>
                <c:pt idx="24">
                  <c:v>427.36665791586307</c:v>
                </c:pt>
              </c:numCache>
            </c:numRef>
          </c:val>
          <c:extLst>
            <c:ext xmlns:c16="http://schemas.microsoft.com/office/drawing/2014/chart" uri="{C3380CC4-5D6E-409C-BE32-E72D297353CC}">
              <c16:uniqueId val="{00000005-C488-456A-B1C8-BB99CDF44D80}"/>
            </c:ext>
          </c:extLst>
        </c:ser>
        <c:ser>
          <c:idx val="6"/>
          <c:order val="6"/>
          <c:tx>
            <c:strRef>
              <c:f>'Results ReCiPe (E) - RD'!$AB$340</c:f>
              <c:strCache>
                <c:ptCount val="1"/>
                <c:pt idx="0">
                  <c:v>Operation - DAC</c:v>
                </c:pt>
              </c:strCache>
            </c:strRef>
          </c:tx>
          <c:spPr>
            <a:solidFill>
              <a:schemeClr val="accent2">
                <a:lumMod val="75000"/>
              </a:schemeClr>
            </a:solidFill>
            <a:ln>
              <a:noFill/>
            </a:ln>
            <a:effectLst/>
          </c:spPr>
          <c:invertIfNegative val="0"/>
          <c:cat>
            <c:numRef>
              <c:f>'Results ReCiPe (E) - RD'!$AC$333:$BA$333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RD'!$AC$340:$BA$340</c:f>
              <c:numCache>
                <c:formatCode>0.00E+00</c:formatCode>
                <c:ptCount val="25"/>
                <c:pt idx="0">
                  <c:v>358.69644334642675</c:v>
                </c:pt>
                <c:pt idx="1">
                  <c:v>357.59232279727053</c:v>
                </c:pt>
                <c:pt idx="2">
                  <c:v>356.44409717738995</c:v>
                </c:pt>
                <c:pt idx="3">
                  <c:v>351.84376975163292</c:v>
                </c:pt>
                <c:pt idx="4">
                  <c:v>350.61835489118874</c:v>
                </c:pt>
                <c:pt idx="5">
                  <c:v>349.33524773708046</c:v>
                </c:pt>
                <c:pt idx="6">
                  <c:v>348.4438643827429</c:v>
                </c:pt>
                <c:pt idx="7">
                  <c:v>347.67724668500045</c:v>
                </c:pt>
                <c:pt idx="8">
                  <c:v>344.63615054643702</c:v>
                </c:pt>
                <c:pt idx="9">
                  <c:v>343.93467111398826</c:v>
                </c:pt>
                <c:pt idx="10">
                  <c:v>343.21030926221925</c:v>
                </c:pt>
                <c:pt idx="11">
                  <c:v>341.8083831341479</c:v>
                </c:pt>
                <c:pt idx="12">
                  <c:v>340.41709546723558</c:v>
                </c:pt>
                <c:pt idx="13">
                  <c:v>338.3892326937343</c:v>
                </c:pt>
                <c:pt idx="14">
                  <c:v>337.02484757418512</c:v>
                </c:pt>
                <c:pt idx="15">
                  <c:v>335.66358209561156</c:v>
                </c:pt>
                <c:pt idx="16">
                  <c:v>334.46067114811427</c:v>
                </c:pt>
                <c:pt idx="17">
                  <c:v>333.27329739842304</c:v>
                </c:pt>
                <c:pt idx="18">
                  <c:v>331.48883444721366</c:v>
                </c:pt>
                <c:pt idx="19">
                  <c:v>330.34603930797505</c:v>
                </c:pt>
                <c:pt idx="20">
                  <c:v>329.2043376522779</c:v>
                </c:pt>
                <c:pt idx="21">
                  <c:v>328.90599139451098</c:v>
                </c:pt>
                <c:pt idx="22">
                  <c:v>328.6120514283096</c:v>
                </c:pt>
                <c:pt idx="23">
                  <c:v>328.32161102859078</c:v>
                </c:pt>
                <c:pt idx="24">
                  <c:v>328.03437667071159</c:v>
                </c:pt>
              </c:numCache>
            </c:numRef>
          </c:val>
          <c:extLst>
            <c:ext xmlns:c16="http://schemas.microsoft.com/office/drawing/2014/chart" uri="{C3380CC4-5D6E-409C-BE32-E72D297353CC}">
              <c16:uniqueId val="{00000006-C488-456A-B1C8-BB99CDF44D80}"/>
            </c:ext>
          </c:extLst>
        </c:ser>
        <c:ser>
          <c:idx val="7"/>
          <c:order val="7"/>
          <c:tx>
            <c:strRef>
              <c:f>'Results ReCiPe (E) - RD'!$AB$341</c:f>
              <c:strCache>
                <c:ptCount val="1"/>
                <c:pt idx="0">
                  <c:v>Operation - geological storage</c:v>
                </c:pt>
              </c:strCache>
            </c:strRef>
          </c:tx>
          <c:spPr>
            <a:solidFill>
              <a:schemeClr val="accent2">
                <a:lumMod val="50000"/>
              </a:schemeClr>
            </a:solidFill>
            <a:ln>
              <a:noFill/>
            </a:ln>
            <a:effectLst/>
          </c:spPr>
          <c:invertIfNegative val="0"/>
          <c:cat>
            <c:numRef>
              <c:f>'Results ReCiPe (E) - RD'!$AC$333:$BA$333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RD'!$AC$341:$BA$341</c:f>
              <c:numCache>
                <c:formatCode>0.00E+00</c:formatCode>
                <c:ptCount val="25"/>
                <c:pt idx="0">
                  <c:v>1.0491225599096661</c:v>
                </c:pt>
                <c:pt idx="1">
                  <c:v>1.027401806406417</c:v>
                </c:pt>
                <c:pt idx="2">
                  <c:v>1.0057642936358111</c:v>
                </c:pt>
                <c:pt idx="3">
                  <c:v>0.98221667844679195</c:v>
                </c:pt>
                <c:pt idx="4">
                  <c:v>0.9607522773877375</c:v>
                </c:pt>
                <c:pt idx="5">
                  <c:v>0.93936765387875298</c:v>
                </c:pt>
                <c:pt idx="6">
                  <c:v>0.932384363339954</c:v>
                </c:pt>
                <c:pt idx="7">
                  <c:v>0.92536843551353598</c:v>
                </c:pt>
                <c:pt idx="8">
                  <c:v>0.9166160598013825</c:v>
                </c:pt>
                <c:pt idx="9">
                  <c:v>0.90946985221201548</c:v>
                </c:pt>
                <c:pt idx="10">
                  <c:v>0.90226503241288403</c:v>
                </c:pt>
                <c:pt idx="11">
                  <c:v>0.89523401359043098</c:v>
                </c:pt>
                <c:pt idx="12">
                  <c:v>0.88810294722364946</c:v>
                </c:pt>
                <c:pt idx="13">
                  <c:v>0.88046653807669895</c:v>
                </c:pt>
                <c:pt idx="14">
                  <c:v>0.87314118181948752</c:v>
                </c:pt>
                <c:pt idx="15">
                  <c:v>0.86571688125533497</c:v>
                </c:pt>
                <c:pt idx="16">
                  <c:v>0.872448415081999</c:v>
                </c:pt>
                <c:pt idx="17">
                  <c:v>0.87911152231088596</c:v>
                </c:pt>
                <c:pt idx="18">
                  <c:v>0.88530963511926153</c:v>
                </c:pt>
                <c:pt idx="19">
                  <c:v>0.89183816187355003</c:v>
                </c:pt>
                <c:pt idx="20">
                  <c:v>0.89829946339581901</c:v>
                </c:pt>
                <c:pt idx="21">
                  <c:v>0.88943566757136505</c:v>
                </c:pt>
                <c:pt idx="22">
                  <c:v>0.8806165999814165</c:v>
                </c:pt>
                <c:pt idx="23">
                  <c:v>0.87178926130808054</c:v>
                </c:pt>
                <c:pt idx="24">
                  <c:v>0.86295213042933949</c:v>
                </c:pt>
              </c:numCache>
            </c:numRef>
          </c:val>
          <c:extLst>
            <c:ext xmlns:c16="http://schemas.microsoft.com/office/drawing/2014/chart" uri="{C3380CC4-5D6E-409C-BE32-E72D297353CC}">
              <c16:uniqueId val="{00000007-C488-456A-B1C8-BB99CDF44D80}"/>
            </c:ext>
          </c:extLst>
        </c:ser>
        <c:ser>
          <c:idx val="8"/>
          <c:order val="8"/>
          <c:tx>
            <c:strRef>
              <c:f>'Results ReCiPe (E) - RD'!$AB$342</c:f>
              <c:strCache>
                <c:ptCount val="1"/>
                <c:pt idx="0">
                  <c:v>CO2 captured and stored</c:v>
                </c:pt>
              </c:strCache>
            </c:strRef>
          </c:tx>
          <c:spPr>
            <a:solidFill>
              <a:schemeClr val="tx2">
                <a:lumMod val="20000"/>
                <a:lumOff val="80000"/>
              </a:schemeClr>
            </a:solidFill>
            <a:ln>
              <a:noFill/>
            </a:ln>
            <a:effectLst/>
          </c:spPr>
          <c:invertIfNegative val="0"/>
          <c:cat>
            <c:numRef>
              <c:f>'Results ReCiPe (E) - RD'!$AC$333:$BA$333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RD'!$AC$342:$BA$342</c:f>
              <c:numCache>
                <c:formatCode>0.00E+00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8-C488-456A-B1C8-BB99CDF44D80}"/>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(E) - RD'!$AB$343</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cat>
            <c:numRef>
              <c:f>'Results ReCiPe (E) - RD'!$AC$333:$BA$333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RD'!$AC$343:$BA$343</c:f>
              <c:numCache>
                <c:formatCode>0.00E+00</c:formatCode>
                <c:ptCount val="25"/>
                <c:pt idx="0">
                  <c:v>3885.1864550543851</c:v>
                </c:pt>
                <c:pt idx="1">
                  <c:v>785.98638251953992</c:v>
                </c:pt>
                <c:pt idx="2">
                  <c:v>784.81651938688879</c:v>
                </c:pt>
                <c:pt idx="3">
                  <c:v>896.85391965621534</c:v>
                </c:pt>
                <c:pt idx="4">
                  <c:v>778.94576508443959</c:v>
                </c:pt>
                <c:pt idx="5">
                  <c:v>777.64127330682231</c:v>
                </c:pt>
                <c:pt idx="6">
                  <c:v>892.92372361207072</c:v>
                </c:pt>
                <c:pt idx="7">
                  <c:v>775.96927303637699</c:v>
                </c:pt>
                <c:pt idx="8">
                  <c:v>772.91942452210151</c:v>
                </c:pt>
                <c:pt idx="9">
                  <c:v>888.11251112393813</c:v>
                </c:pt>
                <c:pt idx="10">
                  <c:v>771.47923221049518</c:v>
                </c:pt>
                <c:pt idx="11">
                  <c:v>770.07027506360146</c:v>
                </c:pt>
                <c:pt idx="12">
                  <c:v>884.05244171210188</c:v>
                </c:pt>
                <c:pt idx="13">
                  <c:v>766.63635714767406</c:v>
                </c:pt>
                <c:pt idx="14">
                  <c:v>765.26464667186769</c:v>
                </c:pt>
                <c:pt idx="15">
                  <c:v>878.27626163028981</c:v>
                </c:pt>
                <c:pt idx="16">
                  <c:v>762.69977747905932</c:v>
                </c:pt>
                <c:pt idx="17">
                  <c:v>761.51906683659695</c:v>
                </c:pt>
                <c:pt idx="18">
                  <c:v>873.3111552978869</c:v>
                </c:pt>
                <c:pt idx="19">
                  <c:v>758.60453538571176</c:v>
                </c:pt>
                <c:pt idx="20">
                  <c:v>757.46929503153672</c:v>
                </c:pt>
                <c:pt idx="21">
                  <c:v>870.20204867167956</c:v>
                </c:pt>
                <c:pt idx="22">
                  <c:v>756.85932594415408</c:v>
                </c:pt>
                <c:pt idx="23">
                  <c:v>756.56005820576195</c:v>
                </c:pt>
                <c:pt idx="24">
                  <c:v>911.53272816881861</c:v>
                </c:pt>
              </c:numCache>
            </c:numRef>
          </c:val>
          <c:smooth val="0"/>
          <c:extLst>
            <c:ext xmlns:c16="http://schemas.microsoft.com/office/drawing/2014/chart" uri="{C3380CC4-5D6E-409C-BE32-E72D297353CC}">
              <c16:uniqueId val="{00000009-C488-456A-B1C8-BB99CDF44D80}"/>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Resource damage</a:t>
                </a:r>
              </a:p>
              <a:p>
                <a:pPr algn="ctr" rtl="0">
                  <a:defRPr/>
                </a:pPr>
                <a:r>
                  <a:rPr lang="nl-NL"/>
                  <a:t>[USD2013/ton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(E) - RD'!$AB$395</c:f>
              <c:strCache>
                <c:ptCount val="1"/>
                <c:pt idx="0">
                  <c:v>Construction - DAC</c:v>
                </c:pt>
              </c:strCache>
            </c:strRef>
          </c:tx>
          <c:spPr>
            <a:solidFill>
              <a:schemeClr val="accent4">
                <a:lumMod val="75000"/>
              </a:schemeClr>
            </a:solidFill>
            <a:ln>
              <a:noFill/>
            </a:ln>
            <a:effectLst/>
          </c:spPr>
          <c:invertIfNegative val="0"/>
          <c:cat>
            <c:numRef>
              <c:f>'Results ReCiPe (E) - RD'!$AC$394:$BA$394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RD'!$AC$395:$BA$395</c:f>
              <c:numCache>
                <c:formatCode>0.00E+00</c:formatCode>
                <c:ptCount val="25"/>
                <c:pt idx="0">
                  <c:v>2656.732541756694</c:v>
                </c:pt>
              </c:numCache>
            </c:numRef>
          </c:val>
          <c:extLst>
            <c:ext xmlns:c16="http://schemas.microsoft.com/office/drawing/2014/chart" uri="{C3380CC4-5D6E-409C-BE32-E72D297353CC}">
              <c16:uniqueId val="{00000000-15AA-4EEE-8E26-A232DE42BB35}"/>
            </c:ext>
          </c:extLst>
        </c:ser>
        <c:ser>
          <c:idx val="1"/>
          <c:order val="1"/>
          <c:tx>
            <c:strRef>
              <c:f>'Results ReCiPe (E) - RD'!$AB$396</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(E) - RD'!$AC$394:$BA$394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RD'!$AC$396:$BA$396</c:f>
              <c:numCache>
                <c:formatCode>0.00E+00</c:formatCode>
                <c:ptCount val="25"/>
                <c:pt idx="0">
                  <c:v>129.85176274384099</c:v>
                </c:pt>
              </c:numCache>
            </c:numRef>
          </c:val>
          <c:extLst>
            <c:ext xmlns:c16="http://schemas.microsoft.com/office/drawing/2014/chart" uri="{C3380CC4-5D6E-409C-BE32-E72D297353CC}">
              <c16:uniqueId val="{00000001-15AA-4EEE-8E26-A232DE42BB35}"/>
            </c:ext>
          </c:extLst>
        </c:ser>
        <c:ser>
          <c:idx val="2"/>
          <c:order val="2"/>
          <c:tx>
            <c:strRef>
              <c:f>'Results ReCiPe (E) - RD'!$AB$397</c:f>
              <c:strCache>
                <c:ptCount val="1"/>
                <c:pt idx="0">
                  <c:v>Deconstruction - DAC</c:v>
                </c:pt>
              </c:strCache>
            </c:strRef>
          </c:tx>
          <c:spPr>
            <a:solidFill>
              <a:schemeClr val="accent2">
                <a:lumMod val="40000"/>
                <a:lumOff val="60000"/>
              </a:schemeClr>
            </a:solidFill>
            <a:ln>
              <a:noFill/>
            </a:ln>
            <a:effectLst/>
          </c:spPr>
          <c:invertIfNegative val="0"/>
          <c:cat>
            <c:numRef>
              <c:f>'Results ReCiPe (E) - RD'!$AC$394:$BA$394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RD'!$AC$397:$BA$397</c:f>
              <c:numCache>
                <c:formatCode>0.00E+00</c:formatCode>
                <c:ptCount val="25"/>
                <c:pt idx="24">
                  <c:v>38.803973700478906</c:v>
                </c:pt>
              </c:numCache>
            </c:numRef>
          </c:val>
          <c:extLst>
            <c:ext xmlns:c16="http://schemas.microsoft.com/office/drawing/2014/chart" uri="{C3380CC4-5D6E-409C-BE32-E72D297353CC}">
              <c16:uniqueId val="{00000002-15AA-4EEE-8E26-A232DE42BB35}"/>
            </c:ext>
          </c:extLst>
        </c:ser>
        <c:ser>
          <c:idx val="3"/>
          <c:order val="3"/>
          <c:tx>
            <c:strRef>
              <c:f>'Results ReCiPe (E) - RD'!$AB$398</c:f>
              <c:strCache>
                <c:ptCount val="1"/>
                <c:pt idx="0">
                  <c:v>Deconstruction - geological storage</c:v>
                </c:pt>
              </c:strCache>
            </c:strRef>
          </c:tx>
          <c:spPr>
            <a:solidFill>
              <a:srgbClr val="FF9900"/>
            </a:solidFill>
            <a:ln>
              <a:noFill/>
            </a:ln>
            <a:effectLst/>
          </c:spPr>
          <c:invertIfNegative val="0"/>
          <c:cat>
            <c:numRef>
              <c:f>'Results ReCiPe (E) - RD'!$AC$394:$BA$394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RD'!$AC$398:$BA$398</c:f>
              <c:numCache>
                <c:formatCode>0.00E+00</c:formatCode>
                <c:ptCount val="25"/>
                <c:pt idx="24">
                  <c:v>0.61461293148737006</c:v>
                </c:pt>
              </c:numCache>
            </c:numRef>
          </c:val>
          <c:extLst>
            <c:ext xmlns:c16="http://schemas.microsoft.com/office/drawing/2014/chart" uri="{C3380CC4-5D6E-409C-BE32-E72D297353CC}">
              <c16:uniqueId val="{00000003-15AA-4EEE-8E26-A232DE42BB35}"/>
            </c:ext>
          </c:extLst>
        </c:ser>
        <c:ser>
          <c:idx val="4"/>
          <c:order val="4"/>
          <c:tx>
            <c:strRef>
              <c:f>'Results ReCiPe (E) - RD'!$AB$399</c:f>
              <c:strCache>
                <c:ptCount val="1"/>
                <c:pt idx="0">
                  <c:v>Sorbent material</c:v>
                </c:pt>
              </c:strCache>
            </c:strRef>
          </c:tx>
          <c:spPr>
            <a:solidFill>
              <a:srgbClr val="FF8F8F"/>
            </a:solidFill>
            <a:ln>
              <a:noFill/>
            </a:ln>
            <a:effectLst/>
          </c:spPr>
          <c:invertIfNegative val="0"/>
          <c:cat>
            <c:numRef>
              <c:f>'Results ReCiPe (E) - RD'!$AC$394:$BA$394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RD'!$AC$399:$BA$399</c:f>
              <c:numCache>
                <c:formatCode>0.00E+00</c:formatCode>
                <c:ptCount val="25"/>
                <c:pt idx="0">
                  <c:v>114.3683807366764</c:v>
                </c:pt>
                <c:pt idx="3">
                  <c:v>112.5935013842018</c:v>
                </c:pt>
                <c:pt idx="6">
                  <c:v>112.32417693968689</c:v>
                </c:pt>
                <c:pt idx="9">
                  <c:v>113.32500088396689</c:v>
                </c:pt>
                <c:pt idx="12">
                  <c:v>113.72581624339961</c:v>
                </c:pt>
                <c:pt idx="15">
                  <c:v>113.5067955292801</c:v>
                </c:pt>
                <c:pt idx="18">
                  <c:v>112.3594591286536</c:v>
                </c:pt>
                <c:pt idx="21">
                  <c:v>111.6217687079732</c:v>
                </c:pt>
                <c:pt idx="24">
                  <c:v>111.42686667692951</c:v>
                </c:pt>
              </c:numCache>
            </c:numRef>
          </c:val>
          <c:extLst>
            <c:ext xmlns:c16="http://schemas.microsoft.com/office/drawing/2014/chart" uri="{C3380CC4-5D6E-409C-BE32-E72D297353CC}">
              <c16:uniqueId val="{00000004-15AA-4EEE-8E26-A232DE42BB35}"/>
            </c:ext>
          </c:extLst>
        </c:ser>
        <c:ser>
          <c:idx val="5"/>
          <c:order val="5"/>
          <c:tx>
            <c:strRef>
              <c:f>'Results ReCiPe (E) - RD'!$AB$400</c:f>
              <c:strCache>
                <c:ptCount val="1"/>
                <c:pt idx="0">
                  <c:v>Battery</c:v>
                </c:pt>
              </c:strCache>
            </c:strRef>
          </c:tx>
          <c:spPr>
            <a:solidFill>
              <a:schemeClr val="accent6">
                <a:lumMod val="50000"/>
              </a:schemeClr>
            </a:solidFill>
            <a:ln>
              <a:noFill/>
            </a:ln>
            <a:effectLst/>
          </c:spPr>
          <c:invertIfNegative val="0"/>
          <c:cat>
            <c:numRef>
              <c:f>'Results ReCiPe (E) - RD'!$AC$394:$BA$394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RD'!$AC$400:$BA$400</c:f>
              <c:numCache>
                <c:formatCode>0.00E+00</c:formatCode>
                <c:ptCount val="25"/>
                <c:pt idx="0">
                  <c:v>394.93630003515688</c:v>
                </c:pt>
                <c:pt idx="1">
                  <c:v>394.93630003515688</c:v>
                </c:pt>
                <c:pt idx="2">
                  <c:v>394.93630003515688</c:v>
                </c:pt>
                <c:pt idx="3">
                  <c:v>394.93630003515688</c:v>
                </c:pt>
                <c:pt idx="4">
                  <c:v>394.93630003515688</c:v>
                </c:pt>
                <c:pt idx="5">
                  <c:v>394.93630003515688</c:v>
                </c:pt>
                <c:pt idx="6">
                  <c:v>394.93630003515688</c:v>
                </c:pt>
                <c:pt idx="7">
                  <c:v>394.93630003515688</c:v>
                </c:pt>
                <c:pt idx="8">
                  <c:v>394.93630003515688</c:v>
                </c:pt>
                <c:pt idx="9">
                  <c:v>394.93630003515688</c:v>
                </c:pt>
                <c:pt idx="10">
                  <c:v>394.93630003515688</c:v>
                </c:pt>
                <c:pt idx="11">
                  <c:v>394.93630003515688</c:v>
                </c:pt>
                <c:pt idx="12">
                  <c:v>394.93630003515688</c:v>
                </c:pt>
                <c:pt idx="13">
                  <c:v>394.93630003515688</c:v>
                </c:pt>
                <c:pt idx="14">
                  <c:v>394.93630003515688</c:v>
                </c:pt>
                <c:pt idx="15">
                  <c:v>394.93630003515688</c:v>
                </c:pt>
                <c:pt idx="16">
                  <c:v>394.93630003515688</c:v>
                </c:pt>
                <c:pt idx="17">
                  <c:v>394.93630003515688</c:v>
                </c:pt>
                <c:pt idx="18">
                  <c:v>394.93630003515688</c:v>
                </c:pt>
                <c:pt idx="19">
                  <c:v>394.93630003515688</c:v>
                </c:pt>
                <c:pt idx="20">
                  <c:v>394.93630003515688</c:v>
                </c:pt>
                <c:pt idx="21">
                  <c:v>394.93630003515688</c:v>
                </c:pt>
                <c:pt idx="22">
                  <c:v>394.93630003515688</c:v>
                </c:pt>
                <c:pt idx="23">
                  <c:v>394.93630003515688</c:v>
                </c:pt>
                <c:pt idx="24">
                  <c:v>394.93630003515688</c:v>
                </c:pt>
              </c:numCache>
            </c:numRef>
          </c:val>
          <c:extLst>
            <c:ext xmlns:c16="http://schemas.microsoft.com/office/drawing/2014/chart" uri="{C3380CC4-5D6E-409C-BE32-E72D297353CC}">
              <c16:uniqueId val="{00000005-15AA-4EEE-8E26-A232DE42BB35}"/>
            </c:ext>
          </c:extLst>
        </c:ser>
        <c:ser>
          <c:idx val="6"/>
          <c:order val="6"/>
          <c:tx>
            <c:strRef>
              <c:f>'Results ReCiPe (E) - RD'!$AB$401</c:f>
              <c:strCache>
                <c:ptCount val="1"/>
                <c:pt idx="0">
                  <c:v>Operation - DAC</c:v>
                </c:pt>
              </c:strCache>
            </c:strRef>
          </c:tx>
          <c:spPr>
            <a:solidFill>
              <a:schemeClr val="accent2">
                <a:lumMod val="75000"/>
              </a:schemeClr>
            </a:solidFill>
            <a:ln>
              <a:noFill/>
            </a:ln>
            <a:effectLst/>
          </c:spPr>
          <c:invertIfNegative val="0"/>
          <c:cat>
            <c:numRef>
              <c:f>'Results ReCiPe (E) - RD'!$AC$394:$BA$394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RD'!$AC$401:$BA$401</c:f>
              <c:numCache>
                <c:formatCode>0.00E+00</c:formatCode>
                <c:ptCount val="25"/>
                <c:pt idx="0">
                  <c:v>343.63100871615785</c:v>
                </c:pt>
                <c:pt idx="1">
                  <c:v>342.18231227440481</c:v>
                </c:pt>
                <c:pt idx="2">
                  <c:v>340.69875838242308</c:v>
                </c:pt>
                <c:pt idx="3">
                  <c:v>335.89318105675125</c:v>
                </c:pt>
                <c:pt idx="4">
                  <c:v>334.31251090586187</c:v>
                </c:pt>
                <c:pt idx="5">
                  <c:v>332.71073339248062</c:v>
                </c:pt>
                <c:pt idx="6">
                  <c:v>333.55285467362825</c:v>
                </c:pt>
                <c:pt idx="7">
                  <c:v>334.35659946650907</c:v>
                </c:pt>
                <c:pt idx="8">
                  <c:v>332.92830585312964</c:v>
                </c:pt>
                <c:pt idx="9">
                  <c:v>333.68601227850797</c:v>
                </c:pt>
                <c:pt idx="10">
                  <c:v>334.41228895803846</c:v>
                </c:pt>
                <c:pt idx="11">
                  <c:v>333.79392716755342</c:v>
                </c:pt>
                <c:pt idx="12">
                  <c:v>333.18395056295878</c:v>
                </c:pt>
                <c:pt idx="13">
                  <c:v>331.96932120698267</c:v>
                </c:pt>
                <c:pt idx="14">
                  <c:v>331.36844177607867</c:v>
                </c:pt>
                <c:pt idx="15">
                  <c:v>330.76051871195915</c:v>
                </c:pt>
                <c:pt idx="16">
                  <c:v>329.24687785767935</c:v>
                </c:pt>
                <c:pt idx="17">
                  <c:v>327.74901812243371</c:v>
                </c:pt>
                <c:pt idx="18">
                  <c:v>325.68699244859096</c:v>
                </c:pt>
                <c:pt idx="19">
                  <c:v>324.20602854414409</c:v>
                </c:pt>
                <c:pt idx="20">
                  <c:v>322.65755968954522</c:v>
                </c:pt>
                <c:pt idx="21">
                  <c:v>322.30203198617886</c:v>
                </c:pt>
                <c:pt idx="22">
                  <c:v>321.94909526485566</c:v>
                </c:pt>
                <c:pt idx="23">
                  <c:v>321.59766526326007</c:v>
                </c:pt>
                <c:pt idx="24">
                  <c:v>321.24771428412777</c:v>
                </c:pt>
              </c:numCache>
            </c:numRef>
          </c:val>
          <c:extLst>
            <c:ext xmlns:c16="http://schemas.microsoft.com/office/drawing/2014/chart" uri="{C3380CC4-5D6E-409C-BE32-E72D297353CC}">
              <c16:uniqueId val="{00000006-15AA-4EEE-8E26-A232DE42BB35}"/>
            </c:ext>
          </c:extLst>
        </c:ser>
        <c:ser>
          <c:idx val="7"/>
          <c:order val="7"/>
          <c:tx>
            <c:strRef>
              <c:f>'Results ReCiPe (E) - RD'!$AB$402</c:f>
              <c:strCache>
                <c:ptCount val="1"/>
                <c:pt idx="0">
                  <c:v>Operation - geological storage</c:v>
                </c:pt>
              </c:strCache>
            </c:strRef>
          </c:tx>
          <c:spPr>
            <a:solidFill>
              <a:schemeClr val="accent2">
                <a:lumMod val="50000"/>
              </a:schemeClr>
            </a:solidFill>
            <a:ln>
              <a:noFill/>
            </a:ln>
            <a:effectLst/>
          </c:spPr>
          <c:invertIfNegative val="0"/>
          <c:cat>
            <c:numRef>
              <c:f>'Results ReCiPe (E) - RD'!$AC$394:$BA$394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RD'!$AC$402:$BA$402</c:f>
              <c:numCache>
                <c:formatCode>0.00E+00</c:formatCode>
                <c:ptCount val="25"/>
                <c:pt idx="0">
                  <c:v>61.510209945817195</c:v>
                </c:pt>
                <c:pt idx="1">
                  <c:v>56.584177610870498</c:v>
                </c:pt>
                <c:pt idx="2">
                  <c:v>51.655273331232451</c:v>
                </c:pt>
                <c:pt idx="3">
                  <c:v>46.497810775147727</c:v>
                </c:pt>
                <c:pt idx="4">
                  <c:v>41.555857100641944</c:v>
                </c:pt>
                <c:pt idx="5">
                  <c:v>36.611864864755034</c:v>
                </c:pt>
                <c:pt idx="6">
                  <c:v>41.942416154324356</c:v>
                </c:pt>
                <c:pt idx="7">
                  <c:v>47.235960166414166</c:v>
                </c:pt>
                <c:pt idx="8">
                  <c:v>52.272292193057147</c:v>
                </c:pt>
                <c:pt idx="9">
                  <c:v>57.485568725046157</c:v>
                </c:pt>
                <c:pt idx="10">
                  <c:v>62.663127688765549</c:v>
                </c:pt>
                <c:pt idx="11">
                  <c:v>69.265167520377247</c:v>
                </c:pt>
                <c:pt idx="12">
                  <c:v>75.8571402833348</c:v>
                </c:pt>
                <c:pt idx="13">
                  <c:v>82.389122881688351</c:v>
                </c:pt>
                <c:pt idx="14">
                  <c:v>88.962095347636648</c:v>
                </c:pt>
                <c:pt idx="15">
                  <c:v>95.524714101707048</c:v>
                </c:pt>
                <c:pt idx="16">
                  <c:v>93.506937355162904</c:v>
                </c:pt>
                <c:pt idx="17">
                  <c:v>91.480564753575948</c:v>
                </c:pt>
                <c:pt idx="18">
                  <c:v>89.399968776605405</c:v>
                </c:pt>
                <c:pt idx="19">
                  <c:v>87.357371708389252</c:v>
                </c:pt>
                <c:pt idx="20">
                  <c:v>85.305724408369997</c:v>
                </c:pt>
                <c:pt idx="21">
                  <c:v>85.206072702176854</c:v>
                </c:pt>
                <c:pt idx="22">
                  <c:v>85.110785316630952</c:v>
                </c:pt>
                <c:pt idx="23">
                  <c:v>85.014804481834503</c:v>
                </c:pt>
                <c:pt idx="24">
                  <c:v>84.918024704498691</c:v>
                </c:pt>
              </c:numCache>
            </c:numRef>
          </c:val>
          <c:extLst>
            <c:ext xmlns:c16="http://schemas.microsoft.com/office/drawing/2014/chart" uri="{C3380CC4-5D6E-409C-BE32-E72D297353CC}">
              <c16:uniqueId val="{00000007-15AA-4EEE-8E26-A232DE42BB35}"/>
            </c:ext>
          </c:extLst>
        </c:ser>
        <c:ser>
          <c:idx val="8"/>
          <c:order val="8"/>
          <c:tx>
            <c:strRef>
              <c:f>'Results ReCiPe (E) - RD'!$AB$403</c:f>
              <c:strCache>
                <c:ptCount val="1"/>
                <c:pt idx="0">
                  <c:v>CO2 captured and stored</c:v>
                </c:pt>
              </c:strCache>
            </c:strRef>
          </c:tx>
          <c:spPr>
            <a:solidFill>
              <a:schemeClr val="tx2">
                <a:lumMod val="20000"/>
                <a:lumOff val="80000"/>
              </a:schemeClr>
            </a:solidFill>
            <a:ln>
              <a:noFill/>
            </a:ln>
            <a:effectLst/>
          </c:spPr>
          <c:invertIfNegative val="0"/>
          <c:cat>
            <c:numRef>
              <c:f>'Results ReCiPe (E) - RD'!$AC$394:$BA$394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RD'!$AC$403:$BA$403</c:f>
              <c:numCache>
                <c:formatCode>0.00E+00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8-15AA-4EEE-8E26-A232DE42BB35}"/>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(E) - RD'!$AB$404</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cat>
            <c:numRef>
              <c:f>'Results ReCiPe (E) - RD'!$AC$394:$BA$394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RD'!$AC$404:$BA$404</c:f>
              <c:numCache>
                <c:formatCode>0.00E+00</c:formatCode>
                <c:ptCount val="25"/>
                <c:pt idx="0">
                  <c:v>3701.0302039343433</c:v>
                </c:pt>
                <c:pt idx="1">
                  <c:v>793.70278992043222</c:v>
                </c:pt>
                <c:pt idx="2">
                  <c:v>787.29033174881249</c:v>
                </c:pt>
                <c:pt idx="3">
                  <c:v>889.92079325125769</c:v>
                </c:pt>
                <c:pt idx="4">
                  <c:v>770.80466804166065</c:v>
                </c:pt>
                <c:pt idx="5">
                  <c:v>764.25889829239259</c:v>
                </c:pt>
                <c:pt idx="6">
                  <c:v>882.75574780279646</c:v>
                </c:pt>
                <c:pt idx="7">
                  <c:v>776.52885966808014</c:v>
                </c:pt>
                <c:pt idx="8">
                  <c:v>780.1368980813437</c:v>
                </c:pt>
                <c:pt idx="9">
                  <c:v>899.43288192267789</c:v>
                </c:pt>
                <c:pt idx="10">
                  <c:v>792.01171668196093</c:v>
                </c:pt>
                <c:pt idx="11">
                  <c:v>797.99539472308743</c:v>
                </c:pt>
                <c:pt idx="12">
                  <c:v>917.70320712485011</c:v>
                </c:pt>
                <c:pt idx="13">
                  <c:v>809.29474412382785</c:v>
                </c:pt>
                <c:pt idx="14">
                  <c:v>815.26683715887225</c:v>
                </c:pt>
                <c:pt idx="15">
                  <c:v>934.72832837810324</c:v>
                </c:pt>
                <c:pt idx="16">
                  <c:v>817.69011524799919</c:v>
                </c:pt>
                <c:pt idx="17">
                  <c:v>814.16588291116659</c:v>
                </c:pt>
                <c:pt idx="18">
                  <c:v>922.38272038900686</c:v>
                </c:pt>
                <c:pt idx="19">
                  <c:v>806.49970028769019</c:v>
                </c:pt>
                <c:pt idx="20">
                  <c:v>802.89958413307204</c:v>
                </c:pt>
                <c:pt idx="21">
                  <c:v>914.06617343148571</c:v>
                </c:pt>
                <c:pt idx="22">
                  <c:v>801.99618061664353</c:v>
                </c:pt>
                <c:pt idx="23">
                  <c:v>801.5487697802514</c:v>
                </c:pt>
                <c:pt idx="24">
                  <c:v>951.9474923326793</c:v>
                </c:pt>
              </c:numCache>
            </c:numRef>
          </c:val>
          <c:smooth val="0"/>
          <c:extLst>
            <c:ext xmlns:c16="http://schemas.microsoft.com/office/drawing/2014/chart" uri="{C3380CC4-5D6E-409C-BE32-E72D297353CC}">
              <c16:uniqueId val="{00000009-15AA-4EEE-8E26-A232DE42BB35}"/>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Resource damage</a:t>
                </a:r>
              </a:p>
              <a:p>
                <a:pPr algn="ctr" rtl="0">
                  <a:defRPr/>
                </a:pPr>
                <a:r>
                  <a:rPr lang="nl-NL"/>
                  <a:t>[USD2013/ton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(E) - CC'!$AB$10</c:f>
              <c:strCache>
                <c:ptCount val="1"/>
                <c:pt idx="0">
                  <c:v>Construction - DAC</c:v>
                </c:pt>
              </c:strCache>
            </c:strRef>
          </c:tx>
          <c:spPr>
            <a:solidFill>
              <a:schemeClr val="accent4">
                <a:lumMod val="75000"/>
              </a:schemeClr>
            </a:solidFill>
            <a:ln>
              <a:noFill/>
            </a:ln>
            <a:effectLst/>
          </c:spPr>
          <c:invertIfNegative val="0"/>
          <c:cat>
            <c:numRef>
              <c:f>'Results ReCiPe (E) - CC'!$AC$9:$BA$9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CC'!$AC$10:$BA$10</c:f>
              <c:numCache>
                <c:formatCode>0.00E+00</c:formatCode>
                <c:ptCount val="25"/>
                <c:pt idx="0">
                  <c:v>28361.809087835707</c:v>
                </c:pt>
              </c:numCache>
            </c:numRef>
          </c:val>
          <c:extLst>
            <c:ext xmlns:c16="http://schemas.microsoft.com/office/drawing/2014/chart" uri="{C3380CC4-5D6E-409C-BE32-E72D297353CC}">
              <c16:uniqueId val="{00000000-3F1B-44E3-9F27-AA0482687486}"/>
            </c:ext>
          </c:extLst>
        </c:ser>
        <c:ser>
          <c:idx val="1"/>
          <c:order val="1"/>
          <c:tx>
            <c:strRef>
              <c:f>'Results ReCiPe (E) - CC'!$AB$11</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(E) - CC'!$AC$9:$BA$9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CC'!$AC$11:$BA$11</c:f>
              <c:numCache>
                <c:formatCode>0.00E+00</c:formatCode>
                <c:ptCount val="25"/>
                <c:pt idx="0">
                  <c:v>2219.4940594747154</c:v>
                </c:pt>
              </c:numCache>
            </c:numRef>
          </c:val>
          <c:extLst>
            <c:ext xmlns:c16="http://schemas.microsoft.com/office/drawing/2014/chart" uri="{C3380CC4-5D6E-409C-BE32-E72D297353CC}">
              <c16:uniqueId val="{00000001-3F1B-44E3-9F27-AA0482687486}"/>
            </c:ext>
          </c:extLst>
        </c:ser>
        <c:ser>
          <c:idx val="2"/>
          <c:order val="2"/>
          <c:tx>
            <c:strRef>
              <c:f>'Results ReCiPe (E) - CC'!$AB$12</c:f>
              <c:strCache>
                <c:ptCount val="1"/>
                <c:pt idx="0">
                  <c:v>Deconstruction - DAC</c:v>
                </c:pt>
              </c:strCache>
            </c:strRef>
          </c:tx>
          <c:spPr>
            <a:solidFill>
              <a:schemeClr val="accent2">
                <a:lumMod val="40000"/>
                <a:lumOff val="60000"/>
              </a:schemeClr>
            </a:solidFill>
            <a:ln>
              <a:noFill/>
            </a:ln>
            <a:effectLst/>
          </c:spPr>
          <c:invertIfNegative val="0"/>
          <c:cat>
            <c:numRef>
              <c:f>'Results ReCiPe (E) - CC'!$AC$9:$BA$9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CC'!$AC$12:$BA$12</c:f>
              <c:numCache>
                <c:formatCode>0.00E+00</c:formatCode>
                <c:ptCount val="25"/>
                <c:pt idx="24">
                  <c:v>580.04942097986282</c:v>
                </c:pt>
              </c:numCache>
            </c:numRef>
          </c:val>
          <c:extLst>
            <c:ext xmlns:c16="http://schemas.microsoft.com/office/drawing/2014/chart" uri="{C3380CC4-5D6E-409C-BE32-E72D297353CC}">
              <c16:uniqueId val="{00000002-3F1B-44E3-9F27-AA0482687486}"/>
            </c:ext>
          </c:extLst>
        </c:ser>
        <c:ser>
          <c:idx val="3"/>
          <c:order val="3"/>
          <c:tx>
            <c:strRef>
              <c:f>'Results ReCiPe (E) - CC'!$AB$13</c:f>
              <c:strCache>
                <c:ptCount val="1"/>
                <c:pt idx="0">
                  <c:v>Deconstruction - geological storage</c:v>
                </c:pt>
              </c:strCache>
            </c:strRef>
          </c:tx>
          <c:spPr>
            <a:solidFill>
              <a:srgbClr val="FF9900"/>
            </a:solidFill>
            <a:ln>
              <a:noFill/>
            </a:ln>
            <a:effectLst/>
          </c:spPr>
          <c:invertIfNegative val="0"/>
          <c:cat>
            <c:numRef>
              <c:f>'Results ReCiPe (E) - CC'!$AC$9:$BA$9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CC'!$AC$13:$BA$13</c:f>
              <c:numCache>
                <c:formatCode>0.00E+00</c:formatCode>
                <c:ptCount val="25"/>
                <c:pt idx="24">
                  <c:v>21.40281274934447</c:v>
                </c:pt>
              </c:numCache>
            </c:numRef>
          </c:val>
          <c:extLst>
            <c:ext xmlns:c16="http://schemas.microsoft.com/office/drawing/2014/chart" uri="{C3380CC4-5D6E-409C-BE32-E72D297353CC}">
              <c16:uniqueId val="{00000003-3F1B-44E3-9F27-AA0482687486}"/>
            </c:ext>
          </c:extLst>
        </c:ser>
        <c:ser>
          <c:idx val="4"/>
          <c:order val="4"/>
          <c:tx>
            <c:strRef>
              <c:f>'Results ReCiPe (E) - CC'!$AB$14</c:f>
              <c:strCache>
                <c:ptCount val="1"/>
                <c:pt idx="0">
                  <c:v>Sorbent material</c:v>
                </c:pt>
              </c:strCache>
            </c:strRef>
          </c:tx>
          <c:spPr>
            <a:solidFill>
              <a:srgbClr val="FF8F8F"/>
            </a:solidFill>
            <a:ln>
              <a:noFill/>
            </a:ln>
            <a:effectLst/>
          </c:spPr>
          <c:invertIfNegative val="0"/>
          <c:cat>
            <c:numRef>
              <c:f>'Results ReCiPe (E) - CC'!$AC$9:$BA$9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CC'!$AC$14:$BA$14</c:f>
              <c:numCache>
                <c:formatCode>0.00E+00</c:formatCode>
                <c:ptCount val="25"/>
                <c:pt idx="0">
                  <c:v>1037.493275938863</c:v>
                </c:pt>
                <c:pt idx="3">
                  <c:v>1027.697547156306</c:v>
                </c:pt>
                <c:pt idx="6">
                  <c:v>1025.202036574439</c:v>
                </c:pt>
                <c:pt idx="9">
                  <c:v>1025.3040187287079</c:v>
                </c:pt>
                <c:pt idx="12">
                  <c:v>1030.1790192937119</c:v>
                </c:pt>
                <c:pt idx="15">
                  <c:v>1035.5510426582489</c:v>
                </c:pt>
                <c:pt idx="18">
                  <c:v>1022.5109258357249</c:v>
                </c:pt>
                <c:pt idx="21">
                  <c:v>1007.600052632234</c:v>
                </c:pt>
                <c:pt idx="24">
                  <c:v>987.38631762704017</c:v>
                </c:pt>
              </c:numCache>
            </c:numRef>
          </c:val>
          <c:extLst>
            <c:ext xmlns:c16="http://schemas.microsoft.com/office/drawing/2014/chart" uri="{C3380CC4-5D6E-409C-BE32-E72D297353CC}">
              <c16:uniqueId val="{00000004-3F1B-44E3-9F27-AA0482687486}"/>
            </c:ext>
          </c:extLst>
        </c:ser>
        <c:ser>
          <c:idx val="5"/>
          <c:order val="5"/>
          <c:tx>
            <c:strRef>
              <c:f>'Results ReCiPe (E) - CC'!$AB$15</c:f>
              <c:strCache>
                <c:ptCount val="1"/>
                <c:pt idx="0">
                  <c:v>Operation - DAC</c:v>
                </c:pt>
              </c:strCache>
            </c:strRef>
          </c:tx>
          <c:spPr>
            <a:solidFill>
              <a:schemeClr val="accent2">
                <a:lumMod val="75000"/>
              </a:schemeClr>
            </a:solidFill>
            <a:ln>
              <a:noFill/>
            </a:ln>
            <a:effectLst/>
          </c:spPr>
          <c:invertIfNegative val="0"/>
          <c:cat>
            <c:numRef>
              <c:f>'Results ReCiPe (E) - CC'!$AC$9:$BA$9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CC'!$AC$15:$BA$15</c:f>
              <c:numCache>
                <c:formatCode>0.00E+00</c:formatCode>
                <c:ptCount val="25"/>
                <c:pt idx="0">
                  <c:v>34250.087218896842</c:v>
                </c:pt>
                <c:pt idx="1">
                  <c:v>34218.56778611405</c:v>
                </c:pt>
                <c:pt idx="2">
                  <c:v>34187.206709616687</c:v>
                </c:pt>
                <c:pt idx="3">
                  <c:v>34129.026179517758</c:v>
                </c:pt>
                <c:pt idx="4">
                  <c:v>34098.098951609783</c:v>
                </c:pt>
                <c:pt idx="5">
                  <c:v>34067.170621471523</c:v>
                </c:pt>
                <c:pt idx="6">
                  <c:v>36652.792163409693</c:v>
                </c:pt>
                <c:pt idx="7">
                  <c:v>39234.925875793131</c:v>
                </c:pt>
                <c:pt idx="8">
                  <c:v>41796.15005611298</c:v>
                </c:pt>
                <c:pt idx="9">
                  <c:v>44375.240252589741</c:v>
                </c:pt>
                <c:pt idx="10">
                  <c:v>46950.866049747638</c:v>
                </c:pt>
                <c:pt idx="11">
                  <c:v>51536.539565813597</c:v>
                </c:pt>
                <c:pt idx="12">
                  <c:v>56131.949131323927</c:v>
                </c:pt>
                <c:pt idx="13">
                  <c:v>60733.967083794632</c:v>
                </c:pt>
                <c:pt idx="14">
                  <c:v>65348.643071347557</c:v>
                </c:pt>
                <c:pt idx="15">
                  <c:v>69973.044542118281</c:v>
                </c:pt>
                <c:pt idx="16">
                  <c:v>70753.251525696367</c:v>
                </c:pt>
                <c:pt idx="17">
                  <c:v>71533.326766455531</c:v>
                </c:pt>
                <c:pt idx="18">
                  <c:v>72310.55495966773</c:v>
                </c:pt>
                <c:pt idx="19">
                  <c:v>73090.690856536341</c:v>
                </c:pt>
                <c:pt idx="20">
                  <c:v>73870.917099097816</c:v>
                </c:pt>
                <c:pt idx="21">
                  <c:v>72250.276918973395</c:v>
                </c:pt>
                <c:pt idx="22">
                  <c:v>70432.872089330616</c:v>
                </c:pt>
                <c:pt idx="23">
                  <c:v>68609.55768213296</c:v>
                </c:pt>
                <c:pt idx="24">
                  <c:v>66780.276200489709</c:v>
                </c:pt>
              </c:numCache>
            </c:numRef>
          </c:val>
          <c:extLst>
            <c:ext xmlns:c16="http://schemas.microsoft.com/office/drawing/2014/chart" uri="{C3380CC4-5D6E-409C-BE32-E72D297353CC}">
              <c16:uniqueId val="{00000005-3F1B-44E3-9F27-AA0482687486}"/>
            </c:ext>
          </c:extLst>
        </c:ser>
        <c:ser>
          <c:idx val="6"/>
          <c:order val="6"/>
          <c:tx>
            <c:strRef>
              <c:f>'Results ReCiPe (E) - CC'!$AB$16</c:f>
              <c:strCache>
                <c:ptCount val="1"/>
                <c:pt idx="0">
                  <c:v>Operation - geological storage</c:v>
                </c:pt>
              </c:strCache>
            </c:strRef>
          </c:tx>
          <c:spPr>
            <a:solidFill>
              <a:schemeClr val="accent2">
                <a:lumMod val="50000"/>
              </a:schemeClr>
            </a:solidFill>
            <a:ln>
              <a:noFill/>
            </a:ln>
            <a:effectLst/>
          </c:spPr>
          <c:invertIfNegative val="0"/>
          <c:cat>
            <c:numRef>
              <c:f>'Results ReCiPe (E) - CC'!$AC$9:$BA$9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CC'!$AC$16:$BA$16</c:f>
              <c:numCache>
                <c:formatCode>0.00E+00</c:formatCode>
                <c:ptCount val="25"/>
                <c:pt idx="0">
                  <c:v>2743.9771892642539</c:v>
                </c:pt>
                <c:pt idx="1">
                  <c:v>2737.3661407894861</c:v>
                </c:pt>
                <c:pt idx="2">
                  <c:v>2730.7728764204148</c:v>
                </c:pt>
                <c:pt idx="3">
                  <c:v>2721.7527406765089</c:v>
                </c:pt>
                <c:pt idx="4">
                  <c:v>2715.199466561869</c:v>
                </c:pt>
                <c:pt idx="5">
                  <c:v>2708.6480619983449</c:v>
                </c:pt>
                <c:pt idx="6">
                  <c:v>2901.0930184483618</c:v>
                </c:pt>
                <c:pt idx="7">
                  <c:v>3092.7286295864442</c:v>
                </c:pt>
                <c:pt idx="8">
                  <c:v>3281.9814984845921</c:v>
                </c:pt>
                <c:pt idx="9">
                  <c:v>3472.3015125199281</c:v>
                </c:pt>
                <c:pt idx="10">
                  <c:v>3661.8152926740072</c:v>
                </c:pt>
                <c:pt idx="11">
                  <c:v>4002.9824095637841</c:v>
                </c:pt>
                <c:pt idx="12">
                  <c:v>4344.1070893422648</c:v>
                </c:pt>
                <c:pt idx="13">
                  <c:v>4684.8958807889321</c:v>
                </c:pt>
                <c:pt idx="14">
                  <c:v>5025.9130293415083</c:v>
                </c:pt>
                <c:pt idx="15">
                  <c:v>5366.8785654933899</c:v>
                </c:pt>
                <c:pt idx="16">
                  <c:v>5419.7539496457648</c:v>
                </c:pt>
                <c:pt idx="17">
                  <c:v>5472.5049329524281</c:v>
                </c:pt>
                <c:pt idx="18">
                  <c:v>5524.8709599259801</c:v>
                </c:pt>
                <c:pt idx="19">
                  <c:v>5577.3949781239262</c:v>
                </c:pt>
                <c:pt idx="20">
                  <c:v>5629.8089703054502</c:v>
                </c:pt>
                <c:pt idx="21">
                  <c:v>5497.8173591778768</c:v>
                </c:pt>
                <c:pt idx="22">
                  <c:v>5351.7561811989463</c:v>
                </c:pt>
                <c:pt idx="23">
                  <c:v>5205.7941815858294</c:v>
                </c:pt>
                <c:pt idx="24">
                  <c:v>5059.9281735392342</c:v>
                </c:pt>
              </c:numCache>
            </c:numRef>
          </c:val>
          <c:extLst>
            <c:ext xmlns:c16="http://schemas.microsoft.com/office/drawing/2014/chart" uri="{C3380CC4-5D6E-409C-BE32-E72D297353CC}">
              <c16:uniqueId val="{00000006-3F1B-44E3-9F27-AA0482687486}"/>
            </c:ext>
          </c:extLst>
        </c:ser>
        <c:ser>
          <c:idx val="7"/>
          <c:order val="7"/>
          <c:tx>
            <c:strRef>
              <c:f>'Results ReCiPe (E) - CC'!$AB$17</c:f>
              <c:strCache>
                <c:ptCount val="1"/>
                <c:pt idx="0">
                  <c:v>CO2 captured and stored</c:v>
                </c:pt>
              </c:strCache>
            </c:strRef>
          </c:tx>
          <c:spPr>
            <a:solidFill>
              <a:schemeClr val="tx2">
                <a:lumMod val="20000"/>
                <a:lumOff val="80000"/>
              </a:schemeClr>
            </a:solidFill>
            <a:ln>
              <a:noFill/>
            </a:ln>
            <a:effectLst/>
          </c:spPr>
          <c:invertIfNegative val="0"/>
          <c:cat>
            <c:numRef>
              <c:f>'Results ReCiPe (E) - CC'!$AC$9:$BA$9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CC'!$AC$17:$BA$17</c:f>
              <c:numCache>
                <c:formatCode>0.00E+00</c:formatCode>
                <c:ptCount val="25"/>
                <c:pt idx="0">
                  <c:v>-100000</c:v>
                </c:pt>
                <c:pt idx="1">
                  <c:v>-100000</c:v>
                </c:pt>
                <c:pt idx="2">
                  <c:v>-100000</c:v>
                </c:pt>
                <c:pt idx="3">
                  <c:v>-100000</c:v>
                </c:pt>
                <c:pt idx="4">
                  <c:v>-100000</c:v>
                </c:pt>
                <c:pt idx="5">
                  <c:v>-100000</c:v>
                </c:pt>
                <c:pt idx="6">
                  <c:v>-100000</c:v>
                </c:pt>
                <c:pt idx="7">
                  <c:v>-100000</c:v>
                </c:pt>
                <c:pt idx="8">
                  <c:v>-100000</c:v>
                </c:pt>
                <c:pt idx="9">
                  <c:v>-100000</c:v>
                </c:pt>
                <c:pt idx="10">
                  <c:v>-100000</c:v>
                </c:pt>
                <c:pt idx="11">
                  <c:v>-100000</c:v>
                </c:pt>
                <c:pt idx="12">
                  <c:v>-100000</c:v>
                </c:pt>
                <c:pt idx="13">
                  <c:v>-100000</c:v>
                </c:pt>
                <c:pt idx="14">
                  <c:v>-100000</c:v>
                </c:pt>
                <c:pt idx="15">
                  <c:v>-100000</c:v>
                </c:pt>
                <c:pt idx="16">
                  <c:v>-100000</c:v>
                </c:pt>
                <c:pt idx="17">
                  <c:v>-100000</c:v>
                </c:pt>
                <c:pt idx="18">
                  <c:v>-100000</c:v>
                </c:pt>
                <c:pt idx="19">
                  <c:v>-100000</c:v>
                </c:pt>
                <c:pt idx="20">
                  <c:v>-100000</c:v>
                </c:pt>
                <c:pt idx="21">
                  <c:v>-100000</c:v>
                </c:pt>
                <c:pt idx="22">
                  <c:v>-100000</c:v>
                </c:pt>
                <c:pt idx="23">
                  <c:v>-100000</c:v>
                </c:pt>
                <c:pt idx="24">
                  <c:v>-100000</c:v>
                </c:pt>
              </c:numCache>
            </c:numRef>
          </c:val>
          <c:extLst>
            <c:ext xmlns:c16="http://schemas.microsoft.com/office/drawing/2014/chart" uri="{C3380CC4-5D6E-409C-BE32-E72D297353CC}">
              <c16:uniqueId val="{00000007-3F1B-44E3-9F27-AA0482687486}"/>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(E) - CC'!$AB$18</c:f>
              <c:strCache>
                <c:ptCount val="1"/>
                <c:pt idx="0">
                  <c:v>TOTAL per year</c:v>
                </c:pt>
              </c:strCache>
            </c:strRef>
          </c:tx>
          <c:spPr>
            <a:ln w="25400" cap="rnd">
              <a:noFill/>
              <a:round/>
            </a:ln>
            <a:effectLst/>
          </c:spPr>
          <c:marker>
            <c:symbol val="circle"/>
            <c:size val="5"/>
            <c:spPr>
              <a:solidFill>
                <a:schemeClr val="tx1"/>
              </a:solidFill>
              <a:ln w="9525">
                <a:solidFill>
                  <a:schemeClr val="tx1"/>
                </a:solidFill>
              </a:ln>
              <a:effectLst/>
            </c:spPr>
          </c:marker>
          <c:cat>
            <c:numRef>
              <c:f>'Results ReCiPe (E) - CC'!$AC$9:$BA$9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CC'!$AC$18:$BA$18</c:f>
              <c:numCache>
                <c:formatCode>0.00E+00</c:formatCode>
                <c:ptCount val="25"/>
                <c:pt idx="0">
                  <c:v>-31387.139168589609</c:v>
                </c:pt>
                <c:pt idx="1">
                  <c:v>-63044.066073096466</c:v>
                </c:pt>
                <c:pt idx="2">
                  <c:v>-63082.020413962899</c:v>
                </c:pt>
                <c:pt idx="3">
                  <c:v>-62121.523532649429</c:v>
                </c:pt>
                <c:pt idx="4">
                  <c:v>-63186.701581828347</c:v>
                </c:pt>
                <c:pt idx="5">
                  <c:v>-63224.181316530128</c:v>
                </c:pt>
                <c:pt idx="6">
                  <c:v>-59420.912781567509</c:v>
                </c:pt>
                <c:pt idx="7">
                  <c:v>-57672.345494620422</c:v>
                </c:pt>
                <c:pt idx="8">
                  <c:v>-54921.868445402426</c:v>
                </c:pt>
                <c:pt idx="9">
                  <c:v>-51127.154216161623</c:v>
                </c:pt>
                <c:pt idx="10">
                  <c:v>-49387.318657578355</c:v>
                </c:pt>
                <c:pt idx="11">
                  <c:v>-44460.478024622622</c:v>
                </c:pt>
                <c:pt idx="12">
                  <c:v>-38493.764760040096</c:v>
                </c:pt>
                <c:pt idx="13">
                  <c:v>-34581.137035416439</c:v>
                </c:pt>
                <c:pt idx="14">
                  <c:v>-29625.443899310936</c:v>
                </c:pt>
                <c:pt idx="15">
                  <c:v>-23624.525849730082</c:v>
                </c:pt>
                <c:pt idx="16">
                  <c:v>-23826.994524657872</c:v>
                </c:pt>
                <c:pt idx="17">
                  <c:v>-22994.168300592035</c:v>
                </c:pt>
                <c:pt idx="18">
                  <c:v>-21142.063154570569</c:v>
                </c:pt>
                <c:pt idx="19">
                  <c:v>-21331.914165339738</c:v>
                </c:pt>
                <c:pt idx="20">
                  <c:v>-20499.273930596741</c:v>
                </c:pt>
                <c:pt idx="21">
                  <c:v>-21244.305669216497</c:v>
                </c:pt>
                <c:pt idx="22">
                  <c:v>-24215.37172947044</c:v>
                </c:pt>
                <c:pt idx="23">
                  <c:v>-26184.648136281205</c:v>
                </c:pt>
                <c:pt idx="24">
                  <c:v>-26570.957074614809</c:v>
                </c:pt>
              </c:numCache>
            </c:numRef>
          </c:val>
          <c:smooth val="0"/>
          <c:extLst>
            <c:ext xmlns:c16="http://schemas.microsoft.com/office/drawing/2014/chart" uri="{C3380CC4-5D6E-409C-BE32-E72D297353CC}">
              <c16:uniqueId val="{00000008-3F1B-44E3-9F27-AA0482687486}"/>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Climate change</a:t>
                </a:r>
              </a:p>
              <a:p>
                <a:pPr algn="ctr" rtl="0">
                  <a:defRPr/>
                </a:pPr>
                <a:r>
                  <a:rPr lang="nl-NL"/>
                  <a:t>(kg</a:t>
                </a:r>
                <a:r>
                  <a:rPr lang="nl-NL" baseline="0"/>
                  <a:t> CO2-eq</a:t>
                </a:r>
                <a:r>
                  <a:rPr lang="nl-NL"/>
                  <a:t>/ton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(E) - CC'!$AB$50</c:f>
              <c:strCache>
                <c:ptCount val="1"/>
                <c:pt idx="0">
                  <c:v>Construction - DAC</c:v>
                </c:pt>
              </c:strCache>
            </c:strRef>
          </c:tx>
          <c:spPr>
            <a:solidFill>
              <a:schemeClr val="accent4">
                <a:lumMod val="75000"/>
              </a:schemeClr>
            </a:solidFill>
            <a:ln>
              <a:noFill/>
            </a:ln>
            <a:effectLst/>
          </c:spPr>
          <c:invertIfNegative val="0"/>
          <c:cat>
            <c:numRef>
              <c:f>'Results ReCiPe (E) - CC'!$AC$49:$BA$49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CC'!$AC$50:$BA$50</c:f>
              <c:numCache>
                <c:formatCode>0.00E+00</c:formatCode>
                <c:ptCount val="25"/>
                <c:pt idx="0">
                  <c:v>25813.904117498736</c:v>
                </c:pt>
              </c:numCache>
            </c:numRef>
          </c:val>
          <c:extLst>
            <c:ext xmlns:c16="http://schemas.microsoft.com/office/drawing/2014/chart" uri="{C3380CC4-5D6E-409C-BE32-E72D297353CC}">
              <c16:uniqueId val="{00000000-CD59-4BF5-8B89-C2AFD3F8D45C}"/>
            </c:ext>
          </c:extLst>
        </c:ser>
        <c:ser>
          <c:idx val="1"/>
          <c:order val="1"/>
          <c:tx>
            <c:strRef>
              <c:f>'Results ReCiPe (E) - CC'!$AB$51</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(E) - CC'!$AC$49:$BA$49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CC'!$AC$51:$BA$51</c:f>
              <c:numCache>
                <c:formatCode>0.00E+00</c:formatCode>
                <c:ptCount val="25"/>
                <c:pt idx="0">
                  <c:v>2074.4586794633228</c:v>
                </c:pt>
              </c:numCache>
            </c:numRef>
          </c:val>
          <c:extLst>
            <c:ext xmlns:c16="http://schemas.microsoft.com/office/drawing/2014/chart" uri="{C3380CC4-5D6E-409C-BE32-E72D297353CC}">
              <c16:uniqueId val="{00000001-CD59-4BF5-8B89-C2AFD3F8D45C}"/>
            </c:ext>
          </c:extLst>
        </c:ser>
        <c:ser>
          <c:idx val="2"/>
          <c:order val="2"/>
          <c:tx>
            <c:strRef>
              <c:f>'Results ReCiPe (E) - CC'!$AB$52</c:f>
              <c:strCache>
                <c:ptCount val="1"/>
                <c:pt idx="0">
                  <c:v>Deconstruction - DAC</c:v>
                </c:pt>
              </c:strCache>
            </c:strRef>
          </c:tx>
          <c:spPr>
            <a:solidFill>
              <a:schemeClr val="accent2">
                <a:lumMod val="40000"/>
                <a:lumOff val="60000"/>
              </a:schemeClr>
            </a:solidFill>
            <a:ln>
              <a:noFill/>
            </a:ln>
            <a:effectLst/>
          </c:spPr>
          <c:invertIfNegative val="0"/>
          <c:cat>
            <c:numRef>
              <c:f>'Results ReCiPe (E) - CC'!$AC$49:$BA$49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CC'!$AC$52:$BA$52</c:f>
              <c:numCache>
                <c:formatCode>0.00E+00</c:formatCode>
                <c:ptCount val="25"/>
                <c:pt idx="24">
                  <c:v>471.91965940783922</c:v>
                </c:pt>
              </c:numCache>
            </c:numRef>
          </c:val>
          <c:extLst>
            <c:ext xmlns:c16="http://schemas.microsoft.com/office/drawing/2014/chart" uri="{C3380CC4-5D6E-409C-BE32-E72D297353CC}">
              <c16:uniqueId val="{00000002-CD59-4BF5-8B89-C2AFD3F8D45C}"/>
            </c:ext>
          </c:extLst>
        </c:ser>
        <c:ser>
          <c:idx val="3"/>
          <c:order val="3"/>
          <c:tx>
            <c:strRef>
              <c:f>'Results ReCiPe (E) - CC'!$AB$53</c:f>
              <c:strCache>
                <c:ptCount val="1"/>
                <c:pt idx="0">
                  <c:v>Deconstruction - geological storage</c:v>
                </c:pt>
              </c:strCache>
            </c:strRef>
          </c:tx>
          <c:spPr>
            <a:solidFill>
              <a:srgbClr val="FF9900"/>
            </a:solidFill>
            <a:ln>
              <a:noFill/>
            </a:ln>
            <a:effectLst/>
          </c:spPr>
          <c:invertIfNegative val="0"/>
          <c:cat>
            <c:numRef>
              <c:f>'Results ReCiPe (E) - CC'!$AC$49:$BA$49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CC'!$AC$53:$BA$53</c:f>
              <c:numCache>
                <c:formatCode>0.00E+00</c:formatCode>
                <c:ptCount val="25"/>
                <c:pt idx="24">
                  <c:v>19.94256618773564</c:v>
                </c:pt>
              </c:numCache>
            </c:numRef>
          </c:val>
          <c:extLst>
            <c:ext xmlns:c16="http://schemas.microsoft.com/office/drawing/2014/chart" uri="{C3380CC4-5D6E-409C-BE32-E72D297353CC}">
              <c16:uniqueId val="{00000003-CD59-4BF5-8B89-C2AFD3F8D45C}"/>
            </c:ext>
          </c:extLst>
        </c:ser>
        <c:ser>
          <c:idx val="4"/>
          <c:order val="4"/>
          <c:tx>
            <c:strRef>
              <c:f>'Results ReCiPe (E) - CC'!$AB$54</c:f>
              <c:strCache>
                <c:ptCount val="1"/>
                <c:pt idx="0">
                  <c:v>Sorbent material</c:v>
                </c:pt>
              </c:strCache>
            </c:strRef>
          </c:tx>
          <c:spPr>
            <a:solidFill>
              <a:srgbClr val="FF8F8F"/>
            </a:solidFill>
            <a:ln>
              <a:noFill/>
            </a:ln>
            <a:effectLst/>
          </c:spPr>
          <c:invertIfNegative val="0"/>
          <c:cat>
            <c:numRef>
              <c:f>'Results ReCiPe (E) - CC'!$AC$49:$BA$49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CC'!$AC$54:$BA$54</c:f>
              <c:numCache>
                <c:formatCode>0.00E+00</c:formatCode>
                <c:ptCount val="25"/>
                <c:pt idx="0">
                  <c:v>1002.2532345357261</c:v>
                </c:pt>
                <c:pt idx="3">
                  <c:v>968.37815789759441</c:v>
                </c:pt>
                <c:pt idx="6">
                  <c:v>935.22469385907107</c:v>
                </c:pt>
                <c:pt idx="9">
                  <c:v>892.83003869097888</c:v>
                </c:pt>
                <c:pt idx="12">
                  <c:v>844.94159176113419</c:v>
                </c:pt>
                <c:pt idx="15">
                  <c:v>792.9189308085422</c:v>
                </c:pt>
                <c:pt idx="18">
                  <c:v>755.92169116514378</c:v>
                </c:pt>
                <c:pt idx="21">
                  <c:v>729.74807912223457</c:v>
                </c:pt>
                <c:pt idx="24">
                  <c:v>722.80509911141849</c:v>
                </c:pt>
              </c:numCache>
            </c:numRef>
          </c:val>
          <c:extLst>
            <c:ext xmlns:c16="http://schemas.microsoft.com/office/drawing/2014/chart" uri="{C3380CC4-5D6E-409C-BE32-E72D297353CC}">
              <c16:uniqueId val="{00000004-CD59-4BF5-8B89-C2AFD3F8D45C}"/>
            </c:ext>
          </c:extLst>
        </c:ser>
        <c:ser>
          <c:idx val="5"/>
          <c:order val="5"/>
          <c:tx>
            <c:strRef>
              <c:f>'Results ReCiPe (E) - CC'!$AB$55</c:f>
              <c:strCache>
                <c:ptCount val="1"/>
                <c:pt idx="0">
                  <c:v>Operation - DAC</c:v>
                </c:pt>
              </c:strCache>
            </c:strRef>
          </c:tx>
          <c:spPr>
            <a:solidFill>
              <a:schemeClr val="accent2">
                <a:lumMod val="75000"/>
              </a:schemeClr>
            </a:solidFill>
            <a:ln>
              <a:noFill/>
            </a:ln>
            <a:effectLst/>
          </c:spPr>
          <c:invertIfNegative val="0"/>
          <c:cat>
            <c:numRef>
              <c:f>'Results ReCiPe (E) - CC'!$AC$49:$BA$49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CC'!$AC$55:$BA$55</c:f>
              <c:numCache>
                <c:formatCode>0.00E+00</c:formatCode>
                <c:ptCount val="25"/>
                <c:pt idx="0">
                  <c:v>29333.972943862042</c:v>
                </c:pt>
                <c:pt idx="1">
                  <c:v>27292.80519406205</c:v>
                </c:pt>
                <c:pt idx="2">
                  <c:v>25252.457053391019</c:v>
                </c:pt>
                <c:pt idx="3">
                  <c:v>23183.885001695438</c:v>
                </c:pt>
                <c:pt idx="4">
                  <c:v>21144.555105579959</c:v>
                </c:pt>
                <c:pt idx="5">
                  <c:v>19105.454163521252</c:v>
                </c:pt>
                <c:pt idx="6">
                  <c:v>17446.94626211204</c:v>
                </c:pt>
                <c:pt idx="7">
                  <c:v>15790.99526139489</c:v>
                </c:pt>
                <c:pt idx="8">
                  <c:v>14112.941779038551</c:v>
                </c:pt>
                <c:pt idx="9">
                  <c:v>12458.236000018969</c:v>
                </c:pt>
                <c:pt idx="10">
                  <c:v>10803.59805184265</c:v>
                </c:pt>
                <c:pt idx="11">
                  <c:v>9476.44403871336</c:v>
                </c:pt>
                <c:pt idx="12">
                  <c:v>8144.2445028166321</c:v>
                </c:pt>
                <c:pt idx="13">
                  <c:v>6802.2612894680433</c:v>
                </c:pt>
                <c:pt idx="14">
                  <c:v>5460.1562049563308</c:v>
                </c:pt>
                <c:pt idx="15">
                  <c:v>4113.1977144212233</c:v>
                </c:pt>
                <c:pt idx="16">
                  <c:v>3365.1819860143701</c:v>
                </c:pt>
                <c:pt idx="17">
                  <c:v>2617.48242761751</c:v>
                </c:pt>
                <c:pt idx="18">
                  <c:v>1866.1112904239531</c:v>
                </c:pt>
                <c:pt idx="19">
                  <c:v>1119.2985864149889</c:v>
                </c:pt>
                <c:pt idx="20">
                  <c:v>373.26129137393877</c:v>
                </c:pt>
                <c:pt idx="21">
                  <c:v>103.5106643353766</c:v>
                </c:pt>
                <c:pt idx="22">
                  <c:v>-169.81024892526969</c:v>
                </c:pt>
                <c:pt idx="23">
                  <c:v>-444.043635634579</c:v>
                </c:pt>
                <c:pt idx="24">
                  <c:v>-719.2101930397281</c:v>
                </c:pt>
              </c:numCache>
            </c:numRef>
          </c:val>
          <c:extLst>
            <c:ext xmlns:c16="http://schemas.microsoft.com/office/drawing/2014/chart" uri="{C3380CC4-5D6E-409C-BE32-E72D297353CC}">
              <c16:uniqueId val="{00000005-CD59-4BF5-8B89-C2AFD3F8D45C}"/>
            </c:ext>
          </c:extLst>
        </c:ser>
        <c:ser>
          <c:idx val="6"/>
          <c:order val="6"/>
          <c:tx>
            <c:strRef>
              <c:f>'Results ReCiPe (E) - CC'!$AB$56</c:f>
              <c:strCache>
                <c:ptCount val="1"/>
                <c:pt idx="0">
                  <c:v>Operation - geological storage</c:v>
                </c:pt>
              </c:strCache>
            </c:strRef>
          </c:tx>
          <c:spPr>
            <a:solidFill>
              <a:schemeClr val="accent2">
                <a:lumMod val="50000"/>
              </a:schemeClr>
            </a:solidFill>
            <a:ln>
              <a:noFill/>
            </a:ln>
            <a:effectLst/>
          </c:spPr>
          <c:invertIfNegative val="0"/>
          <c:cat>
            <c:numRef>
              <c:f>'Results ReCiPe (E) - CC'!$AC$49:$BA$49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CC'!$AC$56:$BA$56</c:f>
              <c:numCache>
                <c:formatCode>0.00E+00</c:formatCode>
                <c:ptCount val="25"/>
                <c:pt idx="0">
                  <c:v>2351.714163944283</c:v>
                </c:pt>
                <c:pt idx="1">
                  <c:v>2190.1673768340443</c:v>
                </c:pt>
                <c:pt idx="2">
                  <c:v>2029.3904072666951</c:v>
                </c:pt>
                <c:pt idx="3">
                  <c:v>1866.7911576758299</c:v>
                </c:pt>
                <c:pt idx="4">
                  <c:v>1707.502623292623</c:v>
                </c:pt>
                <c:pt idx="5">
                  <c:v>1548.9323074469849</c:v>
                </c:pt>
                <c:pt idx="6">
                  <c:v>1420.8989842219689</c:v>
                </c:pt>
                <c:pt idx="7">
                  <c:v>1293.3308573942479</c:v>
                </c:pt>
                <c:pt idx="8">
                  <c:v>1164.1128877273279</c:v>
                </c:pt>
                <c:pt idx="9">
                  <c:v>1037.1732653147751</c:v>
                </c:pt>
                <c:pt idx="10">
                  <c:v>910.499631231639</c:v>
                </c:pt>
                <c:pt idx="11">
                  <c:v>808.7977242446666</c:v>
                </c:pt>
                <c:pt idx="12">
                  <c:v>706.74870524203391</c:v>
                </c:pt>
                <c:pt idx="13">
                  <c:v>603.92919067835487</c:v>
                </c:pt>
                <c:pt idx="14">
                  <c:v>501.19625811265666</c:v>
                </c:pt>
                <c:pt idx="15">
                  <c:v>398.1259448726446</c:v>
                </c:pt>
                <c:pt idx="16">
                  <c:v>340.44341692369227</c:v>
                </c:pt>
                <c:pt idx="17">
                  <c:v>282.62109837166611</c:v>
                </c:pt>
                <c:pt idx="18">
                  <c:v>224.30575139066821</c:v>
                </c:pt>
                <c:pt idx="19">
                  <c:v>166.2185040602605</c:v>
                </c:pt>
                <c:pt idx="20">
                  <c:v>108.02156568474821</c:v>
                </c:pt>
                <c:pt idx="21">
                  <c:v>87.588281224861447</c:v>
                </c:pt>
                <c:pt idx="22">
                  <c:v>66.962919108807966</c:v>
                </c:pt>
                <c:pt idx="23">
                  <c:v>46.333223064412451</c:v>
                </c:pt>
                <c:pt idx="24">
                  <c:v>25.697533708808269</c:v>
                </c:pt>
              </c:numCache>
            </c:numRef>
          </c:val>
          <c:extLst>
            <c:ext xmlns:c16="http://schemas.microsoft.com/office/drawing/2014/chart" uri="{C3380CC4-5D6E-409C-BE32-E72D297353CC}">
              <c16:uniqueId val="{00000006-CD59-4BF5-8B89-C2AFD3F8D45C}"/>
            </c:ext>
          </c:extLst>
        </c:ser>
        <c:ser>
          <c:idx val="7"/>
          <c:order val="7"/>
          <c:tx>
            <c:strRef>
              <c:f>'Results ReCiPe (E) - CC'!$AB$57</c:f>
              <c:strCache>
                <c:ptCount val="1"/>
                <c:pt idx="0">
                  <c:v>CO2 captured and stored</c:v>
                </c:pt>
              </c:strCache>
            </c:strRef>
          </c:tx>
          <c:spPr>
            <a:solidFill>
              <a:schemeClr val="tx2">
                <a:lumMod val="20000"/>
                <a:lumOff val="80000"/>
              </a:schemeClr>
            </a:solidFill>
            <a:ln>
              <a:noFill/>
            </a:ln>
            <a:effectLst/>
          </c:spPr>
          <c:invertIfNegative val="0"/>
          <c:cat>
            <c:numRef>
              <c:f>'Results ReCiPe (E) - CC'!$AC$49:$BA$49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CC'!$AC$57:$BA$57</c:f>
              <c:numCache>
                <c:formatCode>0.00E+00</c:formatCode>
                <c:ptCount val="25"/>
                <c:pt idx="0">
                  <c:v>-100000</c:v>
                </c:pt>
                <c:pt idx="1">
                  <c:v>-100000</c:v>
                </c:pt>
                <c:pt idx="2">
                  <c:v>-100000</c:v>
                </c:pt>
                <c:pt idx="3">
                  <c:v>-100000</c:v>
                </c:pt>
                <c:pt idx="4">
                  <c:v>-100000</c:v>
                </c:pt>
                <c:pt idx="5">
                  <c:v>-100000</c:v>
                </c:pt>
                <c:pt idx="6">
                  <c:v>-100000</c:v>
                </c:pt>
                <c:pt idx="7">
                  <c:v>-100000</c:v>
                </c:pt>
                <c:pt idx="8">
                  <c:v>-100000</c:v>
                </c:pt>
                <c:pt idx="9">
                  <c:v>-100000</c:v>
                </c:pt>
                <c:pt idx="10">
                  <c:v>-100000</c:v>
                </c:pt>
                <c:pt idx="11">
                  <c:v>-100000</c:v>
                </c:pt>
                <c:pt idx="12">
                  <c:v>-100000</c:v>
                </c:pt>
                <c:pt idx="13">
                  <c:v>-100000</c:v>
                </c:pt>
                <c:pt idx="14">
                  <c:v>-100000</c:v>
                </c:pt>
                <c:pt idx="15">
                  <c:v>-100000</c:v>
                </c:pt>
                <c:pt idx="16">
                  <c:v>-100000</c:v>
                </c:pt>
                <c:pt idx="17">
                  <c:v>-100000</c:v>
                </c:pt>
                <c:pt idx="18">
                  <c:v>-100000</c:v>
                </c:pt>
                <c:pt idx="19">
                  <c:v>-100000</c:v>
                </c:pt>
                <c:pt idx="20">
                  <c:v>-100000</c:v>
                </c:pt>
                <c:pt idx="21">
                  <c:v>-100000</c:v>
                </c:pt>
                <c:pt idx="22">
                  <c:v>-100000</c:v>
                </c:pt>
                <c:pt idx="23">
                  <c:v>-100000</c:v>
                </c:pt>
                <c:pt idx="24">
                  <c:v>-100000</c:v>
                </c:pt>
              </c:numCache>
            </c:numRef>
          </c:val>
          <c:extLst>
            <c:ext xmlns:c16="http://schemas.microsoft.com/office/drawing/2014/chart" uri="{C3380CC4-5D6E-409C-BE32-E72D297353CC}">
              <c16:uniqueId val="{00000007-CD59-4BF5-8B89-C2AFD3F8D45C}"/>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(E) - CC'!$AB$58</c:f>
              <c:strCache>
                <c:ptCount val="1"/>
                <c:pt idx="0">
                  <c:v>TOTAL per year</c:v>
                </c:pt>
              </c:strCache>
            </c:strRef>
          </c:tx>
          <c:spPr>
            <a:ln w="25400" cap="rnd">
              <a:noFill/>
              <a:round/>
            </a:ln>
            <a:effectLst/>
          </c:spPr>
          <c:marker>
            <c:symbol val="circle"/>
            <c:size val="5"/>
            <c:spPr>
              <a:solidFill>
                <a:schemeClr val="tx1"/>
              </a:solidFill>
              <a:ln w="9525">
                <a:solidFill>
                  <a:schemeClr val="tx1"/>
                </a:solidFill>
              </a:ln>
              <a:effectLst/>
            </c:spPr>
          </c:marker>
          <c:cat>
            <c:numRef>
              <c:f>'Results ReCiPe (E) - CC'!$AC$49:$BA$49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CC'!$AC$58:$BA$58</c:f>
              <c:numCache>
                <c:formatCode>0.00E+00</c:formatCode>
                <c:ptCount val="25"/>
                <c:pt idx="0">
                  <c:v>-39423.696860695891</c:v>
                </c:pt>
                <c:pt idx="1">
                  <c:v>-70517.02742910391</c:v>
                </c:pt>
                <c:pt idx="2">
                  <c:v>-72718.152539342293</c:v>
                </c:pt>
                <c:pt idx="3">
                  <c:v>-73980.945682731137</c:v>
                </c:pt>
                <c:pt idx="4">
                  <c:v>-77147.942271127424</c:v>
                </c:pt>
                <c:pt idx="5">
                  <c:v>-79345.613529031762</c:v>
                </c:pt>
                <c:pt idx="6">
                  <c:v>-80196.930059806909</c:v>
                </c:pt>
                <c:pt idx="7">
                  <c:v>-82915.673881210867</c:v>
                </c:pt>
                <c:pt idx="8">
                  <c:v>-84722.945333234122</c:v>
                </c:pt>
                <c:pt idx="9">
                  <c:v>-85611.760695975274</c:v>
                </c:pt>
                <c:pt idx="10">
                  <c:v>-88285.902316925713</c:v>
                </c:pt>
                <c:pt idx="11">
                  <c:v>-89714.75823704197</c:v>
                </c:pt>
                <c:pt idx="12">
                  <c:v>-90304.065200180194</c:v>
                </c:pt>
                <c:pt idx="13">
                  <c:v>-92593.809519853603</c:v>
                </c:pt>
                <c:pt idx="14">
                  <c:v>-94038.647536931006</c:v>
                </c:pt>
                <c:pt idx="15">
                  <c:v>-94695.757409897589</c:v>
                </c:pt>
                <c:pt idx="16">
                  <c:v>-96294.374597061935</c:v>
                </c:pt>
                <c:pt idx="17">
                  <c:v>-97099.89647401082</c:v>
                </c:pt>
                <c:pt idx="18">
                  <c:v>-97153.66126702023</c:v>
                </c:pt>
                <c:pt idx="19">
                  <c:v>-98714.482909524755</c:v>
                </c:pt>
                <c:pt idx="20">
                  <c:v>-99518.717142941314</c:v>
                </c:pt>
                <c:pt idx="21">
                  <c:v>-99079.152975317527</c:v>
                </c:pt>
                <c:pt idx="22">
                  <c:v>-100102.84732981646</c:v>
                </c:pt>
                <c:pt idx="23">
                  <c:v>-100397.71041257017</c:v>
                </c:pt>
                <c:pt idx="24">
                  <c:v>-99478.845334623926</c:v>
                </c:pt>
              </c:numCache>
            </c:numRef>
          </c:val>
          <c:smooth val="0"/>
          <c:extLst>
            <c:ext xmlns:c16="http://schemas.microsoft.com/office/drawing/2014/chart" uri="{C3380CC4-5D6E-409C-BE32-E72D297353CC}">
              <c16:uniqueId val="{00000008-CD59-4BF5-8B89-C2AFD3F8D45C}"/>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Climate change</a:t>
                </a:r>
              </a:p>
              <a:p>
                <a:pPr algn="ctr" rtl="0">
                  <a:defRPr/>
                </a:pPr>
                <a:r>
                  <a:rPr lang="nl-NL"/>
                  <a:t>(kg</a:t>
                </a:r>
                <a:r>
                  <a:rPr lang="nl-NL" baseline="0"/>
                  <a:t> CO2-eq</a:t>
                </a:r>
                <a:r>
                  <a:rPr lang="nl-NL"/>
                  <a:t>/ton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(E) - CC'!$AB$90</c:f>
              <c:strCache>
                <c:ptCount val="1"/>
                <c:pt idx="0">
                  <c:v>Construction - DAC</c:v>
                </c:pt>
              </c:strCache>
            </c:strRef>
          </c:tx>
          <c:spPr>
            <a:solidFill>
              <a:schemeClr val="accent4">
                <a:lumMod val="75000"/>
              </a:schemeClr>
            </a:solidFill>
            <a:ln>
              <a:noFill/>
            </a:ln>
            <a:effectLst/>
          </c:spPr>
          <c:invertIfNegative val="0"/>
          <c:cat>
            <c:numRef>
              <c:f>'Results ReCiPe (E) - CC'!$AC$89:$BA$89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CC'!$AC$90:$BA$90</c:f>
              <c:numCache>
                <c:formatCode>0.00E+00</c:formatCode>
                <c:ptCount val="25"/>
                <c:pt idx="0">
                  <c:v>18734.754242367293</c:v>
                </c:pt>
              </c:numCache>
            </c:numRef>
          </c:val>
          <c:extLst>
            <c:ext xmlns:c16="http://schemas.microsoft.com/office/drawing/2014/chart" uri="{C3380CC4-5D6E-409C-BE32-E72D297353CC}">
              <c16:uniqueId val="{00000000-9925-43F5-ACCD-C3E73B76CB09}"/>
            </c:ext>
          </c:extLst>
        </c:ser>
        <c:ser>
          <c:idx val="1"/>
          <c:order val="1"/>
          <c:tx>
            <c:strRef>
              <c:f>'Results ReCiPe (E) - CC'!$AB$91</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(E) - CC'!$AC$89:$BA$89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CC'!$AC$91:$BA$91</c:f>
              <c:numCache>
                <c:formatCode>0.00E+00</c:formatCode>
                <c:ptCount val="25"/>
                <c:pt idx="0">
                  <c:v>1806.9972059599825</c:v>
                </c:pt>
              </c:numCache>
            </c:numRef>
          </c:val>
          <c:extLst>
            <c:ext xmlns:c16="http://schemas.microsoft.com/office/drawing/2014/chart" uri="{C3380CC4-5D6E-409C-BE32-E72D297353CC}">
              <c16:uniqueId val="{00000001-9925-43F5-ACCD-C3E73B76CB09}"/>
            </c:ext>
          </c:extLst>
        </c:ser>
        <c:ser>
          <c:idx val="2"/>
          <c:order val="2"/>
          <c:tx>
            <c:strRef>
              <c:f>'Results ReCiPe (E) - CC'!$AB$92</c:f>
              <c:strCache>
                <c:ptCount val="1"/>
                <c:pt idx="0">
                  <c:v>Deconstruction - DAC</c:v>
                </c:pt>
              </c:strCache>
            </c:strRef>
          </c:tx>
          <c:spPr>
            <a:solidFill>
              <a:schemeClr val="accent2">
                <a:lumMod val="40000"/>
                <a:lumOff val="60000"/>
              </a:schemeClr>
            </a:solidFill>
            <a:ln>
              <a:noFill/>
            </a:ln>
            <a:effectLst/>
          </c:spPr>
          <c:invertIfNegative val="0"/>
          <c:cat>
            <c:numRef>
              <c:f>'Results ReCiPe (E) - CC'!$AC$89:$BA$89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CC'!$AC$92:$BA$92</c:f>
              <c:numCache>
                <c:formatCode>0.00E+00</c:formatCode>
                <c:ptCount val="25"/>
                <c:pt idx="24">
                  <c:v>401.67894942234688</c:v>
                </c:pt>
              </c:numCache>
            </c:numRef>
          </c:val>
          <c:extLst>
            <c:ext xmlns:c16="http://schemas.microsoft.com/office/drawing/2014/chart" uri="{C3380CC4-5D6E-409C-BE32-E72D297353CC}">
              <c16:uniqueId val="{00000002-9925-43F5-ACCD-C3E73B76CB09}"/>
            </c:ext>
          </c:extLst>
        </c:ser>
        <c:ser>
          <c:idx val="3"/>
          <c:order val="3"/>
          <c:tx>
            <c:strRef>
              <c:f>'Results ReCiPe (E) - CC'!$AB$93</c:f>
              <c:strCache>
                <c:ptCount val="1"/>
                <c:pt idx="0">
                  <c:v>Deconstruction - geological storage</c:v>
                </c:pt>
              </c:strCache>
            </c:strRef>
          </c:tx>
          <c:spPr>
            <a:solidFill>
              <a:srgbClr val="FF9900"/>
            </a:solidFill>
            <a:ln>
              <a:noFill/>
            </a:ln>
            <a:effectLst/>
          </c:spPr>
          <c:invertIfNegative val="0"/>
          <c:cat>
            <c:numRef>
              <c:f>'Results ReCiPe (E) - CC'!$AC$89:$BA$89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CC'!$AC$93:$BA$93</c:f>
              <c:numCache>
                <c:formatCode>0.00E+00</c:formatCode>
                <c:ptCount val="25"/>
                <c:pt idx="24">
                  <c:v>18.734548309715944</c:v>
                </c:pt>
              </c:numCache>
            </c:numRef>
          </c:val>
          <c:extLst>
            <c:ext xmlns:c16="http://schemas.microsoft.com/office/drawing/2014/chart" uri="{C3380CC4-5D6E-409C-BE32-E72D297353CC}">
              <c16:uniqueId val="{00000003-9925-43F5-ACCD-C3E73B76CB09}"/>
            </c:ext>
          </c:extLst>
        </c:ser>
        <c:ser>
          <c:idx val="4"/>
          <c:order val="4"/>
          <c:tx>
            <c:strRef>
              <c:f>'Results ReCiPe (E) - CC'!$AB$94</c:f>
              <c:strCache>
                <c:ptCount val="1"/>
                <c:pt idx="0">
                  <c:v>Sorbent material</c:v>
                </c:pt>
              </c:strCache>
            </c:strRef>
          </c:tx>
          <c:spPr>
            <a:solidFill>
              <a:srgbClr val="FF8F8F"/>
            </a:solidFill>
            <a:ln>
              <a:noFill/>
            </a:ln>
            <a:effectLst/>
          </c:spPr>
          <c:invertIfNegative val="0"/>
          <c:cat>
            <c:numRef>
              <c:f>'Results ReCiPe (E) - CC'!$AC$89:$BA$89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CC'!$AC$94:$BA$94</c:f>
              <c:numCache>
                <c:formatCode>0.00E+00</c:formatCode>
                <c:ptCount val="25"/>
                <c:pt idx="0">
                  <c:v>836.15304835919005</c:v>
                </c:pt>
                <c:pt idx="3">
                  <c:v>776.29424088243638</c:v>
                </c:pt>
                <c:pt idx="6">
                  <c:v>732.22544703005042</c:v>
                </c:pt>
                <c:pt idx="9">
                  <c:v>713.55013307811748</c:v>
                </c:pt>
                <c:pt idx="12">
                  <c:v>704.9299374269367</c:v>
                </c:pt>
                <c:pt idx="15">
                  <c:v>699.39372002031462</c:v>
                </c:pt>
                <c:pt idx="18">
                  <c:v>693.68200539906138</c:v>
                </c:pt>
                <c:pt idx="21">
                  <c:v>688.82780991828383</c:v>
                </c:pt>
                <c:pt idx="24">
                  <c:v>684.38892527547046</c:v>
                </c:pt>
              </c:numCache>
            </c:numRef>
          </c:val>
          <c:extLst>
            <c:ext xmlns:c16="http://schemas.microsoft.com/office/drawing/2014/chart" uri="{C3380CC4-5D6E-409C-BE32-E72D297353CC}">
              <c16:uniqueId val="{00000004-9925-43F5-ACCD-C3E73B76CB09}"/>
            </c:ext>
          </c:extLst>
        </c:ser>
        <c:ser>
          <c:idx val="5"/>
          <c:order val="5"/>
          <c:tx>
            <c:strRef>
              <c:f>'Results ReCiPe (E) - CC'!$AB$95</c:f>
              <c:strCache>
                <c:ptCount val="1"/>
                <c:pt idx="0">
                  <c:v>Operation - DAC</c:v>
                </c:pt>
              </c:strCache>
            </c:strRef>
          </c:tx>
          <c:spPr>
            <a:solidFill>
              <a:schemeClr val="accent2">
                <a:lumMod val="75000"/>
              </a:schemeClr>
            </a:solidFill>
            <a:ln>
              <a:noFill/>
            </a:ln>
            <a:effectLst/>
          </c:spPr>
          <c:invertIfNegative val="0"/>
          <c:cat>
            <c:numRef>
              <c:f>'Results ReCiPe (E) - CC'!$AC$89:$BA$89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CC'!$AC$95:$BA$95</c:f>
              <c:numCache>
                <c:formatCode>0.00E+00</c:formatCode>
                <c:ptCount val="25"/>
                <c:pt idx="0">
                  <c:v>12738.04869252668</c:v>
                </c:pt>
                <c:pt idx="1">
                  <c:v>10478.749552531461</c:v>
                </c:pt>
                <c:pt idx="2">
                  <c:v>8218.0108182124641</c:v>
                </c:pt>
                <c:pt idx="3">
                  <c:v>5923.7647587629936</c:v>
                </c:pt>
                <c:pt idx="4">
                  <c:v>3657.27663683117</c:v>
                </c:pt>
                <c:pt idx="5">
                  <c:v>1387.97138516821</c:v>
                </c:pt>
                <c:pt idx="6">
                  <c:v>684.9712252259709</c:v>
                </c:pt>
                <c:pt idx="7">
                  <c:v>-20.915231660612559</c:v>
                </c:pt>
                <c:pt idx="8">
                  <c:v>-757.77154695561785</c:v>
                </c:pt>
                <c:pt idx="9">
                  <c:v>-1470.426682177984</c:v>
                </c:pt>
                <c:pt idx="10">
                  <c:v>-2186.0842806529108</c:v>
                </c:pt>
                <c:pt idx="11">
                  <c:v>-2622.7163336528101</c:v>
                </c:pt>
                <c:pt idx="12">
                  <c:v>-3058.1971890509931</c:v>
                </c:pt>
                <c:pt idx="13">
                  <c:v>-3497.625559903247</c:v>
                </c:pt>
                <c:pt idx="14">
                  <c:v>-3930.759211855946</c:v>
                </c:pt>
                <c:pt idx="15">
                  <c:v>-4362.897592900008</c:v>
                </c:pt>
                <c:pt idx="16">
                  <c:v>-4891.5532944873103</c:v>
                </c:pt>
                <c:pt idx="17">
                  <c:v>-5415.978521346904</c:v>
                </c:pt>
                <c:pt idx="18">
                  <c:v>-5939.573347136863</c:v>
                </c:pt>
                <c:pt idx="19">
                  <c:v>-6455.3844749702102</c:v>
                </c:pt>
                <c:pt idx="20">
                  <c:v>-6967.0640599973112</c:v>
                </c:pt>
                <c:pt idx="21">
                  <c:v>-7498.2388249949981</c:v>
                </c:pt>
                <c:pt idx="22">
                  <c:v>-8032.4013649238459</c:v>
                </c:pt>
                <c:pt idx="23">
                  <c:v>-8568.0086214884395</c:v>
                </c:pt>
                <c:pt idx="24">
                  <c:v>-9105.0801594301392</c:v>
                </c:pt>
              </c:numCache>
            </c:numRef>
          </c:val>
          <c:extLst>
            <c:ext xmlns:c16="http://schemas.microsoft.com/office/drawing/2014/chart" uri="{C3380CC4-5D6E-409C-BE32-E72D297353CC}">
              <c16:uniqueId val="{00000005-9925-43F5-ACCD-C3E73B76CB09}"/>
            </c:ext>
          </c:extLst>
        </c:ser>
        <c:ser>
          <c:idx val="6"/>
          <c:order val="6"/>
          <c:tx>
            <c:strRef>
              <c:f>'Results ReCiPe (E) - CC'!$AB$96</c:f>
              <c:strCache>
                <c:ptCount val="1"/>
                <c:pt idx="0">
                  <c:v>Operation - geological storage</c:v>
                </c:pt>
              </c:strCache>
            </c:strRef>
          </c:tx>
          <c:spPr>
            <a:solidFill>
              <a:schemeClr val="accent2">
                <a:lumMod val="50000"/>
              </a:schemeClr>
            </a:solidFill>
            <a:ln>
              <a:noFill/>
            </a:ln>
            <a:effectLst/>
          </c:spPr>
          <c:invertIfNegative val="0"/>
          <c:cat>
            <c:numRef>
              <c:f>'Results ReCiPe (E) - CC'!$AC$89:$BA$89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CC'!$AC$96:$BA$96</c:f>
              <c:numCache>
                <c:formatCode>0.00E+00</c:formatCode>
                <c:ptCount val="25"/>
                <c:pt idx="0">
                  <c:v>1064.178773872263</c:v>
                </c:pt>
                <c:pt idx="1">
                  <c:v>887.70150060663673</c:v>
                </c:pt>
                <c:pt idx="2">
                  <c:v>712.28289419117573</c:v>
                </c:pt>
                <c:pt idx="3">
                  <c:v>535.1447661606876</c:v>
                </c:pt>
                <c:pt idx="4">
                  <c:v>361.6110433195467</c:v>
                </c:pt>
                <c:pt idx="5">
                  <c:v>189.00900792195162</c:v>
                </c:pt>
                <c:pt idx="6">
                  <c:v>135.82208206701111</c:v>
                </c:pt>
                <c:pt idx="7">
                  <c:v>82.645308146514978</c:v>
                </c:pt>
                <c:pt idx="8">
                  <c:v>27.178799907393408</c:v>
                </c:pt>
                <c:pt idx="9">
                  <c:v>-26.038868515217199</c:v>
                </c:pt>
                <c:pt idx="10">
                  <c:v>-79.251467758259324</c:v>
                </c:pt>
                <c:pt idx="11">
                  <c:v>-112.2046290666368</c:v>
                </c:pt>
                <c:pt idx="12">
                  <c:v>-145.11796913305719</c:v>
                </c:pt>
                <c:pt idx="13">
                  <c:v>-178.4238384313507</c:v>
                </c:pt>
                <c:pt idx="14">
                  <c:v>-211.25293495554951</c:v>
                </c:pt>
                <c:pt idx="15">
                  <c:v>-244.05437173072909</c:v>
                </c:pt>
                <c:pt idx="16">
                  <c:v>-286.18405190110172</c:v>
                </c:pt>
                <c:pt idx="17">
                  <c:v>-328.3603473128004</c:v>
                </c:pt>
                <c:pt idx="18">
                  <c:v>-370.87072569568062</c:v>
                </c:pt>
                <c:pt idx="19">
                  <c:v>-413.11591676598897</c:v>
                </c:pt>
                <c:pt idx="20">
                  <c:v>-455.40369116783506</c:v>
                </c:pt>
                <c:pt idx="21">
                  <c:v>-494.82446512450406</c:v>
                </c:pt>
                <c:pt idx="22">
                  <c:v>-534.34164655585573</c:v>
                </c:pt>
                <c:pt idx="23">
                  <c:v>-573.84703923126597</c:v>
                </c:pt>
                <c:pt idx="24">
                  <c:v>-613.34197781009084</c:v>
                </c:pt>
              </c:numCache>
            </c:numRef>
          </c:val>
          <c:extLst>
            <c:ext xmlns:c16="http://schemas.microsoft.com/office/drawing/2014/chart" uri="{C3380CC4-5D6E-409C-BE32-E72D297353CC}">
              <c16:uniqueId val="{00000006-9925-43F5-ACCD-C3E73B76CB09}"/>
            </c:ext>
          </c:extLst>
        </c:ser>
        <c:ser>
          <c:idx val="7"/>
          <c:order val="7"/>
          <c:tx>
            <c:strRef>
              <c:f>'Results ReCiPe (E) - CC'!$AB$97</c:f>
              <c:strCache>
                <c:ptCount val="1"/>
                <c:pt idx="0">
                  <c:v>CO2 captured and stored</c:v>
                </c:pt>
              </c:strCache>
            </c:strRef>
          </c:tx>
          <c:spPr>
            <a:solidFill>
              <a:schemeClr val="tx2">
                <a:lumMod val="20000"/>
                <a:lumOff val="80000"/>
              </a:schemeClr>
            </a:solidFill>
            <a:ln>
              <a:noFill/>
            </a:ln>
            <a:effectLst/>
          </c:spPr>
          <c:invertIfNegative val="0"/>
          <c:cat>
            <c:numRef>
              <c:f>'Results ReCiPe (E) - CC'!$AC$89:$BA$89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CC'!$AC$97:$BA$97</c:f>
              <c:numCache>
                <c:formatCode>0.00E+00</c:formatCode>
                <c:ptCount val="25"/>
                <c:pt idx="0">
                  <c:v>-100000</c:v>
                </c:pt>
                <c:pt idx="1">
                  <c:v>-100000</c:v>
                </c:pt>
                <c:pt idx="2">
                  <c:v>-100000</c:v>
                </c:pt>
                <c:pt idx="3">
                  <c:v>-100000</c:v>
                </c:pt>
                <c:pt idx="4">
                  <c:v>-100000</c:v>
                </c:pt>
                <c:pt idx="5">
                  <c:v>-100000</c:v>
                </c:pt>
                <c:pt idx="6">
                  <c:v>-100000</c:v>
                </c:pt>
                <c:pt idx="7">
                  <c:v>-100000</c:v>
                </c:pt>
                <c:pt idx="8">
                  <c:v>-100000</c:v>
                </c:pt>
                <c:pt idx="9">
                  <c:v>-100000</c:v>
                </c:pt>
                <c:pt idx="10">
                  <c:v>-100000</c:v>
                </c:pt>
                <c:pt idx="11">
                  <c:v>-100000</c:v>
                </c:pt>
                <c:pt idx="12">
                  <c:v>-100000</c:v>
                </c:pt>
                <c:pt idx="13">
                  <c:v>-100000</c:v>
                </c:pt>
                <c:pt idx="14">
                  <c:v>-100000</c:v>
                </c:pt>
                <c:pt idx="15">
                  <c:v>-100000</c:v>
                </c:pt>
                <c:pt idx="16">
                  <c:v>-100000</c:v>
                </c:pt>
                <c:pt idx="17">
                  <c:v>-100000</c:v>
                </c:pt>
                <c:pt idx="18">
                  <c:v>-100000</c:v>
                </c:pt>
                <c:pt idx="19">
                  <c:v>-100000</c:v>
                </c:pt>
                <c:pt idx="20">
                  <c:v>-100000</c:v>
                </c:pt>
                <c:pt idx="21">
                  <c:v>-100000</c:v>
                </c:pt>
                <c:pt idx="22">
                  <c:v>-100000</c:v>
                </c:pt>
                <c:pt idx="23">
                  <c:v>-100000</c:v>
                </c:pt>
                <c:pt idx="24">
                  <c:v>-100000</c:v>
                </c:pt>
              </c:numCache>
            </c:numRef>
          </c:val>
          <c:extLst>
            <c:ext xmlns:c16="http://schemas.microsoft.com/office/drawing/2014/chart" uri="{C3380CC4-5D6E-409C-BE32-E72D297353CC}">
              <c16:uniqueId val="{00000007-9925-43F5-ACCD-C3E73B76CB09}"/>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(E) - CC'!$AB$98</c:f>
              <c:strCache>
                <c:ptCount val="1"/>
                <c:pt idx="0">
                  <c:v>TOTAL per year</c:v>
                </c:pt>
              </c:strCache>
            </c:strRef>
          </c:tx>
          <c:spPr>
            <a:ln w="25400" cap="rnd">
              <a:noFill/>
              <a:round/>
            </a:ln>
            <a:effectLst/>
          </c:spPr>
          <c:marker>
            <c:symbol val="circle"/>
            <c:size val="5"/>
            <c:spPr>
              <a:solidFill>
                <a:schemeClr val="tx1"/>
              </a:solidFill>
              <a:ln w="9525">
                <a:solidFill>
                  <a:schemeClr val="tx1"/>
                </a:solidFill>
              </a:ln>
              <a:effectLst/>
            </c:spPr>
          </c:marker>
          <c:cat>
            <c:numRef>
              <c:f>'Results ReCiPe (E) - CC'!$AC$89:$BA$89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CC'!$AC$98:$BA$98</c:f>
              <c:numCache>
                <c:formatCode>0.00E+00</c:formatCode>
                <c:ptCount val="25"/>
                <c:pt idx="0">
                  <c:v>-64819.868036914595</c:v>
                </c:pt>
                <c:pt idx="1">
                  <c:v>-88633.548946861905</c:v>
                </c:pt>
                <c:pt idx="2">
                  <c:v>-91069.70628759636</c:v>
                </c:pt>
                <c:pt idx="3">
                  <c:v>-92764.796234193884</c:v>
                </c:pt>
                <c:pt idx="4">
                  <c:v>-95981.112319849286</c:v>
                </c:pt>
                <c:pt idx="5">
                  <c:v>-98423.019606909831</c:v>
                </c:pt>
                <c:pt idx="6">
                  <c:v>-98446.981245676972</c:v>
                </c:pt>
                <c:pt idx="7">
                  <c:v>-99938.269923514104</c:v>
                </c:pt>
                <c:pt idx="8">
                  <c:v>-100730.59274704823</c:v>
                </c:pt>
                <c:pt idx="9">
                  <c:v>-100782.91541761508</c:v>
                </c:pt>
                <c:pt idx="10">
                  <c:v>-102265.33574841118</c:v>
                </c:pt>
                <c:pt idx="11">
                  <c:v>-102734.92096271945</c:v>
                </c:pt>
                <c:pt idx="12">
                  <c:v>-102498.38522075712</c:v>
                </c:pt>
                <c:pt idx="13">
                  <c:v>-103676.0493983346</c:v>
                </c:pt>
                <c:pt idx="14">
                  <c:v>-104142.0121468115</c:v>
                </c:pt>
                <c:pt idx="15">
                  <c:v>-103907.55824461042</c:v>
                </c:pt>
                <c:pt idx="16">
                  <c:v>-105177.73734638841</c:v>
                </c:pt>
                <c:pt idx="17">
                  <c:v>-105744.3388686597</c:v>
                </c:pt>
                <c:pt idx="18">
                  <c:v>-105616.76206743348</c:v>
                </c:pt>
                <c:pt idx="19">
                  <c:v>-106868.5003917362</c:v>
                </c:pt>
                <c:pt idx="20">
                  <c:v>-107422.46775116515</c:v>
                </c:pt>
                <c:pt idx="21">
                  <c:v>-107304.23548020121</c:v>
                </c:pt>
                <c:pt idx="22">
                  <c:v>-108566.7430114797</c:v>
                </c:pt>
                <c:pt idx="23">
                  <c:v>-109141.85566071971</c:v>
                </c:pt>
                <c:pt idx="24">
                  <c:v>-108613.6197142327</c:v>
                </c:pt>
              </c:numCache>
            </c:numRef>
          </c:val>
          <c:smooth val="0"/>
          <c:extLst>
            <c:ext xmlns:c16="http://schemas.microsoft.com/office/drawing/2014/chart" uri="{C3380CC4-5D6E-409C-BE32-E72D297353CC}">
              <c16:uniqueId val="{00000008-9925-43F5-ACCD-C3E73B76CB09}"/>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Climate change</a:t>
                </a:r>
              </a:p>
              <a:p>
                <a:pPr algn="ctr" rtl="0">
                  <a:defRPr/>
                </a:pPr>
                <a:r>
                  <a:rPr lang="nl-NL"/>
                  <a:t>(kg</a:t>
                </a:r>
                <a:r>
                  <a:rPr lang="nl-NL" baseline="0"/>
                  <a:t> CO2-eq</a:t>
                </a:r>
                <a:r>
                  <a:rPr lang="nl-NL"/>
                  <a:t>/ton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(E) - CC'!$AB$132</c:f>
              <c:strCache>
                <c:ptCount val="1"/>
                <c:pt idx="0">
                  <c:v>Construction - DAC</c:v>
                </c:pt>
              </c:strCache>
            </c:strRef>
          </c:tx>
          <c:spPr>
            <a:solidFill>
              <a:schemeClr val="accent4">
                <a:lumMod val="75000"/>
              </a:schemeClr>
            </a:solidFill>
            <a:ln>
              <a:noFill/>
            </a:ln>
            <a:effectLst/>
          </c:spPr>
          <c:invertIfNegative val="0"/>
          <c:cat>
            <c:numRef>
              <c:f>'Results ReCiPe (E) - CC'!$AC$131:$BA$131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CC'!$AC$132:$BA$132</c:f>
              <c:numCache>
                <c:formatCode>0.00E+00</c:formatCode>
                <c:ptCount val="25"/>
                <c:pt idx="0">
                  <c:v>28361.809087835707</c:v>
                </c:pt>
              </c:numCache>
            </c:numRef>
          </c:val>
          <c:extLst>
            <c:ext xmlns:c16="http://schemas.microsoft.com/office/drawing/2014/chart" uri="{C3380CC4-5D6E-409C-BE32-E72D297353CC}">
              <c16:uniqueId val="{00000000-9F19-46AD-BA99-BC5940E70080}"/>
            </c:ext>
          </c:extLst>
        </c:ser>
        <c:ser>
          <c:idx val="1"/>
          <c:order val="1"/>
          <c:tx>
            <c:strRef>
              <c:f>'Results ReCiPe (E) - CC'!$AB$133</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(E) - CC'!$AC$131:$BA$131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CC'!$AC$133:$BA$133</c:f>
              <c:numCache>
                <c:formatCode>0.00E+00</c:formatCode>
                <c:ptCount val="25"/>
                <c:pt idx="0">
                  <c:v>2219.4940594747154</c:v>
                </c:pt>
              </c:numCache>
            </c:numRef>
          </c:val>
          <c:extLst>
            <c:ext xmlns:c16="http://schemas.microsoft.com/office/drawing/2014/chart" uri="{C3380CC4-5D6E-409C-BE32-E72D297353CC}">
              <c16:uniqueId val="{00000001-9F19-46AD-BA99-BC5940E70080}"/>
            </c:ext>
          </c:extLst>
        </c:ser>
        <c:ser>
          <c:idx val="2"/>
          <c:order val="2"/>
          <c:tx>
            <c:strRef>
              <c:f>'Results ReCiPe (E) - CC'!$AB$134</c:f>
              <c:strCache>
                <c:ptCount val="1"/>
                <c:pt idx="0">
                  <c:v>Deconstruction - DAC</c:v>
                </c:pt>
              </c:strCache>
            </c:strRef>
          </c:tx>
          <c:spPr>
            <a:solidFill>
              <a:schemeClr val="accent2">
                <a:lumMod val="40000"/>
                <a:lumOff val="60000"/>
              </a:schemeClr>
            </a:solidFill>
            <a:ln>
              <a:noFill/>
            </a:ln>
            <a:effectLst/>
          </c:spPr>
          <c:invertIfNegative val="0"/>
          <c:cat>
            <c:numRef>
              <c:f>'Results ReCiPe (E) - CC'!$AC$131:$BA$131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CC'!$AC$134:$BA$134</c:f>
              <c:numCache>
                <c:formatCode>0.00E+00</c:formatCode>
                <c:ptCount val="25"/>
                <c:pt idx="24">
                  <c:v>580.04942097986282</c:v>
                </c:pt>
              </c:numCache>
            </c:numRef>
          </c:val>
          <c:extLst>
            <c:ext xmlns:c16="http://schemas.microsoft.com/office/drawing/2014/chart" uri="{C3380CC4-5D6E-409C-BE32-E72D297353CC}">
              <c16:uniqueId val="{00000002-9F19-46AD-BA99-BC5940E70080}"/>
            </c:ext>
          </c:extLst>
        </c:ser>
        <c:ser>
          <c:idx val="3"/>
          <c:order val="3"/>
          <c:tx>
            <c:strRef>
              <c:f>'Results ReCiPe (E) - CC'!$AB$135</c:f>
              <c:strCache>
                <c:ptCount val="1"/>
                <c:pt idx="0">
                  <c:v>Deconstruction - geological storage</c:v>
                </c:pt>
              </c:strCache>
            </c:strRef>
          </c:tx>
          <c:spPr>
            <a:solidFill>
              <a:srgbClr val="FF9900"/>
            </a:solidFill>
            <a:ln>
              <a:noFill/>
            </a:ln>
            <a:effectLst/>
          </c:spPr>
          <c:invertIfNegative val="0"/>
          <c:cat>
            <c:numRef>
              <c:f>'Results ReCiPe (E) - CC'!$AC$131:$BA$131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CC'!$AC$135:$BA$135</c:f>
              <c:numCache>
                <c:formatCode>0.00E+00</c:formatCode>
                <c:ptCount val="25"/>
                <c:pt idx="24">
                  <c:v>21.40281274934447</c:v>
                </c:pt>
              </c:numCache>
            </c:numRef>
          </c:val>
          <c:extLst>
            <c:ext xmlns:c16="http://schemas.microsoft.com/office/drawing/2014/chart" uri="{C3380CC4-5D6E-409C-BE32-E72D297353CC}">
              <c16:uniqueId val="{00000003-9F19-46AD-BA99-BC5940E70080}"/>
            </c:ext>
          </c:extLst>
        </c:ser>
        <c:ser>
          <c:idx val="4"/>
          <c:order val="4"/>
          <c:tx>
            <c:strRef>
              <c:f>'Results ReCiPe (E) - CC'!$AB$136</c:f>
              <c:strCache>
                <c:ptCount val="1"/>
                <c:pt idx="0">
                  <c:v>Sorbent material</c:v>
                </c:pt>
              </c:strCache>
            </c:strRef>
          </c:tx>
          <c:spPr>
            <a:solidFill>
              <a:srgbClr val="FF8F8F"/>
            </a:solidFill>
            <a:ln>
              <a:noFill/>
            </a:ln>
            <a:effectLst/>
          </c:spPr>
          <c:invertIfNegative val="0"/>
          <c:cat>
            <c:numRef>
              <c:f>'Results ReCiPe (E) - CC'!$AC$131:$BA$131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CC'!$AC$136:$BA$136</c:f>
              <c:numCache>
                <c:formatCode>0.00E+00</c:formatCode>
                <c:ptCount val="25"/>
                <c:pt idx="0">
                  <c:v>1037.493275938863</c:v>
                </c:pt>
                <c:pt idx="3">
                  <c:v>1027.697547156306</c:v>
                </c:pt>
                <c:pt idx="6">
                  <c:v>1025.202036574439</c:v>
                </c:pt>
                <c:pt idx="9">
                  <c:v>1025.3040187287079</c:v>
                </c:pt>
                <c:pt idx="12">
                  <c:v>1030.1790192937119</c:v>
                </c:pt>
                <c:pt idx="15">
                  <c:v>1035.5510426582489</c:v>
                </c:pt>
                <c:pt idx="18">
                  <c:v>1022.5109258357249</c:v>
                </c:pt>
                <c:pt idx="21">
                  <c:v>1007.600052632234</c:v>
                </c:pt>
                <c:pt idx="24">
                  <c:v>987.38631762704017</c:v>
                </c:pt>
              </c:numCache>
            </c:numRef>
          </c:val>
          <c:extLst>
            <c:ext xmlns:c16="http://schemas.microsoft.com/office/drawing/2014/chart" uri="{C3380CC4-5D6E-409C-BE32-E72D297353CC}">
              <c16:uniqueId val="{00000004-9F19-46AD-BA99-BC5940E70080}"/>
            </c:ext>
          </c:extLst>
        </c:ser>
        <c:ser>
          <c:idx val="5"/>
          <c:order val="5"/>
          <c:tx>
            <c:strRef>
              <c:f>'Results ReCiPe (E) - CC'!$AB$137</c:f>
              <c:strCache>
                <c:ptCount val="1"/>
                <c:pt idx="0">
                  <c:v>Operation - DAC</c:v>
                </c:pt>
              </c:strCache>
            </c:strRef>
          </c:tx>
          <c:spPr>
            <a:solidFill>
              <a:schemeClr val="accent2">
                <a:lumMod val="75000"/>
              </a:schemeClr>
            </a:solidFill>
            <a:ln>
              <a:noFill/>
            </a:ln>
            <a:effectLst/>
          </c:spPr>
          <c:invertIfNegative val="0"/>
          <c:cat>
            <c:numRef>
              <c:f>'Results ReCiPe (E) - CC'!$AC$131:$BA$131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CC'!$AC$137:$BA$137</c:f>
              <c:numCache>
                <c:formatCode>0.00E+00</c:formatCode>
                <c:ptCount val="25"/>
                <c:pt idx="0">
                  <c:v>26511.756058142531</c:v>
                </c:pt>
                <c:pt idx="1">
                  <c:v>26485.59824344853</c:v>
                </c:pt>
                <c:pt idx="2">
                  <c:v>26459.640855552763</c:v>
                </c:pt>
                <c:pt idx="3">
                  <c:v>26408.595951272724</c:v>
                </c:pt>
                <c:pt idx="4">
                  <c:v>26383.137418468621</c:v>
                </c:pt>
                <c:pt idx="5">
                  <c:v>26357.725179127527</c:v>
                </c:pt>
                <c:pt idx="6">
                  <c:v>28328.573810127768</c:v>
                </c:pt>
                <c:pt idx="7">
                  <c:v>30296.964947641682</c:v>
                </c:pt>
                <c:pt idx="8">
                  <c:v>32246.718200957217</c:v>
                </c:pt>
                <c:pt idx="9">
                  <c:v>34213.160375131971</c:v>
                </c:pt>
                <c:pt idx="10">
                  <c:v>36177.101294777785</c:v>
                </c:pt>
                <c:pt idx="11">
                  <c:v>39675.359308165156</c:v>
                </c:pt>
                <c:pt idx="12">
                  <c:v>43181.20552061632</c:v>
                </c:pt>
                <c:pt idx="13">
                  <c:v>46691.6883807302</c:v>
                </c:pt>
                <c:pt idx="14">
                  <c:v>50212.531890328799</c:v>
                </c:pt>
                <c:pt idx="15">
                  <c:v>53741.008670082585</c:v>
                </c:pt>
                <c:pt idx="16">
                  <c:v>54333.458920398029</c:v>
                </c:pt>
                <c:pt idx="17">
                  <c:v>54925.82082558539</c:v>
                </c:pt>
                <c:pt idx="18">
                  <c:v>55515.448310045947</c:v>
                </c:pt>
                <c:pt idx="19">
                  <c:v>56107.865340117183</c:v>
                </c:pt>
                <c:pt idx="20">
                  <c:v>56700.347544148201</c:v>
                </c:pt>
                <c:pt idx="21">
                  <c:v>55459.971841076593</c:v>
                </c:pt>
                <c:pt idx="22">
                  <c:v>54069.341915194629</c:v>
                </c:pt>
                <c:pt idx="23">
                  <c:v>52674.199708612083</c:v>
                </c:pt>
                <c:pt idx="24">
                  <c:v>51274.499762428422</c:v>
                </c:pt>
              </c:numCache>
            </c:numRef>
          </c:val>
          <c:extLst>
            <c:ext xmlns:c16="http://schemas.microsoft.com/office/drawing/2014/chart" uri="{C3380CC4-5D6E-409C-BE32-E72D297353CC}">
              <c16:uniqueId val="{00000005-9F19-46AD-BA99-BC5940E70080}"/>
            </c:ext>
          </c:extLst>
        </c:ser>
        <c:ser>
          <c:idx val="6"/>
          <c:order val="6"/>
          <c:tx>
            <c:strRef>
              <c:f>'Results ReCiPe (E) - CC'!$AB$138</c:f>
              <c:strCache>
                <c:ptCount val="1"/>
                <c:pt idx="0">
                  <c:v>Operation - geological storage</c:v>
                </c:pt>
              </c:strCache>
            </c:strRef>
          </c:tx>
          <c:spPr>
            <a:solidFill>
              <a:schemeClr val="accent2">
                <a:lumMod val="50000"/>
              </a:schemeClr>
            </a:solidFill>
            <a:ln>
              <a:noFill/>
            </a:ln>
            <a:effectLst/>
          </c:spPr>
          <c:invertIfNegative val="0"/>
          <c:cat>
            <c:numRef>
              <c:f>'Results ReCiPe (E) - CC'!$AC$131:$BA$131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CC'!$AC$138:$BA$138</c:f>
              <c:numCache>
                <c:formatCode>0.00E+00</c:formatCode>
                <c:ptCount val="25"/>
                <c:pt idx="0">
                  <c:v>2743.9771892642539</c:v>
                </c:pt>
                <c:pt idx="1">
                  <c:v>2737.3661407894861</c:v>
                </c:pt>
                <c:pt idx="2">
                  <c:v>2730.7728764204148</c:v>
                </c:pt>
                <c:pt idx="3">
                  <c:v>2721.7527406765089</c:v>
                </c:pt>
                <c:pt idx="4">
                  <c:v>2715.199466561869</c:v>
                </c:pt>
                <c:pt idx="5">
                  <c:v>2708.6480619983449</c:v>
                </c:pt>
                <c:pt idx="6">
                  <c:v>2901.0930184483618</c:v>
                </c:pt>
                <c:pt idx="7">
                  <c:v>3092.7286295864442</c:v>
                </c:pt>
                <c:pt idx="8">
                  <c:v>3281.9814984845921</c:v>
                </c:pt>
                <c:pt idx="9">
                  <c:v>3472.3015125199281</c:v>
                </c:pt>
                <c:pt idx="10">
                  <c:v>3661.8152926740072</c:v>
                </c:pt>
                <c:pt idx="11">
                  <c:v>4002.9824095637841</c:v>
                </c:pt>
                <c:pt idx="12">
                  <c:v>4344.1070893422648</c:v>
                </c:pt>
                <c:pt idx="13">
                  <c:v>4684.8958807889321</c:v>
                </c:pt>
                <c:pt idx="14">
                  <c:v>5025.9130293415083</c:v>
                </c:pt>
                <c:pt idx="15">
                  <c:v>5366.8785654933899</c:v>
                </c:pt>
                <c:pt idx="16">
                  <c:v>5419.7539496457648</c:v>
                </c:pt>
                <c:pt idx="17">
                  <c:v>5472.5049329524281</c:v>
                </c:pt>
                <c:pt idx="18">
                  <c:v>5524.8709599259801</c:v>
                </c:pt>
                <c:pt idx="19">
                  <c:v>5577.3949781239262</c:v>
                </c:pt>
                <c:pt idx="20">
                  <c:v>5629.8089703054502</c:v>
                </c:pt>
                <c:pt idx="21">
                  <c:v>5497.8173591778768</c:v>
                </c:pt>
                <c:pt idx="22">
                  <c:v>5351.7561811989463</c:v>
                </c:pt>
                <c:pt idx="23">
                  <c:v>5205.7941815858294</c:v>
                </c:pt>
                <c:pt idx="24">
                  <c:v>5059.9281735392342</c:v>
                </c:pt>
              </c:numCache>
            </c:numRef>
          </c:val>
          <c:extLst>
            <c:ext xmlns:c16="http://schemas.microsoft.com/office/drawing/2014/chart" uri="{C3380CC4-5D6E-409C-BE32-E72D297353CC}">
              <c16:uniqueId val="{00000006-9F19-46AD-BA99-BC5940E70080}"/>
            </c:ext>
          </c:extLst>
        </c:ser>
        <c:ser>
          <c:idx val="7"/>
          <c:order val="7"/>
          <c:tx>
            <c:strRef>
              <c:f>'Results ReCiPe (E) - CC'!$AB$139</c:f>
              <c:strCache>
                <c:ptCount val="1"/>
                <c:pt idx="0">
                  <c:v>CO2 captured and stored</c:v>
                </c:pt>
              </c:strCache>
            </c:strRef>
          </c:tx>
          <c:spPr>
            <a:solidFill>
              <a:schemeClr val="tx2">
                <a:lumMod val="20000"/>
                <a:lumOff val="80000"/>
              </a:schemeClr>
            </a:solidFill>
            <a:ln>
              <a:noFill/>
            </a:ln>
            <a:effectLst/>
          </c:spPr>
          <c:invertIfNegative val="0"/>
          <c:cat>
            <c:numRef>
              <c:f>'Results ReCiPe (E) - CC'!$AC$131:$BA$131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CC'!$AC$139:$BA$139</c:f>
              <c:numCache>
                <c:formatCode>0.00E+00</c:formatCode>
                <c:ptCount val="25"/>
                <c:pt idx="0">
                  <c:v>-100000</c:v>
                </c:pt>
                <c:pt idx="1">
                  <c:v>-100000</c:v>
                </c:pt>
                <c:pt idx="2">
                  <c:v>-100000</c:v>
                </c:pt>
                <c:pt idx="3">
                  <c:v>-100000</c:v>
                </c:pt>
                <c:pt idx="4">
                  <c:v>-100000</c:v>
                </c:pt>
                <c:pt idx="5">
                  <c:v>-100000</c:v>
                </c:pt>
                <c:pt idx="6">
                  <c:v>-100000</c:v>
                </c:pt>
                <c:pt idx="7">
                  <c:v>-100000</c:v>
                </c:pt>
                <c:pt idx="8">
                  <c:v>-100000</c:v>
                </c:pt>
                <c:pt idx="9">
                  <c:v>-100000</c:v>
                </c:pt>
                <c:pt idx="10">
                  <c:v>-100000</c:v>
                </c:pt>
                <c:pt idx="11">
                  <c:v>-100000</c:v>
                </c:pt>
                <c:pt idx="12">
                  <c:v>-100000</c:v>
                </c:pt>
                <c:pt idx="13">
                  <c:v>-100000</c:v>
                </c:pt>
                <c:pt idx="14">
                  <c:v>-100000</c:v>
                </c:pt>
                <c:pt idx="15">
                  <c:v>-100000</c:v>
                </c:pt>
                <c:pt idx="16">
                  <c:v>-100000</c:v>
                </c:pt>
                <c:pt idx="17">
                  <c:v>-100000</c:v>
                </c:pt>
                <c:pt idx="18">
                  <c:v>-100000</c:v>
                </c:pt>
                <c:pt idx="19">
                  <c:v>-100000</c:v>
                </c:pt>
                <c:pt idx="20">
                  <c:v>-100000</c:v>
                </c:pt>
                <c:pt idx="21">
                  <c:v>-100000</c:v>
                </c:pt>
                <c:pt idx="22">
                  <c:v>-100000</c:v>
                </c:pt>
                <c:pt idx="23">
                  <c:v>-100000</c:v>
                </c:pt>
                <c:pt idx="24">
                  <c:v>-100000</c:v>
                </c:pt>
              </c:numCache>
            </c:numRef>
          </c:val>
          <c:extLst>
            <c:ext xmlns:c16="http://schemas.microsoft.com/office/drawing/2014/chart" uri="{C3380CC4-5D6E-409C-BE32-E72D297353CC}">
              <c16:uniqueId val="{00000007-9F19-46AD-BA99-BC5940E70080}"/>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(E) - CC'!$AB$140</c:f>
              <c:strCache>
                <c:ptCount val="1"/>
                <c:pt idx="0">
                  <c:v>TOTAL per year</c:v>
                </c:pt>
              </c:strCache>
            </c:strRef>
          </c:tx>
          <c:spPr>
            <a:ln w="28575" cap="rnd">
              <a:noFill/>
              <a:round/>
            </a:ln>
            <a:effectLst/>
          </c:spPr>
          <c:marker>
            <c:symbol val="circle"/>
            <c:size val="5"/>
            <c:spPr>
              <a:solidFill>
                <a:schemeClr val="tx1"/>
              </a:solidFill>
              <a:ln w="9525">
                <a:solidFill>
                  <a:schemeClr val="accent3">
                    <a:lumMod val="60000"/>
                  </a:schemeClr>
                </a:solidFill>
              </a:ln>
              <a:effectLst/>
            </c:spPr>
          </c:marker>
          <c:cat>
            <c:numRef>
              <c:f>'Results ReCiPe (E) - CC'!$AC$131:$BA$131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CC'!$AC$140:$BA$140</c:f>
              <c:numCache>
                <c:formatCode>0.00E+00</c:formatCode>
                <c:ptCount val="25"/>
                <c:pt idx="0">
                  <c:v>-39125.470329343931</c:v>
                </c:pt>
                <c:pt idx="1">
                  <c:v>-70777.035615761983</c:v>
                </c:pt>
                <c:pt idx="2">
                  <c:v>-70809.586268026818</c:v>
                </c:pt>
                <c:pt idx="3">
                  <c:v>-69841.953760894467</c:v>
                </c:pt>
                <c:pt idx="4">
                  <c:v>-70901.663114969502</c:v>
                </c:pt>
                <c:pt idx="5">
                  <c:v>-70933.626758874132</c:v>
                </c:pt>
                <c:pt idx="6">
                  <c:v>-67745.131134849435</c:v>
                </c:pt>
                <c:pt idx="7">
                  <c:v>-66610.306422771871</c:v>
                </c:pt>
                <c:pt idx="8">
                  <c:v>-64471.300300558192</c:v>
                </c:pt>
                <c:pt idx="9">
                  <c:v>-61289.234093619394</c:v>
                </c:pt>
                <c:pt idx="10">
                  <c:v>-60161.083412548207</c:v>
                </c:pt>
                <c:pt idx="11">
                  <c:v>-56321.658282271062</c:v>
                </c:pt>
                <c:pt idx="12">
                  <c:v>-51444.508370747702</c:v>
                </c:pt>
                <c:pt idx="13">
                  <c:v>-48623.415738480864</c:v>
                </c:pt>
                <c:pt idx="14">
                  <c:v>-44761.555080329694</c:v>
                </c:pt>
                <c:pt idx="15">
                  <c:v>-39856.561721765778</c:v>
                </c:pt>
                <c:pt idx="16">
                  <c:v>-40246.78712995621</c:v>
                </c:pt>
                <c:pt idx="17">
                  <c:v>-39601.674241462184</c:v>
                </c:pt>
                <c:pt idx="18">
                  <c:v>-37937.169804192345</c:v>
                </c:pt>
                <c:pt idx="19">
                  <c:v>-38314.739681758889</c:v>
                </c:pt>
                <c:pt idx="20">
                  <c:v>-37669.843485546349</c:v>
                </c:pt>
                <c:pt idx="21">
                  <c:v>-38034.6107471133</c:v>
                </c:pt>
                <c:pt idx="22">
                  <c:v>-40578.901903606427</c:v>
                </c:pt>
                <c:pt idx="23">
                  <c:v>-42120.006109802089</c:v>
                </c:pt>
                <c:pt idx="24">
                  <c:v>-42076.733512676095</c:v>
                </c:pt>
              </c:numCache>
            </c:numRef>
          </c:val>
          <c:smooth val="0"/>
          <c:extLst>
            <c:ext xmlns:c16="http://schemas.microsoft.com/office/drawing/2014/chart" uri="{C3380CC4-5D6E-409C-BE32-E72D297353CC}">
              <c16:uniqueId val="{00000008-9F19-46AD-BA99-BC5940E70080}"/>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Climate change</a:t>
                </a:r>
              </a:p>
              <a:p>
                <a:pPr algn="ctr" rtl="0">
                  <a:defRPr/>
                </a:pPr>
                <a:r>
                  <a:rPr lang="nl-NL"/>
                  <a:t>[kg CO2-eq/ton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baseline="0">
                <a:solidFill>
                  <a:schemeClr val="tx1"/>
                </a:solidFill>
                <a:latin typeface="Verdana Pro" panose="020B0604030504040204" pitchFamily="34" charset="0"/>
                <a:ea typeface="+mn-ea"/>
                <a:cs typeface="Times New Roman" panose="02020603050405020304" pitchFamily="18" charset="0"/>
              </a:defRPr>
            </a:pPr>
            <a:r>
              <a:rPr lang="en-GB" b="0" i="1"/>
              <a:t>Burdens</a:t>
            </a:r>
          </a:p>
        </c:rich>
      </c:tx>
      <c:layout>
        <c:manualLayout>
          <c:xMode val="edge"/>
          <c:yMode val="edge"/>
          <c:x val="0.46478834991237816"/>
          <c:y val="1.3166656074587136E-3"/>
        </c:manualLayout>
      </c:layout>
      <c:overlay val="0"/>
      <c:spPr>
        <a:noFill/>
        <a:ln>
          <a:noFill/>
        </a:ln>
        <a:effectLst/>
      </c:spPr>
      <c:txPr>
        <a:bodyPr rot="0" spcFirstLastPara="1" vertOverflow="ellipsis" vert="horz" wrap="square" anchor="ctr" anchorCtr="1"/>
        <a:lstStyle/>
        <a:p>
          <a:pPr>
            <a:defRPr sz="1440" b="1"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title>
    <c:autoTitleDeleted val="0"/>
    <c:plotArea>
      <c:layout>
        <c:manualLayout>
          <c:layoutTarget val="inner"/>
          <c:xMode val="edge"/>
          <c:yMode val="edge"/>
          <c:x val="0.1047142168661446"/>
          <c:y val="0.11409636871261428"/>
          <c:w val="0.8751178201873161"/>
          <c:h val="0.62003214894480652"/>
        </c:manualLayout>
      </c:layout>
      <c:barChart>
        <c:barDir val="bar"/>
        <c:grouping val="stacked"/>
        <c:varyColors val="0"/>
        <c:ser>
          <c:idx val="0"/>
          <c:order val="0"/>
          <c:tx>
            <c:strRef>
              <c:f>'Figure Results ReCiPe (I)'!$C$5</c:f>
              <c:strCache>
                <c:ptCount val="1"/>
                <c:pt idx="0">
                  <c:v>Construction - DAC</c:v>
                </c:pt>
              </c:strCache>
            </c:strRef>
          </c:tx>
          <c:spPr>
            <a:solidFill>
              <a:schemeClr val="accent4">
                <a:lumMod val="75000"/>
              </a:schemeClr>
            </a:solidFill>
            <a:ln>
              <a:noFill/>
            </a:ln>
            <a:effectLst/>
          </c:spPr>
          <c:invertIfNegative val="0"/>
          <c:cat>
            <c:multiLvlStrRef>
              <c:f>'Figure Results ReCiPe (I)'!$A$48:$B$56</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(I)'!$C$48:$C$56</c:f>
              <c:numCache>
                <c:formatCode>0.00E+00</c:formatCode>
                <c:ptCount val="9"/>
                <c:pt idx="0">
                  <c:v>1.1515967230185089</c:v>
                </c:pt>
                <c:pt idx="1">
                  <c:v>1.1293942525793919</c:v>
                </c:pt>
                <c:pt idx="2">
                  <c:v>1.0671055282471247</c:v>
                </c:pt>
                <c:pt idx="3">
                  <c:v>1.1515967230185089</c:v>
                </c:pt>
                <c:pt idx="4">
                  <c:v>1.1293942525793919</c:v>
                </c:pt>
                <c:pt idx="5">
                  <c:v>1.0671055282471247</c:v>
                </c:pt>
                <c:pt idx="6">
                  <c:v>2.2653592824915005</c:v>
                </c:pt>
                <c:pt idx="7">
                  <c:v>2.2214930863023823</c:v>
                </c:pt>
                <c:pt idx="8">
                  <c:v>2.0980690250342109</c:v>
                </c:pt>
              </c:numCache>
            </c:numRef>
          </c:val>
          <c:extLst>
            <c:ext xmlns:c16="http://schemas.microsoft.com/office/drawing/2014/chart" uri="{C3380CC4-5D6E-409C-BE32-E72D297353CC}">
              <c16:uniqueId val="{00000000-095A-485F-A47E-813E5A8D428C}"/>
            </c:ext>
          </c:extLst>
        </c:ser>
        <c:ser>
          <c:idx val="1"/>
          <c:order val="1"/>
          <c:tx>
            <c:strRef>
              <c:f>'Figure Results ReCiPe (I)'!$D$5</c:f>
              <c:strCache>
                <c:ptCount val="1"/>
                <c:pt idx="0">
                  <c:v>Construction - geological storage</c:v>
                </c:pt>
              </c:strCache>
            </c:strRef>
          </c:tx>
          <c:spPr>
            <a:solidFill>
              <a:schemeClr val="accent4">
                <a:lumMod val="60000"/>
                <a:lumOff val="40000"/>
              </a:schemeClr>
            </a:solidFill>
            <a:ln>
              <a:noFill/>
            </a:ln>
            <a:effectLst/>
          </c:spPr>
          <c:invertIfNegative val="0"/>
          <c:cat>
            <c:multiLvlStrRef>
              <c:f>'Figure Results ReCiPe (I)'!$A$48:$B$56</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(I)'!$D$48:$D$56</c:f>
              <c:numCache>
                <c:formatCode>0.00E+00</c:formatCode>
                <c:ptCount val="9"/>
                <c:pt idx="0">
                  <c:v>0.1082252777454608</c:v>
                </c:pt>
                <c:pt idx="1">
                  <c:v>0.1071396242643588</c:v>
                </c:pt>
                <c:pt idx="2">
                  <c:v>0.10391519072351391</c:v>
                </c:pt>
                <c:pt idx="3">
                  <c:v>0.1082252777454608</c:v>
                </c:pt>
                <c:pt idx="4">
                  <c:v>0.1071396242643588</c:v>
                </c:pt>
                <c:pt idx="5">
                  <c:v>0.10391519072351391</c:v>
                </c:pt>
                <c:pt idx="6">
                  <c:v>0.1082252777454608</c:v>
                </c:pt>
                <c:pt idx="7">
                  <c:v>0.1071396242643588</c:v>
                </c:pt>
                <c:pt idx="8">
                  <c:v>0.10391519072351391</c:v>
                </c:pt>
              </c:numCache>
            </c:numRef>
          </c:val>
          <c:extLst>
            <c:ext xmlns:c16="http://schemas.microsoft.com/office/drawing/2014/chart" uri="{C3380CC4-5D6E-409C-BE32-E72D297353CC}">
              <c16:uniqueId val="{00000001-095A-485F-A47E-813E5A8D428C}"/>
            </c:ext>
          </c:extLst>
        </c:ser>
        <c:ser>
          <c:idx val="3"/>
          <c:order val="2"/>
          <c:tx>
            <c:strRef>
              <c:f>'Figure Results ReCiPe (I)'!$E$5</c:f>
              <c:strCache>
                <c:ptCount val="1"/>
                <c:pt idx="0">
                  <c:v>Deconstruction - DAC</c:v>
                </c:pt>
              </c:strCache>
            </c:strRef>
          </c:tx>
          <c:spPr>
            <a:solidFill>
              <a:schemeClr val="accent2">
                <a:lumMod val="20000"/>
                <a:lumOff val="80000"/>
              </a:schemeClr>
            </a:solidFill>
            <a:ln>
              <a:noFill/>
            </a:ln>
            <a:effectLst/>
          </c:spPr>
          <c:invertIfNegative val="0"/>
          <c:cat>
            <c:multiLvlStrRef>
              <c:f>'Figure Results ReCiPe (I)'!$A$48:$B$56</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(I)'!$E$48:$E$56</c:f>
              <c:numCache>
                <c:formatCode>0.00E+00</c:formatCode>
                <c:ptCount val="9"/>
                <c:pt idx="0">
                  <c:v>1.8266882554067047E-2</c:v>
                </c:pt>
                <c:pt idx="1">
                  <c:v>1.6728017233718095E-2</c:v>
                </c:pt>
                <c:pt idx="2">
                  <c:v>1.5524483210548326E-2</c:v>
                </c:pt>
                <c:pt idx="3">
                  <c:v>1.8266882554067047E-2</c:v>
                </c:pt>
                <c:pt idx="4">
                  <c:v>1.6728017233718095E-2</c:v>
                </c:pt>
                <c:pt idx="5">
                  <c:v>1.5524483210548326E-2</c:v>
                </c:pt>
                <c:pt idx="6">
                  <c:v>3.6533765108134095E-2</c:v>
                </c:pt>
                <c:pt idx="7">
                  <c:v>3.345603446743619E-2</c:v>
                </c:pt>
                <c:pt idx="8">
                  <c:v>3.1048966421096651E-2</c:v>
                </c:pt>
              </c:numCache>
            </c:numRef>
          </c:val>
          <c:extLst>
            <c:ext xmlns:c16="http://schemas.microsoft.com/office/drawing/2014/chart" uri="{C3380CC4-5D6E-409C-BE32-E72D297353CC}">
              <c16:uniqueId val="{00000002-095A-485F-A47E-813E5A8D428C}"/>
            </c:ext>
          </c:extLst>
        </c:ser>
        <c:ser>
          <c:idx val="4"/>
          <c:order val="3"/>
          <c:tx>
            <c:strRef>
              <c:f>'Figure Results ReCiPe (I)'!$F$5</c:f>
              <c:strCache>
                <c:ptCount val="1"/>
                <c:pt idx="0">
                  <c:v>Deconstruction - geological storage</c:v>
                </c:pt>
              </c:strCache>
            </c:strRef>
          </c:tx>
          <c:spPr>
            <a:solidFill>
              <a:srgbClr val="FF9900"/>
            </a:solidFill>
            <a:ln>
              <a:noFill/>
            </a:ln>
            <a:effectLst/>
          </c:spPr>
          <c:invertIfNegative val="0"/>
          <c:cat>
            <c:multiLvlStrRef>
              <c:f>'Figure Results ReCiPe (I)'!$A$48:$B$56</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(I)'!$F$48:$F$56</c:f>
              <c:numCache>
                <c:formatCode>0.00E+00</c:formatCode>
                <c:ptCount val="9"/>
                <c:pt idx="0">
                  <c:v>5.3707764367879154E-4</c:v>
                </c:pt>
                <c:pt idx="1">
                  <c:v>5.1850403211101896E-4</c:v>
                </c:pt>
                <c:pt idx="2">
                  <c:v>4.9147263641052515E-4</c:v>
                </c:pt>
                <c:pt idx="3">
                  <c:v>5.3707764367879154E-4</c:v>
                </c:pt>
                <c:pt idx="4">
                  <c:v>5.1850403211101896E-4</c:v>
                </c:pt>
                <c:pt idx="5">
                  <c:v>4.9147263641052515E-4</c:v>
                </c:pt>
                <c:pt idx="6">
                  <c:v>5.3707764367879154E-4</c:v>
                </c:pt>
                <c:pt idx="7">
                  <c:v>5.1850403211101896E-4</c:v>
                </c:pt>
                <c:pt idx="8">
                  <c:v>4.9147263641052515E-4</c:v>
                </c:pt>
              </c:numCache>
            </c:numRef>
          </c:val>
          <c:extLst>
            <c:ext xmlns:c16="http://schemas.microsoft.com/office/drawing/2014/chart" uri="{C3380CC4-5D6E-409C-BE32-E72D297353CC}">
              <c16:uniqueId val="{00000003-095A-485F-A47E-813E5A8D428C}"/>
            </c:ext>
          </c:extLst>
        </c:ser>
        <c:ser>
          <c:idx val="5"/>
          <c:order val="4"/>
          <c:tx>
            <c:strRef>
              <c:f>'Figure Results ReCiPe (I)'!$G$5</c:f>
              <c:strCache>
                <c:ptCount val="1"/>
                <c:pt idx="0">
                  <c:v>Sorbent material</c:v>
                </c:pt>
              </c:strCache>
            </c:strRef>
          </c:tx>
          <c:spPr>
            <a:solidFill>
              <a:srgbClr val="FF8F8F"/>
            </a:solidFill>
            <a:ln>
              <a:noFill/>
            </a:ln>
            <a:effectLst/>
          </c:spPr>
          <c:invertIfNegative val="0"/>
          <c:cat>
            <c:multiLvlStrRef>
              <c:f>'Figure Results ReCiPe (I)'!$A$48:$B$56</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(I)'!$G$48:$G$56</c:f>
              <c:numCache>
                <c:formatCode>0.00E+00</c:formatCode>
                <c:ptCount val="9"/>
                <c:pt idx="0">
                  <c:v>0.4194979940095252</c:v>
                </c:pt>
                <c:pt idx="1">
                  <c:v>0.41274687986951375</c:v>
                </c:pt>
                <c:pt idx="2">
                  <c:v>0.40500272381770031</c:v>
                </c:pt>
                <c:pt idx="3">
                  <c:v>0.4194979940095252</c:v>
                </c:pt>
                <c:pt idx="4">
                  <c:v>0.41274687986951375</c:v>
                </c:pt>
                <c:pt idx="5">
                  <c:v>0.40500272381770031</c:v>
                </c:pt>
                <c:pt idx="6">
                  <c:v>0.8389959880190504</c:v>
                </c:pt>
                <c:pt idx="7">
                  <c:v>0.8254937597390275</c:v>
                </c:pt>
                <c:pt idx="8">
                  <c:v>0.81000544763540061</c:v>
                </c:pt>
              </c:numCache>
            </c:numRef>
          </c:val>
          <c:extLst>
            <c:ext xmlns:c16="http://schemas.microsoft.com/office/drawing/2014/chart" uri="{C3380CC4-5D6E-409C-BE32-E72D297353CC}">
              <c16:uniqueId val="{00000004-095A-485F-A47E-813E5A8D428C}"/>
            </c:ext>
          </c:extLst>
        </c:ser>
        <c:ser>
          <c:idx val="6"/>
          <c:order val="5"/>
          <c:tx>
            <c:strRef>
              <c:f>'Figure Results ReCiPe (I)'!$I$5</c:f>
              <c:strCache>
                <c:ptCount val="1"/>
                <c:pt idx="0">
                  <c:v>Operation - DAC</c:v>
                </c:pt>
              </c:strCache>
            </c:strRef>
          </c:tx>
          <c:spPr>
            <a:solidFill>
              <a:schemeClr val="accent2">
                <a:lumMod val="75000"/>
              </a:schemeClr>
            </a:solidFill>
            <a:ln>
              <a:noFill/>
            </a:ln>
            <a:effectLst/>
          </c:spPr>
          <c:invertIfNegative val="0"/>
          <c:cat>
            <c:multiLvlStrRef>
              <c:f>'Figure Results ReCiPe (I)'!$A$48:$B$56</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(I)'!$I$48:$I$56</c:f>
              <c:numCache>
                <c:formatCode>0.00E+00</c:formatCode>
                <c:ptCount val="9"/>
                <c:pt idx="0">
                  <c:v>26.564804933804421</c:v>
                </c:pt>
                <c:pt idx="1">
                  <c:v>22.655669616321781</c:v>
                </c:pt>
                <c:pt idx="2">
                  <c:v>18.903630598836781</c:v>
                </c:pt>
                <c:pt idx="3">
                  <c:v>20.911578417720222</c:v>
                </c:pt>
                <c:pt idx="4">
                  <c:v>17.92634162349545</c:v>
                </c:pt>
                <c:pt idx="5">
                  <c:v>13.990751528943925</c:v>
                </c:pt>
                <c:pt idx="6">
                  <c:v>6.7109378104943342</c:v>
                </c:pt>
                <c:pt idx="7">
                  <c:v>6.6608463386879553</c:v>
                </c:pt>
                <c:pt idx="8">
                  <c:v>6.4866276273098444</c:v>
                </c:pt>
              </c:numCache>
            </c:numRef>
          </c:val>
          <c:extLst>
            <c:ext xmlns:c16="http://schemas.microsoft.com/office/drawing/2014/chart" uri="{C3380CC4-5D6E-409C-BE32-E72D297353CC}">
              <c16:uniqueId val="{00000005-095A-485F-A47E-813E5A8D428C}"/>
            </c:ext>
          </c:extLst>
        </c:ser>
        <c:ser>
          <c:idx val="7"/>
          <c:order val="6"/>
          <c:tx>
            <c:strRef>
              <c:f>'Figure Results ReCiPe (I)'!$J$5</c:f>
              <c:strCache>
                <c:ptCount val="1"/>
                <c:pt idx="0">
                  <c:v>Operation - geological storage</c:v>
                </c:pt>
              </c:strCache>
            </c:strRef>
          </c:tx>
          <c:spPr>
            <a:solidFill>
              <a:schemeClr val="accent2">
                <a:lumMod val="50000"/>
              </a:schemeClr>
            </a:solidFill>
            <a:ln>
              <a:noFill/>
            </a:ln>
            <a:effectLst/>
          </c:spPr>
          <c:invertIfNegative val="0"/>
          <c:cat>
            <c:multiLvlStrRef>
              <c:f>'Figure Results ReCiPe (I)'!$A$48:$B$56</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(I)'!$J$48:$J$56</c:f>
              <c:numCache>
                <c:formatCode>0.00E+00</c:formatCode>
                <c:ptCount val="9"/>
                <c:pt idx="0">
                  <c:v>2.0721250305297017</c:v>
                </c:pt>
                <c:pt idx="1">
                  <c:v>1.777667826511468</c:v>
                </c:pt>
                <c:pt idx="2">
                  <c:v>1.3844125603807391</c:v>
                </c:pt>
                <c:pt idx="3">
                  <c:v>2.0721250305297017</c:v>
                </c:pt>
                <c:pt idx="4">
                  <c:v>1.777667826511468</c:v>
                </c:pt>
                <c:pt idx="5">
                  <c:v>1.3844125603807391</c:v>
                </c:pt>
                <c:pt idx="6">
                  <c:v>2.0721250305297017</c:v>
                </c:pt>
                <c:pt idx="7">
                  <c:v>1.777667826511468</c:v>
                </c:pt>
                <c:pt idx="8">
                  <c:v>1.3844125603807391</c:v>
                </c:pt>
              </c:numCache>
            </c:numRef>
          </c:val>
          <c:extLst>
            <c:ext xmlns:c16="http://schemas.microsoft.com/office/drawing/2014/chart" uri="{C3380CC4-5D6E-409C-BE32-E72D297353CC}">
              <c16:uniqueId val="{00000006-095A-485F-A47E-813E5A8D428C}"/>
            </c:ext>
          </c:extLst>
        </c:ser>
        <c:ser>
          <c:idx val="2"/>
          <c:order val="7"/>
          <c:tx>
            <c:strRef>
              <c:f>'Figure Results ReCiPe (I)'!$K$5</c:f>
              <c:strCache>
                <c:ptCount val="1"/>
                <c:pt idx="0">
                  <c:v>CO2 captured and stored</c:v>
                </c:pt>
              </c:strCache>
            </c:strRef>
          </c:tx>
          <c:spPr>
            <a:solidFill>
              <a:schemeClr val="tx2">
                <a:lumMod val="20000"/>
                <a:lumOff val="80000"/>
              </a:schemeClr>
            </a:solidFill>
            <a:ln>
              <a:noFill/>
            </a:ln>
            <a:effectLst/>
          </c:spPr>
          <c:invertIfNegative val="0"/>
          <c:cat>
            <c:multiLvlStrRef>
              <c:f>'Figure Results ReCiPe (I)'!$A$48:$B$56</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(I)'!$K$48:$K$56</c:f>
              <c:numCache>
                <c:formatCode>0.00E+00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7-095A-485F-A47E-813E5A8D428C}"/>
            </c:ext>
          </c:extLst>
        </c:ser>
        <c:ser>
          <c:idx val="9"/>
          <c:order val="8"/>
          <c:tx>
            <c:strRef>
              <c:f>'Figure Results ReCiPe (I)'!$H$33</c:f>
              <c:strCache>
                <c:ptCount val="1"/>
                <c:pt idx="0">
                  <c:v>Battery</c:v>
                </c:pt>
              </c:strCache>
            </c:strRef>
          </c:tx>
          <c:spPr>
            <a:solidFill>
              <a:schemeClr val="accent6">
                <a:lumMod val="75000"/>
              </a:schemeClr>
            </a:solidFill>
            <a:ln>
              <a:noFill/>
            </a:ln>
            <a:effectLst/>
          </c:spPr>
          <c:invertIfNegative val="0"/>
          <c:cat>
            <c:multiLvlStrRef>
              <c:f>'Figure Results ReCiPe (I)'!$A$48:$B$56</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(I)'!$H$48:$H$56</c:f>
              <c:numCache>
                <c:formatCode>0.00E+00</c:formatCode>
                <c:ptCount val="9"/>
                <c:pt idx="0">
                  <c:v>0</c:v>
                </c:pt>
                <c:pt idx="1">
                  <c:v>0</c:v>
                </c:pt>
                <c:pt idx="2">
                  <c:v>0</c:v>
                </c:pt>
                <c:pt idx="3">
                  <c:v>0</c:v>
                </c:pt>
                <c:pt idx="4">
                  <c:v>0</c:v>
                </c:pt>
                <c:pt idx="5">
                  <c:v>0</c:v>
                </c:pt>
                <c:pt idx="6">
                  <c:v>7.7169504869852199</c:v>
                </c:pt>
                <c:pt idx="7">
                  <c:v>7.5438552721320811</c:v>
                </c:pt>
                <c:pt idx="8">
                  <c:v>7.0133183365503848</c:v>
                </c:pt>
              </c:numCache>
            </c:numRef>
          </c:val>
          <c:extLst>
            <c:ext xmlns:c16="http://schemas.microsoft.com/office/drawing/2014/chart" uri="{C3380CC4-5D6E-409C-BE32-E72D297353CC}">
              <c16:uniqueId val="{00000008-095A-485F-A47E-813E5A8D428C}"/>
            </c:ext>
          </c:extLst>
        </c:ser>
        <c:dLbls>
          <c:showLegendKey val="0"/>
          <c:showVal val="0"/>
          <c:showCatName val="0"/>
          <c:showSerName val="0"/>
          <c:showPercent val="0"/>
          <c:showBubbleSize val="0"/>
        </c:dLbls>
        <c:gapWidth val="150"/>
        <c:overlap val="100"/>
        <c:axId val="134262272"/>
        <c:axId val="135299072"/>
      </c:barChart>
      <c:scatterChart>
        <c:scatterStyle val="lineMarker"/>
        <c:varyColors val="0"/>
        <c:ser>
          <c:idx val="8"/>
          <c:order val="9"/>
          <c:tx>
            <c:strRef>
              <c:f>'Figure Results ReCiPe (I)'!$L$33</c:f>
              <c:strCache>
                <c:ptCount val="1"/>
                <c:pt idx="0">
                  <c:v>Total</c:v>
                </c:pt>
              </c:strCache>
            </c:strRef>
          </c:tx>
          <c:spPr>
            <a:ln w="19050" cap="rnd" cmpd="sng" algn="ctr">
              <a:noFill/>
              <a:prstDash val="solid"/>
              <a:round/>
            </a:ln>
            <a:effectLst/>
          </c:spPr>
          <c:marker>
            <c:symbol val="circle"/>
            <c:size val="7"/>
            <c:spPr>
              <a:solidFill>
                <a:schemeClr val="tx1"/>
              </a:solidFill>
              <a:ln w="6350" cap="flat" cmpd="sng" algn="ctr">
                <a:no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showLegendKey val="0"/>
            <c:showVal val="0"/>
            <c:showCatName val="1"/>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numRef>
              <c:f>'Figure Results ReCiPe (I)'!$L$48:$L$56</c:f>
              <c:numCache>
                <c:formatCode>0</c:formatCode>
                <c:ptCount val="9"/>
                <c:pt idx="0">
                  <c:v>30.33505391930537</c:v>
                </c:pt>
                <c:pt idx="1">
                  <c:v>26.099864720812338</c:v>
                </c:pt>
                <c:pt idx="2">
                  <c:v>21.880082557852816</c:v>
                </c:pt>
                <c:pt idx="3">
                  <c:v>24.681827403221167</c:v>
                </c:pt>
                <c:pt idx="4">
                  <c:v>21.370536727986011</c:v>
                </c:pt>
                <c:pt idx="5">
                  <c:v>16.967203487959964</c:v>
                </c:pt>
                <c:pt idx="6">
                  <c:v>19.749664719017069</c:v>
                </c:pt>
                <c:pt idx="7">
                  <c:v>19.170470446136825</c:v>
                </c:pt>
                <c:pt idx="8">
                  <c:v>17.927888626691598</c:v>
                </c:pt>
              </c:numCache>
            </c:numRef>
          </c:xVal>
          <c:yVal>
            <c:numRef>
              <c:f>'Figure Results ReCiPe (I)'!$M$48:$M$56</c:f>
              <c:numCache>
                <c:formatCode>General</c:formatCode>
                <c:ptCount val="9"/>
                <c:pt idx="0" formatCode="0.0">
                  <c:v>8.5</c:v>
                </c:pt>
                <c:pt idx="1">
                  <c:v>7.5</c:v>
                </c:pt>
                <c:pt idx="2">
                  <c:v>6.5</c:v>
                </c:pt>
                <c:pt idx="3">
                  <c:v>5.5</c:v>
                </c:pt>
                <c:pt idx="4">
                  <c:v>4.5</c:v>
                </c:pt>
                <c:pt idx="5">
                  <c:v>3.5</c:v>
                </c:pt>
                <c:pt idx="6">
                  <c:v>2.5</c:v>
                </c:pt>
                <c:pt idx="7">
                  <c:v>1.5</c:v>
                </c:pt>
                <c:pt idx="8">
                  <c:v>0.5</c:v>
                </c:pt>
              </c:numCache>
            </c:numRef>
          </c:yVal>
          <c:smooth val="0"/>
          <c:extLst>
            <c:ext xmlns:c16="http://schemas.microsoft.com/office/drawing/2014/chart" uri="{C3380CC4-5D6E-409C-BE32-E72D297353CC}">
              <c16:uniqueId val="{00000009-095A-485F-A47E-813E5A8D428C}"/>
            </c:ext>
          </c:extLst>
        </c:ser>
        <c:dLbls>
          <c:showLegendKey val="0"/>
          <c:showVal val="0"/>
          <c:showCatName val="0"/>
          <c:showSerName val="0"/>
          <c:showPercent val="0"/>
          <c:showBubbleSize val="0"/>
        </c:dLbls>
        <c:axId val="620675072"/>
        <c:axId val="620677376"/>
      </c:scatterChart>
      <c:catAx>
        <c:axId val="134262272"/>
        <c:scaling>
          <c:orientation val="maxMin"/>
        </c:scaling>
        <c:delete val="0"/>
        <c:axPos val="l"/>
        <c:numFmt formatCode="@" sourceLinked="0"/>
        <c:majorTickMark val="none"/>
        <c:minorTickMark val="none"/>
        <c:tickLblPos val="low"/>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200" b="1"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crossAx val="135299072"/>
        <c:crossesAt val="0"/>
        <c:auto val="1"/>
        <c:lblAlgn val="ctr"/>
        <c:lblOffset val="100"/>
        <c:noMultiLvlLbl val="0"/>
      </c:catAx>
      <c:valAx>
        <c:axId val="135299072"/>
        <c:scaling>
          <c:orientation val="minMax"/>
        </c:scaling>
        <c:delete val="0"/>
        <c:axPos val="b"/>
        <c:title>
          <c:tx>
            <c:rich>
              <a:bodyPr rot="0" spcFirstLastPara="1" vertOverflow="ellipsis" vert="horz" wrap="square" anchor="ctr" anchorCtr="1"/>
              <a:lstStyle/>
              <a:p>
                <a:pPr>
                  <a:defRPr sz="1200" b="1" i="0" u="none" strike="noStrike" kern="1200" baseline="0">
                    <a:solidFill>
                      <a:schemeClr val="tx1"/>
                    </a:solidFill>
                    <a:latin typeface="Verdana Pro" panose="020B0604030504040204" pitchFamily="34" charset="0"/>
                    <a:ea typeface="+mn-ea"/>
                    <a:cs typeface="Times New Roman" panose="02020603050405020304" pitchFamily="18" charset="0"/>
                  </a:defRPr>
                </a:pPr>
                <a:r>
                  <a:rPr lang="en-GB"/>
                  <a:t>Resource damage [USD2013/ton CO</a:t>
                </a:r>
                <a:r>
                  <a:rPr lang="en-GB" baseline="-25000"/>
                  <a:t>2</a:t>
                </a:r>
                <a:r>
                  <a:rPr lang="en-GB"/>
                  <a:t> captured and stored]</a:t>
                </a:r>
              </a:p>
            </c:rich>
          </c:tx>
          <c:layout>
            <c:manualLayout>
              <c:xMode val="edge"/>
              <c:yMode val="edge"/>
              <c:x val="0.31385493215413457"/>
              <c:y val="0.79713960707739873"/>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title>
        <c:numFmt formatCode="#,##0" sourceLinked="0"/>
        <c:majorTickMark val="out"/>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200" b="0"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crossAx val="134262272"/>
        <c:crosses val="max"/>
        <c:crossBetween val="between"/>
      </c:valAx>
      <c:valAx>
        <c:axId val="620677376"/>
        <c:scaling>
          <c:orientation val="minMax"/>
        </c:scaling>
        <c:delete val="1"/>
        <c:axPos val="r"/>
        <c:numFmt formatCode="0.0" sourceLinked="1"/>
        <c:majorTickMark val="out"/>
        <c:minorTickMark val="none"/>
        <c:tickLblPos val="nextTo"/>
        <c:crossAx val="620675072"/>
        <c:crosses val="max"/>
        <c:crossBetween val="midCat"/>
      </c:valAx>
      <c:valAx>
        <c:axId val="620675072"/>
        <c:scaling>
          <c:orientation val="minMax"/>
        </c:scaling>
        <c:delete val="1"/>
        <c:axPos val="b"/>
        <c:numFmt formatCode="0" sourceLinked="1"/>
        <c:majorTickMark val="out"/>
        <c:minorTickMark val="none"/>
        <c:tickLblPos val="nextTo"/>
        <c:crossAx val="620677376"/>
        <c:crossesAt val="0"/>
        <c:crossBetween val="midCat"/>
      </c:valAx>
      <c:spPr>
        <a:solidFill>
          <a:schemeClr val="bg1"/>
        </a:solidFill>
        <a:ln>
          <a:noFill/>
        </a:ln>
        <a:effectLst/>
      </c:spPr>
    </c:plotArea>
    <c:legend>
      <c:legendPos val="b"/>
      <c:layout>
        <c:manualLayout>
          <c:xMode val="edge"/>
          <c:yMode val="edge"/>
          <c:x val="0"/>
          <c:y val="0.86203167888848709"/>
          <c:w val="1"/>
          <c:h val="0.13623551334266348"/>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legend>
    <c:plotVisOnly val="1"/>
    <c:dispBlanksAs val="gap"/>
    <c:showDLblsOverMax val="0"/>
  </c:chart>
  <c:spPr>
    <a:noFill/>
    <a:ln w="6350" cap="flat" cmpd="sng" algn="ctr">
      <a:noFill/>
      <a:prstDash val="solid"/>
      <a:round/>
    </a:ln>
    <a:effectLst/>
  </c:spPr>
  <c:txPr>
    <a:bodyPr/>
    <a:lstStyle/>
    <a:p>
      <a:pPr>
        <a:defRPr sz="1200">
          <a:latin typeface="Verdana Pro" panose="020B0604030504040204" pitchFamily="34" charset="0"/>
          <a:cs typeface="Times New Roman" panose="02020603050405020304" pitchFamily="18" charset="0"/>
        </a:defRPr>
      </a:pPr>
      <a:endParaRPr lang="en-NL"/>
    </a:p>
  </c:txPr>
  <c:printSettings>
    <c:headerFooter/>
    <c:pageMargins b="0.75" l="0.7" r="0.7" t="0.75" header="0.3" footer="0.3"/>
    <c:pageSetup/>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(E) - CC'!$AB$173</c:f>
              <c:strCache>
                <c:ptCount val="1"/>
                <c:pt idx="0">
                  <c:v>Construction - DAC</c:v>
                </c:pt>
              </c:strCache>
            </c:strRef>
          </c:tx>
          <c:spPr>
            <a:solidFill>
              <a:schemeClr val="accent4">
                <a:lumMod val="75000"/>
              </a:schemeClr>
            </a:solidFill>
            <a:ln>
              <a:noFill/>
            </a:ln>
            <a:effectLst/>
          </c:spPr>
          <c:invertIfNegative val="0"/>
          <c:cat>
            <c:numRef>
              <c:f>'Results ReCiPe (E) - CC'!$AC$172:$BA$172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CC'!$AC$173:$BA$173</c:f>
              <c:numCache>
                <c:formatCode>0.00E+00</c:formatCode>
                <c:ptCount val="25"/>
                <c:pt idx="0">
                  <c:v>25813.904117498736</c:v>
                </c:pt>
              </c:numCache>
            </c:numRef>
          </c:val>
          <c:extLst>
            <c:ext xmlns:c16="http://schemas.microsoft.com/office/drawing/2014/chart" uri="{C3380CC4-5D6E-409C-BE32-E72D297353CC}">
              <c16:uniqueId val="{00000000-5AC9-457D-9B88-89E328CBE305}"/>
            </c:ext>
          </c:extLst>
        </c:ser>
        <c:ser>
          <c:idx val="1"/>
          <c:order val="1"/>
          <c:tx>
            <c:strRef>
              <c:f>'Results ReCiPe (E) - CC'!$AB$174</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(E) - CC'!$AC$172:$BA$172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CC'!$AC$174:$BA$174</c:f>
              <c:numCache>
                <c:formatCode>0.00E+00</c:formatCode>
                <c:ptCount val="25"/>
                <c:pt idx="0">
                  <c:v>2074.4586794633228</c:v>
                </c:pt>
              </c:numCache>
            </c:numRef>
          </c:val>
          <c:extLst>
            <c:ext xmlns:c16="http://schemas.microsoft.com/office/drawing/2014/chart" uri="{C3380CC4-5D6E-409C-BE32-E72D297353CC}">
              <c16:uniqueId val="{00000001-5AC9-457D-9B88-89E328CBE305}"/>
            </c:ext>
          </c:extLst>
        </c:ser>
        <c:ser>
          <c:idx val="2"/>
          <c:order val="2"/>
          <c:tx>
            <c:strRef>
              <c:f>'Results ReCiPe (E) - CC'!$AB$175</c:f>
              <c:strCache>
                <c:ptCount val="1"/>
                <c:pt idx="0">
                  <c:v>Deconstruction - DAC</c:v>
                </c:pt>
              </c:strCache>
            </c:strRef>
          </c:tx>
          <c:spPr>
            <a:solidFill>
              <a:schemeClr val="accent2">
                <a:lumMod val="40000"/>
                <a:lumOff val="60000"/>
              </a:schemeClr>
            </a:solidFill>
            <a:ln>
              <a:noFill/>
            </a:ln>
            <a:effectLst/>
          </c:spPr>
          <c:invertIfNegative val="0"/>
          <c:cat>
            <c:numRef>
              <c:f>'Results ReCiPe (E) - CC'!$AC$172:$BA$172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CC'!$AC$175:$BA$175</c:f>
              <c:numCache>
                <c:formatCode>0.00E+00</c:formatCode>
                <c:ptCount val="25"/>
                <c:pt idx="24">
                  <c:v>471.91965940783922</c:v>
                </c:pt>
              </c:numCache>
            </c:numRef>
          </c:val>
          <c:extLst>
            <c:ext xmlns:c16="http://schemas.microsoft.com/office/drawing/2014/chart" uri="{C3380CC4-5D6E-409C-BE32-E72D297353CC}">
              <c16:uniqueId val="{00000002-5AC9-457D-9B88-89E328CBE305}"/>
            </c:ext>
          </c:extLst>
        </c:ser>
        <c:ser>
          <c:idx val="3"/>
          <c:order val="3"/>
          <c:tx>
            <c:strRef>
              <c:f>'Results ReCiPe (E) - CC'!$AB$176</c:f>
              <c:strCache>
                <c:ptCount val="1"/>
                <c:pt idx="0">
                  <c:v>Deconstruction - geological storage</c:v>
                </c:pt>
              </c:strCache>
            </c:strRef>
          </c:tx>
          <c:spPr>
            <a:solidFill>
              <a:srgbClr val="FF9900"/>
            </a:solidFill>
            <a:ln>
              <a:noFill/>
            </a:ln>
            <a:effectLst/>
          </c:spPr>
          <c:invertIfNegative val="0"/>
          <c:cat>
            <c:numRef>
              <c:f>'Results ReCiPe (E) - CC'!$AC$172:$BA$172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CC'!$AC$176:$BA$176</c:f>
              <c:numCache>
                <c:formatCode>0.00E+00</c:formatCode>
                <c:ptCount val="25"/>
                <c:pt idx="24">
                  <c:v>19.94256618773564</c:v>
                </c:pt>
              </c:numCache>
            </c:numRef>
          </c:val>
          <c:extLst>
            <c:ext xmlns:c16="http://schemas.microsoft.com/office/drawing/2014/chart" uri="{C3380CC4-5D6E-409C-BE32-E72D297353CC}">
              <c16:uniqueId val="{00000003-5AC9-457D-9B88-89E328CBE305}"/>
            </c:ext>
          </c:extLst>
        </c:ser>
        <c:ser>
          <c:idx val="4"/>
          <c:order val="4"/>
          <c:tx>
            <c:strRef>
              <c:f>'Results ReCiPe (E) - CC'!$AB$177</c:f>
              <c:strCache>
                <c:ptCount val="1"/>
                <c:pt idx="0">
                  <c:v>Sorbent material</c:v>
                </c:pt>
              </c:strCache>
            </c:strRef>
          </c:tx>
          <c:spPr>
            <a:solidFill>
              <a:srgbClr val="FF8F8F"/>
            </a:solidFill>
            <a:ln>
              <a:noFill/>
            </a:ln>
            <a:effectLst/>
          </c:spPr>
          <c:invertIfNegative val="0"/>
          <c:cat>
            <c:numRef>
              <c:f>'Results ReCiPe (E) - CC'!$AC$172:$BA$172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CC'!$AC$177:$BA$177</c:f>
              <c:numCache>
                <c:formatCode>0.00E+00</c:formatCode>
                <c:ptCount val="25"/>
                <c:pt idx="0">
                  <c:v>1002.2532345357261</c:v>
                </c:pt>
                <c:pt idx="3">
                  <c:v>968.37815789759441</c:v>
                </c:pt>
                <c:pt idx="6">
                  <c:v>935.22469385907107</c:v>
                </c:pt>
                <c:pt idx="9">
                  <c:v>892.83003869097888</c:v>
                </c:pt>
                <c:pt idx="12">
                  <c:v>844.94159176113419</c:v>
                </c:pt>
                <c:pt idx="15">
                  <c:v>792.9189308085422</c:v>
                </c:pt>
                <c:pt idx="18">
                  <c:v>755.92169116514378</c:v>
                </c:pt>
                <c:pt idx="21">
                  <c:v>729.74807912223457</c:v>
                </c:pt>
                <c:pt idx="24">
                  <c:v>722.80509911141849</c:v>
                </c:pt>
              </c:numCache>
            </c:numRef>
          </c:val>
          <c:extLst>
            <c:ext xmlns:c16="http://schemas.microsoft.com/office/drawing/2014/chart" uri="{C3380CC4-5D6E-409C-BE32-E72D297353CC}">
              <c16:uniqueId val="{00000004-5AC9-457D-9B88-89E328CBE305}"/>
            </c:ext>
          </c:extLst>
        </c:ser>
        <c:ser>
          <c:idx val="5"/>
          <c:order val="5"/>
          <c:tx>
            <c:strRef>
              <c:f>'Results ReCiPe (E) - CC'!$AB$178</c:f>
              <c:strCache>
                <c:ptCount val="1"/>
                <c:pt idx="0">
                  <c:v>Operation - DAC</c:v>
                </c:pt>
              </c:strCache>
            </c:strRef>
          </c:tx>
          <c:spPr>
            <a:solidFill>
              <a:schemeClr val="accent2">
                <a:lumMod val="75000"/>
              </a:schemeClr>
            </a:solidFill>
            <a:ln>
              <a:noFill/>
            </a:ln>
            <a:effectLst/>
          </c:spPr>
          <c:invertIfNegative val="0"/>
          <c:cat>
            <c:numRef>
              <c:f>'Results ReCiPe (E) - CC'!$AC$172:$BA$172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CC'!$AC$178:$BA$178</c:f>
              <c:numCache>
                <c:formatCode>0.00E+00</c:formatCode>
                <c:ptCount val="25"/>
                <c:pt idx="0">
                  <c:v>22687.388138253878</c:v>
                </c:pt>
                <c:pt idx="1">
                  <c:v>21115.698490240859</c:v>
                </c:pt>
                <c:pt idx="2">
                  <c:v>19544.515964920807</c:v>
                </c:pt>
                <c:pt idx="3">
                  <c:v>17947.133770783741</c:v>
                </c:pt>
                <c:pt idx="4">
                  <c:v>16376.552770248396</c:v>
                </c:pt>
                <c:pt idx="5">
                  <c:v>14806.039185439733</c:v>
                </c:pt>
                <c:pt idx="6">
                  <c:v>13527.654232578599</c:v>
                </c:pt>
                <c:pt idx="7">
                  <c:v>12252.268403810076</c:v>
                </c:pt>
                <c:pt idx="8">
                  <c:v>10957.733296289556</c:v>
                </c:pt>
                <c:pt idx="9">
                  <c:v>9683.8326697362936</c:v>
                </c:pt>
                <c:pt idx="10">
                  <c:v>8409.929355357508</c:v>
                </c:pt>
                <c:pt idx="11">
                  <c:v>7386.4704429924759</c:v>
                </c:pt>
                <c:pt idx="12">
                  <c:v>6359.3090478766153</c:v>
                </c:pt>
                <c:pt idx="13">
                  <c:v>5324.1055879715996</c:v>
                </c:pt>
                <c:pt idx="14">
                  <c:v>4289.7020441248487</c:v>
                </c:pt>
                <c:pt idx="15">
                  <c:v>3251.7707647436118</c:v>
                </c:pt>
                <c:pt idx="16">
                  <c:v>2673.8073974995732</c:v>
                </c:pt>
                <c:pt idx="17">
                  <c:v>2096.2773744369356</c:v>
                </c:pt>
                <c:pt idx="18">
                  <c:v>1515.5515829966278</c:v>
                </c:pt>
                <c:pt idx="19">
                  <c:v>939.17734047113515</c:v>
                </c:pt>
                <c:pt idx="20">
                  <c:v>363.80853909143917</c:v>
                </c:pt>
                <c:pt idx="21">
                  <c:v>156.1117423355783</c:v>
                </c:pt>
                <c:pt idx="22">
                  <c:v>-54.350042229869615</c:v>
                </c:pt>
                <c:pt idx="23">
                  <c:v>-265.48818749032716</c:v>
                </c:pt>
                <c:pt idx="24">
                  <c:v>-477.317038598301</c:v>
                </c:pt>
              </c:numCache>
            </c:numRef>
          </c:val>
          <c:extLst>
            <c:ext xmlns:c16="http://schemas.microsoft.com/office/drawing/2014/chart" uri="{C3380CC4-5D6E-409C-BE32-E72D297353CC}">
              <c16:uniqueId val="{00000005-5AC9-457D-9B88-89E328CBE305}"/>
            </c:ext>
          </c:extLst>
        </c:ser>
        <c:ser>
          <c:idx val="6"/>
          <c:order val="6"/>
          <c:tx>
            <c:strRef>
              <c:f>'Results ReCiPe (E) - CC'!$AB$179</c:f>
              <c:strCache>
                <c:ptCount val="1"/>
                <c:pt idx="0">
                  <c:v>Operation - geological storage</c:v>
                </c:pt>
              </c:strCache>
            </c:strRef>
          </c:tx>
          <c:spPr>
            <a:solidFill>
              <a:schemeClr val="accent2">
                <a:lumMod val="50000"/>
              </a:schemeClr>
            </a:solidFill>
            <a:ln>
              <a:noFill/>
            </a:ln>
            <a:effectLst/>
          </c:spPr>
          <c:invertIfNegative val="0"/>
          <c:cat>
            <c:numRef>
              <c:f>'Results ReCiPe (E) - CC'!$AC$172:$BA$172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CC'!$AC$179:$BA$179</c:f>
              <c:numCache>
                <c:formatCode>0.00E+00</c:formatCode>
                <c:ptCount val="25"/>
                <c:pt idx="0">
                  <c:v>2351.714163944283</c:v>
                </c:pt>
                <c:pt idx="1">
                  <c:v>2190.1673768340443</c:v>
                </c:pt>
                <c:pt idx="2">
                  <c:v>2029.3904072666951</c:v>
                </c:pt>
                <c:pt idx="3">
                  <c:v>1866.7911576758299</c:v>
                </c:pt>
                <c:pt idx="4">
                  <c:v>1707.502623292623</c:v>
                </c:pt>
                <c:pt idx="5">
                  <c:v>1548.9323074469849</c:v>
                </c:pt>
                <c:pt idx="6">
                  <c:v>1420.8989842219689</c:v>
                </c:pt>
                <c:pt idx="7">
                  <c:v>1293.3308573942479</c:v>
                </c:pt>
                <c:pt idx="8">
                  <c:v>1164.1128877273279</c:v>
                </c:pt>
                <c:pt idx="9">
                  <c:v>1037.1732653147751</c:v>
                </c:pt>
                <c:pt idx="10">
                  <c:v>910.499631231639</c:v>
                </c:pt>
                <c:pt idx="11">
                  <c:v>808.7977242446666</c:v>
                </c:pt>
                <c:pt idx="12">
                  <c:v>706.74870524203391</c:v>
                </c:pt>
                <c:pt idx="13">
                  <c:v>603.92919067835487</c:v>
                </c:pt>
                <c:pt idx="14">
                  <c:v>501.19625811265666</c:v>
                </c:pt>
                <c:pt idx="15">
                  <c:v>398.1259448726446</c:v>
                </c:pt>
                <c:pt idx="16">
                  <c:v>340.44341692369227</c:v>
                </c:pt>
                <c:pt idx="17">
                  <c:v>282.62109837166611</c:v>
                </c:pt>
                <c:pt idx="18">
                  <c:v>224.30575139066821</c:v>
                </c:pt>
                <c:pt idx="19">
                  <c:v>166.2185040602605</c:v>
                </c:pt>
                <c:pt idx="20">
                  <c:v>108.02156568474821</c:v>
                </c:pt>
                <c:pt idx="21">
                  <c:v>87.588281224861447</c:v>
                </c:pt>
                <c:pt idx="22">
                  <c:v>66.962919108807966</c:v>
                </c:pt>
                <c:pt idx="23">
                  <c:v>46.333223064412451</c:v>
                </c:pt>
                <c:pt idx="24">
                  <c:v>25.697533708808269</c:v>
                </c:pt>
              </c:numCache>
            </c:numRef>
          </c:val>
          <c:extLst>
            <c:ext xmlns:c16="http://schemas.microsoft.com/office/drawing/2014/chart" uri="{C3380CC4-5D6E-409C-BE32-E72D297353CC}">
              <c16:uniqueId val="{00000006-5AC9-457D-9B88-89E328CBE305}"/>
            </c:ext>
          </c:extLst>
        </c:ser>
        <c:ser>
          <c:idx val="7"/>
          <c:order val="7"/>
          <c:tx>
            <c:strRef>
              <c:f>'Results ReCiPe (E) - CC'!$AB$180</c:f>
              <c:strCache>
                <c:ptCount val="1"/>
                <c:pt idx="0">
                  <c:v>CO2 captured and stored</c:v>
                </c:pt>
              </c:strCache>
            </c:strRef>
          </c:tx>
          <c:spPr>
            <a:solidFill>
              <a:schemeClr val="tx2">
                <a:lumMod val="20000"/>
                <a:lumOff val="80000"/>
              </a:schemeClr>
            </a:solidFill>
            <a:ln>
              <a:noFill/>
            </a:ln>
            <a:effectLst/>
          </c:spPr>
          <c:invertIfNegative val="0"/>
          <c:cat>
            <c:numRef>
              <c:f>'Results ReCiPe (E) - CC'!$AC$172:$BA$172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CC'!$AC$180:$BA$180</c:f>
              <c:numCache>
                <c:formatCode>0.00E+00</c:formatCode>
                <c:ptCount val="25"/>
                <c:pt idx="0">
                  <c:v>-100000</c:v>
                </c:pt>
                <c:pt idx="1">
                  <c:v>-100000</c:v>
                </c:pt>
                <c:pt idx="2">
                  <c:v>-100000</c:v>
                </c:pt>
                <c:pt idx="3">
                  <c:v>-100000</c:v>
                </c:pt>
                <c:pt idx="4">
                  <c:v>-100000</c:v>
                </c:pt>
                <c:pt idx="5">
                  <c:v>-100000</c:v>
                </c:pt>
                <c:pt idx="6">
                  <c:v>-100000</c:v>
                </c:pt>
                <c:pt idx="7">
                  <c:v>-100000</c:v>
                </c:pt>
                <c:pt idx="8">
                  <c:v>-100000</c:v>
                </c:pt>
                <c:pt idx="9">
                  <c:v>-100000</c:v>
                </c:pt>
                <c:pt idx="10">
                  <c:v>-100000</c:v>
                </c:pt>
                <c:pt idx="11">
                  <c:v>-100000</c:v>
                </c:pt>
                <c:pt idx="12">
                  <c:v>-100000</c:v>
                </c:pt>
                <c:pt idx="13">
                  <c:v>-100000</c:v>
                </c:pt>
                <c:pt idx="14">
                  <c:v>-100000</c:v>
                </c:pt>
                <c:pt idx="15">
                  <c:v>-100000</c:v>
                </c:pt>
                <c:pt idx="16">
                  <c:v>-100000</c:v>
                </c:pt>
                <c:pt idx="17">
                  <c:v>-100000</c:v>
                </c:pt>
                <c:pt idx="18">
                  <c:v>-100000</c:v>
                </c:pt>
                <c:pt idx="19">
                  <c:v>-100000</c:v>
                </c:pt>
                <c:pt idx="20">
                  <c:v>-100000</c:v>
                </c:pt>
                <c:pt idx="21">
                  <c:v>-100000</c:v>
                </c:pt>
                <c:pt idx="22">
                  <c:v>-100000</c:v>
                </c:pt>
                <c:pt idx="23">
                  <c:v>-100000</c:v>
                </c:pt>
                <c:pt idx="24">
                  <c:v>-100000</c:v>
                </c:pt>
              </c:numCache>
            </c:numRef>
          </c:val>
          <c:extLst>
            <c:ext xmlns:c16="http://schemas.microsoft.com/office/drawing/2014/chart" uri="{C3380CC4-5D6E-409C-BE32-E72D297353CC}">
              <c16:uniqueId val="{00000007-5AC9-457D-9B88-89E328CBE305}"/>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(E) - CC'!$AB$181</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cat>
            <c:numRef>
              <c:f>'Results ReCiPe (E) - CC'!$AC$172:$BA$172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CC'!$AC$181:$BA$181</c:f>
              <c:numCache>
                <c:formatCode>0.00E+00</c:formatCode>
                <c:ptCount val="25"/>
                <c:pt idx="0">
                  <c:v>-46070.281666304058</c:v>
                </c:pt>
                <c:pt idx="1">
                  <c:v>-76694.134132925101</c:v>
                </c:pt>
                <c:pt idx="2">
                  <c:v>-78426.093627812501</c:v>
                </c:pt>
                <c:pt idx="3">
                  <c:v>-79217.696913642838</c:v>
                </c:pt>
                <c:pt idx="4">
                  <c:v>-81915.944606458972</c:v>
                </c:pt>
                <c:pt idx="5">
                  <c:v>-83645.028507113282</c:v>
                </c:pt>
                <c:pt idx="6">
                  <c:v>-84116.222089340357</c:v>
                </c:pt>
                <c:pt idx="7">
                  <c:v>-86454.400738795681</c:v>
                </c:pt>
                <c:pt idx="8">
                  <c:v>-87878.153815983111</c:v>
                </c:pt>
                <c:pt idx="9">
                  <c:v>-88386.164026257946</c:v>
                </c:pt>
                <c:pt idx="10">
                  <c:v>-90679.571013410852</c:v>
                </c:pt>
                <c:pt idx="11">
                  <c:v>-91804.73183276286</c:v>
                </c:pt>
                <c:pt idx="12">
                  <c:v>-92089.00065512021</c:v>
                </c:pt>
                <c:pt idx="13">
                  <c:v>-94071.965221350052</c:v>
                </c:pt>
                <c:pt idx="14">
                  <c:v>-95209.101697762497</c:v>
                </c:pt>
                <c:pt idx="15">
                  <c:v>-95557.1843595752</c:v>
                </c:pt>
                <c:pt idx="16">
                  <c:v>-96985.749185576729</c:v>
                </c:pt>
                <c:pt idx="17">
                  <c:v>-97621.101527191393</c:v>
                </c:pt>
                <c:pt idx="18">
                  <c:v>-97504.220974447555</c:v>
                </c:pt>
                <c:pt idx="19">
                  <c:v>-98894.604155468609</c:v>
                </c:pt>
                <c:pt idx="20">
                  <c:v>-99528.169895223808</c:v>
                </c:pt>
                <c:pt idx="21">
                  <c:v>-99026.551897317331</c:v>
                </c:pt>
                <c:pt idx="22">
                  <c:v>-99987.387123121065</c:v>
                </c:pt>
                <c:pt idx="23">
                  <c:v>-100219.15496442592</c:v>
                </c:pt>
                <c:pt idx="24">
                  <c:v>-99236.952180182503</c:v>
                </c:pt>
              </c:numCache>
            </c:numRef>
          </c:val>
          <c:smooth val="0"/>
          <c:extLst>
            <c:ext xmlns:c16="http://schemas.microsoft.com/office/drawing/2014/chart" uri="{C3380CC4-5D6E-409C-BE32-E72D297353CC}">
              <c16:uniqueId val="{00000008-5AC9-457D-9B88-89E328CBE305}"/>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Climate change</a:t>
                </a:r>
              </a:p>
              <a:p>
                <a:pPr algn="ctr" rtl="0">
                  <a:defRPr/>
                </a:pPr>
                <a:r>
                  <a:rPr lang="nl-NL"/>
                  <a:t>[kg CO2-eq/ton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(E) - CC'!$AB$214</c:f>
              <c:strCache>
                <c:ptCount val="1"/>
                <c:pt idx="0">
                  <c:v>Construction - DAC</c:v>
                </c:pt>
              </c:strCache>
            </c:strRef>
          </c:tx>
          <c:spPr>
            <a:solidFill>
              <a:schemeClr val="accent4">
                <a:lumMod val="75000"/>
              </a:schemeClr>
            </a:solidFill>
            <a:ln>
              <a:noFill/>
            </a:ln>
            <a:effectLst/>
          </c:spPr>
          <c:invertIfNegative val="0"/>
          <c:cat>
            <c:numRef>
              <c:f>'Results ReCiPe (E) - CC'!$AC$213:$BA$213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CC'!$AC$214:$BA$214</c:f>
              <c:numCache>
                <c:formatCode>0.00E+00</c:formatCode>
                <c:ptCount val="25"/>
                <c:pt idx="0">
                  <c:v>18734.754242367293</c:v>
                </c:pt>
              </c:numCache>
            </c:numRef>
          </c:val>
          <c:extLst>
            <c:ext xmlns:c16="http://schemas.microsoft.com/office/drawing/2014/chart" uri="{C3380CC4-5D6E-409C-BE32-E72D297353CC}">
              <c16:uniqueId val="{00000000-7ED3-414C-9864-7988159AD554}"/>
            </c:ext>
          </c:extLst>
        </c:ser>
        <c:ser>
          <c:idx val="1"/>
          <c:order val="1"/>
          <c:tx>
            <c:strRef>
              <c:f>'Results ReCiPe (E) - CC'!$AB$215</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(E) - CC'!$AC$213:$BA$213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CC'!$AC$215:$BA$215</c:f>
              <c:numCache>
                <c:formatCode>0.00E+00</c:formatCode>
                <c:ptCount val="25"/>
                <c:pt idx="0">
                  <c:v>1806.9972059599825</c:v>
                </c:pt>
              </c:numCache>
            </c:numRef>
          </c:val>
          <c:extLst>
            <c:ext xmlns:c16="http://schemas.microsoft.com/office/drawing/2014/chart" uri="{C3380CC4-5D6E-409C-BE32-E72D297353CC}">
              <c16:uniqueId val="{00000001-7ED3-414C-9864-7988159AD554}"/>
            </c:ext>
          </c:extLst>
        </c:ser>
        <c:ser>
          <c:idx val="2"/>
          <c:order val="2"/>
          <c:tx>
            <c:strRef>
              <c:f>'Results ReCiPe (E) - CC'!$AB$216</c:f>
              <c:strCache>
                <c:ptCount val="1"/>
                <c:pt idx="0">
                  <c:v>Deconstruction - DAC</c:v>
                </c:pt>
              </c:strCache>
            </c:strRef>
          </c:tx>
          <c:spPr>
            <a:solidFill>
              <a:schemeClr val="accent2">
                <a:lumMod val="40000"/>
                <a:lumOff val="60000"/>
              </a:schemeClr>
            </a:solidFill>
            <a:ln>
              <a:noFill/>
            </a:ln>
            <a:effectLst/>
          </c:spPr>
          <c:invertIfNegative val="0"/>
          <c:cat>
            <c:numRef>
              <c:f>'Results ReCiPe (E) - CC'!$AC$213:$BA$213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CC'!$AC$216:$BA$216</c:f>
              <c:numCache>
                <c:formatCode>0.00E+00</c:formatCode>
                <c:ptCount val="25"/>
                <c:pt idx="24">
                  <c:v>401.67894942234688</c:v>
                </c:pt>
              </c:numCache>
            </c:numRef>
          </c:val>
          <c:extLst>
            <c:ext xmlns:c16="http://schemas.microsoft.com/office/drawing/2014/chart" uri="{C3380CC4-5D6E-409C-BE32-E72D297353CC}">
              <c16:uniqueId val="{00000002-7ED3-414C-9864-7988159AD554}"/>
            </c:ext>
          </c:extLst>
        </c:ser>
        <c:ser>
          <c:idx val="3"/>
          <c:order val="3"/>
          <c:tx>
            <c:strRef>
              <c:f>'Results ReCiPe (E) - CC'!$AB$217</c:f>
              <c:strCache>
                <c:ptCount val="1"/>
                <c:pt idx="0">
                  <c:v>Deconstruction - geological storage</c:v>
                </c:pt>
              </c:strCache>
            </c:strRef>
          </c:tx>
          <c:spPr>
            <a:solidFill>
              <a:srgbClr val="FF9900"/>
            </a:solidFill>
            <a:ln>
              <a:noFill/>
            </a:ln>
            <a:effectLst/>
          </c:spPr>
          <c:invertIfNegative val="0"/>
          <c:cat>
            <c:numRef>
              <c:f>'Results ReCiPe (E) - CC'!$AC$213:$BA$213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CC'!$AC$217:$BA$217</c:f>
              <c:numCache>
                <c:formatCode>0.00E+00</c:formatCode>
                <c:ptCount val="25"/>
                <c:pt idx="24">
                  <c:v>18.734548309715944</c:v>
                </c:pt>
              </c:numCache>
            </c:numRef>
          </c:val>
          <c:extLst>
            <c:ext xmlns:c16="http://schemas.microsoft.com/office/drawing/2014/chart" uri="{C3380CC4-5D6E-409C-BE32-E72D297353CC}">
              <c16:uniqueId val="{00000003-7ED3-414C-9864-7988159AD554}"/>
            </c:ext>
          </c:extLst>
        </c:ser>
        <c:ser>
          <c:idx val="4"/>
          <c:order val="4"/>
          <c:tx>
            <c:strRef>
              <c:f>'Results ReCiPe (E) - CC'!$AB$218</c:f>
              <c:strCache>
                <c:ptCount val="1"/>
                <c:pt idx="0">
                  <c:v>Sorbent material</c:v>
                </c:pt>
              </c:strCache>
            </c:strRef>
          </c:tx>
          <c:spPr>
            <a:solidFill>
              <a:srgbClr val="FF8F8F"/>
            </a:solidFill>
            <a:ln>
              <a:noFill/>
            </a:ln>
            <a:effectLst/>
          </c:spPr>
          <c:invertIfNegative val="0"/>
          <c:cat>
            <c:numRef>
              <c:f>'Results ReCiPe (E) - CC'!$AC$213:$BA$213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CC'!$AC$218:$BA$218</c:f>
              <c:numCache>
                <c:formatCode>0.00E+00</c:formatCode>
                <c:ptCount val="25"/>
                <c:pt idx="0">
                  <c:v>836.15304835919005</c:v>
                </c:pt>
                <c:pt idx="3">
                  <c:v>776.29424088243638</c:v>
                </c:pt>
                <c:pt idx="6">
                  <c:v>732.22544703005042</c:v>
                </c:pt>
                <c:pt idx="9">
                  <c:v>713.55013307811748</c:v>
                </c:pt>
                <c:pt idx="12">
                  <c:v>704.9299374269367</c:v>
                </c:pt>
                <c:pt idx="15">
                  <c:v>699.39372002031462</c:v>
                </c:pt>
                <c:pt idx="18">
                  <c:v>693.68200539906138</c:v>
                </c:pt>
                <c:pt idx="21">
                  <c:v>688.82780991828383</c:v>
                </c:pt>
                <c:pt idx="24">
                  <c:v>684.38892527547046</c:v>
                </c:pt>
              </c:numCache>
            </c:numRef>
          </c:val>
          <c:extLst>
            <c:ext xmlns:c16="http://schemas.microsoft.com/office/drawing/2014/chart" uri="{C3380CC4-5D6E-409C-BE32-E72D297353CC}">
              <c16:uniqueId val="{00000004-7ED3-414C-9864-7988159AD554}"/>
            </c:ext>
          </c:extLst>
        </c:ser>
        <c:ser>
          <c:idx val="5"/>
          <c:order val="5"/>
          <c:tx>
            <c:strRef>
              <c:f>'Results ReCiPe (E) - CC'!$AB$219</c:f>
              <c:strCache>
                <c:ptCount val="1"/>
                <c:pt idx="0">
                  <c:v>Operation - DAC</c:v>
                </c:pt>
              </c:strCache>
            </c:strRef>
          </c:tx>
          <c:spPr>
            <a:solidFill>
              <a:schemeClr val="accent2">
                <a:lumMod val="75000"/>
              </a:schemeClr>
            </a:solidFill>
            <a:ln>
              <a:noFill/>
            </a:ln>
            <a:effectLst/>
          </c:spPr>
          <c:invertIfNegative val="0"/>
          <c:cat>
            <c:numRef>
              <c:f>'Results ReCiPe (E) - CC'!$AC$213:$BA$213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CC'!$AC$219:$BA$219</c:f>
              <c:numCache>
                <c:formatCode>0.00E+00</c:formatCode>
                <c:ptCount val="25"/>
                <c:pt idx="0">
                  <c:v>9909.6250378884761</c:v>
                </c:pt>
                <c:pt idx="1">
                  <c:v>8164.9620336760754</c:v>
                </c:pt>
                <c:pt idx="2">
                  <c:v>6419.1852949670028</c:v>
                </c:pt>
                <c:pt idx="3">
                  <c:v>4643.5363916894212</c:v>
                </c:pt>
                <c:pt idx="4">
                  <c:v>2893.0406605973258</c:v>
                </c:pt>
                <c:pt idx="5">
                  <c:v>1140.3242472783541</c:v>
                </c:pt>
                <c:pt idx="6">
                  <c:v>595.8805936863813</c:v>
                </c:pt>
                <c:pt idx="7">
                  <c:v>49.327820250280574</c:v>
                </c:pt>
                <c:pt idx="8">
                  <c:v>-523.08179529075119</c:v>
                </c:pt>
                <c:pt idx="9">
                  <c:v>-1074.5789853481981</c:v>
                </c:pt>
                <c:pt idx="10">
                  <c:v>-1628.2493456110089</c:v>
                </c:pt>
                <c:pt idx="11">
                  <c:v>-1965.2492830626343</c:v>
                </c:pt>
                <c:pt idx="12">
                  <c:v>-2301.2750718753282</c:v>
                </c:pt>
                <c:pt idx="13">
                  <c:v>-2640.8435616632737</c:v>
                </c:pt>
                <c:pt idx="14">
                  <c:v>-2974.9609835504998</c:v>
                </c:pt>
                <c:pt idx="15">
                  <c:v>-3308.286784698334</c:v>
                </c:pt>
                <c:pt idx="16">
                  <c:v>-3714.4615868875603</c:v>
                </c:pt>
                <c:pt idx="17">
                  <c:v>-4117.3474247670883</c:v>
                </c:pt>
                <c:pt idx="18">
                  <c:v>-4519.9652574889578</c:v>
                </c:pt>
                <c:pt idx="19">
                  <c:v>-4916.1701902499026</c:v>
                </c:pt>
                <c:pt idx="20">
                  <c:v>-5309.2257740961077</c:v>
                </c:pt>
                <c:pt idx="21">
                  <c:v>-5715.9560159032417</c:v>
                </c:pt>
                <c:pt idx="22">
                  <c:v>-6124.9878276739391</c:v>
                </c:pt>
                <c:pt idx="23">
                  <c:v>-6535.0990840892655</c:v>
                </c:pt>
                <c:pt idx="24">
                  <c:v>-6946.3050628235715</c:v>
                </c:pt>
              </c:numCache>
            </c:numRef>
          </c:val>
          <c:extLst>
            <c:ext xmlns:c16="http://schemas.microsoft.com/office/drawing/2014/chart" uri="{C3380CC4-5D6E-409C-BE32-E72D297353CC}">
              <c16:uniqueId val="{00000005-7ED3-414C-9864-7988159AD554}"/>
            </c:ext>
          </c:extLst>
        </c:ser>
        <c:ser>
          <c:idx val="6"/>
          <c:order val="6"/>
          <c:tx>
            <c:strRef>
              <c:f>'Results ReCiPe (E) - CC'!$AB$220</c:f>
              <c:strCache>
                <c:ptCount val="1"/>
                <c:pt idx="0">
                  <c:v>Operation - geological storage</c:v>
                </c:pt>
              </c:strCache>
            </c:strRef>
          </c:tx>
          <c:spPr>
            <a:solidFill>
              <a:schemeClr val="accent2">
                <a:lumMod val="50000"/>
              </a:schemeClr>
            </a:solidFill>
            <a:ln>
              <a:noFill/>
            </a:ln>
            <a:effectLst/>
          </c:spPr>
          <c:invertIfNegative val="0"/>
          <c:cat>
            <c:numRef>
              <c:f>'Results ReCiPe (E) - CC'!$AC$213:$BA$213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CC'!$AC$220:$BA$220</c:f>
              <c:numCache>
                <c:formatCode>0.00E+00</c:formatCode>
                <c:ptCount val="25"/>
                <c:pt idx="0">
                  <c:v>1064.178773872263</c:v>
                </c:pt>
                <c:pt idx="1">
                  <c:v>887.70150060663673</c:v>
                </c:pt>
                <c:pt idx="2">
                  <c:v>712.28289419117573</c:v>
                </c:pt>
                <c:pt idx="3">
                  <c:v>535.1447661606876</c:v>
                </c:pt>
                <c:pt idx="4">
                  <c:v>361.6110433195467</c:v>
                </c:pt>
                <c:pt idx="5">
                  <c:v>189.00900792195162</c:v>
                </c:pt>
                <c:pt idx="6">
                  <c:v>135.82208206701111</c:v>
                </c:pt>
                <c:pt idx="7">
                  <c:v>82.645308146514978</c:v>
                </c:pt>
                <c:pt idx="8">
                  <c:v>27.178799907393408</c:v>
                </c:pt>
                <c:pt idx="9">
                  <c:v>-26.038868515217199</c:v>
                </c:pt>
                <c:pt idx="10">
                  <c:v>-79.251467758259324</c:v>
                </c:pt>
                <c:pt idx="11">
                  <c:v>-112.2046290666368</c:v>
                </c:pt>
                <c:pt idx="12">
                  <c:v>-145.11796913305719</c:v>
                </c:pt>
                <c:pt idx="13">
                  <c:v>-178.4238384313507</c:v>
                </c:pt>
                <c:pt idx="14">
                  <c:v>-211.25293495554951</c:v>
                </c:pt>
                <c:pt idx="15">
                  <c:v>-244.05437173072909</c:v>
                </c:pt>
                <c:pt idx="16">
                  <c:v>-286.18405190110172</c:v>
                </c:pt>
                <c:pt idx="17">
                  <c:v>-328.3603473128004</c:v>
                </c:pt>
                <c:pt idx="18">
                  <c:v>-370.87072569568062</c:v>
                </c:pt>
                <c:pt idx="19">
                  <c:v>-413.11591676598897</c:v>
                </c:pt>
                <c:pt idx="20">
                  <c:v>-455.40369116783506</c:v>
                </c:pt>
                <c:pt idx="21">
                  <c:v>-494.82446512450406</c:v>
                </c:pt>
                <c:pt idx="22">
                  <c:v>-534.34164655585573</c:v>
                </c:pt>
                <c:pt idx="23">
                  <c:v>-573.84703923126597</c:v>
                </c:pt>
                <c:pt idx="24">
                  <c:v>-613.34197781009084</c:v>
                </c:pt>
              </c:numCache>
            </c:numRef>
          </c:val>
          <c:extLst>
            <c:ext xmlns:c16="http://schemas.microsoft.com/office/drawing/2014/chart" uri="{C3380CC4-5D6E-409C-BE32-E72D297353CC}">
              <c16:uniqueId val="{00000006-7ED3-414C-9864-7988159AD554}"/>
            </c:ext>
          </c:extLst>
        </c:ser>
        <c:ser>
          <c:idx val="7"/>
          <c:order val="7"/>
          <c:tx>
            <c:strRef>
              <c:f>'Results ReCiPe (E) - CC'!$AB$221</c:f>
              <c:strCache>
                <c:ptCount val="1"/>
                <c:pt idx="0">
                  <c:v>CO2 captured and stored</c:v>
                </c:pt>
              </c:strCache>
            </c:strRef>
          </c:tx>
          <c:spPr>
            <a:solidFill>
              <a:schemeClr val="tx2">
                <a:lumMod val="20000"/>
                <a:lumOff val="80000"/>
              </a:schemeClr>
            </a:solidFill>
            <a:ln>
              <a:noFill/>
            </a:ln>
            <a:effectLst/>
          </c:spPr>
          <c:invertIfNegative val="0"/>
          <c:cat>
            <c:numRef>
              <c:f>'Results ReCiPe (E) - CC'!$AC$213:$BA$213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CC'!$AC$221:$BA$221</c:f>
              <c:numCache>
                <c:formatCode>0.00E+00</c:formatCode>
                <c:ptCount val="25"/>
                <c:pt idx="0">
                  <c:v>-100000</c:v>
                </c:pt>
                <c:pt idx="1">
                  <c:v>-100000</c:v>
                </c:pt>
                <c:pt idx="2">
                  <c:v>-100000</c:v>
                </c:pt>
                <c:pt idx="3">
                  <c:v>-100000</c:v>
                </c:pt>
                <c:pt idx="4">
                  <c:v>-100000</c:v>
                </c:pt>
                <c:pt idx="5">
                  <c:v>-100000</c:v>
                </c:pt>
                <c:pt idx="6">
                  <c:v>-100000</c:v>
                </c:pt>
                <c:pt idx="7">
                  <c:v>-100000</c:v>
                </c:pt>
                <c:pt idx="8">
                  <c:v>-100000</c:v>
                </c:pt>
                <c:pt idx="9">
                  <c:v>-100000</c:v>
                </c:pt>
                <c:pt idx="10">
                  <c:v>-100000</c:v>
                </c:pt>
                <c:pt idx="11">
                  <c:v>-100000</c:v>
                </c:pt>
                <c:pt idx="12">
                  <c:v>-100000</c:v>
                </c:pt>
                <c:pt idx="13">
                  <c:v>-100000</c:v>
                </c:pt>
                <c:pt idx="14">
                  <c:v>-100000</c:v>
                </c:pt>
                <c:pt idx="15">
                  <c:v>-100000</c:v>
                </c:pt>
                <c:pt idx="16">
                  <c:v>-100000</c:v>
                </c:pt>
                <c:pt idx="17">
                  <c:v>-100000</c:v>
                </c:pt>
                <c:pt idx="18">
                  <c:v>-100000</c:v>
                </c:pt>
                <c:pt idx="19">
                  <c:v>-100000</c:v>
                </c:pt>
                <c:pt idx="20">
                  <c:v>-100000</c:v>
                </c:pt>
                <c:pt idx="21">
                  <c:v>-100000</c:v>
                </c:pt>
                <c:pt idx="22">
                  <c:v>-100000</c:v>
                </c:pt>
                <c:pt idx="23">
                  <c:v>-100000</c:v>
                </c:pt>
                <c:pt idx="24">
                  <c:v>-100000</c:v>
                </c:pt>
              </c:numCache>
            </c:numRef>
          </c:val>
          <c:extLst>
            <c:ext xmlns:c16="http://schemas.microsoft.com/office/drawing/2014/chart" uri="{C3380CC4-5D6E-409C-BE32-E72D297353CC}">
              <c16:uniqueId val="{00000007-7ED3-414C-9864-7988159AD554}"/>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(E) - CC'!$AB$222</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cat>
            <c:numRef>
              <c:f>'Results ReCiPe (E) - CC'!$AC$213:$BA$213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CC'!$AC$222:$BA$222</c:f>
              <c:numCache>
                <c:formatCode>0.00E+00</c:formatCode>
                <c:ptCount val="25"/>
                <c:pt idx="0">
                  <c:v>-67648.291691552789</c:v>
                </c:pt>
                <c:pt idx="1">
                  <c:v>-90947.336465717293</c:v>
                </c:pt>
                <c:pt idx="2">
                  <c:v>-92868.531810841814</c:v>
                </c:pt>
                <c:pt idx="3">
                  <c:v>-94045.024601267447</c:v>
                </c:pt>
                <c:pt idx="4">
                  <c:v>-96745.348296083132</c:v>
                </c:pt>
                <c:pt idx="5">
                  <c:v>-98670.666744799688</c:v>
                </c:pt>
                <c:pt idx="6">
                  <c:v>-98536.071877216556</c:v>
                </c:pt>
                <c:pt idx="7">
                  <c:v>-99868.026871603201</c:v>
                </c:pt>
                <c:pt idx="8">
                  <c:v>-100495.90299538335</c:v>
                </c:pt>
                <c:pt idx="9">
                  <c:v>-100387.0677207853</c:v>
                </c:pt>
                <c:pt idx="10">
                  <c:v>-101707.50081336928</c:v>
                </c:pt>
                <c:pt idx="11">
                  <c:v>-102077.45391212928</c:v>
                </c:pt>
                <c:pt idx="12">
                  <c:v>-101741.46310358145</c:v>
                </c:pt>
                <c:pt idx="13">
                  <c:v>-102819.26740009463</c:v>
                </c:pt>
                <c:pt idx="14">
                  <c:v>-103186.21391850605</c:v>
                </c:pt>
                <c:pt idx="15">
                  <c:v>-102852.94743640875</c:v>
                </c:pt>
                <c:pt idx="16">
                  <c:v>-104000.64563878866</c:v>
                </c:pt>
                <c:pt idx="17">
                  <c:v>-104445.70777207988</c:v>
                </c:pt>
                <c:pt idx="18">
                  <c:v>-104197.15397778558</c:v>
                </c:pt>
                <c:pt idx="19">
                  <c:v>-105329.2861070159</c:v>
                </c:pt>
                <c:pt idx="20">
                  <c:v>-105764.62946526395</c:v>
                </c:pt>
                <c:pt idx="21">
                  <c:v>-105521.95267110947</c:v>
                </c:pt>
                <c:pt idx="22">
                  <c:v>-106659.3294742298</c:v>
                </c:pt>
                <c:pt idx="23">
                  <c:v>-107108.94612332054</c:v>
                </c:pt>
                <c:pt idx="24">
                  <c:v>-106454.84461762614</c:v>
                </c:pt>
              </c:numCache>
            </c:numRef>
          </c:val>
          <c:smooth val="0"/>
          <c:extLst>
            <c:ext xmlns:c16="http://schemas.microsoft.com/office/drawing/2014/chart" uri="{C3380CC4-5D6E-409C-BE32-E72D297353CC}">
              <c16:uniqueId val="{00000008-7ED3-414C-9864-7988159AD554}"/>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Climate change</a:t>
                </a:r>
              </a:p>
              <a:p>
                <a:pPr algn="ctr" rtl="0">
                  <a:defRPr/>
                </a:pPr>
                <a:r>
                  <a:rPr lang="nl-NL"/>
                  <a:t>[kg CO2-eq/ton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26879729621161"/>
          <c:y val="5.4106329588493672E-2"/>
          <c:w val="0.87797394606685986"/>
          <c:h val="0.75500483548693564"/>
        </c:manualLayout>
      </c:layout>
      <c:barChart>
        <c:barDir val="col"/>
        <c:grouping val="stacked"/>
        <c:varyColors val="0"/>
        <c:ser>
          <c:idx val="0"/>
          <c:order val="0"/>
          <c:tx>
            <c:strRef>
              <c:f>'Results ReCiPe (E) - CC'!$AB$274</c:f>
              <c:strCache>
                <c:ptCount val="1"/>
                <c:pt idx="0">
                  <c:v>Construction - DAC</c:v>
                </c:pt>
              </c:strCache>
            </c:strRef>
          </c:tx>
          <c:spPr>
            <a:solidFill>
              <a:schemeClr val="accent4">
                <a:lumMod val="75000"/>
              </a:schemeClr>
            </a:solidFill>
            <a:ln>
              <a:noFill/>
            </a:ln>
            <a:effectLst/>
          </c:spPr>
          <c:invertIfNegative val="0"/>
          <c:cat>
            <c:numRef>
              <c:f>'Results ReCiPe (E) - CC'!$AC$273:$BA$273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CC'!$AC$274:$BA$274</c:f>
              <c:numCache>
                <c:formatCode>0.00E+00</c:formatCode>
                <c:ptCount val="25"/>
                <c:pt idx="0">
                  <c:v>27518.65872652534</c:v>
                </c:pt>
              </c:numCache>
            </c:numRef>
          </c:val>
          <c:extLst>
            <c:ext xmlns:c16="http://schemas.microsoft.com/office/drawing/2014/chart" uri="{C3380CC4-5D6E-409C-BE32-E72D297353CC}">
              <c16:uniqueId val="{00000000-900E-4FD7-BE69-1B47966D368C}"/>
            </c:ext>
          </c:extLst>
        </c:ser>
        <c:ser>
          <c:idx val="1"/>
          <c:order val="1"/>
          <c:tx>
            <c:strRef>
              <c:f>'Results ReCiPe (E) - CC'!$AB$275</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(E) - CC'!$AC$273:$BA$273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CC'!$AC$275:$BA$275</c:f>
              <c:numCache>
                <c:formatCode>0.00E+00</c:formatCode>
                <c:ptCount val="25"/>
                <c:pt idx="0">
                  <c:v>1109.7470297373577</c:v>
                </c:pt>
              </c:numCache>
            </c:numRef>
          </c:val>
          <c:extLst>
            <c:ext xmlns:c16="http://schemas.microsoft.com/office/drawing/2014/chart" uri="{C3380CC4-5D6E-409C-BE32-E72D297353CC}">
              <c16:uniqueId val="{00000001-900E-4FD7-BE69-1B47966D368C}"/>
            </c:ext>
          </c:extLst>
        </c:ser>
        <c:ser>
          <c:idx val="2"/>
          <c:order val="2"/>
          <c:tx>
            <c:strRef>
              <c:f>'Results ReCiPe (E) - CC'!$AB$276</c:f>
              <c:strCache>
                <c:ptCount val="1"/>
                <c:pt idx="0">
                  <c:v>Deconstruction - DAC</c:v>
                </c:pt>
              </c:strCache>
            </c:strRef>
          </c:tx>
          <c:spPr>
            <a:solidFill>
              <a:schemeClr val="accent2">
                <a:lumMod val="40000"/>
                <a:lumOff val="60000"/>
              </a:schemeClr>
            </a:solidFill>
            <a:ln>
              <a:noFill/>
            </a:ln>
            <a:effectLst/>
          </c:spPr>
          <c:invertIfNegative val="0"/>
          <c:cat>
            <c:numRef>
              <c:f>'Results ReCiPe (E) - CC'!$AC$273:$BA$273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CC'!$AC$276:$BA$276</c:f>
              <c:numCache>
                <c:formatCode>0.00E+00</c:formatCode>
                <c:ptCount val="25"/>
                <c:pt idx="24">
                  <c:v>580.04942097986282</c:v>
                </c:pt>
              </c:numCache>
            </c:numRef>
          </c:val>
          <c:extLst>
            <c:ext xmlns:c16="http://schemas.microsoft.com/office/drawing/2014/chart" uri="{C3380CC4-5D6E-409C-BE32-E72D297353CC}">
              <c16:uniqueId val="{00000002-900E-4FD7-BE69-1B47966D368C}"/>
            </c:ext>
          </c:extLst>
        </c:ser>
        <c:ser>
          <c:idx val="3"/>
          <c:order val="3"/>
          <c:tx>
            <c:strRef>
              <c:f>'Results ReCiPe (E) - CC'!$AB$277</c:f>
              <c:strCache>
                <c:ptCount val="1"/>
                <c:pt idx="0">
                  <c:v>Deconstruction - geological storage</c:v>
                </c:pt>
              </c:strCache>
            </c:strRef>
          </c:tx>
          <c:spPr>
            <a:solidFill>
              <a:srgbClr val="FF9900"/>
            </a:solidFill>
            <a:ln>
              <a:noFill/>
            </a:ln>
            <a:effectLst/>
          </c:spPr>
          <c:invertIfNegative val="0"/>
          <c:cat>
            <c:numRef>
              <c:f>'Results ReCiPe (E) - CC'!$AC$273:$BA$273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CC'!$AC$277:$BA$277</c:f>
              <c:numCache>
                <c:formatCode>0.00E+00</c:formatCode>
                <c:ptCount val="25"/>
                <c:pt idx="24">
                  <c:v>10.701406374672235</c:v>
                </c:pt>
              </c:numCache>
            </c:numRef>
          </c:val>
          <c:extLst>
            <c:ext xmlns:c16="http://schemas.microsoft.com/office/drawing/2014/chart" uri="{C3380CC4-5D6E-409C-BE32-E72D297353CC}">
              <c16:uniqueId val="{00000003-900E-4FD7-BE69-1B47966D368C}"/>
            </c:ext>
          </c:extLst>
        </c:ser>
        <c:ser>
          <c:idx val="4"/>
          <c:order val="4"/>
          <c:tx>
            <c:strRef>
              <c:f>'Results ReCiPe (E) - CC'!$AB$278</c:f>
              <c:strCache>
                <c:ptCount val="1"/>
                <c:pt idx="0">
                  <c:v>Sorbent material</c:v>
                </c:pt>
              </c:strCache>
            </c:strRef>
          </c:tx>
          <c:spPr>
            <a:solidFill>
              <a:srgbClr val="FF8F8F"/>
            </a:solidFill>
            <a:ln>
              <a:noFill/>
            </a:ln>
            <a:effectLst/>
          </c:spPr>
          <c:invertIfNegative val="0"/>
          <c:cat>
            <c:numRef>
              <c:f>'Results ReCiPe (E) - CC'!$AC$273:$BA$273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CC'!$AC$278:$BA$278</c:f>
              <c:numCache>
                <c:formatCode>0.00E+00</c:formatCode>
                <c:ptCount val="25"/>
                <c:pt idx="0">
                  <c:v>1037.493275938863</c:v>
                </c:pt>
                <c:pt idx="3">
                  <c:v>1027.697547156306</c:v>
                </c:pt>
                <c:pt idx="6">
                  <c:v>1025.202036574439</c:v>
                </c:pt>
                <c:pt idx="9">
                  <c:v>1025.3040187287079</c:v>
                </c:pt>
                <c:pt idx="12">
                  <c:v>1030.1790192937119</c:v>
                </c:pt>
                <c:pt idx="15">
                  <c:v>1035.5510426582489</c:v>
                </c:pt>
                <c:pt idx="18">
                  <c:v>1022.5109258357249</c:v>
                </c:pt>
                <c:pt idx="21">
                  <c:v>1007.600052632234</c:v>
                </c:pt>
                <c:pt idx="24">
                  <c:v>987.38631762704017</c:v>
                </c:pt>
              </c:numCache>
            </c:numRef>
          </c:val>
          <c:extLst>
            <c:ext xmlns:c16="http://schemas.microsoft.com/office/drawing/2014/chart" uri="{C3380CC4-5D6E-409C-BE32-E72D297353CC}">
              <c16:uniqueId val="{00000004-900E-4FD7-BE69-1B47966D368C}"/>
            </c:ext>
          </c:extLst>
        </c:ser>
        <c:ser>
          <c:idx val="5"/>
          <c:order val="5"/>
          <c:tx>
            <c:strRef>
              <c:f>'Results ReCiPe (E) - CC'!$AB$279</c:f>
              <c:strCache>
                <c:ptCount val="1"/>
                <c:pt idx="0">
                  <c:v>Battery</c:v>
                </c:pt>
              </c:strCache>
            </c:strRef>
          </c:tx>
          <c:spPr>
            <a:solidFill>
              <a:schemeClr val="accent6">
                <a:lumMod val="50000"/>
              </a:schemeClr>
            </a:solidFill>
            <a:ln>
              <a:noFill/>
            </a:ln>
            <a:effectLst/>
          </c:spPr>
          <c:invertIfNegative val="0"/>
          <c:cat>
            <c:numRef>
              <c:f>'Results ReCiPe (E) - CC'!$AC$273:$BA$273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CC'!$AC$279:$BA$279</c:f>
              <c:numCache>
                <c:formatCode>0.00E+00</c:formatCode>
                <c:ptCount val="25"/>
                <c:pt idx="0">
                  <c:v>4014.2430930664332</c:v>
                </c:pt>
                <c:pt idx="1">
                  <c:v>4014.2430930664332</c:v>
                </c:pt>
                <c:pt idx="2">
                  <c:v>4014.2430930664332</c:v>
                </c:pt>
                <c:pt idx="3">
                  <c:v>4014.2430930664332</c:v>
                </c:pt>
                <c:pt idx="4">
                  <c:v>4014.2430930664332</c:v>
                </c:pt>
                <c:pt idx="5">
                  <c:v>4014.2430930664332</c:v>
                </c:pt>
                <c:pt idx="6">
                  <c:v>4014.2430930664332</c:v>
                </c:pt>
                <c:pt idx="7">
                  <c:v>4014.2430930664332</c:v>
                </c:pt>
                <c:pt idx="8">
                  <c:v>4014.2430930664332</c:v>
                </c:pt>
                <c:pt idx="9">
                  <c:v>4014.2430930664332</c:v>
                </c:pt>
                <c:pt idx="10">
                  <c:v>4014.2430930664332</c:v>
                </c:pt>
                <c:pt idx="11">
                  <c:v>4014.2430930664332</c:v>
                </c:pt>
                <c:pt idx="12">
                  <c:v>4014.2430930664332</c:v>
                </c:pt>
                <c:pt idx="13">
                  <c:v>4014.2430930664332</c:v>
                </c:pt>
                <c:pt idx="14">
                  <c:v>4014.2430930664332</c:v>
                </c:pt>
                <c:pt idx="15">
                  <c:v>4014.2430930664332</c:v>
                </c:pt>
                <c:pt idx="16">
                  <c:v>4014.2430930664332</c:v>
                </c:pt>
                <c:pt idx="17">
                  <c:v>4014.2430930664332</c:v>
                </c:pt>
                <c:pt idx="18">
                  <c:v>4014.2430930664332</c:v>
                </c:pt>
                <c:pt idx="19">
                  <c:v>4014.2430930664332</c:v>
                </c:pt>
                <c:pt idx="20">
                  <c:v>4014.2430930664332</c:v>
                </c:pt>
                <c:pt idx="21">
                  <c:v>4014.2430930664332</c:v>
                </c:pt>
                <c:pt idx="22">
                  <c:v>4014.2430930664332</c:v>
                </c:pt>
                <c:pt idx="23">
                  <c:v>4014.2430930664332</c:v>
                </c:pt>
                <c:pt idx="24">
                  <c:v>4014.2430930664332</c:v>
                </c:pt>
              </c:numCache>
            </c:numRef>
          </c:val>
          <c:extLst>
            <c:ext xmlns:c16="http://schemas.microsoft.com/office/drawing/2014/chart" uri="{C3380CC4-5D6E-409C-BE32-E72D297353CC}">
              <c16:uniqueId val="{00000005-900E-4FD7-BE69-1B47966D368C}"/>
            </c:ext>
          </c:extLst>
        </c:ser>
        <c:ser>
          <c:idx val="6"/>
          <c:order val="6"/>
          <c:tx>
            <c:strRef>
              <c:f>'Results ReCiPe (E) - CC'!$AB$280</c:f>
              <c:strCache>
                <c:ptCount val="1"/>
                <c:pt idx="0">
                  <c:v>Operation - DAC</c:v>
                </c:pt>
              </c:strCache>
            </c:strRef>
          </c:tx>
          <c:spPr>
            <a:solidFill>
              <a:schemeClr val="accent2">
                <a:lumMod val="75000"/>
              </a:schemeClr>
            </a:solidFill>
            <a:ln>
              <a:noFill/>
            </a:ln>
            <a:effectLst/>
          </c:spPr>
          <c:invertIfNegative val="0"/>
          <c:cat>
            <c:numRef>
              <c:f>'Results ReCiPe (E) - CC'!$AC$273:$BA$273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CC'!$AC$280:$BA$280</c:f>
              <c:numCache>
                <c:formatCode>0.00E+00</c:formatCode>
                <c:ptCount val="25"/>
                <c:pt idx="0">
                  <c:v>3304.823739147057</c:v>
                </c:pt>
                <c:pt idx="1">
                  <c:v>3294.1532115037444</c:v>
                </c:pt>
                <c:pt idx="2">
                  <c:v>3283.8648951712007</c:v>
                </c:pt>
                <c:pt idx="3">
                  <c:v>3250.9290257404004</c:v>
                </c:pt>
                <c:pt idx="4">
                  <c:v>3241.4059267483763</c:v>
                </c:pt>
                <c:pt idx="5">
                  <c:v>3232.0985660424417</c:v>
                </c:pt>
                <c:pt idx="6">
                  <c:v>3224.4654403535901</c:v>
                </c:pt>
                <c:pt idx="7">
                  <c:v>3217.7530897038232</c:v>
                </c:pt>
                <c:pt idx="8">
                  <c:v>3197.7965482812638</c:v>
                </c:pt>
                <c:pt idx="9">
                  <c:v>3192.7849103116391</c:v>
                </c:pt>
                <c:pt idx="10">
                  <c:v>3188.4135629106449</c:v>
                </c:pt>
                <c:pt idx="11">
                  <c:v>3189.1405244510274</c:v>
                </c:pt>
                <c:pt idx="12">
                  <c:v>3190.6006397144051</c:v>
                </c:pt>
                <c:pt idx="13">
                  <c:v>3190.0013179898319</c:v>
                </c:pt>
                <c:pt idx="14">
                  <c:v>3192.8339988972107</c:v>
                </c:pt>
                <c:pt idx="15">
                  <c:v>3196.6347204104418</c:v>
                </c:pt>
                <c:pt idx="16">
                  <c:v>3182.5681126588274</c:v>
                </c:pt>
                <c:pt idx="17">
                  <c:v>3168.5527221451239</c:v>
                </c:pt>
                <c:pt idx="18">
                  <c:v>3151.7491418963627</c:v>
                </c:pt>
                <c:pt idx="19">
                  <c:v>3137.7621056489966</c:v>
                </c:pt>
                <c:pt idx="20">
                  <c:v>3123.7495999419502</c:v>
                </c:pt>
                <c:pt idx="21">
                  <c:v>3103.1167761870638</c:v>
                </c:pt>
                <c:pt idx="22">
                  <c:v>3081.7256670808779</c:v>
                </c:pt>
                <c:pt idx="23">
                  <c:v>3060.3099302825376</c:v>
                </c:pt>
                <c:pt idx="24">
                  <c:v>3038.8618973177158</c:v>
                </c:pt>
              </c:numCache>
            </c:numRef>
          </c:val>
          <c:extLst>
            <c:ext xmlns:c16="http://schemas.microsoft.com/office/drawing/2014/chart" uri="{C3380CC4-5D6E-409C-BE32-E72D297353CC}">
              <c16:uniqueId val="{00000006-900E-4FD7-BE69-1B47966D368C}"/>
            </c:ext>
          </c:extLst>
        </c:ser>
        <c:ser>
          <c:idx val="7"/>
          <c:order val="7"/>
          <c:tx>
            <c:strRef>
              <c:f>'Results ReCiPe (E) - CC'!$AB$281</c:f>
              <c:strCache>
                <c:ptCount val="1"/>
                <c:pt idx="0">
                  <c:v>Operation - geological storage</c:v>
                </c:pt>
              </c:strCache>
            </c:strRef>
          </c:tx>
          <c:spPr>
            <a:solidFill>
              <a:schemeClr val="accent2">
                <a:lumMod val="50000"/>
              </a:schemeClr>
            </a:solidFill>
            <a:ln>
              <a:noFill/>
            </a:ln>
            <a:effectLst/>
          </c:spPr>
          <c:invertIfNegative val="0"/>
          <c:cat>
            <c:numRef>
              <c:f>'Results ReCiPe (E) - CC'!$AC$273:$BA$273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CC'!$AC$281:$BA$281</c:f>
              <c:numCache>
                <c:formatCode>0.00E+00</c:formatCode>
                <c:ptCount val="25"/>
                <c:pt idx="0">
                  <c:v>1371.9885946321269</c:v>
                </c:pt>
                <c:pt idx="1">
                  <c:v>1368.683070394743</c:v>
                </c:pt>
                <c:pt idx="2">
                  <c:v>1365.3864382102074</c:v>
                </c:pt>
                <c:pt idx="3">
                  <c:v>1360.8763703382544</c:v>
                </c:pt>
                <c:pt idx="4">
                  <c:v>1357.5997332809345</c:v>
                </c:pt>
                <c:pt idx="5">
                  <c:v>1354.3240309991725</c:v>
                </c:pt>
                <c:pt idx="6">
                  <c:v>1450.5465092241809</c:v>
                </c:pt>
                <c:pt idx="7">
                  <c:v>1546.3643147932221</c:v>
                </c:pt>
                <c:pt idx="8">
                  <c:v>1640.990749242296</c:v>
                </c:pt>
                <c:pt idx="9">
                  <c:v>1736.1507562599641</c:v>
                </c:pt>
                <c:pt idx="10">
                  <c:v>1830.9076463370036</c:v>
                </c:pt>
                <c:pt idx="11">
                  <c:v>2001.4912047818921</c:v>
                </c:pt>
                <c:pt idx="12">
                  <c:v>2172.0535446711324</c:v>
                </c:pt>
                <c:pt idx="13">
                  <c:v>2342.4479403944661</c:v>
                </c:pt>
                <c:pt idx="14">
                  <c:v>2512.9565146707541</c:v>
                </c:pt>
                <c:pt idx="15">
                  <c:v>2683.439282746695</c:v>
                </c:pt>
                <c:pt idx="16">
                  <c:v>2709.8769748228824</c:v>
                </c:pt>
                <c:pt idx="17">
                  <c:v>2736.2524664762141</c:v>
                </c:pt>
                <c:pt idx="18">
                  <c:v>2762.43547996299</c:v>
                </c:pt>
                <c:pt idx="19">
                  <c:v>2788.6974890619631</c:v>
                </c:pt>
                <c:pt idx="20">
                  <c:v>2814.9044851527251</c:v>
                </c:pt>
                <c:pt idx="21">
                  <c:v>2748.9086795889384</c:v>
                </c:pt>
                <c:pt idx="22">
                  <c:v>2675.8780905994731</c:v>
                </c:pt>
                <c:pt idx="23">
                  <c:v>2602.8970907929147</c:v>
                </c:pt>
                <c:pt idx="24">
                  <c:v>2529.9640867696171</c:v>
                </c:pt>
              </c:numCache>
            </c:numRef>
          </c:val>
          <c:extLst>
            <c:ext xmlns:c16="http://schemas.microsoft.com/office/drawing/2014/chart" uri="{C3380CC4-5D6E-409C-BE32-E72D297353CC}">
              <c16:uniqueId val="{00000007-900E-4FD7-BE69-1B47966D368C}"/>
            </c:ext>
          </c:extLst>
        </c:ser>
        <c:ser>
          <c:idx val="8"/>
          <c:order val="8"/>
          <c:tx>
            <c:strRef>
              <c:f>'Results ReCiPe (E) - CC'!$AB$282</c:f>
              <c:strCache>
                <c:ptCount val="1"/>
                <c:pt idx="0">
                  <c:v>CO2 captured and stored</c:v>
                </c:pt>
              </c:strCache>
            </c:strRef>
          </c:tx>
          <c:spPr>
            <a:solidFill>
              <a:schemeClr val="tx2">
                <a:lumMod val="20000"/>
                <a:lumOff val="80000"/>
              </a:schemeClr>
            </a:solidFill>
            <a:ln>
              <a:noFill/>
            </a:ln>
            <a:effectLst/>
          </c:spPr>
          <c:invertIfNegative val="0"/>
          <c:cat>
            <c:numRef>
              <c:f>'Results ReCiPe (E) - CC'!$AC$273:$BA$273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CC'!$AC$282:$BA$282</c:f>
              <c:numCache>
                <c:formatCode>0.00E+00</c:formatCode>
                <c:ptCount val="25"/>
                <c:pt idx="0">
                  <c:v>-50000</c:v>
                </c:pt>
                <c:pt idx="1">
                  <c:v>-50000</c:v>
                </c:pt>
                <c:pt idx="2">
                  <c:v>-50000</c:v>
                </c:pt>
                <c:pt idx="3">
                  <c:v>-50000</c:v>
                </c:pt>
                <c:pt idx="4">
                  <c:v>-50000</c:v>
                </c:pt>
                <c:pt idx="5">
                  <c:v>-50000</c:v>
                </c:pt>
                <c:pt idx="6">
                  <c:v>-50000</c:v>
                </c:pt>
                <c:pt idx="7">
                  <c:v>-50000</c:v>
                </c:pt>
                <c:pt idx="8">
                  <c:v>-50000</c:v>
                </c:pt>
                <c:pt idx="9">
                  <c:v>-50000</c:v>
                </c:pt>
                <c:pt idx="10">
                  <c:v>-50000</c:v>
                </c:pt>
                <c:pt idx="11">
                  <c:v>-50000</c:v>
                </c:pt>
                <c:pt idx="12">
                  <c:v>-50000</c:v>
                </c:pt>
                <c:pt idx="13">
                  <c:v>-50000</c:v>
                </c:pt>
                <c:pt idx="14">
                  <c:v>-50000</c:v>
                </c:pt>
                <c:pt idx="15">
                  <c:v>-50000</c:v>
                </c:pt>
                <c:pt idx="16">
                  <c:v>-50000</c:v>
                </c:pt>
                <c:pt idx="17">
                  <c:v>-50000</c:v>
                </c:pt>
                <c:pt idx="18">
                  <c:v>-50000</c:v>
                </c:pt>
                <c:pt idx="19">
                  <c:v>-50000</c:v>
                </c:pt>
                <c:pt idx="20">
                  <c:v>-50000</c:v>
                </c:pt>
                <c:pt idx="21">
                  <c:v>-50000</c:v>
                </c:pt>
                <c:pt idx="22">
                  <c:v>-50000</c:v>
                </c:pt>
                <c:pt idx="23">
                  <c:v>-50000</c:v>
                </c:pt>
                <c:pt idx="24">
                  <c:v>-50000</c:v>
                </c:pt>
              </c:numCache>
            </c:numRef>
          </c:val>
          <c:extLst>
            <c:ext xmlns:c16="http://schemas.microsoft.com/office/drawing/2014/chart" uri="{C3380CC4-5D6E-409C-BE32-E72D297353CC}">
              <c16:uniqueId val="{00000008-900E-4FD7-BE69-1B47966D368C}"/>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(E) - CC'!$AB$283</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cat>
            <c:numRef>
              <c:f>'Results ReCiPe (E) - CC'!$AC$273:$BA$273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CC'!$AC$283:$BA$283</c:f>
              <c:numCache>
                <c:formatCode>0.00E+00</c:formatCode>
                <c:ptCount val="25"/>
                <c:pt idx="0">
                  <c:v>-11643.045540952822</c:v>
                </c:pt>
                <c:pt idx="1">
                  <c:v>-41322.920625035084</c:v>
                </c:pt>
                <c:pt idx="2">
                  <c:v>-41336.50557355216</c:v>
                </c:pt>
                <c:pt idx="3">
                  <c:v>-40346.253963698604</c:v>
                </c:pt>
                <c:pt idx="4">
                  <c:v>-41386.751246904256</c:v>
                </c:pt>
                <c:pt idx="5">
                  <c:v>-41399.33430989195</c:v>
                </c:pt>
                <c:pt idx="6">
                  <c:v>-40285.542920781358</c:v>
                </c:pt>
                <c:pt idx="7">
                  <c:v>-41221.639502436519</c:v>
                </c:pt>
                <c:pt idx="8">
                  <c:v>-41146.969609410007</c:v>
                </c:pt>
                <c:pt idx="9">
                  <c:v>-40031.517221633258</c:v>
                </c:pt>
                <c:pt idx="10">
                  <c:v>-40966.43569768592</c:v>
                </c:pt>
                <c:pt idx="11">
                  <c:v>-40795.125177700647</c:v>
                </c:pt>
                <c:pt idx="12">
                  <c:v>-39592.923703254317</c:v>
                </c:pt>
                <c:pt idx="13">
                  <c:v>-40453.307648549271</c:v>
                </c:pt>
                <c:pt idx="14">
                  <c:v>-40279.966393365605</c:v>
                </c:pt>
                <c:pt idx="15">
                  <c:v>-39070.131861118178</c:v>
                </c:pt>
                <c:pt idx="16">
                  <c:v>-40093.311819451861</c:v>
                </c:pt>
                <c:pt idx="17">
                  <c:v>-40080.95171831223</c:v>
                </c:pt>
                <c:pt idx="18">
                  <c:v>-39049.061359238491</c:v>
                </c:pt>
                <c:pt idx="19">
                  <c:v>-40059.29731222261</c:v>
                </c:pt>
                <c:pt idx="20">
                  <c:v>-40047.102821838889</c:v>
                </c:pt>
                <c:pt idx="21">
                  <c:v>-39126.131398525329</c:v>
                </c:pt>
                <c:pt idx="22">
                  <c:v>-40228.153149253216</c:v>
                </c:pt>
                <c:pt idx="23">
                  <c:v>-40322.549885858112</c:v>
                </c:pt>
                <c:pt idx="24">
                  <c:v>-38838.793777864659</c:v>
                </c:pt>
              </c:numCache>
            </c:numRef>
          </c:val>
          <c:smooth val="0"/>
          <c:extLst>
            <c:ext xmlns:c16="http://schemas.microsoft.com/office/drawing/2014/chart" uri="{C3380CC4-5D6E-409C-BE32-E72D297353CC}">
              <c16:uniqueId val="{00000009-900E-4FD7-BE69-1B47966D368C}"/>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Cliamte change</a:t>
                </a:r>
              </a:p>
              <a:p>
                <a:pPr algn="ctr" rtl="0">
                  <a:defRPr/>
                </a:pPr>
                <a:r>
                  <a:rPr lang="nl-NL"/>
                  <a:t>[kg CO2-eq/ton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(E) - CC'!$AB$334</c:f>
              <c:strCache>
                <c:ptCount val="1"/>
                <c:pt idx="0">
                  <c:v>Construction - DAC</c:v>
                </c:pt>
              </c:strCache>
            </c:strRef>
          </c:tx>
          <c:spPr>
            <a:solidFill>
              <a:schemeClr val="accent4">
                <a:lumMod val="75000"/>
              </a:schemeClr>
            </a:solidFill>
            <a:ln>
              <a:noFill/>
            </a:ln>
            <a:effectLst/>
          </c:spPr>
          <c:invertIfNegative val="0"/>
          <c:cat>
            <c:numRef>
              <c:f>'Results ReCiPe (E) - CC'!$AC$333:$BA$333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CC'!$AC$334:$BA$334</c:f>
              <c:numCache>
                <c:formatCode>0.00E+00</c:formatCode>
                <c:ptCount val="25"/>
                <c:pt idx="0">
                  <c:v>24996.270673773346</c:v>
                </c:pt>
              </c:numCache>
            </c:numRef>
          </c:val>
          <c:extLst>
            <c:ext xmlns:c16="http://schemas.microsoft.com/office/drawing/2014/chart" uri="{C3380CC4-5D6E-409C-BE32-E72D297353CC}">
              <c16:uniqueId val="{00000000-0C68-471C-8D00-AAB82B07DFFE}"/>
            </c:ext>
          </c:extLst>
        </c:ser>
        <c:ser>
          <c:idx val="1"/>
          <c:order val="1"/>
          <c:tx>
            <c:strRef>
              <c:f>'Results ReCiPe (E) - CC'!$AB$335</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(E) - CC'!$AC$333:$BA$333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CC'!$AC$335:$BA$335</c:f>
              <c:numCache>
                <c:formatCode>0.00E+00</c:formatCode>
                <c:ptCount val="25"/>
                <c:pt idx="0">
                  <c:v>1037.2293397316614</c:v>
                </c:pt>
              </c:numCache>
            </c:numRef>
          </c:val>
          <c:extLst>
            <c:ext xmlns:c16="http://schemas.microsoft.com/office/drawing/2014/chart" uri="{C3380CC4-5D6E-409C-BE32-E72D297353CC}">
              <c16:uniqueId val="{00000001-0C68-471C-8D00-AAB82B07DFFE}"/>
            </c:ext>
          </c:extLst>
        </c:ser>
        <c:ser>
          <c:idx val="2"/>
          <c:order val="2"/>
          <c:tx>
            <c:strRef>
              <c:f>'Results ReCiPe (E) - CC'!$AB$336</c:f>
              <c:strCache>
                <c:ptCount val="1"/>
                <c:pt idx="0">
                  <c:v>Deconstruction - DAC</c:v>
                </c:pt>
              </c:strCache>
            </c:strRef>
          </c:tx>
          <c:spPr>
            <a:solidFill>
              <a:schemeClr val="accent2">
                <a:lumMod val="40000"/>
                <a:lumOff val="60000"/>
              </a:schemeClr>
            </a:solidFill>
            <a:ln>
              <a:noFill/>
            </a:ln>
            <a:effectLst/>
          </c:spPr>
          <c:invertIfNegative val="0"/>
          <c:cat>
            <c:numRef>
              <c:f>'Results ReCiPe (E) - CC'!$AC$333:$BA$333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CC'!$AC$336:$BA$336</c:f>
              <c:numCache>
                <c:formatCode>0.00E+00</c:formatCode>
                <c:ptCount val="25"/>
                <c:pt idx="24">
                  <c:v>471.91965940783922</c:v>
                </c:pt>
              </c:numCache>
            </c:numRef>
          </c:val>
          <c:extLst>
            <c:ext xmlns:c16="http://schemas.microsoft.com/office/drawing/2014/chart" uri="{C3380CC4-5D6E-409C-BE32-E72D297353CC}">
              <c16:uniqueId val="{00000002-0C68-471C-8D00-AAB82B07DFFE}"/>
            </c:ext>
          </c:extLst>
        </c:ser>
        <c:ser>
          <c:idx val="3"/>
          <c:order val="3"/>
          <c:tx>
            <c:strRef>
              <c:f>'Results ReCiPe (E) - CC'!$AB$337</c:f>
              <c:strCache>
                <c:ptCount val="1"/>
                <c:pt idx="0">
                  <c:v>Deconstruction - geological storage</c:v>
                </c:pt>
              </c:strCache>
            </c:strRef>
          </c:tx>
          <c:spPr>
            <a:solidFill>
              <a:srgbClr val="FF9900"/>
            </a:solidFill>
            <a:ln>
              <a:noFill/>
            </a:ln>
            <a:effectLst/>
          </c:spPr>
          <c:invertIfNegative val="0"/>
          <c:cat>
            <c:numRef>
              <c:f>'Results ReCiPe (E) - CC'!$AC$333:$BA$333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CC'!$AC$337:$BA$337</c:f>
              <c:numCache>
                <c:formatCode>0.00E+00</c:formatCode>
                <c:ptCount val="25"/>
                <c:pt idx="24">
                  <c:v>9.9712830938678199</c:v>
                </c:pt>
              </c:numCache>
            </c:numRef>
          </c:val>
          <c:extLst>
            <c:ext xmlns:c16="http://schemas.microsoft.com/office/drawing/2014/chart" uri="{C3380CC4-5D6E-409C-BE32-E72D297353CC}">
              <c16:uniqueId val="{00000003-0C68-471C-8D00-AAB82B07DFFE}"/>
            </c:ext>
          </c:extLst>
        </c:ser>
        <c:ser>
          <c:idx val="4"/>
          <c:order val="4"/>
          <c:tx>
            <c:strRef>
              <c:f>'Results ReCiPe (E) - CC'!$AB$338</c:f>
              <c:strCache>
                <c:ptCount val="1"/>
                <c:pt idx="0">
                  <c:v>Sorbent material</c:v>
                </c:pt>
              </c:strCache>
            </c:strRef>
          </c:tx>
          <c:spPr>
            <a:solidFill>
              <a:srgbClr val="FF8F8F"/>
            </a:solidFill>
            <a:ln>
              <a:noFill/>
            </a:ln>
            <a:effectLst/>
          </c:spPr>
          <c:invertIfNegative val="0"/>
          <c:cat>
            <c:numRef>
              <c:f>'Results ReCiPe (E) - CC'!$AC$333:$BA$333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CC'!$AC$338:$BA$338</c:f>
              <c:numCache>
                <c:formatCode>0.00E+00</c:formatCode>
                <c:ptCount val="25"/>
                <c:pt idx="0">
                  <c:v>1002.2532345357261</c:v>
                </c:pt>
                <c:pt idx="3">
                  <c:v>968.37815789759441</c:v>
                </c:pt>
                <c:pt idx="6">
                  <c:v>935.22469385907107</c:v>
                </c:pt>
                <c:pt idx="9">
                  <c:v>892.83003869097888</c:v>
                </c:pt>
                <c:pt idx="12">
                  <c:v>844.94159176113419</c:v>
                </c:pt>
                <c:pt idx="15">
                  <c:v>792.9189308085422</c:v>
                </c:pt>
                <c:pt idx="18">
                  <c:v>755.92169116514378</c:v>
                </c:pt>
                <c:pt idx="21">
                  <c:v>729.74807912223457</c:v>
                </c:pt>
                <c:pt idx="24">
                  <c:v>722.80509911141849</c:v>
                </c:pt>
              </c:numCache>
            </c:numRef>
          </c:val>
          <c:extLst>
            <c:ext xmlns:c16="http://schemas.microsoft.com/office/drawing/2014/chart" uri="{C3380CC4-5D6E-409C-BE32-E72D297353CC}">
              <c16:uniqueId val="{00000004-0C68-471C-8D00-AAB82B07DFFE}"/>
            </c:ext>
          </c:extLst>
        </c:ser>
        <c:ser>
          <c:idx val="5"/>
          <c:order val="5"/>
          <c:tx>
            <c:strRef>
              <c:f>'Results ReCiPe (E) - CC'!$AB$339</c:f>
              <c:strCache>
                <c:ptCount val="1"/>
                <c:pt idx="0">
                  <c:v>Battery</c:v>
                </c:pt>
              </c:strCache>
            </c:strRef>
          </c:tx>
          <c:spPr>
            <a:solidFill>
              <a:schemeClr val="accent6">
                <a:lumMod val="50000"/>
              </a:schemeClr>
            </a:solidFill>
            <a:ln>
              <a:noFill/>
            </a:ln>
            <a:effectLst/>
          </c:spPr>
          <c:invertIfNegative val="0"/>
          <c:cat>
            <c:numRef>
              <c:f>'Results ReCiPe (E) - CC'!$AC$333:$BA$333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CC'!$AC$339:$BA$339</c:f>
              <c:numCache>
                <c:formatCode>0.00E+00</c:formatCode>
                <c:ptCount val="25"/>
                <c:pt idx="0">
                  <c:v>3639.7183811635346</c:v>
                </c:pt>
                <c:pt idx="1">
                  <c:v>3639.7183811635346</c:v>
                </c:pt>
                <c:pt idx="2">
                  <c:v>3639.7183811635346</c:v>
                </c:pt>
                <c:pt idx="3">
                  <c:v>3639.7183811635346</c:v>
                </c:pt>
                <c:pt idx="4">
                  <c:v>3639.7183811635346</c:v>
                </c:pt>
                <c:pt idx="5">
                  <c:v>3639.7183811635346</c:v>
                </c:pt>
                <c:pt idx="6">
                  <c:v>3639.7183811635346</c:v>
                </c:pt>
                <c:pt idx="7">
                  <c:v>3639.7183811635346</c:v>
                </c:pt>
                <c:pt idx="8">
                  <c:v>3639.7183811635346</c:v>
                </c:pt>
                <c:pt idx="9">
                  <c:v>3639.7183811635346</c:v>
                </c:pt>
                <c:pt idx="10">
                  <c:v>3639.7183811635346</c:v>
                </c:pt>
                <c:pt idx="11">
                  <c:v>3639.7183811635346</c:v>
                </c:pt>
                <c:pt idx="12">
                  <c:v>3639.7183811635346</c:v>
                </c:pt>
                <c:pt idx="13">
                  <c:v>3639.7183811635346</c:v>
                </c:pt>
                <c:pt idx="14">
                  <c:v>3639.7183811635346</c:v>
                </c:pt>
                <c:pt idx="15">
                  <c:v>3639.7183811635346</c:v>
                </c:pt>
                <c:pt idx="16">
                  <c:v>3639.7183811635346</c:v>
                </c:pt>
                <c:pt idx="17">
                  <c:v>3639.7183811635346</c:v>
                </c:pt>
                <c:pt idx="18">
                  <c:v>3639.7183811635346</c:v>
                </c:pt>
                <c:pt idx="19">
                  <c:v>3639.7183811635346</c:v>
                </c:pt>
                <c:pt idx="20">
                  <c:v>3639.7183811635346</c:v>
                </c:pt>
                <c:pt idx="21">
                  <c:v>3639.7183811635346</c:v>
                </c:pt>
                <c:pt idx="22">
                  <c:v>3639.7183811635346</c:v>
                </c:pt>
                <c:pt idx="23">
                  <c:v>3639.7183811635346</c:v>
                </c:pt>
                <c:pt idx="24">
                  <c:v>3639.7183811635346</c:v>
                </c:pt>
              </c:numCache>
            </c:numRef>
          </c:val>
          <c:extLst>
            <c:ext xmlns:c16="http://schemas.microsoft.com/office/drawing/2014/chart" uri="{C3380CC4-5D6E-409C-BE32-E72D297353CC}">
              <c16:uniqueId val="{00000005-0C68-471C-8D00-AAB82B07DFFE}"/>
            </c:ext>
          </c:extLst>
        </c:ser>
        <c:ser>
          <c:idx val="6"/>
          <c:order val="6"/>
          <c:tx>
            <c:strRef>
              <c:f>'Results ReCiPe (E) - CC'!$AB$340</c:f>
              <c:strCache>
                <c:ptCount val="1"/>
                <c:pt idx="0">
                  <c:v>Operation - DAC</c:v>
                </c:pt>
              </c:strCache>
            </c:strRef>
          </c:tx>
          <c:spPr>
            <a:solidFill>
              <a:schemeClr val="accent2">
                <a:lumMod val="75000"/>
              </a:schemeClr>
            </a:solidFill>
            <a:ln>
              <a:noFill/>
            </a:ln>
            <a:effectLst/>
          </c:spPr>
          <c:invertIfNegative val="0"/>
          <c:cat>
            <c:numRef>
              <c:f>'Results ReCiPe (E) - CC'!$AC$333:$BA$333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CC'!$AC$340:$BA$340</c:f>
              <c:numCache>
                <c:formatCode>0.00E+00</c:formatCode>
                <c:ptCount val="25"/>
                <c:pt idx="0">
                  <c:v>2947.6048134142857</c:v>
                </c:pt>
                <c:pt idx="1">
                  <c:v>2875.4433964913874</c:v>
                </c:pt>
                <c:pt idx="2">
                  <c:v>2802.700215815657</c:v>
                </c:pt>
                <c:pt idx="3">
                  <c:v>2707.0710983302165</c:v>
                </c:pt>
                <c:pt idx="4">
                  <c:v>2633.4162460502762</c:v>
                </c:pt>
                <c:pt idx="5">
                  <c:v>2559.2076926834297</c:v>
                </c:pt>
                <c:pt idx="6">
                  <c:v>2493.3123381199803</c:v>
                </c:pt>
                <c:pt idx="7">
                  <c:v>2432.1319445093518</c:v>
                </c:pt>
                <c:pt idx="8">
                  <c:v>2359.4989093427757</c:v>
                </c:pt>
                <c:pt idx="9">
                  <c:v>2300.7230748106208</c:v>
                </c:pt>
                <c:pt idx="10">
                  <c:v>2241.6865364109722</c:v>
                </c:pt>
                <c:pt idx="11">
                  <c:v>2185.6657940770483</c:v>
                </c:pt>
                <c:pt idx="12">
                  <c:v>2130.3490110859411</c:v>
                </c:pt>
                <c:pt idx="13">
                  <c:v>2072.1680135798338</c:v>
                </c:pt>
                <c:pt idx="14">
                  <c:v>2018.359248315476</c:v>
                </c:pt>
                <c:pt idx="15">
                  <c:v>1965.3781997069775</c:v>
                </c:pt>
                <c:pt idx="16">
                  <c:v>1927.7113542516063</c:v>
                </c:pt>
                <c:pt idx="17">
                  <c:v>1890.9420189975326</c:v>
                </c:pt>
                <c:pt idx="18">
                  <c:v>1852.1894811577463</c:v>
                </c:pt>
                <c:pt idx="19">
                  <c:v>1817.6464687958078</c:v>
                </c:pt>
                <c:pt idx="20">
                  <c:v>1784.9958411776861</c:v>
                </c:pt>
                <c:pt idx="21">
                  <c:v>1775.3971663035254</c:v>
                </c:pt>
                <c:pt idx="22">
                  <c:v>1765.5834265598617</c:v>
                </c:pt>
                <c:pt idx="23">
                  <c:v>1755.8666965696184</c:v>
                </c:pt>
                <c:pt idx="24">
                  <c:v>1746.2532938235231</c:v>
                </c:pt>
              </c:numCache>
            </c:numRef>
          </c:val>
          <c:extLst>
            <c:ext xmlns:c16="http://schemas.microsoft.com/office/drawing/2014/chart" uri="{C3380CC4-5D6E-409C-BE32-E72D297353CC}">
              <c16:uniqueId val="{00000006-0C68-471C-8D00-AAB82B07DFFE}"/>
            </c:ext>
          </c:extLst>
        </c:ser>
        <c:ser>
          <c:idx val="7"/>
          <c:order val="7"/>
          <c:tx>
            <c:strRef>
              <c:f>'Results ReCiPe (E) - CC'!$AB$341</c:f>
              <c:strCache>
                <c:ptCount val="1"/>
                <c:pt idx="0">
                  <c:v>Operation - geological storage</c:v>
                </c:pt>
              </c:strCache>
            </c:strRef>
          </c:tx>
          <c:spPr>
            <a:solidFill>
              <a:schemeClr val="accent2">
                <a:lumMod val="50000"/>
              </a:schemeClr>
            </a:solidFill>
            <a:ln>
              <a:noFill/>
            </a:ln>
            <a:effectLst/>
          </c:spPr>
          <c:invertIfNegative val="0"/>
          <c:cat>
            <c:numRef>
              <c:f>'Results ReCiPe (E) - CC'!$AC$333:$BA$333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CC'!$AC$341:$BA$341</c:f>
              <c:numCache>
                <c:formatCode>0.00E+00</c:formatCode>
                <c:ptCount val="25"/>
                <c:pt idx="0">
                  <c:v>1175.8570819721415</c:v>
                </c:pt>
                <c:pt idx="1">
                  <c:v>1095.0836884170221</c:v>
                </c:pt>
                <c:pt idx="2">
                  <c:v>1014.6952036333475</c:v>
                </c:pt>
                <c:pt idx="3">
                  <c:v>933.39557883791497</c:v>
                </c:pt>
                <c:pt idx="4">
                  <c:v>853.75131164631148</c:v>
                </c:pt>
                <c:pt idx="5">
                  <c:v>774.46615372349243</c:v>
                </c:pt>
                <c:pt idx="6">
                  <c:v>710.44949211098447</c:v>
                </c:pt>
                <c:pt idx="7">
                  <c:v>646.66542869712396</c:v>
                </c:pt>
                <c:pt idx="8">
                  <c:v>582.05644386366396</c:v>
                </c:pt>
                <c:pt idx="9">
                  <c:v>518.58663265738755</c:v>
                </c:pt>
                <c:pt idx="10">
                  <c:v>455.2498156158195</c:v>
                </c:pt>
                <c:pt idx="11">
                  <c:v>404.3988621223333</c:v>
                </c:pt>
                <c:pt idx="12">
                  <c:v>353.37435262101695</c:v>
                </c:pt>
                <c:pt idx="13">
                  <c:v>301.96459533917744</c:v>
                </c:pt>
                <c:pt idx="14">
                  <c:v>250.59812905632833</c:v>
                </c:pt>
                <c:pt idx="15">
                  <c:v>199.0629724363223</c:v>
                </c:pt>
                <c:pt idx="16">
                  <c:v>170.22170846184613</c:v>
                </c:pt>
                <c:pt idx="17">
                  <c:v>141.31054918583305</c:v>
                </c:pt>
                <c:pt idx="18">
                  <c:v>112.1528756953341</c:v>
                </c:pt>
                <c:pt idx="19">
                  <c:v>83.10925203013025</c:v>
                </c:pt>
                <c:pt idx="20">
                  <c:v>54.010782842374105</c:v>
                </c:pt>
                <c:pt idx="21">
                  <c:v>43.794140612430724</c:v>
                </c:pt>
                <c:pt idx="22">
                  <c:v>33.481459554403983</c:v>
                </c:pt>
                <c:pt idx="23">
                  <c:v>23.166611532206225</c:v>
                </c:pt>
                <c:pt idx="24">
                  <c:v>12.848766854404134</c:v>
                </c:pt>
              </c:numCache>
            </c:numRef>
          </c:val>
          <c:extLst>
            <c:ext xmlns:c16="http://schemas.microsoft.com/office/drawing/2014/chart" uri="{C3380CC4-5D6E-409C-BE32-E72D297353CC}">
              <c16:uniqueId val="{00000007-0C68-471C-8D00-AAB82B07DFFE}"/>
            </c:ext>
          </c:extLst>
        </c:ser>
        <c:ser>
          <c:idx val="8"/>
          <c:order val="8"/>
          <c:tx>
            <c:strRef>
              <c:f>'Results ReCiPe (E) - CC'!$AB$342</c:f>
              <c:strCache>
                <c:ptCount val="1"/>
                <c:pt idx="0">
                  <c:v>CO2 captured and stored</c:v>
                </c:pt>
              </c:strCache>
            </c:strRef>
          </c:tx>
          <c:spPr>
            <a:solidFill>
              <a:schemeClr val="tx2">
                <a:lumMod val="20000"/>
                <a:lumOff val="80000"/>
              </a:schemeClr>
            </a:solidFill>
            <a:ln>
              <a:noFill/>
            </a:ln>
            <a:effectLst/>
          </c:spPr>
          <c:invertIfNegative val="0"/>
          <c:cat>
            <c:numRef>
              <c:f>'Results ReCiPe (E) - CC'!$AC$333:$BA$333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CC'!$AC$342:$BA$342</c:f>
              <c:numCache>
                <c:formatCode>0.00E+00</c:formatCode>
                <c:ptCount val="25"/>
                <c:pt idx="0">
                  <c:v>-50000</c:v>
                </c:pt>
                <c:pt idx="1">
                  <c:v>-50000</c:v>
                </c:pt>
                <c:pt idx="2">
                  <c:v>-50000</c:v>
                </c:pt>
                <c:pt idx="3">
                  <c:v>-50000</c:v>
                </c:pt>
                <c:pt idx="4">
                  <c:v>-50000</c:v>
                </c:pt>
                <c:pt idx="5">
                  <c:v>-50000</c:v>
                </c:pt>
                <c:pt idx="6">
                  <c:v>-50000</c:v>
                </c:pt>
                <c:pt idx="7">
                  <c:v>-50000</c:v>
                </c:pt>
                <c:pt idx="8">
                  <c:v>-50000</c:v>
                </c:pt>
                <c:pt idx="9">
                  <c:v>-50000</c:v>
                </c:pt>
                <c:pt idx="10">
                  <c:v>-50000</c:v>
                </c:pt>
                <c:pt idx="11">
                  <c:v>-50000</c:v>
                </c:pt>
                <c:pt idx="12">
                  <c:v>-50000</c:v>
                </c:pt>
                <c:pt idx="13">
                  <c:v>-50000</c:v>
                </c:pt>
                <c:pt idx="14">
                  <c:v>-50000</c:v>
                </c:pt>
                <c:pt idx="15">
                  <c:v>-50000</c:v>
                </c:pt>
                <c:pt idx="16">
                  <c:v>-50000</c:v>
                </c:pt>
                <c:pt idx="17">
                  <c:v>-50000</c:v>
                </c:pt>
                <c:pt idx="18">
                  <c:v>-50000</c:v>
                </c:pt>
                <c:pt idx="19">
                  <c:v>-50000</c:v>
                </c:pt>
                <c:pt idx="20">
                  <c:v>-50000</c:v>
                </c:pt>
                <c:pt idx="21">
                  <c:v>-50000</c:v>
                </c:pt>
                <c:pt idx="22">
                  <c:v>-50000</c:v>
                </c:pt>
                <c:pt idx="23">
                  <c:v>-50000</c:v>
                </c:pt>
                <c:pt idx="24">
                  <c:v>-50000</c:v>
                </c:pt>
              </c:numCache>
            </c:numRef>
          </c:val>
          <c:extLst>
            <c:ext xmlns:c16="http://schemas.microsoft.com/office/drawing/2014/chart" uri="{C3380CC4-5D6E-409C-BE32-E72D297353CC}">
              <c16:uniqueId val="{00000008-0C68-471C-8D00-AAB82B07DFFE}"/>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(E) - CC'!$AB$343</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cat>
            <c:numRef>
              <c:f>'Results ReCiPe (E) - CC'!$AC$333:$BA$333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CC'!$AC$343:$BA$343</c:f>
              <c:numCache>
                <c:formatCode>0.00E+00</c:formatCode>
                <c:ptCount val="25"/>
                <c:pt idx="0">
                  <c:v>-15201.066475409309</c:v>
                </c:pt>
                <c:pt idx="1">
                  <c:v>-42389.754533928055</c:v>
                </c:pt>
                <c:pt idx="2">
                  <c:v>-42542.88619938746</c:v>
                </c:pt>
                <c:pt idx="3">
                  <c:v>-41751.43678377074</c:v>
                </c:pt>
                <c:pt idx="4">
                  <c:v>-42873.114061139881</c:v>
                </c:pt>
                <c:pt idx="5">
                  <c:v>-43026.607772429546</c:v>
                </c:pt>
                <c:pt idx="6">
                  <c:v>-42221.295094746427</c:v>
                </c:pt>
                <c:pt idx="7">
                  <c:v>-43281.484245629988</c:v>
                </c:pt>
                <c:pt idx="8">
                  <c:v>-43418.726265630023</c:v>
                </c:pt>
                <c:pt idx="9">
                  <c:v>-42648.141872677479</c:v>
                </c:pt>
                <c:pt idx="10">
                  <c:v>-43663.345266809672</c:v>
                </c:pt>
                <c:pt idx="11">
                  <c:v>-43770.216962637081</c:v>
                </c:pt>
                <c:pt idx="12">
                  <c:v>-43031.616663368375</c:v>
                </c:pt>
                <c:pt idx="13">
                  <c:v>-43986.149009917455</c:v>
                </c:pt>
                <c:pt idx="14">
                  <c:v>-44091.324241464659</c:v>
                </c:pt>
                <c:pt idx="15">
                  <c:v>-43402.92151588462</c:v>
                </c:pt>
                <c:pt idx="16">
                  <c:v>-44262.348556123012</c:v>
                </c:pt>
                <c:pt idx="17">
                  <c:v>-44328.029050653102</c:v>
                </c:pt>
                <c:pt idx="18">
                  <c:v>-43640.017570818243</c:v>
                </c:pt>
                <c:pt idx="19">
                  <c:v>-44459.525898010528</c:v>
                </c:pt>
                <c:pt idx="20">
                  <c:v>-44521.274994816406</c:v>
                </c:pt>
                <c:pt idx="21">
                  <c:v>-43811.342232798277</c:v>
                </c:pt>
                <c:pt idx="22">
                  <c:v>-44561.216732722198</c:v>
                </c:pt>
                <c:pt idx="23">
                  <c:v>-44581.248310734642</c:v>
                </c:pt>
                <c:pt idx="24">
                  <c:v>-43396.483516545413</c:v>
                </c:pt>
              </c:numCache>
            </c:numRef>
          </c:val>
          <c:smooth val="0"/>
          <c:extLst>
            <c:ext xmlns:c16="http://schemas.microsoft.com/office/drawing/2014/chart" uri="{C3380CC4-5D6E-409C-BE32-E72D297353CC}">
              <c16:uniqueId val="{00000009-0C68-471C-8D00-AAB82B07DFFE}"/>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Climate change</a:t>
                </a:r>
              </a:p>
              <a:p>
                <a:pPr algn="ctr" rtl="0">
                  <a:defRPr/>
                </a:pPr>
                <a:r>
                  <a:rPr lang="nl-NL"/>
                  <a:t>[kg CO2-eq/ton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(E) - CC'!$AB$395</c:f>
              <c:strCache>
                <c:ptCount val="1"/>
                <c:pt idx="0">
                  <c:v>Construction - DAC</c:v>
                </c:pt>
              </c:strCache>
            </c:strRef>
          </c:tx>
          <c:spPr>
            <a:solidFill>
              <a:schemeClr val="accent4">
                <a:lumMod val="75000"/>
              </a:schemeClr>
            </a:solidFill>
            <a:ln>
              <a:noFill/>
            </a:ln>
            <a:effectLst/>
          </c:spPr>
          <c:invertIfNegative val="0"/>
          <c:cat>
            <c:numRef>
              <c:f>'Results ReCiPe (E) - CC'!$AC$394:$BA$394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CC'!$AC$395:$BA$395</c:f>
              <c:numCache>
                <c:formatCode>0.00E+00</c:formatCode>
                <c:ptCount val="25"/>
                <c:pt idx="0">
                  <c:v>17991.627580934706</c:v>
                </c:pt>
              </c:numCache>
            </c:numRef>
          </c:val>
          <c:extLst>
            <c:ext xmlns:c16="http://schemas.microsoft.com/office/drawing/2014/chart" uri="{C3380CC4-5D6E-409C-BE32-E72D297353CC}">
              <c16:uniqueId val="{00000000-385A-4DF7-B1F1-991585ED77F2}"/>
            </c:ext>
          </c:extLst>
        </c:ser>
        <c:ser>
          <c:idx val="1"/>
          <c:order val="1"/>
          <c:tx>
            <c:strRef>
              <c:f>'Results ReCiPe (E) - CC'!$AB$396</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(E) - CC'!$AC$394:$BA$394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CC'!$AC$396:$BA$396</c:f>
              <c:numCache>
                <c:formatCode>0.00E+00</c:formatCode>
                <c:ptCount val="25"/>
                <c:pt idx="0">
                  <c:v>903.49860297999123</c:v>
                </c:pt>
              </c:numCache>
            </c:numRef>
          </c:val>
          <c:extLst>
            <c:ext xmlns:c16="http://schemas.microsoft.com/office/drawing/2014/chart" uri="{C3380CC4-5D6E-409C-BE32-E72D297353CC}">
              <c16:uniqueId val="{00000001-385A-4DF7-B1F1-991585ED77F2}"/>
            </c:ext>
          </c:extLst>
        </c:ser>
        <c:ser>
          <c:idx val="2"/>
          <c:order val="2"/>
          <c:tx>
            <c:strRef>
              <c:f>'Results ReCiPe (E) - CC'!$AB$397</c:f>
              <c:strCache>
                <c:ptCount val="1"/>
                <c:pt idx="0">
                  <c:v>Deconstruction - DAC</c:v>
                </c:pt>
              </c:strCache>
            </c:strRef>
          </c:tx>
          <c:spPr>
            <a:solidFill>
              <a:schemeClr val="accent2">
                <a:lumMod val="40000"/>
                <a:lumOff val="60000"/>
              </a:schemeClr>
            </a:solidFill>
            <a:ln>
              <a:noFill/>
            </a:ln>
            <a:effectLst/>
          </c:spPr>
          <c:invertIfNegative val="0"/>
          <c:cat>
            <c:numRef>
              <c:f>'Results ReCiPe (E) - CC'!$AC$394:$BA$394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CC'!$AC$397:$BA$397</c:f>
              <c:numCache>
                <c:formatCode>0.00E+00</c:formatCode>
                <c:ptCount val="25"/>
                <c:pt idx="24">
                  <c:v>401.67894942234688</c:v>
                </c:pt>
              </c:numCache>
            </c:numRef>
          </c:val>
          <c:extLst>
            <c:ext xmlns:c16="http://schemas.microsoft.com/office/drawing/2014/chart" uri="{C3380CC4-5D6E-409C-BE32-E72D297353CC}">
              <c16:uniqueId val="{00000002-385A-4DF7-B1F1-991585ED77F2}"/>
            </c:ext>
          </c:extLst>
        </c:ser>
        <c:ser>
          <c:idx val="3"/>
          <c:order val="3"/>
          <c:tx>
            <c:strRef>
              <c:f>'Results ReCiPe (E) - CC'!$AB$398</c:f>
              <c:strCache>
                <c:ptCount val="1"/>
                <c:pt idx="0">
                  <c:v>Deconstruction - geological storage</c:v>
                </c:pt>
              </c:strCache>
            </c:strRef>
          </c:tx>
          <c:spPr>
            <a:solidFill>
              <a:srgbClr val="FF9900"/>
            </a:solidFill>
            <a:ln>
              <a:noFill/>
            </a:ln>
            <a:effectLst/>
          </c:spPr>
          <c:invertIfNegative val="0"/>
          <c:cat>
            <c:numRef>
              <c:f>'Results ReCiPe (E) - CC'!$AC$394:$BA$394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CC'!$AC$398:$BA$398</c:f>
              <c:numCache>
                <c:formatCode>0.00E+00</c:formatCode>
                <c:ptCount val="25"/>
                <c:pt idx="24">
                  <c:v>9.3672741548579719</c:v>
                </c:pt>
              </c:numCache>
            </c:numRef>
          </c:val>
          <c:extLst>
            <c:ext xmlns:c16="http://schemas.microsoft.com/office/drawing/2014/chart" uri="{C3380CC4-5D6E-409C-BE32-E72D297353CC}">
              <c16:uniqueId val="{00000003-385A-4DF7-B1F1-991585ED77F2}"/>
            </c:ext>
          </c:extLst>
        </c:ser>
        <c:ser>
          <c:idx val="4"/>
          <c:order val="4"/>
          <c:tx>
            <c:strRef>
              <c:f>'Results ReCiPe (E) - CC'!$AB$399</c:f>
              <c:strCache>
                <c:ptCount val="1"/>
                <c:pt idx="0">
                  <c:v>Sorbent material</c:v>
                </c:pt>
              </c:strCache>
            </c:strRef>
          </c:tx>
          <c:spPr>
            <a:solidFill>
              <a:srgbClr val="FF8F8F"/>
            </a:solidFill>
            <a:ln>
              <a:noFill/>
            </a:ln>
            <a:effectLst/>
          </c:spPr>
          <c:invertIfNegative val="0"/>
          <c:cat>
            <c:numRef>
              <c:f>'Results ReCiPe (E) - CC'!$AC$394:$BA$394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CC'!$AC$399:$BA$399</c:f>
              <c:numCache>
                <c:formatCode>0.00E+00</c:formatCode>
                <c:ptCount val="25"/>
                <c:pt idx="0">
                  <c:v>836.15304835919005</c:v>
                </c:pt>
                <c:pt idx="3">
                  <c:v>776.29424088243638</c:v>
                </c:pt>
                <c:pt idx="6">
                  <c:v>732.22544703005042</c:v>
                </c:pt>
                <c:pt idx="9">
                  <c:v>713.55013307811748</c:v>
                </c:pt>
                <c:pt idx="12">
                  <c:v>704.9299374269367</c:v>
                </c:pt>
                <c:pt idx="15">
                  <c:v>699.39372002031462</c:v>
                </c:pt>
                <c:pt idx="18">
                  <c:v>693.68200539906138</c:v>
                </c:pt>
                <c:pt idx="21">
                  <c:v>688.82780991828383</c:v>
                </c:pt>
                <c:pt idx="24">
                  <c:v>684.38892527547046</c:v>
                </c:pt>
              </c:numCache>
            </c:numRef>
          </c:val>
          <c:extLst>
            <c:ext xmlns:c16="http://schemas.microsoft.com/office/drawing/2014/chart" uri="{C3380CC4-5D6E-409C-BE32-E72D297353CC}">
              <c16:uniqueId val="{00000004-385A-4DF7-B1F1-991585ED77F2}"/>
            </c:ext>
          </c:extLst>
        </c:ser>
        <c:ser>
          <c:idx val="5"/>
          <c:order val="5"/>
          <c:tx>
            <c:strRef>
              <c:f>'Results ReCiPe (E) - CC'!$AB$400</c:f>
              <c:strCache>
                <c:ptCount val="1"/>
                <c:pt idx="0">
                  <c:v>Battery</c:v>
                </c:pt>
              </c:strCache>
            </c:strRef>
          </c:tx>
          <c:spPr>
            <a:solidFill>
              <a:schemeClr val="accent6">
                <a:lumMod val="50000"/>
              </a:schemeClr>
            </a:solidFill>
            <a:ln>
              <a:noFill/>
            </a:ln>
            <a:effectLst/>
          </c:spPr>
          <c:invertIfNegative val="0"/>
          <c:cat>
            <c:numRef>
              <c:f>'Results ReCiPe (E) - CC'!$AC$394:$BA$394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CC'!$AC$400:$BA$400</c:f>
              <c:numCache>
                <c:formatCode>0.00E+00</c:formatCode>
                <c:ptCount val="25"/>
                <c:pt idx="0">
                  <c:v>349.3150684931507</c:v>
                </c:pt>
                <c:pt idx="1">
                  <c:v>349.3150684931507</c:v>
                </c:pt>
                <c:pt idx="2">
                  <c:v>349.3150684931507</c:v>
                </c:pt>
                <c:pt idx="3">
                  <c:v>349.3150684931507</c:v>
                </c:pt>
                <c:pt idx="4">
                  <c:v>349.3150684931507</c:v>
                </c:pt>
                <c:pt idx="5">
                  <c:v>349.3150684931507</c:v>
                </c:pt>
                <c:pt idx="6">
                  <c:v>349.3150684931507</c:v>
                </c:pt>
                <c:pt idx="7">
                  <c:v>349.3150684931507</c:v>
                </c:pt>
                <c:pt idx="8">
                  <c:v>349.3150684931507</c:v>
                </c:pt>
                <c:pt idx="9">
                  <c:v>349.3150684931507</c:v>
                </c:pt>
                <c:pt idx="10">
                  <c:v>349.3150684931507</c:v>
                </c:pt>
                <c:pt idx="11">
                  <c:v>349.3150684931507</c:v>
                </c:pt>
                <c:pt idx="12">
                  <c:v>349.3150684931507</c:v>
                </c:pt>
                <c:pt idx="13">
                  <c:v>349.3150684931507</c:v>
                </c:pt>
                <c:pt idx="14">
                  <c:v>349.3150684931507</c:v>
                </c:pt>
                <c:pt idx="15">
                  <c:v>349.3150684931507</c:v>
                </c:pt>
                <c:pt idx="16">
                  <c:v>349.3150684931507</c:v>
                </c:pt>
                <c:pt idx="17">
                  <c:v>349.3150684931507</c:v>
                </c:pt>
                <c:pt idx="18">
                  <c:v>349.3150684931507</c:v>
                </c:pt>
                <c:pt idx="19">
                  <c:v>349.3150684931507</c:v>
                </c:pt>
                <c:pt idx="20">
                  <c:v>349.3150684931507</c:v>
                </c:pt>
                <c:pt idx="21">
                  <c:v>349.3150684931507</c:v>
                </c:pt>
                <c:pt idx="22">
                  <c:v>349.3150684931507</c:v>
                </c:pt>
                <c:pt idx="23">
                  <c:v>349.3150684931507</c:v>
                </c:pt>
                <c:pt idx="24">
                  <c:v>349.3150684931507</c:v>
                </c:pt>
              </c:numCache>
            </c:numRef>
          </c:val>
          <c:extLst>
            <c:ext xmlns:c16="http://schemas.microsoft.com/office/drawing/2014/chart" uri="{C3380CC4-5D6E-409C-BE32-E72D297353CC}">
              <c16:uniqueId val="{00000005-385A-4DF7-B1F1-991585ED77F2}"/>
            </c:ext>
          </c:extLst>
        </c:ser>
        <c:ser>
          <c:idx val="6"/>
          <c:order val="6"/>
          <c:tx>
            <c:strRef>
              <c:f>'Results ReCiPe (E) - CC'!$AB$401</c:f>
              <c:strCache>
                <c:ptCount val="1"/>
                <c:pt idx="0">
                  <c:v>Operation - DAC</c:v>
                </c:pt>
              </c:strCache>
            </c:strRef>
          </c:tx>
          <c:spPr>
            <a:solidFill>
              <a:schemeClr val="accent2">
                <a:lumMod val="75000"/>
              </a:schemeClr>
            </a:solidFill>
            <a:ln>
              <a:noFill/>
            </a:ln>
            <a:effectLst/>
          </c:spPr>
          <c:invertIfNegative val="0"/>
          <c:cat>
            <c:numRef>
              <c:f>'Results ReCiPe (E) - CC'!$AC$394:$BA$394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CC'!$AC$401:$BA$401</c:f>
              <c:numCache>
                <c:formatCode>0.00E+00</c:formatCode>
                <c:ptCount val="25"/>
                <c:pt idx="0">
                  <c:v>2347.6229371844638</c:v>
                </c:pt>
                <c:pt idx="1">
                  <c:v>2243.8341691745372</c:v>
                </c:pt>
                <c:pt idx="2">
                  <c:v>2139.8789929477448</c:v>
                </c:pt>
                <c:pt idx="3">
                  <c:v>2014.7738293817249</c:v>
                </c:pt>
                <c:pt idx="4">
                  <c:v>1909.0577899078921</c:v>
                </c:pt>
                <c:pt idx="5">
                  <c:v>1802.8819044374482</c:v>
                </c:pt>
                <c:pt idx="6">
                  <c:v>1762.6450073294559</c:v>
                </c:pt>
                <c:pt idx="7">
                  <c:v>1722.8579579709822</c:v>
                </c:pt>
                <c:pt idx="8">
                  <c:v>1672.1189939557141</c:v>
                </c:pt>
                <c:pt idx="9">
                  <c:v>1633.4022366238937</c:v>
                </c:pt>
                <c:pt idx="10">
                  <c:v>1595.2396141236154</c:v>
                </c:pt>
                <c:pt idx="11">
                  <c:v>1576.2571982240559</c:v>
                </c:pt>
                <c:pt idx="12">
                  <c:v>1557.7124486079831</c:v>
                </c:pt>
                <c:pt idx="13">
                  <c:v>1536.5381453573559</c:v>
                </c:pt>
                <c:pt idx="14">
                  <c:v>1518.5446658705653</c:v>
                </c:pt>
                <c:pt idx="15">
                  <c:v>1500.7018621344994</c:v>
                </c:pt>
                <c:pt idx="16">
                  <c:v>1486.6680988187413</c:v>
                </c:pt>
                <c:pt idx="17">
                  <c:v>1472.9247190246597</c:v>
                </c:pt>
                <c:pt idx="18">
                  <c:v>1457.3826846455781</c:v>
                </c:pt>
                <c:pt idx="19">
                  <c:v>1444.1670300351816</c:v>
                </c:pt>
                <c:pt idx="20">
                  <c:v>1430.953012380395</c:v>
                </c:pt>
                <c:pt idx="21">
                  <c:v>1423.3725452530432</c:v>
                </c:pt>
                <c:pt idx="22">
                  <c:v>1415.6640246309221</c:v>
                </c:pt>
                <c:pt idx="23">
                  <c:v>1408.06415420645</c:v>
                </c:pt>
                <c:pt idx="24">
                  <c:v>1400.5713066596938</c:v>
                </c:pt>
              </c:numCache>
            </c:numRef>
          </c:val>
          <c:extLst>
            <c:ext xmlns:c16="http://schemas.microsoft.com/office/drawing/2014/chart" uri="{C3380CC4-5D6E-409C-BE32-E72D297353CC}">
              <c16:uniqueId val="{00000006-385A-4DF7-B1F1-991585ED77F2}"/>
            </c:ext>
          </c:extLst>
        </c:ser>
        <c:ser>
          <c:idx val="7"/>
          <c:order val="7"/>
          <c:tx>
            <c:strRef>
              <c:f>'Results ReCiPe (E) - CC'!$AB$402</c:f>
              <c:strCache>
                <c:ptCount val="1"/>
                <c:pt idx="0">
                  <c:v>Operation - geological storage</c:v>
                </c:pt>
              </c:strCache>
            </c:strRef>
          </c:tx>
          <c:spPr>
            <a:solidFill>
              <a:schemeClr val="accent2">
                <a:lumMod val="50000"/>
              </a:schemeClr>
            </a:solidFill>
            <a:ln>
              <a:noFill/>
            </a:ln>
            <a:effectLst/>
          </c:spPr>
          <c:invertIfNegative val="0"/>
          <c:cat>
            <c:numRef>
              <c:f>'Results ReCiPe (E) - CC'!$AC$394:$BA$394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CC'!$AC$402:$BA$402</c:f>
              <c:numCache>
                <c:formatCode>0.00E+00</c:formatCode>
                <c:ptCount val="25"/>
                <c:pt idx="0">
                  <c:v>532.08938693613152</c:v>
                </c:pt>
                <c:pt idx="1">
                  <c:v>443.85075030331836</c:v>
                </c:pt>
                <c:pt idx="2">
                  <c:v>356.14144709558786</c:v>
                </c:pt>
                <c:pt idx="3">
                  <c:v>267.5723830803438</c:v>
                </c:pt>
                <c:pt idx="4">
                  <c:v>180.80552165977335</c:v>
                </c:pt>
                <c:pt idx="5">
                  <c:v>94.504503960975811</c:v>
                </c:pt>
                <c:pt idx="6">
                  <c:v>67.911041033505555</c:v>
                </c:pt>
                <c:pt idx="7">
                  <c:v>41.322654073257489</c:v>
                </c:pt>
                <c:pt idx="8">
                  <c:v>13.589399953696704</c:v>
                </c:pt>
                <c:pt idx="9">
                  <c:v>-13.0194342576086</c:v>
                </c:pt>
                <c:pt idx="10">
                  <c:v>-39.625733879129662</c:v>
                </c:pt>
                <c:pt idx="11">
                  <c:v>-56.102314533318399</c:v>
                </c:pt>
                <c:pt idx="12">
                  <c:v>-72.558984566528594</c:v>
                </c:pt>
                <c:pt idx="13">
                  <c:v>-89.211919215675351</c:v>
                </c:pt>
                <c:pt idx="14">
                  <c:v>-105.62646747777475</c:v>
                </c:pt>
                <c:pt idx="15">
                  <c:v>-122.02718586536454</c:v>
                </c:pt>
                <c:pt idx="16">
                  <c:v>-143.09202595055086</c:v>
                </c:pt>
                <c:pt idx="17">
                  <c:v>-164.1801736564002</c:v>
                </c:pt>
                <c:pt idx="18">
                  <c:v>-185.43536284784031</c:v>
                </c:pt>
                <c:pt idx="19">
                  <c:v>-206.55795838299449</c:v>
                </c:pt>
                <c:pt idx="20">
                  <c:v>-227.70184558391753</c:v>
                </c:pt>
                <c:pt idx="21">
                  <c:v>-247.41223256225203</c:v>
                </c:pt>
                <c:pt idx="22">
                  <c:v>-267.17082327792787</c:v>
                </c:pt>
                <c:pt idx="23">
                  <c:v>-286.92351961563298</c:v>
                </c:pt>
                <c:pt idx="24">
                  <c:v>-306.67098890504542</c:v>
                </c:pt>
              </c:numCache>
            </c:numRef>
          </c:val>
          <c:extLst>
            <c:ext xmlns:c16="http://schemas.microsoft.com/office/drawing/2014/chart" uri="{C3380CC4-5D6E-409C-BE32-E72D297353CC}">
              <c16:uniqueId val="{00000007-385A-4DF7-B1F1-991585ED77F2}"/>
            </c:ext>
          </c:extLst>
        </c:ser>
        <c:ser>
          <c:idx val="8"/>
          <c:order val="8"/>
          <c:tx>
            <c:strRef>
              <c:f>'Results ReCiPe (E) - CC'!$AB$403</c:f>
              <c:strCache>
                <c:ptCount val="1"/>
                <c:pt idx="0">
                  <c:v>CO2 captured and stored</c:v>
                </c:pt>
              </c:strCache>
            </c:strRef>
          </c:tx>
          <c:spPr>
            <a:solidFill>
              <a:schemeClr val="tx2">
                <a:lumMod val="20000"/>
                <a:lumOff val="80000"/>
              </a:schemeClr>
            </a:solidFill>
            <a:ln>
              <a:noFill/>
            </a:ln>
            <a:effectLst/>
          </c:spPr>
          <c:invertIfNegative val="0"/>
          <c:cat>
            <c:numRef>
              <c:f>'Results ReCiPe (E) - CC'!$AC$394:$BA$394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CC'!$AC$403:$BA$403</c:f>
              <c:numCache>
                <c:formatCode>0.00E+00</c:formatCode>
                <c:ptCount val="25"/>
                <c:pt idx="0">
                  <c:v>-50000</c:v>
                </c:pt>
                <c:pt idx="1">
                  <c:v>-50000</c:v>
                </c:pt>
                <c:pt idx="2">
                  <c:v>-50000</c:v>
                </c:pt>
                <c:pt idx="3">
                  <c:v>-50000</c:v>
                </c:pt>
                <c:pt idx="4">
                  <c:v>-50000</c:v>
                </c:pt>
                <c:pt idx="5">
                  <c:v>-50000</c:v>
                </c:pt>
                <c:pt idx="6">
                  <c:v>-50000</c:v>
                </c:pt>
                <c:pt idx="7">
                  <c:v>-50000</c:v>
                </c:pt>
                <c:pt idx="8">
                  <c:v>-50000</c:v>
                </c:pt>
                <c:pt idx="9">
                  <c:v>-50000</c:v>
                </c:pt>
                <c:pt idx="10">
                  <c:v>-50000</c:v>
                </c:pt>
                <c:pt idx="11">
                  <c:v>-50000</c:v>
                </c:pt>
                <c:pt idx="12">
                  <c:v>-50000</c:v>
                </c:pt>
                <c:pt idx="13">
                  <c:v>-50000</c:v>
                </c:pt>
                <c:pt idx="14">
                  <c:v>-50000</c:v>
                </c:pt>
                <c:pt idx="15">
                  <c:v>-50000</c:v>
                </c:pt>
                <c:pt idx="16">
                  <c:v>-50000</c:v>
                </c:pt>
                <c:pt idx="17">
                  <c:v>-50000</c:v>
                </c:pt>
                <c:pt idx="18">
                  <c:v>-50000</c:v>
                </c:pt>
                <c:pt idx="19">
                  <c:v>-50000</c:v>
                </c:pt>
                <c:pt idx="20">
                  <c:v>-50000</c:v>
                </c:pt>
                <c:pt idx="21">
                  <c:v>-50000</c:v>
                </c:pt>
                <c:pt idx="22">
                  <c:v>-50000</c:v>
                </c:pt>
                <c:pt idx="23">
                  <c:v>-50000</c:v>
                </c:pt>
                <c:pt idx="24">
                  <c:v>-50000</c:v>
                </c:pt>
              </c:numCache>
            </c:numRef>
          </c:val>
          <c:extLst>
            <c:ext xmlns:c16="http://schemas.microsoft.com/office/drawing/2014/chart" uri="{C3380CC4-5D6E-409C-BE32-E72D297353CC}">
              <c16:uniqueId val="{00000008-385A-4DF7-B1F1-991585ED77F2}"/>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(E) - CC'!$AB$404</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cat>
            <c:numRef>
              <c:f>'Results ReCiPe (E) - CC'!$AC$394:$BA$394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CC'!$AC$404:$BA$404</c:f>
              <c:numCache>
                <c:formatCode>0.00E+00</c:formatCode>
                <c:ptCount val="25"/>
                <c:pt idx="0">
                  <c:v>-27039.693375112369</c:v>
                </c:pt>
                <c:pt idx="1">
                  <c:v>-46963.000012028991</c:v>
                </c:pt>
                <c:pt idx="2">
                  <c:v>-47154.664491463518</c:v>
                </c:pt>
                <c:pt idx="3">
                  <c:v>-46592.044478162345</c:v>
                </c:pt>
                <c:pt idx="4">
                  <c:v>-47560.821619939183</c:v>
                </c:pt>
                <c:pt idx="5">
                  <c:v>-47753.298523108424</c:v>
                </c:pt>
                <c:pt idx="6">
                  <c:v>-47087.90343611384</c:v>
                </c:pt>
                <c:pt idx="7">
                  <c:v>-47886.504319462612</c:v>
                </c:pt>
                <c:pt idx="8">
                  <c:v>-47964.976537597438</c:v>
                </c:pt>
                <c:pt idx="9">
                  <c:v>-47316.751996062449</c:v>
                </c:pt>
                <c:pt idx="10">
                  <c:v>-48095.071051262363</c:v>
                </c:pt>
                <c:pt idx="11">
                  <c:v>-48130.530047816115</c:v>
                </c:pt>
                <c:pt idx="12">
                  <c:v>-47460.601530038461</c:v>
                </c:pt>
                <c:pt idx="13">
                  <c:v>-48203.358705365172</c:v>
                </c:pt>
                <c:pt idx="14">
                  <c:v>-48237.766733114062</c:v>
                </c:pt>
                <c:pt idx="15">
                  <c:v>-47572.616535217399</c:v>
                </c:pt>
                <c:pt idx="16">
                  <c:v>-48307.108858638661</c:v>
                </c:pt>
                <c:pt idx="17">
                  <c:v>-48341.940386138587</c:v>
                </c:pt>
                <c:pt idx="18">
                  <c:v>-47685.055604310051</c:v>
                </c:pt>
                <c:pt idx="19">
                  <c:v>-48413.07585985466</c:v>
                </c:pt>
                <c:pt idx="20">
                  <c:v>-48447.433764710375</c:v>
                </c:pt>
                <c:pt idx="21">
                  <c:v>-47785.896808897771</c:v>
                </c:pt>
                <c:pt idx="22">
                  <c:v>-48502.191730153856</c:v>
                </c:pt>
                <c:pt idx="23">
                  <c:v>-48529.544296916036</c:v>
                </c:pt>
                <c:pt idx="24">
                  <c:v>-47461.349464899526</c:v>
                </c:pt>
              </c:numCache>
            </c:numRef>
          </c:val>
          <c:smooth val="0"/>
          <c:extLst>
            <c:ext xmlns:c16="http://schemas.microsoft.com/office/drawing/2014/chart" uri="{C3380CC4-5D6E-409C-BE32-E72D297353CC}">
              <c16:uniqueId val="{00000009-385A-4DF7-B1F1-991585ED77F2}"/>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Climate change</a:t>
                </a:r>
              </a:p>
              <a:p>
                <a:pPr algn="ctr" rtl="0">
                  <a:defRPr/>
                </a:pPr>
                <a:r>
                  <a:rPr lang="nl-NL"/>
                  <a:t>[kg CO2-eq/ton CO2 captured and stored)</a:t>
                </a:r>
                <a:endParaRPr lang="en-NL"/>
              </a:p>
              <a:p>
                <a:pPr algn="ctr" rtl="0">
                  <a:defRPr/>
                </a:pPr>
                <a:endParaRPr lang="nl-NL"/>
              </a:p>
            </c:rich>
          </c:tx>
          <c:layout>
            <c:manualLayout>
              <c:xMode val="edge"/>
              <c:yMode val="edge"/>
              <c:x val="1.1290310966279041E-2"/>
              <c:y val="0.18197602707777921"/>
            </c:manualLayout>
          </c:layout>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(I) - HHD'!$AB$10</c:f>
              <c:strCache>
                <c:ptCount val="1"/>
                <c:pt idx="0">
                  <c:v>Construction - DAC</c:v>
                </c:pt>
              </c:strCache>
            </c:strRef>
          </c:tx>
          <c:spPr>
            <a:solidFill>
              <a:schemeClr val="accent4">
                <a:lumMod val="75000"/>
              </a:schemeClr>
            </a:solidFill>
            <a:ln>
              <a:noFill/>
            </a:ln>
            <a:effectLst/>
          </c:spPr>
          <c:invertIfNegative val="0"/>
          <c:cat>
            <c:numRef>
              <c:f>'Results ReCiPe (I) - HHD'!$AC$9:$BA$9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HHD'!$AC$10:$BA$10</c:f>
              <c:numCache>
                <c:formatCode>0.00E+00</c:formatCode>
                <c:ptCount val="25"/>
                <c:pt idx="0">
                  <c:v>1.7797818670811004E-2</c:v>
                </c:pt>
              </c:numCache>
            </c:numRef>
          </c:val>
          <c:extLst>
            <c:ext xmlns:c16="http://schemas.microsoft.com/office/drawing/2014/chart" uri="{C3380CC4-5D6E-409C-BE32-E72D297353CC}">
              <c16:uniqueId val="{00000000-5A89-4068-8E9D-9E713F0E4431}"/>
            </c:ext>
          </c:extLst>
        </c:ser>
        <c:ser>
          <c:idx val="1"/>
          <c:order val="1"/>
          <c:tx>
            <c:strRef>
              <c:f>'Results ReCiPe (I) - HHD'!$AB$11</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(I) - HHD'!$AC$9:$BA$9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HHD'!$AC$11:$BA$11</c:f>
              <c:numCache>
                <c:formatCode>0.00E+00</c:formatCode>
                <c:ptCount val="25"/>
                <c:pt idx="0">
                  <c:v>1.057067915274905E-3</c:v>
                </c:pt>
              </c:numCache>
            </c:numRef>
          </c:val>
          <c:extLst>
            <c:ext xmlns:c16="http://schemas.microsoft.com/office/drawing/2014/chart" uri="{C3380CC4-5D6E-409C-BE32-E72D297353CC}">
              <c16:uniqueId val="{00000001-5A89-4068-8E9D-9E713F0E4431}"/>
            </c:ext>
          </c:extLst>
        </c:ser>
        <c:ser>
          <c:idx val="2"/>
          <c:order val="2"/>
          <c:tx>
            <c:strRef>
              <c:f>'Results ReCiPe (I) - HHD'!$AB$12</c:f>
              <c:strCache>
                <c:ptCount val="1"/>
                <c:pt idx="0">
                  <c:v>Deconstruction - DAC</c:v>
                </c:pt>
              </c:strCache>
            </c:strRef>
          </c:tx>
          <c:spPr>
            <a:solidFill>
              <a:schemeClr val="accent2">
                <a:lumMod val="40000"/>
                <a:lumOff val="60000"/>
              </a:schemeClr>
            </a:solidFill>
            <a:ln>
              <a:noFill/>
            </a:ln>
            <a:effectLst/>
          </c:spPr>
          <c:invertIfNegative val="0"/>
          <c:cat>
            <c:numRef>
              <c:f>'Results ReCiPe (I) - HHD'!$AC$9:$BA$9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HHD'!$AC$12:$BA$12</c:f>
              <c:numCache>
                <c:formatCode>0.00E+00</c:formatCode>
                <c:ptCount val="25"/>
                <c:pt idx="24">
                  <c:v>1.5084924361783567E-4</c:v>
                </c:pt>
              </c:numCache>
            </c:numRef>
          </c:val>
          <c:extLst>
            <c:ext xmlns:c16="http://schemas.microsoft.com/office/drawing/2014/chart" uri="{C3380CC4-5D6E-409C-BE32-E72D297353CC}">
              <c16:uniqueId val="{00000002-5A89-4068-8E9D-9E713F0E4431}"/>
            </c:ext>
          </c:extLst>
        </c:ser>
        <c:ser>
          <c:idx val="3"/>
          <c:order val="3"/>
          <c:tx>
            <c:strRef>
              <c:f>'Results ReCiPe (I) - HHD'!$AB$13</c:f>
              <c:strCache>
                <c:ptCount val="1"/>
                <c:pt idx="0">
                  <c:v>Deconstruction - geological storage</c:v>
                </c:pt>
              </c:strCache>
            </c:strRef>
          </c:tx>
          <c:spPr>
            <a:solidFill>
              <a:srgbClr val="FF9900"/>
            </a:solidFill>
            <a:ln>
              <a:noFill/>
            </a:ln>
            <a:effectLst/>
          </c:spPr>
          <c:invertIfNegative val="0"/>
          <c:cat>
            <c:numRef>
              <c:f>'Results ReCiPe (I) - HHD'!$AC$9:$BA$9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HHD'!$AC$13:$BA$13</c:f>
              <c:numCache>
                <c:formatCode>0.00E+00</c:formatCode>
                <c:ptCount val="25"/>
                <c:pt idx="24">
                  <c:v>5.1688461306668095E-6</c:v>
                </c:pt>
              </c:numCache>
            </c:numRef>
          </c:val>
          <c:extLst>
            <c:ext xmlns:c16="http://schemas.microsoft.com/office/drawing/2014/chart" uri="{C3380CC4-5D6E-409C-BE32-E72D297353CC}">
              <c16:uniqueId val="{00000003-5A89-4068-8E9D-9E713F0E4431}"/>
            </c:ext>
          </c:extLst>
        </c:ser>
        <c:ser>
          <c:idx val="4"/>
          <c:order val="4"/>
          <c:tx>
            <c:strRef>
              <c:f>'Results ReCiPe (I) - HHD'!$AB$14</c:f>
              <c:strCache>
                <c:ptCount val="1"/>
                <c:pt idx="0">
                  <c:v>Sorbent material</c:v>
                </c:pt>
              </c:strCache>
            </c:strRef>
          </c:tx>
          <c:spPr>
            <a:solidFill>
              <a:srgbClr val="FF8F8F"/>
            </a:solidFill>
            <a:ln>
              <a:noFill/>
            </a:ln>
            <a:effectLst/>
          </c:spPr>
          <c:invertIfNegative val="0"/>
          <c:cat>
            <c:numRef>
              <c:f>'Results ReCiPe (I) - HHD'!$AC$9:$BA$9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HHD'!$AC$14:$BA$14</c:f>
              <c:numCache>
                <c:formatCode>0.00E+00</c:formatCode>
                <c:ptCount val="25"/>
                <c:pt idx="0">
                  <c:v>3.0950823392567891E-4</c:v>
                </c:pt>
                <c:pt idx="3">
                  <c:v>3.0470171244799881E-4</c:v>
                </c:pt>
                <c:pt idx="6">
                  <c:v>3.0220482749963639E-4</c:v>
                </c:pt>
                <c:pt idx="9">
                  <c:v>3.0088082558559647E-4</c:v>
                </c:pt>
                <c:pt idx="12">
                  <c:v>3.0032218865651928E-4</c:v>
                </c:pt>
                <c:pt idx="15">
                  <c:v>2.9975776117043001E-4</c:v>
                </c:pt>
                <c:pt idx="18">
                  <c:v>2.9488735419779449E-4</c:v>
                </c:pt>
                <c:pt idx="21">
                  <c:v>3.0452007285205519E-4</c:v>
                </c:pt>
                <c:pt idx="24">
                  <c:v>2.9772367667854253E-4</c:v>
                </c:pt>
              </c:numCache>
            </c:numRef>
          </c:val>
          <c:extLst>
            <c:ext xmlns:c16="http://schemas.microsoft.com/office/drawing/2014/chart" uri="{C3380CC4-5D6E-409C-BE32-E72D297353CC}">
              <c16:uniqueId val="{00000004-5A89-4068-8E9D-9E713F0E4431}"/>
            </c:ext>
          </c:extLst>
        </c:ser>
        <c:ser>
          <c:idx val="5"/>
          <c:order val="5"/>
          <c:tx>
            <c:strRef>
              <c:f>'Results ReCiPe (I) - HHD'!$AB$15</c:f>
              <c:strCache>
                <c:ptCount val="1"/>
                <c:pt idx="0">
                  <c:v>Operation - DAC</c:v>
                </c:pt>
              </c:strCache>
            </c:strRef>
          </c:tx>
          <c:spPr>
            <a:solidFill>
              <a:schemeClr val="accent2">
                <a:lumMod val="75000"/>
              </a:schemeClr>
            </a:solidFill>
            <a:ln>
              <a:noFill/>
            </a:ln>
            <a:effectLst/>
          </c:spPr>
          <c:invertIfNegative val="0"/>
          <c:cat>
            <c:numRef>
              <c:f>'Results ReCiPe (I) - HHD'!$AC$9:$BA$9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HHD'!$AC$15:$BA$15</c:f>
              <c:numCache>
                <c:formatCode>0.00E+00</c:formatCode>
                <c:ptCount val="25"/>
                <c:pt idx="0">
                  <c:v>8.1843757451045343E-3</c:v>
                </c:pt>
                <c:pt idx="1">
                  <c:v>8.183167088913439E-3</c:v>
                </c:pt>
                <c:pt idx="2">
                  <c:v>8.1609008218352999E-3</c:v>
                </c:pt>
                <c:pt idx="3">
                  <c:v>8.1257248633846927E-3</c:v>
                </c:pt>
                <c:pt idx="4">
                  <c:v>8.0970341069473879E-3</c:v>
                </c:pt>
                <c:pt idx="5">
                  <c:v>8.0683824953632285E-3</c:v>
                </c:pt>
                <c:pt idx="6">
                  <c:v>8.3145443428219619E-3</c:v>
                </c:pt>
                <c:pt idx="7">
                  <c:v>8.5595823774225789E-3</c:v>
                </c:pt>
                <c:pt idx="8">
                  <c:v>8.8011401679052408E-3</c:v>
                </c:pt>
                <c:pt idx="9">
                  <c:v>9.0435159591937039E-3</c:v>
                </c:pt>
                <c:pt idx="10">
                  <c:v>9.2844277756689835E-3</c:v>
                </c:pt>
                <c:pt idx="11">
                  <c:v>9.7584680957714613E-3</c:v>
                </c:pt>
                <c:pt idx="12">
                  <c:v>1.023149638473928E-2</c:v>
                </c:pt>
                <c:pt idx="13">
                  <c:v>1.070302603523589E-2</c:v>
                </c:pt>
                <c:pt idx="14">
                  <c:v>1.117386823033798E-2</c:v>
                </c:pt>
                <c:pt idx="15">
                  <c:v>1.164367695656064E-2</c:v>
                </c:pt>
                <c:pt idx="16">
                  <c:v>1.1648222122417231E-2</c:v>
                </c:pt>
                <c:pt idx="17">
                  <c:v>1.1650966164193789E-2</c:v>
                </c:pt>
                <c:pt idx="18">
                  <c:v>1.165288764507936E-2</c:v>
                </c:pt>
                <c:pt idx="19">
                  <c:v>1.165501116578539E-2</c:v>
                </c:pt>
                <c:pt idx="20">
                  <c:v>1.165687052050482E-2</c:v>
                </c:pt>
                <c:pt idx="21">
                  <c:v>1.17821384509451E-2</c:v>
                </c:pt>
                <c:pt idx="22">
                  <c:v>1.1509816403075589E-2</c:v>
                </c:pt>
                <c:pt idx="23">
                  <c:v>1.123657085773243E-2</c:v>
                </c:pt>
                <c:pt idx="24">
                  <c:v>1.096238891410801E-2</c:v>
                </c:pt>
              </c:numCache>
            </c:numRef>
          </c:val>
          <c:extLst>
            <c:ext xmlns:c16="http://schemas.microsoft.com/office/drawing/2014/chart" uri="{C3380CC4-5D6E-409C-BE32-E72D297353CC}">
              <c16:uniqueId val="{00000005-5A89-4068-8E9D-9E713F0E4431}"/>
            </c:ext>
          </c:extLst>
        </c:ser>
        <c:ser>
          <c:idx val="6"/>
          <c:order val="6"/>
          <c:tx>
            <c:strRef>
              <c:f>'Results ReCiPe (I) - HHD'!$AB$16</c:f>
              <c:strCache>
                <c:ptCount val="1"/>
                <c:pt idx="0">
                  <c:v>Operation - geological storage</c:v>
                </c:pt>
              </c:strCache>
            </c:strRef>
          </c:tx>
          <c:spPr>
            <a:solidFill>
              <a:schemeClr val="accent2">
                <a:lumMod val="50000"/>
              </a:schemeClr>
            </a:solidFill>
            <a:ln>
              <a:noFill/>
            </a:ln>
            <a:effectLst/>
          </c:spPr>
          <c:invertIfNegative val="0"/>
          <c:cat>
            <c:numRef>
              <c:f>'Results ReCiPe (I) - HHD'!$AC$9:$BA$9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HHD'!$AC$16:$BA$16</c:f>
              <c:numCache>
                <c:formatCode>0.00E+00</c:formatCode>
                <c:ptCount val="25"/>
                <c:pt idx="0">
                  <c:v>6.9626821690351197E-4</c:v>
                </c:pt>
                <c:pt idx="1">
                  <c:v>6.9518556264451319E-4</c:v>
                </c:pt>
                <c:pt idx="2">
                  <c:v>6.9249428319766528E-4</c:v>
                </c:pt>
                <c:pt idx="3">
                  <c:v>6.8869480005077379E-4</c:v>
                </c:pt>
                <c:pt idx="4">
                  <c:v>6.8550999698434431E-4</c:v>
                </c:pt>
                <c:pt idx="5">
                  <c:v>6.8233401918268923E-4</c:v>
                </c:pt>
                <c:pt idx="6">
                  <c:v>7.0021464825593938E-4</c:v>
                </c:pt>
                <c:pt idx="7">
                  <c:v>7.1796014035621441E-4</c:v>
                </c:pt>
                <c:pt idx="8">
                  <c:v>7.3535192485880041E-4</c:v>
                </c:pt>
                <c:pt idx="9">
                  <c:v>7.5279176882448622E-4</c:v>
                </c:pt>
                <c:pt idx="10">
                  <c:v>7.700717953665544E-4</c:v>
                </c:pt>
                <c:pt idx="11">
                  <c:v>8.0501827637082738E-4</c:v>
                </c:pt>
                <c:pt idx="12">
                  <c:v>8.3980997825860223E-4</c:v>
                </c:pt>
                <c:pt idx="13">
                  <c:v>8.7439825065709076E-4</c:v>
                </c:pt>
                <c:pt idx="14">
                  <c:v>9.0886900906079994E-4</c:v>
                </c:pt>
                <c:pt idx="15">
                  <c:v>9.4318429539489237E-4</c:v>
                </c:pt>
                <c:pt idx="16">
                  <c:v>9.4256312298396372E-4</c:v>
                </c:pt>
                <c:pt idx="17">
                  <c:v>9.4180553465094536E-4</c:v>
                </c:pt>
                <c:pt idx="18">
                  <c:v>9.4097339760617206E-4</c:v>
                </c:pt>
                <c:pt idx="19">
                  <c:v>9.4016658207743767E-4</c:v>
                </c:pt>
                <c:pt idx="20">
                  <c:v>9.3933858786915186E-4</c:v>
                </c:pt>
                <c:pt idx="21">
                  <c:v>9.4924314679693887E-4</c:v>
                </c:pt>
                <c:pt idx="22">
                  <c:v>9.2724763069335276E-4</c:v>
                </c:pt>
                <c:pt idx="23">
                  <c:v>9.052598912295569E-4</c:v>
                </c:pt>
                <c:pt idx="24">
                  <c:v>8.8327876161998337E-4</c:v>
                </c:pt>
              </c:numCache>
            </c:numRef>
          </c:val>
          <c:extLst>
            <c:ext xmlns:c16="http://schemas.microsoft.com/office/drawing/2014/chart" uri="{C3380CC4-5D6E-409C-BE32-E72D297353CC}">
              <c16:uniqueId val="{00000006-5A89-4068-8E9D-9E713F0E4431}"/>
            </c:ext>
          </c:extLst>
        </c:ser>
        <c:ser>
          <c:idx val="7"/>
          <c:order val="7"/>
          <c:tx>
            <c:strRef>
              <c:f>'Results ReCiPe (I) - HHD'!$AB$17</c:f>
              <c:strCache>
                <c:ptCount val="1"/>
                <c:pt idx="0">
                  <c:v>CO2 captured and stored</c:v>
                </c:pt>
              </c:strCache>
            </c:strRef>
          </c:tx>
          <c:spPr>
            <a:solidFill>
              <a:schemeClr val="tx2">
                <a:lumMod val="20000"/>
                <a:lumOff val="80000"/>
              </a:schemeClr>
            </a:solidFill>
            <a:ln>
              <a:noFill/>
            </a:ln>
            <a:effectLst/>
          </c:spPr>
          <c:invertIfNegative val="0"/>
          <c:cat>
            <c:numRef>
              <c:f>'Results ReCiPe (I) - HHD'!$AC$9:$BA$9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HHD'!$AC$17:$BA$17</c:f>
              <c:numCache>
                <c:formatCode>0.00E+00</c:formatCode>
                <c:ptCount val="25"/>
                <c:pt idx="0">
                  <c:v>-8.1199999999999987E-3</c:v>
                </c:pt>
                <c:pt idx="1">
                  <c:v>-8.1199999999999987E-3</c:v>
                </c:pt>
                <c:pt idx="2">
                  <c:v>-8.1199999999999987E-3</c:v>
                </c:pt>
                <c:pt idx="3">
                  <c:v>-8.1199999999999987E-3</c:v>
                </c:pt>
                <c:pt idx="4">
                  <c:v>-8.1199999999999987E-3</c:v>
                </c:pt>
                <c:pt idx="5">
                  <c:v>-8.1199999999999987E-3</c:v>
                </c:pt>
                <c:pt idx="6">
                  <c:v>-8.1199999999999987E-3</c:v>
                </c:pt>
                <c:pt idx="7">
                  <c:v>-8.1199999999999987E-3</c:v>
                </c:pt>
                <c:pt idx="8">
                  <c:v>-8.1199999999999987E-3</c:v>
                </c:pt>
                <c:pt idx="9">
                  <c:v>-8.1199999999999987E-3</c:v>
                </c:pt>
                <c:pt idx="10">
                  <c:v>-8.1199999999999987E-3</c:v>
                </c:pt>
                <c:pt idx="11">
                  <c:v>-8.1199999999999987E-3</c:v>
                </c:pt>
                <c:pt idx="12">
                  <c:v>-8.1199999999999987E-3</c:v>
                </c:pt>
                <c:pt idx="13">
                  <c:v>-8.1199999999999987E-3</c:v>
                </c:pt>
                <c:pt idx="14">
                  <c:v>-8.1199999999999987E-3</c:v>
                </c:pt>
                <c:pt idx="15">
                  <c:v>-8.1199999999999987E-3</c:v>
                </c:pt>
                <c:pt idx="16">
                  <c:v>-8.1199999999999987E-3</c:v>
                </c:pt>
                <c:pt idx="17">
                  <c:v>-8.1199999999999987E-3</c:v>
                </c:pt>
                <c:pt idx="18">
                  <c:v>-8.1199999999999987E-3</c:v>
                </c:pt>
                <c:pt idx="19">
                  <c:v>-8.1199999999999987E-3</c:v>
                </c:pt>
                <c:pt idx="20">
                  <c:v>-8.1199999999999987E-3</c:v>
                </c:pt>
                <c:pt idx="21">
                  <c:v>-8.1199999999999987E-3</c:v>
                </c:pt>
                <c:pt idx="22">
                  <c:v>-8.1199999999999987E-3</c:v>
                </c:pt>
                <c:pt idx="23">
                  <c:v>-8.1199999999999987E-3</c:v>
                </c:pt>
                <c:pt idx="24">
                  <c:v>-8.1199999999999987E-3</c:v>
                </c:pt>
              </c:numCache>
            </c:numRef>
          </c:val>
          <c:extLst>
            <c:ext xmlns:c16="http://schemas.microsoft.com/office/drawing/2014/chart" uri="{C3380CC4-5D6E-409C-BE32-E72D297353CC}">
              <c16:uniqueId val="{00000007-5A89-4068-8E9D-9E713F0E4431}"/>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(I) - HHD'!$AB$18</c:f>
              <c:strCache>
                <c:ptCount val="1"/>
                <c:pt idx="0">
                  <c:v>TOTAL per year</c:v>
                </c:pt>
              </c:strCache>
            </c:strRef>
          </c:tx>
          <c:spPr>
            <a:ln w="25400" cap="rnd">
              <a:noFill/>
              <a:round/>
            </a:ln>
            <a:effectLst/>
          </c:spPr>
          <c:marker>
            <c:symbol val="circle"/>
            <c:size val="5"/>
            <c:spPr>
              <a:solidFill>
                <a:schemeClr val="tx1"/>
              </a:solidFill>
              <a:ln w="9525">
                <a:solidFill>
                  <a:schemeClr val="tx1"/>
                </a:solidFill>
              </a:ln>
              <a:effectLst/>
            </c:spPr>
          </c:marker>
          <c:cat>
            <c:numRef>
              <c:f>'Results ReCiPe (I) - HHD'!$AC$9:$BA$9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HHD'!$AC$18:$BA$18</c:f>
              <c:numCache>
                <c:formatCode>0.00E+00</c:formatCode>
                <c:ptCount val="25"/>
                <c:pt idx="0">
                  <c:v>1.9925038782019636E-2</c:v>
                </c:pt>
                <c:pt idx="1">
                  <c:v>7.5835265155795376E-4</c:v>
                </c:pt>
                <c:pt idx="2">
                  <c:v>7.3339510503296623E-4</c:v>
                </c:pt>
                <c:pt idx="3">
                  <c:v>9.991213758834671E-4</c:v>
                </c:pt>
                <c:pt idx="4">
                  <c:v>6.6254410393173403E-4</c:v>
                </c:pt>
                <c:pt idx="5">
                  <c:v>6.3071651454591968E-4</c:v>
                </c:pt>
                <c:pt idx="6">
                  <c:v>1.1969638185775396E-3</c:v>
                </c:pt>
                <c:pt idx="7">
                  <c:v>1.1575425177787948E-3</c:v>
                </c:pt>
                <c:pt idx="8">
                  <c:v>1.4164920927640431E-3</c:v>
                </c:pt>
                <c:pt idx="9">
                  <c:v>1.9771885536037873E-3</c:v>
                </c:pt>
                <c:pt idx="10">
                  <c:v>1.9344995710355393E-3</c:v>
                </c:pt>
                <c:pt idx="11">
                  <c:v>2.4434863721422891E-3</c:v>
                </c:pt>
                <c:pt idx="12">
                  <c:v>3.2516285516544039E-3</c:v>
                </c:pt>
                <c:pt idx="13">
                  <c:v>3.4574242858929818E-3</c:v>
                </c:pt>
                <c:pt idx="14">
                  <c:v>3.9627372393987812E-3</c:v>
                </c:pt>
                <c:pt idx="15">
                  <c:v>4.7666190131259636E-3</c:v>
                </c:pt>
                <c:pt idx="16">
                  <c:v>4.4707852454011956E-3</c:v>
                </c:pt>
                <c:pt idx="17">
                  <c:v>4.4727716988447359E-3</c:v>
                </c:pt>
                <c:pt idx="18">
                  <c:v>4.768748396883328E-3</c:v>
                </c:pt>
                <c:pt idx="19">
                  <c:v>4.4751777478628293E-3</c:v>
                </c:pt>
                <c:pt idx="20">
                  <c:v>4.4762091083739731E-3</c:v>
                </c:pt>
                <c:pt idx="21">
                  <c:v>4.9159016705940944E-3</c:v>
                </c:pt>
                <c:pt idx="22">
                  <c:v>4.3170640337689432E-3</c:v>
                </c:pt>
                <c:pt idx="23">
                  <c:v>4.0218307489619885E-3</c:v>
                </c:pt>
                <c:pt idx="24">
                  <c:v>4.1794094421550403E-3</c:v>
                </c:pt>
              </c:numCache>
            </c:numRef>
          </c:val>
          <c:smooth val="0"/>
          <c:extLst>
            <c:ext xmlns:c16="http://schemas.microsoft.com/office/drawing/2014/chart" uri="{C3380CC4-5D6E-409C-BE32-E72D297353CC}">
              <c16:uniqueId val="{00000008-5A89-4068-8E9D-9E713F0E4431}"/>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Human</a:t>
                </a:r>
                <a:r>
                  <a:rPr lang="nl-NL" baseline="0"/>
                  <a:t> health</a:t>
                </a:r>
                <a:r>
                  <a:rPr lang="nl-NL"/>
                  <a:t> damage </a:t>
                </a:r>
                <a:br>
                  <a:rPr lang="nl-NL"/>
                </a:br>
                <a:r>
                  <a:rPr lang="nl-NL"/>
                  <a:t>(DALY/ton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(I) - HHD'!$AB$50</c:f>
              <c:strCache>
                <c:ptCount val="1"/>
                <c:pt idx="0">
                  <c:v>Construction - DAC</c:v>
                </c:pt>
              </c:strCache>
            </c:strRef>
          </c:tx>
          <c:spPr>
            <a:solidFill>
              <a:schemeClr val="accent4">
                <a:lumMod val="75000"/>
              </a:schemeClr>
            </a:solidFill>
            <a:ln>
              <a:noFill/>
            </a:ln>
            <a:effectLst/>
          </c:spPr>
          <c:invertIfNegative val="0"/>
          <c:cat>
            <c:numRef>
              <c:f>'Results ReCiPe (I) - HHD'!$AC$49:$BA$49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HHD'!$AC$50:$BA$50</c:f>
              <c:numCache>
                <c:formatCode>0.00E+00</c:formatCode>
                <c:ptCount val="25"/>
                <c:pt idx="0">
                  <c:v>1.6995353320054075E-2</c:v>
                </c:pt>
              </c:numCache>
            </c:numRef>
          </c:val>
          <c:extLst>
            <c:ext xmlns:c16="http://schemas.microsoft.com/office/drawing/2014/chart" uri="{C3380CC4-5D6E-409C-BE32-E72D297353CC}">
              <c16:uniqueId val="{00000000-2F74-4E5A-8247-F04617B2805A}"/>
            </c:ext>
          </c:extLst>
        </c:ser>
        <c:ser>
          <c:idx val="1"/>
          <c:order val="1"/>
          <c:tx>
            <c:strRef>
              <c:f>'Results ReCiPe (I) - HHD'!$AB$51</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(I) - HHD'!$AC$49:$BA$49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HHD'!$AC$51:$BA$51</c:f>
              <c:numCache>
                <c:formatCode>0.00E+00</c:formatCode>
                <c:ptCount val="25"/>
                <c:pt idx="0">
                  <c:v>9.9771112859395631E-4</c:v>
                </c:pt>
              </c:numCache>
            </c:numRef>
          </c:val>
          <c:extLst>
            <c:ext xmlns:c16="http://schemas.microsoft.com/office/drawing/2014/chart" uri="{C3380CC4-5D6E-409C-BE32-E72D297353CC}">
              <c16:uniqueId val="{00000001-2F74-4E5A-8247-F04617B2805A}"/>
            </c:ext>
          </c:extLst>
        </c:ser>
        <c:ser>
          <c:idx val="2"/>
          <c:order val="2"/>
          <c:tx>
            <c:strRef>
              <c:f>'Results ReCiPe (I) - HHD'!$AB$52</c:f>
              <c:strCache>
                <c:ptCount val="1"/>
                <c:pt idx="0">
                  <c:v>Deconstruction - DAC</c:v>
                </c:pt>
              </c:strCache>
            </c:strRef>
          </c:tx>
          <c:spPr>
            <a:solidFill>
              <a:schemeClr val="accent2">
                <a:lumMod val="40000"/>
                <a:lumOff val="60000"/>
              </a:schemeClr>
            </a:solidFill>
            <a:ln>
              <a:noFill/>
            </a:ln>
            <a:effectLst/>
          </c:spPr>
          <c:invertIfNegative val="0"/>
          <c:cat>
            <c:numRef>
              <c:f>'Results ReCiPe (I) - HHD'!$AC$49:$BA$49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HHD'!$AC$52:$BA$52</c:f>
              <c:numCache>
                <c:formatCode>0.00E+00</c:formatCode>
                <c:ptCount val="25"/>
                <c:pt idx="24">
                  <c:v>1.3822951601734481E-4</c:v>
                </c:pt>
              </c:numCache>
            </c:numRef>
          </c:val>
          <c:extLst>
            <c:ext xmlns:c16="http://schemas.microsoft.com/office/drawing/2014/chart" uri="{C3380CC4-5D6E-409C-BE32-E72D297353CC}">
              <c16:uniqueId val="{00000002-2F74-4E5A-8247-F04617B2805A}"/>
            </c:ext>
          </c:extLst>
        </c:ser>
        <c:ser>
          <c:idx val="3"/>
          <c:order val="3"/>
          <c:tx>
            <c:strRef>
              <c:f>'Results ReCiPe (I) - HHD'!$AB$53</c:f>
              <c:strCache>
                <c:ptCount val="1"/>
                <c:pt idx="0">
                  <c:v>Deconstruction - geological storage</c:v>
                </c:pt>
              </c:strCache>
            </c:strRef>
          </c:tx>
          <c:spPr>
            <a:solidFill>
              <a:srgbClr val="FF9900"/>
            </a:solidFill>
            <a:ln>
              <a:noFill/>
            </a:ln>
            <a:effectLst/>
          </c:spPr>
          <c:invertIfNegative val="0"/>
          <c:cat>
            <c:numRef>
              <c:f>'Results ReCiPe (I) - HHD'!$AC$49:$BA$49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HHD'!$AC$53:$BA$53</c:f>
              <c:numCache>
                <c:formatCode>0.00E+00</c:formatCode>
                <c:ptCount val="25"/>
                <c:pt idx="24">
                  <c:v>4.9710056260593857E-6</c:v>
                </c:pt>
              </c:numCache>
            </c:numRef>
          </c:val>
          <c:extLst>
            <c:ext xmlns:c16="http://schemas.microsoft.com/office/drawing/2014/chart" uri="{C3380CC4-5D6E-409C-BE32-E72D297353CC}">
              <c16:uniqueId val="{00000003-2F74-4E5A-8247-F04617B2805A}"/>
            </c:ext>
          </c:extLst>
        </c:ser>
        <c:ser>
          <c:idx val="4"/>
          <c:order val="4"/>
          <c:tx>
            <c:strRef>
              <c:f>'Results ReCiPe (I) - HHD'!$AB$54</c:f>
              <c:strCache>
                <c:ptCount val="1"/>
                <c:pt idx="0">
                  <c:v>Sorbent material</c:v>
                </c:pt>
              </c:strCache>
            </c:strRef>
          </c:tx>
          <c:spPr>
            <a:solidFill>
              <a:srgbClr val="FF8F8F"/>
            </a:solidFill>
            <a:ln>
              <a:noFill/>
            </a:ln>
            <a:effectLst/>
          </c:spPr>
          <c:invertIfNegative val="0"/>
          <c:cat>
            <c:numRef>
              <c:f>'Results ReCiPe (I) - HHD'!$AC$49:$BA$49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HHD'!$AC$54:$BA$54</c:f>
              <c:numCache>
                <c:formatCode>0.00E+00</c:formatCode>
                <c:ptCount val="25"/>
                <c:pt idx="0">
                  <c:v>3.0406400262598818E-4</c:v>
                </c:pt>
                <c:pt idx="3">
                  <c:v>2.9641770904864699E-4</c:v>
                </c:pt>
                <c:pt idx="6">
                  <c:v>2.8894461479738099E-4</c:v>
                </c:pt>
                <c:pt idx="9">
                  <c:v>2.7865961728505771E-4</c:v>
                </c:pt>
                <c:pt idx="12">
                  <c:v>2.6585850485750173E-4</c:v>
                </c:pt>
                <c:pt idx="15">
                  <c:v>2.516049030100258E-4</c:v>
                </c:pt>
                <c:pt idx="18">
                  <c:v>2.424330204216972E-4</c:v>
                </c:pt>
                <c:pt idx="21">
                  <c:v>2.4089817230596729E-4</c:v>
                </c:pt>
                <c:pt idx="24">
                  <c:v>2.3998846110054729E-4</c:v>
                </c:pt>
              </c:numCache>
            </c:numRef>
          </c:val>
          <c:extLst>
            <c:ext xmlns:c16="http://schemas.microsoft.com/office/drawing/2014/chart" uri="{C3380CC4-5D6E-409C-BE32-E72D297353CC}">
              <c16:uniqueId val="{00000004-2F74-4E5A-8247-F04617B2805A}"/>
            </c:ext>
          </c:extLst>
        </c:ser>
        <c:ser>
          <c:idx val="5"/>
          <c:order val="5"/>
          <c:tx>
            <c:strRef>
              <c:f>'Results ReCiPe (I) - HHD'!$AB$55</c:f>
              <c:strCache>
                <c:ptCount val="1"/>
                <c:pt idx="0">
                  <c:v>Operation - DAC</c:v>
                </c:pt>
              </c:strCache>
            </c:strRef>
          </c:tx>
          <c:spPr>
            <a:solidFill>
              <a:schemeClr val="accent2">
                <a:lumMod val="75000"/>
              </a:schemeClr>
            </a:solidFill>
            <a:ln>
              <a:noFill/>
            </a:ln>
            <a:effectLst/>
          </c:spPr>
          <c:invertIfNegative val="0"/>
          <c:cat>
            <c:numRef>
              <c:f>'Results ReCiPe (I) - HHD'!$AC$49:$BA$49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HHD'!$AC$55:$BA$55</c:f>
              <c:numCache>
                <c:formatCode>0.00E+00</c:formatCode>
                <c:ptCount val="25"/>
                <c:pt idx="0">
                  <c:v>7.6565319050394516E-3</c:v>
                </c:pt>
                <c:pt idx="1">
                  <c:v>7.396942047633883E-3</c:v>
                </c:pt>
                <c:pt idx="2">
                  <c:v>7.1214600712817353E-3</c:v>
                </c:pt>
                <c:pt idx="3">
                  <c:v>6.8324995802353664E-3</c:v>
                </c:pt>
                <c:pt idx="4">
                  <c:v>6.5497371293745804E-3</c:v>
                </c:pt>
                <c:pt idx="5">
                  <c:v>6.2666202275156154E-3</c:v>
                </c:pt>
                <c:pt idx="6">
                  <c:v>6.1112926619391952E-3</c:v>
                </c:pt>
                <c:pt idx="7">
                  <c:v>5.9568643965241001E-3</c:v>
                </c:pt>
                <c:pt idx="8">
                  <c:v>5.799785638875881E-3</c:v>
                </c:pt>
                <c:pt idx="9">
                  <c:v>5.6449025566350517E-3</c:v>
                </c:pt>
                <c:pt idx="10">
                  <c:v>5.4894729936840357E-3</c:v>
                </c:pt>
                <c:pt idx="11">
                  <c:v>5.3084169020852423E-3</c:v>
                </c:pt>
                <c:pt idx="12">
                  <c:v>5.1262439020892401E-3</c:v>
                </c:pt>
                <c:pt idx="13">
                  <c:v>4.9424464589051748E-3</c:v>
                </c:pt>
                <c:pt idx="14">
                  <c:v>4.7580457114767922E-3</c:v>
                </c:pt>
                <c:pt idx="15">
                  <c:v>4.572555156956289E-3</c:v>
                </c:pt>
                <c:pt idx="16">
                  <c:v>4.463859864905338E-3</c:v>
                </c:pt>
                <c:pt idx="17">
                  <c:v>4.3534668788400453E-3</c:v>
                </c:pt>
                <c:pt idx="18">
                  <c:v>4.2423548757298023E-3</c:v>
                </c:pt>
                <c:pt idx="19">
                  <c:v>4.1317322767301396E-3</c:v>
                </c:pt>
                <c:pt idx="20">
                  <c:v>4.0209831223895027E-3</c:v>
                </c:pt>
                <c:pt idx="21">
                  <c:v>4.0702553347113889E-3</c:v>
                </c:pt>
                <c:pt idx="22">
                  <c:v>4.0158438402737402E-3</c:v>
                </c:pt>
                <c:pt idx="23">
                  <c:v>3.9612485649405359E-3</c:v>
                </c:pt>
                <c:pt idx="24">
                  <c:v>3.9064585313200546E-3</c:v>
                </c:pt>
              </c:numCache>
            </c:numRef>
          </c:val>
          <c:extLst>
            <c:ext xmlns:c16="http://schemas.microsoft.com/office/drawing/2014/chart" uri="{C3380CC4-5D6E-409C-BE32-E72D297353CC}">
              <c16:uniqueId val="{00000005-2F74-4E5A-8247-F04617B2805A}"/>
            </c:ext>
          </c:extLst>
        </c:ser>
        <c:ser>
          <c:idx val="6"/>
          <c:order val="6"/>
          <c:tx>
            <c:strRef>
              <c:f>'Results ReCiPe (I) - HHD'!$AB$56</c:f>
              <c:strCache>
                <c:ptCount val="1"/>
                <c:pt idx="0">
                  <c:v>Operation - geological storage</c:v>
                </c:pt>
              </c:strCache>
            </c:strRef>
          </c:tx>
          <c:spPr>
            <a:solidFill>
              <a:schemeClr val="accent2">
                <a:lumMod val="50000"/>
              </a:schemeClr>
            </a:solidFill>
            <a:ln>
              <a:noFill/>
            </a:ln>
            <a:effectLst/>
          </c:spPr>
          <c:invertIfNegative val="0"/>
          <c:cat>
            <c:numRef>
              <c:f>'Results ReCiPe (I) - HHD'!$AC$49:$BA$49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HHD'!$AC$56:$BA$56</c:f>
              <c:numCache>
                <c:formatCode>0.00E+00</c:formatCode>
                <c:ptCount val="25"/>
                <c:pt idx="0">
                  <c:v>6.5278503577573038E-4</c:v>
                </c:pt>
                <c:pt idx="1">
                  <c:v>6.3163815054054586E-4</c:v>
                </c:pt>
                <c:pt idx="2">
                  <c:v>6.0936914167752357E-4</c:v>
                </c:pt>
                <c:pt idx="3">
                  <c:v>5.8604016063638475E-4</c:v>
                </c:pt>
                <c:pt idx="4">
                  <c:v>5.6339015607056553E-4</c:v>
                </c:pt>
                <c:pt idx="5">
                  <c:v>5.4080641481356166E-4</c:v>
                </c:pt>
                <c:pt idx="6">
                  <c:v>5.2822285660082831E-4</c:v>
                </c:pt>
                <c:pt idx="7">
                  <c:v>5.1573646377868953E-4</c:v>
                </c:pt>
                <c:pt idx="8">
                  <c:v>5.0303689991406774E-4</c:v>
                </c:pt>
                <c:pt idx="9">
                  <c:v>4.905624031589118E-4</c:v>
                </c:pt>
                <c:pt idx="10">
                  <c:v>4.7807044862994221E-4</c:v>
                </c:pt>
                <c:pt idx="11">
                  <c:v>4.6383945730106921E-4</c:v>
                </c:pt>
                <c:pt idx="12">
                  <c:v>4.4953674290099896E-4</c:v>
                </c:pt>
                <c:pt idx="13">
                  <c:v>4.3510996225576832E-4</c:v>
                </c:pt>
                <c:pt idx="14">
                  <c:v>4.206626907804594E-4</c:v>
                </c:pt>
                <c:pt idx="15">
                  <c:v>4.0614374447590175E-4</c:v>
                </c:pt>
                <c:pt idx="16">
                  <c:v>3.9798166416057506E-4</c:v>
                </c:pt>
                <c:pt idx="17">
                  <c:v>3.8967771168424431E-4</c:v>
                </c:pt>
                <c:pt idx="18">
                  <c:v>3.8129284632544997E-4</c:v>
                </c:pt>
                <c:pt idx="19">
                  <c:v>3.7293973852255358E-4</c:v>
                </c:pt>
                <c:pt idx="20">
                  <c:v>3.6456009866230813E-4</c:v>
                </c:pt>
                <c:pt idx="21">
                  <c:v>3.6868905892596183E-4</c:v>
                </c:pt>
                <c:pt idx="22">
                  <c:v>3.6423180770113933E-4</c:v>
                </c:pt>
                <c:pt idx="23">
                  <c:v>3.5977346519706753E-4</c:v>
                </c:pt>
                <c:pt idx="24">
                  <c:v>3.5531293899904068E-4</c:v>
                </c:pt>
              </c:numCache>
            </c:numRef>
          </c:val>
          <c:extLst>
            <c:ext xmlns:c16="http://schemas.microsoft.com/office/drawing/2014/chart" uri="{C3380CC4-5D6E-409C-BE32-E72D297353CC}">
              <c16:uniqueId val="{00000006-2F74-4E5A-8247-F04617B2805A}"/>
            </c:ext>
          </c:extLst>
        </c:ser>
        <c:ser>
          <c:idx val="7"/>
          <c:order val="7"/>
          <c:tx>
            <c:strRef>
              <c:f>'Results ReCiPe (I) - HHD'!$AB$57</c:f>
              <c:strCache>
                <c:ptCount val="1"/>
                <c:pt idx="0">
                  <c:v>CO2 captured and stored</c:v>
                </c:pt>
              </c:strCache>
            </c:strRef>
          </c:tx>
          <c:spPr>
            <a:solidFill>
              <a:schemeClr val="tx2">
                <a:lumMod val="20000"/>
                <a:lumOff val="80000"/>
              </a:schemeClr>
            </a:solidFill>
            <a:ln>
              <a:noFill/>
            </a:ln>
            <a:effectLst/>
          </c:spPr>
          <c:invertIfNegative val="0"/>
          <c:cat>
            <c:numRef>
              <c:f>'Results ReCiPe (I) - HHD'!$AC$49:$BA$49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HHD'!$AC$57:$BA$57</c:f>
              <c:numCache>
                <c:formatCode>0.00E+00</c:formatCode>
                <c:ptCount val="25"/>
                <c:pt idx="0">
                  <c:v>-8.1199999999999987E-3</c:v>
                </c:pt>
                <c:pt idx="1">
                  <c:v>-8.1199999999999987E-3</c:v>
                </c:pt>
                <c:pt idx="2">
                  <c:v>-8.1199999999999987E-3</c:v>
                </c:pt>
                <c:pt idx="3">
                  <c:v>-8.1199999999999987E-3</c:v>
                </c:pt>
                <c:pt idx="4">
                  <c:v>-8.1199999999999987E-3</c:v>
                </c:pt>
                <c:pt idx="5">
                  <c:v>-8.1199999999999987E-3</c:v>
                </c:pt>
                <c:pt idx="6">
                  <c:v>-8.1199999999999987E-3</c:v>
                </c:pt>
                <c:pt idx="7">
                  <c:v>-8.1199999999999987E-3</c:v>
                </c:pt>
                <c:pt idx="8">
                  <c:v>-8.1199999999999987E-3</c:v>
                </c:pt>
                <c:pt idx="9">
                  <c:v>-8.1199999999999987E-3</c:v>
                </c:pt>
                <c:pt idx="10">
                  <c:v>-8.1199999999999987E-3</c:v>
                </c:pt>
                <c:pt idx="11">
                  <c:v>-8.1199999999999987E-3</c:v>
                </c:pt>
                <c:pt idx="12">
                  <c:v>-8.1199999999999987E-3</c:v>
                </c:pt>
                <c:pt idx="13">
                  <c:v>-8.1199999999999987E-3</c:v>
                </c:pt>
                <c:pt idx="14">
                  <c:v>-8.1199999999999987E-3</c:v>
                </c:pt>
                <c:pt idx="15">
                  <c:v>-8.1199999999999987E-3</c:v>
                </c:pt>
                <c:pt idx="16">
                  <c:v>-8.1199999999999987E-3</c:v>
                </c:pt>
                <c:pt idx="17">
                  <c:v>-8.1199999999999987E-3</c:v>
                </c:pt>
                <c:pt idx="18">
                  <c:v>-8.1199999999999987E-3</c:v>
                </c:pt>
                <c:pt idx="19">
                  <c:v>-8.1199999999999987E-3</c:v>
                </c:pt>
                <c:pt idx="20">
                  <c:v>-8.1199999999999987E-3</c:v>
                </c:pt>
                <c:pt idx="21">
                  <c:v>-8.1199999999999987E-3</c:v>
                </c:pt>
                <c:pt idx="22">
                  <c:v>-8.1199999999999987E-3</c:v>
                </c:pt>
                <c:pt idx="23">
                  <c:v>-8.1199999999999987E-3</c:v>
                </c:pt>
                <c:pt idx="24">
                  <c:v>-8.1199999999999987E-3</c:v>
                </c:pt>
              </c:numCache>
            </c:numRef>
          </c:val>
          <c:extLst>
            <c:ext xmlns:c16="http://schemas.microsoft.com/office/drawing/2014/chart" uri="{C3380CC4-5D6E-409C-BE32-E72D297353CC}">
              <c16:uniqueId val="{00000007-2F74-4E5A-8247-F04617B2805A}"/>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(I) - HHD'!$AB$58</c:f>
              <c:strCache>
                <c:ptCount val="1"/>
                <c:pt idx="0">
                  <c:v>TOTAL per year</c:v>
                </c:pt>
              </c:strCache>
            </c:strRef>
          </c:tx>
          <c:spPr>
            <a:ln w="25400" cap="rnd">
              <a:noFill/>
              <a:round/>
            </a:ln>
            <a:effectLst/>
          </c:spPr>
          <c:marker>
            <c:symbol val="circle"/>
            <c:size val="5"/>
            <c:spPr>
              <a:solidFill>
                <a:schemeClr val="tx1"/>
              </a:solidFill>
              <a:ln w="9525">
                <a:solidFill>
                  <a:schemeClr val="tx1"/>
                </a:solidFill>
              </a:ln>
              <a:effectLst/>
            </c:spPr>
          </c:marker>
          <c:cat>
            <c:numRef>
              <c:f>'Results ReCiPe (I) - HHD'!$AC$49:$BA$49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HHD'!$AC$58:$BA$58</c:f>
              <c:numCache>
                <c:formatCode>0.00E+00</c:formatCode>
                <c:ptCount val="25"/>
                <c:pt idx="0">
                  <c:v>1.8486445392089202E-2</c:v>
                </c:pt>
                <c:pt idx="1">
                  <c:v>-9.1419801825570052E-5</c:v>
                </c:pt>
                <c:pt idx="2">
                  <c:v>-3.8917078704074019E-4</c:v>
                </c:pt>
                <c:pt idx="3">
                  <c:v>-4.0504255007960035E-4</c:v>
                </c:pt>
                <c:pt idx="4">
                  <c:v>-1.0068727145548526E-3</c:v>
                </c:pt>
                <c:pt idx="5">
                  <c:v>-1.3125733576708218E-3</c:v>
                </c:pt>
                <c:pt idx="6">
                  <c:v>-1.1915398666625943E-3</c:v>
                </c:pt>
                <c:pt idx="7">
                  <c:v>-1.6473991396972094E-3</c:v>
                </c:pt>
                <c:pt idx="8">
                  <c:v>-1.8171774612100499E-3</c:v>
                </c:pt>
                <c:pt idx="9">
                  <c:v>-1.7058754229209777E-3</c:v>
                </c:pt>
                <c:pt idx="10">
                  <c:v>-2.1524565576860211E-3</c:v>
                </c:pt>
                <c:pt idx="11">
                  <c:v>-2.3477436406136873E-3</c:v>
                </c:pt>
                <c:pt idx="12">
                  <c:v>-2.2783608501522577E-3</c:v>
                </c:pt>
                <c:pt idx="13">
                  <c:v>-2.7424435788390555E-3</c:v>
                </c:pt>
                <c:pt idx="14">
                  <c:v>-2.9412915977427472E-3</c:v>
                </c:pt>
                <c:pt idx="15">
                  <c:v>-2.8896961955577824E-3</c:v>
                </c:pt>
                <c:pt idx="16">
                  <c:v>-3.2581584709340857E-3</c:v>
                </c:pt>
                <c:pt idx="17">
                  <c:v>-3.3768554094757092E-3</c:v>
                </c:pt>
                <c:pt idx="18">
                  <c:v>-3.253919257523049E-3</c:v>
                </c:pt>
                <c:pt idx="19">
                  <c:v>-3.6153279847473052E-3</c:v>
                </c:pt>
                <c:pt idx="20">
                  <c:v>-3.7344567789481878E-3</c:v>
                </c:pt>
                <c:pt idx="21">
                  <c:v>-3.4401574340566813E-3</c:v>
                </c:pt>
                <c:pt idx="22">
                  <c:v>-3.7399243520251195E-3</c:v>
                </c:pt>
                <c:pt idx="23">
                  <c:v>-3.7989779698623955E-3</c:v>
                </c:pt>
                <c:pt idx="24">
                  <c:v>-3.4750395469369515E-3</c:v>
                </c:pt>
              </c:numCache>
            </c:numRef>
          </c:val>
          <c:smooth val="0"/>
          <c:extLst>
            <c:ext xmlns:c16="http://schemas.microsoft.com/office/drawing/2014/chart" uri="{C3380CC4-5D6E-409C-BE32-E72D297353CC}">
              <c16:uniqueId val="{00000008-2F74-4E5A-8247-F04617B2805A}"/>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Human</a:t>
                </a:r>
                <a:r>
                  <a:rPr lang="nl-NL" baseline="0"/>
                  <a:t> health</a:t>
                </a:r>
                <a:r>
                  <a:rPr lang="nl-NL"/>
                  <a:t> damage </a:t>
                </a:r>
                <a:br>
                  <a:rPr lang="nl-NL"/>
                </a:br>
                <a:r>
                  <a:rPr lang="nl-NL"/>
                  <a:t>(DALY/ton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(I) - HHD'!$AB$90</c:f>
              <c:strCache>
                <c:ptCount val="1"/>
                <c:pt idx="0">
                  <c:v>Construction - DAC</c:v>
                </c:pt>
              </c:strCache>
            </c:strRef>
          </c:tx>
          <c:spPr>
            <a:solidFill>
              <a:schemeClr val="accent4">
                <a:lumMod val="75000"/>
              </a:schemeClr>
            </a:solidFill>
            <a:ln>
              <a:noFill/>
            </a:ln>
            <a:effectLst/>
          </c:spPr>
          <c:invertIfNegative val="0"/>
          <c:cat>
            <c:numRef>
              <c:f>'Results ReCiPe (I) - HHD'!$AC$89:$BA$89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HHD'!$AC$90:$BA$90</c:f>
              <c:numCache>
                <c:formatCode>0.00E+00</c:formatCode>
                <c:ptCount val="25"/>
                <c:pt idx="0">
                  <c:v>1.5356286610143191E-2</c:v>
                </c:pt>
              </c:numCache>
            </c:numRef>
          </c:val>
          <c:extLst>
            <c:ext xmlns:c16="http://schemas.microsoft.com/office/drawing/2014/chart" uri="{C3380CC4-5D6E-409C-BE32-E72D297353CC}">
              <c16:uniqueId val="{00000000-885B-4050-9FB7-B43CC9024264}"/>
            </c:ext>
          </c:extLst>
        </c:ser>
        <c:ser>
          <c:idx val="1"/>
          <c:order val="1"/>
          <c:tx>
            <c:strRef>
              <c:f>'Results ReCiPe (I) - HHD'!$AB$91</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(I) - HHD'!$AC$89:$BA$89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HHD'!$AC$91:$BA$91</c:f>
              <c:numCache>
                <c:formatCode>0.00E+00</c:formatCode>
                <c:ptCount val="25"/>
                <c:pt idx="0">
                  <c:v>9.37129982231934E-4</c:v>
                </c:pt>
              </c:numCache>
            </c:numRef>
          </c:val>
          <c:extLst>
            <c:ext xmlns:c16="http://schemas.microsoft.com/office/drawing/2014/chart" uri="{C3380CC4-5D6E-409C-BE32-E72D297353CC}">
              <c16:uniqueId val="{00000001-885B-4050-9FB7-B43CC9024264}"/>
            </c:ext>
          </c:extLst>
        </c:ser>
        <c:ser>
          <c:idx val="2"/>
          <c:order val="2"/>
          <c:tx>
            <c:strRef>
              <c:f>'Results ReCiPe (I) - HHD'!$AB$92</c:f>
              <c:strCache>
                <c:ptCount val="1"/>
                <c:pt idx="0">
                  <c:v>Deconstruction - DAC</c:v>
                </c:pt>
              </c:strCache>
            </c:strRef>
          </c:tx>
          <c:spPr>
            <a:solidFill>
              <a:schemeClr val="accent2">
                <a:lumMod val="40000"/>
                <a:lumOff val="60000"/>
              </a:schemeClr>
            </a:solidFill>
            <a:ln>
              <a:noFill/>
            </a:ln>
            <a:effectLst/>
          </c:spPr>
          <c:invertIfNegative val="0"/>
          <c:cat>
            <c:numRef>
              <c:f>'Results ReCiPe (I) - HHD'!$AC$89:$BA$89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HHD'!$AC$92:$BA$92</c:f>
              <c:numCache>
                <c:formatCode>0.00E+00</c:formatCode>
                <c:ptCount val="25"/>
                <c:pt idx="24">
                  <c:v>1.321106762411555E-4</c:v>
                </c:pt>
              </c:numCache>
            </c:numRef>
          </c:val>
          <c:extLst>
            <c:ext xmlns:c16="http://schemas.microsoft.com/office/drawing/2014/chart" uri="{C3380CC4-5D6E-409C-BE32-E72D297353CC}">
              <c16:uniqueId val="{00000002-885B-4050-9FB7-B43CC9024264}"/>
            </c:ext>
          </c:extLst>
        </c:ser>
        <c:ser>
          <c:idx val="3"/>
          <c:order val="3"/>
          <c:tx>
            <c:strRef>
              <c:f>'Results ReCiPe (I) - HHD'!$AB$93</c:f>
              <c:strCache>
                <c:ptCount val="1"/>
                <c:pt idx="0">
                  <c:v>Deconstruction - geological storage</c:v>
                </c:pt>
              </c:strCache>
            </c:strRef>
          </c:tx>
          <c:spPr>
            <a:solidFill>
              <a:srgbClr val="FF9900"/>
            </a:solidFill>
            <a:ln>
              <a:noFill/>
            </a:ln>
            <a:effectLst/>
          </c:spPr>
          <c:invertIfNegative val="0"/>
          <c:cat>
            <c:numRef>
              <c:f>'Results ReCiPe (I) - HHD'!$AC$89:$BA$89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HHD'!$AC$93:$BA$93</c:f>
              <c:numCache>
                <c:formatCode>0.00E+00</c:formatCode>
                <c:ptCount val="25"/>
                <c:pt idx="24">
                  <c:v>4.8662670395198596E-6</c:v>
                </c:pt>
              </c:numCache>
            </c:numRef>
          </c:val>
          <c:extLst>
            <c:ext xmlns:c16="http://schemas.microsoft.com/office/drawing/2014/chart" uri="{C3380CC4-5D6E-409C-BE32-E72D297353CC}">
              <c16:uniqueId val="{00000003-885B-4050-9FB7-B43CC9024264}"/>
            </c:ext>
          </c:extLst>
        </c:ser>
        <c:ser>
          <c:idx val="4"/>
          <c:order val="4"/>
          <c:tx>
            <c:strRef>
              <c:f>'Results ReCiPe (I) - HHD'!$AB$94</c:f>
              <c:strCache>
                <c:ptCount val="1"/>
                <c:pt idx="0">
                  <c:v>Sorbent material</c:v>
                </c:pt>
              </c:strCache>
            </c:strRef>
          </c:tx>
          <c:spPr>
            <a:solidFill>
              <a:srgbClr val="FF8F8F"/>
            </a:solidFill>
            <a:ln>
              <a:noFill/>
            </a:ln>
            <a:effectLst/>
          </c:spPr>
          <c:invertIfNegative val="0"/>
          <c:cat>
            <c:numRef>
              <c:f>'Results ReCiPe (I) - HHD'!$AC$89:$BA$89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HHD'!$AC$94:$BA$94</c:f>
              <c:numCache>
                <c:formatCode>0.00E+00</c:formatCode>
                <c:ptCount val="25"/>
                <c:pt idx="0">
                  <c:v>2.6322721726552512E-4</c:v>
                </c:pt>
                <c:pt idx="3">
                  <c:v>2.4790954055705099E-4</c:v>
                </c:pt>
                <c:pt idx="6">
                  <c:v>2.3818826466101599E-4</c:v>
                </c:pt>
                <c:pt idx="9">
                  <c:v>2.3687057090296699E-4</c:v>
                </c:pt>
                <c:pt idx="12">
                  <c:v>2.3577478459469749E-4</c:v>
                </c:pt>
                <c:pt idx="15">
                  <c:v>2.3445141905597099E-4</c:v>
                </c:pt>
                <c:pt idx="18">
                  <c:v>2.3247380057932901E-4</c:v>
                </c:pt>
                <c:pt idx="21">
                  <c:v>2.3538466572112359E-4</c:v>
                </c:pt>
                <c:pt idx="24">
                  <c:v>2.348623971618371E-4</c:v>
                </c:pt>
              </c:numCache>
            </c:numRef>
          </c:val>
          <c:extLst>
            <c:ext xmlns:c16="http://schemas.microsoft.com/office/drawing/2014/chart" uri="{C3380CC4-5D6E-409C-BE32-E72D297353CC}">
              <c16:uniqueId val="{00000004-885B-4050-9FB7-B43CC9024264}"/>
            </c:ext>
          </c:extLst>
        </c:ser>
        <c:ser>
          <c:idx val="5"/>
          <c:order val="5"/>
          <c:tx>
            <c:strRef>
              <c:f>'Results ReCiPe (I) - HHD'!$AB$95</c:f>
              <c:strCache>
                <c:ptCount val="1"/>
                <c:pt idx="0">
                  <c:v>Operation - DAC</c:v>
                </c:pt>
              </c:strCache>
            </c:strRef>
          </c:tx>
          <c:spPr>
            <a:solidFill>
              <a:schemeClr val="accent2">
                <a:lumMod val="75000"/>
              </a:schemeClr>
            </a:solidFill>
            <a:ln>
              <a:noFill/>
            </a:ln>
            <a:effectLst/>
          </c:spPr>
          <c:invertIfNegative val="0"/>
          <c:cat>
            <c:numRef>
              <c:f>'Results ReCiPe (I) - HHD'!$AC$89:$BA$89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HHD'!$AC$95:$BA$95</c:f>
              <c:numCache>
                <c:formatCode>0.00E+00</c:formatCode>
                <c:ptCount val="25"/>
                <c:pt idx="0">
                  <c:v>6.1870222537963697E-3</c:v>
                </c:pt>
                <c:pt idx="1">
                  <c:v>5.8915925767682072E-3</c:v>
                </c:pt>
                <c:pt idx="2">
                  <c:v>5.5893957996484044E-3</c:v>
                </c:pt>
                <c:pt idx="3">
                  <c:v>5.2715460655625521E-3</c:v>
                </c:pt>
                <c:pt idx="4">
                  <c:v>4.9596027563478147E-3</c:v>
                </c:pt>
                <c:pt idx="5">
                  <c:v>4.646246742020123E-3</c:v>
                </c:pt>
                <c:pt idx="6">
                  <c:v>4.6479930588814236E-3</c:v>
                </c:pt>
                <c:pt idx="7">
                  <c:v>4.6482529121452598E-3</c:v>
                </c:pt>
                <c:pt idx="8">
                  <c:v>4.6432103401327024E-3</c:v>
                </c:pt>
                <c:pt idx="9">
                  <c:v>4.6402944859289062E-3</c:v>
                </c:pt>
                <c:pt idx="10">
                  <c:v>4.6359495260449536E-3</c:v>
                </c:pt>
                <c:pt idx="11">
                  <c:v>4.6482045793664155E-3</c:v>
                </c:pt>
                <c:pt idx="12">
                  <c:v>4.6606618927429663E-3</c:v>
                </c:pt>
                <c:pt idx="13">
                  <c:v>4.6727573245055037E-3</c:v>
                </c:pt>
                <c:pt idx="14">
                  <c:v>4.685419505747997E-3</c:v>
                </c:pt>
                <c:pt idx="15">
                  <c:v>4.6981898972640115E-3</c:v>
                </c:pt>
                <c:pt idx="16">
                  <c:v>4.5066966319859828E-3</c:v>
                </c:pt>
                <c:pt idx="17">
                  <c:v>4.3144647334450647E-3</c:v>
                </c:pt>
                <c:pt idx="18">
                  <c:v>4.1228326186226573E-3</c:v>
                </c:pt>
                <c:pt idx="19">
                  <c:v>3.933057200944722E-3</c:v>
                </c:pt>
                <c:pt idx="20">
                  <c:v>3.7449560387859825E-3</c:v>
                </c:pt>
                <c:pt idx="21">
                  <c:v>3.7947196769797529E-3</c:v>
                </c:pt>
                <c:pt idx="22">
                  <c:v>3.7269366820433837E-3</c:v>
                </c:pt>
                <c:pt idx="23">
                  <c:v>3.6589033873254224E-3</c:v>
                </c:pt>
                <c:pt idx="24">
                  <c:v>3.5906099064872419E-3</c:v>
                </c:pt>
              </c:numCache>
            </c:numRef>
          </c:val>
          <c:extLst>
            <c:ext xmlns:c16="http://schemas.microsoft.com/office/drawing/2014/chart" uri="{C3380CC4-5D6E-409C-BE32-E72D297353CC}">
              <c16:uniqueId val="{00000005-885B-4050-9FB7-B43CC9024264}"/>
            </c:ext>
          </c:extLst>
        </c:ser>
        <c:ser>
          <c:idx val="6"/>
          <c:order val="6"/>
          <c:tx>
            <c:strRef>
              <c:f>'Results ReCiPe (I) - HHD'!$AB$96</c:f>
              <c:strCache>
                <c:ptCount val="1"/>
                <c:pt idx="0">
                  <c:v>Operation - geological storage</c:v>
                </c:pt>
              </c:strCache>
            </c:strRef>
          </c:tx>
          <c:spPr>
            <a:solidFill>
              <a:schemeClr val="accent2">
                <a:lumMod val="50000"/>
              </a:schemeClr>
            </a:solidFill>
            <a:ln>
              <a:noFill/>
            </a:ln>
            <a:effectLst/>
          </c:spPr>
          <c:invertIfNegative val="0"/>
          <c:cat>
            <c:numRef>
              <c:f>'Results ReCiPe (I) - HHD'!$AC$89:$BA$89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HHD'!$AC$96:$BA$96</c:f>
              <c:numCache>
                <c:formatCode>0.00E+00</c:formatCode>
                <c:ptCount val="25"/>
                <c:pt idx="0">
                  <c:v>4.9746858368287822E-4</c:v>
                </c:pt>
                <c:pt idx="1">
                  <c:v>4.7504634846731909E-4</c:v>
                </c:pt>
                <c:pt idx="2">
                  <c:v>4.52263553392185E-4</c:v>
                </c:pt>
                <c:pt idx="3">
                  <c:v>4.2838489097473266E-4</c:v>
                </c:pt>
                <c:pt idx="4">
                  <c:v>4.0515053736597963E-4</c:v>
                </c:pt>
                <c:pt idx="5">
                  <c:v>3.8194385144874683E-4</c:v>
                </c:pt>
                <c:pt idx="6">
                  <c:v>3.8153071290807176E-4</c:v>
                </c:pt>
                <c:pt idx="7">
                  <c:v>3.8101021789392397E-4</c:v>
                </c:pt>
                <c:pt idx="8">
                  <c:v>3.800842230370935E-4</c:v>
                </c:pt>
                <c:pt idx="9">
                  <c:v>3.7933346046292943E-4</c:v>
                </c:pt>
                <c:pt idx="10">
                  <c:v>3.7848129519123822E-4</c:v>
                </c:pt>
                <c:pt idx="11">
                  <c:v>3.7932150181227431E-4</c:v>
                </c:pt>
                <c:pt idx="12">
                  <c:v>3.8018070516697319E-4</c:v>
                </c:pt>
                <c:pt idx="13">
                  <c:v>3.8100773758655167E-4</c:v>
                </c:pt>
                <c:pt idx="14">
                  <c:v>3.8189052245592582E-4</c:v>
                </c:pt>
                <c:pt idx="15">
                  <c:v>3.8278513242929053E-4</c:v>
                </c:pt>
                <c:pt idx="16">
                  <c:v>3.7028939282599151E-4</c:v>
                </c:pt>
                <c:pt idx="17">
                  <c:v>3.576320102046869E-4</c:v>
                </c:pt>
                <c:pt idx="18">
                  <c:v>3.4489655940992412E-4</c:v>
                </c:pt>
                <c:pt idx="19">
                  <c:v>3.3219025430763919E-4</c:v>
                </c:pt>
                <c:pt idx="20">
                  <c:v>3.1949371547186563E-4</c:v>
                </c:pt>
                <c:pt idx="21">
                  <c:v>3.2340950623228811E-4</c:v>
                </c:pt>
                <c:pt idx="22">
                  <c:v>3.1840021938224863E-4</c:v>
                </c:pt>
                <c:pt idx="23">
                  <c:v>3.1338639157498839E-4</c:v>
                </c:pt>
                <c:pt idx="24">
                  <c:v>3.083671218770378E-4</c:v>
                </c:pt>
              </c:numCache>
            </c:numRef>
          </c:val>
          <c:extLst>
            <c:ext xmlns:c16="http://schemas.microsoft.com/office/drawing/2014/chart" uri="{C3380CC4-5D6E-409C-BE32-E72D297353CC}">
              <c16:uniqueId val="{00000006-885B-4050-9FB7-B43CC9024264}"/>
            </c:ext>
          </c:extLst>
        </c:ser>
        <c:ser>
          <c:idx val="7"/>
          <c:order val="7"/>
          <c:tx>
            <c:strRef>
              <c:f>'Results ReCiPe (I) - HHD'!$AB$97</c:f>
              <c:strCache>
                <c:ptCount val="1"/>
                <c:pt idx="0">
                  <c:v>CO2 captured and stored</c:v>
                </c:pt>
              </c:strCache>
            </c:strRef>
          </c:tx>
          <c:spPr>
            <a:solidFill>
              <a:schemeClr val="tx2">
                <a:lumMod val="20000"/>
                <a:lumOff val="80000"/>
              </a:schemeClr>
            </a:solidFill>
            <a:ln>
              <a:noFill/>
            </a:ln>
            <a:effectLst/>
          </c:spPr>
          <c:invertIfNegative val="0"/>
          <c:cat>
            <c:numRef>
              <c:f>'Results ReCiPe (I) - HHD'!$AC$89:$BA$89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HHD'!$AC$97:$BA$97</c:f>
              <c:numCache>
                <c:formatCode>0.00E+00</c:formatCode>
                <c:ptCount val="25"/>
                <c:pt idx="0">
                  <c:v>-8.1199999999999987E-3</c:v>
                </c:pt>
                <c:pt idx="1">
                  <c:v>-8.1199999999999987E-3</c:v>
                </c:pt>
                <c:pt idx="2">
                  <c:v>-8.1199999999999987E-3</c:v>
                </c:pt>
                <c:pt idx="3">
                  <c:v>-8.1199999999999987E-3</c:v>
                </c:pt>
                <c:pt idx="4">
                  <c:v>-8.1199999999999987E-3</c:v>
                </c:pt>
                <c:pt idx="5">
                  <c:v>-8.1199999999999987E-3</c:v>
                </c:pt>
                <c:pt idx="6">
                  <c:v>-8.1199999999999987E-3</c:v>
                </c:pt>
                <c:pt idx="7">
                  <c:v>-8.1199999999999987E-3</c:v>
                </c:pt>
                <c:pt idx="8">
                  <c:v>-8.1199999999999987E-3</c:v>
                </c:pt>
                <c:pt idx="9">
                  <c:v>-8.1199999999999987E-3</c:v>
                </c:pt>
                <c:pt idx="10">
                  <c:v>-8.1199999999999987E-3</c:v>
                </c:pt>
                <c:pt idx="11">
                  <c:v>-8.1199999999999987E-3</c:v>
                </c:pt>
                <c:pt idx="12">
                  <c:v>-8.1199999999999987E-3</c:v>
                </c:pt>
                <c:pt idx="13">
                  <c:v>-8.1199999999999987E-3</c:v>
                </c:pt>
                <c:pt idx="14">
                  <c:v>-8.1199999999999987E-3</c:v>
                </c:pt>
                <c:pt idx="15">
                  <c:v>-8.1199999999999987E-3</c:v>
                </c:pt>
                <c:pt idx="16">
                  <c:v>-8.1199999999999987E-3</c:v>
                </c:pt>
                <c:pt idx="17">
                  <c:v>-8.1199999999999987E-3</c:v>
                </c:pt>
                <c:pt idx="18">
                  <c:v>-8.1199999999999987E-3</c:v>
                </c:pt>
                <c:pt idx="19">
                  <c:v>-8.1199999999999987E-3</c:v>
                </c:pt>
                <c:pt idx="20">
                  <c:v>-8.1199999999999987E-3</c:v>
                </c:pt>
                <c:pt idx="21">
                  <c:v>-8.1199999999999987E-3</c:v>
                </c:pt>
                <c:pt idx="22">
                  <c:v>-8.1199999999999987E-3</c:v>
                </c:pt>
                <c:pt idx="23">
                  <c:v>-8.1199999999999987E-3</c:v>
                </c:pt>
                <c:pt idx="24">
                  <c:v>-8.1199999999999987E-3</c:v>
                </c:pt>
              </c:numCache>
            </c:numRef>
          </c:val>
          <c:extLst>
            <c:ext xmlns:c16="http://schemas.microsoft.com/office/drawing/2014/chart" uri="{C3380CC4-5D6E-409C-BE32-E72D297353CC}">
              <c16:uniqueId val="{00000007-885B-4050-9FB7-B43CC9024264}"/>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(I) - HHD'!$AB$98</c:f>
              <c:strCache>
                <c:ptCount val="1"/>
                <c:pt idx="0">
                  <c:v>TOTAL per year</c:v>
                </c:pt>
              </c:strCache>
            </c:strRef>
          </c:tx>
          <c:spPr>
            <a:ln w="25400" cap="rnd">
              <a:noFill/>
              <a:round/>
            </a:ln>
            <a:effectLst/>
          </c:spPr>
          <c:marker>
            <c:symbol val="circle"/>
            <c:size val="5"/>
            <c:spPr>
              <a:solidFill>
                <a:schemeClr val="tx1"/>
              </a:solidFill>
              <a:ln w="9525">
                <a:solidFill>
                  <a:schemeClr val="tx1"/>
                </a:solidFill>
              </a:ln>
              <a:effectLst/>
            </c:spPr>
          </c:marker>
          <c:cat>
            <c:numRef>
              <c:f>'Results ReCiPe (I) - HHD'!$AC$89:$BA$89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HHD'!$AC$98:$BA$98</c:f>
              <c:numCache>
                <c:formatCode>0.00E+00</c:formatCode>
                <c:ptCount val="25"/>
                <c:pt idx="0">
                  <c:v>1.5121134647119901E-2</c:v>
                </c:pt>
                <c:pt idx="1">
                  <c:v>-1.7533610747644725E-3</c:v>
                </c:pt>
                <c:pt idx="2">
                  <c:v>-2.0783406469594094E-3</c:v>
                </c:pt>
                <c:pt idx="3">
                  <c:v>-2.1721595029056632E-3</c:v>
                </c:pt>
                <c:pt idx="4">
                  <c:v>-2.7552467062862043E-3</c:v>
                </c:pt>
                <c:pt idx="5">
                  <c:v>-3.0918094065311291E-3</c:v>
                </c:pt>
                <c:pt idx="6">
                  <c:v>-2.8522879635494878E-3</c:v>
                </c:pt>
                <c:pt idx="7">
                  <c:v>-3.0907368699608154E-3</c:v>
                </c:pt>
                <c:pt idx="8">
                  <c:v>-3.096705436830203E-3</c:v>
                </c:pt>
                <c:pt idx="9">
                  <c:v>-2.8635014827051962E-3</c:v>
                </c:pt>
                <c:pt idx="10">
                  <c:v>-3.1055691787638066E-3</c:v>
                </c:pt>
                <c:pt idx="11">
                  <c:v>-3.0924739188213091E-3</c:v>
                </c:pt>
                <c:pt idx="12">
                  <c:v>-2.8433826174953615E-3</c:v>
                </c:pt>
                <c:pt idx="13">
                  <c:v>-3.0662349379079433E-3</c:v>
                </c:pt>
                <c:pt idx="14">
                  <c:v>-3.0526899717960758E-3</c:v>
                </c:pt>
                <c:pt idx="15">
                  <c:v>-2.8045735512507259E-3</c:v>
                </c:pt>
                <c:pt idx="16">
                  <c:v>-3.2430139751880244E-3</c:v>
                </c:pt>
                <c:pt idx="17">
                  <c:v>-3.447903256350247E-3</c:v>
                </c:pt>
                <c:pt idx="18">
                  <c:v>-3.4197970213880879E-3</c:v>
                </c:pt>
                <c:pt idx="19">
                  <c:v>-3.8547525447476371E-3</c:v>
                </c:pt>
                <c:pt idx="20">
                  <c:v>-4.0555502457421504E-3</c:v>
                </c:pt>
                <c:pt idx="21">
                  <c:v>-3.7664861510668338E-3</c:v>
                </c:pt>
                <c:pt idx="22">
                  <c:v>-4.0746630985743666E-3</c:v>
                </c:pt>
                <c:pt idx="23">
                  <c:v>-4.1477102210995881E-3</c:v>
                </c:pt>
                <c:pt idx="24">
                  <c:v>-3.849183631193207E-3</c:v>
                </c:pt>
              </c:numCache>
            </c:numRef>
          </c:val>
          <c:smooth val="0"/>
          <c:extLst>
            <c:ext xmlns:c16="http://schemas.microsoft.com/office/drawing/2014/chart" uri="{C3380CC4-5D6E-409C-BE32-E72D297353CC}">
              <c16:uniqueId val="{00000008-885B-4050-9FB7-B43CC9024264}"/>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Human</a:t>
                </a:r>
                <a:r>
                  <a:rPr lang="nl-NL" baseline="0"/>
                  <a:t> health</a:t>
                </a:r>
                <a:r>
                  <a:rPr lang="nl-NL"/>
                  <a:t> damage </a:t>
                </a:r>
                <a:br>
                  <a:rPr lang="nl-NL"/>
                </a:br>
                <a:r>
                  <a:rPr lang="nl-NL"/>
                  <a:t>(DALY/ton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(I) - HHD'!$AB$132</c:f>
              <c:strCache>
                <c:ptCount val="1"/>
                <c:pt idx="0">
                  <c:v>Construction - DAC</c:v>
                </c:pt>
              </c:strCache>
            </c:strRef>
          </c:tx>
          <c:spPr>
            <a:solidFill>
              <a:schemeClr val="accent4">
                <a:lumMod val="75000"/>
              </a:schemeClr>
            </a:solidFill>
            <a:ln>
              <a:noFill/>
            </a:ln>
            <a:effectLst/>
          </c:spPr>
          <c:invertIfNegative val="0"/>
          <c:cat>
            <c:numRef>
              <c:f>'Results ReCiPe (I) - HHD'!$AC$131:$BA$131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HHD'!$AC$132:$BA$132</c:f>
              <c:numCache>
                <c:formatCode>0.00E+00</c:formatCode>
                <c:ptCount val="25"/>
                <c:pt idx="0">
                  <c:v>1.7797818670811004E-2</c:v>
                </c:pt>
              </c:numCache>
            </c:numRef>
          </c:val>
          <c:extLst>
            <c:ext xmlns:c16="http://schemas.microsoft.com/office/drawing/2014/chart" uri="{C3380CC4-5D6E-409C-BE32-E72D297353CC}">
              <c16:uniqueId val="{00000000-385B-498A-8959-E09A6E8184C6}"/>
            </c:ext>
          </c:extLst>
        </c:ser>
        <c:ser>
          <c:idx val="1"/>
          <c:order val="1"/>
          <c:tx>
            <c:strRef>
              <c:f>'Results ReCiPe (I) - HHD'!$AB$133</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(I) - HHD'!$AC$131:$BA$131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HHD'!$AC$133:$BA$133</c:f>
              <c:numCache>
                <c:formatCode>0.00E+00</c:formatCode>
                <c:ptCount val="25"/>
                <c:pt idx="0">
                  <c:v>1.057067915274905E-3</c:v>
                </c:pt>
              </c:numCache>
            </c:numRef>
          </c:val>
          <c:extLst>
            <c:ext xmlns:c16="http://schemas.microsoft.com/office/drawing/2014/chart" uri="{C3380CC4-5D6E-409C-BE32-E72D297353CC}">
              <c16:uniqueId val="{00000001-385B-498A-8959-E09A6E8184C6}"/>
            </c:ext>
          </c:extLst>
        </c:ser>
        <c:ser>
          <c:idx val="2"/>
          <c:order val="2"/>
          <c:tx>
            <c:strRef>
              <c:f>'Results ReCiPe (I) - HHD'!$AB$134</c:f>
              <c:strCache>
                <c:ptCount val="1"/>
                <c:pt idx="0">
                  <c:v>Deconstruction - DAC</c:v>
                </c:pt>
              </c:strCache>
            </c:strRef>
          </c:tx>
          <c:spPr>
            <a:solidFill>
              <a:schemeClr val="accent2">
                <a:lumMod val="40000"/>
                <a:lumOff val="60000"/>
              </a:schemeClr>
            </a:solidFill>
            <a:ln>
              <a:noFill/>
            </a:ln>
            <a:effectLst/>
          </c:spPr>
          <c:invertIfNegative val="0"/>
          <c:cat>
            <c:numRef>
              <c:f>'Results ReCiPe (I) - HHD'!$AC$131:$BA$131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HHD'!$AC$134:$BA$134</c:f>
              <c:numCache>
                <c:formatCode>0.00E+00</c:formatCode>
                <c:ptCount val="25"/>
                <c:pt idx="24">
                  <c:v>1.5084924361783567E-4</c:v>
                </c:pt>
              </c:numCache>
            </c:numRef>
          </c:val>
          <c:extLst>
            <c:ext xmlns:c16="http://schemas.microsoft.com/office/drawing/2014/chart" uri="{C3380CC4-5D6E-409C-BE32-E72D297353CC}">
              <c16:uniqueId val="{00000002-385B-498A-8959-E09A6E8184C6}"/>
            </c:ext>
          </c:extLst>
        </c:ser>
        <c:ser>
          <c:idx val="3"/>
          <c:order val="3"/>
          <c:tx>
            <c:strRef>
              <c:f>'Results ReCiPe (I) - HHD'!$AB$135</c:f>
              <c:strCache>
                <c:ptCount val="1"/>
                <c:pt idx="0">
                  <c:v>Deconstruction - geological storage</c:v>
                </c:pt>
              </c:strCache>
            </c:strRef>
          </c:tx>
          <c:spPr>
            <a:solidFill>
              <a:srgbClr val="FF9900"/>
            </a:solidFill>
            <a:ln>
              <a:noFill/>
            </a:ln>
            <a:effectLst/>
          </c:spPr>
          <c:invertIfNegative val="0"/>
          <c:cat>
            <c:numRef>
              <c:f>'Results ReCiPe (I) - HHD'!$AC$131:$BA$131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HHD'!$AC$135:$BA$135</c:f>
              <c:numCache>
                <c:formatCode>0.00E+00</c:formatCode>
                <c:ptCount val="25"/>
                <c:pt idx="24">
                  <c:v>5.1688461306668095E-6</c:v>
                </c:pt>
              </c:numCache>
            </c:numRef>
          </c:val>
          <c:extLst>
            <c:ext xmlns:c16="http://schemas.microsoft.com/office/drawing/2014/chart" uri="{C3380CC4-5D6E-409C-BE32-E72D297353CC}">
              <c16:uniqueId val="{00000003-385B-498A-8959-E09A6E8184C6}"/>
            </c:ext>
          </c:extLst>
        </c:ser>
        <c:ser>
          <c:idx val="4"/>
          <c:order val="4"/>
          <c:tx>
            <c:strRef>
              <c:f>'Results ReCiPe (I) - HHD'!$AB$136</c:f>
              <c:strCache>
                <c:ptCount val="1"/>
                <c:pt idx="0">
                  <c:v>Sorbent material</c:v>
                </c:pt>
              </c:strCache>
            </c:strRef>
          </c:tx>
          <c:spPr>
            <a:solidFill>
              <a:srgbClr val="FF8F8F"/>
            </a:solidFill>
            <a:ln>
              <a:noFill/>
            </a:ln>
            <a:effectLst/>
          </c:spPr>
          <c:invertIfNegative val="0"/>
          <c:cat>
            <c:numRef>
              <c:f>'Results ReCiPe (I) - HHD'!$AC$131:$BA$131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HHD'!$AC$136:$BA$136</c:f>
              <c:numCache>
                <c:formatCode>0.00E+00</c:formatCode>
                <c:ptCount val="25"/>
                <c:pt idx="0">
                  <c:v>3.0950823392567891E-4</c:v>
                </c:pt>
                <c:pt idx="3">
                  <c:v>3.0470171244799881E-4</c:v>
                </c:pt>
                <c:pt idx="6">
                  <c:v>3.0220482749963639E-4</c:v>
                </c:pt>
                <c:pt idx="9">
                  <c:v>3.0088082558559647E-4</c:v>
                </c:pt>
                <c:pt idx="12">
                  <c:v>3.0032218865651928E-4</c:v>
                </c:pt>
                <c:pt idx="15">
                  <c:v>2.9975776117043001E-4</c:v>
                </c:pt>
                <c:pt idx="18">
                  <c:v>2.9488735419779449E-4</c:v>
                </c:pt>
                <c:pt idx="21">
                  <c:v>3.0452007285205519E-4</c:v>
                </c:pt>
                <c:pt idx="24">
                  <c:v>2.9772367667854253E-4</c:v>
                </c:pt>
              </c:numCache>
            </c:numRef>
          </c:val>
          <c:extLst>
            <c:ext xmlns:c16="http://schemas.microsoft.com/office/drawing/2014/chart" uri="{C3380CC4-5D6E-409C-BE32-E72D297353CC}">
              <c16:uniqueId val="{00000004-385B-498A-8959-E09A6E8184C6}"/>
            </c:ext>
          </c:extLst>
        </c:ser>
        <c:ser>
          <c:idx val="5"/>
          <c:order val="5"/>
          <c:tx>
            <c:strRef>
              <c:f>'Results ReCiPe (I) - HHD'!$AB$137</c:f>
              <c:strCache>
                <c:ptCount val="1"/>
                <c:pt idx="0">
                  <c:v>Operation - DAC</c:v>
                </c:pt>
              </c:strCache>
            </c:strRef>
          </c:tx>
          <c:spPr>
            <a:solidFill>
              <a:schemeClr val="accent2">
                <a:lumMod val="75000"/>
              </a:schemeClr>
            </a:solidFill>
            <a:ln>
              <a:noFill/>
            </a:ln>
            <a:effectLst/>
          </c:spPr>
          <c:invertIfNegative val="0"/>
          <c:cat>
            <c:numRef>
              <c:f>'Results ReCiPe (I) - HHD'!$AC$131:$BA$131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HHD'!$AC$137:$BA$137</c:f>
              <c:numCache>
                <c:formatCode>0.00E+00</c:formatCode>
                <c:ptCount val="25"/>
                <c:pt idx="0">
                  <c:v>6.6205552719843432E-3</c:v>
                </c:pt>
                <c:pt idx="1">
                  <c:v>6.6182928625575536E-3</c:v>
                </c:pt>
                <c:pt idx="2">
                  <c:v>6.6000074005504953E-3</c:v>
                </c:pt>
                <c:pt idx="3">
                  <c:v>6.5704177328046445E-3</c:v>
                </c:pt>
                <c:pt idx="4">
                  <c:v>6.5473271650997042E-3</c:v>
                </c:pt>
                <c:pt idx="5">
                  <c:v>6.5243096756633992E-3</c:v>
                </c:pt>
                <c:pt idx="6">
                  <c:v>6.7106939427344922E-3</c:v>
                </c:pt>
                <c:pt idx="7">
                  <c:v>6.8963652663903601E-3</c:v>
                </c:pt>
                <c:pt idx="8">
                  <c:v>7.0790334602537476E-3</c:v>
                </c:pt>
                <c:pt idx="9">
                  <c:v>7.2628930747483172E-3</c:v>
                </c:pt>
                <c:pt idx="10">
                  <c:v>7.4457421383645039E-3</c:v>
                </c:pt>
                <c:pt idx="11">
                  <c:v>7.806662681421243E-3</c:v>
                </c:pt>
                <c:pt idx="12">
                  <c:v>8.1669154632676502E-3</c:v>
                </c:pt>
                <c:pt idx="13">
                  <c:v>8.5259897362474635E-3</c:v>
                </c:pt>
                <c:pt idx="14">
                  <c:v>8.8847536875283923E-3</c:v>
                </c:pt>
                <c:pt idx="15">
                  <c:v>9.242869698163337E-3</c:v>
                </c:pt>
                <c:pt idx="16">
                  <c:v>9.2454226851398473E-3</c:v>
                </c:pt>
                <c:pt idx="17">
                  <c:v>9.2466047774371757E-3</c:v>
                </c:pt>
                <c:pt idx="18">
                  <c:v>9.2470372930955717E-3</c:v>
                </c:pt>
                <c:pt idx="19">
                  <c:v>9.2477467701712369E-3</c:v>
                </c:pt>
                <c:pt idx="20">
                  <c:v>9.2482533248818121E-3</c:v>
                </c:pt>
                <c:pt idx="21">
                  <c:v>9.3528355391499368E-3</c:v>
                </c:pt>
                <c:pt idx="22">
                  <c:v>9.1437299749672716E-3</c:v>
                </c:pt>
                <c:pt idx="23">
                  <c:v>8.9339113549565946E-3</c:v>
                </c:pt>
                <c:pt idx="24">
                  <c:v>8.7233698208936065E-3</c:v>
                </c:pt>
              </c:numCache>
            </c:numRef>
          </c:val>
          <c:extLst>
            <c:ext xmlns:c16="http://schemas.microsoft.com/office/drawing/2014/chart" uri="{C3380CC4-5D6E-409C-BE32-E72D297353CC}">
              <c16:uniqueId val="{00000005-385B-498A-8959-E09A6E8184C6}"/>
            </c:ext>
          </c:extLst>
        </c:ser>
        <c:ser>
          <c:idx val="6"/>
          <c:order val="6"/>
          <c:tx>
            <c:strRef>
              <c:f>'Results ReCiPe (I) - HHD'!$AB$138</c:f>
              <c:strCache>
                <c:ptCount val="1"/>
                <c:pt idx="0">
                  <c:v>Operation - geological storage</c:v>
                </c:pt>
              </c:strCache>
            </c:strRef>
          </c:tx>
          <c:spPr>
            <a:solidFill>
              <a:schemeClr val="accent2">
                <a:lumMod val="50000"/>
              </a:schemeClr>
            </a:solidFill>
            <a:ln>
              <a:noFill/>
            </a:ln>
            <a:effectLst/>
          </c:spPr>
          <c:invertIfNegative val="0"/>
          <c:cat>
            <c:numRef>
              <c:f>'Results ReCiPe (I) - HHD'!$AC$131:$BA$131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HHD'!$AC$138:$BA$138</c:f>
              <c:numCache>
                <c:formatCode>0.00E+00</c:formatCode>
                <c:ptCount val="25"/>
                <c:pt idx="0">
                  <c:v>6.9626821690351197E-4</c:v>
                </c:pt>
                <c:pt idx="1">
                  <c:v>6.9518556264451319E-4</c:v>
                </c:pt>
                <c:pt idx="2">
                  <c:v>6.9249428319766528E-4</c:v>
                </c:pt>
                <c:pt idx="3">
                  <c:v>6.8869480005077379E-4</c:v>
                </c:pt>
                <c:pt idx="4">
                  <c:v>6.8550999698434431E-4</c:v>
                </c:pt>
                <c:pt idx="5">
                  <c:v>6.8233401918268923E-4</c:v>
                </c:pt>
                <c:pt idx="6">
                  <c:v>7.0021464825593938E-4</c:v>
                </c:pt>
                <c:pt idx="7">
                  <c:v>7.1796014035621441E-4</c:v>
                </c:pt>
                <c:pt idx="8">
                  <c:v>7.3535192485880041E-4</c:v>
                </c:pt>
                <c:pt idx="9">
                  <c:v>7.5279176882448622E-4</c:v>
                </c:pt>
                <c:pt idx="10">
                  <c:v>7.700717953665544E-4</c:v>
                </c:pt>
                <c:pt idx="11">
                  <c:v>8.0501827637082738E-4</c:v>
                </c:pt>
                <c:pt idx="12">
                  <c:v>8.3980997825860223E-4</c:v>
                </c:pt>
                <c:pt idx="13">
                  <c:v>8.7439825065709076E-4</c:v>
                </c:pt>
                <c:pt idx="14">
                  <c:v>9.0886900906079994E-4</c:v>
                </c:pt>
                <c:pt idx="15">
                  <c:v>9.4318429539489237E-4</c:v>
                </c:pt>
                <c:pt idx="16">
                  <c:v>9.4256312298396372E-4</c:v>
                </c:pt>
                <c:pt idx="17">
                  <c:v>9.4180553465094536E-4</c:v>
                </c:pt>
                <c:pt idx="18">
                  <c:v>9.4097339760617206E-4</c:v>
                </c:pt>
                <c:pt idx="19">
                  <c:v>9.4016658207743767E-4</c:v>
                </c:pt>
                <c:pt idx="20">
                  <c:v>9.3933858786915186E-4</c:v>
                </c:pt>
                <c:pt idx="21">
                  <c:v>9.4924314679693887E-4</c:v>
                </c:pt>
                <c:pt idx="22">
                  <c:v>9.2724763069335276E-4</c:v>
                </c:pt>
                <c:pt idx="23">
                  <c:v>9.052598912295569E-4</c:v>
                </c:pt>
                <c:pt idx="24">
                  <c:v>8.8327876161998337E-4</c:v>
                </c:pt>
              </c:numCache>
            </c:numRef>
          </c:val>
          <c:extLst>
            <c:ext xmlns:c16="http://schemas.microsoft.com/office/drawing/2014/chart" uri="{C3380CC4-5D6E-409C-BE32-E72D297353CC}">
              <c16:uniqueId val="{00000006-385B-498A-8959-E09A6E8184C6}"/>
            </c:ext>
          </c:extLst>
        </c:ser>
        <c:ser>
          <c:idx val="7"/>
          <c:order val="7"/>
          <c:tx>
            <c:strRef>
              <c:f>'Results ReCiPe (I) - HHD'!$AB$139</c:f>
              <c:strCache>
                <c:ptCount val="1"/>
                <c:pt idx="0">
                  <c:v>CO2 captured and stored</c:v>
                </c:pt>
              </c:strCache>
            </c:strRef>
          </c:tx>
          <c:spPr>
            <a:solidFill>
              <a:schemeClr val="tx2">
                <a:lumMod val="20000"/>
                <a:lumOff val="80000"/>
              </a:schemeClr>
            </a:solidFill>
            <a:ln>
              <a:noFill/>
            </a:ln>
            <a:effectLst/>
          </c:spPr>
          <c:invertIfNegative val="0"/>
          <c:cat>
            <c:numRef>
              <c:f>'Results ReCiPe (I) - HHD'!$AC$131:$BA$131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HHD'!$AC$139:$BA$139</c:f>
              <c:numCache>
                <c:formatCode>0.00E+00</c:formatCode>
                <c:ptCount val="25"/>
                <c:pt idx="0">
                  <c:v>-8.1199999999999987E-3</c:v>
                </c:pt>
                <c:pt idx="1">
                  <c:v>-8.1199999999999987E-3</c:v>
                </c:pt>
                <c:pt idx="2">
                  <c:v>-8.1199999999999987E-3</c:v>
                </c:pt>
                <c:pt idx="3">
                  <c:v>-8.1199999999999987E-3</c:v>
                </c:pt>
                <c:pt idx="4">
                  <c:v>-8.1199999999999987E-3</c:v>
                </c:pt>
                <c:pt idx="5">
                  <c:v>-8.1199999999999987E-3</c:v>
                </c:pt>
                <c:pt idx="6">
                  <c:v>-8.1199999999999987E-3</c:v>
                </c:pt>
                <c:pt idx="7">
                  <c:v>-8.1199999999999987E-3</c:v>
                </c:pt>
                <c:pt idx="8">
                  <c:v>-8.1199999999999987E-3</c:v>
                </c:pt>
                <c:pt idx="9">
                  <c:v>-8.1199999999999987E-3</c:v>
                </c:pt>
                <c:pt idx="10">
                  <c:v>-8.1199999999999987E-3</c:v>
                </c:pt>
                <c:pt idx="11">
                  <c:v>-8.1199999999999987E-3</c:v>
                </c:pt>
                <c:pt idx="12">
                  <c:v>-8.1199999999999987E-3</c:v>
                </c:pt>
                <c:pt idx="13">
                  <c:v>-8.1199999999999987E-3</c:v>
                </c:pt>
                <c:pt idx="14">
                  <c:v>-8.1199999999999987E-3</c:v>
                </c:pt>
                <c:pt idx="15">
                  <c:v>-8.1199999999999987E-3</c:v>
                </c:pt>
                <c:pt idx="16">
                  <c:v>-8.1199999999999987E-3</c:v>
                </c:pt>
                <c:pt idx="17">
                  <c:v>-8.1199999999999987E-3</c:v>
                </c:pt>
                <c:pt idx="18">
                  <c:v>-8.1199999999999987E-3</c:v>
                </c:pt>
                <c:pt idx="19">
                  <c:v>-8.1199999999999987E-3</c:v>
                </c:pt>
                <c:pt idx="20">
                  <c:v>-8.1199999999999987E-3</c:v>
                </c:pt>
                <c:pt idx="21">
                  <c:v>-8.1199999999999987E-3</c:v>
                </c:pt>
                <c:pt idx="22">
                  <c:v>-8.1199999999999987E-3</c:v>
                </c:pt>
                <c:pt idx="23">
                  <c:v>-8.1199999999999987E-3</c:v>
                </c:pt>
                <c:pt idx="24">
                  <c:v>-8.1199999999999987E-3</c:v>
                </c:pt>
              </c:numCache>
            </c:numRef>
          </c:val>
          <c:extLst>
            <c:ext xmlns:c16="http://schemas.microsoft.com/office/drawing/2014/chart" uri="{C3380CC4-5D6E-409C-BE32-E72D297353CC}">
              <c16:uniqueId val="{00000007-385B-498A-8959-E09A6E8184C6}"/>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(I) - HHD'!$AB$140</c:f>
              <c:strCache>
                <c:ptCount val="1"/>
                <c:pt idx="0">
                  <c:v>TOTAL per year</c:v>
                </c:pt>
              </c:strCache>
            </c:strRef>
          </c:tx>
          <c:spPr>
            <a:ln w="28575" cap="rnd">
              <a:noFill/>
              <a:round/>
            </a:ln>
            <a:effectLst/>
          </c:spPr>
          <c:marker>
            <c:symbol val="circle"/>
            <c:size val="5"/>
            <c:spPr>
              <a:solidFill>
                <a:schemeClr val="tx1"/>
              </a:solidFill>
              <a:ln w="9525">
                <a:solidFill>
                  <a:schemeClr val="accent3">
                    <a:lumMod val="60000"/>
                  </a:schemeClr>
                </a:solidFill>
              </a:ln>
              <a:effectLst/>
            </c:spPr>
          </c:marker>
          <c:cat>
            <c:numRef>
              <c:f>'Results ReCiPe (I) - HHD'!$AC$131:$BA$131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HHD'!$AC$140:$BA$140</c:f>
              <c:numCache>
                <c:formatCode>0.00E+00</c:formatCode>
                <c:ptCount val="25"/>
                <c:pt idx="0">
                  <c:v>1.8361218308899446E-2</c:v>
                </c:pt>
                <c:pt idx="1">
                  <c:v>-8.0652157479793162E-4</c:v>
                </c:pt>
                <c:pt idx="2">
                  <c:v>-8.2749831625183838E-4</c:v>
                </c:pt>
                <c:pt idx="3">
                  <c:v>-5.5618575469658111E-4</c:v>
                </c:pt>
                <c:pt idx="4">
                  <c:v>-8.8716283791595053E-4</c:v>
                </c:pt>
                <c:pt idx="5">
                  <c:v>-9.1335630515391054E-4</c:v>
                </c:pt>
                <c:pt idx="6">
                  <c:v>-4.0688658150993089E-4</c:v>
                </c:pt>
                <c:pt idx="7">
                  <c:v>-5.0567459325342404E-4</c:v>
                </c:pt>
                <c:pt idx="8">
                  <c:v>-3.0561461488745091E-4</c:v>
                </c:pt>
                <c:pt idx="9">
                  <c:v>1.9656566915840154E-4</c:v>
                </c:pt>
                <c:pt idx="10">
                  <c:v>9.5813933731059633E-5</c:v>
                </c:pt>
                <c:pt idx="11">
                  <c:v>4.916809577920709E-4</c:v>
                </c:pt>
                <c:pt idx="12">
                  <c:v>1.1870476301827741E-3</c:v>
                </c:pt>
                <c:pt idx="13">
                  <c:v>1.2803879869045555E-3</c:v>
                </c:pt>
                <c:pt idx="14">
                  <c:v>1.6736226965891939E-3</c:v>
                </c:pt>
                <c:pt idx="15">
                  <c:v>2.3658117547286604E-3</c:v>
                </c:pt>
                <c:pt idx="16">
                  <c:v>2.0679858081238123E-3</c:v>
                </c:pt>
                <c:pt idx="17">
                  <c:v>2.0684103120881224E-3</c:v>
                </c:pt>
                <c:pt idx="18">
                  <c:v>2.3628980448995394E-3</c:v>
                </c:pt>
                <c:pt idx="19">
                  <c:v>2.0679133522486758E-3</c:v>
                </c:pt>
                <c:pt idx="20">
                  <c:v>2.0675919127509657E-3</c:v>
                </c:pt>
                <c:pt idx="21">
                  <c:v>2.4865987587989313E-3</c:v>
                </c:pt>
                <c:pt idx="22">
                  <c:v>1.9509776056606254E-3</c:v>
                </c:pt>
                <c:pt idx="23">
                  <c:v>1.7191712461861533E-3</c:v>
                </c:pt>
                <c:pt idx="24">
                  <c:v>1.940390348940637E-3</c:v>
                </c:pt>
              </c:numCache>
            </c:numRef>
          </c:val>
          <c:smooth val="0"/>
          <c:extLst>
            <c:ext xmlns:c16="http://schemas.microsoft.com/office/drawing/2014/chart" uri="{C3380CC4-5D6E-409C-BE32-E72D297353CC}">
              <c16:uniqueId val="{00000008-385B-498A-8959-E09A6E8184C6}"/>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Human</a:t>
                </a:r>
                <a:r>
                  <a:rPr lang="nl-NL" baseline="0"/>
                  <a:t> health</a:t>
                </a:r>
                <a:r>
                  <a:rPr lang="nl-NL"/>
                  <a:t> damage </a:t>
                </a:r>
                <a:br>
                  <a:rPr lang="nl-NL"/>
                </a:br>
                <a:r>
                  <a:rPr lang="nl-NL"/>
                  <a:t>(DALY/ton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(I) - HHD'!$AB$173</c:f>
              <c:strCache>
                <c:ptCount val="1"/>
                <c:pt idx="0">
                  <c:v>Construction - DAC</c:v>
                </c:pt>
              </c:strCache>
            </c:strRef>
          </c:tx>
          <c:spPr>
            <a:solidFill>
              <a:schemeClr val="accent4">
                <a:lumMod val="75000"/>
              </a:schemeClr>
            </a:solidFill>
            <a:ln>
              <a:noFill/>
            </a:ln>
            <a:effectLst/>
          </c:spPr>
          <c:invertIfNegative val="0"/>
          <c:cat>
            <c:numRef>
              <c:f>'Results ReCiPe (I) - HHD'!$AC$172:$BA$172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HHD'!$AC$173:$BA$173</c:f>
              <c:numCache>
                <c:formatCode>0.00E+00</c:formatCode>
                <c:ptCount val="25"/>
                <c:pt idx="0">
                  <c:v>1.6995353320054075E-2</c:v>
                </c:pt>
              </c:numCache>
            </c:numRef>
          </c:val>
          <c:extLst>
            <c:ext xmlns:c16="http://schemas.microsoft.com/office/drawing/2014/chart" uri="{C3380CC4-5D6E-409C-BE32-E72D297353CC}">
              <c16:uniqueId val="{00000000-61E8-4E60-B800-F6CB56D5FD7C}"/>
            </c:ext>
          </c:extLst>
        </c:ser>
        <c:ser>
          <c:idx val="1"/>
          <c:order val="1"/>
          <c:tx>
            <c:strRef>
              <c:f>'Results ReCiPe (I) - HHD'!$AB$174</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(I) - HHD'!$AC$172:$BA$172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HHD'!$AC$174:$BA$174</c:f>
              <c:numCache>
                <c:formatCode>0.00E+00</c:formatCode>
                <c:ptCount val="25"/>
                <c:pt idx="0">
                  <c:v>9.9771112859395631E-4</c:v>
                </c:pt>
              </c:numCache>
            </c:numRef>
          </c:val>
          <c:extLst>
            <c:ext xmlns:c16="http://schemas.microsoft.com/office/drawing/2014/chart" uri="{C3380CC4-5D6E-409C-BE32-E72D297353CC}">
              <c16:uniqueId val="{00000001-61E8-4E60-B800-F6CB56D5FD7C}"/>
            </c:ext>
          </c:extLst>
        </c:ser>
        <c:ser>
          <c:idx val="2"/>
          <c:order val="2"/>
          <c:tx>
            <c:strRef>
              <c:f>'Results ReCiPe (I) - HHD'!$AB$175</c:f>
              <c:strCache>
                <c:ptCount val="1"/>
                <c:pt idx="0">
                  <c:v>Deconstruction - DAC</c:v>
                </c:pt>
              </c:strCache>
            </c:strRef>
          </c:tx>
          <c:spPr>
            <a:solidFill>
              <a:schemeClr val="accent2">
                <a:lumMod val="40000"/>
                <a:lumOff val="60000"/>
              </a:schemeClr>
            </a:solidFill>
            <a:ln>
              <a:noFill/>
            </a:ln>
            <a:effectLst/>
          </c:spPr>
          <c:invertIfNegative val="0"/>
          <c:cat>
            <c:numRef>
              <c:f>'Results ReCiPe (I) - HHD'!$AC$172:$BA$172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HHD'!$AC$175:$BA$175</c:f>
              <c:numCache>
                <c:formatCode>0.00E+00</c:formatCode>
                <c:ptCount val="25"/>
                <c:pt idx="24">
                  <c:v>1.3822951601734481E-4</c:v>
                </c:pt>
              </c:numCache>
            </c:numRef>
          </c:val>
          <c:extLst>
            <c:ext xmlns:c16="http://schemas.microsoft.com/office/drawing/2014/chart" uri="{C3380CC4-5D6E-409C-BE32-E72D297353CC}">
              <c16:uniqueId val="{00000002-61E8-4E60-B800-F6CB56D5FD7C}"/>
            </c:ext>
          </c:extLst>
        </c:ser>
        <c:ser>
          <c:idx val="3"/>
          <c:order val="3"/>
          <c:tx>
            <c:strRef>
              <c:f>'Results ReCiPe (I) - HHD'!$AB$176</c:f>
              <c:strCache>
                <c:ptCount val="1"/>
                <c:pt idx="0">
                  <c:v>Deconstruction - geological storage</c:v>
                </c:pt>
              </c:strCache>
            </c:strRef>
          </c:tx>
          <c:spPr>
            <a:solidFill>
              <a:srgbClr val="FF9900"/>
            </a:solidFill>
            <a:ln>
              <a:noFill/>
            </a:ln>
            <a:effectLst/>
          </c:spPr>
          <c:invertIfNegative val="0"/>
          <c:cat>
            <c:numRef>
              <c:f>'Results ReCiPe (I) - HHD'!$AC$172:$BA$172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HHD'!$AC$176:$BA$176</c:f>
              <c:numCache>
                <c:formatCode>0.00E+00</c:formatCode>
                <c:ptCount val="25"/>
                <c:pt idx="24">
                  <c:v>4.9710056260593857E-6</c:v>
                </c:pt>
              </c:numCache>
            </c:numRef>
          </c:val>
          <c:extLst>
            <c:ext xmlns:c16="http://schemas.microsoft.com/office/drawing/2014/chart" uri="{C3380CC4-5D6E-409C-BE32-E72D297353CC}">
              <c16:uniqueId val="{00000003-61E8-4E60-B800-F6CB56D5FD7C}"/>
            </c:ext>
          </c:extLst>
        </c:ser>
        <c:ser>
          <c:idx val="4"/>
          <c:order val="4"/>
          <c:tx>
            <c:strRef>
              <c:f>'Results ReCiPe (I) - HHD'!$AB$177</c:f>
              <c:strCache>
                <c:ptCount val="1"/>
                <c:pt idx="0">
                  <c:v>Sorbent material</c:v>
                </c:pt>
              </c:strCache>
            </c:strRef>
          </c:tx>
          <c:spPr>
            <a:solidFill>
              <a:srgbClr val="FF8F8F"/>
            </a:solidFill>
            <a:ln>
              <a:noFill/>
            </a:ln>
            <a:effectLst/>
          </c:spPr>
          <c:invertIfNegative val="0"/>
          <c:cat>
            <c:numRef>
              <c:f>'Results ReCiPe (I) - HHD'!$AC$172:$BA$172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HHD'!$AC$177:$BA$177</c:f>
              <c:numCache>
                <c:formatCode>0.00E+00</c:formatCode>
                <c:ptCount val="25"/>
                <c:pt idx="0">
                  <c:v>3.0406400262598818E-4</c:v>
                </c:pt>
                <c:pt idx="3">
                  <c:v>2.9641770904864699E-4</c:v>
                </c:pt>
                <c:pt idx="6">
                  <c:v>2.8894461479738099E-4</c:v>
                </c:pt>
                <c:pt idx="9">
                  <c:v>2.7865961728505771E-4</c:v>
                </c:pt>
                <c:pt idx="12">
                  <c:v>2.6585850485750173E-4</c:v>
                </c:pt>
                <c:pt idx="15">
                  <c:v>2.516049030100258E-4</c:v>
                </c:pt>
                <c:pt idx="18">
                  <c:v>2.424330204216972E-4</c:v>
                </c:pt>
                <c:pt idx="21">
                  <c:v>2.4089817230596729E-4</c:v>
                </c:pt>
                <c:pt idx="24">
                  <c:v>2.3998846110054729E-4</c:v>
                </c:pt>
              </c:numCache>
            </c:numRef>
          </c:val>
          <c:extLst>
            <c:ext xmlns:c16="http://schemas.microsoft.com/office/drawing/2014/chart" uri="{C3380CC4-5D6E-409C-BE32-E72D297353CC}">
              <c16:uniqueId val="{00000004-61E8-4E60-B800-F6CB56D5FD7C}"/>
            </c:ext>
          </c:extLst>
        </c:ser>
        <c:ser>
          <c:idx val="5"/>
          <c:order val="5"/>
          <c:tx>
            <c:strRef>
              <c:f>'Results ReCiPe (I) - HHD'!$AB$178</c:f>
              <c:strCache>
                <c:ptCount val="1"/>
                <c:pt idx="0">
                  <c:v>Operation - DAC</c:v>
                </c:pt>
              </c:strCache>
            </c:strRef>
          </c:tx>
          <c:spPr>
            <a:solidFill>
              <a:schemeClr val="accent2">
                <a:lumMod val="75000"/>
              </a:schemeClr>
            </a:solidFill>
            <a:ln>
              <a:noFill/>
            </a:ln>
            <a:effectLst/>
          </c:spPr>
          <c:invertIfNegative val="0"/>
          <c:cat>
            <c:numRef>
              <c:f>'Results ReCiPe (I) - HHD'!$AC$172:$BA$172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HHD'!$AC$178:$BA$178</c:f>
              <c:numCache>
                <c:formatCode>0.00E+00</c:formatCode>
                <c:ptCount val="25"/>
                <c:pt idx="0">
                  <c:v>6.1995683735904675E-3</c:v>
                </c:pt>
                <c:pt idx="1">
                  <c:v>5.9991758600647285E-3</c:v>
                </c:pt>
                <c:pt idx="2">
                  <c:v>5.7866432192099967E-3</c:v>
                </c:pt>
                <c:pt idx="3">
                  <c:v>5.5623723337581048E-3</c:v>
                </c:pt>
                <c:pt idx="4">
                  <c:v>5.3442756203966255E-3</c:v>
                </c:pt>
                <c:pt idx="5">
                  <c:v>5.1259006423415151E-3</c:v>
                </c:pt>
                <c:pt idx="6">
                  <c:v>5.0040121603461543E-3</c:v>
                </c:pt>
                <c:pt idx="7">
                  <c:v>4.8835340793354307E-3</c:v>
                </c:pt>
                <c:pt idx="8">
                  <c:v>4.7609451795234074E-3</c:v>
                </c:pt>
                <c:pt idx="9">
                  <c:v>4.6404815041277379E-3</c:v>
                </c:pt>
                <c:pt idx="10">
                  <c:v>4.5195938992675612E-3</c:v>
                </c:pt>
                <c:pt idx="11">
                  <c:v>4.378717531173716E-3</c:v>
                </c:pt>
                <c:pt idx="12">
                  <c:v>4.237031032579104E-3</c:v>
                </c:pt>
                <c:pt idx="13">
                  <c:v>4.0939910800068856E-3</c:v>
                </c:pt>
                <c:pt idx="14">
                  <c:v>3.9506702476411635E-3</c:v>
                </c:pt>
                <c:pt idx="15">
                  <c:v>3.8065375127262508E-3</c:v>
                </c:pt>
                <c:pt idx="16">
                  <c:v>3.7219114247396354E-3</c:v>
                </c:pt>
                <c:pt idx="17">
                  <c:v>3.63602910393765E-3</c:v>
                </c:pt>
                <c:pt idx="18">
                  <c:v>3.549478289272736E-3</c:v>
                </c:pt>
                <c:pt idx="19">
                  <c:v>3.4634308625846213E-3</c:v>
                </c:pt>
                <c:pt idx="20">
                  <c:v>3.3772689809623583E-3</c:v>
                </c:pt>
                <c:pt idx="21">
                  <c:v>3.4180388243912354E-3</c:v>
                </c:pt>
                <c:pt idx="22">
                  <c:v>3.3762801190801786E-3</c:v>
                </c:pt>
                <c:pt idx="23">
                  <c:v>3.3343831710507367E-3</c:v>
                </c:pt>
                <c:pt idx="24">
                  <c:v>3.2923399093375792E-3</c:v>
                </c:pt>
              </c:numCache>
            </c:numRef>
          </c:val>
          <c:extLst>
            <c:ext xmlns:c16="http://schemas.microsoft.com/office/drawing/2014/chart" uri="{C3380CC4-5D6E-409C-BE32-E72D297353CC}">
              <c16:uniqueId val="{00000005-61E8-4E60-B800-F6CB56D5FD7C}"/>
            </c:ext>
          </c:extLst>
        </c:ser>
        <c:ser>
          <c:idx val="6"/>
          <c:order val="6"/>
          <c:tx>
            <c:strRef>
              <c:f>'Results ReCiPe (I) - HHD'!$AB$179</c:f>
              <c:strCache>
                <c:ptCount val="1"/>
                <c:pt idx="0">
                  <c:v>Operation - geological storage</c:v>
                </c:pt>
              </c:strCache>
            </c:strRef>
          </c:tx>
          <c:spPr>
            <a:solidFill>
              <a:schemeClr val="accent2">
                <a:lumMod val="50000"/>
              </a:schemeClr>
            </a:solidFill>
            <a:ln>
              <a:noFill/>
            </a:ln>
            <a:effectLst/>
          </c:spPr>
          <c:invertIfNegative val="0"/>
          <c:cat>
            <c:numRef>
              <c:f>'Results ReCiPe (I) - HHD'!$AC$172:$BA$172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HHD'!$AC$179:$BA$179</c:f>
              <c:numCache>
                <c:formatCode>0.00E+00</c:formatCode>
                <c:ptCount val="25"/>
                <c:pt idx="0">
                  <c:v>6.5278503577573038E-4</c:v>
                </c:pt>
                <c:pt idx="1">
                  <c:v>6.3163815054054586E-4</c:v>
                </c:pt>
                <c:pt idx="2">
                  <c:v>6.0936914167752357E-4</c:v>
                </c:pt>
                <c:pt idx="3">
                  <c:v>5.8604016063638475E-4</c:v>
                </c:pt>
                <c:pt idx="4">
                  <c:v>5.6339015607056553E-4</c:v>
                </c:pt>
                <c:pt idx="5">
                  <c:v>5.4080641481356166E-4</c:v>
                </c:pt>
                <c:pt idx="6">
                  <c:v>5.2822285660082831E-4</c:v>
                </c:pt>
                <c:pt idx="7">
                  <c:v>5.1573646377868953E-4</c:v>
                </c:pt>
                <c:pt idx="8">
                  <c:v>5.0303689991406774E-4</c:v>
                </c:pt>
                <c:pt idx="9">
                  <c:v>4.905624031589118E-4</c:v>
                </c:pt>
                <c:pt idx="10">
                  <c:v>4.7807044862994221E-4</c:v>
                </c:pt>
                <c:pt idx="11">
                  <c:v>4.6383945730106921E-4</c:v>
                </c:pt>
                <c:pt idx="12">
                  <c:v>4.4953674290099896E-4</c:v>
                </c:pt>
                <c:pt idx="13">
                  <c:v>4.3510996225576832E-4</c:v>
                </c:pt>
                <c:pt idx="14">
                  <c:v>4.206626907804594E-4</c:v>
                </c:pt>
                <c:pt idx="15">
                  <c:v>4.0614374447590175E-4</c:v>
                </c:pt>
                <c:pt idx="16">
                  <c:v>3.9798166416057506E-4</c:v>
                </c:pt>
                <c:pt idx="17">
                  <c:v>3.8967771168424431E-4</c:v>
                </c:pt>
                <c:pt idx="18">
                  <c:v>3.8129284632544997E-4</c:v>
                </c:pt>
                <c:pt idx="19">
                  <c:v>3.7293973852255358E-4</c:v>
                </c:pt>
                <c:pt idx="20">
                  <c:v>3.6456009866230813E-4</c:v>
                </c:pt>
                <c:pt idx="21">
                  <c:v>3.6868905892596183E-4</c:v>
                </c:pt>
                <c:pt idx="22">
                  <c:v>3.6423180770113933E-4</c:v>
                </c:pt>
                <c:pt idx="23">
                  <c:v>3.5977346519706753E-4</c:v>
                </c:pt>
                <c:pt idx="24">
                  <c:v>3.5531293899904068E-4</c:v>
                </c:pt>
              </c:numCache>
            </c:numRef>
          </c:val>
          <c:extLst>
            <c:ext xmlns:c16="http://schemas.microsoft.com/office/drawing/2014/chart" uri="{C3380CC4-5D6E-409C-BE32-E72D297353CC}">
              <c16:uniqueId val="{00000006-61E8-4E60-B800-F6CB56D5FD7C}"/>
            </c:ext>
          </c:extLst>
        </c:ser>
        <c:ser>
          <c:idx val="7"/>
          <c:order val="7"/>
          <c:tx>
            <c:strRef>
              <c:f>'Results ReCiPe (I) - HHD'!$AB$180</c:f>
              <c:strCache>
                <c:ptCount val="1"/>
                <c:pt idx="0">
                  <c:v>CO2 captured and stored</c:v>
                </c:pt>
              </c:strCache>
            </c:strRef>
          </c:tx>
          <c:spPr>
            <a:solidFill>
              <a:schemeClr val="tx2">
                <a:lumMod val="20000"/>
                <a:lumOff val="80000"/>
              </a:schemeClr>
            </a:solidFill>
            <a:ln>
              <a:noFill/>
            </a:ln>
            <a:effectLst/>
          </c:spPr>
          <c:invertIfNegative val="0"/>
          <c:cat>
            <c:numRef>
              <c:f>'Results ReCiPe (I) - HHD'!$AC$172:$BA$172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HHD'!$AC$180:$BA$180</c:f>
              <c:numCache>
                <c:formatCode>0.00E+00</c:formatCode>
                <c:ptCount val="25"/>
                <c:pt idx="0">
                  <c:v>-8.1199999999999987E-3</c:v>
                </c:pt>
                <c:pt idx="1">
                  <c:v>-8.1199999999999987E-3</c:v>
                </c:pt>
                <c:pt idx="2">
                  <c:v>-8.1199999999999987E-3</c:v>
                </c:pt>
                <c:pt idx="3">
                  <c:v>-8.1199999999999987E-3</c:v>
                </c:pt>
                <c:pt idx="4">
                  <c:v>-8.1199999999999987E-3</c:v>
                </c:pt>
                <c:pt idx="5">
                  <c:v>-8.1199999999999987E-3</c:v>
                </c:pt>
                <c:pt idx="6">
                  <c:v>-8.1199999999999987E-3</c:v>
                </c:pt>
                <c:pt idx="7">
                  <c:v>-8.1199999999999987E-3</c:v>
                </c:pt>
                <c:pt idx="8">
                  <c:v>-8.1199999999999987E-3</c:v>
                </c:pt>
                <c:pt idx="9">
                  <c:v>-8.1199999999999987E-3</c:v>
                </c:pt>
                <c:pt idx="10">
                  <c:v>-8.1199999999999987E-3</c:v>
                </c:pt>
                <c:pt idx="11">
                  <c:v>-8.1199999999999987E-3</c:v>
                </c:pt>
                <c:pt idx="12">
                  <c:v>-8.1199999999999987E-3</c:v>
                </c:pt>
                <c:pt idx="13">
                  <c:v>-8.1199999999999987E-3</c:v>
                </c:pt>
                <c:pt idx="14">
                  <c:v>-8.1199999999999987E-3</c:v>
                </c:pt>
                <c:pt idx="15">
                  <c:v>-8.1199999999999987E-3</c:v>
                </c:pt>
                <c:pt idx="16">
                  <c:v>-8.1199999999999987E-3</c:v>
                </c:pt>
                <c:pt idx="17">
                  <c:v>-8.1199999999999987E-3</c:v>
                </c:pt>
                <c:pt idx="18">
                  <c:v>-8.1199999999999987E-3</c:v>
                </c:pt>
                <c:pt idx="19">
                  <c:v>-8.1199999999999987E-3</c:v>
                </c:pt>
                <c:pt idx="20">
                  <c:v>-8.1199999999999987E-3</c:v>
                </c:pt>
                <c:pt idx="21">
                  <c:v>-8.1199999999999987E-3</c:v>
                </c:pt>
                <c:pt idx="22">
                  <c:v>-8.1199999999999987E-3</c:v>
                </c:pt>
                <c:pt idx="23">
                  <c:v>-8.1199999999999987E-3</c:v>
                </c:pt>
                <c:pt idx="24">
                  <c:v>-8.1199999999999987E-3</c:v>
                </c:pt>
              </c:numCache>
            </c:numRef>
          </c:val>
          <c:extLst>
            <c:ext xmlns:c16="http://schemas.microsoft.com/office/drawing/2014/chart" uri="{C3380CC4-5D6E-409C-BE32-E72D297353CC}">
              <c16:uniqueId val="{00000007-61E8-4E60-B800-F6CB56D5FD7C}"/>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(I) - HHD'!$AB$181</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cat>
            <c:numRef>
              <c:f>'Results ReCiPe (I) - HHD'!$AC$172:$BA$172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HHD'!$AC$181:$BA$181</c:f>
              <c:numCache>
                <c:formatCode>0.00E+00</c:formatCode>
                <c:ptCount val="25"/>
                <c:pt idx="0">
                  <c:v>1.7029481860640218E-2</c:v>
                </c:pt>
                <c:pt idx="1">
                  <c:v>-1.4891859893947246E-3</c:v>
                </c:pt>
                <c:pt idx="2">
                  <c:v>-1.7239876391124788E-3</c:v>
                </c:pt>
                <c:pt idx="3">
                  <c:v>-1.6751697965568619E-3</c:v>
                </c:pt>
                <c:pt idx="4">
                  <c:v>-2.2123342235328075E-3</c:v>
                </c:pt>
                <c:pt idx="5">
                  <c:v>-2.4532929428449221E-3</c:v>
                </c:pt>
                <c:pt idx="6">
                  <c:v>-2.2988203682556352E-3</c:v>
                </c:pt>
                <c:pt idx="7">
                  <c:v>-2.7207294568858788E-3</c:v>
                </c:pt>
                <c:pt idx="8">
                  <c:v>-2.8560179205625235E-3</c:v>
                </c:pt>
                <c:pt idx="9">
                  <c:v>-2.7102964754282914E-3</c:v>
                </c:pt>
                <c:pt idx="10">
                  <c:v>-3.1223356521024957E-3</c:v>
                </c:pt>
                <c:pt idx="11">
                  <c:v>-3.2774430115252136E-3</c:v>
                </c:pt>
                <c:pt idx="12">
                  <c:v>-3.1675737196623938E-3</c:v>
                </c:pt>
                <c:pt idx="13">
                  <c:v>-3.5908989577373446E-3</c:v>
                </c:pt>
                <c:pt idx="14">
                  <c:v>-3.7486670615783759E-3</c:v>
                </c:pt>
                <c:pt idx="15">
                  <c:v>-3.6557138397878206E-3</c:v>
                </c:pt>
                <c:pt idx="16">
                  <c:v>-4.0001069110997883E-3</c:v>
                </c:pt>
                <c:pt idx="17">
                  <c:v>-4.0942931843781045E-3</c:v>
                </c:pt>
                <c:pt idx="18">
                  <c:v>-3.9467958439801153E-3</c:v>
                </c:pt>
                <c:pt idx="19">
                  <c:v>-4.2836293988928239E-3</c:v>
                </c:pt>
                <c:pt idx="20">
                  <c:v>-4.3781709203753322E-3</c:v>
                </c:pt>
                <c:pt idx="21">
                  <c:v>-4.0923739443768344E-3</c:v>
                </c:pt>
                <c:pt idx="22">
                  <c:v>-4.3794880732186802E-3</c:v>
                </c:pt>
                <c:pt idx="23">
                  <c:v>-4.4258433637521946E-3</c:v>
                </c:pt>
                <c:pt idx="24">
                  <c:v>-4.0891581689194278E-3</c:v>
                </c:pt>
              </c:numCache>
            </c:numRef>
          </c:val>
          <c:smooth val="0"/>
          <c:extLst>
            <c:ext xmlns:c16="http://schemas.microsoft.com/office/drawing/2014/chart" uri="{C3380CC4-5D6E-409C-BE32-E72D297353CC}">
              <c16:uniqueId val="{00000008-61E8-4E60-B800-F6CB56D5FD7C}"/>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Human</a:t>
                </a:r>
                <a:r>
                  <a:rPr lang="nl-NL" baseline="0"/>
                  <a:t> health</a:t>
                </a:r>
                <a:r>
                  <a:rPr lang="nl-NL"/>
                  <a:t> damage </a:t>
                </a:r>
                <a:br>
                  <a:rPr lang="nl-NL"/>
                </a:br>
                <a:r>
                  <a:rPr lang="nl-NL"/>
                  <a:t>(DALY/ton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751930529226253"/>
          <c:y val="7.9170851895793926E-2"/>
          <c:w val="0.72729079469433822"/>
          <c:h val="0.89481576129050766"/>
        </c:manualLayout>
      </c:layout>
      <c:scatterChart>
        <c:scatterStyle val="lineMarker"/>
        <c:varyColors val="0"/>
        <c:ser>
          <c:idx val="0"/>
          <c:order val="0"/>
          <c:tx>
            <c:strRef>
              <c:f>'Sensitivity analysis - HHD'!$A$443</c:f>
              <c:strCache>
                <c:ptCount val="1"/>
                <c:pt idx="0">
                  <c:v>Material use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'Sensitivity analysis - HHD'!$F$442:$H$442</c:f>
              <c:numCache>
                <c:formatCode>0%</c:formatCode>
                <c:ptCount val="3"/>
                <c:pt idx="0">
                  <c:v>0.8</c:v>
                </c:pt>
                <c:pt idx="1">
                  <c:v>1</c:v>
                </c:pt>
                <c:pt idx="2">
                  <c:v>1.2</c:v>
                </c:pt>
              </c:numCache>
            </c:numRef>
          </c:xVal>
          <c:yVal>
            <c:numRef>
              <c:f>'Sensitivity analysis - HHD'!$F$443:$H$443</c:f>
              <c:numCache>
                <c:formatCode>0.00</c:formatCode>
                <c:ptCount val="3"/>
                <c:pt idx="0">
                  <c:v>3.1944674172443256E-4</c:v>
                </c:pt>
                <c:pt idx="1">
                  <c:v>3.337288673084206E-4</c:v>
                </c:pt>
                <c:pt idx="2">
                  <c:v>3.4801099289240832E-4</c:v>
                </c:pt>
              </c:numCache>
            </c:numRef>
          </c:yVal>
          <c:smooth val="0"/>
          <c:extLst>
            <c:ext xmlns:c16="http://schemas.microsoft.com/office/drawing/2014/chart" uri="{C3380CC4-5D6E-409C-BE32-E72D297353CC}">
              <c16:uniqueId val="{00000000-DCEC-4B89-B32B-9AE504C755ED}"/>
            </c:ext>
          </c:extLst>
        </c:ser>
        <c:ser>
          <c:idx val="1"/>
          <c:order val="1"/>
          <c:tx>
            <c:strRef>
              <c:f>'Sensitivity analysis - HHD'!$A$444</c:f>
              <c:strCache>
                <c:ptCount val="1"/>
                <c:pt idx="0">
                  <c:v>Energy use</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('Sensitivity analysis - HHD'!$E$442,'Sensitivity analysis - HHD'!$G$442,'Sensitivity analysis - HHD'!$J$442,'Sensitivity analysis - HHD'!$K$442)</c:f>
              <c:numCache>
                <c:formatCode>0%</c:formatCode>
                <c:ptCount val="4"/>
                <c:pt idx="0">
                  <c:v>0.67</c:v>
                </c:pt>
                <c:pt idx="1">
                  <c:v>1</c:v>
                </c:pt>
                <c:pt idx="2">
                  <c:v>1.67</c:v>
                </c:pt>
                <c:pt idx="3">
                  <c:v>2</c:v>
                </c:pt>
              </c:numCache>
            </c:numRef>
          </c:xVal>
          <c:yVal>
            <c:numRef>
              <c:f>('Sensitivity analysis - HHD'!$E$444,'Sensitivity analysis - HHD'!$G$444,'Sensitivity analysis - HHD'!$J$444,'Sensitivity analysis - HHD'!$K$444)</c:f>
              <c:numCache>
                <c:formatCode>0.00</c:formatCode>
                <c:ptCount val="4"/>
                <c:pt idx="0">
                  <c:v>-2.8424970437452386E-5</c:v>
                </c:pt>
                <c:pt idx="1">
                  <c:v>3.337288673084206E-4</c:v>
                </c:pt>
                <c:pt idx="2">
                  <c:v>1.0580365428001664E-3</c:v>
                </c:pt>
              </c:numCache>
            </c:numRef>
          </c:yVal>
          <c:smooth val="0"/>
          <c:extLst>
            <c:ext xmlns:c16="http://schemas.microsoft.com/office/drawing/2014/chart" uri="{C3380CC4-5D6E-409C-BE32-E72D297353CC}">
              <c16:uniqueId val="{00000001-DCEC-4B89-B32B-9AE504C755ED}"/>
            </c:ext>
          </c:extLst>
        </c:ser>
        <c:ser>
          <c:idx val="2"/>
          <c:order val="2"/>
          <c:tx>
            <c:strRef>
              <c:f>'Sensitivity analysis - HHD'!$A$445</c:f>
              <c:strCache>
                <c:ptCount val="1"/>
                <c:pt idx="0">
                  <c:v>Lifetime DAC system</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'Sensitivity analysis - HHD'!$F$442:$G$442</c:f>
              <c:numCache>
                <c:formatCode>0%</c:formatCode>
                <c:ptCount val="2"/>
                <c:pt idx="0">
                  <c:v>0.8</c:v>
                </c:pt>
                <c:pt idx="1">
                  <c:v>1</c:v>
                </c:pt>
              </c:numCache>
            </c:numRef>
          </c:xVal>
          <c:yVal>
            <c:numRef>
              <c:f>'Sensitivity analysis - HHD'!$F$445:$G$445</c:f>
              <c:numCache>
                <c:formatCode>0.00</c:formatCode>
                <c:ptCount val="2"/>
                <c:pt idx="0">
                  <c:v>6.4916108413552547E-4</c:v>
                </c:pt>
                <c:pt idx="1">
                  <c:v>3.3372886730842044E-4</c:v>
                </c:pt>
              </c:numCache>
            </c:numRef>
          </c:yVal>
          <c:smooth val="0"/>
          <c:extLst>
            <c:ext xmlns:c16="http://schemas.microsoft.com/office/drawing/2014/chart" uri="{C3380CC4-5D6E-409C-BE32-E72D297353CC}">
              <c16:uniqueId val="{00000002-DCEC-4B89-B32B-9AE504C755ED}"/>
            </c:ext>
          </c:extLst>
        </c:ser>
        <c:ser>
          <c:idx val="3"/>
          <c:order val="3"/>
          <c:tx>
            <c:strRef>
              <c:f>'Sensitivity analysis - HHD'!$A$446</c:f>
              <c:strCache>
                <c:ptCount val="1"/>
                <c:pt idx="0">
                  <c:v>Lifetime sorbent material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('Sensitivity analysis - HHD'!$C$442,'Sensitivity analysis - HHD'!$G$442,'Sensitivity analysis - HHD'!$J$442)</c:f>
              <c:numCache>
                <c:formatCode>0%</c:formatCode>
                <c:ptCount val="3"/>
                <c:pt idx="0">
                  <c:v>0.33</c:v>
                </c:pt>
                <c:pt idx="1">
                  <c:v>1</c:v>
                </c:pt>
                <c:pt idx="2">
                  <c:v>1.67</c:v>
                </c:pt>
              </c:numCache>
            </c:numRef>
          </c:xVal>
          <c:yVal>
            <c:numRef>
              <c:f>('Sensitivity analysis - HHD'!$C$446,'Sensitivity analysis - HHD'!$G$446,'Sensitivity analysis - HHD'!$J$446)</c:f>
              <c:numCache>
                <c:formatCode>0.00</c:formatCode>
                <c:ptCount val="3"/>
                <c:pt idx="0">
                  <c:v>3.4866551899386488E-4</c:v>
                </c:pt>
                <c:pt idx="1">
                  <c:v>3.337288673084206E-4</c:v>
                </c:pt>
                <c:pt idx="2">
                  <c:v>3.3000767381044006E-4</c:v>
                </c:pt>
              </c:numCache>
            </c:numRef>
          </c:yVal>
          <c:smooth val="0"/>
          <c:extLst>
            <c:ext xmlns:c16="http://schemas.microsoft.com/office/drawing/2014/chart" uri="{C3380CC4-5D6E-409C-BE32-E72D297353CC}">
              <c16:uniqueId val="{00000003-DCEC-4B89-B32B-9AE504C755ED}"/>
            </c:ext>
          </c:extLst>
        </c:ser>
        <c:ser>
          <c:idx val="4"/>
          <c:order val="4"/>
          <c:tx>
            <c:strRef>
              <c:f>'Sensitivity analysis - HHD'!$A$447</c:f>
              <c:strCache>
                <c:ptCount val="1"/>
                <c:pt idx="0">
                  <c:v>Capacity DAC unit</c:v>
                </c:pt>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numRef>
              <c:f>('Sensitivity analysis - HHD'!$D$442,'Sensitivity analysis - HHD'!$G$442,'Sensitivity analysis - HHD'!$I$442)</c:f>
              <c:numCache>
                <c:formatCode>0%</c:formatCode>
                <c:ptCount val="3"/>
                <c:pt idx="0">
                  <c:v>0.5</c:v>
                </c:pt>
                <c:pt idx="1">
                  <c:v>1</c:v>
                </c:pt>
                <c:pt idx="2">
                  <c:v>1.5</c:v>
                </c:pt>
              </c:numCache>
            </c:numRef>
          </c:xVal>
          <c:yVal>
            <c:numRef>
              <c:f>('Sensitivity analysis - HHD'!$D$447,'Sensitivity analysis - HHD'!$G$447,'Sensitivity analysis - HHD'!$I$447)</c:f>
              <c:numCache>
                <c:formatCode>0.00</c:formatCode>
                <c:ptCount val="3"/>
                <c:pt idx="0">
                  <c:v>1.5954577346168407E-3</c:v>
                </c:pt>
                <c:pt idx="1">
                  <c:v>3.3372886730842044E-4</c:v>
                </c:pt>
                <c:pt idx="2">
                  <c:v>-8.6847421794386342E-5</c:v>
                </c:pt>
              </c:numCache>
            </c:numRef>
          </c:yVal>
          <c:smooth val="0"/>
          <c:extLst>
            <c:ext xmlns:c16="http://schemas.microsoft.com/office/drawing/2014/chart" uri="{C3380CC4-5D6E-409C-BE32-E72D297353CC}">
              <c16:uniqueId val="{00000004-DCEC-4B89-B32B-9AE504C755ED}"/>
            </c:ext>
          </c:extLst>
        </c:ser>
        <c:ser>
          <c:idx val="6"/>
          <c:order val="5"/>
          <c:tx>
            <c:strRef>
              <c:f>'Sensitivity analysis - HHD'!$A$448</c:f>
              <c:strCache>
                <c:ptCount val="1"/>
                <c:pt idx="0">
                  <c:v>Sorbent type - amine on silica</c:v>
                </c:pt>
              </c:strCache>
            </c:strRef>
          </c:tx>
          <c:spPr>
            <a:ln w="19050" cap="rnd">
              <a:noFill/>
              <a:round/>
            </a:ln>
            <a:effectLst/>
          </c:spPr>
          <c:marker>
            <c:symbol val="square"/>
            <c:size val="5"/>
            <c:spPr>
              <a:solidFill>
                <a:srgbClr val="C00000"/>
              </a:solidFill>
              <a:ln w="9525">
                <a:solidFill>
                  <a:srgbClr val="C00000"/>
                </a:solidFill>
              </a:ln>
              <a:effectLst/>
            </c:spPr>
          </c:marker>
          <c:xVal>
            <c:numRef>
              <c:f>'Sensitivity analysis - HHD'!$G$442</c:f>
              <c:numCache>
                <c:formatCode>0%</c:formatCode>
                <c:ptCount val="1"/>
                <c:pt idx="0">
                  <c:v>1</c:v>
                </c:pt>
              </c:numCache>
            </c:numRef>
          </c:xVal>
          <c:yVal>
            <c:numRef>
              <c:f>'Sensitivity analysis - HHD'!$G$448</c:f>
              <c:numCache>
                <c:formatCode>0.00</c:formatCode>
                <c:ptCount val="1"/>
                <c:pt idx="0">
                  <c:v>3.5004685253034256E-4</c:v>
                </c:pt>
              </c:numCache>
            </c:numRef>
          </c:yVal>
          <c:smooth val="0"/>
          <c:extLst>
            <c:ext xmlns:c16="http://schemas.microsoft.com/office/drawing/2014/chart" uri="{C3380CC4-5D6E-409C-BE32-E72D297353CC}">
              <c16:uniqueId val="{00000006-DCEC-4B89-B32B-9AE504C755ED}"/>
            </c:ext>
          </c:extLst>
        </c:ser>
        <c:dLbls>
          <c:showLegendKey val="0"/>
          <c:showVal val="0"/>
          <c:showCatName val="0"/>
          <c:showSerName val="0"/>
          <c:showPercent val="0"/>
          <c:showBubbleSize val="0"/>
        </c:dLbls>
        <c:axId val="894438607"/>
        <c:axId val="1119274239"/>
      </c:scatterChart>
      <c:valAx>
        <c:axId val="894438607"/>
        <c:scaling>
          <c:orientation val="minMax"/>
          <c:max val="2.5"/>
          <c:min val="0"/>
        </c:scaling>
        <c:delete val="0"/>
        <c:axPos val="b"/>
        <c:majorGridlines>
          <c:spPr>
            <a:ln w="9525" cap="flat" cmpd="sng" algn="ctr">
              <a:solidFill>
                <a:schemeClr val="tx1">
                  <a:lumMod val="50000"/>
                  <a:lumOff val="50000"/>
                </a:schemeClr>
              </a:solidFill>
              <a:round/>
            </a:ln>
            <a:effectLst/>
          </c:spPr>
        </c:majorGridlines>
        <c:numFmt formatCode="0%" sourceLinked="1"/>
        <c:majorTickMark val="none"/>
        <c:minorTickMark val="none"/>
        <c:tickLblPos val="high"/>
        <c:spPr>
          <a:noFill/>
          <a:ln w="190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1119274239"/>
        <c:crosses val="autoZero"/>
        <c:crossBetween val="midCat"/>
      </c:valAx>
      <c:valAx>
        <c:axId val="1119274239"/>
        <c:scaling>
          <c:orientation val="minMax"/>
        </c:scaling>
        <c:delete val="0"/>
        <c:axPos val="l"/>
        <c:majorGridlines>
          <c:spPr>
            <a:ln w="9525" cap="flat" cmpd="sng" algn="ctr">
              <a:solidFill>
                <a:schemeClr val="tx1">
                  <a:lumMod val="50000"/>
                  <a:lumOff val="50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r>
                  <a:rPr lang="nl-NL"/>
                  <a:t>Human</a:t>
                </a:r>
                <a:r>
                  <a:rPr lang="nl-NL" baseline="0"/>
                  <a:t> health damage</a:t>
                </a:r>
              </a:p>
              <a:p>
                <a:pPr>
                  <a:defRPr/>
                </a:pPr>
                <a:r>
                  <a:rPr lang="nl-NL" baseline="0"/>
                  <a:t>[DALY</a:t>
                </a:r>
                <a:r>
                  <a:rPr lang="nl-NL"/>
                  <a:t>/ton CO</a:t>
                </a:r>
                <a:r>
                  <a:rPr lang="nl-NL" baseline="-25000"/>
                  <a:t>2</a:t>
                </a:r>
                <a:r>
                  <a:rPr lang="nl-NL"/>
                  <a:t> captured and stored]</a:t>
                </a:r>
              </a:p>
            </c:rich>
          </c:tx>
          <c:layout>
            <c:manualLayout>
              <c:xMode val="edge"/>
              <c:yMode val="edge"/>
              <c:x val="9.6235856809711307E-3"/>
              <c:y val="0.1179903470103940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title>
        <c:numFmt formatCode="0.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894438607"/>
        <c:crosses val="autoZero"/>
        <c:crossBetween val="midCat"/>
      </c:valAx>
      <c:spPr>
        <a:noFill/>
        <a:ln w="19050">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printSettings>
    <c:headerFooter/>
    <c:pageMargins b="0.75" l="0.7" r="0.7" t="0.75" header="0.3" footer="0.3"/>
    <c:pageSetup/>
  </c:printSettings>
</c:chartSpace>
</file>

<file path=xl/charts/chart1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(I) - HHD'!$AB$214</c:f>
              <c:strCache>
                <c:ptCount val="1"/>
                <c:pt idx="0">
                  <c:v>Construction - DAC</c:v>
                </c:pt>
              </c:strCache>
            </c:strRef>
          </c:tx>
          <c:spPr>
            <a:solidFill>
              <a:schemeClr val="accent4">
                <a:lumMod val="75000"/>
              </a:schemeClr>
            </a:solidFill>
            <a:ln>
              <a:noFill/>
            </a:ln>
            <a:effectLst/>
          </c:spPr>
          <c:invertIfNegative val="0"/>
          <c:cat>
            <c:numRef>
              <c:f>'Results ReCiPe (I) - HHD'!$AC$213:$BA$213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HHD'!$AC$214:$BA$214</c:f>
              <c:numCache>
                <c:formatCode>0.00E+00</c:formatCode>
                <c:ptCount val="25"/>
                <c:pt idx="0">
                  <c:v>1.5356286610143191E-2</c:v>
                </c:pt>
              </c:numCache>
            </c:numRef>
          </c:val>
          <c:extLst>
            <c:ext xmlns:c16="http://schemas.microsoft.com/office/drawing/2014/chart" uri="{C3380CC4-5D6E-409C-BE32-E72D297353CC}">
              <c16:uniqueId val="{00000000-C056-4770-A94B-EC29E04867F2}"/>
            </c:ext>
          </c:extLst>
        </c:ser>
        <c:ser>
          <c:idx val="1"/>
          <c:order val="1"/>
          <c:tx>
            <c:strRef>
              <c:f>'Results ReCiPe (I) - HHD'!$AB$215</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(I) - HHD'!$AC$213:$BA$213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HHD'!$AC$215:$BA$215</c:f>
              <c:numCache>
                <c:formatCode>0.00E+00</c:formatCode>
                <c:ptCount val="25"/>
                <c:pt idx="0">
                  <c:v>9.37129982231934E-4</c:v>
                </c:pt>
              </c:numCache>
            </c:numRef>
          </c:val>
          <c:extLst>
            <c:ext xmlns:c16="http://schemas.microsoft.com/office/drawing/2014/chart" uri="{C3380CC4-5D6E-409C-BE32-E72D297353CC}">
              <c16:uniqueId val="{00000001-C056-4770-A94B-EC29E04867F2}"/>
            </c:ext>
          </c:extLst>
        </c:ser>
        <c:ser>
          <c:idx val="2"/>
          <c:order val="2"/>
          <c:tx>
            <c:strRef>
              <c:f>'Results ReCiPe (I) - HHD'!$AB$216</c:f>
              <c:strCache>
                <c:ptCount val="1"/>
                <c:pt idx="0">
                  <c:v>Deconstruction - DAC</c:v>
                </c:pt>
              </c:strCache>
            </c:strRef>
          </c:tx>
          <c:spPr>
            <a:solidFill>
              <a:schemeClr val="accent2">
                <a:lumMod val="40000"/>
                <a:lumOff val="60000"/>
              </a:schemeClr>
            </a:solidFill>
            <a:ln>
              <a:noFill/>
            </a:ln>
            <a:effectLst/>
          </c:spPr>
          <c:invertIfNegative val="0"/>
          <c:cat>
            <c:numRef>
              <c:f>'Results ReCiPe (I) - HHD'!$AC$213:$BA$213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HHD'!$AC$216:$BA$216</c:f>
              <c:numCache>
                <c:formatCode>0.00E+00</c:formatCode>
                <c:ptCount val="25"/>
                <c:pt idx="24">
                  <c:v>1.321106762411555E-4</c:v>
                </c:pt>
              </c:numCache>
            </c:numRef>
          </c:val>
          <c:extLst>
            <c:ext xmlns:c16="http://schemas.microsoft.com/office/drawing/2014/chart" uri="{C3380CC4-5D6E-409C-BE32-E72D297353CC}">
              <c16:uniqueId val="{00000002-C056-4770-A94B-EC29E04867F2}"/>
            </c:ext>
          </c:extLst>
        </c:ser>
        <c:ser>
          <c:idx val="3"/>
          <c:order val="3"/>
          <c:tx>
            <c:strRef>
              <c:f>'Results ReCiPe (I) - HHD'!$AB$217</c:f>
              <c:strCache>
                <c:ptCount val="1"/>
                <c:pt idx="0">
                  <c:v>Deconstruction - geological storage</c:v>
                </c:pt>
              </c:strCache>
            </c:strRef>
          </c:tx>
          <c:spPr>
            <a:solidFill>
              <a:srgbClr val="FF9900"/>
            </a:solidFill>
            <a:ln>
              <a:noFill/>
            </a:ln>
            <a:effectLst/>
          </c:spPr>
          <c:invertIfNegative val="0"/>
          <c:cat>
            <c:numRef>
              <c:f>'Results ReCiPe (I) - HHD'!$AC$213:$BA$213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HHD'!$AC$217:$BA$217</c:f>
              <c:numCache>
                <c:formatCode>0.00E+00</c:formatCode>
                <c:ptCount val="25"/>
                <c:pt idx="24">
                  <c:v>4.8662670395198596E-6</c:v>
                </c:pt>
              </c:numCache>
            </c:numRef>
          </c:val>
          <c:extLst>
            <c:ext xmlns:c16="http://schemas.microsoft.com/office/drawing/2014/chart" uri="{C3380CC4-5D6E-409C-BE32-E72D297353CC}">
              <c16:uniqueId val="{00000003-C056-4770-A94B-EC29E04867F2}"/>
            </c:ext>
          </c:extLst>
        </c:ser>
        <c:ser>
          <c:idx val="4"/>
          <c:order val="4"/>
          <c:tx>
            <c:strRef>
              <c:f>'Results ReCiPe (I) - HHD'!$AB$218</c:f>
              <c:strCache>
                <c:ptCount val="1"/>
                <c:pt idx="0">
                  <c:v>Sorbent material</c:v>
                </c:pt>
              </c:strCache>
            </c:strRef>
          </c:tx>
          <c:spPr>
            <a:solidFill>
              <a:srgbClr val="FF8F8F"/>
            </a:solidFill>
            <a:ln>
              <a:noFill/>
            </a:ln>
            <a:effectLst/>
          </c:spPr>
          <c:invertIfNegative val="0"/>
          <c:cat>
            <c:numRef>
              <c:f>'Results ReCiPe (I) - HHD'!$AC$213:$BA$213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HHD'!$AC$218:$BA$218</c:f>
              <c:numCache>
                <c:formatCode>0.00E+00</c:formatCode>
                <c:ptCount val="25"/>
                <c:pt idx="0">
                  <c:v>2.6322721726552512E-4</c:v>
                </c:pt>
                <c:pt idx="3">
                  <c:v>2.4790954055705099E-4</c:v>
                </c:pt>
                <c:pt idx="6">
                  <c:v>2.3818826466101599E-4</c:v>
                </c:pt>
                <c:pt idx="9">
                  <c:v>2.3687057090296699E-4</c:v>
                </c:pt>
                <c:pt idx="12">
                  <c:v>2.3577478459469749E-4</c:v>
                </c:pt>
                <c:pt idx="15">
                  <c:v>2.3445141905597099E-4</c:v>
                </c:pt>
                <c:pt idx="18">
                  <c:v>2.3247380057932901E-4</c:v>
                </c:pt>
                <c:pt idx="21">
                  <c:v>2.3538466572112359E-4</c:v>
                </c:pt>
                <c:pt idx="24">
                  <c:v>2.348623971618371E-4</c:v>
                </c:pt>
              </c:numCache>
            </c:numRef>
          </c:val>
          <c:extLst>
            <c:ext xmlns:c16="http://schemas.microsoft.com/office/drawing/2014/chart" uri="{C3380CC4-5D6E-409C-BE32-E72D297353CC}">
              <c16:uniqueId val="{00000004-C056-4770-A94B-EC29E04867F2}"/>
            </c:ext>
          </c:extLst>
        </c:ser>
        <c:ser>
          <c:idx val="5"/>
          <c:order val="5"/>
          <c:tx>
            <c:strRef>
              <c:f>'Results ReCiPe (I) - HHD'!$AB$219</c:f>
              <c:strCache>
                <c:ptCount val="1"/>
                <c:pt idx="0">
                  <c:v>Operation - DAC</c:v>
                </c:pt>
              </c:strCache>
            </c:strRef>
          </c:tx>
          <c:spPr>
            <a:solidFill>
              <a:schemeClr val="accent2">
                <a:lumMod val="75000"/>
              </a:schemeClr>
            </a:solidFill>
            <a:ln>
              <a:noFill/>
            </a:ln>
            <a:effectLst/>
          </c:spPr>
          <c:invertIfNegative val="0"/>
          <c:cat>
            <c:numRef>
              <c:f>'Results ReCiPe (I) - HHD'!$AC$213:$BA$213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HHD'!$AC$219:$BA$219</c:f>
              <c:numCache>
                <c:formatCode>0.00E+00</c:formatCode>
                <c:ptCount val="25"/>
                <c:pt idx="0">
                  <c:v>4.670071705280378E-3</c:v>
                </c:pt>
                <c:pt idx="1">
                  <c:v>4.4578866863461478E-3</c:v>
                </c:pt>
                <c:pt idx="2">
                  <c:v>4.2409302289263141E-3</c:v>
                </c:pt>
                <c:pt idx="3">
                  <c:v>4.0114364899245386E-3</c:v>
                </c:pt>
                <c:pt idx="4">
                  <c:v>3.7874343373399759E-3</c:v>
                </c:pt>
                <c:pt idx="5">
                  <c:v>3.5625407101732847E-3</c:v>
                </c:pt>
                <c:pt idx="6">
                  <c:v>3.563389180378379E-3</c:v>
                </c:pt>
                <c:pt idx="7">
                  <c:v>3.5632052368936989E-3</c:v>
                </c:pt>
                <c:pt idx="8">
                  <c:v>3.5588708920523829E-3</c:v>
                </c:pt>
                <c:pt idx="9">
                  <c:v>3.5564513366034582E-3</c:v>
                </c:pt>
                <c:pt idx="10">
                  <c:v>3.5530639093685526E-3</c:v>
                </c:pt>
                <c:pt idx="11">
                  <c:v>3.5612085343877517E-3</c:v>
                </c:pt>
                <c:pt idx="12">
                  <c:v>3.5695477327511906E-3</c:v>
                </c:pt>
                <c:pt idx="13">
                  <c:v>3.5775207177168532E-3</c:v>
                </c:pt>
                <c:pt idx="14">
                  <c:v>3.5860421620648197E-3</c:v>
                </c:pt>
                <c:pt idx="15">
                  <c:v>3.5946648910172067E-3</c:v>
                </c:pt>
                <c:pt idx="16">
                  <c:v>3.4576546734187779E-3</c:v>
                </c:pt>
                <c:pt idx="17">
                  <c:v>3.3202107783277019E-3</c:v>
                </c:pt>
                <c:pt idx="18">
                  <c:v>3.1831776461662756E-3</c:v>
                </c:pt>
                <c:pt idx="19">
                  <c:v>3.047665154309283E-3</c:v>
                </c:pt>
                <c:pt idx="20">
                  <c:v>2.9136829411517541E-3</c:v>
                </c:pt>
                <c:pt idx="21">
                  <c:v>2.9520498808193771E-3</c:v>
                </c:pt>
                <c:pt idx="22">
                  <c:v>2.9040572108154665E-3</c:v>
                </c:pt>
                <c:pt idx="23">
                  <c:v>2.8558770236330432E-3</c:v>
                </c:pt>
                <c:pt idx="24">
                  <c:v>2.8075024448013988E-3</c:v>
                </c:pt>
              </c:numCache>
            </c:numRef>
          </c:val>
          <c:extLst>
            <c:ext xmlns:c16="http://schemas.microsoft.com/office/drawing/2014/chart" uri="{C3380CC4-5D6E-409C-BE32-E72D297353CC}">
              <c16:uniqueId val="{00000005-C056-4770-A94B-EC29E04867F2}"/>
            </c:ext>
          </c:extLst>
        </c:ser>
        <c:ser>
          <c:idx val="6"/>
          <c:order val="6"/>
          <c:tx>
            <c:strRef>
              <c:f>'Results ReCiPe (I) - HHD'!$AB$220</c:f>
              <c:strCache>
                <c:ptCount val="1"/>
                <c:pt idx="0">
                  <c:v>Operation - geological storage</c:v>
                </c:pt>
              </c:strCache>
            </c:strRef>
          </c:tx>
          <c:spPr>
            <a:solidFill>
              <a:schemeClr val="accent2">
                <a:lumMod val="50000"/>
              </a:schemeClr>
            </a:solidFill>
            <a:ln>
              <a:noFill/>
            </a:ln>
            <a:effectLst/>
          </c:spPr>
          <c:invertIfNegative val="0"/>
          <c:cat>
            <c:numRef>
              <c:f>'Results ReCiPe (I) - HHD'!$AC$213:$BA$213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HHD'!$AC$220:$BA$220</c:f>
              <c:numCache>
                <c:formatCode>0.00E+00</c:formatCode>
                <c:ptCount val="25"/>
                <c:pt idx="0">
                  <c:v>4.9746858368287822E-4</c:v>
                </c:pt>
                <c:pt idx="1">
                  <c:v>4.7504634846731909E-4</c:v>
                </c:pt>
                <c:pt idx="2">
                  <c:v>4.52263553392185E-4</c:v>
                </c:pt>
                <c:pt idx="3">
                  <c:v>4.2838489097473266E-4</c:v>
                </c:pt>
                <c:pt idx="4">
                  <c:v>4.0515053736597963E-4</c:v>
                </c:pt>
                <c:pt idx="5">
                  <c:v>3.8194385144874683E-4</c:v>
                </c:pt>
                <c:pt idx="6">
                  <c:v>3.8153071290807176E-4</c:v>
                </c:pt>
                <c:pt idx="7">
                  <c:v>3.8101021789392397E-4</c:v>
                </c:pt>
                <c:pt idx="8">
                  <c:v>3.800842230370935E-4</c:v>
                </c:pt>
                <c:pt idx="9">
                  <c:v>3.7933346046292943E-4</c:v>
                </c:pt>
                <c:pt idx="10">
                  <c:v>3.7848129519123822E-4</c:v>
                </c:pt>
                <c:pt idx="11">
                  <c:v>3.7932150181227431E-4</c:v>
                </c:pt>
                <c:pt idx="12">
                  <c:v>3.8018070516697319E-4</c:v>
                </c:pt>
                <c:pt idx="13">
                  <c:v>3.8100773758655167E-4</c:v>
                </c:pt>
                <c:pt idx="14">
                  <c:v>3.8189052245592582E-4</c:v>
                </c:pt>
                <c:pt idx="15">
                  <c:v>3.8278513242929053E-4</c:v>
                </c:pt>
                <c:pt idx="16">
                  <c:v>3.7028939282599151E-4</c:v>
                </c:pt>
                <c:pt idx="17">
                  <c:v>3.576320102046869E-4</c:v>
                </c:pt>
                <c:pt idx="18">
                  <c:v>3.4489655940992412E-4</c:v>
                </c:pt>
                <c:pt idx="19">
                  <c:v>3.3219025430763919E-4</c:v>
                </c:pt>
                <c:pt idx="20">
                  <c:v>3.1949371547186563E-4</c:v>
                </c:pt>
                <c:pt idx="21">
                  <c:v>3.2340950623228811E-4</c:v>
                </c:pt>
                <c:pt idx="22">
                  <c:v>3.1840021938224863E-4</c:v>
                </c:pt>
                <c:pt idx="23">
                  <c:v>3.1338639157498839E-4</c:v>
                </c:pt>
                <c:pt idx="24">
                  <c:v>3.083671218770378E-4</c:v>
                </c:pt>
              </c:numCache>
            </c:numRef>
          </c:val>
          <c:extLst>
            <c:ext xmlns:c16="http://schemas.microsoft.com/office/drawing/2014/chart" uri="{C3380CC4-5D6E-409C-BE32-E72D297353CC}">
              <c16:uniqueId val="{00000006-C056-4770-A94B-EC29E04867F2}"/>
            </c:ext>
          </c:extLst>
        </c:ser>
        <c:ser>
          <c:idx val="7"/>
          <c:order val="7"/>
          <c:tx>
            <c:strRef>
              <c:f>'Results ReCiPe (I) - HHD'!$AB$221</c:f>
              <c:strCache>
                <c:ptCount val="1"/>
                <c:pt idx="0">
                  <c:v>CO2 captured and stored</c:v>
                </c:pt>
              </c:strCache>
            </c:strRef>
          </c:tx>
          <c:spPr>
            <a:solidFill>
              <a:schemeClr val="tx2">
                <a:lumMod val="20000"/>
                <a:lumOff val="80000"/>
              </a:schemeClr>
            </a:solidFill>
            <a:ln>
              <a:noFill/>
            </a:ln>
            <a:effectLst/>
          </c:spPr>
          <c:invertIfNegative val="0"/>
          <c:cat>
            <c:numRef>
              <c:f>'Results ReCiPe (I) - HHD'!$AC$213:$BA$213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HHD'!$AC$221:$BA$221</c:f>
              <c:numCache>
                <c:formatCode>0.00E+00</c:formatCode>
                <c:ptCount val="25"/>
                <c:pt idx="0">
                  <c:v>-8.1199999999999987E-3</c:v>
                </c:pt>
                <c:pt idx="1">
                  <c:v>-8.1199999999999987E-3</c:v>
                </c:pt>
                <c:pt idx="2">
                  <c:v>-8.1199999999999987E-3</c:v>
                </c:pt>
                <c:pt idx="3">
                  <c:v>-8.1199999999999987E-3</c:v>
                </c:pt>
                <c:pt idx="4">
                  <c:v>-8.1199999999999987E-3</c:v>
                </c:pt>
                <c:pt idx="5">
                  <c:v>-8.1199999999999987E-3</c:v>
                </c:pt>
                <c:pt idx="6">
                  <c:v>-8.1199999999999987E-3</c:v>
                </c:pt>
                <c:pt idx="7">
                  <c:v>-8.1199999999999987E-3</c:v>
                </c:pt>
                <c:pt idx="8">
                  <c:v>-8.1199999999999987E-3</c:v>
                </c:pt>
                <c:pt idx="9">
                  <c:v>-8.1199999999999987E-3</c:v>
                </c:pt>
                <c:pt idx="10">
                  <c:v>-8.1199999999999987E-3</c:v>
                </c:pt>
                <c:pt idx="11">
                  <c:v>-8.1199999999999987E-3</c:v>
                </c:pt>
                <c:pt idx="12">
                  <c:v>-8.1199999999999987E-3</c:v>
                </c:pt>
                <c:pt idx="13">
                  <c:v>-8.1199999999999987E-3</c:v>
                </c:pt>
                <c:pt idx="14">
                  <c:v>-8.1199999999999987E-3</c:v>
                </c:pt>
                <c:pt idx="15">
                  <c:v>-8.1199999999999987E-3</c:v>
                </c:pt>
                <c:pt idx="16">
                  <c:v>-8.1199999999999987E-3</c:v>
                </c:pt>
                <c:pt idx="17">
                  <c:v>-8.1199999999999987E-3</c:v>
                </c:pt>
                <c:pt idx="18">
                  <c:v>-8.1199999999999987E-3</c:v>
                </c:pt>
                <c:pt idx="19">
                  <c:v>-8.1199999999999987E-3</c:v>
                </c:pt>
                <c:pt idx="20">
                  <c:v>-8.1199999999999987E-3</c:v>
                </c:pt>
                <c:pt idx="21">
                  <c:v>-8.1199999999999987E-3</c:v>
                </c:pt>
                <c:pt idx="22">
                  <c:v>-8.1199999999999987E-3</c:v>
                </c:pt>
                <c:pt idx="23">
                  <c:v>-8.1199999999999987E-3</c:v>
                </c:pt>
                <c:pt idx="24">
                  <c:v>-8.1199999999999987E-3</c:v>
                </c:pt>
              </c:numCache>
            </c:numRef>
          </c:val>
          <c:extLst>
            <c:ext xmlns:c16="http://schemas.microsoft.com/office/drawing/2014/chart" uri="{C3380CC4-5D6E-409C-BE32-E72D297353CC}">
              <c16:uniqueId val="{00000007-C056-4770-A94B-EC29E04867F2}"/>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(I) - HHD'!$AB$222</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cat>
            <c:numRef>
              <c:f>'Results ReCiPe (I) - HHD'!$AC$213:$BA$213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HHD'!$AC$222:$BA$222</c:f>
              <c:numCache>
                <c:formatCode>0.00E+00</c:formatCode>
                <c:ptCount val="25"/>
                <c:pt idx="0">
                  <c:v>1.3604184098603908E-2</c:v>
                </c:pt>
                <c:pt idx="1">
                  <c:v>-3.1870669651865319E-3</c:v>
                </c:pt>
                <c:pt idx="2">
                  <c:v>-3.4268062176814997E-3</c:v>
                </c:pt>
                <c:pt idx="3">
                  <c:v>-3.4322690785436767E-3</c:v>
                </c:pt>
                <c:pt idx="4">
                  <c:v>-3.9274151252940434E-3</c:v>
                </c:pt>
                <c:pt idx="5">
                  <c:v>-4.175515438377967E-3</c:v>
                </c:pt>
                <c:pt idx="6">
                  <c:v>-3.9368918420525315E-3</c:v>
                </c:pt>
                <c:pt idx="7">
                  <c:v>-4.1757845452123762E-3</c:v>
                </c:pt>
                <c:pt idx="8">
                  <c:v>-4.1810448849105225E-3</c:v>
                </c:pt>
                <c:pt idx="9">
                  <c:v>-3.9473446320306442E-3</c:v>
                </c:pt>
                <c:pt idx="10">
                  <c:v>-4.1884547954402079E-3</c:v>
                </c:pt>
                <c:pt idx="11">
                  <c:v>-4.1794699637999729E-3</c:v>
                </c:pt>
                <c:pt idx="12">
                  <c:v>-3.9344967774871372E-3</c:v>
                </c:pt>
                <c:pt idx="13">
                  <c:v>-4.1614715446965942E-3</c:v>
                </c:pt>
                <c:pt idx="14">
                  <c:v>-4.1520673154792536E-3</c:v>
                </c:pt>
                <c:pt idx="15">
                  <c:v>-3.9080985574975304E-3</c:v>
                </c:pt>
                <c:pt idx="16">
                  <c:v>-4.2920559337552289E-3</c:v>
                </c:pt>
                <c:pt idx="17">
                  <c:v>-4.4421572114676094E-3</c:v>
                </c:pt>
                <c:pt idx="18">
                  <c:v>-4.3594519938444706E-3</c:v>
                </c:pt>
                <c:pt idx="19">
                  <c:v>-4.7401445913830761E-3</c:v>
                </c:pt>
                <c:pt idx="20">
                  <c:v>-4.8868233433763796E-3</c:v>
                </c:pt>
                <c:pt idx="21">
                  <c:v>-4.6091559472272101E-3</c:v>
                </c:pt>
                <c:pt idx="22">
                  <c:v>-4.8975425698022839E-3</c:v>
                </c:pt>
                <c:pt idx="23">
                  <c:v>-4.9507365847919673E-3</c:v>
                </c:pt>
                <c:pt idx="24">
                  <c:v>-4.6322910928790501E-3</c:v>
                </c:pt>
              </c:numCache>
            </c:numRef>
          </c:val>
          <c:smooth val="0"/>
          <c:extLst>
            <c:ext xmlns:c16="http://schemas.microsoft.com/office/drawing/2014/chart" uri="{C3380CC4-5D6E-409C-BE32-E72D297353CC}">
              <c16:uniqueId val="{00000008-C056-4770-A94B-EC29E04867F2}"/>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Human</a:t>
                </a:r>
                <a:r>
                  <a:rPr lang="nl-NL" baseline="0"/>
                  <a:t> health</a:t>
                </a:r>
                <a:r>
                  <a:rPr lang="nl-NL"/>
                  <a:t> damage </a:t>
                </a:r>
                <a:br>
                  <a:rPr lang="nl-NL"/>
                </a:br>
                <a:r>
                  <a:rPr lang="nl-NL"/>
                  <a:t>(DALY/ton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26879729621161"/>
          <c:y val="5.4106329588493672E-2"/>
          <c:w val="0.87797394606685986"/>
          <c:h val="0.75500483548693564"/>
        </c:manualLayout>
      </c:layout>
      <c:barChart>
        <c:barDir val="col"/>
        <c:grouping val="stacked"/>
        <c:varyColors val="0"/>
        <c:ser>
          <c:idx val="0"/>
          <c:order val="0"/>
          <c:tx>
            <c:strRef>
              <c:f>'Results ReCiPe (I) - HHD'!$AB$274</c:f>
              <c:strCache>
                <c:ptCount val="1"/>
                <c:pt idx="0">
                  <c:v>Construction - DAC</c:v>
                </c:pt>
              </c:strCache>
            </c:strRef>
          </c:tx>
          <c:spPr>
            <a:solidFill>
              <a:schemeClr val="accent4">
                <a:lumMod val="75000"/>
              </a:schemeClr>
            </a:solidFill>
            <a:ln>
              <a:noFill/>
            </a:ln>
            <a:effectLst/>
          </c:spPr>
          <c:invertIfNegative val="0"/>
          <c:cat>
            <c:numRef>
              <c:f>'Results ReCiPe (I) - HHD'!$AC$273:$BA$273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HHD'!$AC$274:$BA$274</c:f>
              <c:numCache>
                <c:formatCode>0.00E+00</c:formatCode>
                <c:ptCount val="25"/>
                <c:pt idx="0">
                  <c:v>1.6817381364946159E-2</c:v>
                </c:pt>
              </c:numCache>
            </c:numRef>
          </c:val>
          <c:extLst>
            <c:ext xmlns:c16="http://schemas.microsoft.com/office/drawing/2014/chart" uri="{C3380CC4-5D6E-409C-BE32-E72D297353CC}">
              <c16:uniqueId val="{00000000-7FBC-45DF-BC45-122FDE2CE5F5}"/>
            </c:ext>
          </c:extLst>
        </c:ser>
        <c:ser>
          <c:idx val="1"/>
          <c:order val="1"/>
          <c:tx>
            <c:strRef>
              <c:f>'Results ReCiPe (I) - HHD'!$AB$275</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(I) - HHD'!$AC$273:$BA$273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HHD'!$AC$275:$BA$275</c:f>
              <c:numCache>
                <c:formatCode>0.00E+00</c:formatCode>
                <c:ptCount val="25"/>
                <c:pt idx="0">
                  <c:v>5.2853395763745249E-4</c:v>
                </c:pt>
              </c:numCache>
            </c:numRef>
          </c:val>
          <c:extLst>
            <c:ext xmlns:c16="http://schemas.microsoft.com/office/drawing/2014/chart" uri="{C3380CC4-5D6E-409C-BE32-E72D297353CC}">
              <c16:uniqueId val="{00000001-7FBC-45DF-BC45-122FDE2CE5F5}"/>
            </c:ext>
          </c:extLst>
        </c:ser>
        <c:ser>
          <c:idx val="2"/>
          <c:order val="2"/>
          <c:tx>
            <c:strRef>
              <c:f>'Results ReCiPe (I) - HHD'!$AB$276</c:f>
              <c:strCache>
                <c:ptCount val="1"/>
                <c:pt idx="0">
                  <c:v>Deconstruction - DAC</c:v>
                </c:pt>
              </c:strCache>
            </c:strRef>
          </c:tx>
          <c:spPr>
            <a:solidFill>
              <a:schemeClr val="accent2">
                <a:lumMod val="40000"/>
                <a:lumOff val="60000"/>
              </a:schemeClr>
            </a:solidFill>
            <a:ln>
              <a:noFill/>
            </a:ln>
            <a:effectLst/>
          </c:spPr>
          <c:invertIfNegative val="0"/>
          <c:cat>
            <c:numRef>
              <c:f>'Results ReCiPe (I) - HHD'!$AC$273:$BA$273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HHD'!$AC$276:$BA$276</c:f>
              <c:numCache>
                <c:formatCode>0.00E+00</c:formatCode>
                <c:ptCount val="25"/>
                <c:pt idx="24">
                  <c:v>1.5084924361783567E-4</c:v>
                </c:pt>
              </c:numCache>
            </c:numRef>
          </c:val>
          <c:extLst>
            <c:ext xmlns:c16="http://schemas.microsoft.com/office/drawing/2014/chart" uri="{C3380CC4-5D6E-409C-BE32-E72D297353CC}">
              <c16:uniqueId val="{00000002-7FBC-45DF-BC45-122FDE2CE5F5}"/>
            </c:ext>
          </c:extLst>
        </c:ser>
        <c:ser>
          <c:idx val="3"/>
          <c:order val="3"/>
          <c:tx>
            <c:strRef>
              <c:f>'Results ReCiPe (I) - HHD'!$AB$277</c:f>
              <c:strCache>
                <c:ptCount val="1"/>
                <c:pt idx="0">
                  <c:v>Deconstruction - geological storage</c:v>
                </c:pt>
              </c:strCache>
            </c:strRef>
          </c:tx>
          <c:spPr>
            <a:solidFill>
              <a:srgbClr val="FF9900"/>
            </a:solidFill>
            <a:ln>
              <a:noFill/>
            </a:ln>
            <a:effectLst/>
          </c:spPr>
          <c:invertIfNegative val="0"/>
          <c:cat>
            <c:numRef>
              <c:f>'Results ReCiPe (I) - HHD'!$AC$273:$BA$273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HHD'!$AC$277:$BA$277</c:f>
              <c:numCache>
                <c:formatCode>0.00E+00</c:formatCode>
                <c:ptCount val="25"/>
                <c:pt idx="24">
                  <c:v>2.5844230653334048E-6</c:v>
                </c:pt>
              </c:numCache>
            </c:numRef>
          </c:val>
          <c:extLst>
            <c:ext xmlns:c16="http://schemas.microsoft.com/office/drawing/2014/chart" uri="{C3380CC4-5D6E-409C-BE32-E72D297353CC}">
              <c16:uniqueId val="{00000003-7FBC-45DF-BC45-122FDE2CE5F5}"/>
            </c:ext>
          </c:extLst>
        </c:ser>
        <c:ser>
          <c:idx val="4"/>
          <c:order val="4"/>
          <c:tx>
            <c:strRef>
              <c:f>'Results ReCiPe (I) - HHD'!$AB$278</c:f>
              <c:strCache>
                <c:ptCount val="1"/>
                <c:pt idx="0">
                  <c:v>Sorbent material</c:v>
                </c:pt>
              </c:strCache>
            </c:strRef>
          </c:tx>
          <c:spPr>
            <a:solidFill>
              <a:srgbClr val="FF8F8F"/>
            </a:solidFill>
            <a:ln>
              <a:noFill/>
            </a:ln>
            <a:effectLst/>
          </c:spPr>
          <c:invertIfNegative val="0"/>
          <c:cat>
            <c:numRef>
              <c:f>'Results ReCiPe (I) - HHD'!$AC$273:$BA$273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HHD'!$AC$278:$BA$278</c:f>
              <c:numCache>
                <c:formatCode>0.00E+00</c:formatCode>
                <c:ptCount val="25"/>
                <c:pt idx="0">
                  <c:v>3.0950823392567891E-4</c:v>
                </c:pt>
                <c:pt idx="3">
                  <c:v>3.0470171244799881E-4</c:v>
                </c:pt>
                <c:pt idx="6">
                  <c:v>3.0220482749963639E-4</c:v>
                </c:pt>
                <c:pt idx="9">
                  <c:v>3.0088082558559647E-4</c:v>
                </c:pt>
                <c:pt idx="12">
                  <c:v>3.0032218865651928E-4</c:v>
                </c:pt>
                <c:pt idx="15">
                  <c:v>2.9975776117043001E-4</c:v>
                </c:pt>
                <c:pt idx="18">
                  <c:v>2.9488735419779449E-4</c:v>
                </c:pt>
                <c:pt idx="21">
                  <c:v>3.0452007285205519E-4</c:v>
                </c:pt>
                <c:pt idx="24">
                  <c:v>2.9772367667854253E-4</c:v>
                </c:pt>
              </c:numCache>
            </c:numRef>
          </c:val>
          <c:extLst>
            <c:ext xmlns:c16="http://schemas.microsoft.com/office/drawing/2014/chart" uri="{C3380CC4-5D6E-409C-BE32-E72D297353CC}">
              <c16:uniqueId val="{00000004-7FBC-45DF-BC45-122FDE2CE5F5}"/>
            </c:ext>
          </c:extLst>
        </c:ser>
        <c:ser>
          <c:idx val="5"/>
          <c:order val="5"/>
          <c:tx>
            <c:strRef>
              <c:f>'Results ReCiPe (I) - HHD'!$AB$279</c:f>
              <c:strCache>
                <c:ptCount val="1"/>
                <c:pt idx="0">
                  <c:v>Battery</c:v>
                </c:pt>
              </c:strCache>
            </c:strRef>
          </c:tx>
          <c:spPr>
            <a:solidFill>
              <a:schemeClr val="accent6">
                <a:lumMod val="50000"/>
              </a:schemeClr>
            </a:solidFill>
            <a:ln>
              <a:noFill/>
            </a:ln>
            <a:effectLst/>
          </c:spPr>
          <c:invertIfNegative val="0"/>
          <c:cat>
            <c:numRef>
              <c:f>'Results ReCiPe (I) - HHD'!$AC$273:$BA$273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HHD'!$AC$279:$BA$279</c:f>
              <c:numCache>
                <c:formatCode>0.00E+00</c:formatCode>
                <c:ptCount val="25"/>
                <c:pt idx="0">
                  <c:v>2.366063537069564E-3</c:v>
                </c:pt>
                <c:pt idx="1">
                  <c:v>2.366063537069564E-3</c:v>
                </c:pt>
                <c:pt idx="2">
                  <c:v>2.366063537069564E-3</c:v>
                </c:pt>
                <c:pt idx="3">
                  <c:v>2.366063537069564E-3</c:v>
                </c:pt>
                <c:pt idx="4">
                  <c:v>2.366063537069564E-3</c:v>
                </c:pt>
                <c:pt idx="5">
                  <c:v>2.366063537069564E-3</c:v>
                </c:pt>
                <c:pt idx="6">
                  <c:v>2.366063537069564E-3</c:v>
                </c:pt>
                <c:pt idx="7">
                  <c:v>2.366063537069564E-3</c:v>
                </c:pt>
                <c:pt idx="8">
                  <c:v>2.366063537069564E-3</c:v>
                </c:pt>
                <c:pt idx="9">
                  <c:v>2.366063537069564E-3</c:v>
                </c:pt>
                <c:pt idx="10">
                  <c:v>2.366063537069564E-3</c:v>
                </c:pt>
                <c:pt idx="11">
                  <c:v>2.366063537069564E-3</c:v>
                </c:pt>
                <c:pt idx="12">
                  <c:v>2.366063537069564E-3</c:v>
                </c:pt>
                <c:pt idx="13">
                  <c:v>2.366063537069564E-3</c:v>
                </c:pt>
                <c:pt idx="14">
                  <c:v>2.366063537069564E-3</c:v>
                </c:pt>
                <c:pt idx="15">
                  <c:v>2.366063537069564E-3</c:v>
                </c:pt>
                <c:pt idx="16">
                  <c:v>2.366063537069564E-3</c:v>
                </c:pt>
                <c:pt idx="17">
                  <c:v>2.366063537069564E-3</c:v>
                </c:pt>
                <c:pt idx="18">
                  <c:v>2.366063537069564E-3</c:v>
                </c:pt>
                <c:pt idx="19">
                  <c:v>2.366063537069564E-3</c:v>
                </c:pt>
                <c:pt idx="20">
                  <c:v>2.366063537069564E-3</c:v>
                </c:pt>
                <c:pt idx="21">
                  <c:v>2.366063537069564E-3</c:v>
                </c:pt>
                <c:pt idx="22">
                  <c:v>2.366063537069564E-3</c:v>
                </c:pt>
                <c:pt idx="23">
                  <c:v>2.366063537069564E-3</c:v>
                </c:pt>
                <c:pt idx="24">
                  <c:v>2.366063537069564E-3</c:v>
                </c:pt>
              </c:numCache>
            </c:numRef>
          </c:val>
          <c:extLst>
            <c:ext xmlns:c16="http://schemas.microsoft.com/office/drawing/2014/chart" uri="{C3380CC4-5D6E-409C-BE32-E72D297353CC}">
              <c16:uniqueId val="{00000005-7FBC-45DF-BC45-122FDE2CE5F5}"/>
            </c:ext>
          </c:extLst>
        </c:ser>
        <c:ser>
          <c:idx val="6"/>
          <c:order val="6"/>
          <c:tx>
            <c:strRef>
              <c:f>'Results ReCiPe (I) - HHD'!$AB$280</c:f>
              <c:strCache>
                <c:ptCount val="1"/>
                <c:pt idx="0">
                  <c:v>Operation - DAC</c:v>
                </c:pt>
              </c:strCache>
            </c:strRef>
          </c:tx>
          <c:spPr>
            <a:solidFill>
              <a:schemeClr val="accent2">
                <a:lumMod val="75000"/>
              </a:schemeClr>
            </a:solidFill>
            <a:ln>
              <a:noFill/>
            </a:ln>
            <a:effectLst/>
          </c:spPr>
          <c:invertIfNegative val="0"/>
          <c:cat>
            <c:numRef>
              <c:f>'Results ReCiPe (I) - HHD'!$AC$273:$BA$273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HHD'!$AC$280:$BA$280</c:f>
              <c:numCache>
                <c:formatCode>0.00E+00</c:formatCode>
                <c:ptCount val="25"/>
                <c:pt idx="0">
                  <c:v>2.1493337284954821E-3</c:v>
                </c:pt>
                <c:pt idx="1">
                  <c:v>2.1424811210054308E-3</c:v>
                </c:pt>
                <c:pt idx="2">
                  <c:v>2.1358044030621434E-3</c:v>
                </c:pt>
                <c:pt idx="3">
                  <c:v>2.121952697132755E-3</c:v>
                </c:pt>
                <c:pt idx="4">
                  <c:v>2.1156541272333131E-3</c:v>
                </c:pt>
                <c:pt idx="5">
                  <c:v>2.1095552552286515E-3</c:v>
                </c:pt>
                <c:pt idx="6">
                  <c:v>2.1028595646585451E-3</c:v>
                </c:pt>
                <c:pt idx="7">
                  <c:v>2.0968194948355291E-3</c:v>
                </c:pt>
                <c:pt idx="8">
                  <c:v>2.0890291699512458E-3</c:v>
                </c:pt>
                <c:pt idx="9">
                  <c:v>2.0839767744222494E-3</c:v>
                </c:pt>
                <c:pt idx="10">
                  <c:v>2.0794088178689063E-3</c:v>
                </c:pt>
                <c:pt idx="11">
                  <c:v>2.0761960471048931E-3</c:v>
                </c:pt>
                <c:pt idx="12">
                  <c:v>2.0734546947029794E-3</c:v>
                </c:pt>
                <c:pt idx="13">
                  <c:v>2.0704986315215699E-3</c:v>
                </c:pt>
                <c:pt idx="14">
                  <c:v>2.0685675194635146E-3</c:v>
                </c:pt>
                <c:pt idx="15">
                  <c:v>2.0672694378636217E-3</c:v>
                </c:pt>
                <c:pt idx="16">
                  <c:v>2.0625799353889578E-3</c:v>
                </c:pt>
                <c:pt idx="17">
                  <c:v>2.0579014286739804E-3</c:v>
                </c:pt>
                <c:pt idx="18">
                  <c:v>2.0526171600458369E-3</c:v>
                </c:pt>
                <c:pt idx="19">
                  <c:v>2.0479374765578003E-3</c:v>
                </c:pt>
                <c:pt idx="20">
                  <c:v>2.0432490061340113E-3</c:v>
                </c:pt>
                <c:pt idx="21">
                  <c:v>2.0997037787948815E-3</c:v>
                </c:pt>
                <c:pt idx="22">
                  <c:v>2.092778128749727E-3</c:v>
                </c:pt>
                <c:pt idx="23">
                  <c:v>2.0858095439758189E-3</c:v>
                </c:pt>
                <c:pt idx="24">
                  <c:v>2.0787979329940755E-3</c:v>
                </c:pt>
              </c:numCache>
            </c:numRef>
          </c:val>
          <c:extLst>
            <c:ext xmlns:c16="http://schemas.microsoft.com/office/drawing/2014/chart" uri="{C3380CC4-5D6E-409C-BE32-E72D297353CC}">
              <c16:uniqueId val="{00000006-7FBC-45DF-BC45-122FDE2CE5F5}"/>
            </c:ext>
          </c:extLst>
        </c:ser>
        <c:ser>
          <c:idx val="7"/>
          <c:order val="7"/>
          <c:tx>
            <c:strRef>
              <c:f>'Results ReCiPe (I) - HHD'!$AB$281</c:f>
              <c:strCache>
                <c:ptCount val="1"/>
                <c:pt idx="0">
                  <c:v>Operation - geological storage</c:v>
                </c:pt>
              </c:strCache>
            </c:strRef>
          </c:tx>
          <c:spPr>
            <a:solidFill>
              <a:schemeClr val="accent2">
                <a:lumMod val="50000"/>
              </a:schemeClr>
            </a:solidFill>
            <a:ln>
              <a:noFill/>
            </a:ln>
            <a:effectLst/>
          </c:spPr>
          <c:invertIfNegative val="0"/>
          <c:cat>
            <c:numRef>
              <c:f>'Results ReCiPe (I) - HHD'!$AC$273:$BA$273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HHD'!$AC$281:$BA$281</c:f>
              <c:numCache>
                <c:formatCode>0.00E+00</c:formatCode>
                <c:ptCount val="25"/>
                <c:pt idx="0">
                  <c:v>3.4813410845175598E-4</c:v>
                </c:pt>
                <c:pt idx="1">
                  <c:v>3.475927813222566E-4</c:v>
                </c:pt>
                <c:pt idx="2">
                  <c:v>3.4624714159883264E-4</c:v>
                </c:pt>
                <c:pt idx="3">
                  <c:v>3.4434740002538689E-4</c:v>
                </c:pt>
                <c:pt idx="4">
                  <c:v>3.4275499849217215E-4</c:v>
                </c:pt>
                <c:pt idx="5">
                  <c:v>3.4116700959134461E-4</c:v>
                </c:pt>
                <c:pt idx="6">
                  <c:v>3.5010732412796969E-4</c:v>
                </c:pt>
                <c:pt idx="7">
                  <c:v>3.589800701781072E-4</c:v>
                </c:pt>
                <c:pt idx="8">
                  <c:v>3.6767596242940021E-4</c:v>
                </c:pt>
                <c:pt idx="9">
                  <c:v>3.7639588441224311E-4</c:v>
                </c:pt>
                <c:pt idx="10">
                  <c:v>3.850358976832772E-4</c:v>
                </c:pt>
                <c:pt idx="11">
                  <c:v>4.0250913818541369E-4</c:v>
                </c:pt>
                <c:pt idx="12">
                  <c:v>4.1990498912930111E-4</c:v>
                </c:pt>
                <c:pt idx="13">
                  <c:v>4.3719912532854538E-4</c:v>
                </c:pt>
                <c:pt idx="14">
                  <c:v>4.5443450453039997E-4</c:v>
                </c:pt>
                <c:pt idx="15">
                  <c:v>4.7159214769744619E-4</c:v>
                </c:pt>
                <c:pt idx="16">
                  <c:v>4.7128156149198186E-4</c:v>
                </c:pt>
                <c:pt idx="17">
                  <c:v>4.7090276732547268E-4</c:v>
                </c:pt>
                <c:pt idx="18">
                  <c:v>4.7048669880308603E-4</c:v>
                </c:pt>
                <c:pt idx="19">
                  <c:v>4.7008329103871883E-4</c:v>
                </c:pt>
                <c:pt idx="20">
                  <c:v>4.6966929393457593E-4</c:v>
                </c:pt>
                <c:pt idx="21">
                  <c:v>4.7462157339846943E-4</c:v>
                </c:pt>
                <c:pt idx="22">
                  <c:v>4.6362381534667638E-4</c:v>
                </c:pt>
                <c:pt idx="23">
                  <c:v>4.5262994561477845E-4</c:v>
                </c:pt>
                <c:pt idx="24">
                  <c:v>4.4163938080999169E-4</c:v>
                </c:pt>
              </c:numCache>
            </c:numRef>
          </c:val>
          <c:extLst>
            <c:ext xmlns:c16="http://schemas.microsoft.com/office/drawing/2014/chart" uri="{C3380CC4-5D6E-409C-BE32-E72D297353CC}">
              <c16:uniqueId val="{00000007-7FBC-45DF-BC45-122FDE2CE5F5}"/>
            </c:ext>
          </c:extLst>
        </c:ser>
        <c:ser>
          <c:idx val="8"/>
          <c:order val="8"/>
          <c:tx>
            <c:strRef>
              <c:f>'Results ReCiPe (I) - HHD'!$AB$282</c:f>
              <c:strCache>
                <c:ptCount val="1"/>
                <c:pt idx="0">
                  <c:v>CO2 captured and stored</c:v>
                </c:pt>
              </c:strCache>
            </c:strRef>
          </c:tx>
          <c:spPr>
            <a:solidFill>
              <a:schemeClr val="tx2">
                <a:lumMod val="20000"/>
                <a:lumOff val="80000"/>
              </a:schemeClr>
            </a:solidFill>
            <a:ln>
              <a:noFill/>
            </a:ln>
            <a:effectLst/>
          </c:spPr>
          <c:invertIfNegative val="0"/>
          <c:cat>
            <c:numRef>
              <c:f>'Results ReCiPe (I) - HHD'!$AC$273:$BA$273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HHD'!$AC$282:$BA$282</c:f>
              <c:numCache>
                <c:formatCode>0.00E+00</c:formatCode>
                <c:ptCount val="25"/>
                <c:pt idx="0">
                  <c:v>-4.0599999999999994E-3</c:v>
                </c:pt>
                <c:pt idx="1">
                  <c:v>-4.0599999999999994E-3</c:v>
                </c:pt>
                <c:pt idx="2">
                  <c:v>-4.0599999999999994E-3</c:v>
                </c:pt>
                <c:pt idx="3">
                  <c:v>-4.0599999999999994E-3</c:v>
                </c:pt>
                <c:pt idx="4">
                  <c:v>-4.0599999999999994E-3</c:v>
                </c:pt>
                <c:pt idx="5">
                  <c:v>-4.0599999999999994E-3</c:v>
                </c:pt>
                <c:pt idx="6">
                  <c:v>-4.0599999999999994E-3</c:v>
                </c:pt>
                <c:pt idx="7">
                  <c:v>-4.0599999999999994E-3</c:v>
                </c:pt>
                <c:pt idx="8">
                  <c:v>-4.0599999999999994E-3</c:v>
                </c:pt>
                <c:pt idx="9">
                  <c:v>-4.0599999999999994E-3</c:v>
                </c:pt>
                <c:pt idx="10">
                  <c:v>-4.0599999999999994E-3</c:v>
                </c:pt>
                <c:pt idx="11">
                  <c:v>-4.0599999999999994E-3</c:v>
                </c:pt>
                <c:pt idx="12">
                  <c:v>-4.0599999999999994E-3</c:v>
                </c:pt>
                <c:pt idx="13">
                  <c:v>-4.0599999999999994E-3</c:v>
                </c:pt>
                <c:pt idx="14">
                  <c:v>-4.0599999999999994E-3</c:v>
                </c:pt>
                <c:pt idx="15">
                  <c:v>-4.0599999999999994E-3</c:v>
                </c:pt>
                <c:pt idx="16">
                  <c:v>-4.0599999999999994E-3</c:v>
                </c:pt>
                <c:pt idx="17">
                  <c:v>-4.0599999999999994E-3</c:v>
                </c:pt>
                <c:pt idx="18">
                  <c:v>-4.0599999999999994E-3</c:v>
                </c:pt>
                <c:pt idx="19">
                  <c:v>-4.0599999999999994E-3</c:v>
                </c:pt>
                <c:pt idx="20">
                  <c:v>-4.0599999999999994E-3</c:v>
                </c:pt>
                <c:pt idx="21">
                  <c:v>-4.0599999999999994E-3</c:v>
                </c:pt>
                <c:pt idx="22">
                  <c:v>-4.0599999999999994E-3</c:v>
                </c:pt>
                <c:pt idx="23">
                  <c:v>-4.0599999999999994E-3</c:v>
                </c:pt>
                <c:pt idx="24">
                  <c:v>-4.0599999999999994E-3</c:v>
                </c:pt>
              </c:numCache>
            </c:numRef>
          </c:val>
          <c:extLst>
            <c:ext xmlns:c16="http://schemas.microsoft.com/office/drawing/2014/chart" uri="{C3380CC4-5D6E-409C-BE32-E72D297353CC}">
              <c16:uniqueId val="{00000008-7FBC-45DF-BC45-122FDE2CE5F5}"/>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(I) - HHD'!$AB$283</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cat>
            <c:numRef>
              <c:f>'Results ReCiPe (I) - HHD'!$AC$273:$BA$273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HHD'!$AC$283:$BA$283</c:f>
              <c:numCache>
                <c:formatCode>0.00E+00</c:formatCode>
                <c:ptCount val="25"/>
                <c:pt idx="0">
                  <c:v>1.8458954930526093E-2</c:v>
                </c:pt>
                <c:pt idx="1">
                  <c:v>7.9613743939725267E-4</c:v>
                </c:pt>
                <c:pt idx="2">
                  <c:v>7.8811508173054056E-4</c:v>
                </c:pt>
                <c:pt idx="3">
                  <c:v>1.077065346675705E-3</c:v>
                </c:pt>
                <c:pt idx="4">
                  <c:v>7.6447266279505016E-4</c:v>
                </c:pt>
                <c:pt idx="5">
                  <c:v>7.567858018895611E-4</c:v>
                </c:pt>
                <c:pt idx="6">
                  <c:v>1.0612352533557155E-3</c:v>
                </c:pt>
                <c:pt idx="7">
                  <c:v>7.6186310208320104E-4</c:v>
                </c:pt>
                <c:pt idx="8">
                  <c:v>7.6276866945021102E-4</c:v>
                </c:pt>
                <c:pt idx="9">
                  <c:v>1.0673170214896537E-3</c:v>
                </c:pt>
                <c:pt idx="10">
                  <c:v>7.7050825262174778E-4</c:v>
                </c:pt>
                <c:pt idx="11">
                  <c:v>7.847687223598715E-4</c:v>
                </c:pt>
                <c:pt idx="12">
                  <c:v>1.0997454095583647E-3</c:v>
                </c:pt>
                <c:pt idx="13">
                  <c:v>8.1376129391967991E-4</c:v>
                </c:pt>
                <c:pt idx="14">
                  <c:v>8.2906556106347902E-4</c:v>
                </c:pt>
                <c:pt idx="15">
                  <c:v>1.1446828838010629E-3</c:v>
                </c:pt>
                <c:pt idx="16">
                  <c:v>8.3992503395050391E-4</c:v>
                </c:pt>
                <c:pt idx="17">
                  <c:v>8.3486773306901824E-4</c:v>
                </c:pt>
                <c:pt idx="18">
                  <c:v>1.1240547501162818E-3</c:v>
                </c:pt>
                <c:pt idx="19">
                  <c:v>8.2408430466608326E-4</c:v>
                </c:pt>
                <c:pt idx="20">
                  <c:v>8.1898183713815208E-4</c:v>
                </c:pt>
                <c:pt idx="21">
                  <c:v>1.1849089621149703E-3</c:v>
                </c:pt>
                <c:pt idx="22">
                  <c:v>8.6246548116596794E-4</c:v>
                </c:pt>
                <c:pt idx="23">
                  <c:v>8.4450302666016185E-4</c:v>
                </c:pt>
                <c:pt idx="24">
                  <c:v>1.277658194235344E-3</c:v>
                </c:pt>
              </c:numCache>
            </c:numRef>
          </c:val>
          <c:smooth val="0"/>
          <c:extLst>
            <c:ext xmlns:c16="http://schemas.microsoft.com/office/drawing/2014/chart" uri="{C3380CC4-5D6E-409C-BE32-E72D297353CC}">
              <c16:uniqueId val="{00000009-7FBC-45DF-BC45-122FDE2CE5F5}"/>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Human</a:t>
                </a:r>
                <a:r>
                  <a:rPr lang="nl-NL" baseline="0"/>
                  <a:t> health</a:t>
                </a:r>
                <a:r>
                  <a:rPr lang="nl-NL"/>
                  <a:t> damage </a:t>
                </a:r>
                <a:br>
                  <a:rPr lang="nl-NL"/>
                </a:br>
                <a:r>
                  <a:rPr lang="nl-NL"/>
                  <a:t>(DALY/ton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(I) - HHD'!$AB$334</c:f>
              <c:strCache>
                <c:ptCount val="1"/>
                <c:pt idx="0">
                  <c:v>Construction - DAC</c:v>
                </c:pt>
              </c:strCache>
            </c:strRef>
          </c:tx>
          <c:spPr>
            <a:solidFill>
              <a:schemeClr val="accent4">
                <a:lumMod val="75000"/>
              </a:schemeClr>
            </a:solidFill>
            <a:ln>
              <a:noFill/>
            </a:ln>
            <a:effectLst/>
          </c:spPr>
          <c:invertIfNegative val="0"/>
          <c:cat>
            <c:numRef>
              <c:f>'Results ReCiPe (I) - HHD'!$AC$333:$BA$333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HHD'!$AC$334:$BA$334</c:f>
              <c:numCache>
                <c:formatCode>0.00E+00</c:formatCode>
                <c:ptCount val="25"/>
                <c:pt idx="0">
                  <c:v>1.6022769696651808E-2</c:v>
                </c:pt>
              </c:numCache>
            </c:numRef>
          </c:val>
          <c:extLst>
            <c:ext xmlns:c16="http://schemas.microsoft.com/office/drawing/2014/chart" uri="{C3380CC4-5D6E-409C-BE32-E72D297353CC}">
              <c16:uniqueId val="{00000000-4021-4141-88F1-E7A1C0CAF97F}"/>
            </c:ext>
          </c:extLst>
        </c:ser>
        <c:ser>
          <c:idx val="1"/>
          <c:order val="1"/>
          <c:tx>
            <c:strRef>
              <c:f>'Results ReCiPe (I) - HHD'!$AB$335</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(I) - HHD'!$AC$333:$BA$333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HHD'!$AC$335:$BA$335</c:f>
              <c:numCache>
                <c:formatCode>0.00E+00</c:formatCode>
                <c:ptCount val="25"/>
                <c:pt idx="0">
                  <c:v>4.9885556429697816E-4</c:v>
                </c:pt>
              </c:numCache>
            </c:numRef>
          </c:val>
          <c:extLst>
            <c:ext xmlns:c16="http://schemas.microsoft.com/office/drawing/2014/chart" uri="{C3380CC4-5D6E-409C-BE32-E72D297353CC}">
              <c16:uniqueId val="{00000001-4021-4141-88F1-E7A1C0CAF97F}"/>
            </c:ext>
          </c:extLst>
        </c:ser>
        <c:ser>
          <c:idx val="2"/>
          <c:order val="2"/>
          <c:tx>
            <c:strRef>
              <c:f>'Results ReCiPe (I) - HHD'!$AB$336</c:f>
              <c:strCache>
                <c:ptCount val="1"/>
                <c:pt idx="0">
                  <c:v>Deconstruction - DAC</c:v>
                </c:pt>
              </c:strCache>
            </c:strRef>
          </c:tx>
          <c:spPr>
            <a:solidFill>
              <a:schemeClr val="accent2">
                <a:lumMod val="40000"/>
                <a:lumOff val="60000"/>
              </a:schemeClr>
            </a:solidFill>
            <a:ln>
              <a:noFill/>
            </a:ln>
            <a:effectLst/>
          </c:spPr>
          <c:invertIfNegative val="0"/>
          <c:cat>
            <c:numRef>
              <c:f>'Results ReCiPe (I) - HHD'!$AC$333:$BA$333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HHD'!$AC$336:$BA$336</c:f>
              <c:numCache>
                <c:formatCode>0.00E+00</c:formatCode>
                <c:ptCount val="25"/>
                <c:pt idx="24">
                  <c:v>1.3822951601734481E-4</c:v>
                </c:pt>
              </c:numCache>
            </c:numRef>
          </c:val>
          <c:extLst>
            <c:ext xmlns:c16="http://schemas.microsoft.com/office/drawing/2014/chart" uri="{C3380CC4-5D6E-409C-BE32-E72D297353CC}">
              <c16:uniqueId val="{00000002-4021-4141-88F1-E7A1C0CAF97F}"/>
            </c:ext>
          </c:extLst>
        </c:ser>
        <c:ser>
          <c:idx val="3"/>
          <c:order val="3"/>
          <c:tx>
            <c:strRef>
              <c:f>'Results ReCiPe (I) - HHD'!$AB$337</c:f>
              <c:strCache>
                <c:ptCount val="1"/>
                <c:pt idx="0">
                  <c:v>Deconstruction - geological storage</c:v>
                </c:pt>
              </c:strCache>
            </c:strRef>
          </c:tx>
          <c:spPr>
            <a:solidFill>
              <a:srgbClr val="FF9900"/>
            </a:solidFill>
            <a:ln>
              <a:noFill/>
            </a:ln>
            <a:effectLst/>
          </c:spPr>
          <c:invertIfNegative val="0"/>
          <c:cat>
            <c:numRef>
              <c:f>'Results ReCiPe (I) - HHD'!$AC$333:$BA$333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HHD'!$AC$337:$BA$337</c:f>
              <c:numCache>
                <c:formatCode>0.00E+00</c:formatCode>
                <c:ptCount val="25"/>
                <c:pt idx="24">
                  <c:v>2.4855028130296928E-6</c:v>
                </c:pt>
              </c:numCache>
            </c:numRef>
          </c:val>
          <c:extLst>
            <c:ext xmlns:c16="http://schemas.microsoft.com/office/drawing/2014/chart" uri="{C3380CC4-5D6E-409C-BE32-E72D297353CC}">
              <c16:uniqueId val="{00000003-4021-4141-88F1-E7A1C0CAF97F}"/>
            </c:ext>
          </c:extLst>
        </c:ser>
        <c:ser>
          <c:idx val="4"/>
          <c:order val="4"/>
          <c:tx>
            <c:strRef>
              <c:f>'Results ReCiPe (I) - HHD'!$AB$338</c:f>
              <c:strCache>
                <c:ptCount val="1"/>
                <c:pt idx="0">
                  <c:v>Sorbent material</c:v>
                </c:pt>
              </c:strCache>
            </c:strRef>
          </c:tx>
          <c:spPr>
            <a:solidFill>
              <a:srgbClr val="FF8F8F"/>
            </a:solidFill>
            <a:ln>
              <a:noFill/>
            </a:ln>
            <a:effectLst/>
          </c:spPr>
          <c:invertIfNegative val="0"/>
          <c:cat>
            <c:numRef>
              <c:f>'Results ReCiPe (I) - HHD'!$AC$333:$BA$333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HHD'!$AC$338:$BA$338</c:f>
              <c:numCache>
                <c:formatCode>0.00E+00</c:formatCode>
                <c:ptCount val="25"/>
                <c:pt idx="0">
                  <c:v>3.0406400262598818E-4</c:v>
                </c:pt>
                <c:pt idx="3">
                  <c:v>2.9641770904864699E-4</c:v>
                </c:pt>
                <c:pt idx="6">
                  <c:v>2.8894461479738099E-4</c:v>
                </c:pt>
                <c:pt idx="9">
                  <c:v>2.7865961728505771E-4</c:v>
                </c:pt>
                <c:pt idx="12">
                  <c:v>2.6585850485750173E-4</c:v>
                </c:pt>
                <c:pt idx="15">
                  <c:v>2.516049030100258E-4</c:v>
                </c:pt>
                <c:pt idx="18">
                  <c:v>2.424330204216972E-4</c:v>
                </c:pt>
                <c:pt idx="21">
                  <c:v>2.4089817230596729E-4</c:v>
                </c:pt>
                <c:pt idx="24">
                  <c:v>2.3998846110054729E-4</c:v>
                </c:pt>
              </c:numCache>
            </c:numRef>
          </c:val>
          <c:extLst>
            <c:ext xmlns:c16="http://schemas.microsoft.com/office/drawing/2014/chart" uri="{C3380CC4-5D6E-409C-BE32-E72D297353CC}">
              <c16:uniqueId val="{00000004-4021-4141-88F1-E7A1C0CAF97F}"/>
            </c:ext>
          </c:extLst>
        </c:ser>
        <c:ser>
          <c:idx val="5"/>
          <c:order val="5"/>
          <c:tx>
            <c:strRef>
              <c:f>'Results ReCiPe (I) - HHD'!$AB$339</c:f>
              <c:strCache>
                <c:ptCount val="1"/>
                <c:pt idx="0">
                  <c:v>Battery</c:v>
                </c:pt>
              </c:strCache>
            </c:strRef>
          </c:tx>
          <c:spPr>
            <a:solidFill>
              <a:schemeClr val="accent6">
                <a:lumMod val="50000"/>
              </a:schemeClr>
            </a:solidFill>
            <a:ln>
              <a:noFill/>
            </a:ln>
            <a:effectLst/>
          </c:spPr>
          <c:invertIfNegative val="0"/>
          <c:cat>
            <c:numRef>
              <c:f>'Results ReCiPe (I) - HHD'!$AC$333:$BA$333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HHD'!$AC$339:$BA$339</c:f>
              <c:numCache>
                <c:formatCode>0.00E+00</c:formatCode>
                <c:ptCount val="25"/>
                <c:pt idx="0">
                  <c:v>2.2841900604219497E-3</c:v>
                </c:pt>
                <c:pt idx="1">
                  <c:v>2.2841900604219497E-3</c:v>
                </c:pt>
                <c:pt idx="2">
                  <c:v>2.2841900604219497E-3</c:v>
                </c:pt>
                <c:pt idx="3">
                  <c:v>2.2841900604219497E-3</c:v>
                </c:pt>
                <c:pt idx="4">
                  <c:v>2.2841900604219497E-3</c:v>
                </c:pt>
                <c:pt idx="5">
                  <c:v>2.2841900604219497E-3</c:v>
                </c:pt>
                <c:pt idx="6">
                  <c:v>2.2841900604219497E-3</c:v>
                </c:pt>
                <c:pt idx="7">
                  <c:v>2.2841900604219497E-3</c:v>
                </c:pt>
                <c:pt idx="8">
                  <c:v>2.2841900604219497E-3</c:v>
                </c:pt>
                <c:pt idx="9">
                  <c:v>2.2841900604219497E-3</c:v>
                </c:pt>
                <c:pt idx="10">
                  <c:v>2.2841900604219497E-3</c:v>
                </c:pt>
                <c:pt idx="11">
                  <c:v>2.2841900604219497E-3</c:v>
                </c:pt>
                <c:pt idx="12">
                  <c:v>2.2841900604219497E-3</c:v>
                </c:pt>
                <c:pt idx="13">
                  <c:v>2.2841900604219497E-3</c:v>
                </c:pt>
                <c:pt idx="14">
                  <c:v>2.2841900604219497E-3</c:v>
                </c:pt>
                <c:pt idx="15">
                  <c:v>2.2841900604219497E-3</c:v>
                </c:pt>
                <c:pt idx="16">
                  <c:v>2.2841900604219497E-3</c:v>
                </c:pt>
                <c:pt idx="17">
                  <c:v>2.2841900604219497E-3</c:v>
                </c:pt>
                <c:pt idx="18">
                  <c:v>2.2841900604219497E-3</c:v>
                </c:pt>
                <c:pt idx="19">
                  <c:v>2.2841900604219497E-3</c:v>
                </c:pt>
                <c:pt idx="20">
                  <c:v>2.2841900604219497E-3</c:v>
                </c:pt>
                <c:pt idx="21">
                  <c:v>2.2841900604219497E-3</c:v>
                </c:pt>
                <c:pt idx="22">
                  <c:v>2.2841900604219497E-3</c:v>
                </c:pt>
                <c:pt idx="23">
                  <c:v>2.2841900604219497E-3</c:v>
                </c:pt>
                <c:pt idx="24">
                  <c:v>2.2841900604219497E-3</c:v>
                </c:pt>
              </c:numCache>
            </c:numRef>
          </c:val>
          <c:extLst>
            <c:ext xmlns:c16="http://schemas.microsoft.com/office/drawing/2014/chart" uri="{C3380CC4-5D6E-409C-BE32-E72D297353CC}">
              <c16:uniqueId val="{00000005-4021-4141-88F1-E7A1C0CAF97F}"/>
            </c:ext>
          </c:extLst>
        </c:ser>
        <c:ser>
          <c:idx val="6"/>
          <c:order val="6"/>
          <c:tx>
            <c:strRef>
              <c:f>'Results ReCiPe (I) - HHD'!$AB$340</c:f>
              <c:strCache>
                <c:ptCount val="1"/>
                <c:pt idx="0">
                  <c:v>Operation - DAC</c:v>
                </c:pt>
              </c:strCache>
            </c:strRef>
          </c:tx>
          <c:spPr>
            <a:solidFill>
              <a:schemeClr val="accent2">
                <a:lumMod val="75000"/>
              </a:schemeClr>
            </a:solidFill>
            <a:ln>
              <a:noFill/>
            </a:ln>
            <a:effectLst/>
          </c:spPr>
          <c:invertIfNegative val="0"/>
          <c:cat>
            <c:numRef>
              <c:f>'Results ReCiPe (I) - HHD'!$AC$333:$BA$333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HHD'!$AC$340:$BA$340</c:f>
              <c:numCache>
                <c:formatCode>0.00E+00</c:formatCode>
                <c:ptCount val="25"/>
                <c:pt idx="0">
                  <c:v>2.0628193112620006E-3</c:v>
                </c:pt>
                <c:pt idx="1">
                  <c:v>2.0506569953387755E-3</c:v>
                </c:pt>
                <c:pt idx="2">
                  <c:v>2.0383941046949478E-3</c:v>
                </c:pt>
                <c:pt idx="3">
                  <c:v>2.0189427706189212E-3</c:v>
                </c:pt>
                <c:pt idx="4">
                  <c:v>2.0065543920257801E-3</c:v>
                </c:pt>
                <c:pt idx="5">
                  <c:v>1.9941213230671604E-3</c:v>
                </c:pt>
                <c:pt idx="6">
                  <c:v>1.9772033885735174E-3</c:v>
                </c:pt>
                <c:pt idx="7">
                  <c:v>1.9635474371718408E-3</c:v>
                </c:pt>
                <c:pt idx="8">
                  <c:v>1.9493047575624698E-3</c:v>
                </c:pt>
                <c:pt idx="9">
                  <c:v>1.9372671221352968E-3</c:v>
                </c:pt>
                <c:pt idx="10">
                  <c:v>1.9251967573926472E-3</c:v>
                </c:pt>
                <c:pt idx="11">
                  <c:v>1.911104870605808E-3</c:v>
                </c:pt>
                <c:pt idx="12">
                  <c:v>1.8972141775548393E-3</c:v>
                </c:pt>
                <c:pt idx="13">
                  <c:v>1.8827561070695528E-3</c:v>
                </c:pt>
                <c:pt idx="14">
                  <c:v>1.869182944581053E-3</c:v>
                </c:pt>
                <c:pt idx="15">
                  <c:v>1.8557070075807143E-3</c:v>
                </c:pt>
                <c:pt idx="16">
                  <c:v>1.8469949083220198E-3</c:v>
                </c:pt>
                <c:pt idx="17">
                  <c:v>1.838464443194539E-3</c:v>
                </c:pt>
                <c:pt idx="18">
                  <c:v>1.8293475840607703E-3</c:v>
                </c:pt>
                <c:pt idx="19">
                  <c:v>1.8208771300006817E-3</c:v>
                </c:pt>
                <c:pt idx="20">
                  <c:v>1.8123329759650907E-3</c:v>
                </c:pt>
                <c:pt idx="21">
                  <c:v>1.839048056441215E-3</c:v>
                </c:pt>
                <c:pt idx="22">
                  <c:v>1.8377809548803432E-3</c:v>
                </c:pt>
                <c:pt idx="23">
                  <c:v>1.8365235541143508E-3</c:v>
                </c:pt>
                <c:pt idx="24">
                  <c:v>1.835277177973074E-3</c:v>
                </c:pt>
              </c:numCache>
            </c:numRef>
          </c:val>
          <c:extLst>
            <c:ext xmlns:c16="http://schemas.microsoft.com/office/drawing/2014/chart" uri="{C3380CC4-5D6E-409C-BE32-E72D297353CC}">
              <c16:uniqueId val="{00000006-4021-4141-88F1-E7A1C0CAF97F}"/>
            </c:ext>
          </c:extLst>
        </c:ser>
        <c:ser>
          <c:idx val="7"/>
          <c:order val="7"/>
          <c:tx>
            <c:strRef>
              <c:f>'Results ReCiPe (I) - HHD'!$AB$341</c:f>
              <c:strCache>
                <c:ptCount val="1"/>
                <c:pt idx="0">
                  <c:v>Operation - geological storage</c:v>
                </c:pt>
              </c:strCache>
            </c:strRef>
          </c:tx>
          <c:spPr>
            <a:solidFill>
              <a:schemeClr val="accent2">
                <a:lumMod val="50000"/>
              </a:schemeClr>
            </a:solidFill>
            <a:ln>
              <a:noFill/>
            </a:ln>
            <a:effectLst/>
          </c:spPr>
          <c:invertIfNegative val="0"/>
          <c:cat>
            <c:numRef>
              <c:f>'Results ReCiPe (I) - HHD'!$AC$333:$BA$333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HHD'!$AC$341:$BA$341</c:f>
              <c:numCache>
                <c:formatCode>0.00E+00</c:formatCode>
                <c:ptCount val="25"/>
                <c:pt idx="0">
                  <c:v>3.2639251788786519E-4</c:v>
                </c:pt>
                <c:pt idx="1">
                  <c:v>3.1581907527027293E-4</c:v>
                </c:pt>
                <c:pt idx="2">
                  <c:v>3.0468457083876178E-4</c:v>
                </c:pt>
                <c:pt idx="3">
                  <c:v>2.9302008031819237E-4</c:v>
                </c:pt>
                <c:pt idx="4">
                  <c:v>2.8169507803528276E-4</c:v>
                </c:pt>
                <c:pt idx="5">
                  <c:v>2.7040320740678083E-4</c:v>
                </c:pt>
                <c:pt idx="6">
                  <c:v>2.6411142830041416E-4</c:v>
                </c:pt>
                <c:pt idx="7">
                  <c:v>2.5786823188934477E-4</c:v>
                </c:pt>
                <c:pt idx="8">
                  <c:v>2.5151844995703387E-4</c:v>
                </c:pt>
                <c:pt idx="9">
                  <c:v>2.452812015794559E-4</c:v>
                </c:pt>
                <c:pt idx="10">
                  <c:v>2.390352243149711E-4</c:v>
                </c:pt>
                <c:pt idx="11">
                  <c:v>2.319197286505346E-4</c:v>
                </c:pt>
                <c:pt idx="12">
                  <c:v>2.2476837145049948E-4</c:v>
                </c:pt>
                <c:pt idx="13">
                  <c:v>2.1755498112788416E-4</c:v>
                </c:pt>
                <c:pt idx="14">
                  <c:v>2.103313453902297E-4</c:v>
                </c:pt>
                <c:pt idx="15">
                  <c:v>2.0307187223795087E-4</c:v>
                </c:pt>
                <c:pt idx="16">
                  <c:v>1.9899083208028753E-4</c:v>
                </c:pt>
                <c:pt idx="17">
                  <c:v>1.9483885584212215E-4</c:v>
                </c:pt>
                <c:pt idx="18">
                  <c:v>1.9064642316272498E-4</c:v>
                </c:pt>
                <c:pt idx="19">
                  <c:v>1.8646986926127679E-4</c:v>
                </c:pt>
                <c:pt idx="20">
                  <c:v>1.8228004933115407E-4</c:v>
                </c:pt>
                <c:pt idx="21">
                  <c:v>1.8434452946298091E-4</c:v>
                </c:pt>
                <c:pt idx="22">
                  <c:v>1.8211590385056967E-4</c:v>
                </c:pt>
                <c:pt idx="23">
                  <c:v>1.7988673259853376E-4</c:v>
                </c:pt>
                <c:pt idx="24">
                  <c:v>1.7765646949952034E-4</c:v>
                </c:pt>
              </c:numCache>
            </c:numRef>
          </c:val>
          <c:extLst>
            <c:ext xmlns:c16="http://schemas.microsoft.com/office/drawing/2014/chart" uri="{C3380CC4-5D6E-409C-BE32-E72D297353CC}">
              <c16:uniqueId val="{00000007-4021-4141-88F1-E7A1C0CAF97F}"/>
            </c:ext>
          </c:extLst>
        </c:ser>
        <c:ser>
          <c:idx val="8"/>
          <c:order val="8"/>
          <c:tx>
            <c:strRef>
              <c:f>'Results ReCiPe (I) - HHD'!$AB$342</c:f>
              <c:strCache>
                <c:ptCount val="1"/>
                <c:pt idx="0">
                  <c:v>CO2 captured and stored</c:v>
                </c:pt>
              </c:strCache>
            </c:strRef>
          </c:tx>
          <c:spPr>
            <a:solidFill>
              <a:schemeClr val="tx2">
                <a:lumMod val="20000"/>
                <a:lumOff val="80000"/>
              </a:schemeClr>
            </a:solidFill>
            <a:ln>
              <a:solidFill>
                <a:schemeClr val="tx2">
                  <a:lumMod val="20000"/>
                  <a:lumOff val="80000"/>
                </a:schemeClr>
              </a:solidFill>
            </a:ln>
            <a:effectLst/>
          </c:spPr>
          <c:invertIfNegative val="0"/>
          <c:cat>
            <c:numRef>
              <c:f>'Results ReCiPe (I) - HHD'!$AC$333:$BA$333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HHD'!$AC$342:$BA$342</c:f>
              <c:numCache>
                <c:formatCode>0.00E+00</c:formatCode>
                <c:ptCount val="25"/>
                <c:pt idx="0">
                  <c:v>-4.0599999999999994E-3</c:v>
                </c:pt>
                <c:pt idx="1">
                  <c:v>-4.0599999999999994E-3</c:v>
                </c:pt>
                <c:pt idx="2">
                  <c:v>-4.0599999999999994E-3</c:v>
                </c:pt>
                <c:pt idx="3">
                  <c:v>-4.0599999999999994E-3</c:v>
                </c:pt>
                <c:pt idx="4">
                  <c:v>-4.0599999999999994E-3</c:v>
                </c:pt>
                <c:pt idx="5">
                  <c:v>-4.0599999999999994E-3</c:v>
                </c:pt>
                <c:pt idx="6">
                  <c:v>-4.0599999999999994E-3</c:v>
                </c:pt>
                <c:pt idx="7">
                  <c:v>-4.0599999999999994E-3</c:v>
                </c:pt>
                <c:pt idx="8">
                  <c:v>-4.0599999999999994E-3</c:v>
                </c:pt>
                <c:pt idx="9">
                  <c:v>-4.0599999999999994E-3</c:v>
                </c:pt>
                <c:pt idx="10">
                  <c:v>-4.0599999999999994E-3</c:v>
                </c:pt>
                <c:pt idx="11">
                  <c:v>-4.0599999999999994E-3</c:v>
                </c:pt>
                <c:pt idx="12">
                  <c:v>-4.0599999999999994E-3</c:v>
                </c:pt>
                <c:pt idx="13">
                  <c:v>-4.0599999999999994E-3</c:v>
                </c:pt>
                <c:pt idx="14">
                  <c:v>-4.0599999999999994E-3</c:v>
                </c:pt>
                <c:pt idx="15">
                  <c:v>-4.0599999999999994E-3</c:v>
                </c:pt>
                <c:pt idx="16">
                  <c:v>-4.0599999999999994E-3</c:v>
                </c:pt>
                <c:pt idx="17">
                  <c:v>-4.0599999999999994E-3</c:v>
                </c:pt>
                <c:pt idx="18">
                  <c:v>-4.0599999999999994E-3</c:v>
                </c:pt>
                <c:pt idx="19">
                  <c:v>-4.0599999999999994E-3</c:v>
                </c:pt>
                <c:pt idx="20">
                  <c:v>-4.0599999999999994E-3</c:v>
                </c:pt>
                <c:pt idx="21">
                  <c:v>-4.0599999999999994E-3</c:v>
                </c:pt>
                <c:pt idx="22">
                  <c:v>-4.0599999999999994E-3</c:v>
                </c:pt>
                <c:pt idx="23">
                  <c:v>-4.0599999999999994E-3</c:v>
                </c:pt>
                <c:pt idx="24">
                  <c:v>-4.0599999999999994E-3</c:v>
                </c:pt>
              </c:numCache>
            </c:numRef>
          </c:val>
          <c:extLst>
            <c:ext xmlns:c16="http://schemas.microsoft.com/office/drawing/2014/chart" uri="{C3380CC4-5D6E-409C-BE32-E72D297353CC}">
              <c16:uniqueId val="{00000008-4021-4141-88F1-E7A1C0CAF97F}"/>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(I) - HHD'!$AB$343</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cat>
            <c:numRef>
              <c:f>'Results ReCiPe (I) - HHD'!$AC$333:$BA$333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HHD'!$AC$343:$BA$343</c:f>
              <c:numCache>
                <c:formatCode>0.00E+00</c:formatCode>
                <c:ptCount val="25"/>
                <c:pt idx="0">
                  <c:v>1.7439091153146589E-2</c:v>
                </c:pt>
                <c:pt idx="1">
                  <c:v>5.9066613103099866E-4</c:v>
                </c:pt>
                <c:pt idx="2">
                  <c:v>5.6726873595566024E-4</c:v>
                </c:pt>
                <c:pt idx="3">
                  <c:v>8.3257062040771081E-4</c:v>
                </c:pt>
                <c:pt idx="4">
                  <c:v>5.124395304830125E-4</c:v>
                </c:pt>
                <c:pt idx="5">
                  <c:v>4.8871459089589158E-4</c:v>
                </c:pt>
                <c:pt idx="6">
                  <c:v>7.5444949209326363E-4</c:v>
                </c:pt>
                <c:pt idx="7">
                  <c:v>4.4560572948313618E-4</c:v>
                </c:pt>
                <c:pt idx="8">
                  <c:v>4.2501326794145387E-4</c:v>
                </c:pt>
                <c:pt idx="9">
                  <c:v>6.853980014217614E-4</c:v>
                </c:pt>
                <c:pt idx="10">
                  <c:v>3.8842204212956918E-4</c:v>
                </c:pt>
                <c:pt idx="11">
                  <c:v>3.6721465967829315E-4</c:v>
                </c:pt>
                <c:pt idx="12">
                  <c:v>6.1203111428479156E-4</c:v>
                </c:pt>
                <c:pt idx="13">
                  <c:v>3.2450114861938724E-4</c:v>
                </c:pt>
                <c:pt idx="14">
                  <c:v>3.0370435039323278E-4</c:v>
                </c:pt>
                <c:pt idx="15">
                  <c:v>5.3457384325064205E-4</c:v>
                </c:pt>
                <c:pt idx="16">
                  <c:v>2.7017580082425857E-4</c:v>
                </c:pt>
                <c:pt idx="17">
                  <c:v>2.5749335945861145E-4</c:v>
                </c:pt>
                <c:pt idx="18">
                  <c:v>4.8661708806714294E-4</c:v>
                </c:pt>
                <c:pt idx="19">
                  <c:v>2.315370596839084E-4</c:v>
                </c:pt>
                <c:pt idx="20">
                  <c:v>2.1880308571819475E-4</c:v>
                </c:pt>
                <c:pt idx="21">
                  <c:v>4.8848081863211382E-4</c:v>
                </c:pt>
                <c:pt idx="22">
                  <c:v>2.4408691915286333E-4</c:v>
                </c:pt>
                <c:pt idx="23">
                  <c:v>2.4060034713483443E-4</c:v>
                </c:pt>
                <c:pt idx="24">
                  <c:v>6.1782718782546573E-4</c:v>
                </c:pt>
              </c:numCache>
            </c:numRef>
          </c:val>
          <c:smooth val="0"/>
          <c:extLst>
            <c:ext xmlns:c16="http://schemas.microsoft.com/office/drawing/2014/chart" uri="{C3380CC4-5D6E-409C-BE32-E72D297353CC}">
              <c16:uniqueId val="{00000009-4021-4141-88F1-E7A1C0CAF97F}"/>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Human</a:t>
                </a:r>
                <a:r>
                  <a:rPr lang="nl-NL" baseline="0"/>
                  <a:t> health</a:t>
                </a:r>
                <a:r>
                  <a:rPr lang="nl-NL"/>
                  <a:t> damage </a:t>
                </a:r>
                <a:br>
                  <a:rPr lang="nl-NL"/>
                </a:br>
                <a:r>
                  <a:rPr lang="nl-NL"/>
                  <a:t>(DALY/ton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(I) - HHD'!$AB$395</c:f>
              <c:strCache>
                <c:ptCount val="1"/>
                <c:pt idx="0">
                  <c:v>Construction - DAC</c:v>
                </c:pt>
              </c:strCache>
            </c:strRef>
          </c:tx>
          <c:spPr>
            <a:solidFill>
              <a:schemeClr val="accent4">
                <a:lumMod val="75000"/>
              </a:schemeClr>
            </a:solidFill>
            <a:ln>
              <a:noFill/>
            </a:ln>
            <a:effectLst/>
          </c:spPr>
          <c:invertIfNegative val="0"/>
          <c:cat>
            <c:numRef>
              <c:f>'Results ReCiPe (I) - HHD'!$AC$394:$BA$394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HHD'!$AC$395:$BA$395</c:f>
              <c:numCache>
                <c:formatCode>0.00E+00</c:formatCode>
                <c:ptCount val="25"/>
                <c:pt idx="0">
                  <c:v>1.4402581514296518E-2</c:v>
                </c:pt>
              </c:numCache>
            </c:numRef>
          </c:val>
          <c:extLst>
            <c:ext xmlns:c16="http://schemas.microsoft.com/office/drawing/2014/chart" uri="{C3380CC4-5D6E-409C-BE32-E72D297353CC}">
              <c16:uniqueId val="{00000000-4311-4A1D-BDF1-2800EAFD2BEE}"/>
            </c:ext>
          </c:extLst>
        </c:ser>
        <c:ser>
          <c:idx val="1"/>
          <c:order val="1"/>
          <c:tx>
            <c:strRef>
              <c:f>'Results ReCiPe (I) - HHD'!$AB$396</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(I) - HHD'!$AC$394:$BA$394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HHD'!$AC$396:$BA$396</c:f>
              <c:numCache>
                <c:formatCode>0.00E+00</c:formatCode>
                <c:ptCount val="25"/>
                <c:pt idx="0">
                  <c:v>4.68564991115967E-4</c:v>
                </c:pt>
              </c:numCache>
            </c:numRef>
          </c:val>
          <c:extLst>
            <c:ext xmlns:c16="http://schemas.microsoft.com/office/drawing/2014/chart" uri="{C3380CC4-5D6E-409C-BE32-E72D297353CC}">
              <c16:uniqueId val="{00000001-4311-4A1D-BDF1-2800EAFD2BEE}"/>
            </c:ext>
          </c:extLst>
        </c:ser>
        <c:ser>
          <c:idx val="2"/>
          <c:order val="2"/>
          <c:tx>
            <c:strRef>
              <c:f>'Results ReCiPe (I) - HHD'!$AB$397</c:f>
              <c:strCache>
                <c:ptCount val="1"/>
                <c:pt idx="0">
                  <c:v>Deconstruction - DAC</c:v>
                </c:pt>
              </c:strCache>
            </c:strRef>
          </c:tx>
          <c:spPr>
            <a:solidFill>
              <a:schemeClr val="accent2">
                <a:lumMod val="40000"/>
                <a:lumOff val="60000"/>
              </a:schemeClr>
            </a:solidFill>
            <a:ln>
              <a:noFill/>
            </a:ln>
            <a:effectLst/>
          </c:spPr>
          <c:invertIfNegative val="0"/>
          <c:cat>
            <c:numRef>
              <c:f>'Results ReCiPe (I) - HHD'!$AC$394:$BA$394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HHD'!$AC$397:$BA$397</c:f>
              <c:numCache>
                <c:formatCode>0.00E+00</c:formatCode>
                <c:ptCount val="25"/>
                <c:pt idx="24">
                  <c:v>1.321106762411555E-4</c:v>
                </c:pt>
              </c:numCache>
            </c:numRef>
          </c:val>
          <c:extLst>
            <c:ext xmlns:c16="http://schemas.microsoft.com/office/drawing/2014/chart" uri="{C3380CC4-5D6E-409C-BE32-E72D297353CC}">
              <c16:uniqueId val="{00000002-4311-4A1D-BDF1-2800EAFD2BEE}"/>
            </c:ext>
          </c:extLst>
        </c:ser>
        <c:ser>
          <c:idx val="3"/>
          <c:order val="3"/>
          <c:tx>
            <c:strRef>
              <c:f>'Results ReCiPe (I) - HHD'!$AB$398</c:f>
              <c:strCache>
                <c:ptCount val="1"/>
                <c:pt idx="0">
                  <c:v>Deconstruction - geological storage</c:v>
                </c:pt>
              </c:strCache>
            </c:strRef>
          </c:tx>
          <c:spPr>
            <a:solidFill>
              <a:srgbClr val="FF9900"/>
            </a:solidFill>
            <a:ln>
              <a:noFill/>
            </a:ln>
            <a:effectLst/>
          </c:spPr>
          <c:invertIfNegative val="0"/>
          <c:cat>
            <c:numRef>
              <c:f>'Results ReCiPe (I) - HHD'!$AC$394:$BA$394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HHD'!$AC$398:$BA$398</c:f>
              <c:numCache>
                <c:formatCode>0.00E+00</c:formatCode>
                <c:ptCount val="25"/>
                <c:pt idx="24">
                  <c:v>2.4331335197599298E-6</c:v>
                </c:pt>
              </c:numCache>
            </c:numRef>
          </c:val>
          <c:extLst>
            <c:ext xmlns:c16="http://schemas.microsoft.com/office/drawing/2014/chart" uri="{C3380CC4-5D6E-409C-BE32-E72D297353CC}">
              <c16:uniqueId val="{00000003-4311-4A1D-BDF1-2800EAFD2BEE}"/>
            </c:ext>
          </c:extLst>
        </c:ser>
        <c:ser>
          <c:idx val="4"/>
          <c:order val="4"/>
          <c:tx>
            <c:strRef>
              <c:f>'Results ReCiPe (I) - HHD'!$AB$399</c:f>
              <c:strCache>
                <c:ptCount val="1"/>
                <c:pt idx="0">
                  <c:v>Sorbent material</c:v>
                </c:pt>
              </c:strCache>
            </c:strRef>
          </c:tx>
          <c:spPr>
            <a:solidFill>
              <a:srgbClr val="FF8F8F"/>
            </a:solidFill>
            <a:ln>
              <a:noFill/>
            </a:ln>
            <a:effectLst/>
          </c:spPr>
          <c:invertIfNegative val="0"/>
          <c:cat>
            <c:numRef>
              <c:f>'Results ReCiPe (I) - HHD'!$AC$394:$BA$394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HHD'!$AC$399:$BA$399</c:f>
              <c:numCache>
                <c:formatCode>0.00E+00</c:formatCode>
                <c:ptCount val="25"/>
                <c:pt idx="0">
                  <c:v>2.6322721726552512E-4</c:v>
                </c:pt>
                <c:pt idx="3">
                  <c:v>2.4790954055705099E-4</c:v>
                </c:pt>
                <c:pt idx="6">
                  <c:v>2.3818826466101599E-4</c:v>
                </c:pt>
                <c:pt idx="9">
                  <c:v>2.3687057090296699E-4</c:v>
                </c:pt>
                <c:pt idx="12">
                  <c:v>2.3577478459469749E-4</c:v>
                </c:pt>
                <c:pt idx="15">
                  <c:v>2.3445141905597099E-4</c:v>
                </c:pt>
                <c:pt idx="18">
                  <c:v>2.3247380057932901E-4</c:v>
                </c:pt>
                <c:pt idx="21">
                  <c:v>2.3538466572112359E-4</c:v>
                </c:pt>
                <c:pt idx="24">
                  <c:v>2.348623971618371E-4</c:v>
                </c:pt>
              </c:numCache>
            </c:numRef>
          </c:val>
          <c:extLst>
            <c:ext xmlns:c16="http://schemas.microsoft.com/office/drawing/2014/chart" uri="{C3380CC4-5D6E-409C-BE32-E72D297353CC}">
              <c16:uniqueId val="{00000004-4311-4A1D-BDF1-2800EAFD2BEE}"/>
            </c:ext>
          </c:extLst>
        </c:ser>
        <c:ser>
          <c:idx val="5"/>
          <c:order val="5"/>
          <c:tx>
            <c:strRef>
              <c:f>'Results ReCiPe (I) - HHD'!$AB$400</c:f>
              <c:strCache>
                <c:ptCount val="1"/>
                <c:pt idx="0">
                  <c:v>Battery</c:v>
                </c:pt>
              </c:strCache>
            </c:strRef>
          </c:tx>
          <c:spPr>
            <a:solidFill>
              <a:schemeClr val="accent6">
                <a:lumMod val="50000"/>
              </a:schemeClr>
            </a:solidFill>
            <a:ln>
              <a:noFill/>
            </a:ln>
            <a:effectLst/>
          </c:spPr>
          <c:invertIfNegative val="0"/>
          <c:cat>
            <c:numRef>
              <c:f>'Results ReCiPe (I) - HHD'!$AC$394:$BA$394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HHD'!$AC$400:$BA$400</c:f>
              <c:numCache>
                <c:formatCode>0.00E+00</c:formatCode>
                <c:ptCount val="25"/>
                <c:pt idx="0">
                  <c:v>2.0087320272571571E-3</c:v>
                </c:pt>
                <c:pt idx="1">
                  <c:v>2.0087320272571571E-3</c:v>
                </c:pt>
                <c:pt idx="2">
                  <c:v>2.0087320272571571E-3</c:v>
                </c:pt>
                <c:pt idx="3">
                  <c:v>2.0087320272571571E-3</c:v>
                </c:pt>
                <c:pt idx="4">
                  <c:v>2.0087320272571571E-3</c:v>
                </c:pt>
                <c:pt idx="5">
                  <c:v>2.0087320272571571E-3</c:v>
                </c:pt>
                <c:pt idx="6">
                  <c:v>2.0087320272571571E-3</c:v>
                </c:pt>
                <c:pt idx="7">
                  <c:v>2.0087320272571571E-3</c:v>
                </c:pt>
                <c:pt idx="8">
                  <c:v>2.0087320272571571E-3</c:v>
                </c:pt>
                <c:pt idx="9">
                  <c:v>2.0087320272571571E-3</c:v>
                </c:pt>
                <c:pt idx="10">
                  <c:v>2.0087320272571571E-3</c:v>
                </c:pt>
                <c:pt idx="11">
                  <c:v>2.0087320272571571E-3</c:v>
                </c:pt>
                <c:pt idx="12">
                  <c:v>2.0087320272571571E-3</c:v>
                </c:pt>
                <c:pt idx="13">
                  <c:v>2.0087320272571571E-3</c:v>
                </c:pt>
                <c:pt idx="14">
                  <c:v>2.0087320272571571E-3</c:v>
                </c:pt>
                <c:pt idx="15">
                  <c:v>2.0087320272571571E-3</c:v>
                </c:pt>
                <c:pt idx="16">
                  <c:v>2.0087320272571571E-3</c:v>
                </c:pt>
                <c:pt idx="17">
                  <c:v>2.0087320272571571E-3</c:v>
                </c:pt>
                <c:pt idx="18">
                  <c:v>2.0087320272571571E-3</c:v>
                </c:pt>
                <c:pt idx="19">
                  <c:v>2.0087320272571571E-3</c:v>
                </c:pt>
                <c:pt idx="20">
                  <c:v>2.0087320272571571E-3</c:v>
                </c:pt>
                <c:pt idx="21">
                  <c:v>2.0087320272571571E-3</c:v>
                </c:pt>
                <c:pt idx="22">
                  <c:v>2.0087320272571571E-3</c:v>
                </c:pt>
                <c:pt idx="23">
                  <c:v>2.0087320272571571E-3</c:v>
                </c:pt>
                <c:pt idx="24">
                  <c:v>2.0087320272571571E-3</c:v>
                </c:pt>
              </c:numCache>
            </c:numRef>
          </c:val>
          <c:extLst>
            <c:ext xmlns:c16="http://schemas.microsoft.com/office/drawing/2014/chart" uri="{C3380CC4-5D6E-409C-BE32-E72D297353CC}">
              <c16:uniqueId val="{00000005-4311-4A1D-BDF1-2800EAFD2BEE}"/>
            </c:ext>
          </c:extLst>
        </c:ser>
        <c:ser>
          <c:idx val="6"/>
          <c:order val="6"/>
          <c:tx>
            <c:strRef>
              <c:f>'Results ReCiPe (I) - HHD'!$AB$401</c:f>
              <c:strCache>
                <c:ptCount val="1"/>
                <c:pt idx="0">
                  <c:v>Operation - DAC</c:v>
                </c:pt>
              </c:strCache>
            </c:strRef>
          </c:tx>
          <c:spPr>
            <a:solidFill>
              <a:schemeClr val="accent2">
                <a:lumMod val="75000"/>
              </a:schemeClr>
            </a:solidFill>
            <a:ln>
              <a:noFill/>
            </a:ln>
            <a:effectLst/>
          </c:spPr>
          <c:invertIfNegative val="0"/>
          <c:cat>
            <c:numRef>
              <c:f>'Results ReCiPe (I) - HHD'!$AC$394:$BA$394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HHD'!$AC$401:$BA$401</c:f>
              <c:numCache>
                <c:formatCode>0.00E+00</c:formatCode>
                <c:ptCount val="25"/>
                <c:pt idx="0">
                  <c:v>1.9168054332969759E-3</c:v>
                </c:pt>
                <c:pt idx="1">
                  <c:v>1.8969549966316181E-3</c:v>
                </c:pt>
                <c:pt idx="2">
                  <c:v>1.8775985161277762E-3</c:v>
                </c:pt>
                <c:pt idx="3">
                  <c:v>1.8511710332379098E-3</c:v>
                </c:pt>
                <c:pt idx="4">
                  <c:v>1.8319228274343332E-3</c:v>
                </c:pt>
                <c:pt idx="5">
                  <c:v>1.8136324637402417E-3</c:v>
                </c:pt>
                <c:pt idx="6">
                  <c:v>1.809440604616704E-3</c:v>
                </c:pt>
                <c:pt idx="7">
                  <c:v>1.8053310360986283E-3</c:v>
                </c:pt>
                <c:pt idx="8">
                  <c:v>1.7991787666357042E-3</c:v>
                </c:pt>
                <c:pt idx="9">
                  <c:v>1.795103768805602E-3</c:v>
                </c:pt>
                <c:pt idx="10">
                  <c:v>1.7912260095005418E-3</c:v>
                </c:pt>
                <c:pt idx="11">
                  <c:v>1.7883676268104574E-3</c:v>
                </c:pt>
                <c:pt idx="12">
                  <c:v>1.7857559153985729E-3</c:v>
                </c:pt>
                <c:pt idx="13">
                  <c:v>1.7825678144407983E-3</c:v>
                </c:pt>
                <c:pt idx="14">
                  <c:v>1.7801547042856009E-3</c:v>
                </c:pt>
                <c:pt idx="15">
                  <c:v>1.7778650336401584E-3</c:v>
                </c:pt>
                <c:pt idx="16">
                  <c:v>1.7755096906124528E-3</c:v>
                </c:pt>
                <c:pt idx="17">
                  <c:v>1.7731848950891223E-3</c:v>
                </c:pt>
                <c:pt idx="18">
                  <c:v>1.7703360196561634E-3</c:v>
                </c:pt>
                <c:pt idx="19">
                  <c:v>1.7681064123144061E-3</c:v>
                </c:pt>
                <c:pt idx="20">
                  <c:v>1.7670509075480702E-3</c:v>
                </c:pt>
                <c:pt idx="21">
                  <c:v>1.7945776821839787E-3</c:v>
                </c:pt>
                <c:pt idx="22">
                  <c:v>1.7940109712889975E-3</c:v>
                </c:pt>
                <c:pt idx="23">
                  <c:v>1.7934443755423224E-3</c:v>
                </c:pt>
                <c:pt idx="24">
                  <c:v>1.7928777980513546E-3</c:v>
                </c:pt>
              </c:numCache>
            </c:numRef>
          </c:val>
          <c:extLst>
            <c:ext xmlns:c16="http://schemas.microsoft.com/office/drawing/2014/chart" uri="{C3380CC4-5D6E-409C-BE32-E72D297353CC}">
              <c16:uniqueId val="{00000006-4311-4A1D-BDF1-2800EAFD2BEE}"/>
            </c:ext>
          </c:extLst>
        </c:ser>
        <c:ser>
          <c:idx val="7"/>
          <c:order val="7"/>
          <c:tx>
            <c:strRef>
              <c:f>'Results ReCiPe (I) - HHD'!$AB$402</c:f>
              <c:strCache>
                <c:ptCount val="1"/>
                <c:pt idx="0">
                  <c:v>Operation - geological storage</c:v>
                </c:pt>
              </c:strCache>
            </c:strRef>
          </c:tx>
          <c:spPr>
            <a:solidFill>
              <a:schemeClr val="accent2">
                <a:lumMod val="50000"/>
              </a:schemeClr>
            </a:solidFill>
            <a:ln>
              <a:noFill/>
            </a:ln>
            <a:effectLst/>
          </c:spPr>
          <c:invertIfNegative val="0"/>
          <c:cat>
            <c:numRef>
              <c:f>'Results ReCiPe (I) - HHD'!$AC$394:$BA$394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HHD'!$AC$402:$BA$402</c:f>
              <c:numCache>
                <c:formatCode>0.00E+00</c:formatCode>
                <c:ptCount val="25"/>
                <c:pt idx="0">
                  <c:v>2.4873429184143911E-4</c:v>
                </c:pt>
                <c:pt idx="1">
                  <c:v>2.3752317423365955E-4</c:v>
                </c:pt>
                <c:pt idx="2">
                  <c:v>2.261317766960925E-4</c:v>
                </c:pt>
                <c:pt idx="3">
                  <c:v>2.1419244548736633E-4</c:v>
                </c:pt>
                <c:pt idx="4">
                  <c:v>2.0257526868298982E-4</c:v>
                </c:pt>
                <c:pt idx="5">
                  <c:v>1.9097192572437342E-4</c:v>
                </c:pt>
                <c:pt idx="6">
                  <c:v>1.9076535645403588E-4</c:v>
                </c:pt>
                <c:pt idx="7">
                  <c:v>1.9050510894696199E-4</c:v>
                </c:pt>
                <c:pt idx="8">
                  <c:v>1.9004211151854675E-4</c:v>
                </c:pt>
                <c:pt idx="9">
                  <c:v>1.8966673023146472E-4</c:v>
                </c:pt>
                <c:pt idx="10">
                  <c:v>1.8924064759561911E-4</c:v>
                </c:pt>
                <c:pt idx="11">
                  <c:v>1.8966075090613715E-4</c:v>
                </c:pt>
                <c:pt idx="12">
                  <c:v>1.9009035258348659E-4</c:v>
                </c:pt>
                <c:pt idx="13">
                  <c:v>1.9050386879327584E-4</c:v>
                </c:pt>
                <c:pt idx="14">
                  <c:v>1.9094526122796291E-4</c:v>
                </c:pt>
                <c:pt idx="15">
                  <c:v>1.9139256621464527E-4</c:v>
                </c:pt>
                <c:pt idx="16">
                  <c:v>1.8514469641299575E-4</c:v>
                </c:pt>
                <c:pt idx="17">
                  <c:v>1.7881600510234345E-4</c:v>
                </c:pt>
                <c:pt idx="18">
                  <c:v>1.7244827970496206E-4</c:v>
                </c:pt>
                <c:pt idx="19">
                  <c:v>1.6609512715381959E-4</c:v>
                </c:pt>
                <c:pt idx="20">
                  <c:v>1.5974685773593282E-4</c:v>
                </c:pt>
                <c:pt idx="21">
                  <c:v>1.6170475311614406E-4</c:v>
                </c:pt>
                <c:pt idx="22">
                  <c:v>1.5920010969112431E-4</c:v>
                </c:pt>
                <c:pt idx="23">
                  <c:v>1.5669319578749419E-4</c:v>
                </c:pt>
                <c:pt idx="24">
                  <c:v>1.541835609385189E-4</c:v>
                </c:pt>
              </c:numCache>
            </c:numRef>
          </c:val>
          <c:extLst>
            <c:ext xmlns:c16="http://schemas.microsoft.com/office/drawing/2014/chart" uri="{C3380CC4-5D6E-409C-BE32-E72D297353CC}">
              <c16:uniqueId val="{00000007-4311-4A1D-BDF1-2800EAFD2BEE}"/>
            </c:ext>
          </c:extLst>
        </c:ser>
        <c:ser>
          <c:idx val="8"/>
          <c:order val="8"/>
          <c:tx>
            <c:strRef>
              <c:f>'Results ReCiPe (I) - HHD'!$AB$403</c:f>
              <c:strCache>
                <c:ptCount val="1"/>
                <c:pt idx="0">
                  <c:v>CO2 captured and stored</c:v>
                </c:pt>
              </c:strCache>
            </c:strRef>
          </c:tx>
          <c:spPr>
            <a:solidFill>
              <a:schemeClr val="tx2">
                <a:lumMod val="20000"/>
                <a:lumOff val="80000"/>
              </a:schemeClr>
            </a:solidFill>
            <a:ln>
              <a:noFill/>
            </a:ln>
            <a:effectLst/>
          </c:spPr>
          <c:invertIfNegative val="0"/>
          <c:cat>
            <c:numRef>
              <c:f>'Results ReCiPe (I) - HHD'!$AC$394:$BA$394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HHD'!$AC$403:$BA$403</c:f>
              <c:numCache>
                <c:formatCode>0.00E+00</c:formatCode>
                <c:ptCount val="25"/>
                <c:pt idx="0">
                  <c:v>-4.0599999999999994E-3</c:v>
                </c:pt>
                <c:pt idx="1">
                  <c:v>-4.0599999999999994E-3</c:v>
                </c:pt>
                <c:pt idx="2">
                  <c:v>-4.0599999999999994E-3</c:v>
                </c:pt>
                <c:pt idx="3">
                  <c:v>-4.0599999999999994E-3</c:v>
                </c:pt>
                <c:pt idx="4">
                  <c:v>-4.0599999999999994E-3</c:v>
                </c:pt>
                <c:pt idx="5">
                  <c:v>-4.0599999999999994E-3</c:v>
                </c:pt>
                <c:pt idx="6">
                  <c:v>-4.0599999999999994E-3</c:v>
                </c:pt>
                <c:pt idx="7">
                  <c:v>-4.0599999999999994E-3</c:v>
                </c:pt>
                <c:pt idx="8">
                  <c:v>-4.0599999999999994E-3</c:v>
                </c:pt>
                <c:pt idx="9">
                  <c:v>-4.0599999999999994E-3</c:v>
                </c:pt>
                <c:pt idx="10">
                  <c:v>-4.0599999999999994E-3</c:v>
                </c:pt>
                <c:pt idx="11">
                  <c:v>-4.0599999999999994E-3</c:v>
                </c:pt>
                <c:pt idx="12">
                  <c:v>-4.0599999999999994E-3</c:v>
                </c:pt>
                <c:pt idx="13">
                  <c:v>-4.0599999999999994E-3</c:v>
                </c:pt>
                <c:pt idx="14">
                  <c:v>-4.0599999999999994E-3</c:v>
                </c:pt>
                <c:pt idx="15">
                  <c:v>-4.0599999999999994E-3</c:v>
                </c:pt>
                <c:pt idx="16">
                  <c:v>-4.0599999999999994E-3</c:v>
                </c:pt>
                <c:pt idx="17">
                  <c:v>-4.0599999999999994E-3</c:v>
                </c:pt>
                <c:pt idx="18">
                  <c:v>-4.0599999999999994E-3</c:v>
                </c:pt>
                <c:pt idx="19">
                  <c:v>-4.0599999999999994E-3</c:v>
                </c:pt>
                <c:pt idx="20">
                  <c:v>-4.0599999999999994E-3</c:v>
                </c:pt>
                <c:pt idx="21">
                  <c:v>-4.0599999999999994E-3</c:v>
                </c:pt>
                <c:pt idx="22">
                  <c:v>-4.0599999999999994E-3</c:v>
                </c:pt>
                <c:pt idx="23">
                  <c:v>-4.0599999999999994E-3</c:v>
                </c:pt>
                <c:pt idx="24">
                  <c:v>-4.0599999999999994E-3</c:v>
                </c:pt>
              </c:numCache>
            </c:numRef>
          </c:val>
          <c:extLst>
            <c:ext xmlns:c16="http://schemas.microsoft.com/office/drawing/2014/chart" uri="{C3380CC4-5D6E-409C-BE32-E72D297353CC}">
              <c16:uniqueId val="{00000008-4311-4A1D-BDF1-2800EAFD2BEE}"/>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(I) - HHD'!$AB$404</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cat>
            <c:numRef>
              <c:f>'Results ReCiPe (I) - HHD'!$AC$394:$BA$394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HHD'!$AC$404:$BA$404</c:f>
              <c:numCache>
                <c:formatCode>0.00E+00</c:formatCode>
                <c:ptCount val="25"/>
                <c:pt idx="0">
                  <c:v>1.5248645475073581E-2</c:v>
                </c:pt>
                <c:pt idx="1">
                  <c:v>8.3210198122435353E-5</c:v>
                </c:pt>
                <c:pt idx="2">
                  <c:v>5.2462320081026435E-5</c:v>
                </c:pt>
                <c:pt idx="3">
                  <c:v>2.6200504653948499E-4</c:v>
                </c:pt>
                <c:pt idx="4">
                  <c:v>-1.6769876625519382E-5</c:v>
                </c:pt>
                <c:pt idx="5">
                  <c:v>-4.6663583278226672E-5</c:v>
                </c:pt>
                <c:pt idx="6">
                  <c:v>1.871262529889138E-4</c:v>
                </c:pt>
                <c:pt idx="7">
                  <c:v>-5.5431827697251766E-5</c:v>
                </c:pt>
                <c:pt idx="8">
                  <c:v>-6.204709458859127E-5</c:v>
                </c:pt>
                <c:pt idx="9">
                  <c:v>1.7037309719719097E-4</c:v>
                </c:pt>
                <c:pt idx="10">
                  <c:v>-7.0801315646681212E-5</c:v>
                </c:pt>
                <c:pt idx="11">
                  <c:v>-7.3239595026248008E-5</c:v>
                </c:pt>
                <c:pt idx="12">
                  <c:v>1.6035307983391488E-4</c:v>
                </c:pt>
                <c:pt idx="13">
                  <c:v>-7.8196289508768516E-5</c:v>
                </c:pt>
                <c:pt idx="14">
                  <c:v>-8.016800722927906E-5</c:v>
                </c:pt>
                <c:pt idx="15">
                  <c:v>1.5244104616793201E-4</c:v>
                </c:pt>
                <c:pt idx="16">
                  <c:v>-9.0613585717393662E-5</c:v>
                </c:pt>
                <c:pt idx="17">
                  <c:v>-9.926707255137647E-5</c:v>
                </c:pt>
                <c:pt idx="18">
                  <c:v>1.2399012719761186E-4</c:v>
                </c:pt>
                <c:pt idx="19">
                  <c:v>-1.1706643327461658E-4</c:v>
                </c:pt>
                <c:pt idx="20">
                  <c:v>-1.2447020745883896E-4</c:v>
                </c:pt>
                <c:pt idx="21">
                  <c:v>1.4039912827840464E-4</c:v>
                </c:pt>
                <c:pt idx="22">
                  <c:v>-9.8056891762720103E-5</c:v>
                </c:pt>
                <c:pt idx="23">
                  <c:v>-1.0113040141302571E-4</c:v>
                </c:pt>
                <c:pt idx="24">
                  <c:v>2.6519959316978394E-4</c:v>
                </c:pt>
              </c:numCache>
            </c:numRef>
          </c:val>
          <c:smooth val="0"/>
          <c:extLst>
            <c:ext xmlns:c16="http://schemas.microsoft.com/office/drawing/2014/chart" uri="{C3380CC4-5D6E-409C-BE32-E72D297353CC}">
              <c16:uniqueId val="{00000009-4311-4A1D-BDF1-2800EAFD2BEE}"/>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Human</a:t>
                </a:r>
                <a:r>
                  <a:rPr lang="nl-NL" baseline="0"/>
                  <a:t> health</a:t>
                </a:r>
                <a:r>
                  <a:rPr lang="nl-NL"/>
                  <a:t> damage </a:t>
                </a:r>
                <a:br>
                  <a:rPr lang="nl-NL"/>
                </a:br>
                <a:r>
                  <a:rPr lang="nl-NL"/>
                  <a:t>(DALY/ton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(I) - ESD'!$AB$10</c:f>
              <c:strCache>
                <c:ptCount val="1"/>
                <c:pt idx="0">
                  <c:v>Construction - DAC</c:v>
                </c:pt>
              </c:strCache>
            </c:strRef>
          </c:tx>
          <c:spPr>
            <a:solidFill>
              <a:schemeClr val="accent4">
                <a:lumMod val="75000"/>
              </a:schemeClr>
            </a:solidFill>
            <a:ln>
              <a:noFill/>
            </a:ln>
            <a:effectLst/>
          </c:spPr>
          <c:invertIfNegative val="0"/>
          <c:cat>
            <c:numRef>
              <c:f>'Results ReCiPe (I) - ESD'!$AC$9:$BA$9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ESD'!$AC$10:$BA$10</c:f>
              <c:numCache>
                <c:formatCode>0.00E+00</c:formatCode>
                <c:ptCount val="25"/>
                <c:pt idx="0">
                  <c:v>1.0953239448160322E-4</c:v>
                </c:pt>
              </c:numCache>
            </c:numRef>
          </c:val>
          <c:extLst>
            <c:ext xmlns:c16="http://schemas.microsoft.com/office/drawing/2014/chart" uri="{C3380CC4-5D6E-409C-BE32-E72D297353CC}">
              <c16:uniqueId val="{00000000-5B33-43CC-967A-86EEBB90A97C}"/>
            </c:ext>
          </c:extLst>
        </c:ser>
        <c:ser>
          <c:idx val="1"/>
          <c:order val="1"/>
          <c:tx>
            <c:strRef>
              <c:f>'Results ReCiPe (I) - ESD'!$AB$11</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(I) - ESD'!$AC$9:$BA$9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ESD'!$AC$11:$BA$11</c:f>
              <c:numCache>
                <c:formatCode>0.00E+00</c:formatCode>
                <c:ptCount val="25"/>
                <c:pt idx="0">
                  <c:v>5.5821736600752947E-6</c:v>
                </c:pt>
              </c:numCache>
            </c:numRef>
          </c:val>
          <c:extLst>
            <c:ext xmlns:c16="http://schemas.microsoft.com/office/drawing/2014/chart" uri="{C3380CC4-5D6E-409C-BE32-E72D297353CC}">
              <c16:uniqueId val="{00000001-5B33-43CC-967A-86EEBB90A97C}"/>
            </c:ext>
          </c:extLst>
        </c:ser>
        <c:ser>
          <c:idx val="2"/>
          <c:order val="2"/>
          <c:tx>
            <c:strRef>
              <c:f>'Results ReCiPe (I) - ESD'!$AB$12</c:f>
              <c:strCache>
                <c:ptCount val="1"/>
                <c:pt idx="0">
                  <c:v>Deconstruction - DAC</c:v>
                </c:pt>
              </c:strCache>
            </c:strRef>
          </c:tx>
          <c:spPr>
            <a:solidFill>
              <a:schemeClr val="accent2">
                <a:lumMod val="40000"/>
                <a:lumOff val="60000"/>
              </a:schemeClr>
            </a:solidFill>
            <a:ln>
              <a:noFill/>
            </a:ln>
            <a:effectLst/>
          </c:spPr>
          <c:invertIfNegative val="0"/>
          <c:cat>
            <c:numRef>
              <c:f>'Results ReCiPe (I) - ESD'!$AC$9:$BA$9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ESD'!$AC$12:$BA$12</c:f>
              <c:numCache>
                <c:formatCode>0.00E+00</c:formatCode>
                <c:ptCount val="25"/>
                <c:pt idx="24">
                  <c:v>1.2388121871278886E-6</c:v>
                </c:pt>
              </c:numCache>
            </c:numRef>
          </c:val>
          <c:extLst>
            <c:ext xmlns:c16="http://schemas.microsoft.com/office/drawing/2014/chart" uri="{C3380CC4-5D6E-409C-BE32-E72D297353CC}">
              <c16:uniqueId val="{00000002-5B33-43CC-967A-86EEBB90A97C}"/>
            </c:ext>
          </c:extLst>
        </c:ser>
        <c:ser>
          <c:idx val="3"/>
          <c:order val="3"/>
          <c:tx>
            <c:strRef>
              <c:f>'Results ReCiPe (I) - ESD'!$AB$13</c:f>
              <c:strCache>
                <c:ptCount val="1"/>
                <c:pt idx="0">
                  <c:v>Deconstruction - geological storage</c:v>
                </c:pt>
              </c:strCache>
            </c:strRef>
          </c:tx>
          <c:spPr>
            <a:solidFill>
              <a:srgbClr val="FF9900"/>
            </a:solidFill>
            <a:ln>
              <a:noFill/>
            </a:ln>
            <a:effectLst/>
          </c:spPr>
          <c:invertIfNegative val="0"/>
          <c:cat>
            <c:numRef>
              <c:f>'Results ReCiPe (I) - ESD'!$AC$9:$BA$9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ESD'!$AC$13:$BA$13</c:f>
              <c:numCache>
                <c:formatCode>0.00E+00</c:formatCode>
                <c:ptCount val="25"/>
                <c:pt idx="24">
                  <c:v>3.8995886120102447E-8</c:v>
                </c:pt>
              </c:numCache>
            </c:numRef>
          </c:val>
          <c:extLst>
            <c:ext xmlns:c16="http://schemas.microsoft.com/office/drawing/2014/chart" uri="{C3380CC4-5D6E-409C-BE32-E72D297353CC}">
              <c16:uniqueId val="{00000003-5B33-43CC-967A-86EEBB90A97C}"/>
            </c:ext>
          </c:extLst>
        </c:ser>
        <c:ser>
          <c:idx val="4"/>
          <c:order val="4"/>
          <c:tx>
            <c:strRef>
              <c:f>'Results ReCiPe (I) - ESD'!$AB$14</c:f>
              <c:strCache>
                <c:ptCount val="1"/>
                <c:pt idx="0">
                  <c:v>Sorbent material</c:v>
                </c:pt>
              </c:strCache>
            </c:strRef>
          </c:tx>
          <c:spPr>
            <a:solidFill>
              <a:srgbClr val="FF8F8F"/>
            </a:solidFill>
            <a:ln>
              <a:noFill/>
            </a:ln>
            <a:effectLst/>
          </c:spPr>
          <c:invertIfNegative val="0"/>
          <c:cat>
            <c:numRef>
              <c:f>'Results ReCiPe (I) - ESD'!$AC$9:$BA$9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ESD'!$AC$14:$BA$14</c:f>
              <c:numCache>
                <c:formatCode>0.00E+00</c:formatCode>
                <c:ptCount val="25"/>
                <c:pt idx="0">
                  <c:v>1.8923827854892541E-6</c:v>
                </c:pt>
                <c:pt idx="3">
                  <c:v>1.875504080673279E-6</c:v>
                </c:pt>
                <c:pt idx="6">
                  <c:v>1.8735069041771709E-6</c:v>
                </c:pt>
                <c:pt idx="9">
                  <c:v>1.879003812114612E-6</c:v>
                </c:pt>
                <c:pt idx="12">
                  <c:v>1.8953729876566431E-6</c:v>
                </c:pt>
                <c:pt idx="15">
                  <c:v>1.91292243317761E-6</c:v>
                </c:pt>
                <c:pt idx="18">
                  <c:v>1.8919742403575121E-6</c:v>
                </c:pt>
                <c:pt idx="21">
                  <c:v>1.884095534967196E-6</c:v>
                </c:pt>
                <c:pt idx="24">
                  <c:v>1.8435821555876251E-6</c:v>
                </c:pt>
              </c:numCache>
            </c:numRef>
          </c:val>
          <c:extLst>
            <c:ext xmlns:c16="http://schemas.microsoft.com/office/drawing/2014/chart" uri="{C3380CC4-5D6E-409C-BE32-E72D297353CC}">
              <c16:uniqueId val="{00000004-5B33-43CC-967A-86EEBB90A97C}"/>
            </c:ext>
          </c:extLst>
        </c:ser>
        <c:ser>
          <c:idx val="5"/>
          <c:order val="5"/>
          <c:tx>
            <c:strRef>
              <c:f>'Results ReCiPe (I) - ESD'!$AB$15</c:f>
              <c:strCache>
                <c:ptCount val="1"/>
                <c:pt idx="0">
                  <c:v>Operation - DAC</c:v>
                </c:pt>
              </c:strCache>
            </c:strRef>
          </c:tx>
          <c:spPr>
            <a:solidFill>
              <a:schemeClr val="accent2">
                <a:lumMod val="75000"/>
              </a:schemeClr>
            </a:solidFill>
            <a:ln>
              <a:noFill/>
            </a:ln>
            <a:effectLst/>
          </c:spPr>
          <c:invertIfNegative val="0"/>
          <c:cat>
            <c:numRef>
              <c:f>'Results ReCiPe (I) - ESD'!$AC$9:$BA$9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ESD'!$AC$15:$BA$15</c:f>
              <c:numCache>
                <c:formatCode>0.00E+00</c:formatCode>
                <c:ptCount val="25"/>
                <c:pt idx="0">
                  <c:v>7.6760292985644457E-5</c:v>
                </c:pt>
                <c:pt idx="1">
                  <c:v>7.6218330522362946E-5</c:v>
                </c:pt>
                <c:pt idx="2">
                  <c:v>7.5674307555447412E-5</c:v>
                </c:pt>
                <c:pt idx="3">
                  <c:v>7.5080008757354359E-5</c:v>
                </c:pt>
                <c:pt idx="4">
                  <c:v>7.4529715374332869E-5</c:v>
                </c:pt>
                <c:pt idx="5">
                  <c:v>7.397720824083148E-5</c:v>
                </c:pt>
                <c:pt idx="6">
                  <c:v>7.906362097607896E-5</c:v>
                </c:pt>
                <c:pt idx="7">
                  <c:v>8.4145715920012226E-5</c:v>
                </c:pt>
                <c:pt idx="8">
                  <c:v>8.9192204664385804E-5</c:v>
                </c:pt>
                <c:pt idx="9">
                  <c:v>9.427202500847303E-5</c:v>
                </c:pt>
                <c:pt idx="10">
                  <c:v>9.9348451953836956E-5</c:v>
                </c:pt>
                <c:pt idx="11">
                  <c:v>1.0959997014163289E-4</c:v>
                </c:pt>
                <c:pt idx="12">
                  <c:v>1.1989646166232239E-4</c:v>
                </c:pt>
                <c:pt idx="13">
                  <c:v>1.3023393400554239E-4</c:v>
                </c:pt>
                <c:pt idx="14">
                  <c:v>1.406306828706147E-4</c:v>
                </c:pt>
                <c:pt idx="15">
                  <c:v>1.5108266225756809E-4</c:v>
                </c:pt>
                <c:pt idx="16">
                  <c:v>1.5151050907316339E-4</c:v>
                </c:pt>
                <c:pt idx="17">
                  <c:v>1.519646346648286E-4</c:v>
                </c:pt>
                <c:pt idx="18">
                  <c:v>1.5243353919979879E-4</c:v>
                </c:pt>
                <c:pt idx="19">
                  <c:v>1.5293189393218419E-4</c:v>
                </c:pt>
                <c:pt idx="20">
                  <c:v>1.5344872186914488E-4</c:v>
                </c:pt>
                <c:pt idx="21">
                  <c:v>1.5124343961339209E-4</c:v>
                </c:pt>
                <c:pt idx="22">
                  <c:v>1.4632888657401829E-4</c:v>
                </c:pt>
                <c:pt idx="23">
                  <c:v>1.4139611029869348E-4</c:v>
                </c:pt>
                <c:pt idx="24">
                  <c:v>1.3644497980944058E-4</c:v>
                </c:pt>
              </c:numCache>
            </c:numRef>
          </c:val>
          <c:extLst>
            <c:ext xmlns:c16="http://schemas.microsoft.com/office/drawing/2014/chart" uri="{C3380CC4-5D6E-409C-BE32-E72D297353CC}">
              <c16:uniqueId val="{00000005-5B33-43CC-967A-86EEBB90A97C}"/>
            </c:ext>
          </c:extLst>
        </c:ser>
        <c:ser>
          <c:idx val="6"/>
          <c:order val="6"/>
          <c:tx>
            <c:strRef>
              <c:f>'Results ReCiPe (I) - ESD'!$AB$16</c:f>
              <c:strCache>
                <c:ptCount val="1"/>
                <c:pt idx="0">
                  <c:v>Operation - geological storage</c:v>
                </c:pt>
              </c:strCache>
            </c:strRef>
          </c:tx>
          <c:spPr>
            <a:solidFill>
              <a:schemeClr val="accent2">
                <a:lumMod val="50000"/>
              </a:schemeClr>
            </a:solidFill>
            <a:ln>
              <a:noFill/>
            </a:ln>
            <a:effectLst/>
          </c:spPr>
          <c:invertIfNegative val="0"/>
          <c:cat>
            <c:numRef>
              <c:f>'Results ReCiPe (I) - ESD'!$AC$9:$BA$9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ESD'!$AC$16:$BA$16</c:f>
              <c:numCache>
                <c:formatCode>0.00E+00</c:formatCode>
                <c:ptCount val="25"/>
                <c:pt idx="0">
                  <c:v>7.0419649962855689E-6</c:v>
                </c:pt>
                <c:pt idx="1">
                  <c:v>6.9922773302680094E-6</c:v>
                </c:pt>
                <c:pt idx="2">
                  <c:v>6.9425557432583682E-6</c:v>
                </c:pt>
                <c:pt idx="3">
                  <c:v>6.888406733459848E-6</c:v>
                </c:pt>
                <c:pt idx="4">
                  <c:v>6.8384515474365874E-6</c:v>
                </c:pt>
                <c:pt idx="5">
                  <c:v>6.7884549167404591E-6</c:v>
                </c:pt>
                <c:pt idx="6">
                  <c:v>7.1675062610933762E-6</c:v>
                </c:pt>
                <c:pt idx="7">
                  <c:v>7.5451477365387607E-6</c:v>
                </c:pt>
                <c:pt idx="8">
                  <c:v>7.9185473149029625E-6</c:v>
                </c:pt>
                <c:pt idx="9">
                  <c:v>8.2938511012504184E-6</c:v>
                </c:pt>
                <c:pt idx="10">
                  <c:v>8.6678144148116416E-6</c:v>
                </c:pt>
                <c:pt idx="11">
                  <c:v>9.4320315276518852E-6</c:v>
                </c:pt>
                <c:pt idx="12">
                  <c:v>1.0197865934906731E-5</c:v>
                </c:pt>
                <c:pt idx="13">
                  <c:v>1.096487862824357E-5</c:v>
                </c:pt>
                <c:pt idx="14">
                  <c:v>1.1734711940163879E-5</c:v>
                </c:pt>
                <c:pt idx="15">
                  <c:v>1.2506910514695919E-5</c:v>
                </c:pt>
                <c:pt idx="16">
                  <c:v>1.2527961387115901E-5</c:v>
                </c:pt>
                <c:pt idx="17">
                  <c:v>1.2550878920619219E-5</c:v>
                </c:pt>
                <c:pt idx="18">
                  <c:v>1.2574638084395509E-5</c:v>
                </c:pt>
                <c:pt idx="19">
                  <c:v>1.2600671716551781E-5</c:v>
                </c:pt>
                <c:pt idx="20">
                  <c:v>1.2627988105891171E-5</c:v>
                </c:pt>
                <c:pt idx="21">
                  <c:v>1.245209160351894E-5</c:v>
                </c:pt>
                <c:pt idx="22">
                  <c:v>1.2065345971979151E-5</c:v>
                </c:pt>
                <c:pt idx="23">
                  <c:v>1.1678693509934879E-5</c:v>
                </c:pt>
                <c:pt idx="24">
                  <c:v>1.1292128733311901E-5</c:v>
                </c:pt>
              </c:numCache>
            </c:numRef>
          </c:val>
          <c:extLst>
            <c:ext xmlns:c16="http://schemas.microsoft.com/office/drawing/2014/chart" uri="{C3380CC4-5D6E-409C-BE32-E72D297353CC}">
              <c16:uniqueId val="{00000006-5B33-43CC-967A-86EEBB90A97C}"/>
            </c:ext>
          </c:extLst>
        </c:ser>
        <c:ser>
          <c:idx val="7"/>
          <c:order val="7"/>
          <c:tx>
            <c:strRef>
              <c:f>'Results ReCiPe (I) - ESD'!$AB$17</c:f>
              <c:strCache>
                <c:ptCount val="1"/>
                <c:pt idx="0">
                  <c:v>CO2 captured and stored</c:v>
                </c:pt>
              </c:strCache>
            </c:strRef>
          </c:tx>
          <c:spPr>
            <a:solidFill>
              <a:schemeClr val="tx2">
                <a:lumMod val="20000"/>
                <a:lumOff val="80000"/>
              </a:schemeClr>
            </a:solidFill>
            <a:ln>
              <a:noFill/>
            </a:ln>
            <a:effectLst/>
          </c:spPr>
          <c:invertIfNegative val="0"/>
          <c:cat>
            <c:numRef>
              <c:f>'Results ReCiPe (I) - ESD'!$AC$9:$BA$9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ESD'!$AC$17:$BA$17</c:f>
              <c:numCache>
                <c:formatCode>0.00E+00</c:formatCode>
                <c:ptCount val="25"/>
                <c:pt idx="0">
                  <c:v>-5.3201450000000005E-5</c:v>
                </c:pt>
                <c:pt idx="1">
                  <c:v>-5.3201450000000005E-5</c:v>
                </c:pt>
                <c:pt idx="2">
                  <c:v>-5.3201450000000005E-5</c:v>
                </c:pt>
                <c:pt idx="3">
                  <c:v>-5.3201450000000005E-5</c:v>
                </c:pt>
                <c:pt idx="4">
                  <c:v>-5.3201450000000005E-5</c:v>
                </c:pt>
                <c:pt idx="5">
                  <c:v>-5.3201450000000005E-5</c:v>
                </c:pt>
                <c:pt idx="6">
                  <c:v>-5.3201450000000005E-5</c:v>
                </c:pt>
                <c:pt idx="7">
                  <c:v>-5.3201450000000005E-5</c:v>
                </c:pt>
                <c:pt idx="8">
                  <c:v>-5.3201450000000005E-5</c:v>
                </c:pt>
                <c:pt idx="9">
                  <c:v>-5.3201450000000005E-5</c:v>
                </c:pt>
                <c:pt idx="10">
                  <c:v>-5.3201450000000005E-5</c:v>
                </c:pt>
                <c:pt idx="11">
                  <c:v>-5.3201450000000005E-5</c:v>
                </c:pt>
                <c:pt idx="12">
                  <c:v>-5.3201450000000005E-5</c:v>
                </c:pt>
                <c:pt idx="13">
                  <c:v>-5.3201450000000005E-5</c:v>
                </c:pt>
                <c:pt idx="14">
                  <c:v>-5.3201450000000005E-5</c:v>
                </c:pt>
                <c:pt idx="15">
                  <c:v>-5.3201450000000005E-5</c:v>
                </c:pt>
                <c:pt idx="16">
                  <c:v>-5.3201450000000005E-5</c:v>
                </c:pt>
                <c:pt idx="17">
                  <c:v>-5.3201450000000005E-5</c:v>
                </c:pt>
                <c:pt idx="18">
                  <c:v>-5.3201450000000005E-5</c:v>
                </c:pt>
                <c:pt idx="19">
                  <c:v>-5.3201450000000005E-5</c:v>
                </c:pt>
                <c:pt idx="20">
                  <c:v>-5.3201450000000005E-5</c:v>
                </c:pt>
                <c:pt idx="21">
                  <c:v>-5.3201450000000005E-5</c:v>
                </c:pt>
                <c:pt idx="22">
                  <c:v>-5.3201450000000005E-5</c:v>
                </c:pt>
                <c:pt idx="23">
                  <c:v>-5.3201450000000005E-5</c:v>
                </c:pt>
                <c:pt idx="24">
                  <c:v>-5.3201450000000005E-5</c:v>
                </c:pt>
              </c:numCache>
            </c:numRef>
          </c:val>
          <c:extLst>
            <c:ext xmlns:c16="http://schemas.microsoft.com/office/drawing/2014/chart" uri="{C3380CC4-5D6E-409C-BE32-E72D297353CC}">
              <c16:uniqueId val="{00000007-5B33-43CC-967A-86EEBB90A97C}"/>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(I) - ESD'!$AB$18</c:f>
              <c:strCache>
                <c:ptCount val="1"/>
                <c:pt idx="0">
                  <c:v>TOTAL per year</c:v>
                </c:pt>
              </c:strCache>
            </c:strRef>
          </c:tx>
          <c:spPr>
            <a:ln w="25400" cap="rnd">
              <a:noFill/>
              <a:round/>
            </a:ln>
            <a:effectLst/>
          </c:spPr>
          <c:marker>
            <c:symbol val="circle"/>
            <c:size val="5"/>
            <c:spPr>
              <a:solidFill>
                <a:schemeClr val="tx1"/>
              </a:solidFill>
              <a:ln w="9525">
                <a:solidFill>
                  <a:schemeClr val="tx1"/>
                </a:solidFill>
              </a:ln>
              <a:effectLst/>
            </c:spPr>
          </c:marker>
          <c:cat>
            <c:numRef>
              <c:f>'Results ReCiPe (I) - ESD'!$AC$9:$BA$9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ESD'!$AC$18:$BA$18</c:f>
              <c:numCache>
                <c:formatCode>0.00E+00</c:formatCode>
                <c:ptCount val="25"/>
                <c:pt idx="0">
                  <c:v>1.4760775890909779E-4</c:v>
                </c:pt>
                <c:pt idx="1">
                  <c:v>3.0009157852630947E-5</c:v>
                </c:pt>
                <c:pt idx="2">
                  <c:v>2.9415413298705774E-5</c:v>
                </c:pt>
                <c:pt idx="3">
                  <c:v>3.064246957148749E-5</c:v>
                </c:pt>
                <c:pt idx="4">
                  <c:v>2.8166716921769449E-5</c:v>
                </c:pt>
                <c:pt idx="5">
                  <c:v>2.7564213157571932E-5</c:v>
                </c:pt>
                <c:pt idx="6">
                  <c:v>3.4903184141349502E-5</c:v>
                </c:pt>
                <c:pt idx="7">
                  <c:v>3.8489413656550985E-5</c:v>
                </c:pt>
                <c:pt idx="8">
                  <c:v>4.3909301979288766E-5</c:v>
                </c:pt>
                <c:pt idx="9">
                  <c:v>5.1243429921838056E-5</c:v>
                </c:pt>
                <c:pt idx="10">
                  <c:v>5.4814816368648599E-5</c:v>
                </c:pt>
                <c:pt idx="11">
                  <c:v>6.5830551669284756E-5</c:v>
                </c:pt>
                <c:pt idx="12">
                  <c:v>7.878825058488576E-5</c:v>
                </c:pt>
                <c:pt idx="13">
                  <c:v>8.799736263378596E-5</c:v>
                </c:pt>
                <c:pt idx="14">
                  <c:v>9.916394481077859E-5</c:v>
                </c:pt>
                <c:pt idx="15">
                  <c:v>1.1230104520544161E-4</c:v>
                </c:pt>
                <c:pt idx="16">
                  <c:v>1.108370204602793E-4</c:v>
                </c:pt>
                <c:pt idx="17">
                  <c:v>1.1131406358544781E-4</c:v>
                </c:pt>
                <c:pt idx="18">
                  <c:v>1.1369870152455182E-4</c:v>
                </c:pt>
                <c:pt idx="19">
                  <c:v>1.1233111564873597E-4</c:v>
                </c:pt>
                <c:pt idx="20">
                  <c:v>1.1287525997503604E-4</c:v>
                </c:pt>
                <c:pt idx="21">
                  <c:v>1.1237817675187824E-4</c:v>
                </c:pt>
                <c:pt idx="22">
                  <c:v>1.0519278254599745E-4</c:v>
                </c:pt>
                <c:pt idx="23">
                  <c:v>9.9873353808628361E-5</c:v>
                </c:pt>
                <c:pt idx="24">
                  <c:v>9.7657048771588104E-5</c:v>
                </c:pt>
              </c:numCache>
            </c:numRef>
          </c:val>
          <c:smooth val="0"/>
          <c:extLst>
            <c:ext xmlns:c16="http://schemas.microsoft.com/office/drawing/2014/chart" uri="{C3380CC4-5D6E-409C-BE32-E72D297353CC}">
              <c16:uniqueId val="{00000008-5B33-43CC-967A-86EEBB90A97C}"/>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Ecosystem damage </a:t>
                </a:r>
                <a:br>
                  <a:rPr lang="nl-NL"/>
                </a:br>
                <a:r>
                  <a:rPr lang="nl-NL"/>
                  <a:t>(PDF*yr/ton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(I) - ESD'!$AB$50</c:f>
              <c:strCache>
                <c:ptCount val="1"/>
                <c:pt idx="0">
                  <c:v>Construction - DAC</c:v>
                </c:pt>
              </c:strCache>
            </c:strRef>
          </c:tx>
          <c:spPr>
            <a:solidFill>
              <a:schemeClr val="accent4">
                <a:lumMod val="75000"/>
              </a:schemeClr>
            </a:solidFill>
            <a:ln>
              <a:noFill/>
            </a:ln>
            <a:effectLst/>
          </c:spPr>
          <c:invertIfNegative val="0"/>
          <c:cat>
            <c:numRef>
              <c:f>'Results ReCiPe (I) - ESD'!$AC$49:$BA$49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ESD'!$AC$50:$BA$50</c:f>
              <c:numCache>
                <c:formatCode>0.00E+00</c:formatCode>
                <c:ptCount val="25"/>
                <c:pt idx="0">
                  <c:v>1.044355890609833E-4</c:v>
                </c:pt>
              </c:numCache>
            </c:numRef>
          </c:val>
          <c:extLst>
            <c:ext xmlns:c16="http://schemas.microsoft.com/office/drawing/2014/chart" uri="{C3380CC4-5D6E-409C-BE32-E72D297353CC}">
              <c16:uniqueId val="{00000000-C43F-4FBD-BF52-91F313DE4AA7}"/>
            </c:ext>
          </c:extLst>
        </c:ser>
        <c:ser>
          <c:idx val="1"/>
          <c:order val="1"/>
          <c:tx>
            <c:strRef>
              <c:f>'Results ReCiPe (I) - ESD'!$AB$51</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(I) - ESD'!$AC$49:$BA$49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ESD'!$AC$51:$BA$51</c:f>
              <c:numCache>
                <c:formatCode>0.00E+00</c:formatCode>
                <c:ptCount val="25"/>
                <c:pt idx="0">
                  <c:v>5.3366017106762977E-6</c:v>
                </c:pt>
              </c:numCache>
            </c:numRef>
          </c:val>
          <c:extLst>
            <c:ext xmlns:c16="http://schemas.microsoft.com/office/drawing/2014/chart" uri="{C3380CC4-5D6E-409C-BE32-E72D297353CC}">
              <c16:uniqueId val="{00000001-C43F-4FBD-BF52-91F313DE4AA7}"/>
            </c:ext>
          </c:extLst>
        </c:ser>
        <c:ser>
          <c:idx val="2"/>
          <c:order val="2"/>
          <c:tx>
            <c:strRef>
              <c:f>'Results ReCiPe (I) - ESD'!$AB$52</c:f>
              <c:strCache>
                <c:ptCount val="1"/>
                <c:pt idx="0">
                  <c:v>Deconstruction - DAC</c:v>
                </c:pt>
              </c:strCache>
            </c:strRef>
          </c:tx>
          <c:spPr>
            <a:solidFill>
              <a:schemeClr val="accent2">
                <a:lumMod val="40000"/>
                <a:lumOff val="60000"/>
              </a:schemeClr>
            </a:solidFill>
            <a:ln>
              <a:noFill/>
            </a:ln>
            <a:effectLst/>
          </c:spPr>
          <c:invertIfNegative val="0"/>
          <c:cat>
            <c:numRef>
              <c:f>'Results ReCiPe (I) - ESD'!$AC$49:$BA$49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ESD'!$AC$52:$BA$52</c:f>
              <c:numCache>
                <c:formatCode>0.00E+00</c:formatCode>
                <c:ptCount val="25"/>
                <c:pt idx="24">
                  <c:v>1.2390051343368202E-6</c:v>
                </c:pt>
              </c:numCache>
            </c:numRef>
          </c:val>
          <c:extLst>
            <c:ext xmlns:c16="http://schemas.microsoft.com/office/drawing/2014/chart" uri="{C3380CC4-5D6E-409C-BE32-E72D297353CC}">
              <c16:uniqueId val="{00000002-C43F-4FBD-BF52-91F313DE4AA7}"/>
            </c:ext>
          </c:extLst>
        </c:ser>
        <c:ser>
          <c:idx val="3"/>
          <c:order val="3"/>
          <c:tx>
            <c:strRef>
              <c:f>'Results ReCiPe (I) - ESD'!$AB$53</c:f>
              <c:strCache>
                <c:ptCount val="1"/>
                <c:pt idx="0">
                  <c:v>Deconstruction - geological storage</c:v>
                </c:pt>
              </c:strCache>
            </c:strRef>
          </c:tx>
          <c:spPr>
            <a:solidFill>
              <a:srgbClr val="FF9900"/>
            </a:solidFill>
            <a:ln>
              <a:noFill/>
            </a:ln>
            <a:effectLst/>
          </c:spPr>
          <c:invertIfNegative val="0"/>
          <c:cat>
            <c:numRef>
              <c:f>'Results ReCiPe (I) - ESD'!$AC$49:$BA$49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ESD'!$AC$53:$BA$53</c:f>
              <c:numCache>
                <c:formatCode>0.00E+00</c:formatCode>
                <c:ptCount val="25"/>
                <c:pt idx="24">
                  <c:v>3.8973567066174879E-8</c:v>
                </c:pt>
              </c:numCache>
            </c:numRef>
          </c:val>
          <c:extLst>
            <c:ext xmlns:c16="http://schemas.microsoft.com/office/drawing/2014/chart" uri="{C3380CC4-5D6E-409C-BE32-E72D297353CC}">
              <c16:uniqueId val="{00000003-C43F-4FBD-BF52-91F313DE4AA7}"/>
            </c:ext>
          </c:extLst>
        </c:ser>
        <c:ser>
          <c:idx val="4"/>
          <c:order val="4"/>
          <c:tx>
            <c:strRef>
              <c:f>'Results ReCiPe (I) - ESD'!$AB$54</c:f>
              <c:strCache>
                <c:ptCount val="1"/>
                <c:pt idx="0">
                  <c:v>Sorbent material</c:v>
                </c:pt>
              </c:strCache>
            </c:strRef>
          </c:tx>
          <c:spPr>
            <a:solidFill>
              <a:srgbClr val="FF8F8F"/>
            </a:solidFill>
            <a:ln>
              <a:noFill/>
            </a:ln>
            <a:effectLst/>
          </c:spPr>
          <c:invertIfNegative val="0"/>
          <c:cat>
            <c:numRef>
              <c:f>'Results ReCiPe (I) - ESD'!$AC$49:$BA$49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ESD'!$AC$54:$BA$54</c:f>
              <c:numCache>
                <c:formatCode>0.00E+00</c:formatCode>
                <c:ptCount val="25"/>
                <c:pt idx="0">
                  <c:v>1.8258940739667011E-6</c:v>
                </c:pt>
                <c:pt idx="3">
                  <c:v>1.767125439800878E-6</c:v>
                </c:pt>
                <c:pt idx="6">
                  <c:v>1.715497990639842E-6</c:v>
                </c:pt>
                <c:pt idx="9">
                  <c:v>1.657874882943543E-6</c:v>
                </c:pt>
                <c:pt idx="12">
                  <c:v>1.5963755513726221E-6</c:v>
                </c:pt>
                <c:pt idx="15">
                  <c:v>1.5285765180628141E-6</c:v>
                </c:pt>
                <c:pt idx="18">
                  <c:v>1.48499946196324E-6</c:v>
                </c:pt>
                <c:pt idx="21">
                  <c:v>1.472270012135608E-6</c:v>
                </c:pt>
                <c:pt idx="24">
                  <c:v>1.4696136355869061E-6</c:v>
                </c:pt>
              </c:numCache>
            </c:numRef>
          </c:val>
          <c:extLst>
            <c:ext xmlns:c16="http://schemas.microsoft.com/office/drawing/2014/chart" uri="{C3380CC4-5D6E-409C-BE32-E72D297353CC}">
              <c16:uniqueId val="{00000004-C43F-4FBD-BF52-91F313DE4AA7}"/>
            </c:ext>
          </c:extLst>
        </c:ser>
        <c:ser>
          <c:idx val="5"/>
          <c:order val="5"/>
          <c:tx>
            <c:strRef>
              <c:f>'Results ReCiPe (I) - ESD'!$AB$55</c:f>
              <c:strCache>
                <c:ptCount val="1"/>
                <c:pt idx="0">
                  <c:v>Operation - DAC</c:v>
                </c:pt>
              </c:strCache>
            </c:strRef>
          </c:tx>
          <c:spPr>
            <a:solidFill>
              <a:schemeClr val="accent2">
                <a:lumMod val="75000"/>
              </a:schemeClr>
            </a:solidFill>
            <a:ln>
              <a:noFill/>
            </a:ln>
            <a:effectLst/>
          </c:spPr>
          <c:invertIfNegative val="0"/>
          <c:cat>
            <c:numRef>
              <c:f>'Results ReCiPe (I) - ESD'!$AC$49:$BA$49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ESD'!$AC$55:$BA$55</c:f>
              <c:numCache>
                <c:formatCode>0.00E+00</c:formatCode>
                <c:ptCount val="25"/>
                <c:pt idx="0">
                  <c:v>6.2505926922369167E-5</c:v>
                </c:pt>
                <c:pt idx="1">
                  <c:v>5.7978510761987392E-5</c:v>
                </c:pt>
                <c:pt idx="2">
                  <c:v>5.3442799952272129E-5</c:v>
                </c:pt>
                <c:pt idx="3">
                  <c:v>4.884529361176451E-5</c:v>
                </c:pt>
                <c:pt idx="4">
                  <c:v>4.42917286803364E-5</c:v>
                </c:pt>
                <c:pt idx="5">
                  <c:v>3.9730878910996372E-5</c:v>
                </c:pt>
                <c:pt idx="6">
                  <c:v>3.7672701186068851E-5</c:v>
                </c:pt>
                <c:pt idx="7">
                  <c:v>3.5605493829544547E-5</c:v>
                </c:pt>
                <c:pt idx="8">
                  <c:v>3.3478782165126077E-5</c:v>
                </c:pt>
                <c:pt idx="9">
                  <c:v>3.138753003595356E-5</c:v>
                </c:pt>
                <c:pt idx="10">
                  <c:v>2.928528139431669E-5</c:v>
                </c:pt>
                <c:pt idx="11">
                  <c:v>2.8369055744623428E-5</c:v>
                </c:pt>
                <c:pt idx="12">
                  <c:v>2.7445054964636648E-5</c:v>
                </c:pt>
                <c:pt idx="13">
                  <c:v>2.649157245817288E-5</c:v>
                </c:pt>
                <c:pt idx="14">
                  <c:v>2.5543754506054188E-5</c:v>
                </c:pt>
                <c:pt idx="15">
                  <c:v>2.4587883121361799E-5</c:v>
                </c:pt>
                <c:pt idx="16">
                  <c:v>2.4469127178277918E-5</c:v>
                </c:pt>
                <c:pt idx="17">
                  <c:v>2.4355129563173829E-5</c:v>
                </c:pt>
                <c:pt idx="18">
                  <c:v>2.4226764688214468E-5</c:v>
                </c:pt>
                <c:pt idx="19">
                  <c:v>2.411983969800539E-5</c:v>
                </c:pt>
                <c:pt idx="20">
                  <c:v>2.4016901315923607E-5</c:v>
                </c:pt>
                <c:pt idx="21">
                  <c:v>2.4654963170414927E-5</c:v>
                </c:pt>
                <c:pt idx="22">
                  <c:v>2.4460855528191879E-5</c:v>
                </c:pt>
                <c:pt idx="23">
                  <c:v>2.4264867154611528E-5</c:v>
                </c:pt>
                <c:pt idx="24">
                  <c:v>2.406695605777555E-5</c:v>
                </c:pt>
              </c:numCache>
            </c:numRef>
          </c:val>
          <c:extLst>
            <c:ext xmlns:c16="http://schemas.microsoft.com/office/drawing/2014/chart" uri="{C3380CC4-5D6E-409C-BE32-E72D297353CC}">
              <c16:uniqueId val="{00000005-C43F-4FBD-BF52-91F313DE4AA7}"/>
            </c:ext>
          </c:extLst>
        </c:ser>
        <c:ser>
          <c:idx val="6"/>
          <c:order val="6"/>
          <c:tx>
            <c:strRef>
              <c:f>'Results ReCiPe (I) - ESD'!$AB$56</c:f>
              <c:strCache>
                <c:ptCount val="1"/>
                <c:pt idx="0">
                  <c:v>Operation - geological storage</c:v>
                </c:pt>
              </c:strCache>
            </c:strRef>
          </c:tx>
          <c:spPr>
            <a:solidFill>
              <a:schemeClr val="accent2">
                <a:lumMod val="50000"/>
              </a:schemeClr>
            </a:solidFill>
            <a:ln>
              <a:noFill/>
            </a:ln>
            <a:effectLst/>
          </c:spPr>
          <c:invertIfNegative val="0"/>
          <c:cat>
            <c:numRef>
              <c:f>'Results ReCiPe (I) - ESD'!$AC$49:$BA$49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ESD'!$AC$56:$BA$56</c:f>
              <c:numCache>
                <c:formatCode>0.00E+00</c:formatCode>
                <c:ptCount val="25"/>
                <c:pt idx="0">
                  <c:v>5.9254811538663173E-6</c:v>
                </c:pt>
                <c:pt idx="1">
                  <c:v>5.5700799113965384E-6</c:v>
                </c:pt>
                <c:pt idx="2">
                  <c:v>5.2155417605495763E-6</c:v>
                </c:pt>
                <c:pt idx="3">
                  <c:v>4.8570633225473461E-6</c:v>
                </c:pt>
                <c:pt idx="4">
                  <c:v>4.5041856479419685E-6</c:v>
                </c:pt>
                <c:pt idx="5">
                  <c:v>4.1522684022087872E-6</c:v>
                </c:pt>
                <c:pt idx="6">
                  <c:v>3.992109484621831E-6</c:v>
                </c:pt>
                <c:pt idx="7">
                  <c:v>3.8315237878822006E-6</c:v>
                </c:pt>
                <c:pt idx="8">
                  <c:v>3.6661672770336259E-6</c:v>
                </c:pt>
                <c:pt idx="9">
                  <c:v>3.5042634709163951E-6</c:v>
                </c:pt>
                <c:pt idx="10">
                  <c:v>3.3417848870271549E-6</c:v>
                </c:pt>
                <c:pt idx="11">
                  <c:v>3.2696749476736018E-6</c:v>
                </c:pt>
                <c:pt idx="12">
                  <c:v>3.1970157519895608E-6</c:v>
                </c:pt>
                <c:pt idx="13">
                  <c:v>3.1219655189402421E-6</c:v>
                </c:pt>
                <c:pt idx="14">
                  <c:v>3.047575161640264E-6</c:v>
                </c:pt>
                <c:pt idx="15">
                  <c:v>2.9726056337355178E-6</c:v>
                </c:pt>
                <c:pt idx="16">
                  <c:v>2.962503255173818E-6</c:v>
                </c:pt>
                <c:pt idx="17">
                  <c:v>2.9528088403729429E-6</c:v>
                </c:pt>
                <c:pt idx="18">
                  <c:v>2.9418637683488709E-6</c:v>
                </c:pt>
                <c:pt idx="19">
                  <c:v>2.9328066315729569E-6</c:v>
                </c:pt>
                <c:pt idx="20">
                  <c:v>2.9241099518607162E-6</c:v>
                </c:pt>
                <c:pt idx="21">
                  <c:v>2.9811376000859482E-6</c:v>
                </c:pt>
                <c:pt idx="22">
                  <c:v>2.9652465022981907E-6</c:v>
                </c:pt>
                <c:pt idx="23">
                  <c:v>2.9492590944806742E-6</c:v>
                </c:pt>
                <c:pt idx="24">
                  <c:v>2.933170722023218E-6</c:v>
                </c:pt>
              </c:numCache>
            </c:numRef>
          </c:val>
          <c:extLst>
            <c:ext xmlns:c16="http://schemas.microsoft.com/office/drawing/2014/chart" uri="{C3380CC4-5D6E-409C-BE32-E72D297353CC}">
              <c16:uniqueId val="{00000006-C43F-4FBD-BF52-91F313DE4AA7}"/>
            </c:ext>
          </c:extLst>
        </c:ser>
        <c:ser>
          <c:idx val="7"/>
          <c:order val="7"/>
          <c:tx>
            <c:strRef>
              <c:f>'Results ReCiPe (I) - ESD'!$AB$57</c:f>
              <c:strCache>
                <c:ptCount val="1"/>
                <c:pt idx="0">
                  <c:v>CO2 captured and stored</c:v>
                </c:pt>
              </c:strCache>
            </c:strRef>
          </c:tx>
          <c:spPr>
            <a:solidFill>
              <a:schemeClr val="tx2">
                <a:lumMod val="20000"/>
                <a:lumOff val="80000"/>
              </a:schemeClr>
            </a:solidFill>
            <a:ln>
              <a:noFill/>
            </a:ln>
            <a:effectLst/>
          </c:spPr>
          <c:invertIfNegative val="0"/>
          <c:cat>
            <c:numRef>
              <c:f>'Results ReCiPe (I) - ESD'!$AC$49:$BA$49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ESD'!$AC$57:$BA$57</c:f>
              <c:numCache>
                <c:formatCode>0.00E+00</c:formatCode>
                <c:ptCount val="25"/>
                <c:pt idx="0">
                  <c:v>-5.3201450000000005E-5</c:v>
                </c:pt>
                <c:pt idx="1">
                  <c:v>-5.3201450000000005E-5</c:v>
                </c:pt>
                <c:pt idx="2">
                  <c:v>-5.3201450000000005E-5</c:v>
                </c:pt>
                <c:pt idx="3">
                  <c:v>-5.3201450000000005E-5</c:v>
                </c:pt>
                <c:pt idx="4">
                  <c:v>-5.3201450000000005E-5</c:v>
                </c:pt>
                <c:pt idx="5">
                  <c:v>-5.3201450000000005E-5</c:v>
                </c:pt>
                <c:pt idx="6">
                  <c:v>-5.3201450000000005E-5</c:v>
                </c:pt>
                <c:pt idx="7">
                  <c:v>-5.3201450000000005E-5</c:v>
                </c:pt>
                <c:pt idx="8">
                  <c:v>-5.3201450000000005E-5</c:v>
                </c:pt>
                <c:pt idx="9">
                  <c:v>-5.3201450000000005E-5</c:v>
                </c:pt>
                <c:pt idx="10">
                  <c:v>-5.3201450000000005E-5</c:v>
                </c:pt>
                <c:pt idx="11">
                  <c:v>-5.3201450000000005E-5</c:v>
                </c:pt>
                <c:pt idx="12">
                  <c:v>-5.3201450000000005E-5</c:v>
                </c:pt>
                <c:pt idx="13">
                  <c:v>-5.3201450000000005E-5</c:v>
                </c:pt>
                <c:pt idx="14">
                  <c:v>-5.3201450000000005E-5</c:v>
                </c:pt>
                <c:pt idx="15">
                  <c:v>-5.3201450000000005E-5</c:v>
                </c:pt>
                <c:pt idx="16">
                  <c:v>-5.3201450000000005E-5</c:v>
                </c:pt>
                <c:pt idx="17">
                  <c:v>-5.3201450000000005E-5</c:v>
                </c:pt>
                <c:pt idx="18">
                  <c:v>-5.3201450000000005E-5</c:v>
                </c:pt>
                <c:pt idx="19">
                  <c:v>-5.3201450000000005E-5</c:v>
                </c:pt>
                <c:pt idx="20">
                  <c:v>-5.3201450000000005E-5</c:v>
                </c:pt>
                <c:pt idx="21">
                  <c:v>-5.3201450000000005E-5</c:v>
                </c:pt>
                <c:pt idx="22">
                  <c:v>-5.3201450000000005E-5</c:v>
                </c:pt>
                <c:pt idx="23">
                  <c:v>-5.3201450000000005E-5</c:v>
                </c:pt>
                <c:pt idx="24">
                  <c:v>-5.3201450000000005E-5</c:v>
                </c:pt>
              </c:numCache>
            </c:numRef>
          </c:val>
          <c:extLst>
            <c:ext xmlns:c16="http://schemas.microsoft.com/office/drawing/2014/chart" uri="{C3380CC4-5D6E-409C-BE32-E72D297353CC}">
              <c16:uniqueId val="{00000007-C43F-4FBD-BF52-91F313DE4AA7}"/>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(I) - ESD'!$AB$58</c:f>
              <c:strCache>
                <c:ptCount val="1"/>
                <c:pt idx="0">
                  <c:v>TOTAL per year</c:v>
                </c:pt>
              </c:strCache>
            </c:strRef>
          </c:tx>
          <c:spPr>
            <a:ln w="25400" cap="rnd">
              <a:noFill/>
              <a:round/>
            </a:ln>
            <a:effectLst/>
          </c:spPr>
          <c:marker>
            <c:symbol val="circle"/>
            <c:size val="5"/>
            <c:spPr>
              <a:solidFill>
                <a:schemeClr val="tx1"/>
              </a:solidFill>
              <a:ln w="9525">
                <a:solidFill>
                  <a:schemeClr val="tx1"/>
                </a:solidFill>
              </a:ln>
              <a:effectLst/>
            </c:spPr>
          </c:marker>
          <c:cat>
            <c:numRef>
              <c:f>'Results ReCiPe (I) - ESD'!$AC$49:$BA$49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ESD'!$AC$58:$BA$58</c:f>
              <c:numCache>
                <c:formatCode>0.00E+00</c:formatCode>
                <c:ptCount val="25"/>
                <c:pt idx="0">
                  <c:v>1.2682804292186178E-4</c:v>
                </c:pt>
                <c:pt idx="1">
                  <c:v>1.0347140673383919E-5</c:v>
                </c:pt>
                <c:pt idx="2">
                  <c:v>5.4568917128217022E-6</c:v>
                </c:pt>
                <c:pt idx="3">
                  <c:v>2.2680323741127283E-6</c:v>
                </c:pt>
                <c:pt idx="4">
                  <c:v>-4.4055356717216364E-6</c:v>
                </c:pt>
                <c:pt idx="5">
                  <c:v>-9.3183026867948464E-6</c:v>
                </c:pt>
                <c:pt idx="6">
                  <c:v>-9.8211413386694801E-6</c:v>
                </c:pt>
                <c:pt idx="7">
                  <c:v>-1.376443238257326E-5</c:v>
                </c:pt>
                <c:pt idx="8">
                  <c:v>-1.6056500557840305E-5</c:v>
                </c:pt>
                <c:pt idx="9">
                  <c:v>-1.6651781610186506E-5</c:v>
                </c:pt>
                <c:pt idx="10">
                  <c:v>-2.0574383718656164E-5</c:v>
                </c:pt>
                <c:pt idx="11">
                  <c:v>-2.1562719307702975E-5</c:v>
                </c:pt>
                <c:pt idx="12">
                  <c:v>-2.0963003732001174E-5</c:v>
                </c:pt>
                <c:pt idx="13">
                  <c:v>-2.3587912022886882E-5</c:v>
                </c:pt>
                <c:pt idx="14">
                  <c:v>-2.4610120332305552E-5</c:v>
                </c:pt>
                <c:pt idx="15">
                  <c:v>-2.4112384726839873E-5</c:v>
                </c:pt>
                <c:pt idx="16">
                  <c:v>-2.576981956654827E-5</c:v>
                </c:pt>
                <c:pt idx="17">
                  <c:v>-2.5893511596453234E-5</c:v>
                </c:pt>
                <c:pt idx="18">
                  <c:v>-2.4547822081473429E-5</c:v>
                </c:pt>
                <c:pt idx="19">
                  <c:v>-2.6148803670421659E-5</c:v>
                </c:pt>
                <c:pt idx="20">
                  <c:v>-2.626043873221568E-5</c:v>
                </c:pt>
                <c:pt idx="21">
                  <c:v>-2.4093079217363522E-5</c:v>
                </c:pt>
                <c:pt idx="22">
                  <c:v>-2.5775347969509936E-5</c:v>
                </c:pt>
                <c:pt idx="23">
                  <c:v>-2.5987323750907803E-5</c:v>
                </c:pt>
                <c:pt idx="24">
                  <c:v>-2.3453730883211335E-5</c:v>
                </c:pt>
              </c:numCache>
            </c:numRef>
          </c:val>
          <c:smooth val="0"/>
          <c:extLst>
            <c:ext xmlns:c16="http://schemas.microsoft.com/office/drawing/2014/chart" uri="{C3380CC4-5D6E-409C-BE32-E72D297353CC}">
              <c16:uniqueId val="{00000008-C43F-4FBD-BF52-91F313DE4AA7}"/>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Ecosystem damage </a:t>
                </a:r>
                <a:br>
                  <a:rPr lang="nl-NL"/>
                </a:br>
                <a:r>
                  <a:rPr lang="nl-NL"/>
                  <a:t>(PDF*yr/ton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(I) - ESD'!$AB$90</c:f>
              <c:strCache>
                <c:ptCount val="1"/>
                <c:pt idx="0">
                  <c:v>Construction - DAC</c:v>
                </c:pt>
              </c:strCache>
            </c:strRef>
          </c:tx>
          <c:spPr>
            <a:solidFill>
              <a:schemeClr val="accent4">
                <a:lumMod val="75000"/>
              </a:schemeClr>
            </a:solidFill>
            <a:ln>
              <a:noFill/>
            </a:ln>
            <a:effectLst/>
          </c:spPr>
          <c:invertIfNegative val="0"/>
          <c:cat>
            <c:numRef>
              <c:f>'Results ReCiPe (I) - ESD'!$AC$89:$BA$89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ESD'!$AC$90:$BA$90</c:f>
              <c:numCache>
                <c:formatCode>0.00E+00</c:formatCode>
                <c:ptCount val="25"/>
                <c:pt idx="0">
                  <c:v>9.0381118043135502E-5</c:v>
                </c:pt>
              </c:numCache>
            </c:numRef>
          </c:val>
          <c:extLst>
            <c:ext xmlns:c16="http://schemas.microsoft.com/office/drawing/2014/chart" uri="{C3380CC4-5D6E-409C-BE32-E72D297353CC}">
              <c16:uniqueId val="{00000000-C675-45FA-B0DC-285614885B9D}"/>
            </c:ext>
          </c:extLst>
        </c:ser>
        <c:ser>
          <c:idx val="1"/>
          <c:order val="1"/>
          <c:tx>
            <c:strRef>
              <c:f>'Results ReCiPe (I) - ESD'!$AB$91</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(I) - ESD'!$AC$89:$BA$89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ESD'!$AC$91:$BA$91</c:f>
              <c:numCache>
                <c:formatCode>0.00E+00</c:formatCode>
                <c:ptCount val="25"/>
                <c:pt idx="0">
                  <c:v>4.9982557100980421E-6</c:v>
                </c:pt>
              </c:numCache>
            </c:numRef>
          </c:val>
          <c:extLst>
            <c:ext xmlns:c16="http://schemas.microsoft.com/office/drawing/2014/chart" uri="{C3380CC4-5D6E-409C-BE32-E72D297353CC}">
              <c16:uniqueId val="{00000001-C675-45FA-B0DC-285614885B9D}"/>
            </c:ext>
          </c:extLst>
        </c:ser>
        <c:ser>
          <c:idx val="2"/>
          <c:order val="2"/>
          <c:tx>
            <c:strRef>
              <c:f>'Results ReCiPe (I) - ESD'!$AB$92</c:f>
              <c:strCache>
                <c:ptCount val="1"/>
                <c:pt idx="0">
                  <c:v>Deconstruction - DAC</c:v>
                </c:pt>
              </c:strCache>
            </c:strRef>
          </c:tx>
          <c:spPr>
            <a:solidFill>
              <a:schemeClr val="accent2">
                <a:lumMod val="40000"/>
                <a:lumOff val="60000"/>
              </a:schemeClr>
            </a:solidFill>
            <a:ln>
              <a:noFill/>
            </a:ln>
            <a:effectLst/>
          </c:spPr>
          <c:invertIfNegative val="0"/>
          <c:cat>
            <c:numRef>
              <c:f>'Results ReCiPe (I) - ESD'!$AC$89:$BA$89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ESD'!$AC$92:$BA$92</c:f>
              <c:numCache>
                <c:formatCode>0.00E+00</c:formatCode>
                <c:ptCount val="25"/>
                <c:pt idx="24">
                  <c:v>1.3171343639388709E-6</c:v>
                </c:pt>
              </c:numCache>
            </c:numRef>
          </c:val>
          <c:extLst>
            <c:ext xmlns:c16="http://schemas.microsoft.com/office/drawing/2014/chart" uri="{C3380CC4-5D6E-409C-BE32-E72D297353CC}">
              <c16:uniqueId val="{00000002-C675-45FA-B0DC-285614885B9D}"/>
            </c:ext>
          </c:extLst>
        </c:ser>
        <c:ser>
          <c:idx val="3"/>
          <c:order val="3"/>
          <c:tx>
            <c:strRef>
              <c:f>'Results ReCiPe (I) - ESD'!$AB$93</c:f>
              <c:strCache>
                <c:ptCount val="1"/>
                <c:pt idx="0">
                  <c:v>Deconstruction - geological storage</c:v>
                </c:pt>
              </c:strCache>
            </c:strRef>
          </c:tx>
          <c:spPr>
            <a:solidFill>
              <a:srgbClr val="FF9900"/>
            </a:solidFill>
            <a:ln>
              <a:noFill/>
            </a:ln>
            <a:effectLst/>
          </c:spPr>
          <c:invertIfNegative val="0"/>
          <c:cat>
            <c:numRef>
              <c:f>'Results ReCiPe (I) - ESD'!$AC$89:$BA$89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ESD'!$AC$93:$BA$93</c:f>
              <c:numCache>
                <c:formatCode>0.00E+00</c:formatCode>
                <c:ptCount val="25"/>
                <c:pt idx="24">
                  <c:v>4.1872261712862055E-8</c:v>
                </c:pt>
              </c:numCache>
            </c:numRef>
          </c:val>
          <c:extLst>
            <c:ext xmlns:c16="http://schemas.microsoft.com/office/drawing/2014/chart" uri="{C3380CC4-5D6E-409C-BE32-E72D297353CC}">
              <c16:uniqueId val="{00000003-C675-45FA-B0DC-285614885B9D}"/>
            </c:ext>
          </c:extLst>
        </c:ser>
        <c:ser>
          <c:idx val="4"/>
          <c:order val="4"/>
          <c:tx>
            <c:strRef>
              <c:f>'Results ReCiPe (I) - ESD'!$AB$94</c:f>
              <c:strCache>
                <c:ptCount val="1"/>
                <c:pt idx="0">
                  <c:v>Sorbent material</c:v>
                </c:pt>
              </c:strCache>
            </c:strRef>
          </c:tx>
          <c:spPr>
            <a:solidFill>
              <a:srgbClr val="FF8F8F"/>
            </a:solidFill>
            <a:ln>
              <a:noFill/>
            </a:ln>
            <a:effectLst/>
          </c:spPr>
          <c:invertIfNegative val="0"/>
          <c:cat>
            <c:numRef>
              <c:f>'Results ReCiPe (I) - ESD'!$AC$89:$BA$89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ESD'!$AC$94:$BA$94</c:f>
              <c:numCache>
                <c:formatCode>0.00E+00</c:formatCode>
                <c:ptCount val="25"/>
                <c:pt idx="0">
                  <c:v>1.5568631310201531E-6</c:v>
                </c:pt>
                <c:pt idx="3">
                  <c:v>1.490530396859574E-6</c:v>
                </c:pt>
                <c:pt idx="6">
                  <c:v>1.453183927485486E-6</c:v>
                </c:pt>
                <c:pt idx="9">
                  <c:v>1.457702482446929E-6</c:v>
                </c:pt>
                <c:pt idx="12">
                  <c:v>1.4643173431288331E-6</c:v>
                </c:pt>
                <c:pt idx="15">
                  <c:v>1.4666447699044541E-6</c:v>
                </c:pt>
                <c:pt idx="18">
                  <c:v>1.4616325983130691E-6</c:v>
                </c:pt>
                <c:pt idx="21">
                  <c:v>1.477314417989346E-6</c:v>
                </c:pt>
                <c:pt idx="24">
                  <c:v>1.482612190332E-6</c:v>
                </c:pt>
              </c:numCache>
            </c:numRef>
          </c:val>
          <c:extLst>
            <c:ext xmlns:c16="http://schemas.microsoft.com/office/drawing/2014/chart" uri="{C3380CC4-5D6E-409C-BE32-E72D297353CC}">
              <c16:uniqueId val="{00000004-C675-45FA-B0DC-285614885B9D}"/>
            </c:ext>
          </c:extLst>
        </c:ser>
        <c:ser>
          <c:idx val="5"/>
          <c:order val="5"/>
          <c:tx>
            <c:strRef>
              <c:f>'Results ReCiPe (I) - ESD'!$AB$95</c:f>
              <c:strCache>
                <c:ptCount val="1"/>
                <c:pt idx="0">
                  <c:v>Operation - DAC</c:v>
                </c:pt>
              </c:strCache>
            </c:strRef>
          </c:tx>
          <c:spPr>
            <a:solidFill>
              <a:schemeClr val="accent2">
                <a:lumMod val="75000"/>
              </a:schemeClr>
            </a:solidFill>
            <a:ln>
              <a:noFill/>
            </a:ln>
            <a:effectLst/>
          </c:spPr>
          <c:invertIfNegative val="0"/>
          <c:cat>
            <c:numRef>
              <c:f>'Results ReCiPe (I) - ESD'!$AC$89:$BA$89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ESD'!$AC$95:$BA$95</c:f>
              <c:numCache>
                <c:formatCode>0.00E+00</c:formatCode>
                <c:ptCount val="25"/>
                <c:pt idx="0">
                  <c:v>3.1862492119326478E-5</c:v>
                </c:pt>
                <c:pt idx="1">
                  <c:v>2.9498743254574929E-5</c:v>
                </c:pt>
                <c:pt idx="2">
                  <c:v>2.7115616622195958E-5</c:v>
                </c:pt>
                <c:pt idx="3">
                  <c:v>2.4640094150727888E-5</c:v>
                </c:pt>
                <c:pt idx="4">
                  <c:v>2.2214391217038099E-5</c:v>
                </c:pt>
                <c:pt idx="5">
                  <c:v>1.9772513351728127E-5</c:v>
                </c:pt>
                <c:pt idx="6">
                  <c:v>2.0527086046405178E-5</c:v>
                </c:pt>
                <c:pt idx="7">
                  <c:v>2.1278261229501279E-5</c:v>
                </c:pt>
                <c:pt idx="8">
                  <c:v>2.194178366860539E-5</c:v>
                </c:pt>
                <c:pt idx="9">
                  <c:v>2.2679782788280238E-5</c:v>
                </c:pt>
                <c:pt idx="10">
                  <c:v>2.3414004040046068E-5</c:v>
                </c:pt>
                <c:pt idx="11">
                  <c:v>2.3744114772014048E-5</c:v>
                </c:pt>
                <c:pt idx="12">
                  <c:v>2.4070766539108038E-5</c:v>
                </c:pt>
                <c:pt idx="13">
                  <c:v>2.4363362933123818E-5</c:v>
                </c:pt>
                <c:pt idx="14">
                  <c:v>2.4671928092130388E-5</c:v>
                </c:pt>
                <c:pt idx="15">
                  <c:v>2.497372002606074E-5</c:v>
                </c:pt>
                <c:pt idx="16">
                  <c:v>2.445046006853061E-5</c:v>
                </c:pt>
                <c:pt idx="17">
                  <c:v>2.393873593450455E-5</c:v>
                </c:pt>
                <c:pt idx="18">
                  <c:v>2.3412417204103749E-5</c:v>
                </c:pt>
                <c:pt idx="19">
                  <c:v>2.2920047466223468E-5</c:v>
                </c:pt>
                <c:pt idx="20">
                  <c:v>2.243150010106414E-5</c:v>
                </c:pt>
                <c:pt idx="21">
                  <c:v>2.3348328507298577E-5</c:v>
                </c:pt>
                <c:pt idx="22">
                  <c:v>2.33443609095875E-5</c:v>
                </c:pt>
                <c:pt idx="23">
                  <c:v>2.3341844457769948E-5</c:v>
                </c:pt>
                <c:pt idx="24">
                  <c:v>2.3340626688688929E-5</c:v>
                </c:pt>
              </c:numCache>
            </c:numRef>
          </c:val>
          <c:extLst>
            <c:ext xmlns:c16="http://schemas.microsoft.com/office/drawing/2014/chart" uri="{C3380CC4-5D6E-409C-BE32-E72D297353CC}">
              <c16:uniqueId val="{00000005-C675-45FA-B0DC-285614885B9D}"/>
            </c:ext>
          </c:extLst>
        </c:ser>
        <c:ser>
          <c:idx val="6"/>
          <c:order val="6"/>
          <c:tx>
            <c:strRef>
              <c:f>'Results ReCiPe (I) - ESD'!$AB$96</c:f>
              <c:strCache>
                <c:ptCount val="1"/>
                <c:pt idx="0">
                  <c:v>Operation - geological storage</c:v>
                </c:pt>
              </c:strCache>
            </c:strRef>
          </c:tx>
          <c:spPr>
            <a:solidFill>
              <a:schemeClr val="accent2">
                <a:lumMod val="50000"/>
              </a:schemeClr>
            </a:solidFill>
            <a:ln>
              <a:noFill/>
            </a:ln>
            <a:effectLst/>
          </c:spPr>
          <c:invertIfNegative val="0"/>
          <c:cat>
            <c:numRef>
              <c:f>'Results ReCiPe (I) - ESD'!$AC$89:$BA$89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ESD'!$AC$96:$BA$96</c:f>
              <c:numCache>
                <c:formatCode>0.00E+00</c:formatCode>
                <c:ptCount val="25"/>
                <c:pt idx="0">
                  <c:v>3.5504881135610421E-6</c:v>
                </c:pt>
                <c:pt idx="1">
                  <c:v>3.3641412695882409E-6</c:v>
                </c:pt>
                <c:pt idx="2">
                  <c:v>3.1773339216971642E-6</c:v>
                </c:pt>
                <c:pt idx="3">
                  <c:v>2.9837284517626324E-6</c:v>
                </c:pt>
                <c:pt idx="4">
                  <c:v>2.7957813907846282E-6</c:v>
                </c:pt>
                <c:pt idx="5">
                  <c:v>2.6076477343088252E-6</c:v>
                </c:pt>
                <c:pt idx="6">
                  <c:v>2.6632817781484101E-6</c:v>
                </c:pt>
                <c:pt idx="7">
                  <c:v>2.7183613396795709E-6</c:v>
                </c:pt>
                <c:pt idx="8">
                  <c:v>2.7659782497912999E-6</c:v>
                </c:pt>
                <c:pt idx="9">
                  <c:v>2.8194924631830169E-6</c:v>
                </c:pt>
                <c:pt idx="10">
                  <c:v>2.87244096459136E-6</c:v>
                </c:pt>
                <c:pt idx="11">
                  <c:v>2.8968788963344339E-6</c:v>
                </c:pt>
                <c:pt idx="12">
                  <c:v>2.9211196689744187E-6</c:v>
                </c:pt>
                <c:pt idx="13">
                  <c:v>2.9426504208719052E-6</c:v>
                </c:pt>
                <c:pt idx="14">
                  <c:v>2.965657261476479E-6</c:v>
                </c:pt>
                <c:pt idx="15">
                  <c:v>2.9882140181395998E-6</c:v>
                </c:pt>
                <c:pt idx="16">
                  <c:v>2.9515795336178102E-6</c:v>
                </c:pt>
                <c:pt idx="17">
                  <c:v>2.9154842630262433E-6</c:v>
                </c:pt>
                <c:pt idx="18">
                  <c:v>2.877731144754561E-6</c:v>
                </c:pt>
                <c:pt idx="19">
                  <c:v>2.842454647313582E-6</c:v>
                </c:pt>
                <c:pt idx="20">
                  <c:v>2.8071440357677659E-6</c:v>
                </c:pt>
                <c:pt idx="21">
                  <c:v>2.8860852184894598E-6</c:v>
                </c:pt>
                <c:pt idx="22">
                  <c:v>2.8850859182431718E-6</c:v>
                </c:pt>
                <c:pt idx="23">
                  <c:v>2.884194296318134E-6</c:v>
                </c:pt>
                <c:pt idx="24">
                  <c:v>2.8833963179463102E-6</c:v>
                </c:pt>
              </c:numCache>
            </c:numRef>
          </c:val>
          <c:extLst>
            <c:ext xmlns:c16="http://schemas.microsoft.com/office/drawing/2014/chart" uri="{C3380CC4-5D6E-409C-BE32-E72D297353CC}">
              <c16:uniqueId val="{00000006-C675-45FA-B0DC-285614885B9D}"/>
            </c:ext>
          </c:extLst>
        </c:ser>
        <c:ser>
          <c:idx val="7"/>
          <c:order val="7"/>
          <c:tx>
            <c:strRef>
              <c:f>'Results ReCiPe (I) - ESD'!$AB$97</c:f>
              <c:strCache>
                <c:ptCount val="1"/>
                <c:pt idx="0">
                  <c:v>CO2 captured and stored</c:v>
                </c:pt>
              </c:strCache>
            </c:strRef>
          </c:tx>
          <c:spPr>
            <a:solidFill>
              <a:schemeClr val="tx2">
                <a:lumMod val="20000"/>
                <a:lumOff val="80000"/>
              </a:schemeClr>
            </a:solidFill>
            <a:ln>
              <a:noFill/>
            </a:ln>
            <a:effectLst/>
          </c:spPr>
          <c:invertIfNegative val="0"/>
          <c:cat>
            <c:numRef>
              <c:f>'Results ReCiPe (I) - ESD'!$AC$89:$BA$89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ESD'!$AC$97:$BA$97</c:f>
              <c:numCache>
                <c:formatCode>0.00E+00</c:formatCode>
                <c:ptCount val="25"/>
                <c:pt idx="0">
                  <c:v>-5.3201450000000005E-5</c:v>
                </c:pt>
                <c:pt idx="1">
                  <c:v>-5.3201450000000005E-5</c:v>
                </c:pt>
                <c:pt idx="2">
                  <c:v>-5.3201450000000005E-5</c:v>
                </c:pt>
                <c:pt idx="3">
                  <c:v>-5.3201450000000005E-5</c:v>
                </c:pt>
                <c:pt idx="4">
                  <c:v>-5.3201450000000005E-5</c:v>
                </c:pt>
                <c:pt idx="5">
                  <c:v>-5.3201450000000005E-5</c:v>
                </c:pt>
                <c:pt idx="6">
                  <c:v>-5.3201450000000005E-5</c:v>
                </c:pt>
                <c:pt idx="7">
                  <c:v>-5.3201450000000005E-5</c:v>
                </c:pt>
                <c:pt idx="8">
                  <c:v>-5.3201450000000005E-5</c:v>
                </c:pt>
                <c:pt idx="9">
                  <c:v>-5.3201450000000005E-5</c:v>
                </c:pt>
                <c:pt idx="10">
                  <c:v>-5.3201450000000005E-5</c:v>
                </c:pt>
                <c:pt idx="11">
                  <c:v>-5.3201450000000005E-5</c:v>
                </c:pt>
                <c:pt idx="12">
                  <c:v>-5.3201450000000005E-5</c:v>
                </c:pt>
                <c:pt idx="13">
                  <c:v>-5.3201450000000005E-5</c:v>
                </c:pt>
                <c:pt idx="14">
                  <c:v>-5.3201450000000005E-5</c:v>
                </c:pt>
                <c:pt idx="15">
                  <c:v>-5.3201450000000005E-5</c:v>
                </c:pt>
                <c:pt idx="16">
                  <c:v>-5.3201450000000005E-5</c:v>
                </c:pt>
                <c:pt idx="17">
                  <c:v>-5.3201450000000005E-5</c:v>
                </c:pt>
                <c:pt idx="18">
                  <c:v>-5.3201450000000005E-5</c:v>
                </c:pt>
                <c:pt idx="19">
                  <c:v>-5.3201450000000005E-5</c:v>
                </c:pt>
                <c:pt idx="20">
                  <c:v>-5.3201450000000005E-5</c:v>
                </c:pt>
                <c:pt idx="21">
                  <c:v>-5.3201450000000005E-5</c:v>
                </c:pt>
                <c:pt idx="22">
                  <c:v>-5.3201450000000005E-5</c:v>
                </c:pt>
                <c:pt idx="23">
                  <c:v>-5.3201450000000005E-5</c:v>
                </c:pt>
                <c:pt idx="24">
                  <c:v>-5.3201450000000005E-5</c:v>
                </c:pt>
              </c:numCache>
            </c:numRef>
          </c:val>
          <c:extLst>
            <c:ext xmlns:c16="http://schemas.microsoft.com/office/drawing/2014/chart" uri="{C3380CC4-5D6E-409C-BE32-E72D297353CC}">
              <c16:uniqueId val="{00000007-C675-45FA-B0DC-285614885B9D}"/>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(I) - ESD'!$AB$98</c:f>
              <c:strCache>
                <c:ptCount val="1"/>
                <c:pt idx="0">
                  <c:v>TOTAL per year</c:v>
                </c:pt>
              </c:strCache>
            </c:strRef>
          </c:tx>
          <c:spPr>
            <a:ln w="25400" cap="rnd">
              <a:noFill/>
              <a:round/>
            </a:ln>
            <a:effectLst/>
          </c:spPr>
          <c:marker>
            <c:symbol val="circle"/>
            <c:size val="5"/>
            <c:spPr>
              <a:solidFill>
                <a:schemeClr val="tx1"/>
              </a:solidFill>
              <a:ln w="9525">
                <a:solidFill>
                  <a:schemeClr val="tx1"/>
                </a:solidFill>
              </a:ln>
              <a:effectLst/>
            </c:spPr>
          </c:marker>
          <c:cat>
            <c:numRef>
              <c:f>'Results ReCiPe (I) - ESD'!$AC$89:$BA$89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ESD'!$AC$98:$BA$98</c:f>
              <c:numCache>
                <c:formatCode>0.00E+00</c:formatCode>
                <c:ptCount val="25"/>
                <c:pt idx="0">
                  <c:v>7.9147767117141219E-5</c:v>
                </c:pt>
                <c:pt idx="1">
                  <c:v>-2.0338565475836838E-5</c:v>
                </c:pt>
                <c:pt idx="2">
                  <c:v>-2.2908499456106883E-5</c:v>
                </c:pt>
                <c:pt idx="3">
                  <c:v>-2.4087097000649908E-5</c:v>
                </c:pt>
                <c:pt idx="4">
                  <c:v>-2.8191277392177277E-5</c:v>
                </c:pt>
                <c:pt idx="5">
                  <c:v>-3.0821288913963054E-5</c:v>
                </c:pt>
                <c:pt idx="6">
                  <c:v>-2.8557898247960931E-5</c:v>
                </c:pt>
                <c:pt idx="7">
                  <c:v>-2.9204827430819154E-5</c:v>
                </c:pt>
                <c:pt idx="8">
                  <c:v>-2.8493688081603315E-5</c:v>
                </c:pt>
                <c:pt idx="9">
                  <c:v>-2.6244472266089823E-5</c:v>
                </c:pt>
                <c:pt idx="10">
                  <c:v>-2.6915004995362579E-5</c:v>
                </c:pt>
                <c:pt idx="11">
                  <c:v>-2.6560456331651523E-5</c:v>
                </c:pt>
                <c:pt idx="12">
                  <c:v>-2.4745246448788715E-5</c:v>
                </c:pt>
                <c:pt idx="13">
                  <c:v>-2.5895436646004281E-5</c:v>
                </c:pt>
                <c:pt idx="14">
                  <c:v>-2.5563864646393139E-5</c:v>
                </c:pt>
                <c:pt idx="15">
                  <c:v>-2.3772871185895209E-5</c:v>
                </c:pt>
                <c:pt idx="16">
                  <c:v>-2.5799410397851585E-5</c:v>
                </c:pt>
                <c:pt idx="17">
                  <c:v>-2.6347229802469212E-5</c:v>
                </c:pt>
                <c:pt idx="18">
                  <c:v>-2.5449669052828625E-5</c:v>
                </c:pt>
                <c:pt idx="19">
                  <c:v>-2.7438947886462955E-5</c:v>
                </c:pt>
                <c:pt idx="20">
                  <c:v>-2.7962805863168101E-5</c:v>
                </c:pt>
                <c:pt idx="21">
                  <c:v>-2.5489721856222623E-5</c:v>
                </c:pt>
                <c:pt idx="22">
                  <c:v>-2.6972003172169333E-5</c:v>
                </c:pt>
                <c:pt idx="23">
                  <c:v>-2.6975411245911923E-5</c:v>
                </c:pt>
                <c:pt idx="24">
                  <c:v>-2.4135808177381031E-5</c:v>
                </c:pt>
              </c:numCache>
            </c:numRef>
          </c:val>
          <c:smooth val="0"/>
          <c:extLst>
            <c:ext xmlns:c16="http://schemas.microsoft.com/office/drawing/2014/chart" uri="{C3380CC4-5D6E-409C-BE32-E72D297353CC}">
              <c16:uniqueId val="{00000008-C675-45FA-B0DC-285614885B9D}"/>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Ecosystem damage </a:t>
                </a:r>
                <a:br>
                  <a:rPr lang="nl-NL"/>
                </a:br>
                <a:r>
                  <a:rPr lang="nl-NL"/>
                  <a:t>(PDF*yr/ton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(I) - ESD'!$AB$132</c:f>
              <c:strCache>
                <c:ptCount val="1"/>
                <c:pt idx="0">
                  <c:v>Construction - DAC</c:v>
                </c:pt>
              </c:strCache>
            </c:strRef>
          </c:tx>
          <c:spPr>
            <a:solidFill>
              <a:schemeClr val="accent4">
                <a:lumMod val="75000"/>
              </a:schemeClr>
            </a:solidFill>
            <a:ln>
              <a:noFill/>
            </a:ln>
            <a:effectLst/>
          </c:spPr>
          <c:invertIfNegative val="0"/>
          <c:cat>
            <c:numRef>
              <c:f>'Results ReCiPe (I) - ESD'!$AC$131:$BA$131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ESD'!$AC$132:$BA$132</c:f>
              <c:numCache>
                <c:formatCode>0.00E+00</c:formatCode>
                <c:ptCount val="25"/>
                <c:pt idx="0">
                  <c:v>1.0953239448160322E-4</c:v>
                </c:pt>
              </c:numCache>
            </c:numRef>
          </c:val>
          <c:extLst>
            <c:ext xmlns:c16="http://schemas.microsoft.com/office/drawing/2014/chart" uri="{C3380CC4-5D6E-409C-BE32-E72D297353CC}">
              <c16:uniqueId val="{00000000-907D-4067-A31A-C67733E024C1}"/>
            </c:ext>
          </c:extLst>
        </c:ser>
        <c:ser>
          <c:idx val="1"/>
          <c:order val="1"/>
          <c:tx>
            <c:strRef>
              <c:f>'Results ReCiPe (I) - ESD'!$AB$133</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(I) - ESD'!$AC$131:$BA$131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ESD'!$AC$133:$BA$133</c:f>
              <c:numCache>
                <c:formatCode>0.00E+00</c:formatCode>
                <c:ptCount val="25"/>
                <c:pt idx="0">
                  <c:v>5.5821736600752947E-6</c:v>
                </c:pt>
              </c:numCache>
            </c:numRef>
          </c:val>
          <c:extLst>
            <c:ext xmlns:c16="http://schemas.microsoft.com/office/drawing/2014/chart" uri="{C3380CC4-5D6E-409C-BE32-E72D297353CC}">
              <c16:uniqueId val="{00000001-907D-4067-A31A-C67733E024C1}"/>
            </c:ext>
          </c:extLst>
        </c:ser>
        <c:ser>
          <c:idx val="2"/>
          <c:order val="2"/>
          <c:tx>
            <c:strRef>
              <c:f>'Results ReCiPe (I) - ESD'!$AB$134</c:f>
              <c:strCache>
                <c:ptCount val="1"/>
                <c:pt idx="0">
                  <c:v>Deconstruction - DAC</c:v>
                </c:pt>
              </c:strCache>
            </c:strRef>
          </c:tx>
          <c:spPr>
            <a:solidFill>
              <a:schemeClr val="accent2">
                <a:lumMod val="40000"/>
                <a:lumOff val="60000"/>
              </a:schemeClr>
            </a:solidFill>
            <a:ln>
              <a:noFill/>
            </a:ln>
            <a:effectLst/>
          </c:spPr>
          <c:invertIfNegative val="0"/>
          <c:cat>
            <c:numRef>
              <c:f>'Results ReCiPe (I) - ESD'!$AC$131:$BA$131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ESD'!$AC$134:$BA$134</c:f>
              <c:numCache>
                <c:formatCode>0.00E+00</c:formatCode>
                <c:ptCount val="25"/>
                <c:pt idx="24">
                  <c:v>1.2388121871278886E-6</c:v>
                </c:pt>
              </c:numCache>
            </c:numRef>
          </c:val>
          <c:extLst>
            <c:ext xmlns:c16="http://schemas.microsoft.com/office/drawing/2014/chart" uri="{C3380CC4-5D6E-409C-BE32-E72D297353CC}">
              <c16:uniqueId val="{00000002-907D-4067-A31A-C67733E024C1}"/>
            </c:ext>
          </c:extLst>
        </c:ser>
        <c:ser>
          <c:idx val="3"/>
          <c:order val="3"/>
          <c:tx>
            <c:strRef>
              <c:f>'Results ReCiPe (I) - ESD'!$AB$135</c:f>
              <c:strCache>
                <c:ptCount val="1"/>
                <c:pt idx="0">
                  <c:v>Deconstruction - geological storage</c:v>
                </c:pt>
              </c:strCache>
            </c:strRef>
          </c:tx>
          <c:spPr>
            <a:solidFill>
              <a:srgbClr val="FF9900"/>
            </a:solidFill>
            <a:ln>
              <a:noFill/>
            </a:ln>
            <a:effectLst/>
          </c:spPr>
          <c:invertIfNegative val="0"/>
          <c:cat>
            <c:numRef>
              <c:f>'Results ReCiPe (I) - ESD'!$AC$131:$BA$131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ESD'!$AC$135:$BA$135</c:f>
              <c:numCache>
                <c:formatCode>0.00E+00</c:formatCode>
                <c:ptCount val="25"/>
                <c:pt idx="24">
                  <c:v>3.8995886120102447E-8</c:v>
                </c:pt>
              </c:numCache>
            </c:numRef>
          </c:val>
          <c:extLst>
            <c:ext xmlns:c16="http://schemas.microsoft.com/office/drawing/2014/chart" uri="{C3380CC4-5D6E-409C-BE32-E72D297353CC}">
              <c16:uniqueId val="{00000003-907D-4067-A31A-C67733E024C1}"/>
            </c:ext>
          </c:extLst>
        </c:ser>
        <c:ser>
          <c:idx val="4"/>
          <c:order val="4"/>
          <c:tx>
            <c:strRef>
              <c:f>'Results ReCiPe (I) - ESD'!$AB$136</c:f>
              <c:strCache>
                <c:ptCount val="1"/>
                <c:pt idx="0">
                  <c:v>Sorbent material</c:v>
                </c:pt>
              </c:strCache>
            </c:strRef>
          </c:tx>
          <c:spPr>
            <a:solidFill>
              <a:srgbClr val="FF8F8F"/>
            </a:solidFill>
            <a:ln>
              <a:noFill/>
            </a:ln>
            <a:effectLst/>
          </c:spPr>
          <c:invertIfNegative val="0"/>
          <c:cat>
            <c:numRef>
              <c:f>'Results ReCiPe (I) - ESD'!$AC$131:$BA$131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ESD'!$AC$136:$BA$136</c:f>
              <c:numCache>
                <c:formatCode>0.00E+00</c:formatCode>
                <c:ptCount val="25"/>
                <c:pt idx="0">
                  <c:v>1.8923827854892541E-6</c:v>
                </c:pt>
                <c:pt idx="3">
                  <c:v>1.875504080673279E-6</c:v>
                </c:pt>
                <c:pt idx="6">
                  <c:v>1.8735069041771709E-6</c:v>
                </c:pt>
                <c:pt idx="9">
                  <c:v>1.879003812114612E-6</c:v>
                </c:pt>
                <c:pt idx="12">
                  <c:v>1.8953729876566431E-6</c:v>
                </c:pt>
                <c:pt idx="15">
                  <c:v>1.91292243317761E-6</c:v>
                </c:pt>
                <c:pt idx="18">
                  <c:v>1.8919742403575121E-6</c:v>
                </c:pt>
                <c:pt idx="21">
                  <c:v>1.884095534967196E-6</c:v>
                </c:pt>
                <c:pt idx="24">
                  <c:v>1.8435821555876251E-6</c:v>
                </c:pt>
              </c:numCache>
            </c:numRef>
          </c:val>
          <c:extLst>
            <c:ext xmlns:c16="http://schemas.microsoft.com/office/drawing/2014/chart" uri="{C3380CC4-5D6E-409C-BE32-E72D297353CC}">
              <c16:uniqueId val="{00000004-907D-4067-A31A-C67733E024C1}"/>
            </c:ext>
          </c:extLst>
        </c:ser>
        <c:ser>
          <c:idx val="5"/>
          <c:order val="5"/>
          <c:tx>
            <c:strRef>
              <c:f>'Results ReCiPe (I) - ESD'!$AB$137</c:f>
              <c:strCache>
                <c:ptCount val="1"/>
                <c:pt idx="0">
                  <c:v>Operation - DAC</c:v>
                </c:pt>
              </c:strCache>
            </c:strRef>
          </c:tx>
          <c:spPr>
            <a:solidFill>
              <a:schemeClr val="accent2">
                <a:lumMod val="75000"/>
              </a:schemeClr>
            </a:solidFill>
            <a:ln>
              <a:noFill/>
            </a:ln>
            <a:effectLst/>
          </c:spPr>
          <c:invertIfNegative val="0"/>
          <c:cat>
            <c:numRef>
              <c:f>'Results ReCiPe (I) - ESD'!$AC$131:$BA$131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ESD'!$AC$137:$BA$137</c:f>
              <c:numCache>
                <c:formatCode>0.00E+00</c:formatCode>
                <c:ptCount val="25"/>
                <c:pt idx="0">
                  <c:v>6.1709221152264499E-5</c:v>
                </c:pt>
                <c:pt idx="1">
                  <c:v>6.1293188160674878E-5</c:v>
                </c:pt>
                <c:pt idx="2">
                  <c:v>6.0875647619198519E-5</c:v>
                </c:pt>
                <c:pt idx="3">
                  <c:v>6.0410909243859429E-5</c:v>
                </c:pt>
                <c:pt idx="4">
                  <c:v>5.998870326317752E-5</c:v>
                </c:pt>
                <c:pt idx="5">
                  <c:v>5.9564849858811899E-5</c:v>
                </c:pt>
                <c:pt idx="6">
                  <c:v>6.3445507446192691E-5</c:v>
                </c:pt>
                <c:pt idx="7">
                  <c:v>6.7323117881578203E-5</c:v>
                </c:pt>
                <c:pt idx="8">
                  <c:v>7.1168586223472523E-5</c:v>
                </c:pt>
                <c:pt idx="9">
                  <c:v>7.5044814368245604E-5</c:v>
                </c:pt>
                <c:pt idx="10">
                  <c:v>7.8918606277737506E-5</c:v>
                </c:pt>
                <c:pt idx="11">
                  <c:v>8.6743408306531183E-5</c:v>
                </c:pt>
                <c:pt idx="12">
                  <c:v>9.4602636171230712E-5</c:v>
                </c:pt>
                <c:pt idx="13">
                  <c:v>1.0249191536051455E-4</c:v>
                </c:pt>
                <c:pt idx="14">
                  <c:v>1.1042790025049911E-4</c:v>
                </c:pt>
                <c:pt idx="15">
                  <c:v>1.1840629060237649E-4</c:v>
                </c:pt>
                <c:pt idx="16">
                  <c:v>1.1872904037744807E-4</c:v>
                </c:pt>
                <c:pt idx="17">
                  <c:v>1.1907164949223937E-4</c:v>
                </c:pt>
                <c:pt idx="18">
                  <c:v>1.1942364748718766E-4</c:v>
                </c:pt>
                <c:pt idx="19">
                  <c:v>1.1979966943330102E-4</c:v>
                </c:pt>
                <c:pt idx="20">
                  <c:v>1.2018964650518142E-4</c:v>
                </c:pt>
                <c:pt idx="21">
                  <c:v>1.1852099879845918E-4</c:v>
                </c:pt>
                <c:pt idx="22">
                  <c:v>1.1476231399389925E-4</c:v>
                </c:pt>
                <c:pt idx="23">
                  <c:v>1.1098958099748472E-4</c:v>
                </c:pt>
                <c:pt idx="24">
                  <c:v>1.072027002848669E-4</c:v>
                </c:pt>
              </c:numCache>
            </c:numRef>
          </c:val>
          <c:extLst>
            <c:ext xmlns:c16="http://schemas.microsoft.com/office/drawing/2014/chart" uri="{C3380CC4-5D6E-409C-BE32-E72D297353CC}">
              <c16:uniqueId val="{00000005-907D-4067-A31A-C67733E024C1}"/>
            </c:ext>
          </c:extLst>
        </c:ser>
        <c:ser>
          <c:idx val="6"/>
          <c:order val="6"/>
          <c:tx>
            <c:strRef>
              <c:f>'Results ReCiPe (I) - ESD'!$AB$138</c:f>
              <c:strCache>
                <c:ptCount val="1"/>
                <c:pt idx="0">
                  <c:v>Operation - geological storage</c:v>
                </c:pt>
              </c:strCache>
            </c:strRef>
          </c:tx>
          <c:spPr>
            <a:solidFill>
              <a:schemeClr val="accent2">
                <a:lumMod val="50000"/>
              </a:schemeClr>
            </a:solidFill>
            <a:ln>
              <a:noFill/>
            </a:ln>
            <a:effectLst/>
          </c:spPr>
          <c:invertIfNegative val="0"/>
          <c:cat>
            <c:numRef>
              <c:f>'Results ReCiPe (I) - ESD'!$AC$131:$BA$131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ESD'!$AC$138:$BA$138</c:f>
              <c:numCache>
                <c:formatCode>0.00E+00</c:formatCode>
                <c:ptCount val="25"/>
                <c:pt idx="0">
                  <c:v>1.6196519491456809E-8</c:v>
                </c:pt>
                <c:pt idx="1">
                  <c:v>1.6082237859616423E-8</c:v>
                </c:pt>
                <c:pt idx="2">
                  <c:v>1.5967878209494249E-8</c:v>
                </c:pt>
                <c:pt idx="3">
                  <c:v>1.5843335486957649E-8</c:v>
                </c:pt>
                <c:pt idx="4">
                  <c:v>1.5728438559104152E-8</c:v>
                </c:pt>
                <c:pt idx="5">
                  <c:v>1.5613446308503057E-8</c:v>
                </c:pt>
                <c:pt idx="6">
                  <c:v>1.6485264400514764E-8</c:v>
                </c:pt>
                <c:pt idx="7">
                  <c:v>1.7353839794039151E-8</c:v>
                </c:pt>
                <c:pt idx="8">
                  <c:v>1.8212658824276814E-8</c:v>
                </c:pt>
                <c:pt idx="9">
                  <c:v>1.9075857532875963E-8</c:v>
                </c:pt>
                <c:pt idx="10">
                  <c:v>1.9935973154066775E-8</c:v>
                </c:pt>
                <c:pt idx="11">
                  <c:v>2.1693672513599334E-8</c:v>
                </c:pt>
                <c:pt idx="12">
                  <c:v>2.3455091650285481E-8</c:v>
                </c:pt>
                <c:pt idx="13">
                  <c:v>2.5219220844960211E-8</c:v>
                </c:pt>
                <c:pt idx="14">
                  <c:v>2.6989837462376926E-8</c:v>
                </c:pt>
                <c:pt idx="15">
                  <c:v>2.8765894183800614E-8</c:v>
                </c:pt>
                <c:pt idx="16">
                  <c:v>2.8814311190366574E-8</c:v>
                </c:pt>
                <c:pt idx="17">
                  <c:v>2.8867021517424204E-8</c:v>
                </c:pt>
                <c:pt idx="18">
                  <c:v>2.8921667594109672E-8</c:v>
                </c:pt>
                <c:pt idx="19">
                  <c:v>2.8981544948069096E-8</c:v>
                </c:pt>
                <c:pt idx="20">
                  <c:v>2.9044372643549694E-8</c:v>
                </c:pt>
                <c:pt idx="21">
                  <c:v>2.8639810688093563E-8</c:v>
                </c:pt>
                <c:pt idx="22">
                  <c:v>2.7750295735552048E-8</c:v>
                </c:pt>
                <c:pt idx="23">
                  <c:v>2.6860995072850227E-8</c:v>
                </c:pt>
                <c:pt idx="24">
                  <c:v>2.5971896086617373E-8</c:v>
                </c:pt>
              </c:numCache>
            </c:numRef>
          </c:val>
          <c:extLst>
            <c:ext xmlns:c16="http://schemas.microsoft.com/office/drawing/2014/chart" uri="{C3380CC4-5D6E-409C-BE32-E72D297353CC}">
              <c16:uniqueId val="{00000006-907D-4067-A31A-C67733E024C1}"/>
            </c:ext>
          </c:extLst>
        </c:ser>
        <c:ser>
          <c:idx val="7"/>
          <c:order val="7"/>
          <c:tx>
            <c:strRef>
              <c:f>'Results ReCiPe (I) - ESD'!$AB$139</c:f>
              <c:strCache>
                <c:ptCount val="1"/>
                <c:pt idx="0">
                  <c:v>CO2 captured and stored</c:v>
                </c:pt>
              </c:strCache>
            </c:strRef>
          </c:tx>
          <c:spPr>
            <a:solidFill>
              <a:schemeClr val="tx2">
                <a:lumMod val="20000"/>
                <a:lumOff val="80000"/>
              </a:schemeClr>
            </a:solidFill>
            <a:ln>
              <a:noFill/>
            </a:ln>
            <a:effectLst/>
          </c:spPr>
          <c:invertIfNegative val="0"/>
          <c:cat>
            <c:numRef>
              <c:f>'Results ReCiPe (I) - ESD'!$AC$131:$BA$131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ESD'!$AC$139:$BA$139</c:f>
              <c:numCache>
                <c:formatCode>0.00E+00</c:formatCode>
                <c:ptCount val="25"/>
                <c:pt idx="0">
                  <c:v>-5.3201450000000005E-5</c:v>
                </c:pt>
                <c:pt idx="1">
                  <c:v>-5.3201450000000005E-5</c:v>
                </c:pt>
                <c:pt idx="2">
                  <c:v>-5.3201450000000005E-5</c:v>
                </c:pt>
                <c:pt idx="3">
                  <c:v>-5.3201450000000005E-5</c:v>
                </c:pt>
                <c:pt idx="4">
                  <c:v>-5.3201450000000005E-5</c:v>
                </c:pt>
                <c:pt idx="5">
                  <c:v>-5.3201450000000005E-5</c:v>
                </c:pt>
                <c:pt idx="6">
                  <c:v>-5.3201450000000005E-5</c:v>
                </c:pt>
                <c:pt idx="7">
                  <c:v>-5.3201450000000005E-5</c:v>
                </c:pt>
                <c:pt idx="8">
                  <c:v>-5.3201450000000005E-5</c:v>
                </c:pt>
                <c:pt idx="9">
                  <c:v>-5.3201450000000005E-5</c:v>
                </c:pt>
                <c:pt idx="10">
                  <c:v>-5.3201450000000005E-5</c:v>
                </c:pt>
                <c:pt idx="11">
                  <c:v>-5.3201450000000005E-5</c:v>
                </c:pt>
                <c:pt idx="12">
                  <c:v>-5.3201450000000005E-5</c:v>
                </c:pt>
                <c:pt idx="13">
                  <c:v>-5.3201450000000005E-5</c:v>
                </c:pt>
                <c:pt idx="14">
                  <c:v>-5.3201450000000005E-5</c:v>
                </c:pt>
                <c:pt idx="15">
                  <c:v>-5.3201450000000005E-5</c:v>
                </c:pt>
                <c:pt idx="16">
                  <c:v>-5.3201450000000005E-5</c:v>
                </c:pt>
                <c:pt idx="17">
                  <c:v>-5.3201450000000005E-5</c:v>
                </c:pt>
                <c:pt idx="18">
                  <c:v>-5.3201450000000005E-5</c:v>
                </c:pt>
                <c:pt idx="19">
                  <c:v>-5.3201450000000005E-5</c:v>
                </c:pt>
                <c:pt idx="20">
                  <c:v>-5.3201450000000005E-5</c:v>
                </c:pt>
                <c:pt idx="21">
                  <c:v>-5.3201450000000005E-5</c:v>
                </c:pt>
                <c:pt idx="22">
                  <c:v>-5.3201450000000005E-5</c:v>
                </c:pt>
                <c:pt idx="23">
                  <c:v>-5.3201450000000005E-5</c:v>
                </c:pt>
                <c:pt idx="24">
                  <c:v>-5.3201450000000005E-5</c:v>
                </c:pt>
              </c:numCache>
            </c:numRef>
          </c:val>
          <c:extLst>
            <c:ext xmlns:c16="http://schemas.microsoft.com/office/drawing/2014/chart" uri="{C3380CC4-5D6E-409C-BE32-E72D297353CC}">
              <c16:uniqueId val="{00000007-907D-4067-A31A-C67733E024C1}"/>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(I) - ESD'!$AB$140</c:f>
              <c:strCache>
                <c:ptCount val="1"/>
                <c:pt idx="0">
                  <c:v>TOTAL per year</c:v>
                </c:pt>
              </c:strCache>
            </c:strRef>
          </c:tx>
          <c:spPr>
            <a:ln w="28575" cap="rnd">
              <a:noFill/>
              <a:round/>
            </a:ln>
            <a:effectLst/>
          </c:spPr>
          <c:marker>
            <c:symbol val="circle"/>
            <c:size val="5"/>
            <c:spPr>
              <a:solidFill>
                <a:schemeClr val="tx1"/>
              </a:solidFill>
              <a:ln w="9525">
                <a:solidFill>
                  <a:schemeClr val="accent3">
                    <a:lumMod val="60000"/>
                  </a:schemeClr>
                </a:solidFill>
              </a:ln>
              <a:effectLst/>
            </c:spPr>
          </c:marker>
          <c:cat>
            <c:numRef>
              <c:f>'Results ReCiPe (I) - ESD'!$AC$131:$BA$131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ESD'!$AC$140:$BA$140</c:f>
              <c:numCache>
                <c:formatCode>0.00E+00</c:formatCode>
                <c:ptCount val="25"/>
                <c:pt idx="0">
                  <c:v>1.2553091859892373E-4</c:v>
                </c:pt>
                <c:pt idx="1">
                  <c:v>8.1078203985344822E-6</c:v>
                </c:pt>
                <c:pt idx="2">
                  <c:v>7.69016549740801E-6</c:v>
                </c:pt>
                <c:pt idx="3">
                  <c:v>9.1008066600196624E-6</c:v>
                </c:pt>
                <c:pt idx="4">
                  <c:v>6.8029817017366192E-6</c:v>
                </c:pt>
                <c:pt idx="5">
                  <c:v>6.3790133051203936E-6</c:v>
                </c:pt>
                <c:pt idx="6">
                  <c:v>1.2134049614770377E-5</c:v>
                </c:pt>
                <c:pt idx="7">
                  <c:v>1.4139021721372234E-5</c:v>
                </c:pt>
                <c:pt idx="8">
                  <c:v>1.7985348882296796E-5</c:v>
                </c:pt>
                <c:pt idx="9">
                  <c:v>2.3741444037893093E-5</c:v>
                </c:pt>
                <c:pt idx="10">
                  <c:v>2.5737092250891572E-5</c:v>
                </c:pt>
                <c:pt idx="11">
                  <c:v>3.3563651979044778E-5</c:v>
                </c:pt>
                <c:pt idx="12">
                  <c:v>4.3320014250537631E-5</c:v>
                </c:pt>
                <c:pt idx="13">
                  <c:v>4.93156845813595E-5</c:v>
                </c:pt>
                <c:pt idx="14">
                  <c:v>5.7253440087961484E-5</c:v>
                </c:pt>
                <c:pt idx="15">
                  <c:v>6.7146528929737896E-5</c:v>
                </c:pt>
                <c:pt idx="16">
                  <c:v>6.5556404688638429E-5</c:v>
                </c:pt>
                <c:pt idx="17">
                  <c:v>6.5899066513756783E-5</c:v>
                </c:pt>
                <c:pt idx="18">
                  <c:v>6.814309339513928E-5</c:v>
                </c:pt>
                <c:pt idx="19">
                  <c:v>6.6627200978249082E-5</c:v>
                </c:pt>
                <c:pt idx="20">
                  <c:v>6.7017240877824955E-5</c:v>
                </c:pt>
                <c:pt idx="21">
                  <c:v>6.7232284144114456E-5</c:v>
                </c:pt>
                <c:pt idx="22">
                  <c:v>6.1588614289634792E-5</c:v>
                </c:pt>
                <c:pt idx="23">
                  <c:v>5.7814991992557561E-5</c:v>
                </c:pt>
                <c:pt idx="24">
                  <c:v>5.7148612409789122E-5</c:v>
                </c:pt>
              </c:numCache>
            </c:numRef>
          </c:val>
          <c:smooth val="0"/>
          <c:extLst>
            <c:ext xmlns:c16="http://schemas.microsoft.com/office/drawing/2014/chart" uri="{C3380CC4-5D6E-409C-BE32-E72D297353CC}">
              <c16:uniqueId val="{00000008-907D-4067-A31A-C67733E024C1}"/>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Ecosystem damage</a:t>
                </a:r>
              </a:p>
              <a:p>
                <a:pPr algn="ctr" rtl="0">
                  <a:defRPr/>
                </a:pPr>
                <a:r>
                  <a:rPr lang="nl-NL"/>
                  <a:t>[PDF*yr/ton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(I) - ESD'!$AB$173</c:f>
              <c:strCache>
                <c:ptCount val="1"/>
                <c:pt idx="0">
                  <c:v>Construction - DAC</c:v>
                </c:pt>
              </c:strCache>
            </c:strRef>
          </c:tx>
          <c:spPr>
            <a:solidFill>
              <a:schemeClr val="accent4">
                <a:lumMod val="75000"/>
              </a:schemeClr>
            </a:solidFill>
            <a:ln>
              <a:noFill/>
            </a:ln>
            <a:effectLst/>
          </c:spPr>
          <c:invertIfNegative val="0"/>
          <c:cat>
            <c:numRef>
              <c:f>'Results ReCiPe (I) - ESD'!$AC$172:$BA$172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ESD'!$AC$173:$BA$173</c:f>
              <c:numCache>
                <c:formatCode>0.00E+00</c:formatCode>
                <c:ptCount val="25"/>
                <c:pt idx="0">
                  <c:v>1.044355890609833E-4</c:v>
                </c:pt>
              </c:numCache>
            </c:numRef>
          </c:val>
          <c:extLst>
            <c:ext xmlns:c16="http://schemas.microsoft.com/office/drawing/2014/chart" uri="{C3380CC4-5D6E-409C-BE32-E72D297353CC}">
              <c16:uniqueId val="{00000000-0C69-4528-AC87-4A38FB79F6A3}"/>
            </c:ext>
          </c:extLst>
        </c:ser>
        <c:ser>
          <c:idx val="1"/>
          <c:order val="1"/>
          <c:tx>
            <c:strRef>
              <c:f>'Results ReCiPe (I) - ESD'!$AB$174</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(I) - ESD'!$AC$172:$BA$172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ESD'!$AC$174:$BA$174</c:f>
              <c:numCache>
                <c:formatCode>0.00E+00</c:formatCode>
                <c:ptCount val="25"/>
                <c:pt idx="0">
                  <c:v>5.3366017106762977E-6</c:v>
                </c:pt>
              </c:numCache>
            </c:numRef>
          </c:val>
          <c:extLst>
            <c:ext xmlns:c16="http://schemas.microsoft.com/office/drawing/2014/chart" uri="{C3380CC4-5D6E-409C-BE32-E72D297353CC}">
              <c16:uniqueId val="{00000001-0C69-4528-AC87-4A38FB79F6A3}"/>
            </c:ext>
          </c:extLst>
        </c:ser>
        <c:ser>
          <c:idx val="2"/>
          <c:order val="2"/>
          <c:tx>
            <c:strRef>
              <c:f>'Results ReCiPe (I) - ESD'!$AB$175</c:f>
              <c:strCache>
                <c:ptCount val="1"/>
                <c:pt idx="0">
                  <c:v>Deconstruction - DAC</c:v>
                </c:pt>
              </c:strCache>
            </c:strRef>
          </c:tx>
          <c:spPr>
            <a:solidFill>
              <a:schemeClr val="accent2">
                <a:lumMod val="40000"/>
                <a:lumOff val="60000"/>
              </a:schemeClr>
            </a:solidFill>
            <a:ln>
              <a:noFill/>
            </a:ln>
            <a:effectLst/>
          </c:spPr>
          <c:invertIfNegative val="0"/>
          <c:cat>
            <c:numRef>
              <c:f>'Results ReCiPe (I) - ESD'!$AC$172:$BA$172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ESD'!$AC$175:$BA$175</c:f>
              <c:numCache>
                <c:formatCode>0.00E+00</c:formatCode>
                <c:ptCount val="25"/>
                <c:pt idx="24">
                  <c:v>1.2390051343368202E-6</c:v>
                </c:pt>
              </c:numCache>
            </c:numRef>
          </c:val>
          <c:extLst>
            <c:ext xmlns:c16="http://schemas.microsoft.com/office/drawing/2014/chart" uri="{C3380CC4-5D6E-409C-BE32-E72D297353CC}">
              <c16:uniqueId val="{00000002-0C69-4528-AC87-4A38FB79F6A3}"/>
            </c:ext>
          </c:extLst>
        </c:ser>
        <c:ser>
          <c:idx val="3"/>
          <c:order val="3"/>
          <c:tx>
            <c:strRef>
              <c:f>'Results ReCiPe (I) - ESD'!$AB$176</c:f>
              <c:strCache>
                <c:ptCount val="1"/>
                <c:pt idx="0">
                  <c:v>Deconstruction - geological storage</c:v>
                </c:pt>
              </c:strCache>
            </c:strRef>
          </c:tx>
          <c:spPr>
            <a:solidFill>
              <a:srgbClr val="FF9900"/>
            </a:solidFill>
            <a:ln>
              <a:noFill/>
            </a:ln>
            <a:effectLst/>
          </c:spPr>
          <c:invertIfNegative val="0"/>
          <c:cat>
            <c:numRef>
              <c:f>'Results ReCiPe (I) - ESD'!$AC$172:$BA$172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ESD'!$AC$176:$BA$176</c:f>
              <c:numCache>
                <c:formatCode>0.00E+00</c:formatCode>
                <c:ptCount val="25"/>
                <c:pt idx="24">
                  <c:v>3.8973567066174879E-8</c:v>
                </c:pt>
              </c:numCache>
            </c:numRef>
          </c:val>
          <c:extLst>
            <c:ext xmlns:c16="http://schemas.microsoft.com/office/drawing/2014/chart" uri="{C3380CC4-5D6E-409C-BE32-E72D297353CC}">
              <c16:uniqueId val="{00000003-0C69-4528-AC87-4A38FB79F6A3}"/>
            </c:ext>
          </c:extLst>
        </c:ser>
        <c:ser>
          <c:idx val="4"/>
          <c:order val="4"/>
          <c:tx>
            <c:strRef>
              <c:f>'Results ReCiPe (I) - ESD'!$AB$177</c:f>
              <c:strCache>
                <c:ptCount val="1"/>
                <c:pt idx="0">
                  <c:v>Sorbent material</c:v>
                </c:pt>
              </c:strCache>
            </c:strRef>
          </c:tx>
          <c:spPr>
            <a:solidFill>
              <a:srgbClr val="FF8F8F"/>
            </a:solidFill>
            <a:ln>
              <a:noFill/>
            </a:ln>
            <a:effectLst/>
          </c:spPr>
          <c:invertIfNegative val="0"/>
          <c:cat>
            <c:numRef>
              <c:f>'Results ReCiPe (I) - ESD'!$AC$172:$BA$172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ESD'!$AC$177:$BA$177</c:f>
              <c:numCache>
                <c:formatCode>0.00E+00</c:formatCode>
                <c:ptCount val="25"/>
                <c:pt idx="0">
                  <c:v>1.8258940739667011E-6</c:v>
                </c:pt>
                <c:pt idx="3">
                  <c:v>1.767125439800878E-6</c:v>
                </c:pt>
                <c:pt idx="6">
                  <c:v>1.715497990639842E-6</c:v>
                </c:pt>
                <c:pt idx="9">
                  <c:v>1.657874882943543E-6</c:v>
                </c:pt>
                <c:pt idx="12">
                  <c:v>1.5963755513726221E-6</c:v>
                </c:pt>
                <c:pt idx="15">
                  <c:v>1.5285765180628141E-6</c:v>
                </c:pt>
                <c:pt idx="18">
                  <c:v>1.48499946196324E-6</c:v>
                </c:pt>
                <c:pt idx="21">
                  <c:v>1.472270012135608E-6</c:v>
                </c:pt>
                <c:pt idx="24">
                  <c:v>1.4696136355869061E-6</c:v>
                </c:pt>
              </c:numCache>
            </c:numRef>
          </c:val>
          <c:extLst>
            <c:ext xmlns:c16="http://schemas.microsoft.com/office/drawing/2014/chart" uri="{C3380CC4-5D6E-409C-BE32-E72D297353CC}">
              <c16:uniqueId val="{00000004-0C69-4528-AC87-4A38FB79F6A3}"/>
            </c:ext>
          </c:extLst>
        </c:ser>
        <c:ser>
          <c:idx val="5"/>
          <c:order val="5"/>
          <c:tx>
            <c:strRef>
              <c:f>'Results ReCiPe (I) - ESD'!$AB$178</c:f>
              <c:strCache>
                <c:ptCount val="1"/>
                <c:pt idx="0">
                  <c:v>Operation - DAC</c:v>
                </c:pt>
              </c:strCache>
            </c:strRef>
          </c:tx>
          <c:spPr>
            <a:solidFill>
              <a:schemeClr val="accent2">
                <a:lumMod val="75000"/>
              </a:schemeClr>
            </a:solidFill>
            <a:ln>
              <a:noFill/>
            </a:ln>
            <a:effectLst/>
          </c:spPr>
          <c:invertIfNegative val="0"/>
          <c:cat>
            <c:numRef>
              <c:f>'Results ReCiPe (I) - ESD'!$AC$172:$BA$172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ESD'!$AC$178:$BA$178</c:f>
              <c:numCache>
                <c:formatCode>0.00E+00</c:formatCode>
                <c:ptCount val="25"/>
                <c:pt idx="0">
                  <c:v>5.0747458363590797E-5</c:v>
                </c:pt>
                <c:pt idx="1">
                  <c:v>4.7275014585322097E-5</c:v>
                </c:pt>
                <c:pt idx="2">
                  <c:v>4.3795430290282731E-5</c:v>
                </c:pt>
                <c:pt idx="3">
                  <c:v>4.0258828029558161E-5</c:v>
                </c:pt>
                <c:pt idx="4">
                  <c:v>3.6764070987777697E-5</c:v>
                </c:pt>
                <c:pt idx="5">
                  <c:v>3.3262990653433392E-5</c:v>
                </c:pt>
                <c:pt idx="6">
                  <c:v>3.1674602572745466E-5</c:v>
                </c:pt>
                <c:pt idx="7">
                  <c:v>3.0080646696179402E-5</c:v>
                </c:pt>
                <c:pt idx="8">
                  <c:v>2.8435734970914395E-5</c:v>
                </c:pt>
                <c:pt idx="9">
                  <c:v>2.6823254121425438E-5</c:v>
                </c:pt>
                <c:pt idx="10">
                  <c:v>2.5201921589954457E-5</c:v>
                </c:pt>
                <c:pt idx="11">
                  <c:v>2.4492026365169192E-5</c:v>
                </c:pt>
                <c:pt idx="12">
                  <c:v>2.3776259155601622E-5</c:v>
                </c:pt>
                <c:pt idx="13">
                  <c:v>2.3035790855987796E-5</c:v>
                </c:pt>
                <c:pt idx="14">
                  <c:v>2.2301967586892186E-5</c:v>
                </c:pt>
                <c:pt idx="15">
                  <c:v>2.1562192048572193E-5</c:v>
                </c:pt>
                <c:pt idx="16">
                  <c:v>2.1466493237388647E-5</c:v>
                </c:pt>
                <c:pt idx="17">
                  <c:v>2.1374715259815384E-5</c:v>
                </c:pt>
                <c:pt idx="18">
                  <c:v>2.1269830345510641E-5</c:v>
                </c:pt>
                <c:pt idx="19">
                  <c:v>2.1184415747286711E-5</c:v>
                </c:pt>
                <c:pt idx="20">
                  <c:v>2.0895857955254241E-5</c:v>
                </c:pt>
                <c:pt idx="21">
                  <c:v>2.140253836957414E-5</c:v>
                </c:pt>
                <c:pt idx="22">
                  <c:v>2.12538008696918E-5</c:v>
                </c:pt>
                <c:pt idx="23">
                  <c:v>2.1103644586730076E-5</c:v>
                </c:pt>
                <c:pt idx="24">
                  <c:v>2.0952040873223614E-5</c:v>
                </c:pt>
              </c:numCache>
            </c:numRef>
          </c:val>
          <c:extLst>
            <c:ext xmlns:c16="http://schemas.microsoft.com/office/drawing/2014/chart" uri="{C3380CC4-5D6E-409C-BE32-E72D297353CC}">
              <c16:uniqueId val="{00000005-0C69-4528-AC87-4A38FB79F6A3}"/>
            </c:ext>
          </c:extLst>
        </c:ser>
        <c:ser>
          <c:idx val="6"/>
          <c:order val="6"/>
          <c:tx>
            <c:strRef>
              <c:f>'Results ReCiPe (I) - ESD'!$AB$179</c:f>
              <c:strCache>
                <c:ptCount val="1"/>
                <c:pt idx="0">
                  <c:v>Operation - geological storage</c:v>
                </c:pt>
              </c:strCache>
            </c:strRef>
          </c:tx>
          <c:spPr>
            <a:solidFill>
              <a:schemeClr val="accent2">
                <a:lumMod val="50000"/>
              </a:schemeClr>
            </a:solidFill>
            <a:ln>
              <a:noFill/>
            </a:ln>
            <a:effectLst/>
          </c:spPr>
          <c:invertIfNegative val="0"/>
          <c:cat>
            <c:numRef>
              <c:f>'Results ReCiPe (I) - ESD'!$AC$172:$BA$172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ESD'!$AC$179:$BA$179</c:f>
              <c:numCache>
                <c:formatCode>0.00E+00</c:formatCode>
                <c:ptCount val="25"/>
                <c:pt idx="0">
                  <c:v>1.3628606653892532E-8</c:v>
                </c:pt>
                <c:pt idx="1">
                  <c:v>1.2811183796212039E-8</c:v>
                </c:pt>
                <c:pt idx="2">
                  <c:v>1.1995746049264026E-8</c:v>
                </c:pt>
                <c:pt idx="3">
                  <c:v>1.1171245641858896E-8</c:v>
                </c:pt>
                <c:pt idx="4">
                  <c:v>1.0359626990266529E-8</c:v>
                </c:pt>
                <c:pt idx="5">
                  <c:v>9.5502173250802114E-9</c:v>
                </c:pt>
                <c:pt idx="6">
                  <c:v>9.181851814630211E-9</c:v>
                </c:pt>
                <c:pt idx="7">
                  <c:v>8.8125047121290603E-9</c:v>
                </c:pt>
                <c:pt idx="8">
                  <c:v>8.4321847371773398E-9</c:v>
                </c:pt>
                <c:pt idx="9">
                  <c:v>8.059805983107708E-9</c:v>
                </c:pt>
                <c:pt idx="10">
                  <c:v>7.6861052401624566E-9</c:v>
                </c:pt>
                <c:pt idx="11">
                  <c:v>7.5202523796492839E-9</c:v>
                </c:pt>
                <c:pt idx="12">
                  <c:v>7.3531362295759902E-9</c:v>
                </c:pt>
                <c:pt idx="13">
                  <c:v>7.1805206935625572E-9</c:v>
                </c:pt>
                <c:pt idx="14">
                  <c:v>7.0094228717726081E-9</c:v>
                </c:pt>
                <c:pt idx="15">
                  <c:v>6.8369929575916913E-9</c:v>
                </c:pt>
                <c:pt idx="16">
                  <c:v>6.8137574868997813E-9</c:v>
                </c:pt>
                <c:pt idx="17">
                  <c:v>6.7914603328577693E-9</c:v>
                </c:pt>
                <c:pt idx="18">
                  <c:v>6.7662866672024033E-9</c:v>
                </c:pt>
                <c:pt idx="19">
                  <c:v>6.7454552526178014E-9</c:v>
                </c:pt>
                <c:pt idx="20">
                  <c:v>6.7254528892796469E-9</c:v>
                </c:pt>
                <c:pt idx="21">
                  <c:v>6.8566164801976816E-9</c:v>
                </c:pt>
                <c:pt idx="22">
                  <c:v>6.8200669552858395E-9</c:v>
                </c:pt>
                <c:pt idx="23">
                  <c:v>6.7832959173055509E-9</c:v>
                </c:pt>
                <c:pt idx="24">
                  <c:v>6.7462926606534017E-9</c:v>
                </c:pt>
              </c:numCache>
            </c:numRef>
          </c:val>
          <c:extLst>
            <c:ext xmlns:c16="http://schemas.microsoft.com/office/drawing/2014/chart" uri="{C3380CC4-5D6E-409C-BE32-E72D297353CC}">
              <c16:uniqueId val="{00000006-0C69-4528-AC87-4A38FB79F6A3}"/>
            </c:ext>
          </c:extLst>
        </c:ser>
        <c:ser>
          <c:idx val="7"/>
          <c:order val="7"/>
          <c:tx>
            <c:strRef>
              <c:f>'Results ReCiPe (I) - ESD'!$AB$180</c:f>
              <c:strCache>
                <c:ptCount val="1"/>
                <c:pt idx="0">
                  <c:v>CO2 captured and stored</c:v>
                </c:pt>
              </c:strCache>
            </c:strRef>
          </c:tx>
          <c:spPr>
            <a:solidFill>
              <a:schemeClr val="tx2">
                <a:lumMod val="20000"/>
                <a:lumOff val="80000"/>
              </a:schemeClr>
            </a:solidFill>
            <a:ln>
              <a:noFill/>
            </a:ln>
            <a:effectLst/>
          </c:spPr>
          <c:invertIfNegative val="0"/>
          <c:cat>
            <c:numRef>
              <c:f>'Results ReCiPe (I) - ESD'!$AC$172:$BA$172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ESD'!$AC$180:$BA$180</c:f>
              <c:numCache>
                <c:formatCode>0.00E+00</c:formatCode>
                <c:ptCount val="25"/>
                <c:pt idx="0">
                  <c:v>-5.3201450000000005E-5</c:v>
                </c:pt>
                <c:pt idx="1">
                  <c:v>-5.3201450000000005E-5</c:v>
                </c:pt>
                <c:pt idx="2">
                  <c:v>-5.3201450000000005E-5</c:v>
                </c:pt>
                <c:pt idx="3">
                  <c:v>-5.3201450000000005E-5</c:v>
                </c:pt>
                <c:pt idx="4">
                  <c:v>-5.3201450000000005E-5</c:v>
                </c:pt>
                <c:pt idx="5">
                  <c:v>-5.3201450000000005E-5</c:v>
                </c:pt>
                <c:pt idx="6">
                  <c:v>-5.3201450000000005E-5</c:v>
                </c:pt>
                <c:pt idx="7">
                  <c:v>-5.3201450000000005E-5</c:v>
                </c:pt>
                <c:pt idx="8">
                  <c:v>-5.3201450000000005E-5</c:v>
                </c:pt>
                <c:pt idx="9">
                  <c:v>-5.3201450000000005E-5</c:v>
                </c:pt>
                <c:pt idx="10">
                  <c:v>-5.3201450000000005E-5</c:v>
                </c:pt>
                <c:pt idx="11">
                  <c:v>-5.3201450000000005E-5</c:v>
                </c:pt>
                <c:pt idx="12">
                  <c:v>-5.3201450000000005E-5</c:v>
                </c:pt>
                <c:pt idx="13">
                  <c:v>-5.3201450000000005E-5</c:v>
                </c:pt>
                <c:pt idx="14">
                  <c:v>-5.3201450000000005E-5</c:v>
                </c:pt>
                <c:pt idx="15">
                  <c:v>-5.3201450000000005E-5</c:v>
                </c:pt>
                <c:pt idx="16">
                  <c:v>-5.3201450000000005E-5</c:v>
                </c:pt>
                <c:pt idx="17">
                  <c:v>-5.3201450000000005E-5</c:v>
                </c:pt>
                <c:pt idx="18">
                  <c:v>-5.3201450000000005E-5</c:v>
                </c:pt>
                <c:pt idx="19">
                  <c:v>-5.3201450000000005E-5</c:v>
                </c:pt>
                <c:pt idx="20">
                  <c:v>-5.3201450000000005E-5</c:v>
                </c:pt>
                <c:pt idx="21">
                  <c:v>-5.3201450000000005E-5</c:v>
                </c:pt>
                <c:pt idx="22">
                  <c:v>-5.3201450000000005E-5</c:v>
                </c:pt>
                <c:pt idx="23">
                  <c:v>-5.3201450000000005E-5</c:v>
                </c:pt>
                <c:pt idx="24">
                  <c:v>-5.3201450000000005E-5</c:v>
                </c:pt>
              </c:numCache>
            </c:numRef>
          </c:val>
          <c:extLst>
            <c:ext xmlns:c16="http://schemas.microsoft.com/office/drawing/2014/chart" uri="{C3380CC4-5D6E-409C-BE32-E72D297353CC}">
              <c16:uniqueId val="{00000007-0C69-4528-AC87-4A38FB79F6A3}"/>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(I) - ESD'!$AB$181</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cat>
            <c:numRef>
              <c:f>'Results ReCiPe (I) - ESD'!$AC$172:$BA$172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ESD'!$AC$181:$BA$181</c:f>
              <c:numCache>
                <c:formatCode>0.00E+00</c:formatCode>
                <c:ptCount val="25"/>
                <c:pt idx="0">
                  <c:v>1.0915772181587099E-4</c:v>
                </c:pt>
                <c:pt idx="1">
                  <c:v>-5.9136242308816957E-6</c:v>
                </c:pt>
                <c:pt idx="2">
                  <c:v>-9.39402396366801E-6</c:v>
                </c:pt>
                <c:pt idx="3">
                  <c:v>-1.1164325284999108E-5</c:v>
                </c:pt>
                <c:pt idx="4">
                  <c:v>-1.6427019385232044E-5</c:v>
                </c:pt>
                <c:pt idx="5">
                  <c:v>-1.9928909129241537E-5</c:v>
                </c:pt>
                <c:pt idx="6">
                  <c:v>-1.9802167584800066E-5</c:v>
                </c:pt>
                <c:pt idx="7">
                  <c:v>-2.3111990799108475E-5</c:v>
                </c:pt>
                <c:pt idx="8">
                  <c:v>-2.4757282844348434E-5</c:v>
                </c:pt>
                <c:pt idx="9">
                  <c:v>-2.4712261189647916E-5</c:v>
                </c:pt>
                <c:pt idx="10">
                  <c:v>-2.7991842304805386E-5</c:v>
                </c:pt>
                <c:pt idx="11">
                  <c:v>-2.8701903382451163E-5</c:v>
                </c:pt>
                <c:pt idx="12">
                  <c:v>-2.7821462156796184E-5</c:v>
                </c:pt>
                <c:pt idx="13">
                  <c:v>-3.0158478623318646E-5</c:v>
                </c:pt>
                <c:pt idx="14">
                  <c:v>-3.089247299023605E-5</c:v>
                </c:pt>
                <c:pt idx="15">
                  <c:v>-3.0103844440407407E-5</c:v>
                </c:pt>
                <c:pt idx="16">
                  <c:v>-3.1728143005124457E-5</c:v>
                </c:pt>
                <c:pt idx="17">
                  <c:v>-3.1819943279851759E-5</c:v>
                </c:pt>
                <c:pt idx="18">
                  <c:v>-3.0439853905858922E-5</c:v>
                </c:pt>
                <c:pt idx="19">
                  <c:v>-3.2010288797460677E-5</c:v>
                </c:pt>
                <c:pt idx="20">
                  <c:v>-3.2298866591856483E-5</c:v>
                </c:pt>
                <c:pt idx="21">
                  <c:v>-3.0319785001810058E-5</c:v>
                </c:pt>
                <c:pt idx="22">
                  <c:v>-3.1940829063352918E-5</c:v>
                </c:pt>
                <c:pt idx="23">
                  <c:v>-3.2091022117352629E-5</c:v>
                </c:pt>
                <c:pt idx="24">
                  <c:v>-2.9495070497125835E-5</c:v>
                </c:pt>
              </c:numCache>
            </c:numRef>
          </c:val>
          <c:smooth val="0"/>
          <c:extLst>
            <c:ext xmlns:c16="http://schemas.microsoft.com/office/drawing/2014/chart" uri="{C3380CC4-5D6E-409C-BE32-E72D297353CC}">
              <c16:uniqueId val="{00000008-0C69-4528-AC87-4A38FB79F6A3}"/>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Ecosystem damage</a:t>
                </a:r>
              </a:p>
              <a:p>
                <a:pPr algn="ctr" rtl="0">
                  <a:defRPr/>
                </a:pPr>
                <a:r>
                  <a:rPr lang="nl-NL"/>
                  <a:t>[PDF*yr/ton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(I) - ESD'!$AB$214</c:f>
              <c:strCache>
                <c:ptCount val="1"/>
                <c:pt idx="0">
                  <c:v>Construction - DAC</c:v>
                </c:pt>
              </c:strCache>
            </c:strRef>
          </c:tx>
          <c:spPr>
            <a:solidFill>
              <a:schemeClr val="accent4">
                <a:lumMod val="75000"/>
              </a:schemeClr>
            </a:solidFill>
            <a:ln>
              <a:noFill/>
            </a:ln>
            <a:effectLst/>
          </c:spPr>
          <c:invertIfNegative val="0"/>
          <c:cat>
            <c:numRef>
              <c:f>'Results ReCiPe (I) - ESD'!$AC$213:$BA$213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ESD'!$AC$214:$BA$214</c:f>
              <c:numCache>
                <c:formatCode>0.00E+00</c:formatCode>
                <c:ptCount val="25"/>
                <c:pt idx="0">
                  <c:v>9.0381118043135502E-5</c:v>
                </c:pt>
              </c:numCache>
            </c:numRef>
          </c:val>
          <c:extLst>
            <c:ext xmlns:c16="http://schemas.microsoft.com/office/drawing/2014/chart" uri="{C3380CC4-5D6E-409C-BE32-E72D297353CC}">
              <c16:uniqueId val="{00000000-AA5D-49D7-84A4-F0AB75D5FAAE}"/>
            </c:ext>
          </c:extLst>
        </c:ser>
        <c:ser>
          <c:idx val="1"/>
          <c:order val="1"/>
          <c:tx>
            <c:strRef>
              <c:f>'Results ReCiPe (I) - ESD'!$AB$215</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(I) - ESD'!$AC$213:$BA$213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ESD'!$AC$215:$BA$215</c:f>
              <c:numCache>
                <c:formatCode>0.00E+00</c:formatCode>
                <c:ptCount val="25"/>
                <c:pt idx="0">
                  <c:v>4.9982557100980421E-6</c:v>
                </c:pt>
              </c:numCache>
            </c:numRef>
          </c:val>
          <c:extLst>
            <c:ext xmlns:c16="http://schemas.microsoft.com/office/drawing/2014/chart" uri="{C3380CC4-5D6E-409C-BE32-E72D297353CC}">
              <c16:uniqueId val="{00000001-AA5D-49D7-84A4-F0AB75D5FAAE}"/>
            </c:ext>
          </c:extLst>
        </c:ser>
        <c:ser>
          <c:idx val="2"/>
          <c:order val="2"/>
          <c:tx>
            <c:strRef>
              <c:f>'Results ReCiPe (I) - ESD'!$AB$216</c:f>
              <c:strCache>
                <c:ptCount val="1"/>
                <c:pt idx="0">
                  <c:v>Deconstruction - DAC</c:v>
                </c:pt>
              </c:strCache>
            </c:strRef>
          </c:tx>
          <c:spPr>
            <a:solidFill>
              <a:schemeClr val="accent2">
                <a:lumMod val="40000"/>
                <a:lumOff val="60000"/>
              </a:schemeClr>
            </a:solidFill>
            <a:ln>
              <a:noFill/>
            </a:ln>
            <a:effectLst/>
          </c:spPr>
          <c:invertIfNegative val="0"/>
          <c:cat>
            <c:numRef>
              <c:f>'Results ReCiPe (I) - ESD'!$AC$213:$BA$213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ESD'!$AC$216:$BA$216</c:f>
              <c:numCache>
                <c:formatCode>0.00E+00</c:formatCode>
                <c:ptCount val="25"/>
                <c:pt idx="24">
                  <c:v>1.3171343639388709E-6</c:v>
                </c:pt>
              </c:numCache>
            </c:numRef>
          </c:val>
          <c:extLst>
            <c:ext xmlns:c16="http://schemas.microsoft.com/office/drawing/2014/chart" uri="{C3380CC4-5D6E-409C-BE32-E72D297353CC}">
              <c16:uniqueId val="{00000002-AA5D-49D7-84A4-F0AB75D5FAAE}"/>
            </c:ext>
          </c:extLst>
        </c:ser>
        <c:ser>
          <c:idx val="3"/>
          <c:order val="3"/>
          <c:tx>
            <c:strRef>
              <c:f>'Results ReCiPe (I) - ESD'!$AB$217</c:f>
              <c:strCache>
                <c:ptCount val="1"/>
                <c:pt idx="0">
                  <c:v>Deconstruction - geological storage</c:v>
                </c:pt>
              </c:strCache>
            </c:strRef>
          </c:tx>
          <c:spPr>
            <a:solidFill>
              <a:srgbClr val="FF9900"/>
            </a:solidFill>
            <a:ln>
              <a:noFill/>
            </a:ln>
            <a:effectLst/>
          </c:spPr>
          <c:invertIfNegative val="0"/>
          <c:cat>
            <c:numRef>
              <c:f>'Results ReCiPe (I) - ESD'!$AC$213:$BA$213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ESD'!$AC$217:$BA$217</c:f>
              <c:numCache>
                <c:formatCode>0.00E+00</c:formatCode>
                <c:ptCount val="25"/>
                <c:pt idx="24">
                  <c:v>4.1872261712862055E-8</c:v>
                </c:pt>
              </c:numCache>
            </c:numRef>
          </c:val>
          <c:extLst>
            <c:ext xmlns:c16="http://schemas.microsoft.com/office/drawing/2014/chart" uri="{C3380CC4-5D6E-409C-BE32-E72D297353CC}">
              <c16:uniqueId val="{00000003-AA5D-49D7-84A4-F0AB75D5FAAE}"/>
            </c:ext>
          </c:extLst>
        </c:ser>
        <c:ser>
          <c:idx val="4"/>
          <c:order val="4"/>
          <c:tx>
            <c:strRef>
              <c:f>'Results ReCiPe (I) - ESD'!$AB$218</c:f>
              <c:strCache>
                <c:ptCount val="1"/>
                <c:pt idx="0">
                  <c:v>Sorbent material</c:v>
                </c:pt>
              </c:strCache>
            </c:strRef>
          </c:tx>
          <c:spPr>
            <a:solidFill>
              <a:srgbClr val="FF8F8F"/>
            </a:solidFill>
            <a:ln>
              <a:noFill/>
            </a:ln>
            <a:effectLst/>
          </c:spPr>
          <c:invertIfNegative val="0"/>
          <c:cat>
            <c:numRef>
              <c:f>'Results ReCiPe (I) - ESD'!$AC$213:$BA$213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ESD'!$AC$218:$BA$218</c:f>
              <c:numCache>
                <c:formatCode>0.00E+00</c:formatCode>
                <c:ptCount val="25"/>
                <c:pt idx="0">
                  <c:v>1.5568631310201531E-6</c:v>
                </c:pt>
                <c:pt idx="3">
                  <c:v>1.490530396859574E-6</c:v>
                </c:pt>
                <c:pt idx="6">
                  <c:v>1.453183927485486E-6</c:v>
                </c:pt>
                <c:pt idx="9">
                  <c:v>1.457702482446929E-6</c:v>
                </c:pt>
                <c:pt idx="12">
                  <c:v>1.4643173431288331E-6</c:v>
                </c:pt>
                <c:pt idx="15">
                  <c:v>1.4666447699044541E-6</c:v>
                </c:pt>
                <c:pt idx="18">
                  <c:v>1.4616325983130691E-6</c:v>
                </c:pt>
                <c:pt idx="21">
                  <c:v>1.477314417989346E-6</c:v>
                </c:pt>
                <c:pt idx="24">
                  <c:v>1.482612190332E-6</c:v>
                </c:pt>
              </c:numCache>
            </c:numRef>
          </c:val>
          <c:extLst>
            <c:ext xmlns:c16="http://schemas.microsoft.com/office/drawing/2014/chart" uri="{C3380CC4-5D6E-409C-BE32-E72D297353CC}">
              <c16:uniqueId val="{00000004-AA5D-49D7-84A4-F0AB75D5FAAE}"/>
            </c:ext>
          </c:extLst>
        </c:ser>
        <c:ser>
          <c:idx val="5"/>
          <c:order val="5"/>
          <c:tx>
            <c:strRef>
              <c:f>'Results ReCiPe (I) - ESD'!$AB$219</c:f>
              <c:strCache>
                <c:ptCount val="1"/>
                <c:pt idx="0">
                  <c:v>Operation - DAC</c:v>
                </c:pt>
              </c:strCache>
            </c:strRef>
          </c:tx>
          <c:spPr>
            <a:solidFill>
              <a:schemeClr val="accent2">
                <a:lumMod val="75000"/>
              </a:schemeClr>
            </a:solidFill>
            <a:ln>
              <a:noFill/>
            </a:ln>
            <a:effectLst/>
          </c:spPr>
          <c:invertIfNegative val="0"/>
          <c:cat>
            <c:numRef>
              <c:f>'Results ReCiPe (I) - ESD'!$AC$213:$BA$213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ESD'!$AC$219:$BA$219</c:f>
              <c:numCache>
                <c:formatCode>0.00E+00</c:formatCode>
                <c:ptCount val="25"/>
                <c:pt idx="0">
                  <c:v>2.7148794114913189E-5</c:v>
                </c:pt>
                <c:pt idx="1">
                  <c:v>2.5331251992508659E-5</c:v>
                </c:pt>
                <c:pt idx="2">
                  <c:v>2.3498123123681004E-5</c:v>
                </c:pt>
                <c:pt idx="3">
                  <c:v>2.1583100191138585E-5</c:v>
                </c:pt>
                <c:pt idx="4">
                  <c:v>1.9715146722157434E-5</c:v>
                </c:pt>
                <c:pt idx="5">
                  <c:v>1.7834125178395277E-5</c:v>
                </c:pt>
                <c:pt idx="6">
                  <c:v>1.8414810368334059E-5</c:v>
                </c:pt>
                <c:pt idx="7">
                  <c:v>1.8992678328527311E-5</c:v>
                </c:pt>
                <c:pt idx="8">
                  <c:v>1.9496405028141445E-5</c:v>
                </c:pt>
                <c:pt idx="9">
                  <c:v>2.0063637716237538E-5</c:v>
                </c:pt>
                <c:pt idx="10">
                  <c:v>2.0627884474558675E-5</c:v>
                </c:pt>
                <c:pt idx="11">
                  <c:v>2.0883479671796738E-5</c:v>
                </c:pt>
                <c:pt idx="12">
                  <c:v>2.1136479343497264E-5</c:v>
                </c:pt>
                <c:pt idx="13">
                  <c:v>2.136084999203186E-5</c:v>
                </c:pt>
                <c:pt idx="14">
                  <c:v>2.1599771775155324E-5</c:v>
                </c:pt>
                <c:pt idx="15">
                  <c:v>2.1833235645571184E-5</c:v>
                </c:pt>
                <c:pt idx="16">
                  <c:v>2.1434945163008187E-5</c:v>
                </c:pt>
                <c:pt idx="17">
                  <c:v>2.1045421520305286E-5</c:v>
                </c:pt>
                <c:pt idx="18">
                  <c:v>2.0641952554509809E-5</c:v>
                </c:pt>
                <c:pt idx="19">
                  <c:v>2.026687921591707E-5</c:v>
                </c:pt>
                <c:pt idx="20">
                  <c:v>1.9891606491950218E-5</c:v>
                </c:pt>
                <c:pt idx="21">
                  <c:v>2.0617198538714168E-5</c:v>
                </c:pt>
                <c:pt idx="22">
                  <c:v>2.0616492300640212E-5</c:v>
                </c:pt>
                <c:pt idx="23">
                  <c:v>2.0616846288625462E-5</c:v>
                </c:pt>
                <c:pt idx="24">
                  <c:v>2.0618144391312591E-5</c:v>
                </c:pt>
              </c:numCache>
            </c:numRef>
          </c:val>
          <c:extLst>
            <c:ext xmlns:c16="http://schemas.microsoft.com/office/drawing/2014/chart" uri="{C3380CC4-5D6E-409C-BE32-E72D297353CC}">
              <c16:uniqueId val="{00000005-AA5D-49D7-84A4-F0AB75D5FAAE}"/>
            </c:ext>
          </c:extLst>
        </c:ser>
        <c:ser>
          <c:idx val="6"/>
          <c:order val="6"/>
          <c:tx>
            <c:strRef>
              <c:f>'Results ReCiPe (I) - ESD'!$AB$220</c:f>
              <c:strCache>
                <c:ptCount val="1"/>
                <c:pt idx="0">
                  <c:v>Operation - geological storage</c:v>
                </c:pt>
              </c:strCache>
            </c:strRef>
          </c:tx>
          <c:spPr>
            <a:solidFill>
              <a:schemeClr val="accent2">
                <a:lumMod val="50000"/>
              </a:schemeClr>
            </a:solidFill>
            <a:ln>
              <a:noFill/>
            </a:ln>
            <a:effectLst/>
          </c:spPr>
          <c:invertIfNegative val="0"/>
          <c:cat>
            <c:numRef>
              <c:f>'Results ReCiPe (I) - ESD'!$AC$213:$BA$213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ESD'!$AC$220:$BA$220</c:f>
              <c:numCache>
                <c:formatCode>0.00E+00</c:formatCode>
                <c:ptCount val="25"/>
                <c:pt idx="0">
                  <c:v>8.1661226611903975E-9</c:v>
                </c:pt>
                <c:pt idx="1">
                  <c:v>7.7375249200529544E-9</c:v>
                </c:pt>
                <c:pt idx="2">
                  <c:v>7.3078680199034777E-9</c:v>
                </c:pt>
                <c:pt idx="3">
                  <c:v>6.8625754390540549E-9</c:v>
                </c:pt>
                <c:pt idx="4">
                  <c:v>6.4302971988046446E-9</c:v>
                </c:pt>
                <c:pt idx="5">
                  <c:v>5.9975897889102982E-9</c:v>
                </c:pt>
                <c:pt idx="6">
                  <c:v>6.1255480897413437E-9</c:v>
                </c:pt>
                <c:pt idx="7">
                  <c:v>6.2522310812630137E-9</c:v>
                </c:pt>
                <c:pt idx="8">
                  <c:v>6.3617499745199899E-9</c:v>
                </c:pt>
                <c:pt idx="9">
                  <c:v>6.4848326653209395E-9</c:v>
                </c:pt>
                <c:pt idx="10">
                  <c:v>6.6066142185601283E-9</c:v>
                </c:pt>
                <c:pt idx="11">
                  <c:v>6.6628214615691987E-9</c:v>
                </c:pt>
                <c:pt idx="12">
                  <c:v>6.718575238641164E-9</c:v>
                </c:pt>
                <c:pt idx="13">
                  <c:v>6.7680959680053816E-9</c:v>
                </c:pt>
                <c:pt idx="14">
                  <c:v>6.8210117013959019E-9</c:v>
                </c:pt>
                <c:pt idx="15">
                  <c:v>6.8728922417210794E-9</c:v>
                </c:pt>
                <c:pt idx="16">
                  <c:v>6.7886329273209634E-9</c:v>
                </c:pt>
                <c:pt idx="17">
                  <c:v>6.7056138049603597E-9</c:v>
                </c:pt>
                <c:pt idx="18">
                  <c:v>6.6187816329354909E-9</c:v>
                </c:pt>
                <c:pt idx="19">
                  <c:v>6.5376456888212396E-9</c:v>
                </c:pt>
                <c:pt idx="20">
                  <c:v>6.4564312822658616E-9</c:v>
                </c:pt>
                <c:pt idx="21">
                  <c:v>6.6379960025257579E-9</c:v>
                </c:pt>
                <c:pt idx="22">
                  <c:v>6.6356976119592956E-9</c:v>
                </c:pt>
                <c:pt idx="23">
                  <c:v>6.6336468815317088E-9</c:v>
                </c:pt>
                <c:pt idx="24">
                  <c:v>6.6318115312765135E-9</c:v>
                </c:pt>
              </c:numCache>
            </c:numRef>
          </c:val>
          <c:extLst>
            <c:ext xmlns:c16="http://schemas.microsoft.com/office/drawing/2014/chart" uri="{C3380CC4-5D6E-409C-BE32-E72D297353CC}">
              <c16:uniqueId val="{00000006-AA5D-49D7-84A4-F0AB75D5FAAE}"/>
            </c:ext>
          </c:extLst>
        </c:ser>
        <c:ser>
          <c:idx val="7"/>
          <c:order val="7"/>
          <c:tx>
            <c:strRef>
              <c:f>'Results ReCiPe (I) - ESD'!$AB$221</c:f>
              <c:strCache>
                <c:ptCount val="1"/>
                <c:pt idx="0">
                  <c:v>CO2 captured and stored</c:v>
                </c:pt>
              </c:strCache>
            </c:strRef>
          </c:tx>
          <c:spPr>
            <a:solidFill>
              <a:schemeClr val="tx2">
                <a:lumMod val="20000"/>
                <a:lumOff val="80000"/>
              </a:schemeClr>
            </a:solidFill>
            <a:ln>
              <a:noFill/>
            </a:ln>
            <a:effectLst/>
          </c:spPr>
          <c:invertIfNegative val="0"/>
          <c:cat>
            <c:numRef>
              <c:f>'Results ReCiPe (I) - ESD'!$AC$213:$BA$213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ESD'!$AC$221:$BA$221</c:f>
              <c:numCache>
                <c:formatCode>0.00E+00</c:formatCode>
                <c:ptCount val="25"/>
                <c:pt idx="0">
                  <c:v>-5.3201450000000005E-5</c:v>
                </c:pt>
                <c:pt idx="1">
                  <c:v>-5.3201450000000005E-5</c:v>
                </c:pt>
                <c:pt idx="2">
                  <c:v>-5.3201450000000005E-5</c:v>
                </c:pt>
                <c:pt idx="3">
                  <c:v>-5.3201450000000005E-5</c:v>
                </c:pt>
                <c:pt idx="4">
                  <c:v>-5.3201450000000005E-5</c:v>
                </c:pt>
                <c:pt idx="5">
                  <c:v>-5.3201450000000005E-5</c:v>
                </c:pt>
                <c:pt idx="6">
                  <c:v>-5.3201450000000005E-5</c:v>
                </c:pt>
                <c:pt idx="7">
                  <c:v>-5.3201450000000005E-5</c:v>
                </c:pt>
                <c:pt idx="8">
                  <c:v>-5.3201450000000005E-5</c:v>
                </c:pt>
                <c:pt idx="9">
                  <c:v>-5.3201450000000005E-5</c:v>
                </c:pt>
                <c:pt idx="10">
                  <c:v>-5.3201450000000005E-5</c:v>
                </c:pt>
                <c:pt idx="11">
                  <c:v>-5.3201450000000005E-5</c:v>
                </c:pt>
                <c:pt idx="12">
                  <c:v>-5.3201450000000005E-5</c:v>
                </c:pt>
                <c:pt idx="13">
                  <c:v>-5.3201450000000005E-5</c:v>
                </c:pt>
                <c:pt idx="14">
                  <c:v>-5.3201450000000005E-5</c:v>
                </c:pt>
                <c:pt idx="15">
                  <c:v>-5.3201450000000005E-5</c:v>
                </c:pt>
                <c:pt idx="16">
                  <c:v>-5.3201450000000005E-5</c:v>
                </c:pt>
                <c:pt idx="17">
                  <c:v>-5.3201450000000005E-5</c:v>
                </c:pt>
                <c:pt idx="18">
                  <c:v>-5.3201450000000005E-5</c:v>
                </c:pt>
                <c:pt idx="19">
                  <c:v>-5.3201450000000005E-5</c:v>
                </c:pt>
                <c:pt idx="20">
                  <c:v>-5.3201450000000005E-5</c:v>
                </c:pt>
                <c:pt idx="21">
                  <c:v>-5.3201450000000005E-5</c:v>
                </c:pt>
                <c:pt idx="22">
                  <c:v>-5.3201450000000005E-5</c:v>
                </c:pt>
                <c:pt idx="23">
                  <c:v>-5.3201450000000005E-5</c:v>
                </c:pt>
                <c:pt idx="24">
                  <c:v>-5.3201450000000005E-5</c:v>
                </c:pt>
              </c:numCache>
            </c:numRef>
          </c:val>
          <c:extLst>
            <c:ext xmlns:c16="http://schemas.microsoft.com/office/drawing/2014/chart" uri="{C3380CC4-5D6E-409C-BE32-E72D297353CC}">
              <c16:uniqueId val="{00000007-AA5D-49D7-84A4-F0AB75D5FAAE}"/>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(I) - ESD'!$AB$222</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cat>
            <c:numRef>
              <c:f>'Results ReCiPe (I) - ESD'!$AC$213:$BA$213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ESD'!$AC$222:$BA$222</c:f>
              <c:numCache>
                <c:formatCode>0.00E+00</c:formatCode>
                <c:ptCount val="25"/>
                <c:pt idx="0">
                  <c:v>7.0891747121828091E-5</c:v>
                </c:pt>
                <c:pt idx="1">
                  <c:v>-2.7862460482571292E-5</c:v>
                </c:pt>
                <c:pt idx="2">
                  <c:v>-2.9696019008299097E-5</c:v>
                </c:pt>
                <c:pt idx="3">
                  <c:v>-3.0120956836562791E-5</c:v>
                </c:pt>
                <c:pt idx="4">
                  <c:v>-3.347987298064377E-5</c:v>
                </c:pt>
                <c:pt idx="5">
                  <c:v>-3.5361327231815818E-5</c:v>
                </c:pt>
                <c:pt idx="6">
                  <c:v>-3.3327330156090714E-5</c:v>
                </c:pt>
                <c:pt idx="7">
                  <c:v>-3.4202519440391432E-5</c:v>
                </c:pt>
                <c:pt idx="8">
                  <c:v>-3.3698683221884045E-5</c:v>
                </c:pt>
                <c:pt idx="9">
                  <c:v>-3.1673624968650216E-5</c:v>
                </c:pt>
                <c:pt idx="10">
                  <c:v>-3.2566958911222771E-5</c:v>
                </c:pt>
                <c:pt idx="11">
                  <c:v>-3.2311307506741699E-5</c:v>
                </c:pt>
                <c:pt idx="12">
                  <c:v>-3.0593934738135266E-5</c:v>
                </c:pt>
                <c:pt idx="13">
                  <c:v>-3.1833831912000135E-5</c:v>
                </c:pt>
                <c:pt idx="14">
                  <c:v>-3.1594857213143285E-5</c:v>
                </c:pt>
                <c:pt idx="15">
                  <c:v>-2.9894696692282646E-5</c:v>
                </c:pt>
                <c:pt idx="16">
                  <c:v>-3.1759716204064498E-5</c:v>
                </c:pt>
                <c:pt idx="17">
                  <c:v>-3.2149322865889758E-5</c:v>
                </c:pt>
                <c:pt idx="18">
                  <c:v>-3.1091246065544193E-5</c:v>
                </c:pt>
                <c:pt idx="19">
                  <c:v>-3.2928033138394115E-5</c:v>
                </c:pt>
                <c:pt idx="20">
                  <c:v>-3.3303387076767519E-5</c:v>
                </c:pt>
                <c:pt idx="21">
                  <c:v>-3.1100299047293964E-5</c:v>
                </c:pt>
                <c:pt idx="22">
                  <c:v>-3.2578322001747835E-5</c:v>
                </c:pt>
                <c:pt idx="23">
                  <c:v>-3.2577970064493011E-5</c:v>
                </c:pt>
                <c:pt idx="24">
                  <c:v>-2.9735054981172402E-5</c:v>
                </c:pt>
              </c:numCache>
            </c:numRef>
          </c:val>
          <c:smooth val="0"/>
          <c:extLst>
            <c:ext xmlns:c16="http://schemas.microsoft.com/office/drawing/2014/chart" uri="{C3380CC4-5D6E-409C-BE32-E72D297353CC}">
              <c16:uniqueId val="{00000008-AA5D-49D7-84A4-F0AB75D5FAAE}"/>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Ecosystem damage</a:t>
                </a:r>
              </a:p>
              <a:p>
                <a:pPr algn="ctr" rtl="0">
                  <a:defRPr/>
                </a:pPr>
                <a:r>
                  <a:rPr lang="nl-NL"/>
                  <a:t>[PDF*yr/ton CO2 captured and stored)</a:t>
                </a:r>
                <a:endParaRPr lang="en-NL"/>
              </a:p>
              <a:p>
                <a:pPr algn="ctr" rtl="0">
                  <a:defRPr/>
                </a:pPr>
                <a:endParaRPr lang="nl-NL"/>
              </a:p>
            </c:rich>
          </c:tx>
          <c:layout>
            <c:manualLayout>
              <c:xMode val="edge"/>
              <c:yMode val="edge"/>
              <c:x val="1.2544443202272187E-2"/>
              <c:y val="0.16502142699219191"/>
            </c:manualLayout>
          </c:layout>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005819924683327"/>
          <c:y val="7.1046091620382001E-2"/>
          <c:w val="0.74364464224580618"/>
          <c:h val="0.90253588806088181"/>
        </c:manualLayout>
      </c:layout>
      <c:scatterChart>
        <c:scatterStyle val="lineMarker"/>
        <c:varyColors val="0"/>
        <c:ser>
          <c:idx val="0"/>
          <c:order val="0"/>
          <c:tx>
            <c:strRef>
              <c:f>'Sensitivity analysis - HHD'!$M$443</c:f>
              <c:strCache>
                <c:ptCount val="1"/>
                <c:pt idx="0">
                  <c:v>Material use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'Sensitivity analysis - HHD'!$R$442:$T$442</c:f>
              <c:numCache>
                <c:formatCode>0%</c:formatCode>
                <c:ptCount val="3"/>
                <c:pt idx="0">
                  <c:v>0.8</c:v>
                </c:pt>
                <c:pt idx="1">
                  <c:v>1</c:v>
                </c:pt>
                <c:pt idx="2">
                  <c:v>1.2</c:v>
                </c:pt>
              </c:numCache>
            </c:numRef>
          </c:xVal>
          <c:yVal>
            <c:numRef>
              <c:f>'Sensitivity analysis - HHD'!$R$443:$T$443</c:f>
              <c:numCache>
                <c:formatCode>0.00E+00</c:formatCode>
                <c:ptCount val="3"/>
                <c:pt idx="0">
                  <c:v>-5.1860807233224679E-4</c:v>
                </c:pt>
                <c:pt idx="1">
                  <c:v>-5.0494298123702206E-4</c:v>
                </c:pt>
                <c:pt idx="2">
                  <c:v>-4.9127789014179711E-4</c:v>
                </c:pt>
              </c:numCache>
            </c:numRef>
          </c:yVal>
          <c:smooth val="0"/>
          <c:extLst>
            <c:ext xmlns:c16="http://schemas.microsoft.com/office/drawing/2014/chart" uri="{C3380CC4-5D6E-409C-BE32-E72D297353CC}">
              <c16:uniqueId val="{00000000-EB38-4FF9-AD1B-9848E876BDEE}"/>
            </c:ext>
          </c:extLst>
        </c:ser>
        <c:ser>
          <c:idx val="1"/>
          <c:order val="1"/>
          <c:tx>
            <c:strRef>
              <c:f>'Sensitivity analysis - HHD'!$M$444</c:f>
              <c:strCache>
                <c:ptCount val="1"/>
                <c:pt idx="0">
                  <c:v>Energy use</c:v>
                </c:pt>
              </c:strCache>
            </c:strRef>
          </c:tx>
          <c:spPr>
            <a:ln w="31750" cap="rnd">
              <a:solidFill>
                <a:schemeClr val="accent4"/>
              </a:solidFill>
              <a:round/>
            </a:ln>
            <a:effectLst/>
          </c:spPr>
          <c:marker>
            <c:symbol val="circle"/>
            <c:size val="5"/>
            <c:spPr>
              <a:solidFill>
                <a:schemeClr val="accent4"/>
              </a:solidFill>
              <a:ln w="9525">
                <a:solidFill>
                  <a:schemeClr val="accent4"/>
                </a:solidFill>
              </a:ln>
              <a:effectLst/>
            </c:spPr>
          </c:marker>
          <c:xVal>
            <c:numRef>
              <c:f>('Sensitivity analysis - HHD'!$Q$442,'Sensitivity analysis - HHD'!$S$442,'Sensitivity analysis - HHD'!$V$442,'Sensitivity analysis - HHD'!$W$442)</c:f>
              <c:numCache>
                <c:formatCode>0%</c:formatCode>
                <c:ptCount val="4"/>
                <c:pt idx="0">
                  <c:v>0.67</c:v>
                </c:pt>
                <c:pt idx="1">
                  <c:v>1</c:v>
                </c:pt>
                <c:pt idx="2">
                  <c:v>1.67</c:v>
                </c:pt>
                <c:pt idx="3">
                  <c:v>2</c:v>
                </c:pt>
              </c:numCache>
            </c:numRef>
          </c:xVal>
          <c:yVal>
            <c:numRef>
              <c:f>('Sensitivity analysis - HHD'!$Q$444,'Sensitivity analysis - HHD'!$S$444,'Sensitivity analysis - HHD'!$V$444,'Sensitivity analysis - HHD'!$W$444)</c:f>
              <c:numCache>
                <c:formatCode>0.00E+00</c:formatCode>
                <c:ptCount val="4"/>
                <c:pt idx="0">
                  <c:v>-6.0847681189484112E-4</c:v>
                </c:pt>
                <c:pt idx="1">
                  <c:v>-5.0494298123702206E-4</c:v>
                </c:pt>
                <c:pt idx="2">
                  <c:v>-2.9787531992138351E-4</c:v>
                </c:pt>
              </c:numCache>
            </c:numRef>
          </c:yVal>
          <c:smooth val="0"/>
          <c:extLst>
            <c:ext xmlns:c16="http://schemas.microsoft.com/office/drawing/2014/chart" uri="{C3380CC4-5D6E-409C-BE32-E72D297353CC}">
              <c16:uniqueId val="{00000001-EB38-4FF9-AD1B-9848E876BDEE}"/>
            </c:ext>
          </c:extLst>
        </c:ser>
        <c:ser>
          <c:idx val="2"/>
          <c:order val="2"/>
          <c:tx>
            <c:strRef>
              <c:f>'Sensitivity analysis - HHD'!$M$445</c:f>
              <c:strCache>
                <c:ptCount val="1"/>
                <c:pt idx="0">
                  <c:v>Lifetime DAC system</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'Sensitivity analysis - HHD'!$R$442:$S$442</c:f>
              <c:numCache>
                <c:formatCode>0%</c:formatCode>
                <c:ptCount val="2"/>
                <c:pt idx="0">
                  <c:v>0.8</c:v>
                </c:pt>
                <c:pt idx="1">
                  <c:v>1</c:v>
                </c:pt>
              </c:numCache>
            </c:numRef>
          </c:xVal>
          <c:yVal>
            <c:numRef>
              <c:f>'Sensitivity analysis - HHD'!$R$445:$S$445</c:f>
              <c:numCache>
                <c:formatCode>0.00E+00</c:formatCode>
                <c:ptCount val="2"/>
                <c:pt idx="0">
                  <c:v>-3.991787265462776E-4</c:v>
                </c:pt>
                <c:pt idx="1">
                  <c:v>-5.0494298123702195E-4</c:v>
                </c:pt>
              </c:numCache>
            </c:numRef>
          </c:yVal>
          <c:smooth val="0"/>
          <c:extLst>
            <c:ext xmlns:c16="http://schemas.microsoft.com/office/drawing/2014/chart" uri="{C3380CC4-5D6E-409C-BE32-E72D297353CC}">
              <c16:uniqueId val="{00000002-EB38-4FF9-AD1B-9848E876BDEE}"/>
            </c:ext>
          </c:extLst>
        </c:ser>
        <c:ser>
          <c:idx val="3"/>
          <c:order val="3"/>
          <c:tx>
            <c:strRef>
              <c:f>'Sensitivity analysis - HHD'!$M$446</c:f>
              <c:strCache>
                <c:ptCount val="1"/>
                <c:pt idx="0">
                  <c:v>Lifetime sorbent material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('Sensitivity analysis - HHD'!$O$442,'Sensitivity analysis - HHD'!$S$442,'Sensitivity analysis - HHD'!$V$442)</c:f>
              <c:numCache>
                <c:formatCode>0%</c:formatCode>
                <c:ptCount val="3"/>
                <c:pt idx="0">
                  <c:v>0.33</c:v>
                </c:pt>
                <c:pt idx="1">
                  <c:v>1</c:v>
                </c:pt>
                <c:pt idx="2">
                  <c:v>1.67</c:v>
                </c:pt>
              </c:numCache>
            </c:numRef>
          </c:xVal>
          <c:yVal>
            <c:numRef>
              <c:f>('Sensitivity analysis - HHD'!$O$446,'Sensitivity analysis - HHD'!$S$446,'Sensitivity analysis - HHD'!$V$446)</c:f>
              <c:numCache>
                <c:formatCode>0.00E+00</c:formatCode>
                <c:ptCount val="3"/>
                <c:pt idx="0">
                  <c:v>-4.9200098027144391E-4</c:v>
                </c:pt>
                <c:pt idx="1">
                  <c:v>-5.0494298123702195E-4</c:v>
                </c:pt>
                <c:pt idx="2">
                  <c:v>-5.0812018010413574E-4</c:v>
                </c:pt>
              </c:numCache>
            </c:numRef>
          </c:yVal>
          <c:smooth val="0"/>
          <c:extLst>
            <c:ext xmlns:c16="http://schemas.microsoft.com/office/drawing/2014/chart" uri="{C3380CC4-5D6E-409C-BE32-E72D297353CC}">
              <c16:uniqueId val="{00000003-EB38-4FF9-AD1B-9848E876BDEE}"/>
            </c:ext>
          </c:extLst>
        </c:ser>
        <c:ser>
          <c:idx val="4"/>
          <c:order val="4"/>
          <c:tx>
            <c:strRef>
              <c:f>'Sensitivity analysis - HHD'!$M$447</c:f>
              <c:strCache>
                <c:ptCount val="1"/>
                <c:pt idx="0">
                  <c:v>Capacity DAC unit</c:v>
                </c:pt>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numRef>
              <c:f>('Sensitivity analysis - HHD'!$P$442,'Sensitivity analysis - HHD'!$S$442,'Sensitivity analysis - HHD'!$U$442)</c:f>
              <c:numCache>
                <c:formatCode>0%</c:formatCode>
                <c:ptCount val="3"/>
                <c:pt idx="0">
                  <c:v>0.5</c:v>
                </c:pt>
                <c:pt idx="1">
                  <c:v>1</c:v>
                </c:pt>
                <c:pt idx="2">
                  <c:v>1.5</c:v>
                </c:pt>
              </c:numCache>
            </c:numRef>
          </c:xVal>
          <c:yVal>
            <c:numRef>
              <c:f>('Sensitivity analysis - HHD'!$P$447,'Sensitivity analysis - HHD'!$S$447,'Sensitivity analysis - HHD'!$U$447)</c:f>
              <c:numCache>
                <c:formatCode>0.00E+00</c:formatCode>
                <c:ptCount val="3"/>
                <c:pt idx="0">
                  <c:v>-8.1885962474044223E-5</c:v>
                </c:pt>
                <c:pt idx="1">
                  <c:v>-5.0494298123702195E-4</c:v>
                </c:pt>
                <c:pt idx="2">
                  <c:v>-6.4596198749134804E-4</c:v>
                </c:pt>
              </c:numCache>
            </c:numRef>
          </c:yVal>
          <c:smooth val="0"/>
          <c:extLst>
            <c:ext xmlns:c16="http://schemas.microsoft.com/office/drawing/2014/chart" uri="{C3380CC4-5D6E-409C-BE32-E72D297353CC}">
              <c16:uniqueId val="{00000004-EB38-4FF9-AD1B-9848E876BDEE}"/>
            </c:ext>
          </c:extLst>
        </c:ser>
        <c:ser>
          <c:idx val="6"/>
          <c:order val="5"/>
          <c:tx>
            <c:strRef>
              <c:f>'Sensitivity analysis - HHD'!$M$448</c:f>
              <c:strCache>
                <c:ptCount val="1"/>
                <c:pt idx="0">
                  <c:v>Sorbent type - amine on silica</c:v>
                </c:pt>
              </c:strCache>
            </c:strRef>
          </c:tx>
          <c:spPr>
            <a:ln w="19050" cap="rnd">
              <a:noFill/>
              <a:round/>
            </a:ln>
            <a:effectLst/>
          </c:spPr>
          <c:marker>
            <c:symbol val="square"/>
            <c:size val="5"/>
            <c:spPr>
              <a:solidFill>
                <a:srgbClr val="C00000"/>
              </a:solidFill>
              <a:ln w="9525">
                <a:solidFill>
                  <a:srgbClr val="C00000"/>
                </a:solidFill>
              </a:ln>
              <a:effectLst/>
            </c:spPr>
          </c:marker>
          <c:xVal>
            <c:numRef>
              <c:f>'Sensitivity analysis - HHD'!$S$442</c:f>
              <c:numCache>
                <c:formatCode>0%</c:formatCode>
                <c:ptCount val="1"/>
                <c:pt idx="0">
                  <c:v>1</c:v>
                </c:pt>
              </c:numCache>
            </c:numRef>
          </c:xVal>
          <c:yVal>
            <c:numRef>
              <c:f>'Sensitivity analysis - HHD'!$S$448</c:f>
              <c:numCache>
                <c:formatCode>0.00E+00</c:formatCode>
                <c:ptCount val="1"/>
                <c:pt idx="0">
                  <c:v>-4.9056459856105746E-4</c:v>
                </c:pt>
              </c:numCache>
            </c:numRef>
          </c:yVal>
          <c:smooth val="0"/>
          <c:extLst>
            <c:ext xmlns:c16="http://schemas.microsoft.com/office/drawing/2014/chart" uri="{C3380CC4-5D6E-409C-BE32-E72D297353CC}">
              <c16:uniqueId val="{00000006-EB38-4FF9-AD1B-9848E876BDEE}"/>
            </c:ext>
          </c:extLst>
        </c:ser>
        <c:dLbls>
          <c:showLegendKey val="0"/>
          <c:showVal val="0"/>
          <c:showCatName val="0"/>
          <c:showSerName val="0"/>
          <c:showPercent val="0"/>
          <c:showBubbleSize val="0"/>
        </c:dLbls>
        <c:axId val="894438607"/>
        <c:axId val="1119274239"/>
      </c:scatterChart>
      <c:valAx>
        <c:axId val="894438607"/>
        <c:scaling>
          <c:orientation val="minMax"/>
          <c:max val="2.5"/>
          <c:min val="0"/>
        </c:scaling>
        <c:delete val="0"/>
        <c:axPos val="b"/>
        <c:majorGridlines>
          <c:spPr>
            <a:ln w="9525" cap="flat" cmpd="sng" algn="ctr">
              <a:solidFill>
                <a:schemeClr val="tx1">
                  <a:lumMod val="50000"/>
                  <a:lumOff val="50000"/>
                </a:schemeClr>
              </a:solidFill>
              <a:round/>
            </a:ln>
            <a:effectLst/>
          </c:spPr>
        </c:majorGridlines>
        <c:numFmt formatCode="0%" sourceLinked="1"/>
        <c:majorTickMark val="none"/>
        <c:minorTickMark val="none"/>
        <c:tickLblPos val="high"/>
        <c:spPr>
          <a:noFill/>
          <a:ln w="190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1119274239"/>
        <c:crosses val="autoZero"/>
        <c:crossBetween val="midCat"/>
      </c:valAx>
      <c:valAx>
        <c:axId val="1119274239"/>
        <c:scaling>
          <c:orientation val="minMax"/>
        </c:scaling>
        <c:delete val="0"/>
        <c:axPos val="l"/>
        <c:majorGridlines>
          <c:spPr>
            <a:ln w="9525" cap="flat" cmpd="sng" algn="ctr">
              <a:solidFill>
                <a:schemeClr val="tx1">
                  <a:lumMod val="50000"/>
                  <a:lumOff val="50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r>
                  <a:rPr lang="nl-NL"/>
                  <a:t>Human health damage</a:t>
                </a:r>
              </a:p>
              <a:p>
                <a:pPr>
                  <a:defRPr/>
                </a:pPr>
                <a:r>
                  <a:rPr lang="nl-NL"/>
                  <a:t>[DALY/ton CO</a:t>
                </a:r>
                <a:r>
                  <a:rPr lang="nl-NL" baseline="-25000"/>
                  <a:t>2</a:t>
                </a:r>
                <a:r>
                  <a:rPr lang="nl-NL"/>
                  <a:t> captured and stored]</a:t>
                </a:r>
              </a:p>
            </c:rich>
          </c:tx>
          <c:layout>
            <c:manualLayout>
              <c:xMode val="edge"/>
              <c:yMode val="edge"/>
              <c:x val="7.1838411502909965E-3"/>
              <c:y val="0.1357018755756510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title>
        <c:numFmt formatCode="0.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894438607"/>
        <c:crosses val="autoZero"/>
        <c:crossBetween val="midCat"/>
      </c:valAx>
      <c:spPr>
        <a:noFill/>
        <a:ln w="19050">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printSettings>
    <c:headerFooter/>
    <c:pageMargins b="0.75" l="0.7" r="0.7" t="0.75" header="0.3" footer="0.3"/>
    <c:pageSetup/>
  </c:printSettings>
</c:chartSpace>
</file>

<file path=xl/charts/chart1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26879729621161"/>
          <c:y val="5.4106329588493672E-2"/>
          <c:w val="0.87797394606685986"/>
          <c:h val="0.75500483548693564"/>
        </c:manualLayout>
      </c:layout>
      <c:barChart>
        <c:barDir val="col"/>
        <c:grouping val="stacked"/>
        <c:varyColors val="0"/>
        <c:ser>
          <c:idx val="0"/>
          <c:order val="0"/>
          <c:tx>
            <c:strRef>
              <c:f>'Results ReCiPe (I) - ESD'!$AB$274</c:f>
              <c:strCache>
                <c:ptCount val="1"/>
                <c:pt idx="0">
                  <c:v>Construction - DAC</c:v>
                </c:pt>
              </c:strCache>
            </c:strRef>
          </c:tx>
          <c:spPr>
            <a:solidFill>
              <a:schemeClr val="accent4">
                <a:lumMod val="75000"/>
              </a:schemeClr>
            </a:solidFill>
            <a:ln>
              <a:noFill/>
            </a:ln>
            <a:effectLst/>
          </c:spPr>
          <c:invertIfNegative val="0"/>
          <c:cat>
            <c:numRef>
              <c:f>'Results ReCiPe (I) - ESD'!$AC$273:$BA$273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ESD'!$AC$274:$BA$274</c:f>
              <c:numCache>
                <c:formatCode>0.00E+00</c:formatCode>
                <c:ptCount val="25"/>
                <c:pt idx="0">
                  <c:v>1.018863603566551E-4</c:v>
                </c:pt>
              </c:numCache>
            </c:numRef>
          </c:val>
          <c:extLst>
            <c:ext xmlns:c16="http://schemas.microsoft.com/office/drawing/2014/chart" uri="{C3380CC4-5D6E-409C-BE32-E72D297353CC}">
              <c16:uniqueId val="{00000000-14CB-4B77-A579-276F2A7E6C67}"/>
            </c:ext>
          </c:extLst>
        </c:ser>
        <c:ser>
          <c:idx val="1"/>
          <c:order val="1"/>
          <c:tx>
            <c:strRef>
              <c:f>'Results ReCiPe (I) - ESD'!$AB$275</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(I) - ESD'!$AC$273:$BA$273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ESD'!$AC$275:$BA$275</c:f>
              <c:numCache>
                <c:formatCode>0.00E+00</c:formatCode>
                <c:ptCount val="25"/>
                <c:pt idx="0">
                  <c:v>2.7910868300376474E-6</c:v>
                </c:pt>
              </c:numCache>
            </c:numRef>
          </c:val>
          <c:extLst>
            <c:ext xmlns:c16="http://schemas.microsoft.com/office/drawing/2014/chart" uri="{C3380CC4-5D6E-409C-BE32-E72D297353CC}">
              <c16:uniqueId val="{00000001-14CB-4B77-A579-276F2A7E6C67}"/>
            </c:ext>
          </c:extLst>
        </c:ser>
        <c:ser>
          <c:idx val="2"/>
          <c:order val="2"/>
          <c:tx>
            <c:strRef>
              <c:f>'Results ReCiPe (I) - ESD'!$AB$276</c:f>
              <c:strCache>
                <c:ptCount val="1"/>
                <c:pt idx="0">
                  <c:v>Deconstruction - DAC</c:v>
                </c:pt>
              </c:strCache>
            </c:strRef>
          </c:tx>
          <c:spPr>
            <a:solidFill>
              <a:schemeClr val="accent2">
                <a:lumMod val="40000"/>
                <a:lumOff val="60000"/>
              </a:schemeClr>
            </a:solidFill>
            <a:ln>
              <a:noFill/>
            </a:ln>
            <a:effectLst/>
          </c:spPr>
          <c:invertIfNegative val="0"/>
          <c:cat>
            <c:numRef>
              <c:f>'Results ReCiPe (I) - ESD'!$AC$273:$BA$273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ESD'!$AC$276:$BA$276</c:f>
              <c:numCache>
                <c:formatCode>0.00E+00</c:formatCode>
                <c:ptCount val="25"/>
                <c:pt idx="24">
                  <c:v>1.2388121871278886E-6</c:v>
                </c:pt>
              </c:numCache>
            </c:numRef>
          </c:val>
          <c:extLst>
            <c:ext xmlns:c16="http://schemas.microsoft.com/office/drawing/2014/chart" uri="{C3380CC4-5D6E-409C-BE32-E72D297353CC}">
              <c16:uniqueId val="{00000002-14CB-4B77-A579-276F2A7E6C67}"/>
            </c:ext>
          </c:extLst>
        </c:ser>
        <c:ser>
          <c:idx val="3"/>
          <c:order val="3"/>
          <c:tx>
            <c:strRef>
              <c:f>'Results ReCiPe (I) - ESD'!$AB$277</c:f>
              <c:strCache>
                <c:ptCount val="1"/>
                <c:pt idx="0">
                  <c:v>Deconstruction - geological storage</c:v>
                </c:pt>
              </c:strCache>
            </c:strRef>
          </c:tx>
          <c:spPr>
            <a:solidFill>
              <a:srgbClr val="FF9900"/>
            </a:solidFill>
            <a:ln>
              <a:noFill/>
            </a:ln>
            <a:effectLst/>
          </c:spPr>
          <c:invertIfNegative val="0"/>
          <c:cat>
            <c:numRef>
              <c:f>'Results ReCiPe (I) - ESD'!$AC$273:$BA$273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ESD'!$AC$277:$BA$277</c:f>
              <c:numCache>
                <c:formatCode>0.00E+00</c:formatCode>
                <c:ptCount val="25"/>
                <c:pt idx="24">
                  <c:v>1.9497943060051223E-8</c:v>
                </c:pt>
              </c:numCache>
            </c:numRef>
          </c:val>
          <c:extLst>
            <c:ext xmlns:c16="http://schemas.microsoft.com/office/drawing/2014/chart" uri="{C3380CC4-5D6E-409C-BE32-E72D297353CC}">
              <c16:uniqueId val="{00000003-14CB-4B77-A579-276F2A7E6C67}"/>
            </c:ext>
          </c:extLst>
        </c:ser>
        <c:ser>
          <c:idx val="4"/>
          <c:order val="4"/>
          <c:tx>
            <c:strRef>
              <c:f>'Results ReCiPe (I) - ESD'!$AB$278</c:f>
              <c:strCache>
                <c:ptCount val="1"/>
                <c:pt idx="0">
                  <c:v>Sorbent material</c:v>
                </c:pt>
              </c:strCache>
            </c:strRef>
          </c:tx>
          <c:spPr>
            <a:solidFill>
              <a:srgbClr val="FF8F8F"/>
            </a:solidFill>
            <a:ln>
              <a:noFill/>
            </a:ln>
            <a:effectLst/>
          </c:spPr>
          <c:invertIfNegative val="0"/>
          <c:cat>
            <c:numRef>
              <c:f>'Results ReCiPe (I) - ESD'!$AC$273:$BA$273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ESD'!$AC$278:$BA$278</c:f>
              <c:numCache>
                <c:formatCode>0.00E+00</c:formatCode>
                <c:ptCount val="25"/>
                <c:pt idx="0">
                  <c:v>1.8923827854892541E-6</c:v>
                </c:pt>
                <c:pt idx="3">
                  <c:v>1.875504080673279E-6</c:v>
                </c:pt>
                <c:pt idx="6">
                  <c:v>1.8735069041771709E-6</c:v>
                </c:pt>
                <c:pt idx="9">
                  <c:v>1.879003812114612E-6</c:v>
                </c:pt>
                <c:pt idx="12">
                  <c:v>1.8953729876566431E-6</c:v>
                </c:pt>
                <c:pt idx="15">
                  <c:v>1.91292243317761E-6</c:v>
                </c:pt>
                <c:pt idx="18">
                  <c:v>1.8919742403575121E-6</c:v>
                </c:pt>
                <c:pt idx="21">
                  <c:v>1.884095534967196E-6</c:v>
                </c:pt>
                <c:pt idx="24">
                  <c:v>1.8435821555876251E-6</c:v>
                </c:pt>
              </c:numCache>
            </c:numRef>
          </c:val>
          <c:extLst>
            <c:ext xmlns:c16="http://schemas.microsoft.com/office/drawing/2014/chart" uri="{C3380CC4-5D6E-409C-BE32-E72D297353CC}">
              <c16:uniqueId val="{00000004-14CB-4B77-A579-276F2A7E6C67}"/>
            </c:ext>
          </c:extLst>
        </c:ser>
        <c:ser>
          <c:idx val="5"/>
          <c:order val="5"/>
          <c:tx>
            <c:strRef>
              <c:f>'Results ReCiPe (I) - ESD'!$AB$279</c:f>
              <c:strCache>
                <c:ptCount val="1"/>
                <c:pt idx="0">
                  <c:v>Battery</c:v>
                </c:pt>
              </c:strCache>
            </c:strRef>
          </c:tx>
          <c:spPr>
            <a:solidFill>
              <a:schemeClr val="accent6">
                <a:lumMod val="50000"/>
              </a:schemeClr>
            </a:solidFill>
            <a:ln>
              <a:noFill/>
            </a:ln>
            <a:effectLst/>
          </c:spPr>
          <c:invertIfNegative val="0"/>
          <c:cat>
            <c:numRef>
              <c:f>'Results ReCiPe (I) - ESD'!$AC$273:$BA$273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ESD'!$AC$279:$BA$279</c:f>
              <c:numCache>
                <c:formatCode>0.00E+00</c:formatCode>
                <c:ptCount val="25"/>
                <c:pt idx="0">
                  <c:v>2.9130575105488189E-5</c:v>
                </c:pt>
                <c:pt idx="1">
                  <c:v>2.9130575105488189E-5</c:v>
                </c:pt>
                <c:pt idx="2">
                  <c:v>2.9130575105488189E-5</c:v>
                </c:pt>
                <c:pt idx="3">
                  <c:v>2.9130575105488189E-5</c:v>
                </c:pt>
                <c:pt idx="4">
                  <c:v>2.9130575105488189E-5</c:v>
                </c:pt>
                <c:pt idx="5">
                  <c:v>2.9130575105488189E-5</c:v>
                </c:pt>
                <c:pt idx="6">
                  <c:v>2.9130575105488189E-5</c:v>
                </c:pt>
                <c:pt idx="7">
                  <c:v>2.9130575105488189E-5</c:v>
                </c:pt>
                <c:pt idx="8">
                  <c:v>2.9130575105488189E-5</c:v>
                </c:pt>
                <c:pt idx="9">
                  <c:v>2.9130575105488189E-5</c:v>
                </c:pt>
                <c:pt idx="10">
                  <c:v>2.9130575105488189E-5</c:v>
                </c:pt>
                <c:pt idx="11">
                  <c:v>2.9130575105488189E-5</c:v>
                </c:pt>
                <c:pt idx="12">
                  <c:v>2.9130575105488189E-5</c:v>
                </c:pt>
                <c:pt idx="13">
                  <c:v>2.9130575105488189E-5</c:v>
                </c:pt>
                <c:pt idx="14">
                  <c:v>2.9130575105488189E-5</c:v>
                </c:pt>
                <c:pt idx="15">
                  <c:v>2.9130575105488189E-5</c:v>
                </c:pt>
                <c:pt idx="16">
                  <c:v>2.9130575105488189E-5</c:v>
                </c:pt>
                <c:pt idx="17">
                  <c:v>2.9130575105488189E-5</c:v>
                </c:pt>
                <c:pt idx="18">
                  <c:v>2.9130575105488189E-5</c:v>
                </c:pt>
                <c:pt idx="19">
                  <c:v>2.9130575105488189E-5</c:v>
                </c:pt>
                <c:pt idx="20">
                  <c:v>2.9130575105488189E-5</c:v>
                </c:pt>
                <c:pt idx="21">
                  <c:v>2.9130575105488189E-5</c:v>
                </c:pt>
                <c:pt idx="22">
                  <c:v>2.9130575105488189E-5</c:v>
                </c:pt>
                <c:pt idx="23">
                  <c:v>2.9130575105488189E-5</c:v>
                </c:pt>
                <c:pt idx="24">
                  <c:v>2.9130575105488189E-5</c:v>
                </c:pt>
              </c:numCache>
            </c:numRef>
          </c:val>
          <c:extLst>
            <c:ext xmlns:c16="http://schemas.microsoft.com/office/drawing/2014/chart" uri="{C3380CC4-5D6E-409C-BE32-E72D297353CC}">
              <c16:uniqueId val="{00000005-14CB-4B77-A579-276F2A7E6C67}"/>
            </c:ext>
          </c:extLst>
        </c:ser>
        <c:ser>
          <c:idx val="6"/>
          <c:order val="6"/>
          <c:tx>
            <c:strRef>
              <c:f>'Results ReCiPe (I) - ESD'!$AB$280</c:f>
              <c:strCache>
                <c:ptCount val="1"/>
                <c:pt idx="0">
                  <c:v>Operation - DAC</c:v>
                </c:pt>
              </c:strCache>
            </c:strRef>
          </c:tx>
          <c:spPr>
            <a:solidFill>
              <a:schemeClr val="accent2">
                <a:lumMod val="75000"/>
              </a:schemeClr>
            </a:solidFill>
            <a:ln>
              <a:noFill/>
            </a:ln>
            <a:effectLst/>
          </c:spPr>
          <c:invertIfNegative val="0"/>
          <c:cat>
            <c:numRef>
              <c:f>'Results ReCiPe (I) - ESD'!$AC$273:$BA$273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ESD'!$AC$280:$BA$280</c:f>
              <c:numCache>
                <c:formatCode>0.00E+00</c:formatCode>
                <c:ptCount val="25"/>
                <c:pt idx="0">
                  <c:v>2.0906229052966535E-5</c:v>
                </c:pt>
                <c:pt idx="1">
                  <c:v>2.0891215398462623E-5</c:v>
                </c:pt>
                <c:pt idx="2">
                  <c:v>2.0876487215873431E-5</c:v>
                </c:pt>
                <c:pt idx="3">
                  <c:v>2.0818494228790935E-5</c:v>
                </c:pt>
                <c:pt idx="4">
                  <c:v>2.0804231787050476E-5</c:v>
                </c:pt>
                <c:pt idx="5">
                  <c:v>2.0790146450264028E-5</c:v>
                </c:pt>
                <c:pt idx="6">
                  <c:v>2.0792016491816549E-5</c:v>
                </c:pt>
                <c:pt idx="7">
                  <c:v>2.0794966868218593E-5</c:v>
                </c:pt>
                <c:pt idx="8">
                  <c:v>2.0773370067869871E-5</c:v>
                </c:pt>
                <c:pt idx="9">
                  <c:v>2.07778307311278E-5</c:v>
                </c:pt>
                <c:pt idx="10">
                  <c:v>2.0782946431924529E-5</c:v>
                </c:pt>
                <c:pt idx="11">
                  <c:v>2.0805042328118442E-5</c:v>
                </c:pt>
                <c:pt idx="12">
                  <c:v>2.0827560320117486E-5</c:v>
                </c:pt>
                <c:pt idx="13">
                  <c:v>2.0843955367711764E-5</c:v>
                </c:pt>
                <c:pt idx="14">
                  <c:v>2.0867608624080745E-5</c:v>
                </c:pt>
                <c:pt idx="15">
                  <c:v>2.089244749553118E-5</c:v>
                </c:pt>
                <c:pt idx="16">
                  <c:v>2.0873178745793691E-5</c:v>
                </c:pt>
                <c:pt idx="17">
                  <c:v>2.0852973005624981E-5</c:v>
                </c:pt>
                <c:pt idx="18">
                  <c:v>2.0823459388102608E-5</c:v>
                </c:pt>
                <c:pt idx="19">
                  <c:v>2.0801643390384639E-5</c:v>
                </c:pt>
                <c:pt idx="20">
                  <c:v>2.077915358664286E-5</c:v>
                </c:pt>
                <c:pt idx="21">
                  <c:v>2.0891799826165711E-5</c:v>
                </c:pt>
                <c:pt idx="22">
                  <c:v>2.0842998551455408E-5</c:v>
                </c:pt>
                <c:pt idx="23">
                  <c:v>2.0793473749786517E-5</c:v>
                </c:pt>
                <c:pt idx="24">
                  <c:v>2.0743227740741092E-5</c:v>
                </c:pt>
              </c:numCache>
            </c:numRef>
          </c:val>
          <c:extLst>
            <c:ext xmlns:c16="http://schemas.microsoft.com/office/drawing/2014/chart" uri="{C3380CC4-5D6E-409C-BE32-E72D297353CC}">
              <c16:uniqueId val="{00000006-14CB-4B77-A579-276F2A7E6C67}"/>
            </c:ext>
          </c:extLst>
        </c:ser>
        <c:ser>
          <c:idx val="7"/>
          <c:order val="7"/>
          <c:tx>
            <c:strRef>
              <c:f>'Results ReCiPe (I) - ESD'!$AB$281</c:f>
              <c:strCache>
                <c:ptCount val="1"/>
                <c:pt idx="0">
                  <c:v>Operation - geological storage</c:v>
                </c:pt>
              </c:strCache>
            </c:strRef>
          </c:tx>
          <c:spPr>
            <a:solidFill>
              <a:schemeClr val="accent2">
                <a:lumMod val="50000"/>
              </a:schemeClr>
            </a:solidFill>
            <a:ln>
              <a:noFill/>
            </a:ln>
            <a:effectLst/>
          </c:spPr>
          <c:invertIfNegative val="0"/>
          <c:cat>
            <c:numRef>
              <c:f>'Results ReCiPe (I) - ESD'!$AC$273:$BA$273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ESD'!$AC$281:$BA$281</c:f>
              <c:numCache>
                <c:formatCode>0.00E+00</c:formatCode>
                <c:ptCount val="25"/>
                <c:pt idx="0">
                  <c:v>3.5209824981427844E-6</c:v>
                </c:pt>
                <c:pt idx="1">
                  <c:v>3.4961386651340047E-6</c:v>
                </c:pt>
                <c:pt idx="2">
                  <c:v>3.4712778716291841E-6</c:v>
                </c:pt>
                <c:pt idx="3">
                  <c:v>3.444203366729924E-6</c:v>
                </c:pt>
                <c:pt idx="4">
                  <c:v>3.4192257737182937E-6</c:v>
                </c:pt>
                <c:pt idx="5">
                  <c:v>3.3942274583702295E-6</c:v>
                </c:pt>
                <c:pt idx="6">
                  <c:v>3.5837531305466881E-6</c:v>
                </c:pt>
                <c:pt idx="7">
                  <c:v>3.7725738682693804E-6</c:v>
                </c:pt>
                <c:pt idx="8">
                  <c:v>3.9592736574514813E-6</c:v>
                </c:pt>
                <c:pt idx="9">
                  <c:v>4.1469255506252092E-6</c:v>
                </c:pt>
                <c:pt idx="10">
                  <c:v>4.3339072074058208E-6</c:v>
                </c:pt>
                <c:pt idx="11">
                  <c:v>4.7160157638259426E-6</c:v>
                </c:pt>
                <c:pt idx="12">
                  <c:v>5.0989329674533653E-6</c:v>
                </c:pt>
                <c:pt idx="13">
                  <c:v>5.482439314121785E-6</c:v>
                </c:pt>
                <c:pt idx="14">
                  <c:v>5.8673559700819395E-6</c:v>
                </c:pt>
                <c:pt idx="15">
                  <c:v>6.2534552573479596E-6</c:v>
                </c:pt>
                <c:pt idx="16">
                  <c:v>6.2639806935579506E-6</c:v>
                </c:pt>
                <c:pt idx="17">
                  <c:v>6.2754394603096097E-6</c:v>
                </c:pt>
                <c:pt idx="18">
                  <c:v>6.2873190421977544E-6</c:v>
                </c:pt>
                <c:pt idx="19">
                  <c:v>6.3003358582758904E-6</c:v>
                </c:pt>
                <c:pt idx="20">
                  <c:v>6.3139940529455853E-6</c:v>
                </c:pt>
                <c:pt idx="21">
                  <c:v>6.2260458017594699E-6</c:v>
                </c:pt>
                <c:pt idx="22">
                  <c:v>6.0326729859895755E-6</c:v>
                </c:pt>
                <c:pt idx="23">
                  <c:v>5.8393467549674397E-6</c:v>
                </c:pt>
                <c:pt idx="24">
                  <c:v>5.6460643666559505E-6</c:v>
                </c:pt>
              </c:numCache>
            </c:numRef>
          </c:val>
          <c:extLst>
            <c:ext xmlns:c16="http://schemas.microsoft.com/office/drawing/2014/chart" uri="{C3380CC4-5D6E-409C-BE32-E72D297353CC}">
              <c16:uniqueId val="{00000007-14CB-4B77-A579-276F2A7E6C67}"/>
            </c:ext>
          </c:extLst>
        </c:ser>
        <c:ser>
          <c:idx val="8"/>
          <c:order val="8"/>
          <c:tx>
            <c:strRef>
              <c:f>'Results ReCiPe (I) - ESD'!$AB$282</c:f>
              <c:strCache>
                <c:ptCount val="1"/>
                <c:pt idx="0">
                  <c:v>CO2 captured and stored</c:v>
                </c:pt>
              </c:strCache>
            </c:strRef>
          </c:tx>
          <c:spPr>
            <a:solidFill>
              <a:schemeClr val="tx2">
                <a:lumMod val="20000"/>
                <a:lumOff val="80000"/>
              </a:schemeClr>
            </a:solidFill>
            <a:ln>
              <a:noFill/>
            </a:ln>
            <a:effectLst/>
          </c:spPr>
          <c:invertIfNegative val="0"/>
          <c:cat>
            <c:numRef>
              <c:f>'Results ReCiPe (I) - ESD'!$AC$273:$BA$273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ESD'!$AC$282:$BA$282</c:f>
              <c:numCache>
                <c:formatCode>0.00E+00</c:formatCode>
                <c:ptCount val="25"/>
                <c:pt idx="0">
                  <c:v>-2.6600725000000003E-5</c:v>
                </c:pt>
                <c:pt idx="1">
                  <c:v>-2.6600725000000003E-5</c:v>
                </c:pt>
                <c:pt idx="2">
                  <c:v>-2.6600725000000003E-5</c:v>
                </c:pt>
                <c:pt idx="3">
                  <c:v>-2.6600725000000003E-5</c:v>
                </c:pt>
                <c:pt idx="4">
                  <c:v>-2.6600725000000003E-5</c:v>
                </c:pt>
                <c:pt idx="5">
                  <c:v>-2.6600725000000003E-5</c:v>
                </c:pt>
                <c:pt idx="6">
                  <c:v>-2.6600725000000003E-5</c:v>
                </c:pt>
                <c:pt idx="7">
                  <c:v>-2.6600725000000003E-5</c:v>
                </c:pt>
                <c:pt idx="8">
                  <c:v>-2.6600725000000003E-5</c:v>
                </c:pt>
                <c:pt idx="9">
                  <c:v>-2.6600725000000003E-5</c:v>
                </c:pt>
                <c:pt idx="10">
                  <c:v>-2.6600725000000003E-5</c:v>
                </c:pt>
                <c:pt idx="11">
                  <c:v>-2.6600725000000003E-5</c:v>
                </c:pt>
                <c:pt idx="12">
                  <c:v>-2.6600725000000003E-5</c:v>
                </c:pt>
                <c:pt idx="13">
                  <c:v>-2.6600725000000003E-5</c:v>
                </c:pt>
                <c:pt idx="14">
                  <c:v>-2.6600725000000003E-5</c:v>
                </c:pt>
                <c:pt idx="15">
                  <c:v>-2.6600725000000003E-5</c:v>
                </c:pt>
                <c:pt idx="16">
                  <c:v>-2.6600725000000003E-5</c:v>
                </c:pt>
                <c:pt idx="17">
                  <c:v>-2.6600725000000003E-5</c:v>
                </c:pt>
                <c:pt idx="18">
                  <c:v>-2.6600725000000003E-5</c:v>
                </c:pt>
                <c:pt idx="19">
                  <c:v>-2.6600725000000003E-5</c:v>
                </c:pt>
                <c:pt idx="20">
                  <c:v>-2.6600725000000003E-5</c:v>
                </c:pt>
                <c:pt idx="21">
                  <c:v>-2.6600725000000003E-5</c:v>
                </c:pt>
                <c:pt idx="22">
                  <c:v>-2.6600725000000003E-5</c:v>
                </c:pt>
                <c:pt idx="23">
                  <c:v>-2.6600725000000003E-5</c:v>
                </c:pt>
                <c:pt idx="24">
                  <c:v>-2.6600725000000003E-5</c:v>
                </c:pt>
              </c:numCache>
            </c:numRef>
          </c:val>
          <c:extLst>
            <c:ext xmlns:c16="http://schemas.microsoft.com/office/drawing/2014/chart" uri="{C3380CC4-5D6E-409C-BE32-E72D297353CC}">
              <c16:uniqueId val="{00000008-14CB-4B77-A579-276F2A7E6C67}"/>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(I) - ESD'!$AB$283</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cat>
            <c:numRef>
              <c:f>'Results ReCiPe (I) - ESD'!$AC$273:$BA$273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ESD'!$AC$283:$BA$283</c:f>
              <c:numCache>
                <c:formatCode>0.00E+00</c:formatCode>
                <c:ptCount val="25"/>
                <c:pt idx="0">
                  <c:v>1.3352689162877951E-4</c:v>
                </c:pt>
                <c:pt idx="1">
                  <c:v>2.6917204169084813E-5</c:v>
                </c:pt>
                <c:pt idx="2">
                  <c:v>2.6877615192990805E-5</c:v>
                </c:pt>
                <c:pt idx="3">
                  <c:v>2.8668051781682323E-5</c:v>
                </c:pt>
                <c:pt idx="4">
                  <c:v>2.6753307666256956E-5</c:v>
                </c:pt>
                <c:pt idx="5">
                  <c:v>2.6714224014122443E-5</c:v>
                </c:pt>
                <c:pt idx="6">
                  <c:v>2.8779126632028587E-5</c:v>
                </c:pt>
                <c:pt idx="7">
                  <c:v>2.7097390841976159E-5</c:v>
                </c:pt>
                <c:pt idx="8">
                  <c:v>2.7262493830809545E-5</c:v>
                </c:pt>
                <c:pt idx="9">
                  <c:v>2.9333610199355801E-5</c:v>
                </c:pt>
                <c:pt idx="10">
                  <c:v>2.7646703744818533E-5</c:v>
                </c:pt>
                <c:pt idx="11">
                  <c:v>2.805090819743257E-5</c:v>
                </c:pt>
                <c:pt idx="12">
                  <c:v>3.0351716380715678E-5</c:v>
                </c:pt>
                <c:pt idx="13">
                  <c:v>2.8856244787321733E-5</c:v>
                </c:pt>
                <c:pt idx="14">
                  <c:v>2.9264814699650868E-5</c:v>
                </c:pt>
                <c:pt idx="15">
                  <c:v>3.1588675291544942E-5</c:v>
                </c:pt>
                <c:pt idx="16">
                  <c:v>2.9667009544839829E-5</c:v>
                </c:pt>
                <c:pt idx="17">
                  <c:v>2.9658262571422778E-5</c:v>
                </c:pt>
                <c:pt idx="18">
                  <c:v>3.1532602776146063E-5</c:v>
                </c:pt>
                <c:pt idx="19">
                  <c:v>2.963182935414871E-5</c:v>
                </c:pt>
                <c:pt idx="20">
                  <c:v>2.9622997745076634E-5</c:v>
                </c:pt>
                <c:pt idx="21">
                  <c:v>3.1531791268380564E-5</c:v>
                </c:pt>
                <c:pt idx="22">
                  <c:v>2.9405521642933165E-5</c:v>
                </c:pt>
                <c:pt idx="23">
                  <c:v>2.9162670610242142E-5</c:v>
                </c:pt>
                <c:pt idx="24">
                  <c:v>3.2021034498660788E-5</c:v>
                </c:pt>
              </c:numCache>
            </c:numRef>
          </c:val>
          <c:smooth val="0"/>
          <c:extLst>
            <c:ext xmlns:c16="http://schemas.microsoft.com/office/drawing/2014/chart" uri="{C3380CC4-5D6E-409C-BE32-E72D297353CC}">
              <c16:uniqueId val="{00000009-14CB-4B77-A579-276F2A7E6C67}"/>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Ecosystem damage</a:t>
                </a:r>
              </a:p>
              <a:p>
                <a:pPr algn="ctr" rtl="0">
                  <a:defRPr/>
                </a:pPr>
                <a:r>
                  <a:rPr lang="nl-NL"/>
                  <a:t>[PDF*yr/ton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(I) - ESD'!$AB$334</c:f>
              <c:strCache>
                <c:ptCount val="1"/>
                <c:pt idx="0">
                  <c:v>Construction - DAC</c:v>
                </c:pt>
              </c:strCache>
            </c:strRef>
          </c:tx>
          <c:spPr>
            <a:solidFill>
              <a:schemeClr val="accent4">
                <a:lumMod val="75000"/>
              </a:schemeClr>
            </a:solidFill>
            <a:ln>
              <a:noFill/>
            </a:ln>
            <a:effectLst/>
          </c:spPr>
          <c:invertIfNegative val="0"/>
          <c:cat>
            <c:numRef>
              <c:f>'Results ReCiPe (I) - ESD'!$AC$333:$BA$333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ESD'!$AC$334:$BA$334</c:f>
              <c:numCache>
                <c:formatCode>0.00E+00</c:formatCode>
                <c:ptCount val="25"/>
                <c:pt idx="0">
                  <c:v>9.6835990969934167E-5</c:v>
                </c:pt>
              </c:numCache>
            </c:numRef>
          </c:val>
          <c:extLst>
            <c:ext xmlns:c16="http://schemas.microsoft.com/office/drawing/2014/chart" uri="{C3380CC4-5D6E-409C-BE32-E72D297353CC}">
              <c16:uniqueId val="{00000000-0AEA-451E-8764-773A004E48E9}"/>
            </c:ext>
          </c:extLst>
        </c:ser>
        <c:ser>
          <c:idx val="1"/>
          <c:order val="1"/>
          <c:tx>
            <c:strRef>
              <c:f>'Results ReCiPe (I) - ESD'!$AB$335</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(I) - ESD'!$AC$333:$BA$333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ESD'!$AC$335:$BA$335</c:f>
              <c:numCache>
                <c:formatCode>0.00E+00</c:formatCode>
                <c:ptCount val="25"/>
                <c:pt idx="0">
                  <c:v>2.6683008553381489E-6</c:v>
                </c:pt>
              </c:numCache>
            </c:numRef>
          </c:val>
          <c:extLst>
            <c:ext xmlns:c16="http://schemas.microsoft.com/office/drawing/2014/chart" uri="{C3380CC4-5D6E-409C-BE32-E72D297353CC}">
              <c16:uniqueId val="{00000001-0AEA-451E-8764-773A004E48E9}"/>
            </c:ext>
          </c:extLst>
        </c:ser>
        <c:ser>
          <c:idx val="2"/>
          <c:order val="2"/>
          <c:tx>
            <c:strRef>
              <c:f>'Results ReCiPe (I) - ESD'!$AB$336</c:f>
              <c:strCache>
                <c:ptCount val="1"/>
                <c:pt idx="0">
                  <c:v>Deconstruction - DAC</c:v>
                </c:pt>
              </c:strCache>
            </c:strRef>
          </c:tx>
          <c:spPr>
            <a:solidFill>
              <a:schemeClr val="accent2">
                <a:lumMod val="40000"/>
                <a:lumOff val="60000"/>
              </a:schemeClr>
            </a:solidFill>
            <a:ln>
              <a:noFill/>
            </a:ln>
            <a:effectLst/>
          </c:spPr>
          <c:invertIfNegative val="0"/>
          <c:cat>
            <c:numRef>
              <c:f>'Results ReCiPe (I) - ESD'!$AC$333:$BA$333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ESD'!$AC$336:$BA$336</c:f>
              <c:numCache>
                <c:formatCode>0.00E+00</c:formatCode>
                <c:ptCount val="25"/>
                <c:pt idx="24">
                  <c:v>1.2390051343368202E-6</c:v>
                </c:pt>
              </c:numCache>
            </c:numRef>
          </c:val>
          <c:extLst>
            <c:ext xmlns:c16="http://schemas.microsoft.com/office/drawing/2014/chart" uri="{C3380CC4-5D6E-409C-BE32-E72D297353CC}">
              <c16:uniqueId val="{00000002-0AEA-451E-8764-773A004E48E9}"/>
            </c:ext>
          </c:extLst>
        </c:ser>
        <c:ser>
          <c:idx val="3"/>
          <c:order val="3"/>
          <c:tx>
            <c:strRef>
              <c:f>'Results ReCiPe (I) - ESD'!$AB$337</c:f>
              <c:strCache>
                <c:ptCount val="1"/>
                <c:pt idx="0">
                  <c:v>Deconstruction - geological storage</c:v>
                </c:pt>
              </c:strCache>
            </c:strRef>
          </c:tx>
          <c:spPr>
            <a:solidFill>
              <a:srgbClr val="FF9900"/>
            </a:solidFill>
            <a:ln>
              <a:noFill/>
            </a:ln>
            <a:effectLst/>
          </c:spPr>
          <c:invertIfNegative val="0"/>
          <c:cat>
            <c:numRef>
              <c:f>'Results ReCiPe (I) - ESD'!$AC$333:$BA$333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ESD'!$AC$337:$BA$337</c:f>
              <c:numCache>
                <c:formatCode>0.00E+00</c:formatCode>
                <c:ptCount val="25"/>
                <c:pt idx="24">
                  <c:v>1.9486783533087439E-8</c:v>
                </c:pt>
              </c:numCache>
            </c:numRef>
          </c:val>
          <c:extLst>
            <c:ext xmlns:c16="http://schemas.microsoft.com/office/drawing/2014/chart" uri="{C3380CC4-5D6E-409C-BE32-E72D297353CC}">
              <c16:uniqueId val="{00000003-0AEA-451E-8764-773A004E48E9}"/>
            </c:ext>
          </c:extLst>
        </c:ser>
        <c:ser>
          <c:idx val="4"/>
          <c:order val="4"/>
          <c:tx>
            <c:strRef>
              <c:f>'Results ReCiPe (I) - ESD'!$AB$338</c:f>
              <c:strCache>
                <c:ptCount val="1"/>
                <c:pt idx="0">
                  <c:v>Sorbent material</c:v>
                </c:pt>
              </c:strCache>
            </c:strRef>
          </c:tx>
          <c:spPr>
            <a:solidFill>
              <a:srgbClr val="FF8F8F"/>
            </a:solidFill>
            <a:ln>
              <a:noFill/>
            </a:ln>
            <a:effectLst/>
          </c:spPr>
          <c:invertIfNegative val="0"/>
          <c:cat>
            <c:numRef>
              <c:f>'Results ReCiPe (I) - ESD'!$AC$333:$BA$333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ESD'!$AC$338:$BA$338</c:f>
              <c:numCache>
                <c:formatCode>0.00E+00</c:formatCode>
                <c:ptCount val="25"/>
                <c:pt idx="0">
                  <c:v>1.8258940739667011E-6</c:v>
                </c:pt>
                <c:pt idx="3">
                  <c:v>1.767125439800878E-6</c:v>
                </c:pt>
                <c:pt idx="6">
                  <c:v>1.715497990639842E-6</c:v>
                </c:pt>
                <c:pt idx="9">
                  <c:v>1.657874882943543E-6</c:v>
                </c:pt>
                <c:pt idx="12">
                  <c:v>1.5963755513726221E-6</c:v>
                </c:pt>
                <c:pt idx="15">
                  <c:v>1.5285765180628141E-6</c:v>
                </c:pt>
                <c:pt idx="18">
                  <c:v>1.48499946196324E-6</c:v>
                </c:pt>
                <c:pt idx="21">
                  <c:v>1.472270012135608E-6</c:v>
                </c:pt>
                <c:pt idx="24">
                  <c:v>1.4696136355869061E-6</c:v>
                </c:pt>
              </c:numCache>
            </c:numRef>
          </c:val>
          <c:extLst>
            <c:ext xmlns:c16="http://schemas.microsoft.com/office/drawing/2014/chart" uri="{C3380CC4-5D6E-409C-BE32-E72D297353CC}">
              <c16:uniqueId val="{00000004-0AEA-451E-8764-773A004E48E9}"/>
            </c:ext>
          </c:extLst>
        </c:ser>
        <c:ser>
          <c:idx val="5"/>
          <c:order val="5"/>
          <c:tx>
            <c:strRef>
              <c:f>'Results ReCiPe (I) - ESD'!$AB$339</c:f>
              <c:strCache>
                <c:ptCount val="1"/>
                <c:pt idx="0">
                  <c:v>Battery</c:v>
                </c:pt>
              </c:strCache>
            </c:strRef>
          </c:tx>
          <c:spPr>
            <a:solidFill>
              <a:schemeClr val="accent6">
                <a:lumMod val="50000"/>
              </a:schemeClr>
            </a:solidFill>
            <a:ln>
              <a:noFill/>
            </a:ln>
            <a:effectLst/>
          </c:spPr>
          <c:invertIfNegative val="0"/>
          <c:cat>
            <c:numRef>
              <c:f>'Results ReCiPe (I) - ESD'!$AC$333:$BA$333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ESD'!$AC$339:$BA$339</c:f>
              <c:numCache>
                <c:formatCode>0.00E+00</c:formatCode>
                <c:ptCount val="25"/>
                <c:pt idx="0">
                  <c:v>2.8396496913287685E-5</c:v>
                </c:pt>
                <c:pt idx="1">
                  <c:v>2.8396496913287685E-5</c:v>
                </c:pt>
                <c:pt idx="2">
                  <c:v>2.8396496913287685E-5</c:v>
                </c:pt>
                <c:pt idx="3">
                  <c:v>2.8396496913287685E-5</c:v>
                </c:pt>
                <c:pt idx="4">
                  <c:v>2.8396496913287685E-5</c:v>
                </c:pt>
                <c:pt idx="5">
                  <c:v>2.8396496913287685E-5</c:v>
                </c:pt>
                <c:pt idx="6">
                  <c:v>2.8396496913287685E-5</c:v>
                </c:pt>
                <c:pt idx="7">
                  <c:v>2.8396496913287685E-5</c:v>
                </c:pt>
                <c:pt idx="8">
                  <c:v>2.8396496913287685E-5</c:v>
                </c:pt>
                <c:pt idx="9">
                  <c:v>2.8396496913287685E-5</c:v>
                </c:pt>
                <c:pt idx="10">
                  <c:v>2.8396496913287685E-5</c:v>
                </c:pt>
                <c:pt idx="11">
                  <c:v>2.8396496913287685E-5</c:v>
                </c:pt>
                <c:pt idx="12">
                  <c:v>2.8396496913287685E-5</c:v>
                </c:pt>
                <c:pt idx="13">
                  <c:v>2.8396496913287685E-5</c:v>
                </c:pt>
                <c:pt idx="14">
                  <c:v>2.8396496913287685E-5</c:v>
                </c:pt>
                <c:pt idx="15">
                  <c:v>2.8396496913287685E-5</c:v>
                </c:pt>
                <c:pt idx="16">
                  <c:v>2.8396496913287685E-5</c:v>
                </c:pt>
                <c:pt idx="17">
                  <c:v>2.8396496913287685E-5</c:v>
                </c:pt>
                <c:pt idx="18">
                  <c:v>2.8396496913287685E-5</c:v>
                </c:pt>
                <c:pt idx="19">
                  <c:v>2.8396496913287685E-5</c:v>
                </c:pt>
                <c:pt idx="20">
                  <c:v>2.8396496913287685E-5</c:v>
                </c:pt>
                <c:pt idx="21">
                  <c:v>2.8396496913287685E-5</c:v>
                </c:pt>
                <c:pt idx="22">
                  <c:v>2.8396496913287685E-5</c:v>
                </c:pt>
                <c:pt idx="23">
                  <c:v>2.8396496913287685E-5</c:v>
                </c:pt>
                <c:pt idx="24">
                  <c:v>2.8396496913287685E-5</c:v>
                </c:pt>
              </c:numCache>
            </c:numRef>
          </c:val>
          <c:extLst>
            <c:ext xmlns:c16="http://schemas.microsoft.com/office/drawing/2014/chart" uri="{C3380CC4-5D6E-409C-BE32-E72D297353CC}">
              <c16:uniqueId val="{00000005-0AEA-451E-8764-773A004E48E9}"/>
            </c:ext>
          </c:extLst>
        </c:ser>
        <c:ser>
          <c:idx val="6"/>
          <c:order val="6"/>
          <c:tx>
            <c:strRef>
              <c:f>'Results ReCiPe (I) - ESD'!$AB$340</c:f>
              <c:strCache>
                <c:ptCount val="1"/>
                <c:pt idx="0">
                  <c:v>Operation - DAC</c:v>
                </c:pt>
              </c:strCache>
            </c:strRef>
          </c:tx>
          <c:spPr>
            <a:solidFill>
              <a:schemeClr val="accent2">
                <a:lumMod val="75000"/>
              </a:schemeClr>
            </a:solidFill>
            <a:ln>
              <a:noFill/>
            </a:ln>
            <a:effectLst/>
          </c:spPr>
          <c:invertIfNegative val="0"/>
          <c:cat>
            <c:numRef>
              <c:f>'Results ReCiPe (I) - ESD'!$AC$333:$BA$333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ESD'!$AC$340:$BA$340</c:f>
              <c:numCache>
                <c:formatCode>0.00E+00</c:formatCode>
                <c:ptCount val="25"/>
                <c:pt idx="0">
                  <c:v>2.0472577534716749E-5</c:v>
                </c:pt>
                <c:pt idx="1">
                  <c:v>2.0375247353667907E-5</c:v>
                </c:pt>
                <c:pt idx="2">
                  <c:v>2.0273846510199692E-5</c:v>
                </c:pt>
                <c:pt idx="3">
                  <c:v>2.0124024506072951E-5</c:v>
                </c:pt>
                <c:pt idx="4">
                  <c:v>2.0014874931021467E-5</c:v>
                </c:pt>
                <c:pt idx="5">
                  <c:v>1.9901926300003967E-5</c:v>
                </c:pt>
                <c:pt idx="6">
                  <c:v>1.9808620890272997E-5</c:v>
                </c:pt>
                <c:pt idx="7">
                  <c:v>1.9721008711035555E-5</c:v>
                </c:pt>
                <c:pt idx="8">
                  <c:v>1.9605661212154571E-5</c:v>
                </c:pt>
                <c:pt idx="9">
                  <c:v>1.9516686481139465E-5</c:v>
                </c:pt>
                <c:pt idx="10">
                  <c:v>1.9425403527480102E-5</c:v>
                </c:pt>
                <c:pt idx="11">
                  <c:v>1.9368796385093964E-5</c:v>
                </c:pt>
                <c:pt idx="12">
                  <c:v>1.9312427087566492E-5</c:v>
                </c:pt>
                <c:pt idx="13">
                  <c:v>1.9245104342678316E-5</c:v>
                </c:pt>
                <c:pt idx="14">
                  <c:v>1.9189144822981934E-5</c:v>
                </c:pt>
                <c:pt idx="15">
                  <c:v>1.913400491947393E-5</c:v>
                </c:pt>
                <c:pt idx="16">
                  <c:v>1.9106902198034067E-5</c:v>
                </c:pt>
                <c:pt idx="17">
                  <c:v>1.9081084294988679E-5</c:v>
                </c:pt>
                <c:pt idx="18">
                  <c:v>1.9044557727402269E-5</c:v>
                </c:pt>
                <c:pt idx="19">
                  <c:v>1.902305892636861E-5</c:v>
                </c:pt>
                <c:pt idx="20">
                  <c:v>1.890316844689203E-5</c:v>
                </c:pt>
                <c:pt idx="21">
                  <c:v>1.9048278662906038E-5</c:v>
                </c:pt>
                <c:pt idx="22">
                  <c:v>1.9044929078775051E-5</c:v>
                </c:pt>
                <c:pt idx="23">
                  <c:v>1.9041653166520602E-5</c:v>
                </c:pt>
                <c:pt idx="24">
                  <c:v>1.9038465860113015E-5</c:v>
                </c:pt>
              </c:numCache>
            </c:numRef>
          </c:val>
          <c:extLst>
            <c:ext xmlns:c16="http://schemas.microsoft.com/office/drawing/2014/chart" uri="{C3380CC4-5D6E-409C-BE32-E72D297353CC}">
              <c16:uniqueId val="{00000006-0AEA-451E-8764-773A004E48E9}"/>
            </c:ext>
          </c:extLst>
        </c:ser>
        <c:ser>
          <c:idx val="7"/>
          <c:order val="7"/>
          <c:tx>
            <c:strRef>
              <c:f>'Results ReCiPe (I) - ESD'!$AB$341</c:f>
              <c:strCache>
                <c:ptCount val="1"/>
                <c:pt idx="0">
                  <c:v>Operation - geological storage</c:v>
                </c:pt>
              </c:strCache>
            </c:strRef>
          </c:tx>
          <c:spPr>
            <a:solidFill>
              <a:schemeClr val="accent2">
                <a:lumMod val="50000"/>
              </a:schemeClr>
            </a:solidFill>
            <a:ln>
              <a:noFill/>
            </a:ln>
            <a:effectLst/>
          </c:spPr>
          <c:invertIfNegative val="0"/>
          <c:cat>
            <c:numRef>
              <c:f>'Results ReCiPe (I) - ESD'!$AC$333:$BA$333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ESD'!$AC$341:$BA$341</c:f>
              <c:numCache>
                <c:formatCode>0.00E+00</c:formatCode>
                <c:ptCount val="25"/>
                <c:pt idx="0">
                  <c:v>2.9627405769331587E-6</c:v>
                </c:pt>
                <c:pt idx="1">
                  <c:v>2.7850399556982692E-6</c:v>
                </c:pt>
                <c:pt idx="2">
                  <c:v>2.6077708802747882E-6</c:v>
                </c:pt>
                <c:pt idx="3">
                  <c:v>2.4285316612736731E-6</c:v>
                </c:pt>
                <c:pt idx="4">
                  <c:v>2.2520928239709843E-6</c:v>
                </c:pt>
                <c:pt idx="5">
                  <c:v>2.0761342011043936E-6</c:v>
                </c:pt>
                <c:pt idx="6">
                  <c:v>1.9960547423109155E-6</c:v>
                </c:pt>
                <c:pt idx="7">
                  <c:v>1.9157618939411003E-6</c:v>
                </c:pt>
                <c:pt idx="8">
                  <c:v>1.8330836385168129E-6</c:v>
                </c:pt>
                <c:pt idx="9">
                  <c:v>1.7521317354581976E-6</c:v>
                </c:pt>
                <c:pt idx="10">
                  <c:v>1.6708924435135774E-6</c:v>
                </c:pt>
                <c:pt idx="11">
                  <c:v>1.6348374738368009E-6</c:v>
                </c:pt>
                <c:pt idx="12">
                  <c:v>1.5985078759947804E-6</c:v>
                </c:pt>
                <c:pt idx="13">
                  <c:v>1.5609827594701211E-6</c:v>
                </c:pt>
                <c:pt idx="14">
                  <c:v>1.523787580820132E-6</c:v>
                </c:pt>
                <c:pt idx="15">
                  <c:v>1.4863028168677589E-6</c:v>
                </c:pt>
                <c:pt idx="16">
                  <c:v>1.481251627586909E-6</c:v>
                </c:pt>
                <c:pt idx="17">
                  <c:v>1.4764044201864714E-6</c:v>
                </c:pt>
                <c:pt idx="18">
                  <c:v>1.4709318841744354E-6</c:v>
                </c:pt>
                <c:pt idx="19">
                  <c:v>1.4664033157864785E-6</c:v>
                </c:pt>
                <c:pt idx="20">
                  <c:v>1.4620549759303581E-6</c:v>
                </c:pt>
                <c:pt idx="21">
                  <c:v>1.4905688000429741E-6</c:v>
                </c:pt>
                <c:pt idx="22">
                  <c:v>1.4826232511490953E-6</c:v>
                </c:pt>
                <c:pt idx="23">
                  <c:v>1.4746295472403371E-6</c:v>
                </c:pt>
                <c:pt idx="24">
                  <c:v>1.466585361011609E-6</c:v>
                </c:pt>
              </c:numCache>
            </c:numRef>
          </c:val>
          <c:extLst>
            <c:ext xmlns:c16="http://schemas.microsoft.com/office/drawing/2014/chart" uri="{C3380CC4-5D6E-409C-BE32-E72D297353CC}">
              <c16:uniqueId val="{00000007-0AEA-451E-8764-773A004E48E9}"/>
            </c:ext>
          </c:extLst>
        </c:ser>
        <c:ser>
          <c:idx val="8"/>
          <c:order val="8"/>
          <c:tx>
            <c:strRef>
              <c:f>'Results ReCiPe (I) - ESD'!$AB$342</c:f>
              <c:strCache>
                <c:ptCount val="1"/>
                <c:pt idx="0">
                  <c:v>CO2 captured and stored</c:v>
                </c:pt>
              </c:strCache>
            </c:strRef>
          </c:tx>
          <c:spPr>
            <a:solidFill>
              <a:schemeClr val="tx2">
                <a:lumMod val="20000"/>
                <a:lumOff val="80000"/>
              </a:schemeClr>
            </a:solidFill>
            <a:ln>
              <a:noFill/>
            </a:ln>
            <a:effectLst/>
          </c:spPr>
          <c:invertIfNegative val="0"/>
          <c:cat>
            <c:numRef>
              <c:f>'Results ReCiPe (I) - ESD'!$AC$333:$BA$333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ESD'!$AC$342:$BA$342</c:f>
              <c:numCache>
                <c:formatCode>0.00E+00</c:formatCode>
                <c:ptCount val="25"/>
                <c:pt idx="0">
                  <c:v>-2.6600725000000003E-5</c:v>
                </c:pt>
                <c:pt idx="1">
                  <c:v>-2.6600725000000003E-5</c:v>
                </c:pt>
                <c:pt idx="2">
                  <c:v>-2.6600725000000003E-5</c:v>
                </c:pt>
                <c:pt idx="3">
                  <c:v>-2.6600725000000003E-5</c:v>
                </c:pt>
                <c:pt idx="4">
                  <c:v>-2.6600725000000003E-5</c:v>
                </c:pt>
                <c:pt idx="5">
                  <c:v>-2.6600725000000003E-5</c:v>
                </c:pt>
                <c:pt idx="6">
                  <c:v>-2.6600725000000003E-5</c:v>
                </c:pt>
                <c:pt idx="7">
                  <c:v>-2.6600725000000003E-5</c:v>
                </c:pt>
                <c:pt idx="8">
                  <c:v>-2.6600725000000003E-5</c:v>
                </c:pt>
                <c:pt idx="9">
                  <c:v>-2.6600725000000003E-5</c:v>
                </c:pt>
                <c:pt idx="10">
                  <c:v>-2.6600725000000003E-5</c:v>
                </c:pt>
                <c:pt idx="11">
                  <c:v>-2.6600725000000003E-5</c:v>
                </c:pt>
                <c:pt idx="12">
                  <c:v>-2.6600725000000003E-5</c:v>
                </c:pt>
                <c:pt idx="13">
                  <c:v>-2.6600725000000003E-5</c:v>
                </c:pt>
                <c:pt idx="14">
                  <c:v>-2.6600725000000003E-5</c:v>
                </c:pt>
                <c:pt idx="15">
                  <c:v>-2.6600725000000003E-5</c:v>
                </c:pt>
                <c:pt idx="16">
                  <c:v>-2.6600725000000003E-5</c:v>
                </c:pt>
                <c:pt idx="17">
                  <c:v>-2.6600725000000003E-5</c:v>
                </c:pt>
                <c:pt idx="18">
                  <c:v>-2.6600725000000003E-5</c:v>
                </c:pt>
                <c:pt idx="19">
                  <c:v>-2.6600725000000003E-5</c:v>
                </c:pt>
                <c:pt idx="20">
                  <c:v>-2.6600725000000003E-5</c:v>
                </c:pt>
                <c:pt idx="21">
                  <c:v>-2.6600725000000003E-5</c:v>
                </c:pt>
                <c:pt idx="22">
                  <c:v>-2.6600725000000003E-5</c:v>
                </c:pt>
                <c:pt idx="23">
                  <c:v>-2.6600725000000003E-5</c:v>
                </c:pt>
                <c:pt idx="24">
                  <c:v>-2.6600725000000003E-5</c:v>
                </c:pt>
              </c:numCache>
            </c:numRef>
          </c:val>
          <c:extLst>
            <c:ext xmlns:c16="http://schemas.microsoft.com/office/drawing/2014/chart" uri="{C3380CC4-5D6E-409C-BE32-E72D297353CC}">
              <c16:uniqueId val="{00000008-0AEA-451E-8764-773A004E48E9}"/>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(I) - ESD'!$AB$343</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cat>
            <c:numRef>
              <c:f>'Results ReCiPe (I) - ESD'!$AC$333:$BA$333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ESD'!$AC$343:$BA$343</c:f>
              <c:numCache>
                <c:formatCode>0.00E+00</c:formatCode>
                <c:ptCount val="25"/>
                <c:pt idx="0">
                  <c:v>1.2656127592417662E-4</c:v>
                </c:pt>
                <c:pt idx="1">
                  <c:v>2.495605922265386E-5</c:v>
                </c:pt>
                <c:pt idx="2">
                  <c:v>2.4677389303762165E-5</c:v>
                </c:pt>
                <c:pt idx="3">
                  <c:v>2.6115453520435189E-5</c:v>
                </c:pt>
                <c:pt idx="4">
                  <c:v>2.4062739668280128E-5</c:v>
                </c:pt>
                <c:pt idx="5">
                  <c:v>2.377383241439604E-5</c:v>
                </c:pt>
                <c:pt idx="6">
                  <c:v>2.531594553651144E-5</c:v>
                </c:pt>
                <c:pt idx="7">
                  <c:v>2.343254251826434E-5</c:v>
                </c:pt>
                <c:pt idx="8">
                  <c:v>2.3234516763959069E-5</c:v>
                </c:pt>
                <c:pt idx="9">
                  <c:v>2.4722465012828883E-5</c:v>
                </c:pt>
                <c:pt idx="10">
                  <c:v>2.289206788428136E-5</c:v>
                </c:pt>
                <c:pt idx="11">
                  <c:v>2.2799405772218445E-5</c:v>
                </c:pt>
                <c:pt idx="12">
                  <c:v>2.4303082428221581E-5</c:v>
                </c:pt>
                <c:pt idx="13">
                  <c:v>2.2601859015436121E-5</c:v>
                </c:pt>
                <c:pt idx="14">
                  <c:v>2.250870431708975E-5</c:v>
                </c:pt>
                <c:pt idx="15">
                  <c:v>2.3944656167692186E-5</c:v>
                </c:pt>
                <c:pt idx="16">
                  <c:v>2.2383925738908662E-5</c:v>
                </c:pt>
                <c:pt idx="17">
                  <c:v>2.2353260628462833E-5</c:v>
                </c:pt>
                <c:pt idx="18">
                  <c:v>2.3796260986827633E-5</c:v>
                </c:pt>
                <c:pt idx="19">
                  <c:v>2.2285234155442775E-5</c:v>
                </c:pt>
                <c:pt idx="20">
                  <c:v>2.216099533611007E-5</c:v>
                </c:pt>
                <c:pt idx="21">
                  <c:v>2.3806889388372301E-5</c:v>
                </c:pt>
                <c:pt idx="22">
                  <c:v>2.2323324243211822E-5</c:v>
                </c:pt>
                <c:pt idx="23">
                  <c:v>2.2312054627048621E-5</c:v>
                </c:pt>
                <c:pt idx="24">
                  <c:v>2.5028928687869121E-5</c:v>
                </c:pt>
              </c:numCache>
            </c:numRef>
          </c:val>
          <c:smooth val="0"/>
          <c:extLst>
            <c:ext xmlns:c16="http://schemas.microsoft.com/office/drawing/2014/chart" uri="{C3380CC4-5D6E-409C-BE32-E72D297353CC}">
              <c16:uniqueId val="{00000009-0AEA-451E-8764-773A004E48E9}"/>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Ecosystem damage</a:t>
                </a:r>
              </a:p>
              <a:p>
                <a:pPr algn="ctr" rtl="0">
                  <a:defRPr/>
                </a:pPr>
                <a:r>
                  <a:rPr lang="nl-NL"/>
                  <a:t>[PDF*yr/ton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(I) - ESD'!$AB$395</c:f>
              <c:strCache>
                <c:ptCount val="1"/>
                <c:pt idx="0">
                  <c:v>Construction - DAC</c:v>
                </c:pt>
              </c:strCache>
            </c:strRef>
          </c:tx>
          <c:spPr>
            <a:solidFill>
              <a:schemeClr val="accent4">
                <a:lumMod val="75000"/>
              </a:schemeClr>
            </a:solidFill>
            <a:ln>
              <a:noFill/>
            </a:ln>
            <a:effectLst/>
          </c:spPr>
          <c:invertIfNegative val="0"/>
          <c:cat>
            <c:numRef>
              <c:f>'Results ReCiPe (I) - ESD'!$AC$394:$BA$394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ESD'!$AC$395:$BA$395</c:f>
              <c:numCache>
                <c:formatCode>0.00E+00</c:formatCode>
                <c:ptCount val="25"/>
                <c:pt idx="0">
                  <c:v>8.2910851146931124E-5</c:v>
                </c:pt>
              </c:numCache>
            </c:numRef>
          </c:val>
          <c:extLst>
            <c:ext xmlns:c16="http://schemas.microsoft.com/office/drawing/2014/chart" uri="{C3380CC4-5D6E-409C-BE32-E72D297353CC}">
              <c16:uniqueId val="{00000000-0610-480E-9BFF-FD97D32808C5}"/>
            </c:ext>
          </c:extLst>
        </c:ser>
        <c:ser>
          <c:idx val="1"/>
          <c:order val="1"/>
          <c:tx>
            <c:strRef>
              <c:f>'Results ReCiPe (I) - ESD'!$AB$396</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(I) - ESD'!$AC$394:$BA$394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ESD'!$AC$396:$BA$396</c:f>
              <c:numCache>
                <c:formatCode>0.00E+00</c:formatCode>
                <c:ptCount val="25"/>
                <c:pt idx="0">
                  <c:v>2.499127855049021E-6</c:v>
                </c:pt>
              </c:numCache>
            </c:numRef>
          </c:val>
          <c:extLst>
            <c:ext xmlns:c16="http://schemas.microsoft.com/office/drawing/2014/chart" uri="{C3380CC4-5D6E-409C-BE32-E72D297353CC}">
              <c16:uniqueId val="{00000001-0610-480E-9BFF-FD97D32808C5}"/>
            </c:ext>
          </c:extLst>
        </c:ser>
        <c:ser>
          <c:idx val="2"/>
          <c:order val="2"/>
          <c:tx>
            <c:strRef>
              <c:f>'Results ReCiPe (I) - ESD'!$AB$397</c:f>
              <c:strCache>
                <c:ptCount val="1"/>
                <c:pt idx="0">
                  <c:v>Deconstruction - DAC</c:v>
                </c:pt>
              </c:strCache>
            </c:strRef>
          </c:tx>
          <c:spPr>
            <a:solidFill>
              <a:schemeClr val="accent2">
                <a:lumMod val="40000"/>
                <a:lumOff val="60000"/>
              </a:schemeClr>
            </a:solidFill>
            <a:ln>
              <a:noFill/>
            </a:ln>
            <a:effectLst/>
          </c:spPr>
          <c:invertIfNegative val="0"/>
          <c:cat>
            <c:numRef>
              <c:f>'Results ReCiPe (I) - ESD'!$AC$394:$BA$394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ESD'!$AC$397:$BA$397</c:f>
              <c:numCache>
                <c:formatCode>0.00E+00</c:formatCode>
                <c:ptCount val="25"/>
                <c:pt idx="24">
                  <c:v>1.3171343639388709E-6</c:v>
                </c:pt>
              </c:numCache>
            </c:numRef>
          </c:val>
          <c:extLst>
            <c:ext xmlns:c16="http://schemas.microsoft.com/office/drawing/2014/chart" uri="{C3380CC4-5D6E-409C-BE32-E72D297353CC}">
              <c16:uniqueId val="{00000002-0610-480E-9BFF-FD97D32808C5}"/>
            </c:ext>
          </c:extLst>
        </c:ser>
        <c:ser>
          <c:idx val="3"/>
          <c:order val="3"/>
          <c:tx>
            <c:strRef>
              <c:f>'Results ReCiPe (I) - ESD'!$AB$398</c:f>
              <c:strCache>
                <c:ptCount val="1"/>
                <c:pt idx="0">
                  <c:v>Deconstruction - geological storage</c:v>
                </c:pt>
              </c:strCache>
            </c:strRef>
          </c:tx>
          <c:spPr>
            <a:solidFill>
              <a:srgbClr val="FF9900"/>
            </a:solidFill>
            <a:ln>
              <a:noFill/>
            </a:ln>
            <a:effectLst/>
          </c:spPr>
          <c:invertIfNegative val="0"/>
          <c:cat>
            <c:numRef>
              <c:f>'Results ReCiPe (I) - ESD'!$AC$394:$BA$394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ESD'!$AC$398:$BA$398</c:f>
              <c:numCache>
                <c:formatCode>0.00E+00</c:formatCode>
                <c:ptCount val="25"/>
                <c:pt idx="24">
                  <c:v>2.0936130856431027E-8</c:v>
                </c:pt>
              </c:numCache>
            </c:numRef>
          </c:val>
          <c:extLst>
            <c:ext xmlns:c16="http://schemas.microsoft.com/office/drawing/2014/chart" uri="{C3380CC4-5D6E-409C-BE32-E72D297353CC}">
              <c16:uniqueId val="{00000003-0610-480E-9BFF-FD97D32808C5}"/>
            </c:ext>
          </c:extLst>
        </c:ser>
        <c:ser>
          <c:idx val="4"/>
          <c:order val="4"/>
          <c:tx>
            <c:strRef>
              <c:f>'Results ReCiPe (I) - ESD'!$AB$399</c:f>
              <c:strCache>
                <c:ptCount val="1"/>
                <c:pt idx="0">
                  <c:v>Sorbent material</c:v>
                </c:pt>
              </c:strCache>
            </c:strRef>
          </c:tx>
          <c:spPr>
            <a:solidFill>
              <a:srgbClr val="FF8F8F"/>
            </a:solidFill>
            <a:ln>
              <a:noFill/>
            </a:ln>
            <a:effectLst/>
          </c:spPr>
          <c:invertIfNegative val="0"/>
          <c:cat>
            <c:numRef>
              <c:f>'Results ReCiPe (I) - ESD'!$AC$394:$BA$394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ESD'!$AC$399:$BA$399</c:f>
              <c:numCache>
                <c:formatCode>0.00E+00</c:formatCode>
                <c:ptCount val="25"/>
                <c:pt idx="0">
                  <c:v>1.5568631310201531E-6</c:v>
                </c:pt>
                <c:pt idx="3">
                  <c:v>1.490530396859574E-6</c:v>
                </c:pt>
                <c:pt idx="6">
                  <c:v>1.453183927485486E-6</c:v>
                </c:pt>
                <c:pt idx="9">
                  <c:v>1.457702482446929E-6</c:v>
                </c:pt>
                <c:pt idx="12">
                  <c:v>1.4643173431288331E-6</c:v>
                </c:pt>
                <c:pt idx="15">
                  <c:v>1.4666447699044541E-6</c:v>
                </c:pt>
                <c:pt idx="18">
                  <c:v>1.4616325983130691E-6</c:v>
                </c:pt>
                <c:pt idx="21">
                  <c:v>1.477314417989346E-6</c:v>
                </c:pt>
                <c:pt idx="24">
                  <c:v>1.482612190332E-6</c:v>
                </c:pt>
              </c:numCache>
            </c:numRef>
          </c:val>
          <c:extLst>
            <c:ext xmlns:c16="http://schemas.microsoft.com/office/drawing/2014/chart" uri="{C3380CC4-5D6E-409C-BE32-E72D297353CC}">
              <c16:uniqueId val="{00000004-0610-480E-9BFF-FD97D32808C5}"/>
            </c:ext>
          </c:extLst>
        </c:ser>
        <c:ser>
          <c:idx val="5"/>
          <c:order val="5"/>
          <c:tx>
            <c:strRef>
              <c:f>'Results ReCiPe (I) - ESD'!$AB$400</c:f>
              <c:strCache>
                <c:ptCount val="1"/>
                <c:pt idx="0">
                  <c:v>Battery</c:v>
                </c:pt>
              </c:strCache>
            </c:strRef>
          </c:tx>
          <c:spPr>
            <a:solidFill>
              <a:schemeClr val="accent6">
                <a:lumMod val="50000"/>
              </a:schemeClr>
            </a:solidFill>
            <a:ln>
              <a:noFill/>
            </a:ln>
            <a:effectLst/>
          </c:spPr>
          <c:invertIfNegative val="0"/>
          <c:cat>
            <c:numRef>
              <c:f>'Results ReCiPe (I) - ESD'!$AC$394:$BA$394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ESD'!$AC$400:$BA$400</c:f>
              <c:numCache>
                <c:formatCode>0.00E+00</c:formatCode>
                <c:ptCount val="25"/>
                <c:pt idx="0">
                  <c:v>2.5914595838907584E-5</c:v>
                </c:pt>
                <c:pt idx="1">
                  <c:v>2.5914595838907584E-5</c:v>
                </c:pt>
                <c:pt idx="2">
                  <c:v>2.5914595838907584E-5</c:v>
                </c:pt>
                <c:pt idx="3">
                  <c:v>2.5914595838907584E-5</c:v>
                </c:pt>
                <c:pt idx="4">
                  <c:v>2.5914595838907584E-5</c:v>
                </c:pt>
                <c:pt idx="5">
                  <c:v>2.5914595838907584E-5</c:v>
                </c:pt>
                <c:pt idx="6">
                  <c:v>2.5914595838907584E-5</c:v>
                </c:pt>
                <c:pt idx="7">
                  <c:v>2.5914595838907584E-5</c:v>
                </c:pt>
                <c:pt idx="8">
                  <c:v>2.5914595838907584E-5</c:v>
                </c:pt>
                <c:pt idx="9">
                  <c:v>2.5914595838907584E-5</c:v>
                </c:pt>
                <c:pt idx="10">
                  <c:v>2.5914595838907584E-5</c:v>
                </c:pt>
                <c:pt idx="11">
                  <c:v>2.5914595838907584E-5</c:v>
                </c:pt>
                <c:pt idx="12">
                  <c:v>2.5914595838907584E-5</c:v>
                </c:pt>
                <c:pt idx="13">
                  <c:v>2.5914595838907584E-5</c:v>
                </c:pt>
                <c:pt idx="14">
                  <c:v>2.5914595838907584E-5</c:v>
                </c:pt>
                <c:pt idx="15">
                  <c:v>2.5914595838907584E-5</c:v>
                </c:pt>
                <c:pt idx="16">
                  <c:v>2.5914595838907584E-5</c:v>
                </c:pt>
                <c:pt idx="17">
                  <c:v>2.5914595838907584E-5</c:v>
                </c:pt>
                <c:pt idx="18">
                  <c:v>2.5914595838907584E-5</c:v>
                </c:pt>
                <c:pt idx="19">
                  <c:v>2.5914595838907584E-5</c:v>
                </c:pt>
                <c:pt idx="20">
                  <c:v>2.5914595838907584E-5</c:v>
                </c:pt>
                <c:pt idx="21">
                  <c:v>2.5914595838907584E-5</c:v>
                </c:pt>
                <c:pt idx="22">
                  <c:v>2.5914595838907584E-5</c:v>
                </c:pt>
                <c:pt idx="23">
                  <c:v>2.5914595838907584E-5</c:v>
                </c:pt>
                <c:pt idx="24">
                  <c:v>2.5914595838907584E-5</c:v>
                </c:pt>
              </c:numCache>
            </c:numRef>
          </c:val>
          <c:extLst>
            <c:ext xmlns:c16="http://schemas.microsoft.com/office/drawing/2014/chart" uri="{C3380CC4-5D6E-409C-BE32-E72D297353CC}">
              <c16:uniqueId val="{00000005-0610-480E-9BFF-FD97D32808C5}"/>
            </c:ext>
          </c:extLst>
        </c:ser>
        <c:ser>
          <c:idx val="6"/>
          <c:order val="6"/>
          <c:tx>
            <c:strRef>
              <c:f>'Results ReCiPe (I) - ESD'!$AB$401</c:f>
              <c:strCache>
                <c:ptCount val="1"/>
                <c:pt idx="0">
                  <c:v>Operation - DAC</c:v>
                </c:pt>
              </c:strCache>
            </c:strRef>
          </c:tx>
          <c:spPr>
            <a:solidFill>
              <a:schemeClr val="accent2">
                <a:lumMod val="75000"/>
              </a:schemeClr>
            </a:solidFill>
            <a:ln>
              <a:noFill/>
            </a:ln>
            <a:effectLst/>
          </c:spPr>
          <c:invertIfNegative val="0"/>
          <c:cat>
            <c:numRef>
              <c:f>'Results ReCiPe (I) - ESD'!$AC$394:$BA$394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ESD'!$AC$401:$BA$401</c:f>
              <c:numCache>
                <c:formatCode>0.00E+00</c:formatCode>
                <c:ptCount val="25"/>
                <c:pt idx="0">
                  <c:v>1.9343227721679168E-5</c:v>
                </c:pt>
                <c:pt idx="1">
                  <c:v>1.9268695365248397E-5</c:v>
                </c:pt>
                <c:pt idx="2">
                  <c:v>1.9189816259469181E-5</c:v>
                </c:pt>
                <c:pt idx="3">
                  <c:v>1.9054909895720402E-5</c:v>
                </c:pt>
                <c:pt idx="4">
                  <c:v>1.8964120895754907E-5</c:v>
                </c:pt>
                <c:pt idx="5">
                  <c:v>1.8869465475911066E-5</c:v>
                </c:pt>
                <c:pt idx="6">
                  <c:v>1.889317564130327E-5</c:v>
                </c:pt>
                <c:pt idx="7">
                  <c:v>1.8915711405998263E-5</c:v>
                </c:pt>
                <c:pt idx="8">
                  <c:v>1.8902483528429833E-5</c:v>
                </c:pt>
                <c:pt idx="9">
                  <c:v>1.8922044948757467E-5</c:v>
                </c:pt>
                <c:pt idx="10">
                  <c:v>1.8941011900045064E-5</c:v>
                </c:pt>
                <c:pt idx="11">
                  <c:v>1.895939609758657E-5</c:v>
                </c:pt>
                <c:pt idx="12">
                  <c:v>1.8977963020347082E-5</c:v>
                </c:pt>
                <c:pt idx="13">
                  <c:v>1.8983502329543075E-5</c:v>
                </c:pt>
                <c:pt idx="14">
                  <c:v>1.9000758336535769E-5</c:v>
                </c:pt>
                <c:pt idx="15">
                  <c:v>1.9016694059275339E-5</c:v>
                </c:pt>
                <c:pt idx="16">
                  <c:v>1.9020776970331387E-5</c:v>
                </c:pt>
                <c:pt idx="17">
                  <c:v>1.9024696511439435E-5</c:v>
                </c:pt>
                <c:pt idx="18">
                  <c:v>1.901482675217692E-5</c:v>
                </c:pt>
                <c:pt idx="19">
                  <c:v>1.9017293629520649E-5</c:v>
                </c:pt>
                <c:pt idx="20">
                  <c:v>1.900573395860572E-5</c:v>
                </c:pt>
                <c:pt idx="21">
                  <c:v>1.9180244672144561E-5</c:v>
                </c:pt>
                <c:pt idx="22">
                  <c:v>1.9191684313140621E-5</c:v>
                </c:pt>
                <c:pt idx="23">
                  <c:v>1.9202895795530974E-5</c:v>
                </c:pt>
                <c:pt idx="24">
                  <c:v>1.9213880141810969E-5</c:v>
                </c:pt>
              </c:numCache>
            </c:numRef>
          </c:val>
          <c:extLst>
            <c:ext xmlns:c16="http://schemas.microsoft.com/office/drawing/2014/chart" uri="{C3380CC4-5D6E-409C-BE32-E72D297353CC}">
              <c16:uniqueId val="{00000006-0610-480E-9BFF-FD97D32808C5}"/>
            </c:ext>
          </c:extLst>
        </c:ser>
        <c:ser>
          <c:idx val="7"/>
          <c:order val="7"/>
          <c:tx>
            <c:strRef>
              <c:f>'Results ReCiPe (I) - ESD'!$AB$402</c:f>
              <c:strCache>
                <c:ptCount val="1"/>
                <c:pt idx="0">
                  <c:v>Operation - geological storage</c:v>
                </c:pt>
              </c:strCache>
            </c:strRef>
          </c:tx>
          <c:spPr>
            <a:solidFill>
              <a:schemeClr val="accent2">
                <a:lumMod val="50000"/>
              </a:schemeClr>
            </a:solidFill>
            <a:ln>
              <a:noFill/>
            </a:ln>
            <a:effectLst/>
          </c:spPr>
          <c:invertIfNegative val="0"/>
          <c:cat>
            <c:numRef>
              <c:f>'Results ReCiPe (I) - ESD'!$AC$394:$BA$394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ESD'!$AC$402:$BA$402</c:f>
              <c:numCache>
                <c:formatCode>0.00E+00</c:formatCode>
                <c:ptCount val="25"/>
                <c:pt idx="0">
                  <c:v>1.7752440567805211E-6</c:v>
                </c:pt>
                <c:pt idx="1">
                  <c:v>1.6820706347941204E-6</c:v>
                </c:pt>
                <c:pt idx="2">
                  <c:v>1.5886669608485821E-6</c:v>
                </c:pt>
                <c:pt idx="3">
                  <c:v>1.4918642258813162E-6</c:v>
                </c:pt>
                <c:pt idx="4">
                  <c:v>1.3978906953923141E-6</c:v>
                </c:pt>
                <c:pt idx="5">
                  <c:v>1.3038238671544126E-6</c:v>
                </c:pt>
                <c:pt idx="6">
                  <c:v>1.331640889074205E-6</c:v>
                </c:pt>
                <c:pt idx="7">
                  <c:v>1.3591806698397854E-6</c:v>
                </c:pt>
                <c:pt idx="8">
                  <c:v>1.38298912489565E-6</c:v>
                </c:pt>
                <c:pt idx="9">
                  <c:v>1.4097462315915084E-6</c:v>
                </c:pt>
                <c:pt idx="10">
                  <c:v>1.43622048229568E-6</c:v>
                </c:pt>
                <c:pt idx="11">
                  <c:v>1.4484394481672169E-6</c:v>
                </c:pt>
                <c:pt idx="12">
                  <c:v>1.4605598344872094E-6</c:v>
                </c:pt>
                <c:pt idx="13">
                  <c:v>1.4713252104359526E-6</c:v>
                </c:pt>
                <c:pt idx="14">
                  <c:v>1.4828286307382395E-6</c:v>
                </c:pt>
                <c:pt idx="15">
                  <c:v>1.4941070090697999E-6</c:v>
                </c:pt>
                <c:pt idx="16">
                  <c:v>1.4757897668089051E-6</c:v>
                </c:pt>
                <c:pt idx="17">
                  <c:v>1.4577421315131216E-6</c:v>
                </c:pt>
                <c:pt idx="18">
                  <c:v>1.4388655723772805E-6</c:v>
                </c:pt>
                <c:pt idx="19">
                  <c:v>1.421227323656791E-6</c:v>
                </c:pt>
                <c:pt idx="20">
                  <c:v>1.4035720178838829E-6</c:v>
                </c:pt>
                <c:pt idx="21">
                  <c:v>1.4430426092447299E-6</c:v>
                </c:pt>
                <c:pt idx="22">
                  <c:v>1.4425429591215859E-6</c:v>
                </c:pt>
                <c:pt idx="23">
                  <c:v>1.442097148159067E-6</c:v>
                </c:pt>
                <c:pt idx="24">
                  <c:v>1.4416981589731551E-6</c:v>
                </c:pt>
              </c:numCache>
            </c:numRef>
          </c:val>
          <c:extLst>
            <c:ext xmlns:c16="http://schemas.microsoft.com/office/drawing/2014/chart" uri="{C3380CC4-5D6E-409C-BE32-E72D297353CC}">
              <c16:uniqueId val="{00000007-0610-480E-9BFF-FD97D32808C5}"/>
            </c:ext>
          </c:extLst>
        </c:ser>
        <c:ser>
          <c:idx val="8"/>
          <c:order val="8"/>
          <c:tx>
            <c:strRef>
              <c:f>'Results ReCiPe (I) - ESD'!$AB$403</c:f>
              <c:strCache>
                <c:ptCount val="1"/>
                <c:pt idx="0">
                  <c:v>CO2 captured and stored</c:v>
                </c:pt>
              </c:strCache>
            </c:strRef>
          </c:tx>
          <c:spPr>
            <a:solidFill>
              <a:schemeClr val="tx2">
                <a:lumMod val="20000"/>
                <a:lumOff val="80000"/>
              </a:schemeClr>
            </a:solidFill>
            <a:ln>
              <a:noFill/>
            </a:ln>
            <a:effectLst/>
          </c:spPr>
          <c:invertIfNegative val="0"/>
          <c:cat>
            <c:numRef>
              <c:f>'Results ReCiPe (I) - ESD'!$AC$394:$BA$394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ESD'!$AC$403:$BA$403</c:f>
              <c:numCache>
                <c:formatCode>0.00E+00</c:formatCode>
                <c:ptCount val="25"/>
                <c:pt idx="0">
                  <c:v>-2.6600725000000003E-5</c:v>
                </c:pt>
                <c:pt idx="1">
                  <c:v>-2.6600725000000003E-5</c:v>
                </c:pt>
                <c:pt idx="2">
                  <c:v>-2.6600725000000003E-5</c:v>
                </c:pt>
                <c:pt idx="3">
                  <c:v>-2.6600725000000003E-5</c:v>
                </c:pt>
                <c:pt idx="4">
                  <c:v>-2.6600725000000003E-5</c:v>
                </c:pt>
                <c:pt idx="5">
                  <c:v>-2.6600725000000003E-5</c:v>
                </c:pt>
                <c:pt idx="6">
                  <c:v>-2.6600725000000003E-5</c:v>
                </c:pt>
                <c:pt idx="7">
                  <c:v>-2.6600725000000003E-5</c:v>
                </c:pt>
                <c:pt idx="8">
                  <c:v>-2.6600725000000003E-5</c:v>
                </c:pt>
                <c:pt idx="9">
                  <c:v>-2.6600725000000003E-5</c:v>
                </c:pt>
                <c:pt idx="10">
                  <c:v>-2.6600725000000003E-5</c:v>
                </c:pt>
                <c:pt idx="11">
                  <c:v>-2.6600725000000003E-5</c:v>
                </c:pt>
                <c:pt idx="12">
                  <c:v>-2.6600725000000003E-5</c:v>
                </c:pt>
                <c:pt idx="13">
                  <c:v>-2.6600725000000003E-5</c:v>
                </c:pt>
                <c:pt idx="14">
                  <c:v>-2.6600725000000003E-5</c:v>
                </c:pt>
                <c:pt idx="15">
                  <c:v>-2.6600725000000003E-5</c:v>
                </c:pt>
                <c:pt idx="16">
                  <c:v>-2.6600725000000003E-5</c:v>
                </c:pt>
                <c:pt idx="17">
                  <c:v>-2.6600725000000003E-5</c:v>
                </c:pt>
                <c:pt idx="18">
                  <c:v>-2.6600725000000003E-5</c:v>
                </c:pt>
                <c:pt idx="19">
                  <c:v>-2.6600725000000003E-5</c:v>
                </c:pt>
                <c:pt idx="20">
                  <c:v>-2.6600725000000003E-5</c:v>
                </c:pt>
                <c:pt idx="21">
                  <c:v>-2.6600725000000003E-5</c:v>
                </c:pt>
                <c:pt idx="22">
                  <c:v>-2.6600725000000003E-5</c:v>
                </c:pt>
                <c:pt idx="23">
                  <c:v>-2.6600725000000003E-5</c:v>
                </c:pt>
                <c:pt idx="24">
                  <c:v>-2.6600725000000003E-5</c:v>
                </c:pt>
              </c:numCache>
            </c:numRef>
          </c:val>
          <c:extLst>
            <c:ext xmlns:c16="http://schemas.microsoft.com/office/drawing/2014/chart" uri="{C3380CC4-5D6E-409C-BE32-E72D297353CC}">
              <c16:uniqueId val="{00000008-0610-480E-9BFF-FD97D32808C5}"/>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(I) - ESD'!$AB$404</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cat>
            <c:numRef>
              <c:f>'Results ReCiPe (I) - ESD'!$AC$394:$BA$394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ESD'!$AC$404:$BA$404</c:f>
              <c:numCache>
                <c:formatCode>0.00E+00</c:formatCode>
                <c:ptCount val="25"/>
                <c:pt idx="0">
                  <c:v>1.0739918475036759E-4</c:v>
                </c:pt>
                <c:pt idx="1">
                  <c:v>2.0264636838950096E-5</c:v>
                </c:pt>
                <c:pt idx="2">
                  <c:v>2.0092354059225345E-5</c:v>
                </c:pt>
                <c:pt idx="3">
                  <c:v>2.1351175357368874E-5</c:v>
                </c:pt>
                <c:pt idx="4">
                  <c:v>1.9675882430054802E-5</c:v>
                </c:pt>
                <c:pt idx="5">
                  <c:v>1.9487160181973061E-5</c:v>
                </c:pt>
                <c:pt idx="6">
                  <c:v>2.0991871296770538E-5</c:v>
                </c:pt>
                <c:pt idx="7">
                  <c:v>1.9588762914745626E-5</c:v>
                </c:pt>
                <c:pt idx="8">
                  <c:v>1.9599343492233067E-5</c:v>
                </c:pt>
                <c:pt idx="9">
                  <c:v>2.110336450170348E-5</c:v>
                </c:pt>
                <c:pt idx="10">
                  <c:v>1.9691103221248323E-5</c:v>
                </c:pt>
                <c:pt idx="11">
                  <c:v>1.9721706384661369E-5</c:v>
                </c:pt>
                <c:pt idx="12">
                  <c:v>2.121671103687071E-5</c:v>
                </c:pt>
                <c:pt idx="13">
                  <c:v>1.976869837888661E-5</c:v>
                </c:pt>
                <c:pt idx="14">
                  <c:v>1.9797457806181592E-5</c:v>
                </c:pt>
                <c:pt idx="15">
                  <c:v>2.1291316677157174E-5</c:v>
                </c:pt>
                <c:pt idx="16">
                  <c:v>1.981043757604787E-5</c:v>
                </c:pt>
                <c:pt idx="17">
                  <c:v>1.9796309481860137E-5</c:v>
                </c:pt>
                <c:pt idx="18">
                  <c:v>2.1229195761774852E-5</c:v>
                </c:pt>
                <c:pt idx="19">
                  <c:v>1.9752391792085022E-5</c:v>
                </c:pt>
                <c:pt idx="20">
                  <c:v>1.9723176815397187E-5</c:v>
                </c:pt>
                <c:pt idx="21">
                  <c:v>2.1414472538286222E-5</c:v>
                </c:pt>
                <c:pt idx="22">
                  <c:v>1.9948098111169785E-5</c:v>
                </c:pt>
                <c:pt idx="23">
                  <c:v>1.9958863782597625E-5</c:v>
                </c:pt>
                <c:pt idx="24">
                  <c:v>2.2790131824819005E-5</c:v>
                </c:pt>
              </c:numCache>
            </c:numRef>
          </c:val>
          <c:smooth val="0"/>
          <c:extLst>
            <c:ext xmlns:c16="http://schemas.microsoft.com/office/drawing/2014/chart" uri="{C3380CC4-5D6E-409C-BE32-E72D297353CC}">
              <c16:uniqueId val="{00000009-0610-480E-9BFF-FD97D32808C5}"/>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Ecosystem damage</a:t>
                </a:r>
              </a:p>
              <a:p>
                <a:pPr algn="ctr" rtl="0">
                  <a:defRPr/>
                </a:pPr>
                <a:r>
                  <a:rPr lang="nl-NL"/>
                  <a:t>[PDF*yr/ton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(I) - RD'!$AB$10</c:f>
              <c:strCache>
                <c:ptCount val="1"/>
                <c:pt idx="0">
                  <c:v>Construction - DAC</c:v>
                </c:pt>
              </c:strCache>
            </c:strRef>
          </c:tx>
          <c:spPr>
            <a:solidFill>
              <a:schemeClr val="accent4">
                <a:lumMod val="75000"/>
              </a:schemeClr>
            </a:solidFill>
            <a:ln>
              <a:noFill/>
            </a:ln>
            <a:effectLst/>
          </c:spPr>
          <c:invertIfNegative val="0"/>
          <c:cat>
            <c:numRef>
              <c:f>'Results ReCiPe (I) - RD'!$AC$9:$BA$9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RD'!$AC$10:$BA$10</c:f>
              <c:numCache>
                <c:formatCode>0.00E+00</c:formatCode>
                <c:ptCount val="25"/>
                <c:pt idx="0">
                  <c:v>2878.9918075462724</c:v>
                </c:pt>
              </c:numCache>
            </c:numRef>
          </c:val>
          <c:extLst>
            <c:ext xmlns:c16="http://schemas.microsoft.com/office/drawing/2014/chart" uri="{C3380CC4-5D6E-409C-BE32-E72D297353CC}">
              <c16:uniqueId val="{00000000-5202-4A0D-98C3-E7CC9894E78C}"/>
            </c:ext>
          </c:extLst>
        </c:ser>
        <c:ser>
          <c:idx val="1"/>
          <c:order val="1"/>
          <c:tx>
            <c:strRef>
              <c:f>'Results ReCiPe (I) - RD'!$AB$11</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(I) - RD'!$AC$9:$BA$9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RD'!$AC$11:$BA$11</c:f>
              <c:numCache>
                <c:formatCode>0.00E+00</c:formatCode>
                <c:ptCount val="25"/>
                <c:pt idx="0">
                  <c:v>270.56319436365197</c:v>
                </c:pt>
              </c:numCache>
            </c:numRef>
          </c:val>
          <c:extLst>
            <c:ext xmlns:c16="http://schemas.microsoft.com/office/drawing/2014/chart" uri="{C3380CC4-5D6E-409C-BE32-E72D297353CC}">
              <c16:uniqueId val="{00000001-5202-4A0D-98C3-E7CC9894E78C}"/>
            </c:ext>
          </c:extLst>
        </c:ser>
        <c:ser>
          <c:idx val="2"/>
          <c:order val="2"/>
          <c:tx>
            <c:strRef>
              <c:f>'Results ReCiPe (I) - RD'!$AB$12</c:f>
              <c:strCache>
                <c:ptCount val="1"/>
                <c:pt idx="0">
                  <c:v>Deconstruction - DAC</c:v>
                </c:pt>
              </c:strCache>
            </c:strRef>
          </c:tx>
          <c:spPr>
            <a:solidFill>
              <a:schemeClr val="accent2">
                <a:lumMod val="40000"/>
                <a:lumOff val="60000"/>
              </a:schemeClr>
            </a:solidFill>
            <a:ln>
              <a:noFill/>
            </a:ln>
            <a:effectLst/>
          </c:spPr>
          <c:invertIfNegative val="0"/>
          <c:cat>
            <c:numRef>
              <c:f>'Results ReCiPe (I) - RD'!$AC$9:$BA$9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RD'!$AC$12:$BA$12</c:f>
              <c:numCache>
                <c:formatCode>0.00E+00</c:formatCode>
                <c:ptCount val="25"/>
                <c:pt idx="24">
                  <c:v>45.667206385167617</c:v>
                </c:pt>
              </c:numCache>
            </c:numRef>
          </c:val>
          <c:extLst>
            <c:ext xmlns:c16="http://schemas.microsoft.com/office/drawing/2014/chart" uri="{C3380CC4-5D6E-409C-BE32-E72D297353CC}">
              <c16:uniqueId val="{00000002-5202-4A0D-98C3-E7CC9894E78C}"/>
            </c:ext>
          </c:extLst>
        </c:ser>
        <c:ser>
          <c:idx val="3"/>
          <c:order val="3"/>
          <c:tx>
            <c:strRef>
              <c:f>'Results ReCiPe (I) - RD'!$AB$13</c:f>
              <c:strCache>
                <c:ptCount val="1"/>
                <c:pt idx="0">
                  <c:v>Deconstruction - geological storage</c:v>
                </c:pt>
              </c:strCache>
            </c:strRef>
          </c:tx>
          <c:spPr>
            <a:solidFill>
              <a:srgbClr val="FF9900"/>
            </a:solidFill>
            <a:ln>
              <a:noFill/>
            </a:ln>
            <a:effectLst/>
          </c:spPr>
          <c:invertIfNegative val="0"/>
          <c:cat>
            <c:numRef>
              <c:f>'Results ReCiPe (I) - RD'!$AC$9:$BA$9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RD'!$AC$13:$BA$13</c:f>
              <c:numCache>
                <c:formatCode>0.00E+00</c:formatCode>
                <c:ptCount val="25"/>
                <c:pt idx="24">
                  <c:v>1.3426941091969788</c:v>
                </c:pt>
              </c:numCache>
            </c:numRef>
          </c:val>
          <c:extLst>
            <c:ext xmlns:c16="http://schemas.microsoft.com/office/drawing/2014/chart" uri="{C3380CC4-5D6E-409C-BE32-E72D297353CC}">
              <c16:uniqueId val="{00000003-5202-4A0D-98C3-E7CC9894E78C}"/>
            </c:ext>
          </c:extLst>
        </c:ser>
        <c:ser>
          <c:idx val="4"/>
          <c:order val="4"/>
          <c:tx>
            <c:strRef>
              <c:f>'Results ReCiPe (I) - RD'!$AB$14</c:f>
              <c:strCache>
                <c:ptCount val="1"/>
                <c:pt idx="0">
                  <c:v>Sorbent material</c:v>
                </c:pt>
              </c:strCache>
            </c:strRef>
          </c:tx>
          <c:spPr>
            <a:solidFill>
              <a:srgbClr val="FF8F8F"/>
            </a:solidFill>
            <a:ln>
              <a:noFill/>
            </a:ln>
            <a:effectLst/>
          </c:spPr>
          <c:invertIfNegative val="0"/>
          <c:cat>
            <c:numRef>
              <c:f>'Results ReCiPe (I) - RD'!$AC$9:$BA$9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RD'!$AC$14:$BA$14</c:f>
              <c:numCache>
                <c:formatCode>0.00E+00</c:formatCode>
                <c:ptCount val="25"/>
                <c:pt idx="0">
                  <c:v>118.02764904622801</c:v>
                </c:pt>
                <c:pt idx="3">
                  <c:v>117.2066454136766</c:v>
                </c:pt>
                <c:pt idx="6">
                  <c:v>117.0826402904443</c:v>
                </c:pt>
                <c:pt idx="9">
                  <c:v>116.48331346148591</c:v>
                </c:pt>
                <c:pt idx="12">
                  <c:v>116.4010822157788</c:v>
                </c:pt>
                <c:pt idx="15">
                  <c:v>116.1865333353054</c:v>
                </c:pt>
                <c:pt idx="18">
                  <c:v>115.889418436463</c:v>
                </c:pt>
                <c:pt idx="21">
                  <c:v>115.765483779476</c:v>
                </c:pt>
                <c:pt idx="24">
                  <c:v>115.702219044955</c:v>
                </c:pt>
              </c:numCache>
            </c:numRef>
          </c:val>
          <c:extLst>
            <c:ext xmlns:c16="http://schemas.microsoft.com/office/drawing/2014/chart" uri="{C3380CC4-5D6E-409C-BE32-E72D297353CC}">
              <c16:uniqueId val="{00000004-5202-4A0D-98C3-E7CC9894E78C}"/>
            </c:ext>
          </c:extLst>
        </c:ser>
        <c:ser>
          <c:idx val="5"/>
          <c:order val="5"/>
          <c:tx>
            <c:strRef>
              <c:f>'Results ReCiPe (I) - RD'!$AB$15</c:f>
              <c:strCache>
                <c:ptCount val="1"/>
                <c:pt idx="0">
                  <c:v>Operation - DAC</c:v>
                </c:pt>
              </c:strCache>
            </c:strRef>
          </c:tx>
          <c:spPr>
            <a:solidFill>
              <a:schemeClr val="accent2">
                <a:lumMod val="75000"/>
              </a:schemeClr>
            </a:solidFill>
            <a:ln>
              <a:noFill/>
            </a:ln>
            <a:effectLst/>
          </c:spPr>
          <c:invertIfNegative val="0"/>
          <c:cat>
            <c:numRef>
              <c:f>'Results ReCiPe (I) - RD'!$AC$9:$BA$9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RD'!$AC$15:$BA$15</c:f>
              <c:numCache>
                <c:formatCode>0.00E+00</c:formatCode>
                <c:ptCount val="25"/>
                <c:pt idx="0">
                  <c:v>2320.2957126513638</c:v>
                </c:pt>
                <c:pt idx="1">
                  <c:v>2331.0218189238758</c:v>
                </c:pt>
                <c:pt idx="2">
                  <c:v>2341.8370283107788</c:v>
                </c:pt>
                <c:pt idx="3">
                  <c:v>2348.5919610114788</c:v>
                </c:pt>
                <c:pt idx="4">
                  <c:v>2359.6433244948312</c:v>
                </c:pt>
                <c:pt idx="5">
                  <c:v>2370.780781485762</c:v>
                </c:pt>
                <c:pt idx="6">
                  <c:v>2412.493818635865</c:v>
                </c:pt>
                <c:pt idx="7">
                  <c:v>2454.1519216562142</c:v>
                </c:pt>
                <c:pt idx="8">
                  <c:v>2492.6634035677921</c:v>
                </c:pt>
                <c:pt idx="9">
                  <c:v>2534.3600755608791</c:v>
                </c:pt>
                <c:pt idx="10">
                  <c:v>2576.0259066095182</c:v>
                </c:pt>
                <c:pt idx="11">
                  <c:v>2580.9910172522009</c:v>
                </c:pt>
                <c:pt idx="12">
                  <c:v>2585.835724022978</c:v>
                </c:pt>
                <c:pt idx="13">
                  <c:v>2589.847069282258</c:v>
                </c:pt>
                <c:pt idx="14">
                  <c:v>2594.4417078668812</c:v>
                </c:pt>
                <c:pt idx="15">
                  <c:v>2598.8976822769332</c:v>
                </c:pt>
                <c:pt idx="16">
                  <c:v>2694.096908539269</c:v>
                </c:pt>
                <c:pt idx="17">
                  <c:v>2789.3406357299609</c:v>
                </c:pt>
                <c:pt idx="18">
                  <c:v>2884.0214082249759</c:v>
                </c:pt>
                <c:pt idx="19">
                  <c:v>2979.415699161957</c:v>
                </c:pt>
                <c:pt idx="20">
                  <c:v>3074.893445952297</c:v>
                </c:pt>
                <c:pt idx="21">
                  <c:v>3094.610040836661</c:v>
                </c:pt>
                <c:pt idx="22">
                  <c:v>3114.509726791935</c:v>
                </c:pt>
                <c:pt idx="23">
                  <c:v>3134.5413143898099</c:v>
                </c:pt>
                <c:pt idx="24">
                  <c:v>3154.7042012745792</c:v>
                </c:pt>
              </c:numCache>
            </c:numRef>
          </c:val>
          <c:extLst>
            <c:ext xmlns:c16="http://schemas.microsoft.com/office/drawing/2014/chart" uri="{C3380CC4-5D6E-409C-BE32-E72D297353CC}">
              <c16:uniqueId val="{00000005-5202-4A0D-98C3-E7CC9894E78C}"/>
            </c:ext>
          </c:extLst>
        </c:ser>
        <c:ser>
          <c:idx val="6"/>
          <c:order val="6"/>
          <c:tx>
            <c:strRef>
              <c:f>'Results ReCiPe (I) - RD'!$AB$16</c:f>
              <c:strCache>
                <c:ptCount val="1"/>
                <c:pt idx="0">
                  <c:v>Operation - geological storage</c:v>
                </c:pt>
              </c:strCache>
            </c:strRef>
          </c:tx>
          <c:spPr>
            <a:solidFill>
              <a:schemeClr val="accent2">
                <a:lumMod val="50000"/>
              </a:schemeClr>
            </a:solidFill>
            <a:ln>
              <a:noFill/>
            </a:ln>
            <a:effectLst/>
          </c:spPr>
          <c:invertIfNegative val="0"/>
          <c:cat>
            <c:numRef>
              <c:f>'Results ReCiPe (I) - RD'!$AC$9:$BA$9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RD'!$AC$16:$BA$16</c:f>
              <c:numCache>
                <c:formatCode>0.00E+00</c:formatCode>
                <c:ptCount val="25"/>
                <c:pt idx="0">
                  <c:v>185.0458730795367</c:v>
                </c:pt>
                <c:pt idx="1">
                  <c:v>185.5870061753408</c:v>
                </c:pt>
                <c:pt idx="2">
                  <c:v>186.1317559408335</c:v>
                </c:pt>
                <c:pt idx="3">
                  <c:v>186.3049753122952</c:v>
                </c:pt>
                <c:pt idx="4">
                  <c:v>186.86159401415</c:v>
                </c:pt>
                <c:pt idx="5">
                  <c:v>187.42139894988489</c:v>
                </c:pt>
                <c:pt idx="6">
                  <c:v>190.33749070944052</c:v>
                </c:pt>
                <c:pt idx="7">
                  <c:v>193.24039260737891</c:v>
                </c:pt>
                <c:pt idx="8">
                  <c:v>195.85265493849241</c:v>
                </c:pt>
                <c:pt idx="9">
                  <c:v>198.74092132194491</c:v>
                </c:pt>
                <c:pt idx="10">
                  <c:v>201.6178194425556</c:v>
                </c:pt>
                <c:pt idx="11">
                  <c:v>201.7888689970024</c:v>
                </c:pt>
                <c:pt idx="12">
                  <c:v>201.9500347911808</c:v>
                </c:pt>
                <c:pt idx="13">
                  <c:v>202.03504034392071</c:v>
                </c:pt>
                <c:pt idx="14">
                  <c:v>202.17597488637722</c:v>
                </c:pt>
                <c:pt idx="15">
                  <c:v>202.30575738198948</c:v>
                </c:pt>
                <c:pt idx="16">
                  <c:v>209.23970997685458</c:v>
                </c:pt>
                <c:pt idx="17">
                  <c:v>216.16324456249362</c:v>
                </c:pt>
                <c:pt idx="18">
                  <c:v>223.01863752602168</c:v>
                </c:pt>
                <c:pt idx="19">
                  <c:v>229.9260485609436</c:v>
                </c:pt>
                <c:pt idx="20">
                  <c:v>236.82589937845711</c:v>
                </c:pt>
                <c:pt idx="21">
                  <c:v>237.86094040196261</c:v>
                </c:pt>
                <c:pt idx="22">
                  <c:v>238.90809153153509</c:v>
                </c:pt>
                <c:pt idx="23">
                  <c:v>239.95899568543302</c:v>
                </c:pt>
                <c:pt idx="24">
                  <c:v>241.0134498082281</c:v>
                </c:pt>
              </c:numCache>
            </c:numRef>
          </c:val>
          <c:extLst>
            <c:ext xmlns:c16="http://schemas.microsoft.com/office/drawing/2014/chart" uri="{C3380CC4-5D6E-409C-BE32-E72D297353CC}">
              <c16:uniqueId val="{00000006-5202-4A0D-98C3-E7CC9894E78C}"/>
            </c:ext>
          </c:extLst>
        </c:ser>
        <c:ser>
          <c:idx val="7"/>
          <c:order val="7"/>
          <c:tx>
            <c:strRef>
              <c:f>'Results ReCiPe (I) - RD'!$AB$17</c:f>
              <c:strCache>
                <c:ptCount val="1"/>
                <c:pt idx="0">
                  <c:v>CO2 captured and stored</c:v>
                </c:pt>
              </c:strCache>
            </c:strRef>
          </c:tx>
          <c:spPr>
            <a:solidFill>
              <a:schemeClr val="tx2">
                <a:lumMod val="20000"/>
                <a:lumOff val="80000"/>
              </a:schemeClr>
            </a:solidFill>
            <a:ln>
              <a:noFill/>
            </a:ln>
            <a:effectLst/>
          </c:spPr>
          <c:invertIfNegative val="0"/>
          <c:cat>
            <c:numRef>
              <c:f>'Results ReCiPe (I) - RD'!$AC$9:$BA$9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RD'!$AC$17:$BA$17</c:f>
              <c:numCache>
                <c:formatCode>0.00E+00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7-5202-4A0D-98C3-E7CC9894E78C}"/>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(I) - RD'!$AB$18</c:f>
              <c:strCache>
                <c:ptCount val="1"/>
                <c:pt idx="0">
                  <c:v>TOTAL per year</c:v>
                </c:pt>
              </c:strCache>
            </c:strRef>
          </c:tx>
          <c:spPr>
            <a:ln w="25400" cap="rnd">
              <a:noFill/>
              <a:round/>
            </a:ln>
            <a:effectLst/>
          </c:spPr>
          <c:marker>
            <c:symbol val="circle"/>
            <c:size val="5"/>
            <c:spPr>
              <a:solidFill>
                <a:schemeClr val="tx1"/>
              </a:solidFill>
              <a:ln w="9525">
                <a:solidFill>
                  <a:schemeClr val="tx1"/>
                </a:solidFill>
              </a:ln>
              <a:effectLst/>
            </c:spPr>
          </c:marker>
          <c:cat>
            <c:numRef>
              <c:f>'Results ReCiPe (I) - RD'!$AC$9:$BA$9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RD'!$AC$18:$BA$18</c:f>
              <c:numCache>
                <c:formatCode>0.00E+00</c:formatCode>
                <c:ptCount val="25"/>
                <c:pt idx="0">
                  <c:v>5772.9242366870531</c:v>
                </c:pt>
                <c:pt idx="1">
                  <c:v>2516.6088250992166</c:v>
                </c:pt>
                <c:pt idx="2">
                  <c:v>2527.9687842516123</c:v>
                </c:pt>
                <c:pt idx="3">
                  <c:v>2652.1035817374504</c:v>
                </c:pt>
                <c:pt idx="4">
                  <c:v>2546.5049185089811</c:v>
                </c:pt>
                <c:pt idx="5">
                  <c:v>2558.2021804356468</c:v>
                </c:pt>
                <c:pt idx="6">
                  <c:v>2719.9139496357498</c:v>
                </c:pt>
                <c:pt idx="7">
                  <c:v>2647.3923142635931</c:v>
                </c:pt>
                <c:pt idx="8">
                  <c:v>2688.5160585062845</c:v>
                </c:pt>
                <c:pt idx="9">
                  <c:v>2849.5843103443099</c:v>
                </c:pt>
                <c:pt idx="10">
                  <c:v>2777.6437260520738</c:v>
                </c:pt>
                <c:pt idx="11">
                  <c:v>2782.7798862492032</c:v>
                </c:pt>
                <c:pt idx="12">
                  <c:v>2904.1868410299376</c:v>
                </c:pt>
                <c:pt idx="13">
                  <c:v>2791.8821096261786</c:v>
                </c:pt>
                <c:pt idx="14">
                  <c:v>2796.6176827532586</c:v>
                </c:pt>
                <c:pt idx="15">
                  <c:v>2917.3899729942282</c:v>
                </c:pt>
                <c:pt idx="16">
                  <c:v>2903.3366185161235</c:v>
                </c:pt>
                <c:pt idx="17">
                  <c:v>3005.5038802924546</c:v>
                </c:pt>
                <c:pt idx="18">
                  <c:v>3222.9294641874608</c:v>
                </c:pt>
                <c:pt idx="19">
                  <c:v>3209.3417477229004</c:v>
                </c:pt>
                <c:pt idx="20">
                  <c:v>3311.7193453307541</c:v>
                </c:pt>
                <c:pt idx="21">
                  <c:v>3448.2364650180998</c:v>
                </c:pt>
                <c:pt idx="22">
                  <c:v>3353.4178183234699</c:v>
                </c:pt>
                <c:pt idx="23">
                  <c:v>3374.5003100752429</c:v>
                </c:pt>
                <c:pt idx="24">
                  <c:v>3558.4297706221269</c:v>
                </c:pt>
              </c:numCache>
            </c:numRef>
          </c:val>
          <c:smooth val="0"/>
          <c:extLst>
            <c:ext xmlns:c16="http://schemas.microsoft.com/office/drawing/2014/chart" uri="{C3380CC4-5D6E-409C-BE32-E72D297353CC}">
              <c16:uniqueId val="{00000008-5202-4A0D-98C3-E7CC9894E78C}"/>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Resource damage </a:t>
                </a:r>
              </a:p>
              <a:p>
                <a:pPr algn="ctr" rtl="0">
                  <a:defRPr/>
                </a:pPr>
                <a:r>
                  <a:rPr lang="nl-NL"/>
                  <a:t>[USD2013/ton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(I) - RD'!$AB$50</c:f>
              <c:strCache>
                <c:ptCount val="1"/>
                <c:pt idx="0">
                  <c:v>Construction - DAC</c:v>
                </c:pt>
              </c:strCache>
            </c:strRef>
          </c:tx>
          <c:spPr>
            <a:solidFill>
              <a:schemeClr val="accent4">
                <a:lumMod val="75000"/>
              </a:schemeClr>
            </a:solidFill>
            <a:ln>
              <a:noFill/>
            </a:ln>
            <a:effectLst/>
          </c:spPr>
          <c:invertIfNegative val="0"/>
          <c:cat>
            <c:numRef>
              <c:f>'Results ReCiPe (I) - RD'!$AC$49:$BA$49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RD'!$AC$50:$BA$50</c:f>
              <c:numCache>
                <c:formatCode>0.00E+00</c:formatCode>
                <c:ptCount val="25"/>
                <c:pt idx="0">
                  <c:v>2823.4856314484796</c:v>
                </c:pt>
              </c:numCache>
            </c:numRef>
          </c:val>
          <c:extLst>
            <c:ext xmlns:c16="http://schemas.microsoft.com/office/drawing/2014/chart" uri="{C3380CC4-5D6E-409C-BE32-E72D297353CC}">
              <c16:uniqueId val="{00000000-EEE4-464F-A7F1-97D6FBEEFA2C}"/>
            </c:ext>
          </c:extLst>
        </c:ser>
        <c:ser>
          <c:idx val="1"/>
          <c:order val="1"/>
          <c:tx>
            <c:strRef>
              <c:f>'Results ReCiPe (I) - RD'!$AB$51</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(I) - RD'!$AC$49:$BA$49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RD'!$AC$51:$BA$51</c:f>
              <c:numCache>
                <c:formatCode>0.00E+00</c:formatCode>
                <c:ptCount val="25"/>
                <c:pt idx="0">
                  <c:v>267.84906066089701</c:v>
                </c:pt>
              </c:numCache>
            </c:numRef>
          </c:val>
          <c:extLst>
            <c:ext xmlns:c16="http://schemas.microsoft.com/office/drawing/2014/chart" uri="{C3380CC4-5D6E-409C-BE32-E72D297353CC}">
              <c16:uniqueId val="{00000001-EEE4-464F-A7F1-97D6FBEEFA2C}"/>
            </c:ext>
          </c:extLst>
        </c:ser>
        <c:ser>
          <c:idx val="2"/>
          <c:order val="2"/>
          <c:tx>
            <c:strRef>
              <c:f>'Results ReCiPe (I) - RD'!$AB$52</c:f>
              <c:strCache>
                <c:ptCount val="1"/>
                <c:pt idx="0">
                  <c:v>Deconstruction - DAC</c:v>
                </c:pt>
              </c:strCache>
            </c:strRef>
          </c:tx>
          <c:spPr>
            <a:solidFill>
              <a:schemeClr val="accent2">
                <a:lumMod val="40000"/>
                <a:lumOff val="60000"/>
              </a:schemeClr>
            </a:solidFill>
            <a:ln>
              <a:noFill/>
            </a:ln>
            <a:effectLst/>
          </c:spPr>
          <c:invertIfNegative val="0"/>
          <c:cat>
            <c:numRef>
              <c:f>'Results ReCiPe (I) - RD'!$AC$49:$BA$49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RD'!$AC$52:$BA$52</c:f>
              <c:numCache>
                <c:formatCode>0.00E+00</c:formatCode>
                <c:ptCount val="25"/>
                <c:pt idx="24">
                  <c:v>41.820043084295236</c:v>
                </c:pt>
              </c:numCache>
            </c:numRef>
          </c:val>
          <c:extLst>
            <c:ext xmlns:c16="http://schemas.microsoft.com/office/drawing/2014/chart" uri="{C3380CC4-5D6E-409C-BE32-E72D297353CC}">
              <c16:uniqueId val="{00000002-EEE4-464F-A7F1-97D6FBEEFA2C}"/>
            </c:ext>
          </c:extLst>
        </c:ser>
        <c:ser>
          <c:idx val="3"/>
          <c:order val="3"/>
          <c:tx>
            <c:strRef>
              <c:f>'Results ReCiPe (I) - RD'!$AB$53</c:f>
              <c:strCache>
                <c:ptCount val="1"/>
                <c:pt idx="0">
                  <c:v>Deconstruction - geological storage</c:v>
                </c:pt>
              </c:strCache>
            </c:strRef>
          </c:tx>
          <c:spPr>
            <a:solidFill>
              <a:srgbClr val="FF9900"/>
            </a:solidFill>
            <a:ln>
              <a:noFill/>
            </a:ln>
            <a:effectLst/>
          </c:spPr>
          <c:invertIfNegative val="0"/>
          <c:cat>
            <c:numRef>
              <c:f>'Results ReCiPe (I) - RD'!$AC$49:$BA$49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RD'!$AC$53:$BA$53</c:f>
              <c:numCache>
                <c:formatCode>0.00E+00</c:formatCode>
                <c:ptCount val="25"/>
                <c:pt idx="24">
                  <c:v>1.2962600802775475</c:v>
                </c:pt>
              </c:numCache>
            </c:numRef>
          </c:val>
          <c:extLst>
            <c:ext xmlns:c16="http://schemas.microsoft.com/office/drawing/2014/chart" uri="{C3380CC4-5D6E-409C-BE32-E72D297353CC}">
              <c16:uniqueId val="{00000003-EEE4-464F-A7F1-97D6FBEEFA2C}"/>
            </c:ext>
          </c:extLst>
        </c:ser>
        <c:ser>
          <c:idx val="4"/>
          <c:order val="4"/>
          <c:tx>
            <c:strRef>
              <c:f>'Results ReCiPe (I) - RD'!$AB$54</c:f>
              <c:strCache>
                <c:ptCount val="1"/>
                <c:pt idx="0">
                  <c:v>Sorbent material</c:v>
                </c:pt>
              </c:strCache>
            </c:strRef>
          </c:tx>
          <c:spPr>
            <a:solidFill>
              <a:srgbClr val="FF8F8F"/>
            </a:solidFill>
            <a:ln>
              <a:noFill/>
            </a:ln>
            <a:effectLst/>
          </c:spPr>
          <c:invertIfNegative val="0"/>
          <c:cat>
            <c:numRef>
              <c:f>'Results ReCiPe (I) - RD'!$AC$49:$BA$49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RD'!$AC$54:$BA$54</c:f>
              <c:numCache>
                <c:formatCode>0.00E+00</c:formatCode>
                <c:ptCount val="25"/>
                <c:pt idx="0">
                  <c:v>117.2508960880117</c:v>
                </c:pt>
                <c:pt idx="3">
                  <c:v>115.97999477629099</c:v>
                </c:pt>
                <c:pt idx="6">
                  <c:v>115.68776613125171</c:v>
                </c:pt>
                <c:pt idx="9">
                  <c:v>115.5360727733087</c:v>
                </c:pt>
                <c:pt idx="12">
                  <c:v>115.051358787382</c:v>
                </c:pt>
                <c:pt idx="15">
                  <c:v>114.04079735172429</c:v>
                </c:pt>
                <c:pt idx="18">
                  <c:v>113.2082579102948</c:v>
                </c:pt>
                <c:pt idx="21">
                  <c:v>112.6698309452093</c:v>
                </c:pt>
                <c:pt idx="24">
                  <c:v>112.4422249103109</c:v>
                </c:pt>
              </c:numCache>
            </c:numRef>
          </c:val>
          <c:extLst>
            <c:ext xmlns:c16="http://schemas.microsoft.com/office/drawing/2014/chart" uri="{C3380CC4-5D6E-409C-BE32-E72D297353CC}">
              <c16:uniqueId val="{00000004-EEE4-464F-A7F1-97D6FBEEFA2C}"/>
            </c:ext>
          </c:extLst>
        </c:ser>
        <c:ser>
          <c:idx val="5"/>
          <c:order val="5"/>
          <c:tx>
            <c:strRef>
              <c:f>'Results ReCiPe (I) - RD'!$AB$55</c:f>
              <c:strCache>
                <c:ptCount val="1"/>
                <c:pt idx="0">
                  <c:v>Operation - DAC</c:v>
                </c:pt>
              </c:strCache>
            </c:strRef>
          </c:tx>
          <c:spPr>
            <a:solidFill>
              <a:schemeClr val="accent2">
                <a:lumMod val="75000"/>
              </a:schemeClr>
            </a:solidFill>
            <a:ln>
              <a:noFill/>
            </a:ln>
            <a:effectLst/>
          </c:spPr>
          <c:invertIfNegative val="0"/>
          <c:cat>
            <c:numRef>
              <c:f>'Results ReCiPe (I) - RD'!$AC$49:$BA$49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RD'!$AC$55:$BA$55</c:f>
              <c:numCache>
                <c:formatCode>0.00E+00</c:formatCode>
                <c:ptCount val="25"/>
                <c:pt idx="0">
                  <c:v>2395.2784371450261</c:v>
                </c:pt>
                <c:pt idx="1">
                  <c:v>2377.7659488164841</c:v>
                </c:pt>
                <c:pt idx="2">
                  <c:v>2360.278481322463</c:v>
                </c:pt>
                <c:pt idx="3">
                  <c:v>2338.3366574323809</c:v>
                </c:pt>
                <c:pt idx="4">
                  <c:v>2320.9131369377228</c:v>
                </c:pt>
                <c:pt idx="5">
                  <c:v>2303.5112511814382</c:v>
                </c:pt>
                <c:pt idx="6">
                  <c:v>2298.6405021851651</c:v>
                </c:pt>
                <c:pt idx="7">
                  <c:v>2293.6427801031141</c:v>
                </c:pt>
                <c:pt idx="8">
                  <c:v>2284.5436558183569</c:v>
                </c:pt>
                <c:pt idx="9">
                  <c:v>2279.1128477594411</c:v>
                </c:pt>
                <c:pt idx="10">
                  <c:v>2273.4892258671998</c:v>
                </c:pt>
                <c:pt idx="11">
                  <c:v>2258.3806691600962</c:v>
                </c:pt>
                <c:pt idx="12">
                  <c:v>2243.0013513386421</c:v>
                </c:pt>
                <c:pt idx="13">
                  <c:v>2226.425186101631</c:v>
                </c:pt>
                <c:pt idx="14">
                  <c:v>2210.5189960885832</c:v>
                </c:pt>
                <c:pt idx="15">
                  <c:v>2194.3472971194292</c:v>
                </c:pt>
                <c:pt idx="16">
                  <c:v>2207.7555202365961</c:v>
                </c:pt>
                <c:pt idx="17">
                  <c:v>2220.8992458052571</c:v>
                </c:pt>
                <c:pt idx="18">
                  <c:v>2232.8684946513622</c:v>
                </c:pt>
                <c:pt idx="19">
                  <c:v>2245.4956115771961</c:v>
                </c:pt>
                <c:pt idx="20">
                  <c:v>2257.8694150948049</c:v>
                </c:pt>
                <c:pt idx="21">
                  <c:v>2236.3664567277801</c:v>
                </c:pt>
                <c:pt idx="22">
                  <c:v>2214.865474169248</c:v>
                </c:pt>
                <c:pt idx="23">
                  <c:v>2193.275164287033</c:v>
                </c:pt>
                <c:pt idx="24">
                  <c:v>2171.5922338779951</c:v>
                </c:pt>
              </c:numCache>
            </c:numRef>
          </c:val>
          <c:extLst>
            <c:ext xmlns:c16="http://schemas.microsoft.com/office/drawing/2014/chart" uri="{C3380CC4-5D6E-409C-BE32-E72D297353CC}">
              <c16:uniqueId val="{00000005-EEE4-464F-A7F1-97D6FBEEFA2C}"/>
            </c:ext>
          </c:extLst>
        </c:ser>
        <c:ser>
          <c:idx val="6"/>
          <c:order val="6"/>
          <c:tx>
            <c:strRef>
              <c:f>'Results ReCiPe (I) - RD'!$AB$56</c:f>
              <c:strCache>
                <c:ptCount val="1"/>
                <c:pt idx="0">
                  <c:v>Operation - geological storage</c:v>
                </c:pt>
              </c:strCache>
            </c:strRef>
          </c:tx>
          <c:spPr>
            <a:solidFill>
              <a:schemeClr val="accent2">
                <a:lumMod val="50000"/>
              </a:schemeClr>
            </a:solidFill>
            <a:ln>
              <a:noFill/>
            </a:ln>
            <a:effectLst/>
          </c:spPr>
          <c:invertIfNegative val="0"/>
          <c:cat>
            <c:numRef>
              <c:f>'Results ReCiPe (I) - RD'!$AC$49:$BA$49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RD'!$AC$56:$BA$56</c:f>
              <c:numCache>
                <c:formatCode>0.00E+00</c:formatCode>
                <c:ptCount val="25"/>
                <c:pt idx="0">
                  <c:v>189.95365198935059</c:v>
                </c:pt>
                <c:pt idx="1">
                  <c:v>188.19494287198691</c:v>
                </c:pt>
                <c:pt idx="2">
                  <c:v>186.44260066353669</c:v>
                </c:pt>
                <c:pt idx="3">
                  <c:v>184.2978933509371</c:v>
                </c:pt>
                <c:pt idx="4">
                  <c:v>182.5600392896562</c:v>
                </c:pt>
                <c:pt idx="5">
                  <c:v>180.8281778211298</c:v>
                </c:pt>
                <c:pt idx="6">
                  <c:v>180.28554710780492</c:v>
                </c:pt>
                <c:pt idx="7">
                  <c:v>179.73401544872561</c:v>
                </c:pt>
                <c:pt idx="8">
                  <c:v>178.83169177435428</c:v>
                </c:pt>
                <c:pt idx="9">
                  <c:v>178.24948779215859</c:v>
                </c:pt>
                <c:pt idx="10">
                  <c:v>177.6533101314715</c:v>
                </c:pt>
                <c:pt idx="11">
                  <c:v>176.47977086474322</c:v>
                </c:pt>
                <c:pt idx="12">
                  <c:v>175.28679841680329</c:v>
                </c:pt>
                <c:pt idx="13">
                  <c:v>173.9928575036916</c:v>
                </c:pt>
                <c:pt idx="14">
                  <c:v>172.76223616991192</c:v>
                </c:pt>
                <c:pt idx="15">
                  <c:v>171.512456333968</c:v>
                </c:pt>
                <c:pt idx="16">
                  <c:v>172.75597036638891</c:v>
                </c:pt>
                <c:pt idx="17">
                  <c:v>173.98577947093</c:v>
                </c:pt>
                <c:pt idx="18">
                  <c:v>175.12202568925511</c:v>
                </c:pt>
                <c:pt idx="19">
                  <c:v>176.32490210861661</c:v>
                </c:pt>
                <c:pt idx="20">
                  <c:v>177.5143633388152</c:v>
                </c:pt>
                <c:pt idx="21">
                  <c:v>175.6440767498911</c:v>
                </c:pt>
                <c:pt idx="22">
                  <c:v>173.78266047518341</c:v>
                </c:pt>
                <c:pt idx="23">
                  <c:v>171.91962939424371</c:v>
                </c:pt>
                <c:pt idx="24">
                  <c:v>170.05468115511479</c:v>
                </c:pt>
              </c:numCache>
            </c:numRef>
          </c:val>
          <c:extLst>
            <c:ext xmlns:c16="http://schemas.microsoft.com/office/drawing/2014/chart" uri="{C3380CC4-5D6E-409C-BE32-E72D297353CC}">
              <c16:uniqueId val="{00000006-EEE4-464F-A7F1-97D6FBEEFA2C}"/>
            </c:ext>
          </c:extLst>
        </c:ser>
        <c:ser>
          <c:idx val="7"/>
          <c:order val="7"/>
          <c:tx>
            <c:strRef>
              <c:f>'Results ReCiPe (I) - RD'!$AB$57</c:f>
              <c:strCache>
                <c:ptCount val="1"/>
                <c:pt idx="0">
                  <c:v>CO2 captured and stored</c:v>
                </c:pt>
              </c:strCache>
            </c:strRef>
          </c:tx>
          <c:spPr>
            <a:solidFill>
              <a:schemeClr val="tx2">
                <a:lumMod val="20000"/>
                <a:lumOff val="80000"/>
              </a:schemeClr>
            </a:solidFill>
            <a:ln>
              <a:noFill/>
            </a:ln>
            <a:effectLst/>
          </c:spPr>
          <c:invertIfNegative val="0"/>
          <c:cat>
            <c:numRef>
              <c:f>'Results ReCiPe (I) - RD'!$AC$49:$BA$49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RD'!$AC$57:$BA$57</c:f>
              <c:numCache>
                <c:formatCode>0.00E+00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7-EEE4-464F-A7F1-97D6FBEEFA2C}"/>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(I) - RD'!$AB$58</c:f>
              <c:strCache>
                <c:ptCount val="1"/>
                <c:pt idx="0">
                  <c:v>TOTAL per year</c:v>
                </c:pt>
              </c:strCache>
            </c:strRef>
          </c:tx>
          <c:spPr>
            <a:ln w="25400" cap="rnd">
              <a:noFill/>
              <a:round/>
            </a:ln>
            <a:effectLst/>
          </c:spPr>
          <c:marker>
            <c:symbol val="circle"/>
            <c:size val="5"/>
            <c:spPr>
              <a:solidFill>
                <a:schemeClr val="tx1"/>
              </a:solidFill>
              <a:ln w="9525">
                <a:solidFill>
                  <a:schemeClr val="tx1"/>
                </a:solidFill>
              </a:ln>
              <a:effectLst/>
            </c:spPr>
          </c:marker>
          <c:cat>
            <c:numRef>
              <c:f>'Results ReCiPe (I) - RD'!$AC$49:$BA$49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RD'!$AC$58:$BA$58</c:f>
              <c:numCache>
                <c:formatCode>0.00E+00</c:formatCode>
                <c:ptCount val="25"/>
                <c:pt idx="0">
                  <c:v>5793.8176773317655</c:v>
                </c:pt>
                <c:pt idx="1">
                  <c:v>2565.9608916884708</c:v>
                </c:pt>
                <c:pt idx="2">
                  <c:v>2546.7210819859997</c:v>
                </c:pt>
                <c:pt idx="3">
                  <c:v>2638.6145455596088</c:v>
                </c:pt>
                <c:pt idx="4">
                  <c:v>2503.4731762273791</c:v>
                </c:pt>
                <c:pt idx="5">
                  <c:v>2484.3394290025681</c:v>
                </c:pt>
                <c:pt idx="6">
                  <c:v>2594.6138154242221</c:v>
                </c:pt>
                <c:pt idx="7">
                  <c:v>2473.3767955518397</c:v>
                </c:pt>
                <c:pt idx="8">
                  <c:v>2463.375347592711</c:v>
                </c:pt>
                <c:pt idx="9">
                  <c:v>2572.8984083249084</c:v>
                </c:pt>
                <c:pt idx="10">
                  <c:v>2451.1425359986715</c:v>
                </c:pt>
                <c:pt idx="11">
                  <c:v>2434.8604400248396</c:v>
                </c:pt>
                <c:pt idx="12">
                  <c:v>2533.3395085428274</c:v>
                </c:pt>
                <c:pt idx="13">
                  <c:v>2400.4180436053225</c:v>
                </c:pt>
                <c:pt idx="14">
                  <c:v>2383.281232258495</c:v>
                </c:pt>
                <c:pt idx="15">
                  <c:v>2479.9005508051218</c:v>
                </c:pt>
                <c:pt idx="16">
                  <c:v>2380.5114906029848</c:v>
                </c:pt>
                <c:pt idx="17">
                  <c:v>2394.8850252761872</c:v>
                </c:pt>
                <c:pt idx="18">
                  <c:v>2521.1987782509123</c:v>
                </c:pt>
                <c:pt idx="19">
                  <c:v>2421.8205136858128</c:v>
                </c:pt>
                <c:pt idx="20">
                  <c:v>2435.3837784336201</c:v>
                </c:pt>
                <c:pt idx="21">
                  <c:v>2524.6803644228808</c:v>
                </c:pt>
                <c:pt idx="22">
                  <c:v>2388.6481346444316</c:v>
                </c:pt>
                <c:pt idx="23">
                  <c:v>2365.1947936812767</c:v>
                </c:pt>
                <c:pt idx="24">
                  <c:v>2497.2054431079937</c:v>
                </c:pt>
              </c:numCache>
            </c:numRef>
          </c:val>
          <c:smooth val="0"/>
          <c:extLst>
            <c:ext xmlns:c16="http://schemas.microsoft.com/office/drawing/2014/chart" uri="{C3380CC4-5D6E-409C-BE32-E72D297353CC}">
              <c16:uniqueId val="{00000008-EEE4-464F-A7F1-97D6FBEEFA2C}"/>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Resource</a:t>
                </a:r>
                <a:r>
                  <a:rPr lang="nl-NL" baseline="0"/>
                  <a:t> damage</a:t>
                </a:r>
              </a:p>
              <a:p>
                <a:pPr algn="ctr" rtl="0">
                  <a:defRPr/>
                </a:pPr>
                <a:r>
                  <a:rPr lang="nl-NL" baseline="0"/>
                  <a:t>[USD2013</a:t>
                </a:r>
                <a:r>
                  <a:rPr lang="nl-NL"/>
                  <a:t>/ton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(I) - RD'!$AB$90</c:f>
              <c:strCache>
                <c:ptCount val="1"/>
                <c:pt idx="0">
                  <c:v>Construction - DAC</c:v>
                </c:pt>
              </c:strCache>
            </c:strRef>
          </c:tx>
          <c:spPr>
            <a:solidFill>
              <a:schemeClr val="accent4">
                <a:lumMod val="75000"/>
              </a:schemeClr>
            </a:solidFill>
            <a:ln>
              <a:noFill/>
            </a:ln>
            <a:effectLst/>
          </c:spPr>
          <c:invertIfNegative val="0"/>
          <c:cat>
            <c:numRef>
              <c:f>'Results ReCiPe (I) - RD'!$AC$89:$BA$89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RD'!$AC$90:$BA$90</c:f>
              <c:numCache>
                <c:formatCode>0.00E+00</c:formatCode>
                <c:ptCount val="25"/>
                <c:pt idx="0">
                  <c:v>2667.7638206178117</c:v>
                </c:pt>
              </c:numCache>
            </c:numRef>
          </c:val>
          <c:extLst>
            <c:ext xmlns:c16="http://schemas.microsoft.com/office/drawing/2014/chart" uri="{C3380CC4-5D6E-409C-BE32-E72D297353CC}">
              <c16:uniqueId val="{00000000-1F33-4F71-8ED4-98A3603434B9}"/>
            </c:ext>
          </c:extLst>
        </c:ser>
        <c:ser>
          <c:idx val="1"/>
          <c:order val="1"/>
          <c:tx>
            <c:strRef>
              <c:f>'Results ReCiPe (I) - RD'!$AB$91</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(I) - RD'!$AC$89:$BA$89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RD'!$AC$91:$BA$91</c:f>
              <c:numCache>
                <c:formatCode>0.00E+00</c:formatCode>
                <c:ptCount val="25"/>
                <c:pt idx="0">
                  <c:v>259.78797680878478</c:v>
                </c:pt>
              </c:numCache>
            </c:numRef>
          </c:val>
          <c:extLst>
            <c:ext xmlns:c16="http://schemas.microsoft.com/office/drawing/2014/chart" uri="{C3380CC4-5D6E-409C-BE32-E72D297353CC}">
              <c16:uniqueId val="{00000001-1F33-4F71-8ED4-98A3603434B9}"/>
            </c:ext>
          </c:extLst>
        </c:ser>
        <c:ser>
          <c:idx val="2"/>
          <c:order val="2"/>
          <c:tx>
            <c:strRef>
              <c:f>'Results ReCiPe (I) - RD'!$AB$92</c:f>
              <c:strCache>
                <c:ptCount val="1"/>
                <c:pt idx="0">
                  <c:v>Deconstruction - DAC</c:v>
                </c:pt>
              </c:strCache>
            </c:strRef>
          </c:tx>
          <c:spPr>
            <a:solidFill>
              <a:schemeClr val="accent2">
                <a:lumMod val="40000"/>
                <a:lumOff val="60000"/>
              </a:schemeClr>
            </a:solidFill>
            <a:ln>
              <a:noFill/>
            </a:ln>
            <a:effectLst/>
          </c:spPr>
          <c:invertIfNegative val="0"/>
          <c:cat>
            <c:numRef>
              <c:f>'Results ReCiPe (I) - RD'!$AC$89:$BA$89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RD'!$AC$92:$BA$92</c:f>
              <c:numCache>
                <c:formatCode>0.00E+00</c:formatCode>
                <c:ptCount val="25"/>
                <c:pt idx="24">
                  <c:v>38.811208026370814</c:v>
                </c:pt>
              </c:numCache>
            </c:numRef>
          </c:val>
          <c:extLst>
            <c:ext xmlns:c16="http://schemas.microsoft.com/office/drawing/2014/chart" uri="{C3380CC4-5D6E-409C-BE32-E72D297353CC}">
              <c16:uniqueId val="{00000002-1F33-4F71-8ED4-98A3603434B9}"/>
            </c:ext>
          </c:extLst>
        </c:ser>
        <c:ser>
          <c:idx val="3"/>
          <c:order val="3"/>
          <c:tx>
            <c:strRef>
              <c:f>'Results ReCiPe (I) - RD'!$AB$93</c:f>
              <c:strCache>
                <c:ptCount val="1"/>
                <c:pt idx="0">
                  <c:v>Deconstruction - geological storage</c:v>
                </c:pt>
              </c:strCache>
            </c:strRef>
          </c:tx>
          <c:spPr>
            <a:solidFill>
              <a:srgbClr val="FF9900"/>
            </a:solidFill>
            <a:ln>
              <a:noFill/>
            </a:ln>
            <a:effectLst/>
          </c:spPr>
          <c:invertIfNegative val="0"/>
          <c:cat>
            <c:numRef>
              <c:f>'Results ReCiPe (I) - RD'!$AC$89:$BA$89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RD'!$AC$93:$BA$93</c:f>
              <c:numCache>
                <c:formatCode>0.00E+00</c:formatCode>
                <c:ptCount val="25"/>
                <c:pt idx="24">
                  <c:v>1.2286815910263129</c:v>
                </c:pt>
              </c:numCache>
            </c:numRef>
          </c:val>
          <c:extLst>
            <c:ext xmlns:c16="http://schemas.microsoft.com/office/drawing/2014/chart" uri="{C3380CC4-5D6E-409C-BE32-E72D297353CC}">
              <c16:uniqueId val="{00000003-1F33-4F71-8ED4-98A3603434B9}"/>
            </c:ext>
          </c:extLst>
        </c:ser>
        <c:ser>
          <c:idx val="4"/>
          <c:order val="4"/>
          <c:tx>
            <c:strRef>
              <c:f>'Results ReCiPe (I) - RD'!$AB$94</c:f>
              <c:strCache>
                <c:ptCount val="1"/>
                <c:pt idx="0">
                  <c:v>Sorbent material</c:v>
                </c:pt>
              </c:strCache>
            </c:strRef>
          </c:tx>
          <c:spPr>
            <a:solidFill>
              <a:srgbClr val="FF8F8F"/>
            </a:solidFill>
            <a:ln>
              <a:noFill/>
            </a:ln>
            <a:effectLst/>
          </c:spPr>
          <c:invertIfNegative val="0"/>
          <c:cat>
            <c:numRef>
              <c:f>'Results ReCiPe (I) - RD'!$AC$89:$BA$89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RD'!$AC$94:$BA$94</c:f>
              <c:numCache>
                <c:formatCode>0.00E+00</c:formatCode>
                <c:ptCount val="25"/>
                <c:pt idx="0">
                  <c:v>113.898776346798</c:v>
                </c:pt>
                <c:pt idx="3">
                  <c:v>112.2202631041648</c:v>
                </c:pt>
                <c:pt idx="6">
                  <c:v>112.02723495155939</c:v>
                </c:pt>
                <c:pt idx="9">
                  <c:v>113.04433550375791</c:v>
                </c:pt>
                <c:pt idx="12">
                  <c:v>113.43821672233091</c:v>
                </c:pt>
                <c:pt idx="15">
                  <c:v>113.1998263783904</c:v>
                </c:pt>
                <c:pt idx="18">
                  <c:v>112.0953414641442</c:v>
                </c:pt>
                <c:pt idx="21">
                  <c:v>111.3874174886531</c:v>
                </c:pt>
                <c:pt idx="24">
                  <c:v>111.1953975844519</c:v>
                </c:pt>
              </c:numCache>
            </c:numRef>
          </c:val>
          <c:extLst>
            <c:ext xmlns:c16="http://schemas.microsoft.com/office/drawing/2014/chart" uri="{C3380CC4-5D6E-409C-BE32-E72D297353CC}">
              <c16:uniqueId val="{00000004-1F33-4F71-8ED4-98A3603434B9}"/>
            </c:ext>
          </c:extLst>
        </c:ser>
        <c:ser>
          <c:idx val="5"/>
          <c:order val="5"/>
          <c:tx>
            <c:strRef>
              <c:f>'Results ReCiPe (I) - RD'!$AB$95</c:f>
              <c:strCache>
                <c:ptCount val="1"/>
                <c:pt idx="0">
                  <c:v>Operation - DAC</c:v>
                </c:pt>
              </c:strCache>
            </c:strRef>
          </c:tx>
          <c:spPr>
            <a:solidFill>
              <a:schemeClr val="accent2">
                <a:lumMod val="75000"/>
              </a:schemeClr>
            </a:solidFill>
            <a:ln>
              <a:noFill/>
            </a:ln>
            <a:effectLst/>
          </c:spPr>
          <c:invertIfNegative val="0"/>
          <c:cat>
            <c:numRef>
              <c:f>'Results ReCiPe (I) - RD'!$AC$89:$BA$89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RD'!$AC$95:$BA$95</c:f>
              <c:numCache>
                <c:formatCode>0.00E+00</c:formatCode>
                <c:ptCount val="25"/>
                <c:pt idx="0">
                  <c:v>1571.0682191808789</c:v>
                </c:pt>
                <c:pt idx="1">
                  <c:v>1445.7131334175683</c:v>
                </c:pt>
                <c:pt idx="2">
                  <c:v>1319.4214226823001</c:v>
                </c:pt>
                <c:pt idx="3">
                  <c:v>1186.5064602083582</c:v>
                </c:pt>
                <c:pt idx="4">
                  <c:v>1058.0915305078242</c:v>
                </c:pt>
                <c:pt idx="5">
                  <c:v>928.7436252182016</c:v>
                </c:pt>
                <c:pt idx="6">
                  <c:v>1084.3106399852938</c:v>
                </c:pt>
                <c:pt idx="7">
                  <c:v>1239.4449571400612</c:v>
                </c:pt>
                <c:pt idx="8">
                  <c:v>1388.3134423320785</c:v>
                </c:pt>
                <c:pt idx="9">
                  <c:v>1542.3754869129064</c:v>
                </c:pt>
                <c:pt idx="10">
                  <c:v>1696.0347344771947</c:v>
                </c:pt>
                <c:pt idx="11">
                  <c:v>1887.8077530517094</c:v>
                </c:pt>
                <c:pt idx="12">
                  <c:v>2078.9843625668254</c:v>
                </c:pt>
                <c:pt idx="13">
                  <c:v>2268.2668674606007</c:v>
                </c:pt>
                <c:pt idx="14">
                  <c:v>2458.2863616476779</c:v>
                </c:pt>
                <c:pt idx="15">
                  <c:v>2647.7066682885852</c:v>
                </c:pt>
                <c:pt idx="16">
                  <c:v>2579.4874456067578</c:v>
                </c:pt>
                <c:pt idx="17">
                  <c:v>2511.583904213554</c:v>
                </c:pt>
                <c:pt idx="18">
                  <c:v>2442.8197979528927</c:v>
                </c:pt>
                <c:pt idx="19">
                  <c:v>2375.5677187186147</c:v>
                </c:pt>
                <c:pt idx="20">
                  <c:v>2308.6090862854735</c:v>
                </c:pt>
                <c:pt idx="21">
                  <c:v>2309.1176946172895</c:v>
                </c:pt>
                <c:pt idx="22">
                  <c:v>2309.7068506781534</c:v>
                </c:pt>
                <c:pt idx="23">
                  <c:v>2310.2783054378597</c:v>
                </c:pt>
                <c:pt idx="24">
                  <c:v>2310.8300285032828</c:v>
                </c:pt>
              </c:numCache>
            </c:numRef>
          </c:val>
          <c:extLst>
            <c:ext xmlns:c16="http://schemas.microsoft.com/office/drawing/2014/chart" uri="{C3380CC4-5D6E-409C-BE32-E72D297353CC}">
              <c16:uniqueId val="{00000005-1F33-4F71-8ED4-98A3603434B9}"/>
            </c:ext>
          </c:extLst>
        </c:ser>
        <c:ser>
          <c:idx val="6"/>
          <c:order val="6"/>
          <c:tx>
            <c:strRef>
              <c:f>'Results ReCiPe (I) - RD'!$AB$96</c:f>
              <c:strCache>
                <c:ptCount val="1"/>
                <c:pt idx="0">
                  <c:v>Operation - geological storage</c:v>
                </c:pt>
              </c:strCache>
            </c:strRef>
          </c:tx>
          <c:spPr>
            <a:solidFill>
              <a:schemeClr val="accent2">
                <a:lumMod val="50000"/>
              </a:schemeClr>
            </a:solidFill>
            <a:ln>
              <a:noFill/>
            </a:ln>
            <a:effectLst/>
          </c:spPr>
          <c:invertIfNegative val="0"/>
          <c:cat>
            <c:numRef>
              <c:f>'Results ReCiPe (I) - RD'!$AC$89:$BA$89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RD'!$AC$96:$BA$96</c:f>
              <c:numCache>
                <c:formatCode>0.00E+00</c:formatCode>
                <c:ptCount val="25"/>
                <c:pt idx="0">
                  <c:v>117.8568792486479</c:v>
                </c:pt>
                <c:pt idx="1">
                  <c:v>108.6734880566903</c:v>
                </c:pt>
                <c:pt idx="2">
                  <c:v>99.483171917324086</c:v>
                </c:pt>
                <c:pt idx="3">
                  <c:v>89.834876440245282</c:v>
                </c:pt>
                <c:pt idx="4">
                  <c:v>80.616658357088596</c:v>
                </c:pt>
                <c:pt idx="5">
                  <c:v>71.39380239652408</c:v>
                </c:pt>
                <c:pt idx="6">
                  <c:v>82.12517998251586</c:v>
                </c:pt>
                <c:pt idx="7">
                  <c:v>92.782447964405179</c:v>
                </c:pt>
                <c:pt idx="8">
                  <c:v>102.92379696753939</c:v>
                </c:pt>
                <c:pt idx="9">
                  <c:v>113.42029184498151</c:v>
                </c:pt>
                <c:pt idx="10">
                  <c:v>123.84525773378361</c:v>
                </c:pt>
                <c:pt idx="11">
                  <c:v>137.06848811315538</c:v>
                </c:pt>
                <c:pt idx="12">
                  <c:v>150.2716475387015</c:v>
                </c:pt>
                <c:pt idx="13">
                  <c:v>163.35427947618578</c:v>
                </c:pt>
                <c:pt idx="14">
                  <c:v>176.51957495567621</c:v>
                </c:pt>
                <c:pt idx="15">
                  <c:v>189.6642186682013</c:v>
                </c:pt>
                <c:pt idx="16">
                  <c:v>185.59424550255198</c:v>
                </c:pt>
                <c:pt idx="17">
                  <c:v>181.50694864530419</c:v>
                </c:pt>
                <c:pt idx="18">
                  <c:v>177.31044454310768</c:v>
                </c:pt>
                <c:pt idx="19">
                  <c:v>173.19043309970979</c:v>
                </c:pt>
                <c:pt idx="20">
                  <c:v>169.0520920965904</c:v>
                </c:pt>
                <c:pt idx="21">
                  <c:v>168.88098557630579</c:v>
                </c:pt>
                <c:pt idx="22">
                  <c:v>168.71851244775661</c:v>
                </c:pt>
                <c:pt idx="23">
                  <c:v>168.55461012015971</c:v>
                </c:pt>
                <c:pt idx="24">
                  <c:v>168.38906925869591</c:v>
                </c:pt>
              </c:numCache>
            </c:numRef>
          </c:val>
          <c:extLst>
            <c:ext xmlns:c16="http://schemas.microsoft.com/office/drawing/2014/chart" uri="{C3380CC4-5D6E-409C-BE32-E72D297353CC}">
              <c16:uniqueId val="{00000006-1F33-4F71-8ED4-98A3603434B9}"/>
            </c:ext>
          </c:extLst>
        </c:ser>
        <c:ser>
          <c:idx val="7"/>
          <c:order val="7"/>
          <c:tx>
            <c:strRef>
              <c:f>'Results ReCiPe (I) - RD'!$AB$97</c:f>
              <c:strCache>
                <c:ptCount val="1"/>
                <c:pt idx="0">
                  <c:v>CO2 captured and stored</c:v>
                </c:pt>
              </c:strCache>
            </c:strRef>
          </c:tx>
          <c:spPr>
            <a:solidFill>
              <a:schemeClr val="tx2">
                <a:lumMod val="20000"/>
                <a:lumOff val="80000"/>
              </a:schemeClr>
            </a:solidFill>
            <a:ln>
              <a:noFill/>
            </a:ln>
            <a:effectLst/>
          </c:spPr>
          <c:invertIfNegative val="0"/>
          <c:cat>
            <c:numRef>
              <c:f>'Results ReCiPe (I) - RD'!$AC$89:$BA$89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RD'!$AC$97:$BA$97</c:f>
              <c:numCache>
                <c:formatCode>0.00E+00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7-1F33-4F71-8ED4-98A3603434B9}"/>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(I) - RD'!$AB$98</c:f>
              <c:strCache>
                <c:ptCount val="1"/>
                <c:pt idx="0">
                  <c:v>TOTAL per year</c:v>
                </c:pt>
              </c:strCache>
            </c:strRef>
          </c:tx>
          <c:spPr>
            <a:ln w="25400" cap="rnd">
              <a:noFill/>
              <a:round/>
            </a:ln>
            <a:effectLst/>
          </c:spPr>
          <c:marker>
            <c:symbol val="circle"/>
            <c:size val="5"/>
            <c:spPr>
              <a:solidFill>
                <a:schemeClr val="tx1"/>
              </a:solidFill>
              <a:ln w="9525">
                <a:solidFill>
                  <a:schemeClr val="tx1"/>
                </a:solidFill>
              </a:ln>
              <a:effectLst/>
            </c:spPr>
          </c:marker>
          <c:cat>
            <c:numRef>
              <c:f>'Results ReCiPe (I) - RD'!$AC$89:$BA$89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RD'!$AC$98:$BA$98</c:f>
              <c:numCache>
                <c:formatCode>0.00E+00</c:formatCode>
                <c:ptCount val="25"/>
                <c:pt idx="0">
                  <c:v>4730.3756722029211</c:v>
                </c:pt>
                <c:pt idx="1">
                  <c:v>1554.3866214742586</c:v>
                </c:pt>
                <c:pt idx="2">
                  <c:v>1418.9045945996243</c:v>
                </c:pt>
                <c:pt idx="3">
                  <c:v>1388.5615997527684</c:v>
                </c:pt>
                <c:pt idx="4">
                  <c:v>1138.7081888649129</c:v>
                </c:pt>
                <c:pt idx="5">
                  <c:v>1000.1374276147257</c:v>
                </c:pt>
                <c:pt idx="6">
                  <c:v>1278.4630549193691</c:v>
                </c:pt>
                <c:pt idx="7">
                  <c:v>1332.2274051044665</c:v>
                </c:pt>
                <c:pt idx="8">
                  <c:v>1491.2372392996178</c:v>
                </c:pt>
                <c:pt idx="9">
                  <c:v>1768.8401142616458</c:v>
                </c:pt>
                <c:pt idx="10">
                  <c:v>1819.8799922109783</c:v>
                </c:pt>
                <c:pt idx="11">
                  <c:v>2024.8762411648647</c:v>
                </c:pt>
                <c:pt idx="12">
                  <c:v>2342.6942268278576</c:v>
                </c:pt>
                <c:pt idx="13">
                  <c:v>2431.6211469367863</c:v>
                </c:pt>
                <c:pt idx="14">
                  <c:v>2634.805936603354</c:v>
                </c:pt>
                <c:pt idx="15">
                  <c:v>2950.5707133351766</c:v>
                </c:pt>
                <c:pt idx="16">
                  <c:v>2765.0816911093098</c:v>
                </c:pt>
                <c:pt idx="17">
                  <c:v>2693.0908528588579</c:v>
                </c:pt>
                <c:pt idx="18">
                  <c:v>2732.2255839601444</c:v>
                </c:pt>
                <c:pt idx="19">
                  <c:v>2548.7581518183247</c:v>
                </c:pt>
                <c:pt idx="20">
                  <c:v>2477.661178382064</c:v>
                </c:pt>
                <c:pt idx="21">
                  <c:v>2589.3860976822484</c:v>
                </c:pt>
                <c:pt idx="22">
                  <c:v>2478.4253631259098</c:v>
                </c:pt>
                <c:pt idx="23">
                  <c:v>2478.8329155580195</c:v>
                </c:pt>
                <c:pt idx="24">
                  <c:v>2630.454384963828</c:v>
                </c:pt>
              </c:numCache>
            </c:numRef>
          </c:val>
          <c:smooth val="0"/>
          <c:extLst>
            <c:ext xmlns:c16="http://schemas.microsoft.com/office/drawing/2014/chart" uri="{C3380CC4-5D6E-409C-BE32-E72D297353CC}">
              <c16:uniqueId val="{00000008-1F33-4F71-8ED4-98A3603434B9}"/>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Resource damage</a:t>
                </a:r>
              </a:p>
              <a:p>
                <a:pPr algn="ctr" rtl="0">
                  <a:defRPr/>
                </a:pPr>
                <a:r>
                  <a:rPr lang="nl-NL"/>
                  <a:t>[USD2013/ton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(I) - RD'!$AB$132</c:f>
              <c:strCache>
                <c:ptCount val="1"/>
                <c:pt idx="0">
                  <c:v>Construction - DAC</c:v>
                </c:pt>
              </c:strCache>
            </c:strRef>
          </c:tx>
          <c:spPr>
            <a:solidFill>
              <a:schemeClr val="accent4">
                <a:lumMod val="75000"/>
              </a:schemeClr>
            </a:solidFill>
            <a:ln>
              <a:noFill/>
            </a:ln>
            <a:effectLst/>
          </c:spPr>
          <c:invertIfNegative val="0"/>
          <c:cat>
            <c:numRef>
              <c:f>'Results ReCiPe (I) - RD'!$AC$131:$BA$131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RD'!$AC$132:$BA$132</c:f>
              <c:numCache>
                <c:formatCode>0.00E+00</c:formatCode>
                <c:ptCount val="25"/>
                <c:pt idx="0">
                  <c:v>2878.9918075462724</c:v>
                </c:pt>
              </c:numCache>
            </c:numRef>
          </c:val>
          <c:extLst>
            <c:ext xmlns:c16="http://schemas.microsoft.com/office/drawing/2014/chart" uri="{C3380CC4-5D6E-409C-BE32-E72D297353CC}">
              <c16:uniqueId val="{00000000-CFE3-4C7C-8DEE-11AC1D5A5CCE}"/>
            </c:ext>
          </c:extLst>
        </c:ser>
        <c:ser>
          <c:idx val="1"/>
          <c:order val="1"/>
          <c:tx>
            <c:strRef>
              <c:f>'Results ReCiPe (I) - RD'!$AB$133</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(I) - RD'!$AC$131:$BA$131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RD'!$AC$133:$BA$133</c:f>
              <c:numCache>
                <c:formatCode>0.00E+00</c:formatCode>
                <c:ptCount val="25"/>
                <c:pt idx="0">
                  <c:v>270.56319436365197</c:v>
                </c:pt>
              </c:numCache>
            </c:numRef>
          </c:val>
          <c:extLst>
            <c:ext xmlns:c16="http://schemas.microsoft.com/office/drawing/2014/chart" uri="{C3380CC4-5D6E-409C-BE32-E72D297353CC}">
              <c16:uniqueId val="{00000001-CFE3-4C7C-8DEE-11AC1D5A5CCE}"/>
            </c:ext>
          </c:extLst>
        </c:ser>
        <c:ser>
          <c:idx val="2"/>
          <c:order val="2"/>
          <c:tx>
            <c:strRef>
              <c:f>'Results ReCiPe (I) - RD'!$AB$134</c:f>
              <c:strCache>
                <c:ptCount val="1"/>
                <c:pt idx="0">
                  <c:v>Deconstruction - DAC</c:v>
                </c:pt>
              </c:strCache>
            </c:strRef>
          </c:tx>
          <c:spPr>
            <a:solidFill>
              <a:schemeClr val="accent2">
                <a:lumMod val="40000"/>
                <a:lumOff val="60000"/>
              </a:schemeClr>
            </a:solidFill>
            <a:ln>
              <a:noFill/>
            </a:ln>
            <a:effectLst/>
          </c:spPr>
          <c:invertIfNegative val="0"/>
          <c:cat>
            <c:numRef>
              <c:f>'Results ReCiPe (I) - RD'!$AC$131:$BA$131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RD'!$AC$134:$BA$134</c:f>
              <c:numCache>
                <c:formatCode>0.00E+00</c:formatCode>
                <c:ptCount val="25"/>
                <c:pt idx="24">
                  <c:v>45.667206385167617</c:v>
                </c:pt>
              </c:numCache>
            </c:numRef>
          </c:val>
          <c:extLst>
            <c:ext xmlns:c16="http://schemas.microsoft.com/office/drawing/2014/chart" uri="{C3380CC4-5D6E-409C-BE32-E72D297353CC}">
              <c16:uniqueId val="{00000002-CFE3-4C7C-8DEE-11AC1D5A5CCE}"/>
            </c:ext>
          </c:extLst>
        </c:ser>
        <c:ser>
          <c:idx val="3"/>
          <c:order val="3"/>
          <c:tx>
            <c:strRef>
              <c:f>'Results ReCiPe (I) - RD'!$AB$135</c:f>
              <c:strCache>
                <c:ptCount val="1"/>
                <c:pt idx="0">
                  <c:v>Deconstruction - geological storage</c:v>
                </c:pt>
              </c:strCache>
            </c:strRef>
          </c:tx>
          <c:spPr>
            <a:solidFill>
              <a:srgbClr val="FF9900"/>
            </a:solidFill>
            <a:ln>
              <a:noFill/>
            </a:ln>
            <a:effectLst/>
          </c:spPr>
          <c:invertIfNegative val="0"/>
          <c:cat>
            <c:numRef>
              <c:f>'Results ReCiPe (I) - RD'!$AC$131:$BA$131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RD'!$AC$135:$BA$135</c:f>
              <c:numCache>
                <c:formatCode>0.00E+00</c:formatCode>
                <c:ptCount val="25"/>
                <c:pt idx="24">
                  <c:v>1.3426941091969788</c:v>
                </c:pt>
              </c:numCache>
            </c:numRef>
          </c:val>
          <c:extLst>
            <c:ext xmlns:c16="http://schemas.microsoft.com/office/drawing/2014/chart" uri="{C3380CC4-5D6E-409C-BE32-E72D297353CC}">
              <c16:uniqueId val="{00000003-CFE3-4C7C-8DEE-11AC1D5A5CCE}"/>
            </c:ext>
          </c:extLst>
        </c:ser>
        <c:ser>
          <c:idx val="4"/>
          <c:order val="4"/>
          <c:tx>
            <c:strRef>
              <c:f>'Results ReCiPe (I) - RD'!$AB$136</c:f>
              <c:strCache>
                <c:ptCount val="1"/>
                <c:pt idx="0">
                  <c:v>Sorbent material</c:v>
                </c:pt>
              </c:strCache>
            </c:strRef>
          </c:tx>
          <c:spPr>
            <a:solidFill>
              <a:srgbClr val="FF8F8F"/>
            </a:solidFill>
            <a:ln>
              <a:noFill/>
            </a:ln>
            <a:effectLst/>
          </c:spPr>
          <c:invertIfNegative val="0"/>
          <c:cat>
            <c:numRef>
              <c:f>'Results ReCiPe (I) - RD'!$AC$131:$BA$131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RD'!$AC$136:$BA$136</c:f>
              <c:numCache>
                <c:formatCode>0.00E+00</c:formatCode>
                <c:ptCount val="25"/>
                <c:pt idx="0">
                  <c:v>118.02764904622801</c:v>
                </c:pt>
                <c:pt idx="3">
                  <c:v>117.2066454136766</c:v>
                </c:pt>
                <c:pt idx="6">
                  <c:v>117.0826402904443</c:v>
                </c:pt>
                <c:pt idx="9">
                  <c:v>116.48331346148591</c:v>
                </c:pt>
                <c:pt idx="12">
                  <c:v>116.4010822157788</c:v>
                </c:pt>
                <c:pt idx="15">
                  <c:v>116.1865333353054</c:v>
                </c:pt>
                <c:pt idx="18">
                  <c:v>115.889418436463</c:v>
                </c:pt>
                <c:pt idx="21">
                  <c:v>115.765483779476</c:v>
                </c:pt>
                <c:pt idx="24">
                  <c:v>115.702219044955</c:v>
                </c:pt>
              </c:numCache>
            </c:numRef>
          </c:val>
          <c:extLst>
            <c:ext xmlns:c16="http://schemas.microsoft.com/office/drawing/2014/chart" uri="{C3380CC4-5D6E-409C-BE32-E72D297353CC}">
              <c16:uniqueId val="{00000004-CFE3-4C7C-8DEE-11AC1D5A5CCE}"/>
            </c:ext>
          </c:extLst>
        </c:ser>
        <c:ser>
          <c:idx val="5"/>
          <c:order val="5"/>
          <c:tx>
            <c:strRef>
              <c:f>'Results ReCiPe (I) - RD'!$AB$137</c:f>
              <c:strCache>
                <c:ptCount val="1"/>
                <c:pt idx="0">
                  <c:v>Operation - DAC</c:v>
                </c:pt>
              </c:strCache>
            </c:strRef>
          </c:tx>
          <c:spPr>
            <a:solidFill>
              <a:schemeClr val="accent2">
                <a:lumMod val="75000"/>
              </a:schemeClr>
            </a:solidFill>
            <a:ln>
              <a:noFill/>
            </a:ln>
            <a:effectLst/>
          </c:spPr>
          <c:invertIfNegative val="0"/>
          <c:cat>
            <c:numRef>
              <c:f>'Results ReCiPe (I) - RD'!$AC$131:$BA$131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RD'!$AC$137:$BA$137</c:f>
              <c:numCache>
                <c:formatCode>0.00E+00</c:formatCode>
                <c:ptCount val="25"/>
                <c:pt idx="0">
                  <c:v>1837.5090476930616</c:v>
                </c:pt>
                <c:pt idx="1">
                  <c:v>1845.5021760301299</c:v>
                </c:pt>
                <c:pt idx="2">
                  <c:v>1853.5674364018564</c:v>
                </c:pt>
                <c:pt idx="3">
                  <c:v>1857.8354212113595</c:v>
                </c:pt>
                <c:pt idx="4">
                  <c:v>1866.0906042402401</c:v>
                </c:pt>
                <c:pt idx="5">
                  <c:v>1874.4143756884948</c:v>
                </c:pt>
                <c:pt idx="6">
                  <c:v>1906.0571732451494</c:v>
                </c:pt>
                <c:pt idx="7">
                  <c:v>1937.6644442161817</c:v>
                </c:pt>
                <c:pt idx="8">
                  <c:v>1966.3865758187428</c:v>
                </c:pt>
                <c:pt idx="9">
                  <c:v>1998.0376624481378</c:v>
                </c:pt>
                <c:pt idx="10">
                  <c:v>2029.6700087474378</c:v>
                </c:pt>
                <c:pt idx="11">
                  <c:v>2033.3390934682459</c:v>
                </c:pt>
                <c:pt idx="12">
                  <c:v>2036.9216048695464</c:v>
                </c:pt>
                <c:pt idx="13">
                  <c:v>2039.7332168288492</c:v>
                </c:pt>
                <c:pt idx="14">
                  <c:v>2043.1353248932242</c:v>
                </c:pt>
                <c:pt idx="15">
                  <c:v>2046.4385510764143</c:v>
                </c:pt>
                <c:pt idx="16">
                  <c:v>2118.978698313058</c:v>
                </c:pt>
                <c:pt idx="17">
                  <c:v>2191.5534654664302</c:v>
                </c:pt>
                <c:pt idx="18">
                  <c:v>2263.5636173784842</c:v>
                </c:pt>
                <c:pt idx="19">
                  <c:v>2336.2558451238228</c:v>
                </c:pt>
                <c:pt idx="20">
                  <c:v>2409.012219721636</c:v>
                </c:pt>
                <c:pt idx="21">
                  <c:v>2424.0099778315271</c:v>
                </c:pt>
                <c:pt idx="22">
                  <c:v>2439.1487481405629</c:v>
                </c:pt>
                <c:pt idx="23">
                  <c:v>2454.3893825979826</c:v>
                </c:pt>
                <c:pt idx="24">
                  <c:v>2469.7313728499848</c:v>
                </c:pt>
              </c:numCache>
            </c:numRef>
          </c:val>
          <c:extLst>
            <c:ext xmlns:c16="http://schemas.microsoft.com/office/drawing/2014/chart" uri="{C3380CC4-5D6E-409C-BE32-E72D297353CC}">
              <c16:uniqueId val="{00000005-CFE3-4C7C-8DEE-11AC1D5A5CCE}"/>
            </c:ext>
          </c:extLst>
        </c:ser>
        <c:ser>
          <c:idx val="6"/>
          <c:order val="6"/>
          <c:tx>
            <c:strRef>
              <c:f>'Results ReCiPe (I) - RD'!$AB$138</c:f>
              <c:strCache>
                <c:ptCount val="1"/>
                <c:pt idx="0">
                  <c:v>Operation - geological storage</c:v>
                </c:pt>
              </c:strCache>
            </c:strRef>
          </c:tx>
          <c:spPr>
            <a:solidFill>
              <a:schemeClr val="accent2">
                <a:lumMod val="50000"/>
              </a:schemeClr>
            </a:solidFill>
            <a:ln>
              <a:noFill/>
            </a:ln>
            <a:effectLst/>
          </c:spPr>
          <c:invertIfNegative val="0"/>
          <c:cat>
            <c:numRef>
              <c:f>'Results ReCiPe (I) - RD'!$AC$131:$BA$131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RD'!$AC$138:$BA$138</c:f>
              <c:numCache>
                <c:formatCode>0.00E+00</c:formatCode>
                <c:ptCount val="25"/>
                <c:pt idx="0">
                  <c:v>185.0458730795367</c:v>
                </c:pt>
                <c:pt idx="1">
                  <c:v>185.5870061753408</c:v>
                </c:pt>
                <c:pt idx="2">
                  <c:v>186.1317559408335</c:v>
                </c:pt>
                <c:pt idx="3">
                  <c:v>186.3049753122952</c:v>
                </c:pt>
                <c:pt idx="4">
                  <c:v>186.86159401415</c:v>
                </c:pt>
                <c:pt idx="5">
                  <c:v>187.42139894988489</c:v>
                </c:pt>
                <c:pt idx="6">
                  <c:v>190.33749070944052</c:v>
                </c:pt>
                <c:pt idx="7">
                  <c:v>193.24039260737891</c:v>
                </c:pt>
                <c:pt idx="8">
                  <c:v>195.85265493849241</c:v>
                </c:pt>
                <c:pt idx="9">
                  <c:v>198.74092132194491</c:v>
                </c:pt>
                <c:pt idx="10">
                  <c:v>201.6178194425556</c:v>
                </c:pt>
                <c:pt idx="11">
                  <c:v>201.7888689970024</c:v>
                </c:pt>
                <c:pt idx="12">
                  <c:v>201.9500347911808</c:v>
                </c:pt>
                <c:pt idx="13">
                  <c:v>202.03504034392071</c:v>
                </c:pt>
                <c:pt idx="14">
                  <c:v>202.17597488637722</c:v>
                </c:pt>
                <c:pt idx="15">
                  <c:v>202.30575738198948</c:v>
                </c:pt>
                <c:pt idx="16">
                  <c:v>209.23970997685458</c:v>
                </c:pt>
                <c:pt idx="17">
                  <c:v>216.16324456249362</c:v>
                </c:pt>
                <c:pt idx="18">
                  <c:v>223.01863752602168</c:v>
                </c:pt>
                <c:pt idx="19">
                  <c:v>229.9260485609436</c:v>
                </c:pt>
                <c:pt idx="20">
                  <c:v>236.82589937845711</c:v>
                </c:pt>
                <c:pt idx="21">
                  <c:v>237.86094040196261</c:v>
                </c:pt>
                <c:pt idx="22">
                  <c:v>238.90809153153509</c:v>
                </c:pt>
                <c:pt idx="23">
                  <c:v>239.95899568543302</c:v>
                </c:pt>
                <c:pt idx="24">
                  <c:v>241.0134498082281</c:v>
                </c:pt>
              </c:numCache>
            </c:numRef>
          </c:val>
          <c:extLst>
            <c:ext xmlns:c16="http://schemas.microsoft.com/office/drawing/2014/chart" uri="{C3380CC4-5D6E-409C-BE32-E72D297353CC}">
              <c16:uniqueId val="{00000006-CFE3-4C7C-8DEE-11AC1D5A5CCE}"/>
            </c:ext>
          </c:extLst>
        </c:ser>
        <c:ser>
          <c:idx val="7"/>
          <c:order val="7"/>
          <c:tx>
            <c:strRef>
              <c:f>'Results ReCiPe (I) - RD'!$AB$139</c:f>
              <c:strCache>
                <c:ptCount val="1"/>
                <c:pt idx="0">
                  <c:v>CO2 captured and stored</c:v>
                </c:pt>
              </c:strCache>
            </c:strRef>
          </c:tx>
          <c:spPr>
            <a:solidFill>
              <a:schemeClr val="tx2">
                <a:lumMod val="20000"/>
                <a:lumOff val="80000"/>
              </a:schemeClr>
            </a:solidFill>
            <a:ln>
              <a:noFill/>
            </a:ln>
            <a:effectLst/>
          </c:spPr>
          <c:invertIfNegative val="0"/>
          <c:cat>
            <c:numRef>
              <c:f>'Results ReCiPe (I) - RD'!$AC$131:$BA$131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RD'!$AC$139:$BA$139</c:f>
              <c:numCache>
                <c:formatCode>0.00E+00</c:formatCode>
                <c:ptCount val="25"/>
              </c:numCache>
            </c:numRef>
          </c:val>
          <c:extLst>
            <c:ext xmlns:c16="http://schemas.microsoft.com/office/drawing/2014/chart" uri="{C3380CC4-5D6E-409C-BE32-E72D297353CC}">
              <c16:uniqueId val="{00000007-CFE3-4C7C-8DEE-11AC1D5A5CCE}"/>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(I) - RD'!$AB$140</c:f>
              <c:strCache>
                <c:ptCount val="1"/>
                <c:pt idx="0">
                  <c:v>TOTAL per year</c:v>
                </c:pt>
              </c:strCache>
            </c:strRef>
          </c:tx>
          <c:spPr>
            <a:ln w="28575" cap="rnd">
              <a:noFill/>
              <a:round/>
            </a:ln>
            <a:effectLst/>
          </c:spPr>
          <c:marker>
            <c:symbol val="circle"/>
            <c:size val="5"/>
            <c:spPr>
              <a:solidFill>
                <a:schemeClr val="tx1"/>
              </a:solidFill>
              <a:ln w="9525">
                <a:solidFill>
                  <a:schemeClr val="accent3">
                    <a:lumMod val="60000"/>
                  </a:schemeClr>
                </a:solidFill>
              </a:ln>
              <a:effectLst/>
            </c:spPr>
          </c:marker>
          <c:cat>
            <c:numRef>
              <c:f>'Results ReCiPe (I) - RD'!$AC$131:$BA$131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RD'!$AC$140:$BA$140</c:f>
              <c:numCache>
                <c:formatCode>0.00E+00</c:formatCode>
                <c:ptCount val="25"/>
                <c:pt idx="0">
                  <c:v>5290.1375717287501</c:v>
                </c:pt>
                <c:pt idx="1">
                  <c:v>2031.0891822054707</c:v>
                </c:pt>
                <c:pt idx="2">
                  <c:v>2039.6991923426899</c:v>
                </c:pt>
                <c:pt idx="3">
                  <c:v>2161.3470419373311</c:v>
                </c:pt>
                <c:pt idx="4">
                  <c:v>2052.9521982543902</c:v>
                </c:pt>
                <c:pt idx="5">
                  <c:v>2061.8357746383799</c:v>
                </c:pt>
                <c:pt idx="6">
                  <c:v>2213.4773042450342</c:v>
                </c:pt>
                <c:pt idx="7">
                  <c:v>2130.9048368235608</c:v>
                </c:pt>
                <c:pt idx="8">
                  <c:v>2162.2392307572354</c:v>
                </c:pt>
                <c:pt idx="9">
                  <c:v>2313.2618972315686</c:v>
                </c:pt>
                <c:pt idx="10">
                  <c:v>2231.2878281899934</c:v>
                </c:pt>
                <c:pt idx="11">
                  <c:v>2235.1279624652484</c:v>
                </c:pt>
                <c:pt idx="12">
                  <c:v>2355.2727218765058</c:v>
                </c:pt>
                <c:pt idx="13">
                  <c:v>2241.7682571727701</c:v>
                </c:pt>
                <c:pt idx="14">
                  <c:v>2245.3112997796015</c:v>
                </c:pt>
                <c:pt idx="15">
                  <c:v>2364.9308417937095</c:v>
                </c:pt>
                <c:pt idx="16">
                  <c:v>2328.2184082899125</c:v>
                </c:pt>
                <c:pt idx="17">
                  <c:v>2407.7167100289239</c:v>
                </c:pt>
                <c:pt idx="18">
                  <c:v>2602.4716733409691</c:v>
                </c:pt>
                <c:pt idx="19">
                  <c:v>2566.1818936847662</c:v>
                </c:pt>
                <c:pt idx="20">
                  <c:v>2645.8381191000931</c:v>
                </c:pt>
                <c:pt idx="21">
                  <c:v>2777.6364020129658</c:v>
                </c:pt>
                <c:pt idx="22">
                  <c:v>2678.0568396720982</c:v>
                </c:pt>
                <c:pt idx="23">
                  <c:v>2694.3483782834155</c:v>
                </c:pt>
                <c:pt idx="24">
                  <c:v>2873.4569421975325</c:v>
                </c:pt>
              </c:numCache>
            </c:numRef>
          </c:val>
          <c:smooth val="0"/>
          <c:extLst>
            <c:ext xmlns:c16="http://schemas.microsoft.com/office/drawing/2014/chart" uri="{C3380CC4-5D6E-409C-BE32-E72D297353CC}">
              <c16:uniqueId val="{00000008-CFE3-4C7C-8DEE-11AC1D5A5CCE}"/>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Resource</a:t>
                </a:r>
                <a:r>
                  <a:rPr lang="nl-NL" baseline="0"/>
                  <a:t> damage</a:t>
                </a:r>
              </a:p>
              <a:p>
                <a:pPr algn="ctr" rtl="0">
                  <a:defRPr/>
                </a:pPr>
                <a:r>
                  <a:rPr lang="nl-NL" baseline="0"/>
                  <a:t>[USD2013</a:t>
                </a:r>
                <a:r>
                  <a:rPr lang="nl-NL"/>
                  <a:t>/ton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(I) - RD'!$AB$173</c:f>
              <c:strCache>
                <c:ptCount val="1"/>
                <c:pt idx="0">
                  <c:v>Construction - DAC</c:v>
                </c:pt>
              </c:strCache>
            </c:strRef>
          </c:tx>
          <c:spPr>
            <a:solidFill>
              <a:schemeClr val="accent4">
                <a:lumMod val="75000"/>
              </a:schemeClr>
            </a:solidFill>
            <a:ln>
              <a:noFill/>
            </a:ln>
            <a:effectLst/>
          </c:spPr>
          <c:invertIfNegative val="0"/>
          <c:cat>
            <c:numRef>
              <c:f>'Results ReCiPe (I) - RD'!$AC$172:$BA$172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RD'!$AC$173:$BA$173</c:f>
              <c:numCache>
                <c:formatCode>0.00E+00</c:formatCode>
                <c:ptCount val="25"/>
                <c:pt idx="0">
                  <c:v>2823.4856314484796</c:v>
                </c:pt>
              </c:numCache>
            </c:numRef>
          </c:val>
          <c:extLst>
            <c:ext xmlns:c16="http://schemas.microsoft.com/office/drawing/2014/chart" uri="{C3380CC4-5D6E-409C-BE32-E72D297353CC}">
              <c16:uniqueId val="{00000000-E87E-46D7-AF0D-1A7653FD46D0}"/>
            </c:ext>
          </c:extLst>
        </c:ser>
        <c:ser>
          <c:idx val="1"/>
          <c:order val="1"/>
          <c:tx>
            <c:strRef>
              <c:f>'Results ReCiPe (I) - RD'!$AB$174</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(I) - RD'!$AC$172:$BA$172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RD'!$AC$174:$BA$174</c:f>
              <c:numCache>
                <c:formatCode>0.00E+00</c:formatCode>
                <c:ptCount val="25"/>
                <c:pt idx="0">
                  <c:v>267.84906066089701</c:v>
                </c:pt>
              </c:numCache>
            </c:numRef>
          </c:val>
          <c:extLst>
            <c:ext xmlns:c16="http://schemas.microsoft.com/office/drawing/2014/chart" uri="{C3380CC4-5D6E-409C-BE32-E72D297353CC}">
              <c16:uniqueId val="{00000001-E87E-46D7-AF0D-1A7653FD46D0}"/>
            </c:ext>
          </c:extLst>
        </c:ser>
        <c:ser>
          <c:idx val="2"/>
          <c:order val="2"/>
          <c:tx>
            <c:strRef>
              <c:f>'Results ReCiPe (I) - RD'!$AB$175</c:f>
              <c:strCache>
                <c:ptCount val="1"/>
                <c:pt idx="0">
                  <c:v>Deconstruction - DAC</c:v>
                </c:pt>
              </c:strCache>
            </c:strRef>
          </c:tx>
          <c:spPr>
            <a:solidFill>
              <a:schemeClr val="accent2">
                <a:lumMod val="40000"/>
                <a:lumOff val="60000"/>
              </a:schemeClr>
            </a:solidFill>
            <a:ln>
              <a:noFill/>
            </a:ln>
            <a:effectLst/>
          </c:spPr>
          <c:invertIfNegative val="0"/>
          <c:cat>
            <c:numRef>
              <c:f>'Results ReCiPe (I) - RD'!$AC$172:$BA$172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RD'!$AC$175:$BA$175</c:f>
              <c:numCache>
                <c:formatCode>0.00E+00</c:formatCode>
                <c:ptCount val="25"/>
                <c:pt idx="24">
                  <c:v>41.820043084295236</c:v>
                </c:pt>
              </c:numCache>
            </c:numRef>
          </c:val>
          <c:extLst>
            <c:ext xmlns:c16="http://schemas.microsoft.com/office/drawing/2014/chart" uri="{C3380CC4-5D6E-409C-BE32-E72D297353CC}">
              <c16:uniqueId val="{00000002-E87E-46D7-AF0D-1A7653FD46D0}"/>
            </c:ext>
          </c:extLst>
        </c:ser>
        <c:ser>
          <c:idx val="3"/>
          <c:order val="3"/>
          <c:tx>
            <c:strRef>
              <c:f>'Results ReCiPe (I) - RD'!$AB$176</c:f>
              <c:strCache>
                <c:ptCount val="1"/>
                <c:pt idx="0">
                  <c:v>Deconstruction - geological storage</c:v>
                </c:pt>
              </c:strCache>
            </c:strRef>
          </c:tx>
          <c:spPr>
            <a:solidFill>
              <a:srgbClr val="FF9900"/>
            </a:solidFill>
            <a:ln>
              <a:noFill/>
            </a:ln>
            <a:effectLst/>
          </c:spPr>
          <c:invertIfNegative val="0"/>
          <c:cat>
            <c:numRef>
              <c:f>'Results ReCiPe (I) - RD'!$AC$172:$BA$172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RD'!$AC$176:$BA$176</c:f>
              <c:numCache>
                <c:formatCode>0.00E+00</c:formatCode>
                <c:ptCount val="25"/>
                <c:pt idx="24">
                  <c:v>1.2962600802775475</c:v>
                </c:pt>
              </c:numCache>
            </c:numRef>
          </c:val>
          <c:extLst>
            <c:ext xmlns:c16="http://schemas.microsoft.com/office/drawing/2014/chart" uri="{C3380CC4-5D6E-409C-BE32-E72D297353CC}">
              <c16:uniqueId val="{00000003-E87E-46D7-AF0D-1A7653FD46D0}"/>
            </c:ext>
          </c:extLst>
        </c:ser>
        <c:ser>
          <c:idx val="4"/>
          <c:order val="4"/>
          <c:tx>
            <c:strRef>
              <c:f>'Results ReCiPe (I) - RD'!$AB$177</c:f>
              <c:strCache>
                <c:ptCount val="1"/>
                <c:pt idx="0">
                  <c:v>Sorbent material</c:v>
                </c:pt>
              </c:strCache>
            </c:strRef>
          </c:tx>
          <c:spPr>
            <a:solidFill>
              <a:srgbClr val="FF8F8F"/>
            </a:solidFill>
            <a:ln>
              <a:noFill/>
            </a:ln>
            <a:effectLst/>
          </c:spPr>
          <c:invertIfNegative val="0"/>
          <c:cat>
            <c:numRef>
              <c:f>'Results ReCiPe (I) - RD'!$AC$172:$BA$172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RD'!$AC$177:$BA$177</c:f>
              <c:numCache>
                <c:formatCode>0.00E+00</c:formatCode>
                <c:ptCount val="25"/>
                <c:pt idx="0">
                  <c:v>117.2508960880117</c:v>
                </c:pt>
                <c:pt idx="3">
                  <c:v>115.97999477629099</c:v>
                </c:pt>
                <c:pt idx="6">
                  <c:v>115.68776613125171</c:v>
                </c:pt>
                <c:pt idx="9">
                  <c:v>115.5360727733087</c:v>
                </c:pt>
                <c:pt idx="12">
                  <c:v>115.051358787382</c:v>
                </c:pt>
                <c:pt idx="15">
                  <c:v>114.04079735172429</c:v>
                </c:pt>
                <c:pt idx="18">
                  <c:v>113.2082579102948</c:v>
                </c:pt>
                <c:pt idx="21">
                  <c:v>112.6698309452093</c:v>
                </c:pt>
                <c:pt idx="24">
                  <c:v>112.4422249103109</c:v>
                </c:pt>
              </c:numCache>
            </c:numRef>
          </c:val>
          <c:extLst>
            <c:ext xmlns:c16="http://schemas.microsoft.com/office/drawing/2014/chart" uri="{C3380CC4-5D6E-409C-BE32-E72D297353CC}">
              <c16:uniqueId val="{00000004-E87E-46D7-AF0D-1A7653FD46D0}"/>
            </c:ext>
          </c:extLst>
        </c:ser>
        <c:ser>
          <c:idx val="5"/>
          <c:order val="5"/>
          <c:tx>
            <c:strRef>
              <c:f>'Results ReCiPe (I) - RD'!$AB$178</c:f>
              <c:strCache>
                <c:ptCount val="1"/>
                <c:pt idx="0">
                  <c:v>Operation - DAC</c:v>
                </c:pt>
              </c:strCache>
            </c:strRef>
          </c:tx>
          <c:spPr>
            <a:solidFill>
              <a:schemeClr val="accent2">
                <a:lumMod val="75000"/>
              </a:schemeClr>
            </a:solidFill>
            <a:ln>
              <a:noFill/>
            </a:ln>
            <a:effectLst/>
          </c:spPr>
          <c:invertIfNegative val="0"/>
          <c:cat>
            <c:numRef>
              <c:f>'Results ReCiPe (I) - RD'!$AC$172:$BA$172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RD'!$AC$178:$BA$178</c:f>
              <c:numCache>
                <c:formatCode>0.00E+00</c:formatCode>
                <c:ptCount val="25"/>
                <c:pt idx="0">
                  <c:v>1894.6684733717298</c:v>
                </c:pt>
                <c:pt idx="1">
                  <c:v>1881.1691360170628</c:v>
                </c:pt>
                <c:pt idx="2">
                  <c:v>1867.6817495062714</c:v>
                </c:pt>
                <c:pt idx="3">
                  <c:v>1850.094693001045</c:v>
                </c:pt>
                <c:pt idx="4">
                  <c:v>1836.6445534093732</c:v>
                </c:pt>
                <c:pt idx="5">
                  <c:v>1823.2011301378025</c:v>
                </c:pt>
                <c:pt idx="6">
                  <c:v>1819.3509421741719</c:v>
                </c:pt>
                <c:pt idx="7">
                  <c:v>1815.4332723540142</c:v>
                </c:pt>
                <c:pt idx="8">
                  <c:v>1807.9237441846246</c:v>
                </c:pt>
                <c:pt idx="9">
                  <c:v>1803.6932699484021</c:v>
                </c:pt>
                <c:pt idx="10">
                  <c:v>1799.3124856448912</c:v>
                </c:pt>
                <c:pt idx="11">
                  <c:v>1787.5053452761545</c:v>
                </c:pt>
                <c:pt idx="12">
                  <c:v>1775.4944456883607</c:v>
                </c:pt>
                <c:pt idx="13">
                  <c:v>1762.4407130766403</c:v>
                </c:pt>
                <c:pt idx="14">
                  <c:v>1750.0346525245889</c:v>
                </c:pt>
                <c:pt idx="15">
                  <c:v>1737.4273333703122</c:v>
                </c:pt>
                <c:pt idx="16">
                  <c:v>1747.4063909825595</c:v>
                </c:pt>
                <c:pt idx="17">
                  <c:v>1757.1873583275371</c:v>
                </c:pt>
                <c:pt idx="18">
                  <c:v>1765.9500505004505</c:v>
                </c:pt>
                <c:pt idx="19">
                  <c:v>1775.3473127218065</c:v>
                </c:pt>
                <c:pt idx="20">
                  <c:v>1784.5521548140409</c:v>
                </c:pt>
                <c:pt idx="21">
                  <c:v>1768.090579047768</c:v>
                </c:pt>
                <c:pt idx="22">
                  <c:v>1751.6313910574554</c:v>
                </c:pt>
                <c:pt idx="23">
                  <c:v>1735.1047607708044</c:v>
                </c:pt>
                <c:pt idx="24">
                  <c:v>1718.5081208307577</c:v>
                </c:pt>
              </c:numCache>
            </c:numRef>
          </c:val>
          <c:extLst>
            <c:ext xmlns:c16="http://schemas.microsoft.com/office/drawing/2014/chart" uri="{C3380CC4-5D6E-409C-BE32-E72D297353CC}">
              <c16:uniqueId val="{00000005-E87E-46D7-AF0D-1A7653FD46D0}"/>
            </c:ext>
          </c:extLst>
        </c:ser>
        <c:ser>
          <c:idx val="6"/>
          <c:order val="6"/>
          <c:tx>
            <c:strRef>
              <c:f>'Results ReCiPe (I) - RD'!$AB$179</c:f>
              <c:strCache>
                <c:ptCount val="1"/>
                <c:pt idx="0">
                  <c:v>Operation - geological storage</c:v>
                </c:pt>
              </c:strCache>
            </c:strRef>
          </c:tx>
          <c:spPr>
            <a:solidFill>
              <a:schemeClr val="accent2">
                <a:lumMod val="50000"/>
              </a:schemeClr>
            </a:solidFill>
            <a:ln>
              <a:noFill/>
            </a:ln>
            <a:effectLst/>
          </c:spPr>
          <c:invertIfNegative val="0"/>
          <c:cat>
            <c:numRef>
              <c:f>'Results ReCiPe (I) - RD'!$AC$172:$BA$172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RD'!$AC$179:$BA$179</c:f>
              <c:numCache>
                <c:formatCode>0.00E+00</c:formatCode>
                <c:ptCount val="25"/>
                <c:pt idx="0">
                  <c:v>189.95365198935059</c:v>
                </c:pt>
                <c:pt idx="1">
                  <c:v>188.19494287198691</c:v>
                </c:pt>
                <c:pt idx="2">
                  <c:v>186.44260066353669</c:v>
                </c:pt>
                <c:pt idx="3">
                  <c:v>184.2978933509371</c:v>
                </c:pt>
                <c:pt idx="4">
                  <c:v>182.5600392896562</c:v>
                </c:pt>
                <c:pt idx="5">
                  <c:v>180.8281778211298</c:v>
                </c:pt>
                <c:pt idx="6">
                  <c:v>180.28554710780492</c:v>
                </c:pt>
                <c:pt idx="7">
                  <c:v>179.73401544872561</c:v>
                </c:pt>
                <c:pt idx="8">
                  <c:v>178.83169177435428</c:v>
                </c:pt>
                <c:pt idx="9">
                  <c:v>178.24948779215859</c:v>
                </c:pt>
                <c:pt idx="10">
                  <c:v>177.6533101314715</c:v>
                </c:pt>
                <c:pt idx="11">
                  <c:v>176.47977086474322</c:v>
                </c:pt>
                <c:pt idx="12">
                  <c:v>175.28679841680329</c:v>
                </c:pt>
                <c:pt idx="13">
                  <c:v>173.9928575036916</c:v>
                </c:pt>
                <c:pt idx="14">
                  <c:v>172.76223616991192</c:v>
                </c:pt>
                <c:pt idx="15">
                  <c:v>171.512456333968</c:v>
                </c:pt>
                <c:pt idx="16">
                  <c:v>172.75597036638891</c:v>
                </c:pt>
                <c:pt idx="17">
                  <c:v>173.98577947093</c:v>
                </c:pt>
                <c:pt idx="18">
                  <c:v>175.12202568925511</c:v>
                </c:pt>
                <c:pt idx="19">
                  <c:v>176.32490210861661</c:v>
                </c:pt>
                <c:pt idx="20">
                  <c:v>177.5143633388152</c:v>
                </c:pt>
                <c:pt idx="21">
                  <c:v>175.6440767498911</c:v>
                </c:pt>
                <c:pt idx="22">
                  <c:v>173.78266047518341</c:v>
                </c:pt>
                <c:pt idx="23">
                  <c:v>171.91962939424371</c:v>
                </c:pt>
                <c:pt idx="24">
                  <c:v>170.05468115511479</c:v>
                </c:pt>
              </c:numCache>
            </c:numRef>
          </c:val>
          <c:extLst>
            <c:ext xmlns:c16="http://schemas.microsoft.com/office/drawing/2014/chart" uri="{C3380CC4-5D6E-409C-BE32-E72D297353CC}">
              <c16:uniqueId val="{00000006-E87E-46D7-AF0D-1A7653FD46D0}"/>
            </c:ext>
          </c:extLst>
        </c:ser>
        <c:ser>
          <c:idx val="7"/>
          <c:order val="7"/>
          <c:tx>
            <c:strRef>
              <c:f>'Results ReCiPe (I) - RD'!$AB$180</c:f>
              <c:strCache>
                <c:ptCount val="1"/>
                <c:pt idx="0">
                  <c:v>CO2 captured and stored</c:v>
                </c:pt>
              </c:strCache>
            </c:strRef>
          </c:tx>
          <c:spPr>
            <a:solidFill>
              <a:schemeClr val="tx2">
                <a:lumMod val="20000"/>
                <a:lumOff val="80000"/>
              </a:schemeClr>
            </a:solidFill>
            <a:ln>
              <a:noFill/>
            </a:ln>
            <a:effectLst/>
          </c:spPr>
          <c:invertIfNegative val="0"/>
          <c:cat>
            <c:numRef>
              <c:f>'Results ReCiPe (I) - RD'!$AC$172:$BA$172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RD'!$AC$180:$BA$180</c:f>
              <c:numCache>
                <c:formatCode>0.00E+00</c:formatCode>
                <c:ptCount val="25"/>
              </c:numCache>
            </c:numRef>
          </c:val>
          <c:extLst>
            <c:ext xmlns:c16="http://schemas.microsoft.com/office/drawing/2014/chart" uri="{C3380CC4-5D6E-409C-BE32-E72D297353CC}">
              <c16:uniqueId val="{00000007-E87E-46D7-AF0D-1A7653FD46D0}"/>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(I) - RD'!$AB$181</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cat>
            <c:numRef>
              <c:f>'Results ReCiPe (I) - RD'!$AC$172:$BA$172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RD'!$AC$181:$BA$181</c:f>
              <c:numCache>
                <c:formatCode>0.00E+00</c:formatCode>
                <c:ptCount val="25"/>
                <c:pt idx="0">
                  <c:v>5293.2077135584686</c:v>
                </c:pt>
                <c:pt idx="1">
                  <c:v>2069.3640788890498</c:v>
                </c:pt>
                <c:pt idx="2">
                  <c:v>2054.1243501698082</c:v>
                </c:pt>
                <c:pt idx="3">
                  <c:v>2150.3725811282729</c:v>
                </c:pt>
                <c:pt idx="4">
                  <c:v>2019.2045926990295</c:v>
                </c:pt>
                <c:pt idx="5">
                  <c:v>2004.0293079589323</c:v>
                </c:pt>
                <c:pt idx="6">
                  <c:v>2115.3242554132285</c:v>
                </c:pt>
                <c:pt idx="7">
                  <c:v>1995.1672878027398</c:v>
                </c:pt>
                <c:pt idx="8">
                  <c:v>1986.755435958979</c:v>
                </c:pt>
                <c:pt idx="9">
                  <c:v>2097.4788305138695</c:v>
                </c:pt>
                <c:pt idx="10">
                  <c:v>1976.9657957763627</c:v>
                </c:pt>
                <c:pt idx="11">
                  <c:v>1963.9851161408976</c:v>
                </c:pt>
                <c:pt idx="12">
                  <c:v>2065.8326028925458</c:v>
                </c:pt>
                <c:pt idx="13">
                  <c:v>1936.4335705803319</c:v>
                </c:pt>
                <c:pt idx="14">
                  <c:v>1922.7968886945007</c:v>
                </c:pt>
                <c:pt idx="15">
                  <c:v>2022.9805870560044</c:v>
                </c:pt>
                <c:pt idx="16">
                  <c:v>1920.1623613489485</c:v>
                </c:pt>
                <c:pt idx="17">
                  <c:v>1931.1731377984672</c:v>
                </c:pt>
                <c:pt idx="18">
                  <c:v>2054.2803341000003</c:v>
                </c:pt>
                <c:pt idx="19">
                  <c:v>1951.6722148304232</c:v>
                </c:pt>
                <c:pt idx="20">
                  <c:v>1962.0665181528561</c:v>
                </c:pt>
                <c:pt idx="21">
                  <c:v>2056.4044867428684</c:v>
                </c:pt>
                <c:pt idx="22">
                  <c:v>1925.4140515326387</c:v>
                </c:pt>
                <c:pt idx="23">
                  <c:v>1907.0243901650481</c:v>
                </c:pt>
                <c:pt idx="24">
                  <c:v>2044.1213300607562</c:v>
                </c:pt>
              </c:numCache>
            </c:numRef>
          </c:val>
          <c:smooth val="0"/>
          <c:extLst>
            <c:ext xmlns:c16="http://schemas.microsoft.com/office/drawing/2014/chart" uri="{C3380CC4-5D6E-409C-BE32-E72D297353CC}">
              <c16:uniqueId val="{00000008-E87E-46D7-AF0D-1A7653FD46D0}"/>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Resource</a:t>
                </a:r>
                <a:r>
                  <a:rPr lang="nl-NL" baseline="0"/>
                  <a:t> damage</a:t>
                </a:r>
              </a:p>
              <a:p>
                <a:pPr algn="ctr" rtl="0">
                  <a:defRPr/>
                </a:pPr>
                <a:r>
                  <a:rPr lang="nl-NL" baseline="0"/>
                  <a:t>[USD2013</a:t>
                </a:r>
                <a:r>
                  <a:rPr lang="nl-NL"/>
                  <a:t>/ton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(I) - RD'!$AB$214</c:f>
              <c:strCache>
                <c:ptCount val="1"/>
                <c:pt idx="0">
                  <c:v>Construction - DAC</c:v>
                </c:pt>
              </c:strCache>
            </c:strRef>
          </c:tx>
          <c:spPr>
            <a:solidFill>
              <a:schemeClr val="accent4">
                <a:lumMod val="75000"/>
              </a:schemeClr>
            </a:solidFill>
            <a:ln>
              <a:noFill/>
            </a:ln>
            <a:effectLst/>
          </c:spPr>
          <c:invertIfNegative val="0"/>
          <c:cat>
            <c:numRef>
              <c:f>'Results ReCiPe (I) - RD'!$AC$213:$BA$213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RD'!$AC$214:$BA$214</c:f>
              <c:numCache>
                <c:formatCode>0.00E+00</c:formatCode>
                <c:ptCount val="25"/>
                <c:pt idx="0">
                  <c:v>2667.7638206178117</c:v>
                </c:pt>
              </c:numCache>
            </c:numRef>
          </c:val>
          <c:extLst>
            <c:ext xmlns:c16="http://schemas.microsoft.com/office/drawing/2014/chart" uri="{C3380CC4-5D6E-409C-BE32-E72D297353CC}">
              <c16:uniqueId val="{00000000-9603-4E3B-B1DE-C3A8DBCA100A}"/>
            </c:ext>
          </c:extLst>
        </c:ser>
        <c:ser>
          <c:idx val="1"/>
          <c:order val="1"/>
          <c:tx>
            <c:strRef>
              <c:f>'Results ReCiPe (I) - RD'!$AB$215</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(I) - RD'!$AC$213:$BA$213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RD'!$AC$215:$BA$215</c:f>
              <c:numCache>
                <c:formatCode>0.00E+00</c:formatCode>
                <c:ptCount val="25"/>
                <c:pt idx="0">
                  <c:v>259.78797680878478</c:v>
                </c:pt>
              </c:numCache>
            </c:numRef>
          </c:val>
          <c:extLst>
            <c:ext xmlns:c16="http://schemas.microsoft.com/office/drawing/2014/chart" uri="{C3380CC4-5D6E-409C-BE32-E72D297353CC}">
              <c16:uniqueId val="{00000001-9603-4E3B-B1DE-C3A8DBCA100A}"/>
            </c:ext>
          </c:extLst>
        </c:ser>
        <c:ser>
          <c:idx val="2"/>
          <c:order val="2"/>
          <c:tx>
            <c:strRef>
              <c:f>'Results ReCiPe (I) - RD'!$AB$216</c:f>
              <c:strCache>
                <c:ptCount val="1"/>
                <c:pt idx="0">
                  <c:v>Deconstruction - DAC</c:v>
                </c:pt>
              </c:strCache>
            </c:strRef>
          </c:tx>
          <c:spPr>
            <a:solidFill>
              <a:schemeClr val="accent2">
                <a:lumMod val="40000"/>
                <a:lumOff val="60000"/>
              </a:schemeClr>
            </a:solidFill>
            <a:ln>
              <a:noFill/>
            </a:ln>
            <a:effectLst/>
          </c:spPr>
          <c:invertIfNegative val="0"/>
          <c:cat>
            <c:numRef>
              <c:f>'Results ReCiPe (I) - RD'!$AC$213:$BA$213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RD'!$AC$216:$BA$216</c:f>
              <c:numCache>
                <c:formatCode>0.00E+00</c:formatCode>
                <c:ptCount val="25"/>
                <c:pt idx="24">
                  <c:v>38.811208026370814</c:v>
                </c:pt>
              </c:numCache>
            </c:numRef>
          </c:val>
          <c:extLst>
            <c:ext xmlns:c16="http://schemas.microsoft.com/office/drawing/2014/chart" uri="{C3380CC4-5D6E-409C-BE32-E72D297353CC}">
              <c16:uniqueId val="{00000002-9603-4E3B-B1DE-C3A8DBCA100A}"/>
            </c:ext>
          </c:extLst>
        </c:ser>
        <c:ser>
          <c:idx val="3"/>
          <c:order val="3"/>
          <c:tx>
            <c:strRef>
              <c:f>'Results ReCiPe (I) - RD'!$AB$217</c:f>
              <c:strCache>
                <c:ptCount val="1"/>
                <c:pt idx="0">
                  <c:v>Deconstruction - geological storage</c:v>
                </c:pt>
              </c:strCache>
            </c:strRef>
          </c:tx>
          <c:spPr>
            <a:solidFill>
              <a:srgbClr val="FF9900"/>
            </a:solidFill>
            <a:ln>
              <a:noFill/>
            </a:ln>
            <a:effectLst/>
          </c:spPr>
          <c:invertIfNegative val="0"/>
          <c:cat>
            <c:numRef>
              <c:f>'Results ReCiPe (I) - RD'!$AC$213:$BA$213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RD'!$AC$217:$BA$217</c:f>
              <c:numCache>
                <c:formatCode>0.00E+00</c:formatCode>
                <c:ptCount val="25"/>
                <c:pt idx="24">
                  <c:v>1.2286815910263129</c:v>
                </c:pt>
              </c:numCache>
            </c:numRef>
          </c:val>
          <c:extLst>
            <c:ext xmlns:c16="http://schemas.microsoft.com/office/drawing/2014/chart" uri="{C3380CC4-5D6E-409C-BE32-E72D297353CC}">
              <c16:uniqueId val="{00000003-9603-4E3B-B1DE-C3A8DBCA100A}"/>
            </c:ext>
          </c:extLst>
        </c:ser>
        <c:ser>
          <c:idx val="4"/>
          <c:order val="4"/>
          <c:tx>
            <c:strRef>
              <c:f>'Results ReCiPe (I) - RD'!$AB$218</c:f>
              <c:strCache>
                <c:ptCount val="1"/>
                <c:pt idx="0">
                  <c:v>Sorbent material</c:v>
                </c:pt>
              </c:strCache>
            </c:strRef>
          </c:tx>
          <c:spPr>
            <a:solidFill>
              <a:srgbClr val="FF8F8F"/>
            </a:solidFill>
            <a:ln>
              <a:noFill/>
            </a:ln>
            <a:effectLst/>
          </c:spPr>
          <c:invertIfNegative val="0"/>
          <c:cat>
            <c:numRef>
              <c:f>'Results ReCiPe (I) - RD'!$AC$213:$BA$213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RD'!$AC$218:$BA$218</c:f>
              <c:numCache>
                <c:formatCode>0.00E+00</c:formatCode>
                <c:ptCount val="25"/>
                <c:pt idx="0">
                  <c:v>113.898776346798</c:v>
                </c:pt>
                <c:pt idx="3">
                  <c:v>112.2202631041648</c:v>
                </c:pt>
                <c:pt idx="6">
                  <c:v>112.02723495155939</c:v>
                </c:pt>
                <c:pt idx="9">
                  <c:v>113.04433550375791</c:v>
                </c:pt>
                <c:pt idx="12">
                  <c:v>113.43821672233091</c:v>
                </c:pt>
                <c:pt idx="15">
                  <c:v>113.1998263783904</c:v>
                </c:pt>
                <c:pt idx="18">
                  <c:v>112.0953414641442</c:v>
                </c:pt>
                <c:pt idx="21">
                  <c:v>111.3874174886531</c:v>
                </c:pt>
                <c:pt idx="24">
                  <c:v>111.1953975844519</c:v>
                </c:pt>
              </c:numCache>
            </c:numRef>
          </c:val>
          <c:extLst>
            <c:ext xmlns:c16="http://schemas.microsoft.com/office/drawing/2014/chart" uri="{C3380CC4-5D6E-409C-BE32-E72D297353CC}">
              <c16:uniqueId val="{00000004-9603-4E3B-B1DE-C3A8DBCA100A}"/>
            </c:ext>
          </c:extLst>
        </c:ser>
        <c:ser>
          <c:idx val="5"/>
          <c:order val="5"/>
          <c:tx>
            <c:strRef>
              <c:f>'Results ReCiPe (I) - RD'!$AB$219</c:f>
              <c:strCache>
                <c:ptCount val="1"/>
                <c:pt idx="0">
                  <c:v>Operation - DAC</c:v>
                </c:pt>
              </c:strCache>
            </c:strRef>
          </c:tx>
          <c:spPr>
            <a:solidFill>
              <a:schemeClr val="accent2">
                <a:lumMod val="75000"/>
              </a:schemeClr>
            </a:solidFill>
            <a:ln>
              <a:noFill/>
            </a:ln>
            <a:effectLst/>
          </c:spPr>
          <c:invertIfNegative val="0"/>
          <c:cat>
            <c:numRef>
              <c:f>'Results ReCiPe (I) - RD'!$AC$213:$BA$213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RD'!$AC$219:$BA$219</c:f>
              <c:numCache>
                <c:formatCode>0.00E+00</c:formatCode>
                <c:ptCount val="25"/>
                <c:pt idx="0">
                  <c:v>1173.5113470907304</c:v>
                </c:pt>
                <c:pt idx="1">
                  <c:v>1084.6489104473187</c:v>
                </c:pt>
                <c:pt idx="2">
                  <c:v>995.07365726014177</c:v>
                </c:pt>
                <c:pt idx="3">
                  <c:v>900.12221409508845</c:v>
                </c:pt>
                <c:pt idx="4">
                  <c:v>808.93658202369147</c:v>
                </c:pt>
                <c:pt idx="5">
                  <c:v>717.04376656979923</c:v>
                </c:pt>
                <c:pt idx="6">
                  <c:v>827.69920531221646</c:v>
                </c:pt>
                <c:pt idx="7">
                  <c:v>938.07346363372085</c:v>
                </c:pt>
                <c:pt idx="8">
                  <c:v>1043.6046122063867</c:v>
                </c:pt>
                <c:pt idx="9">
                  <c:v>1153.2745068895172</c:v>
                </c:pt>
                <c:pt idx="10">
                  <c:v>1262.6855683661406</c:v>
                </c:pt>
                <c:pt idx="11">
                  <c:v>1398.7601105876331</c:v>
                </c:pt>
                <c:pt idx="12">
                  <c:v>1534.3969467774723</c:v>
                </c:pt>
                <c:pt idx="13">
                  <c:v>1668.5569926686808</c:v>
                </c:pt>
                <c:pt idx="14">
                  <c:v>1803.3419255240051</c:v>
                </c:pt>
                <c:pt idx="15">
                  <c:v>1937.6839787884905</c:v>
                </c:pt>
                <c:pt idx="16">
                  <c:v>1888.4503747792228</c:v>
                </c:pt>
                <c:pt idx="17">
                  <c:v>1839.474084248305</c:v>
                </c:pt>
                <c:pt idx="18">
                  <c:v>1789.8084493286601</c:v>
                </c:pt>
                <c:pt idx="19">
                  <c:v>1741.3571801186274</c:v>
                </c:pt>
                <c:pt idx="20">
                  <c:v>1693.1277324317427</c:v>
                </c:pt>
                <c:pt idx="21">
                  <c:v>1693.5730974540745</c:v>
                </c:pt>
                <c:pt idx="22">
                  <c:v>1694.0738600196682</c:v>
                </c:pt>
                <c:pt idx="23">
                  <c:v>1694.5625334789479</c:v>
                </c:pt>
                <c:pt idx="24">
                  <c:v>1695.0377222595323</c:v>
                </c:pt>
              </c:numCache>
            </c:numRef>
          </c:val>
          <c:extLst>
            <c:ext xmlns:c16="http://schemas.microsoft.com/office/drawing/2014/chart" uri="{C3380CC4-5D6E-409C-BE32-E72D297353CC}">
              <c16:uniqueId val="{00000005-9603-4E3B-B1DE-C3A8DBCA100A}"/>
            </c:ext>
          </c:extLst>
        </c:ser>
        <c:ser>
          <c:idx val="6"/>
          <c:order val="6"/>
          <c:tx>
            <c:strRef>
              <c:f>'Results ReCiPe (I) - RD'!$AB$220</c:f>
              <c:strCache>
                <c:ptCount val="1"/>
                <c:pt idx="0">
                  <c:v>Operation - geological storage</c:v>
                </c:pt>
              </c:strCache>
            </c:strRef>
          </c:tx>
          <c:spPr>
            <a:solidFill>
              <a:schemeClr val="accent2">
                <a:lumMod val="50000"/>
              </a:schemeClr>
            </a:solidFill>
            <a:ln>
              <a:noFill/>
            </a:ln>
            <a:effectLst/>
          </c:spPr>
          <c:invertIfNegative val="0"/>
          <c:cat>
            <c:numRef>
              <c:f>'Results ReCiPe (I) - RD'!$AC$213:$BA$213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RD'!$AC$220:$BA$220</c:f>
              <c:numCache>
                <c:formatCode>0.00E+00</c:formatCode>
                <c:ptCount val="25"/>
                <c:pt idx="0">
                  <c:v>117.8568792486479</c:v>
                </c:pt>
                <c:pt idx="1">
                  <c:v>108.6734880566903</c:v>
                </c:pt>
                <c:pt idx="2">
                  <c:v>99.483171917324086</c:v>
                </c:pt>
                <c:pt idx="3">
                  <c:v>89.834876440245282</c:v>
                </c:pt>
                <c:pt idx="4">
                  <c:v>80.616658357088596</c:v>
                </c:pt>
                <c:pt idx="5">
                  <c:v>71.39380239652408</c:v>
                </c:pt>
                <c:pt idx="6">
                  <c:v>82.12517998251586</c:v>
                </c:pt>
                <c:pt idx="7">
                  <c:v>92.782447964405179</c:v>
                </c:pt>
                <c:pt idx="8">
                  <c:v>102.92379696753939</c:v>
                </c:pt>
                <c:pt idx="9">
                  <c:v>113.42029184498151</c:v>
                </c:pt>
                <c:pt idx="10">
                  <c:v>123.84525773378361</c:v>
                </c:pt>
                <c:pt idx="11">
                  <c:v>137.06848811315538</c:v>
                </c:pt>
                <c:pt idx="12">
                  <c:v>150.2716475387015</c:v>
                </c:pt>
                <c:pt idx="13">
                  <c:v>163.35427947618578</c:v>
                </c:pt>
                <c:pt idx="14">
                  <c:v>176.51957495567621</c:v>
                </c:pt>
                <c:pt idx="15">
                  <c:v>189.6642186682013</c:v>
                </c:pt>
                <c:pt idx="16">
                  <c:v>185.59424550255198</c:v>
                </c:pt>
                <c:pt idx="17">
                  <c:v>181.50694864530419</c:v>
                </c:pt>
                <c:pt idx="18">
                  <c:v>177.31044454310768</c:v>
                </c:pt>
                <c:pt idx="19">
                  <c:v>173.19043309970979</c:v>
                </c:pt>
                <c:pt idx="20">
                  <c:v>169.0520920965904</c:v>
                </c:pt>
                <c:pt idx="21">
                  <c:v>168.88098557630579</c:v>
                </c:pt>
                <c:pt idx="22">
                  <c:v>168.71851244775661</c:v>
                </c:pt>
                <c:pt idx="23">
                  <c:v>168.55461012015971</c:v>
                </c:pt>
                <c:pt idx="24">
                  <c:v>168.38906925869591</c:v>
                </c:pt>
              </c:numCache>
            </c:numRef>
          </c:val>
          <c:extLst>
            <c:ext xmlns:c16="http://schemas.microsoft.com/office/drawing/2014/chart" uri="{C3380CC4-5D6E-409C-BE32-E72D297353CC}">
              <c16:uniqueId val="{00000006-9603-4E3B-B1DE-C3A8DBCA100A}"/>
            </c:ext>
          </c:extLst>
        </c:ser>
        <c:ser>
          <c:idx val="7"/>
          <c:order val="7"/>
          <c:tx>
            <c:strRef>
              <c:f>'Results ReCiPe (I) - RD'!$AB$221</c:f>
              <c:strCache>
                <c:ptCount val="1"/>
                <c:pt idx="0">
                  <c:v>CO2 captured and stored</c:v>
                </c:pt>
              </c:strCache>
            </c:strRef>
          </c:tx>
          <c:spPr>
            <a:solidFill>
              <a:schemeClr val="tx2">
                <a:lumMod val="20000"/>
                <a:lumOff val="80000"/>
              </a:schemeClr>
            </a:solidFill>
            <a:ln>
              <a:noFill/>
            </a:ln>
            <a:effectLst/>
          </c:spPr>
          <c:invertIfNegative val="0"/>
          <c:cat>
            <c:numRef>
              <c:f>'Results ReCiPe (I) - RD'!$AC$213:$BA$213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RD'!$AC$221:$BA$221</c:f>
              <c:numCache>
                <c:formatCode>0.00E+00</c:formatCode>
                <c:ptCount val="25"/>
              </c:numCache>
            </c:numRef>
          </c:val>
          <c:extLst>
            <c:ext xmlns:c16="http://schemas.microsoft.com/office/drawing/2014/chart" uri="{C3380CC4-5D6E-409C-BE32-E72D297353CC}">
              <c16:uniqueId val="{00000007-9603-4E3B-B1DE-C3A8DBCA100A}"/>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(I) - RD'!$AB$222</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cat>
            <c:numRef>
              <c:f>'Results ReCiPe (I) - RD'!$AC$213:$BA$213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RD'!$AC$222:$BA$222</c:f>
              <c:numCache>
                <c:formatCode>0.00E+00</c:formatCode>
                <c:ptCount val="25"/>
                <c:pt idx="0">
                  <c:v>4332.8188001127728</c:v>
                </c:pt>
                <c:pt idx="1">
                  <c:v>1193.322398504009</c:v>
                </c:pt>
                <c:pt idx="2">
                  <c:v>1094.5568291774659</c:v>
                </c:pt>
                <c:pt idx="3">
                  <c:v>1102.1773536394985</c:v>
                </c:pt>
                <c:pt idx="4">
                  <c:v>889.55324038078004</c:v>
                </c:pt>
                <c:pt idx="5">
                  <c:v>788.43756896632328</c:v>
                </c:pt>
                <c:pt idx="6">
                  <c:v>1021.8516202462918</c:v>
                </c:pt>
                <c:pt idx="7">
                  <c:v>1030.8559115981261</c:v>
                </c:pt>
                <c:pt idx="8">
                  <c:v>1146.5284091739261</c:v>
                </c:pt>
                <c:pt idx="9">
                  <c:v>1379.7391342382566</c:v>
                </c:pt>
                <c:pt idx="10">
                  <c:v>1386.5308260999243</c:v>
                </c:pt>
                <c:pt idx="11">
                  <c:v>1535.8285987007885</c:v>
                </c:pt>
                <c:pt idx="12">
                  <c:v>1798.1068110385047</c:v>
                </c:pt>
                <c:pt idx="13">
                  <c:v>1831.9112721448666</c:v>
                </c:pt>
                <c:pt idx="14">
                  <c:v>1979.8615004796814</c:v>
                </c:pt>
                <c:pt idx="15">
                  <c:v>2240.5480238350819</c:v>
                </c:pt>
                <c:pt idx="16">
                  <c:v>2074.0446202817748</c:v>
                </c:pt>
                <c:pt idx="17">
                  <c:v>2020.9810328936092</c:v>
                </c:pt>
                <c:pt idx="18">
                  <c:v>2079.2142353359122</c:v>
                </c:pt>
                <c:pt idx="19">
                  <c:v>1914.5476132183371</c:v>
                </c:pt>
                <c:pt idx="20">
                  <c:v>1862.179824528333</c:v>
                </c:pt>
                <c:pt idx="21">
                  <c:v>1973.8415005190334</c:v>
                </c:pt>
                <c:pt idx="22">
                  <c:v>1862.7923724674249</c:v>
                </c:pt>
                <c:pt idx="23">
                  <c:v>1863.1171435991075</c:v>
                </c:pt>
                <c:pt idx="24">
                  <c:v>2014.662078720077</c:v>
                </c:pt>
              </c:numCache>
            </c:numRef>
          </c:val>
          <c:smooth val="0"/>
          <c:extLst>
            <c:ext xmlns:c16="http://schemas.microsoft.com/office/drawing/2014/chart" uri="{C3380CC4-5D6E-409C-BE32-E72D297353CC}">
              <c16:uniqueId val="{00000008-9603-4E3B-B1DE-C3A8DBCA100A}"/>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Resource damge</a:t>
                </a:r>
              </a:p>
              <a:p>
                <a:pPr algn="ctr" rtl="0">
                  <a:defRPr/>
                </a:pPr>
                <a:r>
                  <a:rPr lang="nl-NL"/>
                  <a:t>[USD2013/ton CO2 captured and stored)</a:t>
                </a:r>
                <a:endParaRPr lang="en-NL"/>
              </a:p>
              <a:p>
                <a:pPr algn="ctr" rtl="0">
                  <a:defRPr/>
                </a:pPr>
                <a:endParaRPr lang="nl-NL"/>
              </a:p>
            </c:rich>
          </c:tx>
          <c:layout>
            <c:manualLayout>
              <c:xMode val="edge"/>
              <c:yMode val="edge"/>
              <c:x val="1.0203885778970264E-2"/>
              <c:y val="0.16229612493069787"/>
            </c:manualLayout>
          </c:layout>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26879729621161"/>
          <c:y val="5.4106329588493672E-2"/>
          <c:w val="0.87797394606685986"/>
          <c:h val="0.75500483548693564"/>
        </c:manualLayout>
      </c:layout>
      <c:barChart>
        <c:barDir val="col"/>
        <c:grouping val="stacked"/>
        <c:varyColors val="0"/>
        <c:ser>
          <c:idx val="0"/>
          <c:order val="0"/>
          <c:tx>
            <c:strRef>
              <c:f>'Results ReCiPe (I) - RD'!$AB$274</c:f>
              <c:strCache>
                <c:ptCount val="1"/>
                <c:pt idx="0">
                  <c:v>Construction - DAC</c:v>
                </c:pt>
              </c:strCache>
            </c:strRef>
          </c:tx>
          <c:spPr>
            <a:solidFill>
              <a:schemeClr val="accent4">
                <a:lumMod val="75000"/>
              </a:schemeClr>
            </a:solidFill>
            <a:ln>
              <a:noFill/>
            </a:ln>
            <a:effectLst/>
          </c:spPr>
          <c:invertIfNegative val="0"/>
          <c:cat>
            <c:numRef>
              <c:f>'Results ReCiPe (I) - RD'!$AC$273:$BA$273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RD'!$AC$274:$BA$274</c:f>
              <c:numCache>
                <c:formatCode>0.00E+00</c:formatCode>
                <c:ptCount val="25"/>
                <c:pt idx="0">
                  <c:v>2831.6991031143757</c:v>
                </c:pt>
              </c:numCache>
            </c:numRef>
          </c:val>
          <c:extLst>
            <c:ext xmlns:c16="http://schemas.microsoft.com/office/drawing/2014/chart" uri="{C3380CC4-5D6E-409C-BE32-E72D297353CC}">
              <c16:uniqueId val="{00000000-780E-4F0B-B93B-B34D9A0CD5C2}"/>
            </c:ext>
          </c:extLst>
        </c:ser>
        <c:ser>
          <c:idx val="1"/>
          <c:order val="1"/>
          <c:tx>
            <c:strRef>
              <c:f>'Results ReCiPe (I) - RD'!$AB$275</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(I) - RD'!$AC$273:$BA$273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RD'!$AC$275:$BA$275</c:f>
              <c:numCache>
                <c:formatCode>0.00E+00</c:formatCode>
                <c:ptCount val="25"/>
                <c:pt idx="0">
                  <c:v>135.28159718182599</c:v>
                </c:pt>
              </c:numCache>
            </c:numRef>
          </c:val>
          <c:extLst>
            <c:ext xmlns:c16="http://schemas.microsoft.com/office/drawing/2014/chart" uri="{C3380CC4-5D6E-409C-BE32-E72D297353CC}">
              <c16:uniqueId val="{00000001-780E-4F0B-B93B-B34D9A0CD5C2}"/>
            </c:ext>
          </c:extLst>
        </c:ser>
        <c:ser>
          <c:idx val="2"/>
          <c:order val="2"/>
          <c:tx>
            <c:strRef>
              <c:f>'Results ReCiPe (I) - RD'!$AB$276</c:f>
              <c:strCache>
                <c:ptCount val="1"/>
                <c:pt idx="0">
                  <c:v>Deconstruction - DAC</c:v>
                </c:pt>
              </c:strCache>
            </c:strRef>
          </c:tx>
          <c:spPr>
            <a:solidFill>
              <a:schemeClr val="accent2">
                <a:lumMod val="40000"/>
                <a:lumOff val="60000"/>
              </a:schemeClr>
            </a:solidFill>
            <a:ln>
              <a:noFill/>
            </a:ln>
            <a:effectLst/>
          </c:spPr>
          <c:invertIfNegative val="0"/>
          <c:cat>
            <c:numRef>
              <c:f>'Results ReCiPe (I) - RD'!$AC$273:$BA$273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RD'!$AC$276:$BA$276</c:f>
              <c:numCache>
                <c:formatCode>0.00E+00</c:formatCode>
                <c:ptCount val="25"/>
                <c:pt idx="24">
                  <c:v>45.667206385167617</c:v>
                </c:pt>
              </c:numCache>
            </c:numRef>
          </c:val>
          <c:extLst>
            <c:ext xmlns:c16="http://schemas.microsoft.com/office/drawing/2014/chart" uri="{C3380CC4-5D6E-409C-BE32-E72D297353CC}">
              <c16:uniqueId val="{00000002-780E-4F0B-B93B-B34D9A0CD5C2}"/>
            </c:ext>
          </c:extLst>
        </c:ser>
        <c:ser>
          <c:idx val="3"/>
          <c:order val="3"/>
          <c:tx>
            <c:strRef>
              <c:f>'Results ReCiPe (I) - RD'!$AB$277</c:f>
              <c:strCache>
                <c:ptCount val="1"/>
                <c:pt idx="0">
                  <c:v>Deconstruction - geological storage</c:v>
                </c:pt>
              </c:strCache>
            </c:strRef>
          </c:tx>
          <c:spPr>
            <a:solidFill>
              <a:srgbClr val="FF9900"/>
            </a:solidFill>
            <a:ln>
              <a:noFill/>
            </a:ln>
            <a:effectLst/>
          </c:spPr>
          <c:invertIfNegative val="0"/>
          <c:cat>
            <c:numRef>
              <c:f>'Results ReCiPe (I) - RD'!$AC$273:$BA$273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RD'!$AC$277:$BA$277</c:f>
              <c:numCache>
                <c:formatCode>0.00E+00</c:formatCode>
                <c:ptCount val="25"/>
                <c:pt idx="24">
                  <c:v>0.67134705459848942</c:v>
                </c:pt>
              </c:numCache>
            </c:numRef>
          </c:val>
          <c:extLst>
            <c:ext xmlns:c16="http://schemas.microsoft.com/office/drawing/2014/chart" uri="{C3380CC4-5D6E-409C-BE32-E72D297353CC}">
              <c16:uniqueId val="{00000003-780E-4F0B-B93B-B34D9A0CD5C2}"/>
            </c:ext>
          </c:extLst>
        </c:ser>
        <c:ser>
          <c:idx val="4"/>
          <c:order val="4"/>
          <c:tx>
            <c:strRef>
              <c:f>'Results ReCiPe (I) - RD'!$AB$278</c:f>
              <c:strCache>
                <c:ptCount val="1"/>
                <c:pt idx="0">
                  <c:v>Sorbent material</c:v>
                </c:pt>
              </c:strCache>
            </c:strRef>
          </c:tx>
          <c:spPr>
            <a:solidFill>
              <a:srgbClr val="FF8F8F"/>
            </a:solidFill>
            <a:ln>
              <a:noFill/>
            </a:ln>
            <a:effectLst/>
          </c:spPr>
          <c:invertIfNegative val="0"/>
          <c:cat>
            <c:numRef>
              <c:f>'Results ReCiPe (I) - RD'!$AC$273:$BA$273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RD'!$AC$278:$BA$278</c:f>
              <c:numCache>
                <c:formatCode>0.00E+00</c:formatCode>
                <c:ptCount val="25"/>
                <c:pt idx="0">
                  <c:v>118.02764904622801</c:v>
                </c:pt>
                <c:pt idx="3">
                  <c:v>117.2066454136766</c:v>
                </c:pt>
                <c:pt idx="6">
                  <c:v>117.0826402904443</c:v>
                </c:pt>
                <c:pt idx="9">
                  <c:v>116.48331346148591</c:v>
                </c:pt>
                <c:pt idx="12">
                  <c:v>116.4010822157788</c:v>
                </c:pt>
                <c:pt idx="15">
                  <c:v>116.1865333353054</c:v>
                </c:pt>
                <c:pt idx="18">
                  <c:v>115.889418436463</c:v>
                </c:pt>
                <c:pt idx="21">
                  <c:v>115.765483779476</c:v>
                </c:pt>
                <c:pt idx="24">
                  <c:v>115.702219044955</c:v>
                </c:pt>
              </c:numCache>
            </c:numRef>
          </c:val>
          <c:extLst>
            <c:ext xmlns:c16="http://schemas.microsoft.com/office/drawing/2014/chart" uri="{C3380CC4-5D6E-409C-BE32-E72D297353CC}">
              <c16:uniqueId val="{00000004-780E-4F0B-B93B-B34D9A0CD5C2}"/>
            </c:ext>
          </c:extLst>
        </c:ser>
        <c:ser>
          <c:idx val="5"/>
          <c:order val="5"/>
          <c:tx>
            <c:strRef>
              <c:f>'Results ReCiPe (I) - RD'!$AB$279</c:f>
              <c:strCache>
                <c:ptCount val="1"/>
                <c:pt idx="0">
                  <c:v>Battery</c:v>
                </c:pt>
              </c:strCache>
            </c:strRef>
          </c:tx>
          <c:spPr>
            <a:solidFill>
              <a:schemeClr val="accent6">
                <a:lumMod val="50000"/>
              </a:schemeClr>
            </a:solidFill>
            <a:ln>
              <a:noFill/>
            </a:ln>
            <a:effectLst/>
          </c:spPr>
          <c:invertIfNegative val="0"/>
          <c:cat>
            <c:numRef>
              <c:f>'Results ReCiPe (I) - RD'!$AC$273:$BA$273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RD'!$AC$279:$BA$279</c:f>
              <c:numCache>
                <c:formatCode>0.00E+00</c:formatCode>
                <c:ptCount val="25"/>
                <c:pt idx="0">
                  <c:v>385.84752434926077</c:v>
                </c:pt>
                <c:pt idx="1">
                  <c:v>385.84752434926077</c:v>
                </c:pt>
                <c:pt idx="2">
                  <c:v>385.84752434926077</c:v>
                </c:pt>
                <c:pt idx="3">
                  <c:v>385.84752434926077</c:v>
                </c:pt>
                <c:pt idx="4">
                  <c:v>385.84752434926077</c:v>
                </c:pt>
                <c:pt idx="5">
                  <c:v>385.84752434926077</c:v>
                </c:pt>
                <c:pt idx="6">
                  <c:v>385.84752434926077</c:v>
                </c:pt>
                <c:pt idx="7">
                  <c:v>385.84752434926077</c:v>
                </c:pt>
                <c:pt idx="8">
                  <c:v>385.84752434926077</c:v>
                </c:pt>
                <c:pt idx="9">
                  <c:v>385.84752434926077</c:v>
                </c:pt>
                <c:pt idx="10">
                  <c:v>385.84752434926077</c:v>
                </c:pt>
                <c:pt idx="11">
                  <c:v>385.84752434926077</c:v>
                </c:pt>
                <c:pt idx="12">
                  <c:v>385.84752434926077</c:v>
                </c:pt>
                <c:pt idx="13">
                  <c:v>385.84752434926077</c:v>
                </c:pt>
                <c:pt idx="14">
                  <c:v>385.84752434926077</c:v>
                </c:pt>
                <c:pt idx="15">
                  <c:v>385.84752434926077</c:v>
                </c:pt>
                <c:pt idx="16">
                  <c:v>385.84752434926077</c:v>
                </c:pt>
                <c:pt idx="17">
                  <c:v>385.84752434926077</c:v>
                </c:pt>
                <c:pt idx="18">
                  <c:v>385.84752434926077</c:v>
                </c:pt>
                <c:pt idx="19">
                  <c:v>385.84752434926077</c:v>
                </c:pt>
                <c:pt idx="20">
                  <c:v>385.84752434926077</c:v>
                </c:pt>
                <c:pt idx="21">
                  <c:v>385.84752434926077</c:v>
                </c:pt>
                <c:pt idx="22">
                  <c:v>385.84752434926077</c:v>
                </c:pt>
                <c:pt idx="23">
                  <c:v>385.84752434926077</c:v>
                </c:pt>
                <c:pt idx="24">
                  <c:v>385.84752434926077</c:v>
                </c:pt>
              </c:numCache>
            </c:numRef>
          </c:val>
          <c:extLst>
            <c:ext xmlns:c16="http://schemas.microsoft.com/office/drawing/2014/chart" uri="{C3380CC4-5D6E-409C-BE32-E72D297353CC}">
              <c16:uniqueId val="{00000005-780E-4F0B-B93B-B34D9A0CD5C2}"/>
            </c:ext>
          </c:extLst>
        </c:ser>
        <c:ser>
          <c:idx val="6"/>
          <c:order val="6"/>
          <c:tx>
            <c:strRef>
              <c:f>'Results ReCiPe (I) - RD'!$AB$280</c:f>
              <c:strCache>
                <c:ptCount val="1"/>
                <c:pt idx="0">
                  <c:v>Operation - DAC</c:v>
                </c:pt>
              </c:strCache>
            </c:strRef>
          </c:tx>
          <c:spPr>
            <a:solidFill>
              <a:schemeClr val="accent2">
                <a:lumMod val="75000"/>
              </a:schemeClr>
            </a:solidFill>
            <a:ln>
              <a:noFill/>
            </a:ln>
            <a:effectLst/>
          </c:spPr>
          <c:invertIfNegative val="0"/>
          <c:cat>
            <c:numRef>
              <c:f>'Results ReCiPe (I) - RD'!$AC$273:$BA$273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RD'!$AC$280:$BA$280</c:f>
              <c:numCache>
                <c:formatCode>0.00E+00</c:formatCode>
                <c:ptCount val="25"/>
                <c:pt idx="0">
                  <c:v>349.14264620710111</c:v>
                </c:pt>
                <c:pt idx="1">
                  <c:v>348.2431396351933</c:v>
                </c:pt>
                <c:pt idx="2">
                  <c:v>347.36247045382612</c:v>
                </c:pt>
                <c:pt idx="3">
                  <c:v>343.05484236434222</c:v>
                </c:pt>
                <c:pt idx="4">
                  <c:v>342.21803244203898</c:v>
                </c:pt>
                <c:pt idx="5">
                  <c:v>341.39397491012551</c:v>
                </c:pt>
                <c:pt idx="6">
                  <c:v>340.519493045942</c:v>
                </c:pt>
                <c:pt idx="7">
                  <c:v>339.67357000501755</c:v>
                </c:pt>
                <c:pt idx="8">
                  <c:v>336.44840115701339</c:v>
                </c:pt>
                <c:pt idx="9">
                  <c:v>335.66808711343111</c:v>
                </c:pt>
                <c:pt idx="10">
                  <c:v>334.90911822090703</c:v>
                </c:pt>
                <c:pt idx="11">
                  <c:v>334.36987009383552</c:v>
                </c:pt>
                <c:pt idx="12">
                  <c:v>333.85429664930979</c:v>
                </c:pt>
                <c:pt idx="13">
                  <c:v>332.6721854422874</c:v>
                </c:pt>
                <c:pt idx="14">
                  <c:v>332.20360797147902</c:v>
                </c:pt>
                <c:pt idx="15">
                  <c:v>331.76600573896133</c:v>
                </c:pt>
                <c:pt idx="16">
                  <c:v>331.35705198035743</c:v>
                </c:pt>
                <c:pt idx="17">
                  <c:v>330.95090051133479</c:v>
                </c:pt>
                <c:pt idx="18">
                  <c:v>329.8800570815813</c:v>
                </c:pt>
                <c:pt idx="19">
                  <c:v>329.48577795690358</c:v>
                </c:pt>
                <c:pt idx="20">
                  <c:v>329.09346053322696</c:v>
                </c:pt>
                <c:pt idx="21">
                  <c:v>328.89033551148219</c:v>
                </c:pt>
                <c:pt idx="22">
                  <c:v>328.69369942731873</c:v>
                </c:pt>
                <c:pt idx="23">
                  <c:v>328.50305391993157</c:v>
                </c:pt>
                <c:pt idx="24">
                  <c:v>328.31818474496987</c:v>
                </c:pt>
              </c:numCache>
            </c:numRef>
          </c:val>
          <c:extLst>
            <c:ext xmlns:c16="http://schemas.microsoft.com/office/drawing/2014/chart" uri="{C3380CC4-5D6E-409C-BE32-E72D297353CC}">
              <c16:uniqueId val="{00000006-780E-4F0B-B93B-B34D9A0CD5C2}"/>
            </c:ext>
          </c:extLst>
        </c:ser>
        <c:ser>
          <c:idx val="7"/>
          <c:order val="7"/>
          <c:tx>
            <c:strRef>
              <c:f>'Results ReCiPe (I) - RD'!$AB$281</c:f>
              <c:strCache>
                <c:ptCount val="1"/>
                <c:pt idx="0">
                  <c:v>Operation - geological storage</c:v>
                </c:pt>
              </c:strCache>
            </c:strRef>
          </c:tx>
          <c:spPr>
            <a:solidFill>
              <a:schemeClr val="accent2">
                <a:lumMod val="50000"/>
              </a:schemeClr>
            </a:solidFill>
            <a:ln>
              <a:noFill/>
            </a:ln>
            <a:effectLst/>
          </c:spPr>
          <c:invertIfNegative val="0"/>
          <c:cat>
            <c:numRef>
              <c:f>'Results ReCiPe (I) - RD'!$AC$273:$BA$273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RD'!$AC$281:$BA$281</c:f>
              <c:numCache>
                <c:formatCode>0.00E+00</c:formatCode>
                <c:ptCount val="25"/>
                <c:pt idx="0">
                  <c:v>92.522936539768352</c:v>
                </c:pt>
                <c:pt idx="1">
                  <c:v>92.793503087670402</c:v>
                </c:pt>
                <c:pt idx="2">
                  <c:v>93.06587797041675</c:v>
                </c:pt>
                <c:pt idx="3">
                  <c:v>93.152487656147599</c:v>
                </c:pt>
                <c:pt idx="4">
                  <c:v>93.430797007075</c:v>
                </c:pt>
                <c:pt idx="5">
                  <c:v>93.710699474942444</c:v>
                </c:pt>
                <c:pt idx="6">
                  <c:v>95.168745354720258</c:v>
                </c:pt>
                <c:pt idx="7">
                  <c:v>96.620196303689454</c:v>
                </c:pt>
                <c:pt idx="8">
                  <c:v>97.926327469246203</c:v>
                </c:pt>
                <c:pt idx="9">
                  <c:v>99.370460660972455</c:v>
                </c:pt>
                <c:pt idx="10">
                  <c:v>100.8089097212778</c:v>
                </c:pt>
                <c:pt idx="11">
                  <c:v>100.8944344985012</c:v>
                </c:pt>
                <c:pt idx="12">
                  <c:v>100.9750173955904</c:v>
                </c:pt>
                <c:pt idx="13">
                  <c:v>101.01752017196036</c:v>
                </c:pt>
                <c:pt idx="14">
                  <c:v>101.08798744318861</c:v>
                </c:pt>
                <c:pt idx="15">
                  <c:v>101.15287869099474</c:v>
                </c:pt>
                <c:pt idx="16">
                  <c:v>104.61985498842729</c:v>
                </c:pt>
                <c:pt idx="17">
                  <c:v>108.08162228124681</c:v>
                </c:pt>
                <c:pt idx="18">
                  <c:v>111.50931876301084</c:v>
                </c:pt>
                <c:pt idx="19">
                  <c:v>114.9630242804718</c:v>
                </c:pt>
                <c:pt idx="20">
                  <c:v>118.41294968922855</c:v>
                </c:pt>
                <c:pt idx="21">
                  <c:v>118.9304702009813</c:v>
                </c:pt>
                <c:pt idx="22">
                  <c:v>119.45404576576755</c:v>
                </c:pt>
                <c:pt idx="23">
                  <c:v>119.97949784271651</c:v>
                </c:pt>
                <c:pt idx="24">
                  <c:v>120.50672490411405</c:v>
                </c:pt>
              </c:numCache>
            </c:numRef>
          </c:val>
          <c:extLst>
            <c:ext xmlns:c16="http://schemas.microsoft.com/office/drawing/2014/chart" uri="{C3380CC4-5D6E-409C-BE32-E72D297353CC}">
              <c16:uniqueId val="{00000007-780E-4F0B-B93B-B34D9A0CD5C2}"/>
            </c:ext>
          </c:extLst>
        </c:ser>
        <c:ser>
          <c:idx val="8"/>
          <c:order val="8"/>
          <c:tx>
            <c:strRef>
              <c:f>'Results ReCiPe (I) - RD'!$AB$282</c:f>
              <c:strCache>
                <c:ptCount val="1"/>
                <c:pt idx="0">
                  <c:v>CO2 captured and stored</c:v>
                </c:pt>
              </c:strCache>
            </c:strRef>
          </c:tx>
          <c:spPr>
            <a:solidFill>
              <a:schemeClr val="accent3">
                <a:lumMod val="60000"/>
              </a:schemeClr>
            </a:solidFill>
            <a:ln>
              <a:solidFill>
                <a:schemeClr val="tx2">
                  <a:lumMod val="20000"/>
                  <a:lumOff val="80000"/>
                </a:schemeClr>
              </a:solidFill>
            </a:ln>
            <a:effectLst/>
          </c:spPr>
          <c:invertIfNegative val="0"/>
          <c:cat>
            <c:numRef>
              <c:f>'Results ReCiPe (I) - RD'!$AC$273:$BA$273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RD'!$AC$282:$BA$282</c:f>
              <c:numCache>
                <c:formatCode>0.00E+00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8-780E-4F0B-B93B-B34D9A0CD5C2}"/>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(I) - RD'!$AB$283</c:f>
              <c:strCache>
                <c:ptCount val="1"/>
                <c:pt idx="0">
                  <c:v>TOTAL per year</c:v>
                </c:pt>
              </c:strCache>
            </c:strRef>
          </c:tx>
          <c:spPr>
            <a:ln w="28575" cap="rnd">
              <a:noFill/>
              <a:round/>
            </a:ln>
            <a:effectLst/>
          </c:spPr>
          <c:marker>
            <c:symbol val="circle"/>
            <c:size val="5"/>
            <c:spPr>
              <a:solidFill>
                <a:schemeClr val="tx1"/>
              </a:solidFill>
              <a:ln w="9525">
                <a:solidFill>
                  <a:schemeClr val="accent4">
                    <a:lumMod val="60000"/>
                  </a:schemeClr>
                </a:solidFill>
              </a:ln>
              <a:effectLst/>
            </c:spPr>
          </c:marker>
          <c:cat>
            <c:numRef>
              <c:f>'Results ReCiPe (I) - RD'!$AC$273:$BA$273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RD'!$AC$283:$BA$283</c:f>
              <c:numCache>
                <c:formatCode>0.00E+00</c:formatCode>
                <c:ptCount val="25"/>
                <c:pt idx="0">
                  <c:v>3912.5214564385597</c:v>
                </c:pt>
                <c:pt idx="1">
                  <c:v>826.88416707212446</c:v>
                </c:pt>
                <c:pt idx="2">
                  <c:v>826.27587277350358</c:v>
                </c:pt>
                <c:pt idx="3">
                  <c:v>939.26149978342721</c:v>
                </c:pt>
                <c:pt idx="4">
                  <c:v>821.49635379837468</c:v>
                </c:pt>
                <c:pt idx="5">
                  <c:v>820.9521987343287</c:v>
                </c:pt>
                <c:pt idx="6">
                  <c:v>938.6184030403673</c:v>
                </c:pt>
                <c:pt idx="7">
                  <c:v>822.14129065796783</c:v>
                </c:pt>
                <c:pt idx="8">
                  <c:v>820.22225297552041</c:v>
                </c:pt>
                <c:pt idx="9">
                  <c:v>937.36938558515021</c:v>
                </c:pt>
                <c:pt idx="10">
                  <c:v>821.56555229144556</c:v>
                </c:pt>
                <c:pt idx="11">
                  <c:v>821.11182894159742</c:v>
                </c:pt>
                <c:pt idx="12">
                  <c:v>937.07792060993972</c:v>
                </c:pt>
                <c:pt idx="13">
                  <c:v>819.53722996350848</c:v>
                </c:pt>
                <c:pt idx="14">
                  <c:v>819.13911976392831</c:v>
                </c:pt>
                <c:pt idx="15">
                  <c:v>934.95294211452222</c:v>
                </c:pt>
                <c:pt idx="16">
                  <c:v>821.82443131804553</c:v>
                </c:pt>
                <c:pt idx="17">
                  <c:v>824.8800471418424</c:v>
                </c:pt>
                <c:pt idx="18">
                  <c:v>943.12631863031595</c:v>
                </c:pt>
                <c:pt idx="19">
                  <c:v>830.29632658663616</c:v>
                </c:pt>
                <c:pt idx="20">
                  <c:v>833.35393457171631</c:v>
                </c:pt>
                <c:pt idx="21">
                  <c:v>949.43381384120016</c:v>
                </c:pt>
                <c:pt idx="22">
                  <c:v>833.99526954234705</c:v>
                </c:pt>
                <c:pt idx="23">
                  <c:v>834.33007611190874</c:v>
                </c:pt>
                <c:pt idx="24">
                  <c:v>996.71320648306585</c:v>
                </c:pt>
              </c:numCache>
            </c:numRef>
          </c:val>
          <c:smooth val="0"/>
          <c:extLst>
            <c:ext xmlns:c16="http://schemas.microsoft.com/office/drawing/2014/chart" uri="{C3380CC4-5D6E-409C-BE32-E72D297353CC}">
              <c16:uniqueId val="{00000009-780E-4F0B-B93B-B34D9A0CD5C2}"/>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Resource damage</a:t>
                </a:r>
              </a:p>
              <a:p>
                <a:pPr algn="ctr" rtl="0">
                  <a:defRPr/>
                </a:pPr>
                <a:r>
                  <a:rPr lang="nl-NL"/>
                  <a:t>[USD2013/ton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19692808062577"/>
          <c:y val="7.8345072223025738E-2"/>
          <c:w val="0.41748456318118088"/>
          <c:h val="0.89554846506848518"/>
        </c:manualLayout>
      </c:layout>
      <c:scatterChart>
        <c:scatterStyle val="lineMarker"/>
        <c:varyColors val="0"/>
        <c:ser>
          <c:idx val="0"/>
          <c:order val="0"/>
          <c:tx>
            <c:strRef>
              <c:f>'Sensitivity analysis - HHD'!$Y$443</c:f>
              <c:strCache>
                <c:ptCount val="1"/>
                <c:pt idx="0">
                  <c:v>Material use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'Sensitivity analysis - HHD'!$AD$442:$AF$442</c:f>
              <c:numCache>
                <c:formatCode>0%</c:formatCode>
                <c:ptCount val="3"/>
                <c:pt idx="0">
                  <c:v>0.8</c:v>
                </c:pt>
                <c:pt idx="1">
                  <c:v>1</c:v>
                </c:pt>
                <c:pt idx="2">
                  <c:v>1.2</c:v>
                </c:pt>
              </c:numCache>
            </c:numRef>
          </c:xVal>
          <c:yVal>
            <c:numRef>
              <c:f>'Sensitivity analysis - HHD'!$AD$443:$AF$443</c:f>
              <c:numCache>
                <c:formatCode>0.00E+00</c:formatCode>
                <c:ptCount val="3"/>
                <c:pt idx="0">
                  <c:v>-6.7590982986943005E-4</c:v>
                </c:pt>
                <c:pt idx="1">
                  <c:v>-6.6350885311152938E-4</c:v>
                </c:pt>
                <c:pt idx="2">
                  <c:v>-6.5110787635362861E-4</c:v>
                </c:pt>
              </c:numCache>
            </c:numRef>
          </c:yVal>
          <c:smooth val="0"/>
          <c:extLst>
            <c:ext xmlns:c16="http://schemas.microsoft.com/office/drawing/2014/chart" uri="{C3380CC4-5D6E-409C-BE32-E72D297353CC}">
              <c16:uniqueId val="{00000000-1ABD-4411-B3E4-CAA88ADB2989}"/>
            </c:ext>
          </c:extLst>
        </c:ser>
        <c:ser>
          <c:idx val="1"/>
          <c:order val="1"/>
          <c:tx>
            <c:strRef>
              <c:f>'Sensitivity analysis - HHD'!$Y$444</c:f>
              <c:strCache>
                <c:ptCount val="1"/>
                <c:pt idx="0">
                  <c:v>Energy use</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('Sensitivity analysis - HHD'!$AC$442,'Sensitivity analysis - HHD'!$AE$442,'Sensitivity analysis - HHD'!$AH$442,'Sensitivity analysis - HHD'!$AI$442)</c:f>
              <c:numCache>
                <c:formatCode>0%</c:formatCode>
                <c:ptCount val="4"/>
                <c:pt idx="0">
                  <c:v>0.67</c:v>
                </c:pt>
                <c:pt idx="1">
                  <c:v>1</c:v>
                </c:pt>
                <c:pt idx="2">
                  <c:v>1.67</c:v>
                </c:pt>
              </c:numCache>
            </c:numRef>
          </c:xVal>
          <c:yVal>
            <c:numRef>
              <c:f>('Sensitivity analysis - HHD'!$AC$444,'Sensitivity analysis - HHD'!$AE$444,'Sensitivity analysis - HHD'!$AH$444,'Sensitivity analysis - HHD'!$AI$444)</c:f>
              <c:numCache>
                <c:formatCode>0.00E+00</c:formatCode>
                <c:ptCount val="4"/>
                <c:pt idx="0">
                  <c:v>-7.201542219987026E-4</c:v>
                </c:pt>
                <c:pt idx="1">
                  <c:v>-6.6350885311152938E-4</c:v>
                </c:pt>
                <c:pt idx="2">
                  <c:v>-5.5021811533718283E-4</c:v>
                </c:pt>
              </c:numCache>
            </c:numRef>
          </c:yVal>
          <c:smooth val="0"/>
          <c:extLst>
            <c:ext xmlns:c16="http://schemas.microsoft.com/office/drawing/2014/chart" uri="{C3380CC4-5D6E-409C-BE32-E72D297353CC}">
              <c16:uniqueId val="{00000001-1ABD-4411-B3E4-CAA88ADB2989}"/>
            </c:ext>
          </c:extLst>
        </c:ser>
        <c:ser>
          <c:idx val="2"/>
          <c:order val="2"/>
          <c:tx>
            <c:strRef>
              <c:f>'Sensitivity analysis - HHD'!$Y$445</c:f>
              <c:strCache>
                <c:ptCount val="1"/>
                <c:pt idx="0">
                  <c:v>Lifetime DAC system</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'Sensitivity analysis - HHD'!$AD$442:$AE$442</c:f>
              <c:numCache>
                <c:formatCode>0%</c:formatCode>
                <c:ptCount val="2"/>
                <c:pt idx="0">
                  <c:v>0.8</c:v>
                </c:pt>
                <c:pt idx="1">
                  <c:v>1</c:v>
                </c:pt>
              </c:numCache>
            </c:numRef>
          </c:xVal>
          <c:yVal>
            <c:numRef>
              <c:f>'Sensitivity analysis - HHD'!$AD$445:$AE$445</c:f>
              <c:numCache>
                <c:formatCode>0.00E+00</c:formatCode>
                <c:ptCount val="2"/>
                <c:pt idx="0">
                  <c:v>-5.9738606638941186E-4</c:v>
                </c:pt>
                <c:pt idx="1">
                  <c:v>-6.6350885311152927E-4</c:v>
                </c:pt>
              </c:numCache>
            </c:numRef>
          </c:yVal>
          <c:smooth val="0"/>
          <c:extLst>
            <c:ext xmlns:c16="http://schemas.microsoft.com/office/drawing/2014/chart" uri="{C3380CC4-5D6E-409C-BE32-E72D297353CC}">
              <c16:uniqueId val="{00000002-1ABD-4411-B3E4-CAA88ADB2989}"/>
            </c:ext>
          </c:extLst>
        </c:ser>
        <c:ser>
          <c:idx val="3"/>
          <c:order val="3"/>
          <c:tx>
            <c:strRef>
              <c:f>'Sensitivity analysis - HHD'!$Y$446</c:f>
              <c:strCache>
                <c:ptCount val="1"/>
                <c:pt idx="0">
                  <c:v>Lifetime sorbent material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('Sensitivity analysis - HHD'!$AA$442,'Sensitivity analysis - HHD'!$AE$442,'Sensitivity analysis - HHD'!$AH$442)</c:f>
              <c:numCache>
                <c:formatCode>0%</c:formatCode>
                <c:ptCount val="3"/>
                <c:pt idx="0">
                  <c:v>0.33</c:v>
                </c:pt>
                <c:pt idx="1">
                  <c:v>1</c:v>
                </c:pt>
                <c:pt idx="2">
                  <c:v>1.67</c:v>
                </c:pt>
              </c:numCache>
            </c:numRef>
          </c:xVal>
          <c:yVal>
            <c:numRef>
              <c:f>('Sensitivity analysis - HHD'!$AA$446,'Sensitivity analysis - HHD'!$AE$446,'Sensitivity analysis - HHD'!$AH$446)</c:f>
              <c:numCache>
                <c:formatCode>0.00E+00</c:formatCode>
                <c:ptCount val="3"/>
                <c:pt idx="0">
                  <c:v>-6.5185906130331667E-4</c:v>
                </c:pt>
                <c:pt idx="1">
                  <c:v>-6.6350885311152938E-4</c:v>
                </c:pt>
                <c:pt idx="2">
                  <c:v>-6.6641764423452249E-4</c:v>
                </c:pt>
              </c:numCache>
            </c:numRef>
          </c:yVal>
          <c:smooth val="0"/>
          <c:extLst>
            <c:ext xmlns:c16="http://schemas.microsoft.com/office/drawing/2014/chart" uri="{C3380CC4-5D6E-409C-BE32-E72D297353CC}">
              <c16:uniqueId val="{00000003-1ABD-4411-B3E4-CAA88ADB2989}"/>
            </c:ext>
          </c:extLst>
        </c:ser>
        <c:ser>
          <c:idx val="4"/>
          <c:order val="4"/>
          <c:tx>
            <c:strRef>
              <c:f>'Sensitivity analysis - HHD'!$Y$447</c:f>
              <c:strCache>
                <c:ptCount val="1"/>
                <c:pt idx="0">
                  <c:v>Capacity DAC unit</c:v>
                </c:pt>
              </c:strCache>
            </c:strRef>
          </c:tx>
          <c:spPr>
            <a:ln w="19050" cap="rnd">
              <a:solidFill>
                <a:srgbClr val="996633"/>
              </a:solidFill>
              <a:round/>
            </a:ln>
            <a:effectLst/>
          </c:spPr>
          <c:marker>
            <c:symbol val="circle"/>
            <c:size val="5"/>
            <c:spPr>
              <a:solidFill>
                <a:srgbClr val="996633"/>
              </a:solidFill>
              <a:ln w="9525">
                <a:solidFill>
                  <a:srgbClr val="996633"/>
                </a:solidFill>
              </a:ln>
              <a:effectLst/>
            </c:spPr>
          </c:marker>
          <c:xVal>
            <c:numRef>
              <c:f>('Sensitivity analysis - HHD'!$AB$442,'Sensitivity analysis - HHD'!$AE$442,'Sensitivity analysis - HHD'!$AG$442)</c:f>
              <c:numCache>
                <c:formatCode>0%</c:formatCode>
                <c:ptCount val="3"/>
                <c:pt idx="0">
                  <c:v>0.5</c:v>
                </c:pt>
                <c:pt idx="1">
                  <c:v>1</c:v>
                </c:pt>
                <c:pt idx="2">
                  <c:v>1.5</c:v>
                </c:pt>
              </c:numCache>
            </c:numRef>
          </c:xVal>
          <c:yVal>
            <c:numRef>
              <c:f>('Sensitivity analysis - HHD'!$AB$447,'Sensitivity analysis - HHD'!$AE$447,'Sensitivity analysis - HHD'!$AG$447)</c:f>
              <c:numCache>
                <c:formatCode>0.00E+00</c:formatCode>
                <c:ptCount val="3"/>
                <c:pt idx="0">
                  <c:v>-3.9901770622305887E-4</c:v>
                </c:pt>
                <c:pt idx="1">
                  <c:v>-6.6350885311152927E-4</c:v>
                </c:pt>
                <c:pt idx="2">
                  <c:v>-7.5167256874101966E-4</c:v>
                </c:pt>
              </c:numCache>
            </c:numRef>
          </c:yVal>
          <c:smooth val="0"/>
          <c:extLst>
            <c:ext xmlns:c16="http://schemas.microsoft.com/office/drawing/2014/chart" uri="{C3380CC4-5D6E-409C-BE32-E72D297353CC}">
              <c16:uniqueId val="{00000004-1ABD-4411-B3E4-CAA88ADB2989}"/>
            </c:ext>
          </c:extLst>
        </c:ser>
        <c:ser>
          <c:idx val="6"/>
          <c:order val="5"/>
          <c:tx>
            <c:strRef>
              <c:f>'Sensitivity analysis - HHD'!$Y$448</c:f>
              <c:strCache>
                <c:ptCount val="1"/>
                <c:pt idx="0">
                  <c:v>Sorbent type - amine on silica</c:v>
                </c:pt>
              </c:strCache>
            </c:strRef>
          </c:tx>
          <c:spPr>
            <a:ln w="19050" cap="rnd">
              <a:noFill/>
              <a:round/>
            </a:ln>
            <a:effectLst/>
          </c:spPr>
          <c:marker>
            <c:symbol val="square"/>
            <c:size val="5"/>
            <c:spPr>
              <a:solidFill>
                <a:srgbClr val="C00000"/>
              </a:solidFill>
              <a:ln w="9525">
                <a:solidFill>
                  <a:srgbClr val="C00000"/>
                </a:solidFill>
              </a:ln>
              <a:effectLst/>
            </c:spPr>
          </c:marker>
          <c:xVal>
            <c:numRef>
              <c:f>'Sensitivity analysis - HHD'!$AE$442</c:f>
              <c:numCache>
                <c:formatCode>0%</c:formatCode>
                <c:ptCount val="1"/>
                <c:pt idx="0">
                  <c:v>1</c:v>
                </c:pt>
              </c:numCache>
            </c:numRef>
          </c:xVal>
          <c:yVal>
            <c:numRef>
              <c:f>'Sensitivity analysis - HHD'!$AE$448</c:f>
              <c:numCache>
                <c:formatCode>0.00E+00</c:formatCode>
                <c:ptCount val="1"/>
                <c:pt idx="0">
                  <c:v>-6.5040008120357813E-4</c:v>
                </c:pt>
              </c:numCache>
            </c:numRef>
          </c:yVal>
          <c:smooth val="0"/>
          <c:extLst>
            <c:ext xmlns:c16="http://schemas.microsoft.com/office/drawing/2014/chart" uri="{C3380CC4-5D6E-409C-BE32-E72D297353CC}">
              <c16:uniqueId val="{00000006-1ABD-4411-B3E4-CAA88ADB2989}"/>
            </c:ext>
          </c:extLst>
        </c:ser>
        <c:dLbls>
          <c:showLegendKey val="0"/>
          <c:showVal val="0"/>
          <c:showCatName val="0"/>
          <c:showSerName val="0"/>
          <c:showPercent val="0"/>
          <c:showBubbleSize val="0"/>
        </c:dLbls>
        <c:axId val="894438607"/>
        <c:axId val="1119274239"/>
      </c:scatterChart>
      <c:valAx>
        <c:axId val="894438607"/>
        <c:scaling>
          <c:orientation val="minMax"/>
          <c:max val="2.5"/>
          <c:min val="0"/>
        </c:scaling>
        <c:delete val="0"/>
        <c:axPos val="b"/>
        <c:majorGridlines>
          <c:spPr>
            <a:ln w="9525" cap="flat" cmpd="sng" algn="ctr">
              <a:solidFill>
                <a:schemeClr val="tx1">
                  <a:lumMod val="50000"/>
                  <a:lumOff val="50000"/>
                </a:schemeClr>
              </a:solidFill>
              <a:round/>
            </a:ln>
            <a:effectLst/>
          </c:spPr>
        </c:majorGridlines>
        <c:numFmt formatCode="0%" sourceLinked="1"/>
        <c:majorTickMark val="none"/>
        <c:minorTickMark val="none"/>
        <c:tickLblPos val="high"/>
        <c:spPr>
          <a:noFill/>
          <a:ln w="190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1119274239"/>
        <c:crosses val="autoZero"/>
        <c:crossBetween val="midCat"/>
      </c:valAx>
      <c:valAx>
        <c:axId val="1119274239"/>
        <c:scaling>
          <c:orientation val="minMax"/>
        </c:scaling>
        <c:delete val="0"/>
        <c:axPos val="l"/>
        <c:majorGridlines>
          <c:spPr>
            <a:ln w="9525" cap="flat" cmpd="sng" algn="ctr">
              <a:solidFill>
                <a:schemeClr val="tx1">
                  <a:lumMod val="50000"/>
                  <a:lumOff val="50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r>
                  <a:rPr lang="nl-NL"/>
                  <a:t>Human health damage</a:t>
                </a:r>
              </a:p>
              <a:p>
                <a:pPr>
                  <a:defRPr/>
                </a:pPr>
                <a:r>
                  <a:rPr lang="nl-NL"/>
                  <a:t>[DALY/ton CO</a:t>
                </a:r>
                <a:r>
                  <a:rPr lang="nl-NL" baseline="-25000"/>
                  <a:t>2</a:t>
                </a:r>
                <a:r>
                  <a:rPr lang="nl-NL"/>
                  <a:t> captured and stored]</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title>
        <c:numFmt formatCode="0.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894438607"/>
        <c:crosses val="autoZero"/>
        <c:crossBetween val="midCat"/>
      </c:valAx>
      <c:spPr>
        <a:noFill/>
        <a:ln w="19050">
          <a:solidFill>
            <a:schemeClr val="tx1"/>
          </a:solidFill>
        </a:ln>
        <a:effectLst/>
      </c:spPr>
    </c:plotArea>
    <c:legend>
      <c:legendPos val="r"/>
      <c:layout>
        <c:manualLayout>
          <c:xMode val="edge"/>
          <c:yMode val="edge"/>
          <c:x val="0.53169294736491457"/>
          <c:y val="7.4172479218749934E-2"/>
          <c:w val="0.24828804709021357"/>
          <c:h val="0.899178674081772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printSettings>
    <c:headerFooter/>
    <c:pageMargins b="0.75" l="0.7" r="0.7" t="0.75" header="0.3" footer="0.3"/>
    <c:pageSetup/>
  </c:printSettings>
</c:chartSpace>
</file>

<file path=xl/charts/chart1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(I) - RD'!$AB$334</c:f>
              <c:strCache>
                <c:ptCount val="1"/>
                <c:pt idx="0">
                  <c:v>Construction - DAC</c:v>
                </c:pt>
              </c:strCache>
            </c:strRef>
          </c:tx>
          <c:spPr>
            <a:solidFill>
              <a:schemeClr val="accent4">
                <a:lumMod val="75000"/>
              </a:schemeClr>
            </a:solidFill>
            <a:ln>
              <a:noFill/>
            </a:ln>
            <a:effectLst/>
          </c:spPr>
          <c:invertIfNegative val="0"/>
          <c:cat>
            <c:numRef>
              <c:f>'Results ReCiPe (I) - RD'!$AC$333:$BA$333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RD'!$AC$334:$BA$334</c:f>
              <c:numCache>
                <c:formatCode>0.00E+00</c:formatCode>
                <c:ptCount val="25"/>
                <c:pt idx="0">
                  <c:v>2776.8663578779779</c:v>
                </c:pt>
              </c:numCache>
            </c:numRef>
          </c:val>
          <c:extLst>
            <c:ext xmlns:c16="http://schemas.microsoft.com/office/drawing/2014/chart" uri="{C3380CC4-5D6E-409C-BE32-E72D297353CC}">
              <c16:uniqueId val="{00000000-5F48-495F-A48B-5B4A39AC6288}"/>
            </c:ext>
          </c:extLst>
        </c:ser>
        <c:ser>
          <c:idx val="1"/>
          <c:order val="1"/>
          <c:tx>
            <c:strRef>
              <c:f>'Results ReCiPe (I) - RD'!$AB$335</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(I) - RD'!$AC$333:$BA$333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RD'!$AC$335:$BA$335</c:f>
              <c:numCache>
                <c:formatCode>0.00E+00</c:formatCode>
                <c:ptCount val="25"/>
                <c:pt idx="0">
                  <c:v>133.9245303304485</c:v>
                </c:pt>
              </c:numCache>
            </c:numRef>
          </c:val>
          <c:extLst>
            <c:ext xmlns:c16="http://schemas.microsoft.com/office/drawing/2014/chart" uri="{C3380CC4-5D6E-409C-BE32-E72D297353CC}">
              <c16:uniqueId val="{00000001-5F48-495F-A48B-5B4A39AC6288}"/>
            </c:ext>
          </c:extLst>
        </c:ser>
        <c:ser>
          <c:idx val="2"/>
          <c:order val="2"/>
          <c:tx>
            <c:strRef>
              <c:f>'Results ReCiPe (I) - RD'!$AB$336</c:f>
              <c:strCache>
                <c:ptCount val="1"/>
                <c:pt idx="0">
                  <c:v>Deconstruction - DAC</c:v>
                </c:pt>
              </c:strCache>
            </c:strRef>
          </c:tx>
          <c:spPr>
            <a:solidFill>
              <a:schemeClr val="accent2">
                <a:lumMod val="40000"/>
                <a:lumOff val="60000"/>
              </a:schemeClr>
            </a:solidFill>
            <a:ln>
              <a:noFill/>
            </a:ln>
            <a:effectLst/>
          </c:spPr>
          <c:invertIfNegative val="0"/>
          <c:cat>
            <c:numRef>
              <c:f>'Results ReCiPe (I) - RD'!$AC$333:$BA$333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RD'!$AC$336:$BA$336</c:f>
              <c:numCache>
                <c:formatCode>0.00E+00</c:formatCode>
                <c:ptCount val="25"/>
                <c:pt idx="24">
                  <c:v>41.820043084295236</c:v>
                </c:pt>
              </c:numCache>
            </c:numRef>
          </c:val>
          <c:extLst>
            <c:ext xmlns:c16="http://schemas.microsoft.com/office/drawing/2014/chart" uri="{C3380CC4-5D6E-409C-BE32-E72D297353CC}">
              <c16:uniqueId val="{00000002-5F48-495F-A48B-5B4A39AC6288}"/>
            </c:ext>
          </c:extLst>
        </c:ser>
        <c:ser>
          <c:idx val="3"/>
          <c:order val="3"/>
          <c:tx>
            <c:strRef>
              <c:f>'Results ReCiPe (I) - RD'!$AB$337</c:f>
              <c:strCache>
                <c:ptCount val="1"/>
                <c:pt idx="0">
                  <c:v>Deconstruction - geological storage</c:v>
                </c:pt>
              </c:strCache>
            </c:strRef>
          </c:tx>
          <c:spPr>
            <a:solidFill>
              <a:srgbClr val="FF9900"/>
            </a:solidFill>
            <a:ln>
              <a:noFill/>
            </a:ln>
            <a:effectLst/>
          </c:spPr>
          <c:invertIfNegative val="0"/>
          <c:cat>
            <c:numRef>
              <c:f>'Results ReCiPe (I) - RD'!$AC$333:$BA$333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RD'!$AC$337:$BA$337</c:f>
              <c:numCache>
                <c:formatCode>0.00E+00</c:formatCode>
                <c:ptCount val="25"/>
                <c:pt idx="24">
                  <c:v>0.64813004013877373</c:v>
                </c:pt>
              </c:numCache>
            </c:numRef>
          </c:val>
          <c:extLst>
            <c:ext xmlns:c16="http://schemas.microsoft.com/office/drawing/2014/chart" uri="{C3380CC4-5D6E-409C-BE32-E72D297353CC}">
              <c16:uniqueId val="{00000003-5F48-495F-A48B-5B4A39AC6288}"/>
            </c:ext>
          </c:extLst>
        </c:ser>
        <c:ser>
          <c:idx val="4"/>
          <c:order val="4"/>
          <c:tx>
            <c:strRef>
              <c:f>'Results ReCiPe (I) - RD'!$AB$338</c:f>
              <c:strCache>
                <c:ptCount val="1"/>
                <c:pt idx="0">
                  <c:v>Sorbent material</c:v>
                </c:pt>
              </c:strCache>
            </c:strRef>
          </c:tx>
          <c:spPr>
            <a:solidFill>
              <a:srgbClr val="FF8F8F"/>
            </a:solidFill>
            <a:ln>
              <a:noFill/>
            </a:ln>
            <a:effectLst/>
          </c:spPr>
          <c:invertIfNegative val="0"/>
          <c:cat>
            <c:numRef>
              <c:f>'Results ReCiPe (I) - RD'!$AC$333:$BA$333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RD'!$AC$338:$BA$338</c:f>
              <c:numCache>
                <c:formatCode>0.00E+00</c:formatCode>
                <c:ptCount val="25"/>
                <c:pt idx="0">
                  <c:v>117.2508960880117</c:v>
                </c:pt>
                <c:pt idx="3">
                  <c:v>115.97999477629099</c:v>
                </c:pt>
                <c:pt idx="6">
                  <c:v>115.68776613125171</c:v>
                </c:pt>
                <c:pt idx="9">
                  <c:v>115.5360727733087</c:v>
                </c:pt>
                <c:pt idx="12">
                  <c:v>115.051358787382</c:v>
                </c:pt>
                <c:pt idx="15">
                  <c:v>114.04079735172429</c:v>
                </c:pt>
                <c:pt idx="18">
                  <c:v>113.2082579102948</c:v>
                </c:pt>
                <c:pt idx="21">
                  <c:v>112.6698309452093</c:v>
                </c:pt>
                <c:pt idx="24">
                  <c:v>112.4422249103109</c:v>
                </c:pt>
              </c:numCache>
            </c:numRef>
          </c:val>
          <c:extLst>
            <c:ext xmlns:c16="http://schemas.microsoft.com/office/drawing/2014/chart" uri="{C3380CC4-5D6E-409C-BE32-E72D297353CC}">
              <c16:uniqueId val="{00000004-5F48-495F-A48B-5B4A39AC6288}"/>
            </c:ext>
          </c:extLst>
        </c:ser>
        <c:ser>
          <c:idx val="5"/>
          <c:order val="5"/>
          <c:tx>
            <c:strRef>
              <c:f>'Results ReCiPe (I) - RD'!$AB$339</c:f>
              <c:strCache>
                <c:ptCount val="1"/>
                <c:pt idx="0">
                  <c:v>Battery</c:v>
                </c:pt>
              </c:strCache>
            </c:strRef>
          </c:tx>
          <c:spPr>
            <a:solidFill>
              <a:schemeClr val="accent6">
                <a:lumMod val="50000"/>
              </a:schemeClr>
            </a:solidFill>
            <a:ln>
              <a:noFill/>
            </a:ln>
            <a:effectLst/>
          </c:spPr>
          <c:invertIfNegative val="0"/>
          <c:cat>
            <c:numRef>
              <c:f>'Results ReCiPe (I) - RD'!$AC$333:$BA$333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RD'!$AC$339:$BA$339</c:f>
              <c:numCache>
                <c:formatCode>0.00E+00</c:formatCode>
                <c:ptCount val="25"/>
                <c:pt idx="0">
                  <c:v>377.19276360660405</c:v>
                </c:pt>
                <c:pt idx="1">
                  <c:v>377.19276360660405</c:v>
                </c:pt>
                <c:pt idx="2">
                  <c:v>377.19276360660405</c:v>
                </c:pt>
                <c:pt idx="3">
                  <c:v>377.19276360660405</c:v>
                </c:pt>
                <c:pt idx="4">
                  <c:v>377.19276360660405</c:v>
                </c:pt>
                <c:pt idx="5">
                  <c:v>377.19276360660405</c:v>
                </c:pt>
                <c:pt idx="6">
                  <c:v>377.19276360660405</c:v>
                </c:pt>
                <c:pt idx="7">
                  <c:v>377.19276360660405</c:v>
                </c:pt>
                <c:pt idx="8">
                  <c:v>377.19276360660405</c:v>
                </c:pt>
                <c:pt idx="9">
                  <c:v>377.19276360660405</c:v>
                </c:pt>
                <c:pt idx="10">
                  <c:v>377.19276360660405</c:v>
                </c:pt>
                <c:pt idx="11">
                  <c:v>377.19276360660405</c:v>
                </c:pt>
                <c:pt idx="12">
                  <c:v>377.19276360660405</c:v>
                </c:pt>
                <c:pt idx="13">
                  <c:v>377.19276360660405</c:v>
                </c:pt>
                <c:pt idx="14">
                  <c:v>377.19276360660405</c:v>
                </c:pt>
                <c:pt idx="15">
                  <c:v>377.19276360660405</c:v>
                </c:pt>
                <c:pt idx="16">
                  <c:v>377.19276360660405</c:v>
                </c:pt>
                <c:pt idx="17">
                  <c:v>377.19276360660405</c:v>
                </c:pt>
                <c:pt idx="18">
                  <c:v>377.19276360660405</c:v>
                </c:pt>
                <c:pt idx="19">
                  <c:v>377.19276360660405</c:v>
                </c:pt>
                <c:pt idx="20">
                  <c:v>377.19276360660405</c:v>
                </c:pt>
                <c:pt idx="21">
                  <c:v>377.19276360660405</c:v>
                </c:pt>
                <c:pt idx="22">
                  <c:v>377.19276360660405</c:v>
                </c:pt>
                <c:pt idx="23">
                  <c:v>377.19276360660405</c:v>
                </c:pt>
                <c:pt idx="24">
                  <c:v>377.19276360660405</c:v>
                </c:pt>
              </c:numCache>
            </c:numRef>
          </c:val>
          <c:extLst>
            <c:ext xmlns:c16="http://schemas.microsoft.com/office/drawing/2014/chart" uri="{C3380CC4-5D6E-409C-BE32-E72D297353CC}">
              <c16:uniqueId val="{00000005-5F48-495F-A48B-5B4A39AC6288}"/>
            </c:ext>
          </c:extLst>
        </c:ser>
        <c:ser>
          <c:idx val="6"/>
          <c:order val="6"/>
          <c:tx>
            <c:strRef>
              <c:f>'Results ReCiPe (I) - RD'!$AB$340</c:f>
              <c:strCache>
                <c:ptCount val="1"/>
                <c:pt idx="0">
                  <c:v>Operation - DAC</c:v>
                </c:pt>
              </c:strCache>
            </c:strRef>
          </c:tx>
          <c:spPr>
            <a:solidFill>
              <a:schemeClr val="accent2">
                <a:lumMod val="75000"/>
              </a:schemeClr>
            </a:solidFill>
            <a:ln>
              <a:noFill/>
            </a:ln>
            <a:effectLst/>
          </c:spPr>
          <c:invertIfNegative val="0"/>
          <c:cat>
            <c:numRef>
              <c:f>'Results ReCiPe (I) - RD'!$AC$333:$BA$333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RD'!$AC$340:$BA$340</c:f>
              <c:numCache>
                <c:formatCode>0.00E+00</c:formatCode>
                <c:ptCount val="25"/>
                <c:pt idx="0">
                  <c:v>348.56147976451734</c:v>
                </c:pt>
                <c:pt idx="1">
                  <c:v>347.78161576643151</c:v>
                </c:pt>
                <c:pt idx="2">
                  <c:v>346.96707769689681</c:v>
                </c:pt>
                <c:pt idx="3">
                  <c:v>342.71669555697565</c:v>
                </c:pt>
                <c:pt idx="4">
                  <c:v>341.84614592605539</c:v>
                </c:pt>
                <c:pt idx="5">
                  <c:v>340.92881893230458</c:v>
                </c:pt>
                <c:pt idx="6">
                  <c:v>340.28415514373773</c:v>
                </c:pt>
                <c:pt idx="7">
                  <c:v>339.77048445935407</c:v>
                </c:pt>
                <c:pt idx="8">
                  <c:v>336.97822645547035</c:v>
                </c:pt>
                <c:pt idx="9">
                  <c:v>336.54337773680487</c:v>
                </c:pt>
                <c:pt idx="10">
                  <c:v>336.09266754089208</c:v>
                </c:pt>
                <c:pt idx="11">
                  <c:v>334.71514751947217</c:v>
                </c:pt>
                <c:pt idx="12">
                  <c:v>333.35065021583739</c:v>
                </c:pt>
                <c:pt idx="13">
                  <c:v>331.34728817366829</c:v>
                </c:pt>
                <c:pt idx="14">
                  <c:v>330.01512877403701</c:v>
                </c:pt>
                <c:pt idx="15">
                  <c:v>328.68918514078337</c:v>
                </c:pt>
                <c:pt idx="16">
                  <c:v>327.46971764318869</c:v>
                </c:pt>
                <c:pt idx="17">
                  <c:v>326.26684310074495</c:v>
                </c:pt>
                <c:pt idx="18">
                  <c:v>324.46167476956253</c:v>
                </c:pt>
                <c:pt idx="19">
                  <c:v>323.30634052463756</c:v>
                </c:pt>
                <c:pt idx="20">
                  <c:v>322.15472985367609</c:v>
                </c:pt>
                <c:pt idx="21">
                  <c:v>321.86997417078425</c:v>
                </c:pt>
                <c:pt idx="22">
                  <c:v>321.58951118835199</c:v>
                </c:pt>
                <c:pt idx="23">
                  <c:v>321.31245574126871</c:v>
                </c:pt>
                <c:pt idx="24">
                  <c:v>321.03853156449065</c:v>
                </c:pt>
              </c:numCache>
            </c:numRef>
          </c:val>
          <c:extLst>
            <c:ext xmlns:c16="http://schemas.microsoft.com/office/drawing/2014/chart" uri="{C3380CC4-5D6E-409C-BE32-E72D297353CC}">
              <c16:uniqueId val="{00000006-5F48-495F-A48B-5B4A39AC6288}"/>
            </c:ext>
          </c:extLst>
        </c:ser>
        <c:ser>
          <c:idx val="7"/>
          <c:order val="7"/>
          <c:tx>
            <c:strRef>
              <c:f>'Results ReCiPe (I) - RD'!$AB$341</c:f>
              <c:strCache>
                <c:ptCount val="1"/>
                <c:pt idx="0">
                  <c:v>Operation - geological storage</c:v>
                </c:pt>
              </c:strCache>
            </c:strRef>
          </c:tx>
          <c:spPr>
            <a:solidFill>
              <a:schemeClr val="accent2">
                <a:lumMod val="50000"/>
              </a:schemeClr>
            </a:solidFill>
            <a:ln>
              <a:noFill/>
            </a:ln>
            <a:effectLst/>
          </c:spPr>
          <c:invertIfNegative val="0"/>
          <c:cat>
            <c:numRef>
              <c:f>'Results ReCiPe (I) - RD'!$AC$333:$BA$333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RD'!$AC$341:$BA$341</c:f>
              <c:numCache>
                <c:formatCode>0.00E+00</c:formatCode>
                <c:ptCount val="25"/>
                <c:pt idx="0">
                  <c:v>94.976825994675295</c:v>
                </c:pt>
                <c:pt idx="1">
                  <c:v>94.097471435993455</c:v>
                </c:pt>
                <c:pt idx="2">
                  <c:v>93.221300331768347</c:v>
                </c:pt>
                <c:pt idx="3">
                  <c:v>92.148946675468551</c:v>
                </c:pt>
                <c:pt idx="4">
                  <c:v>91.280019644828101</c:v>
                </c:pt>
                <c:pt idx="5">
                  <c:v>90.414088910564899</c:v>
                </c:pt>
                <c:pt idx="6">
                  <c:v>90.142773553902458</c:v>
                </c:pt>
                <c:pt idx="7">
                  <c:v>89.867007724362807</c:v>
                </c:pt>
                <c:pt idx="8">
                  <c:v>89.415845887177142</c:v>
                </c:pt>
                <c:pt idx="9">
                  <c:v>89.124743896079295</c:v>
                </c:pt>
                <c:pt idx="10">
                  <c:v>88.82665506573575</c:v>
                </c:pt>
                <c:pt idx="11">
                  <c:v>88.239885432371608</c:v>
                </c:pt>
                <c:pt idx="12">
                  <c:v>87.643399208401647</c:v>
                </c:pt>
                <c:pt idx="13">
                  <c:v>86.996428751845798</c:v>
                </c:pt>
                <c:pt idx="14">
                  <c:v>86.381118084955958</c:v>
                </c:pt>
                <c:pt idx="15">
                  <c:v>85.756228166984002</c:v>
                </c:pt>
                <c:pt idx="16">
                  <c:v>86.377985183194454</c:v>
                </c:pt>
                <c:pt idx="17">
                  <c:v>86.992889735464999</c:v>
                </c:pt>
                <c:pt idx="18">
                  <c:v>87.561012844627555</c:v>
                </c:pt>
                <c:pt idx="19">
                  <c:v>88.162451054308306</c:v>
                </c:pt>
                <c:pt idx="20">
                  <c:v>88.757181669407601</c:v>
                </c:pt>
                <c:pt idx="21">
                  <c:v>87.822038374945549</c:v>
                </c:pt>
                <c:pt idx="22">
                  <c:v>86.891330237591703</c:v>
                </c:pt>
                <c:pt idx="23">
                  <c:v>85.959814697121857</c:v>
                </c:pt>
                <c:pt idx="24">
                  <c:v>85.027340577557396</c:v>
                </c:pt>
              </c:numCache>
            </c:numRef>
          </c:val>
          <c:extLst>
            <c:ext xmlns:c16="http://schemas.microsoft.com/office/drawing/2014/chart" uri="{C3380CC4-5D6E-409C-BE32-E72D297353CC}">
              <c16:uniqueId val="{00000007-5F48-495F-A48B-5B4A39AC6288}"/>
            </c:ext>
          </c:extLst>
        </c:ser>
        <c:ser>
          <c:idx val="8"/>
          <c:order val="8"/>
          <c:tx>
            <c:strRef>
              <c:f>'Results ReCiPe (I) - RD'!$AB$342</c:f>
              <c:strCache>
                <c:ptCount val="1"/>
                <c:pt idx="0">
                  <c:v>CO2 captured and stored</c:v>
                </c:pt>
              </c:strCache>
            </c:strRef>
          </c:tx>
          <c:spPr>
            <a:solidFill>
              <a:schemeClr val="tx2">
                <a:lumMod val="20000"/>
                <a:lumOff val="80000"/>
              </a:schemeClr>
            </a:solidFill>
            <a:ln>
              <a:noFill/>
            </a:ln>
            <a:effectLst/>
          </c:spPr>
          <c:invertIfNegative val="0"/>
          <c:cat>
            <c:numRef>
              <c:f>'Results ReCiPe (I) - RD'!$AC$333:$BA$333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RD'!$AC$342:$BA$342</c:f>
              <c:numCache>
                <c:formatCode>0.00E+00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8-5F48-495F-A48B-5B4A39AC6288}"/>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(I) - RD'!$AB$343</c:f>
              <c:strCache>
                <c:ptCount val="1"/>
                <c:pt idx="0">
                  <c:v>TOTAL per year</c:v>
                </c:pt>
              </c:strCache>
            </c:strRef>
          </c:tx>
          <c:spPr>
            <a:ln w="28575" cap="rnd">
              <a:noFill/>
              <a:round/>
            </a:ln>
            <a:effectLst/>
          </c:spPr>
          <c:marker>
            <c:symbol val="circle"/>
            <c:size val="5"/>
            <c:spPr>
              <a:solidFill>
                <a:schemeClr val="tx1"/>
              </a:solidFill>
              <a:ln w="9525">
                <a:solidFill>
                  <a:schemeClr val="accent4">
                    <a:lumMod val="60000"/>
                  </a:schemeClr>
                </a:solidFill>
              </a:ln>
              <a:effectLst/>
            </c:spPr>
          </c:marker>
          <c:cat>
            <c:numRef>
              <c:f>'Results ReCiPe (I) - RD'!$AC$333:$BA$333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RD'!$AC$343:$BA$343</c:f>
              <c:numCache>
                <c:formatCode>0.00E+00</c:formatCode>
                <c:ptCount val="25"/>
                <c:pt idx="0">
                  <c:v>3848.7728536622349</c:v>
                </c:pt>
                <c:pt idx="1">
                  <c:v>819.07185080902912</c:v>
                </c:pt>
                <c:pt idx="2">
                  <c:v>817.38114163526916</c:v>
                </c:pt>
                <c:pt idx="3">
                  <c:v>928.03840061533924</c:v>
                </c:pt>
                <c:pt idx="4">
                  <c:v>810.31892917748758</c:v>
                </c:pt>
                <c:pt idx="5">
                  <c:v>808.53567144947351</c:v>
                </c:pt>
                <c:pt idx="6">
                  <c:v>923.30745843549596</c:v>
                </c:pt>
                <c:pt idx="7">
                  <c:v>806.83025579032096</c:v>
                </c:pt>
                <c:pt idx="8">
                  <c:v>803.58683594925162</c:v>
                </c:pt>
                <c:pt idx="9">
                  <c:v>918.39695801279686</c:v>
                </c:pt>
                <c:pt idx="10">
                  <c:v>802.11208621323192</c:v>
                </c:pt>
                <c:pt idx="11">
                  <c:v>800.14779655844779</c:v>
                </c:pt>
                <c:pt idx="12">
                  <c:v>913.23817181822506</c:v>
                </c:pt>
                <c:pt idx="13">
                  <c:v>795.53648053211805</c:v>
                </c:pt>
                <c:pt idx="14">
                  <c:v>793.58901046559697</c:v>
                </c:pt>
                <c:pt idx="15">
                  <c:v>905.67897426609568</c:v>
                </c:pt>
                <c:pt idx="16">
                  <c:v>791.04046643298727</c:v>
                </c:pt>
                <c:pt idx="17">
                  <c:v>790.45249644281398</c:v>
                </c:pt>
                <c:pt idx="18">
                  <c:v>902.42370913108903</c:v>
                </c:pt>
                <c:pt idx="19">
                  <c:v>788.66155518555001</c:v>
                </c:pt>
                <c:pt idx="20">
                  <c:v>788.10467512968773</c:v>
                </c:pt>
                <c:pt idx="21">
                  <c:v>899.55460709754311</c:v>
                </c:pt>
                <c:pt idx="22">
                  <c:v>785.6736050325477</c:v>
                </c:pt>
                <c:pt idx="23">
                  <c:v>784.46503404499458</c:v>
                </c:pt>
                <c:pt idx="24">
                  <c:v>938.16903378339703</c:v>
                </c:pt>
              </c:numCache>
            </c:numRef>
          </c:val>
          <c:smooth val="0"/>
          <c:extLst>
            <c:ext xmlns:c16="http://schemas.microsoft.com/office/drawing/2014/chart" uri="{C3380CC4-5D6E-409C-BE32-E72D297353CC}">
              <c16:uniqueId val="{00000009-5F48-495F-A48B-5B4A39AC6288}"/>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Resource</a:t>
                </a:r>
                <a:r>
                  <a:rPr lang="nl-NL" baseline="0"/>
                  <a:t> damage</a:t>
                </a:r>
              </a:p>
              <a:p>
                <a:pPr algn="ctr" rtl="0">
                  <a:defRPr/>
                </a:pPr>
                <a:r>
                  <a:rPr lang="nl-NL" baseline="0"/>
                  <a:t>[USD2013</a:t>
                </a:r>
                <a:r>
                  <a:rPr lang="nl-NL"/>
                  <a:t>/ton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(I) - RD'!$AB$395</c:f>
              <c:strCache>
                <c:ptCount val="1"/>
                <c:pt idx="0">
                  <c:v>Construction - DAC</c:v>
                </c:pt>
              </c:strCache>
            </c:strRef>
          </c:tx>
          <c:spPr>
            <a:solidFill>
              <a:schemeClr val="accent4">
                <a:lumMod val="75000"/>
              </a:schemeClr>
            </a:solidFill>
            <a:ln>
              <a:noFill/>
            </a:ln>
            <a:effectLst/>
          </c:spPr>
          <c:invertIfNegative val="0"/>
          <c:cat>
            <c:numRef>
              <c:f>'Results ReCiPe (I) - RD'!$AC$394:$BA$394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RD'!$AC$395:$BA$395</c:f>
              <c:numCache>
                <c:formatCode>0.00E+00</c:formatCode>
                <c:ptCount val="25"/>
                <c:pt idx="0">
                  <c:v>2622.5862812927635</c:v>
                </c:pt>
              </c:numCache>
            </c:numRef>
          </c:val>
          <c:extLst>
            <c:ext xmlns:c16="http://schemas.microsoft.com/office/drawing/2014/chart" uri="{C3380CC4-5D6E-409C-BE32-E72D297353CC}">
              <c16:uniqueId val="{00000000-7135-4B3F-8A7E-06A219A807F5}"/>
            </c:ext>
          </c:extLst>
        </c:ser>
        <c:ser>
          <c:idx val="1"/>
          <c:order val="1"/>
          <c:tx>
            <c:strRef>
              <c:f>'Results ReCiPe (I) - RD'!$AB$396</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(I) - RD'!$AC$394:$BA$394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RD'!$AC$396:$BA$396</c:f>
              <c:numCache>
                <c:formatCode>0.00E+00</c:formatCode>
                <c:ptCount val="25"/>
                <c:pt idx="0">
                  <c:v>129.89398840439239</c:v>
                </c:pt>
              </c:numCache>
            </c:numRef>
          </c:val>
          <c:extLst>
            <c:ext xmlns:c16="http://schemas.microsoft.com/office/drawing/2014/chart" uri="{C3380CC4-5D6E-409C-BE32-E72D297353CC}">
              <c16:uniqueId val="{00000001-7135-4B3F-8A7E-06A219A807F5}"/>
            </c:ext>
          </c:extLst>
        </c:ser>
        <c:ser>
          <c:idx val="2"/>
          <c:order val="2"/>
          <c:tx>
            <c:strRef>
              <c:f>'Results ReCiPe (I) - RD'!$AB$397</c:f>
              <c:strCache>
                <c:ptCount val="1"/>
                <c:pt idx="0">
                  <c:v>Deconstruction - DAC</c:v>
                </c:pt>
              </c:strCache>
            </c:strRef>
          </c:tx>
          <c:spPr>
            <a:solidFill>
              <a:schemeClr val="accent2">
                <a:lumMod val="40000"/>
                <a:lumOff val="60000"/>
              </a:schemeClr>
            </a:solidFill>
            <a:ln>
              <a:noFill/>
            </a:ln>
            <a:effectLst/>
          </c:spPr>
          <c:invertIfNegative val="0"/>
          <c:cat>
            <c:numRef>
              <c:f>'Results ReCiPe (I) - RD'!$AC$394:$BA$394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RD'!$AC$397:$BA$397</c:f>
              <c:numCache>
                <c:formatCode>0.00E+00</c:formatCode>
                <c:ptCount val="25"/>
                <c:pt idx="24">
                  <c:v>38.811208026370814</c:v>
                </c:pt>
              </c:numCache>
            </c:numRef>
          </c:val>
          <c:extLst>
            <c:ext xmlns:c16="http://schemas.microsoft.com/office/drawing/2014/chart" uri="{C3380CC4-5D6E-409C-BE32-E72D297353CC}">
              <c16:uniqueId val="{00000002-7135-4B3F-8A7E-06A219A807F5}"/>
            </c:ext>
          </c:extLst>
        </c:ser>
        <c:ser>
          <c:idx val="3"/>
          <c:order val="3"/>
          <c:tx>
            <c:strRef>
              <c:f>'Results ReCiPe (I) - RD'!$AB$398</c:f>
              <c:strCache>
                <c:ptCount val="1"/>
                <c:pt idx="0">
                  <c:v>Deconstruction - geological storage</c:v>
                </c:pt>
              </c:strCache>
            </c:strRef>
          </c:tx>
          <c:spPr>
            <a:solidFill>
              <a:srgbClr val="FF9900"/>
            </a:solidFill>
            <a:ln>
              <a:noFill/>
            </a:ln>
            <a:effectLst/>
          </c:spPr>
          <c:invertIfNegative val="0"/>
          <c:cat>
            <c:numRef>
              <c:f>'Results ReCiPe (I) - RD'!$AC$394:$BA$394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RD'!$AC$398:$BA$398</c:f>
              <c:numCache>
                <c:formatCode>0.00E+00</c:formatCode>
                <c:ptCount val="25"/>
                <c:pt idx="24">
                  <c:v>0.61434079551315646</c:v>
                </c:pt>
              </c:numCache>
            </c:numRef>
          </c:val>
          <c:extLst>
            <c:ext xmlns:c16="http://schemas.microsoft.com/office/drawing/2014/chart" uri="{C3380CC4-5D6E-409C-BE32-E72D297353CC}">
              <c16:uniqueId val="{00000003-7135-4B3F-8A7E-06A219A807F5}"/>
            </c:ext>
          </c:extLst>
        </c:ser>
        <c:ser>
          <c:idx val="4"/>
          <c:order val="4"/>
          <c:tx>
            <c:strRef>
              <c:f>'Results ReCiPe (I) - RD'!$AB$399</c:f>
              <c:strCache>
                <c:ptCount val="1"/>
                <c:pt idx="0">
                  <c:v>Sorbent material</c:v>
                </c:pt>
              </c:strCache>
            </c:strRef>
          </c:tx>
          <c:spPr>
            <a:solidFill>
              <a:srgbClr val="FF8F8F"/>
            </a:solidFill>
            <a:ln>
              <a:noFill/>
            </a:ln>
            <a:effectLst/>
          </c:spPr>
          <c:invertIfNegative val="0"/>
          <c:cat>
            <c:numRef>
              <c:f>'Results ReCiPe (I) - RD'!$AC$394:$BA$394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RD'!$AC$399:$BA$399</c:f>
              <c:numCache>
                <c:formatCode>0.00E+00</c:formatCode>
                <c:ptCount val="25"/>
                <c:pt idx="0">
                  <c:v>113.898776346798</c:v>
                </c:pt>
                <c:pt idx="3">
                  <c:v>112.2202631041648</c:v>
                </c:pt>
                <c:pt idx="6">
                  <c:v>112.02723495155939</c:v>
                </c:pt>
                <c:pt idx="9">
                  <c:v>113.04433550375791</c:v>
                </c:pt>
                <c:pt idx="12">
                  <c:v>113.43821672233091</c:v>
                </c:pt>
                <c:pt idx="15">
                  <c:v>113.1998263783904</c:v>
                </c:pt>
                <c:pt idx="18">
                  <c:v>112.0953414641442</c:v>
                </c:pt>
                <c:pt idx="21">
                  <c:v>111.3874174886531</c:v>
                </c:pt>
                <c:pt idx="24">
                  <c:v>111.1953975844519</c:v>
                </c:pt>
              </c:numCache>
            </c:numRef>
          </c:val>
          <c:extLst>
            <c:ext xmlns:c16="http://schemas.microsoft.com/office/drawing/2014/chart" uri="{C3380CC4-5D6E-409C-BE32-E72D297353CC}">
              <c16:uniqueId val="{00000004-7135-4B3F-8A7E-06A219A807F5}"/>
            </c:ext>
          </c:extLst>
        </c:ser>
        <c:ser>
          <c:idx val="5"/>
          <c:order val="5"/>
          <c:tx>
            <c:strRef>
              <c:f>'Results ReCiPe (I) - RD'!$AB$400</c:f>
              <c:strCache>
                <c:ptCount val="1"/>
                <c:pt idx="0">
                  <c:v>Battery</c:v>
                </c:pt>
              </c:strCache>
            </c:strRef>
          </c:tx>
          <c:spPr>
            <a:solidFill>
              <a:schemeClr val="accent6">
                <a:lumMod val="50000"/>
              </a:schemeClr>
            </a:solidFill>
            <a:ln>
              <a:noFill/>
            </a:ln>
            <a:effectLst/>
          </c:spPr>
          <c:invertIfNegative val="0"/>
          <c:cat>
            <c:numRef>
              <c:f>'Results ReCiPe (I) - RD'!$AC$394:$BA$394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RD'!$AC$400:$BA$400</c:f>
              <c:numCache>
                <c:formatCode>0.00E+00</c:formatCode>
                <c:ptCount val="25"/>
                <c:pt idx="0">
                  <c:v>350.66591682751931</c:v>
                </c:pt>
                <c:pt idx="1">
                  <c:v>350.66591682751931</c:v>
                </c:pt>
                <c:pt idx="2">
                  <c:v>350.66591682751931</c:v>
                </c:pt>
                <c:pt idx="3">
                  <c:v>350.66591682751931</c:v>
                </c:pt>
                <c:pt idx="4">
                  <c:v>350.66591682751931</c:v>
                </c:pt>
                <c:pt idx="5">
                  <c:v>350.66591682751931</c:v>
                </c:pt>
                <c:pt idx="6">
                  <c:v>350.66591682751931</c:v>
                </c:pt>
                <c:pt idx="7">
                  <c:v>350.66591682751931</c:v>
                </c:pt>
                <c:pt idx="8">
                  <c:v>350.66591682751931</c:v>
                </c:pt>
                <c:pt idx="9">
                  <c:v>350.66591682751931</c:v>
                </c:pt>
                <c:pt idx="10">
                  <c:v>350.66591682751931</c:v>
                </c:pt>
                <c:pt idx="11">
                  <c:v>350.66591682751931</c:v>
                </c:pt>
                <c:pt idx="12">
                  <c:v>350.66591682751931</c:v>
                </c:pt>
                <c:pt idx="13">
                  <c:v>350.66591682751931</c:v>
                </c:pt>
                <c:pt idx="14">
                  <c:v>350.66591682751931</c:v>
                </c:pt>
                <c:pt idx="15">
                  <c:v>350.66591682751931</c:v>
                </c:pt>
                <c:pt idx="16">
                  <c:v>350.66591682751931</c:v>
                </c:pt>
                <c:pt idx="17">
                  <c:v>350.66591682751931</c:v>
                </c:pt>
                <c:pt idx="18">
                  <c:v>350.66591682751931</c:v>
                </c:pt>
                <c:pt idx="19">
                  <c:v>350.66591682751931</c:v>
                </c:pt>
                <c:pt idx="20">
                  <c:v>350.66591682751931</c:v>
                </c:pt>
                <c:pt idx="21">
                  <c:v>350.66591682751931</c:v>
                </c:pt>
                <c:pt idx="22">
                  <c:v>350.66591682751931</c:v>
                </c:pt>
                <c:pt idx="23">
                  <c:v>350.66591682751931</c:v>
                </c:pt>
                <c:pt idx="24">
                  <c:v>350.66591682751931</c:v>
                </c:pt>
              </c:numCache>
            </c:numRef>
          </c:val>
          <c:extLst>
            <c:ext xmlns:c16="http://schemas.microsoft.com/office/drawing/2014/chart" uri="{C3380CC4-5D6E-409C-BE32-E72D297353CC}">
              <c16:uniqueId val="{00000005-7135-4B3F-8A7E-06A219A807F5}"/>
            </c:ext>
          </c:extLst>
        </c:ser>
        <c:ser>
          <c:idx val="6"/>
          <c:order val="6"/>
          <c:tx>
            <c:strRef>
              <c:f>'Results ReCiPe (I) - RD'!$AB$401</c:f>
              <c:strCache>
                <c:ptCount val="1"/>
                <c:pt idx="0">
                  <c:v>Operation - DAC</c:v>
                </c:pt>
              </c:strCache>
            </c:strRef>
          </c:tx>
          <c:spPr>
            <a:solidFill>
              <a:schemeClr val="accent2">
                <a:lumMod val="75000"/>
              </a:schemeClr>
            </a:solidFill>
            <a:ln>
              <a:noFill/>
            </a:ln>
            <a:effectLst/>
          </c:spPr>
          <c:invertIfNegative val="0"/>
          <c:cat>
            <c:numRef>
              <c:f>'Results ReCiPe (I) - RD'!$AC$394:$BA$394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RD'!$AC$401:$BA$401</c:f>
              <c:numCache>
                <c:formatCode>0.00E+00</c:formatCode>
                <c:ptCount val="25"/>
                <c:pt idx="0">
                  <c:v>336.14751507525233</c:v>
                </c:pt>
                <c:pt idx="1">
                  <c:v>334.84576484283099</c:v>
                </c:pt>
                <c:pt idx="2">
                  <c:v>333.52308735220038</c:v>
                </c:pt>
                <c:pt idx="3">
                  <c:v>328.90364071327667</c:v>
                </c:pt>
                <c:pt idx="4">
                  <c:v>327.51914242822323</c:v>
                </c:pt>
                <c:pt idx="5">
                  <c:v>326.13586953118045</c:v>
                </c:pt>
                <c:pt idx="6">
                  <c:v>326.98181280518838</c:v>
                </c:pt>
                <c:pt idx="7">
                  <c:v>327.78936413975191</c:v>
                </c:pt>
                <c:pt idx="8">
                  <c:v>326.35550355728918</c:v>
                </c:pt>
                <c:pt idx="9">
                  <c:v>327.11718799948471</c:v>
                </c:pt>
                <c:pt idx="10">
                  <c:v>327.84748188650991</c:v>
                </c:pt>
                <c:pt idx="11">
                  <c:v>327.2041472533399</c:v>
                </c:pt>
                <c:pt idx="12">
                  <c:v>326.56951558623643</c:v>
                </c:pt>
                <c:pt idx="13">
                  <c:v>325.32599823043961</c:v>
                </c:pt>
                <c:pt idx="14">
                  <c:v>324.70102944038865</c:v>
                </c:pt>
                <c:pt idx="15">
                  <c:v>324.06899646438103</c:v>
                </c:pt>
                <c:pt idx="16">
                  <c:v>322.58166966215782</c:v>
                </c:pt>
                <c:pt idx="17">
                  <c:v>321.10990290084789</c:v>
                </c:pt>
                <c:pt idx="18">
                  <c:v>319.06734038442346</c:v>
                </c:pt>
                <c:pt idx="19">
                  <c:v>317.61186136518774</c:v>
                </c:pt>
                <c:pt idx="20">
                  <c:v>316.0851132280456</c:v>
                </c:pt>
                <c:pt idx="21">
                  <c:v>315.72808592108299</c:v>
                </c:pt>
                <c:pt idx="22">
                  <c:v>315.37373541834535</c:v>
                </c:pt>
                <c:pt idx="23">
                  <c:v>315.02097972612336</c:v>
                </c:pt>
                <c:pt idx="24">
                  <c:v>314.66978822511641</c:v>
                </c:pt>
              </c:numCache>
            </c:numRef>
          </c:val>
          <c:extLst>
            <c:ext xmlns:c16="http://schemas.microsoft.com/office/drawing/2014/chart" uri="{C3380CC4-5D6E-409C-BE32-E72D297353CC}">
              <c16:uniqueId val="{00000006-7135-4B3F-8A7E-06A219A807F5}"/>
            </c:ext>
          </c:extLst>
        </c:ser>
        <c:ser>
          <c:idx val="7"/>
          <c:order val="7"/>
          <c:tx>
            <c:strRef>
              <c:f>'Results ReCiPe (I) - RD'!$AB$402</c:f>
              <c:strCache>
                <c:ptCount val="1"/>
                <c:pt idx="0">
                  <c:v>Operation - geological storage</c:v>
                </c:pt>
              </c:strCache>
            </c:strRef>
          </c:tx>
          <c:spPr>
            <a:solidFill>
              <a:schemeClr val="accent2">
                <a:lumMod val="50000"/>
              </a:schemeClr>
            </a:solidFill>
            <a:ln>
              <a:noFill/>
            </a:ln>
            <a:effectLst/>
          </c:spPr>
          <c:invertIfNegative val="0"/>
          <c:cat>
            <c:numRef>
              <c:f>'Results ReCiPe (I) - RD'!$AC$394:$BA$394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RD'!$AC$402:$BA$402</c:f>
              <c:numCache>
                <c:formatCode>0.00E+00</c:formatCode>
                <c:ptCount val="25"/>
                <c:pt idx="0">
                  <c:v>58.92843962432395</c:v>
                </c:pt>
                <c:pt idx="1">
                  <c:v>54.336744028345151</c:v>
                </c:pt>
                <c:pt idx="2">
                  <c:v>49.741585958662043</c:v>
                </c:pt>
                <c:pt idx="3">
                  <c:v>44.917438220122641</c:v>
                </c:pt>
                <c:pt idx="4">
                  <c:v>40.308329178544298</c:v>
                </c:pt>
                <c:pt idx="5">
                  <c:v>35.69690119826204</c:v>
                </c:pt>
                <c:pt idx="6">
                  <c:v>41.06258999125793</c:v>
                </c:pt>
                <c:pt idx="7">
                  <c:v>46.39122398220259</c:v>
                </c:pt>
                <c:pt idx="8">
                  <c:v>51.461898483769694</c:v>
                </c:pt>
                <c:pt idx="9">
                  <c:v>56.710145922490753</c:v>
                </c:pt>
                <c:pt idx="10">
                  <c:v>61.922628866891806</c:v>
                </c:pt>
                <c:pt idx="11">
                  <c:v>68.534244056577691</c:v>
                </c:pt>
                <c:pt idx="12">
                  <c:v>75.13582376935075</c:v>
                </c:pt>
                <c:pt idx="13">
                  <c:v>81.67713973809289</c:v>
                </c:pt>
                <c:pt idx="14">
                  <c:v>88.259787477838103</c:v>
                </c:pt>
                <c:pt idx="15">
                  <c:v>94.83210933410065</c:v>
                </c:pt>
                <c:pt idx="16">
                  <c:v>92.797122751275992</c:v>
                </c:pt>
                <c:pt idx="17">
                  <c:v>90.753474322652096</c:v>
                </c:pt>
                <c:pt idx="18">
                  <c:v>88.655222271553839</c:v>
                </c:pt>
                <c:pt idx="19">
                  <c:v>86.595216549854896</c:v>
                </c:pt>
                <c:pt idx="20">
                  <c:v>84.5260460482952</c:v>
                </c:pt>
                <c:pt idx="21">
                  <c:v>84.440492788152895</c:v>
                </c:pt>
                <c:pt idx="22">
                  <c:v>84.359256223878305</c:v>
                </c:pt>
                <c:pt idx="23">
                  <c:v>84.277305060079854</c:v>
                </c:pt>
                <c:pt idx="24">
                  <c:v>84.194534629347956</c:v>
                </c:pt>
              </c:numCache>
            </c:numRef>
          </c:val>
          <c:extLst>
            <c:ext xmlns:c16="http://schemas.microsoft.com/office/drawing/2014/chart" uri="{C3380CC4-5D6E-409C-BE32-E72D297353CC}">
              <c16:uniqueId val="{00000007-7135-4B3F-8A7E-06A219A807F5}"/>
            </c:ext>
          </c:extLst>
        </c:ser>
        <c:ser>
          <c:idx val="8"/>
          <c:order val="8"/>
          <c:tx>
            <c:strRef>
              <c:f>'Results ReCiPe (I) - RD'!$AB$403</c:f>
              <c:strCache>
                <c:ptCount val="1"/>
                <c:pt idx="0">
                  <c:v>CO2 captured and stored</c:v>
                </c:pt>
              </c:strCache>
            </c:strRef>
          </c:tx>
          <c:spPr>
            <a:solidFill>
              <a:schemeClr val="tx2">
                <a:lumMod val="20000"/>
                <a:lumOff val="80000"/>
              </a:schemeClr>
            </a:solidFill>
            <a:ln>
              <a:noFill/>
            </a:ln>
            <a:effectLst/>
          </c:spPr>
          <c:invertIfNegative val="0"/>
          <c:cat>
            <c:numRef>
              <c:f>'Results ReCiPe (I) - RD'!$AC$394:$BA$394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RD'!$AC$403:$BA$403</c:f>
              <c:numCache>
                <c:formatCode>0.00E+00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8-7135-4B3F-8A7E-06A219A807F5}"/>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(I) - RD'!$AB$404</c:f>
              <c:strCache>
                <c:ptCount val="1"/>
                <c:pt idx="0">
                  <c:v>TOTAL per year</c:v>
                </c:pt>
              </c:strCache>
            </c:strRef>
          </c:tx>
          <c:spPr>
            <a:ln w="28575" cap="rnd">
              <a:noFill/>
              <a:round/>
            </a:ln>
            <a:effectLst/>
          </c:spPr>
          <c:marker>
            <c:symbol val="circle"/>
            <c:size val="5"/>
            <c:spPr>
              <a:solidFill>
                <a:schemeClr val="tx1"/>
              </a:solidFill>
              <a:ln w="9525">
                <a:solidFill>
                  <a:schemeClr val="accent4">
                    <a:lumMod val="60000"/>
                  </a:schemeClr>
                </a:solidFill>
              </a:ln>
              <a:effectLst/>
            </c:spPr>
          </c:marker>
          <c:cat>
            <c:numRef>
              <c:f>'Results ReCiPe (I) - RD'!$AC$394:$BA$394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RD'!$AC$404:$BA$404</c:f>
              <c:numCache>
                <c:formatCode>0.00E+00</c:formatCode>
                <c:ptCount val="25"/>
                <c:pt idx="0">
                  <c:v>3612.1209175710492</c:v>
                </c:pt>
                <c:pt idx="1">
                  <c:v>739.84842569869545</c:v>
                </c:pt>
                <c:pt idx="2">
                  <c:v>733.93059013838172</c:v>
                </c:pt>
                <c:pt idx="3">
                  <c:v>836.70725886508353</c:v>
                </c:pt>
                <c:pt idx="4">
                  <c:v>718.49338843428689</c:v>
                </c:pt>
                <c:pt idx="5">
                  <c:v>712.49868755696173</c:v>
                </c:pt>
                <c:pt idx="6">
                  <c:v>830.737554575525</c:v>
                </c:pt>
                <c:pt idx="7">
                  <c:v>724.8465049494738</c:v>
                </c:pt>
                <c:pt idx="8">
                  <c:v>728.48331886857818</c:v>
                </c:pt>
                <c:pt idx="9">
                  <c:v>847.53758625325258</c:v>
                </c:pt>
                <c:pt idx="10">
                  <c:v>740.43602758092106</c:v>
                </c:pt>
                <c:pt idx="11">
                  <c:v>746.40430813743694</c:v>
                </c:pt>
                <c:pt idx="12">
                  <c:v>865.80947290543736</c:v>
                </c:pt>
                <c:pt idx="13">
                  <c:v>757.66905479605191</c:v>
                </c:pt>
                <c:pt idx="14">
                  <c:v>763.62673374574604</c:v>
                </c:pt>
                <c:pt idx="15">
                  <c:v>882.76684900439147</c:v>
                </c:pt>
                <c:pt idx="16">
                  <c:v>766.04470924095313</c:v>
                </c:pt>
                <c:pt idx="17">
                  <c:v>762.52929405101929</c:v>
                </c:pt>
                <c:pt idx="18">
                  <c:v>870.48382094764088</c:v>
                </c:pt>
                <c:pt idx="19">
                  <c:v>754.8729947425619</c:v>
                </c:pt>
                <c:pt idx="20">
                  <c:v>751.27707610386005</c:v>
                </c:pt>
                <c:pt idx="21">
                  <c:v>862.2219130254083</c:v>
                </c:pt>
                <c:pt idx="22">
                  <c:v>750.39890846974299</c:v>
                </c:pt>
                <c:pt idx="23">
                  <c:v>749.96420161372248</c:v>
                </c:pt>
                <c:pt idx="24">
                  <c:v>900.15118608831949</c:v>
                </c:pt>
              </c:numCache>
            </c:numRef>
          </c:val>
          <c:smooth val="0"/>
          <c:extLst>
            <c:ext xmlns:c16="http://schemas.microsoft.com/office/drawing/2014/chart" uri="{C3380CC4-5D6E-409C-BE32-E72D297353CC}">
              <c16:uniqueId val="{00000009-7135-4B3F-8A7E-06A219A807F5}"/>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Resource damage</a:t>
                </a:r>
              </a:p>
              <a:p>
                <a:pPr algn="ctr" rtl="0">
                  <a:defRPr/>
                </a:pPr>
                <a:r>
                  <a:rPr lang="nl-NL"/>
                  <a:t>[USD2013/ton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(I) - CC'!$AB$10</c:f>
              <c:strCache>
                <c:ptCount val="1"/>
                <c:pt idx="0">
                  <c:v>Construction - DAC</c:v>
                </c:pt>
              </c:strCache>
            </c:strRef>
          </c:tx>
          <c:spPr>
            <a:solidFill>
              <a:schemeClr val="accent4">
                <a:lumMod val="75000"/>
              </a:schemeClr>
            </a:solidFill>
            <a:ln>
              <a:noFill/>
            </a:ln>
            <a:effectLst/>
          </c:spPr>
          <c:invertIfNegative val="0"/>
          <c:cat>
            <c:numRef>
              <c:f>'Results ReCiPe (I) - CC'!$AC$9:$BA$9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CC'!$AC$10:$BA$10</c:f>
              <c:numCache>
                <c:formatCode>0.00E+00</c:formatCode>
                <c:ptCount val="25"/>
                <c:pt idx="0">
                  <c:v>54120.743519027485</c:v>
                </c:pt>
              </c:numCache>
            </c:numRef>
          </c:val>
          <c:extLst>
            <c:ext xmlns:c16="http://schemas.microsoft.com/office/drawing/2014/chart" uri="{C3380CC4-5D6E-409C-BE32-E72D297353CC}">
              <c16:uniqueId val="{00000000-2A02-47E0-8170-A91CF8ACDA49}"/>
            </c:ext>
          </c:extLst>
        </c:ser>
        <c:ser>
          <c:idx val="1"/>
          <c:order val="1"/>
          <c:tx>
            <c:strRef>
              <c:f>'Results ReCiPe (I) - CC'!$AB$11</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(I) - CC'!$AC$9:$BA$9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CC'!$AC$11:$BA$11</c:f>
              <c:numCache>
                <c:formatCode>0.00E+00</c:formatCode>
                <c:ptCount val="25"/>
                <c:pt idx="0">
                  <c:v>2871.9230330962901</c:v>
                </c:pt>
              </c:numCache>
            </c:numRef>
          </c:val>
          <c:extLst>
            <c:ext xmlns:c16="http://schemas.microsoft.com/office/drawing/2014/chart" uri="{C3380CC4-5D6E-409C-BE32-E72D297353CC}">
              <c16:uniqueId val="{00000001-2A02-47E0-8170-A91CF8ACDA49}"/>
            </c:ext>
          </c:extLst>
        </c:ser>
        <c:ser>
          <c:idx val="2"/>
          <c:order val="2"/>
          <c:tx>
            <c:strRef>
              <c:f>'Results ReCiPe (I) - CC'!$AB$12</c:f>
              <c:strCache>
                <c:ptCount val="1"/>
                <c:pt idx="0">
                  <c:v>Deconstruction - DAC</c:v>
                </c:pt>
              </c:strCache>
            </c:strRef>
          </c:tx>
          <c:spPr>
            <a:solidFill>
              <a:schemeClr val="accent2">
                <a:lumMod val="40000"/>
                <a:lumOff val="60000"/>
              </a:schemeClr>
            </a:solidFill>
            <a:ln>
              <a:noFill/>
            </a:ln>
            <a:effectLst/>
          </c:spPr>
          <c:invertIfNegative val="0"/>
          <c:cat>
            <c:numRef>
              <c:f>'Results ReCiPe (I) - CC'!$AC$9:$BA$9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CC'!$AC$12:$BA$12</c:f>
              <c:numCache>
                <c:formatCode>0.00E+00</c:formatCode>
                <c:ptCount val="25"/>
                <c:pt idx="24">
                  <c:v>856.68574124441147</c:v>
                </c:pt>
              </c:numCache>
            </c:numRef>
          </c:val>
          <c:extLst>
            <c:ext xmlns:c16="http://schemas.microsoft.com/office/drawing/2014/chart" uri="{C3380CC4-5D6E-409C-BE32-E72D297353CC}">
              <c16:uniqueId val="{00000002-2A02-47E0-8170-A91CF8ACDA49}"/>
            </c:ext>
          </c:extLst>
        </c:ser>
        <c:ser>
          <c:idx val="3"/>
          <c:order val="3"/>
          <c:tx>
            <c:strRef>
              <c:f>'Results ReCiPe (I) - CC'!$AB$13</c:f>
              <c:strCache>
                <c:ptCount val="1"/>
                <c:pt idx="0">
                  <c:v>Deconstruction - geological storage</c:v>
                </c:pt>
              </c:strCache>
            </c:strRef>
          </c:tx>
          <c:spPr>
            <a:solidFill>
              <a:srgbClr val="FF9900"/>
            </a:solidFill>
            <a:ln>
              <a:noFill/>
            </a:ln>
            <a:effectLst/>
          </c:spPr>
          <c:invertIfNegative val="0"/>
          <c:cat>
            <c:numRef>
              <c:f>'Results ReCiPe (I) - CC'!$AC$9:$BA$9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CC'!$AC$13:$BA$13</c:f>
              <c:numCache>
                <c:formatCode>0.00E+00</c:formatCode>
                <c:ptCount val="25"/>
                <c:pt idx="24">
                  <c:v>23.905501404359882</c:v>
                </c:pt>
              </c:numCache>
            </c:numRef>
          </c:val>
          <c:extLst>
            <c:ext xmlns:c16="http://schemas.microsoft.com/office/drawing/2014/chart" uri="{C3380CC4-5D6E-409C-BE32-E72D297353CC}">
              <c16:uniqueId val="{00000003-2A02-47E0-8170-A91CF8ACDA49}"/>
            </c:ext>
          </c:extLst>
        </c:ser>
        <c:ser>
          <c:idx val="4"/>
          <c:order val="4"/>
          <c:tx>
            <c:strRef>
              <c:f>'Results ReCiPe (I) - CC'!$AB$14</c:f>
              <c:strCache>
                <c:ptCount val="1"/>
                <c:pt idx="0">
                  <c:v>Sorbent material</c:v>
                </c:pt>
              </c:strCache>
            </c:strRef>
          </c:tx>
          <c:spPr>
            <a:solidFill>
              <a:srgbClr val="FF8F8F"/>
            </a:solidFill>
            <a:ln>
              <a:noFill/>
            </a:ln>
            <a:effectLst/>
          </c:spPr>
          <c:invertIfNegative val="0"/>
          <c:cat>
            <c:numRef>
              <c:f>'Results ReCiPe (I) - CC'!$AC$9:$BA$9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CC'!$AC$14:$BA$14</c:f>
              <c:numCache>
                <c:formatCode>0.00E+00</c:formatCode>
                <c:ptCount val="25"/>
                <c:pt idx="0">
                  <c:v>1412.262440014819</c:v>
                </c:pt>
                <c:pt idx="3">
                  <c:v>1398.947377491419</c:v>
                </c:pt>
                <c:pt idx="6">
                  <c:v>1394.6883638131801</c:v>
                </c:pt>
                <c:pt idx="9">
                  <c:v>1393.1438101355629</c:v>
                </c:pt>
                <c:pt idx="12">
                  <c:v>1396.982775239785</c:v>
                </c:pt>
                <c:pt idx="15">
                  <c:v>1400.903339877279</c:v>
                </c:pt>
                <c:pt idx="18">
                  <c:v>1382.1741284587449</c:v>
                </c:pt>
                <c:pt idx="21">
                  <c:v>1363.5449444910939</c:v>
                </c:pt>
                <c:pt idx="24">
                  <c:v>1336.5991252427</c:v>
                </c:pt>
              </c:numCache>
            </c:numRef>
          </c:val>
          <c:extLst>
            <c:ext xmlns:c16="http://schemas.microsoft.com/office/drawing/2014/chart" uri="{C3380CC4-5D6E-409C-BE32-E72D297353CC}">
              <c16:uniqueId val="{00000004-2A02-47E0-8170-A91CF8ACDA49}"/>
            </c:ext>
          </c:extLst>
        </c:ser>
        <c:ser>
          <c:idx val="5"/>
          <c:order val="5"/>
          <c:tx>
            <c:strRef>
              <c:f>'Results ReCiPe (I) - CC'!$AB$15</c:f>
              <c:strCache>
                <c:ptCount val="1"/>
                <c:pt idx="0">
                  <c:v>Operation - DAC</c:v>
                </c:pt>
              </c:strCache>
            </c:strRef>
          </c:tx>
          <c:spPr>
            <a:solidFill>
              <a:schemeClr val="accent2">
                <a:lumMod val="75000"/>
              </a:schemeClr>
            </a:solidFill>
            <a:ln>
              <a:noFill/>
            </a:ln>
            <a:effectLst/>
          </c:spPr>
          <c:invertIfNegative val="0"/>
          <c:cat>
            <c:numRef>
              <c:f>'Results ReCiPe (I) - CC'!$AC$9:$BA$9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CC'!$AC$15:$BA$15</c:f>
              <c:numCache>
                <c:formatCode>0.00E+00</c:formatCode>
                <c:ptCount val="25"/>
                <c:pt idx="0">
                  <c:v>40261.888598827769</c:v>
                </c:pt>
                <c:pt idx="1">
                  <c:v>40240.470842344803</c:v>
                </c:pt>
                <c:pt idx="2">
                  <c:v>40219.377189881066</c:v>
                </c:pt>
                <c:pt idx="3">
                  <c:v>40164.155443535681</c:v>
                </c:pt>
                <c:pt idx="4">
                  <c:v>40143.887253455367</c:v>
                </c:pt>
                <c:pt idx="5">
                  <c:v>40123.744730421568</c:v>
                </c:pt>
                <c:pt idx="6">
                  <c:v>42922.359912744832</c:v>
                </c:pt>
                <c:pt idx="7">
                  <c:v>45711.814655240029</c:v>
                </c:pt>
                <c:pt idx="8">
                  <c:v>48469.600960247997</c:v>
                </c:pt>
                <c:pt idx="9">
                  <c:v>51244.26166467186</c:v>
                </c:pt>
                <c:pt idx="10">
                  <c:v>54007.57513731264</c:v>
                </c:pt>
                <c:pt idx="11">
                  <c:v>58805.998099304423</c:v>
                </c:pt>
                <c:pt idx="12">
                  <c:v>63593.729789985948</c:v>
                </c:pt>
                <c:pt idx="13">
                  <c:v>68366.45073817049</c:v>
                </c:pt>
                <c:pt idx="14">
                  <c:v>73132.307582493653</c:v>
                </c:pt>
                <c:pt idx="15">
                  <c:v>77887.249691509773</c:v>
                </c:pt>
                <c:pt idx="16">
                  <c:v>78793.039772690652</c:v>
                </c:pt>
                <c:pt idx="17">
                  <c:v>79697.966450308653</c:v>
                </c:pt>
                <c:pt idx="18">
                  <c:v>80598.382412456966</c:v>
                </c:pt>
                <c:pt idx="19">
                  <c:v>81502.020586552564</c:v>
                </c:pt>
                <c:pt idx="20">
                  <c:v>82405.090800476421</c:v>
                </c:pt>
                <c:pt idx="21">
                  <c:v>83596.226869636375</c:v>
                </c:pt>
                <c:pt idx="22">
                  <c:v>81632.204246008099</c:v>
                </c:pt>
                <c:pt idx="23">
                  <c:v>79661.867864493193</c:v>
                </c:pt>
                <c:pt idx="24">
                  <c:v>77685.151994211061</c:v>
                </c:pt>
              </c:numCache>
            </c:numRef>
          </c:val>
          <c:extLst>
            <c:ext xmlns:c16="http://schemas.microsoft.com/office/drawing/2014/chart" uri="{C3380CC4-5D6E-409C-BE32-E72D297353CC}">
              <c16:uniqueId val="{00000005-2A02-47E0-8170-A91CF8ACDA49}"/>
            </c:ext>
          </c:extLst>
        </c:ser>
        <c:ser>
          <c:idx val="6"/>
          <c:order val="6"/>
          <c:tx>
            <c:strRef>
              <c:f>'Results ReCiPe (I) - CC'!$AB$16</c:f>
              <c:strCache>
                <c:ptCount val="1"/>
                <c:pt idx="0">
                  <c:v>Operation - geological storage</c:v>
                </c:pt>
              </c:strCache>
            </c:strRef>
          </c:tx>
          <c:spPr>
            <a:solidFill>
              <a:schemeClr val="accent2">
                <a:lumMod val="50000"/>
              </a:schemeClr>
            </a:solidFill>
            <a:ln>
              <a:noFill/>
            </a:ln>
            <a:effectLst/>
          </c:spPr>
          <c:invertIfNegative val="0"/>
          <c:cat>
            <c:numRef>
              <c:f>'Results ReCiPe (I) - CC'!$AC$9:$BA$9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CC'!$AC$16:$BA$16</c:f>
              <c:numCache>
                <c:formatCode>0.00E+00</c:formatCode>
                <c:ptCount val="25"/>
                <c:pt idx="0">
                  <c:v>3227.0642832009357</c:v>
                </c:pt>
                <c:pt idx="1">
                  <c:v>3220.4820064807036</c:v>
                </c:pt>
                <c:pt idx="2">
                  <c:v>3213.9266122107406</c:v>
                </c:pt>
                <c:pt idx="3">
                  <c:v>3204.2755103925961</c:v>
                </c:pt>
                <c:pt idx="4">
                  <c:v>3197.7810533311199</c:v>
                </c:pt>
                <c:pt idx="5">
                  <c:v>3191.293200538933</c:v>
                </c:pt>
                <c:pt idx="6">
                  <c:v>3399.2495320576586</c:v>
                </c:pt>
                <c:pt idx="7">
                  <c:v>3605.9224350802679</c:v>
                </c:pt>
                <c:pt idx="8">
                  <c:v>3809.2824940686</c:v>
                </c:pt>
                <c:pt idx="9">
                  <c:v>4013.6674699518253</c:v>
                </c:pt>
                <c:pt idx="10">
                  <c:v>4216.6109873621208</c:v>
                </c:pt>
                <c:pt idx="11">
                  <c:v>4573.1821165020474</c:v>
                </c:pt>
                <c:pt idx="12">
                  <c:v>4928.1398139239072</c:v>
                </c:pt>
                <c:pt idx="13">
                  <c:v>5281.0862802050106</c:v>
                </c:pt>
                <c:pt idx="14">
                  <c:v>5632.7886890896625</c:v>
                </c:pt>
                <c:pt idx="15">
                  <c:v>5982.8683766559761</c:v>
                </c:pt>
                <c:pt idx="16">
                  <c:v>6044.359882748231</c:v>
                </c:pt>
                <c:pt idx="17">
                  <c:v>6105.6533151232761</c:v>
                </c:pt>
                <c:pt idx="18">
                  <c:v>6166.3996216888518</c:v>
                </c:pt>
                <c:pt idx="19">
                  <c:v>6227.3279291410563</c:v>
                </c:pt>
                <c:pt idx="20">
                  <c:v>6288.0783984268437</c:v>
                </c:pt>
                <c:pt idx="21">
                  <c:v>6363.945726929911</c:v>
                </c:pt>
                <c:pt idx="22">
                  <c:v>6205.170908935509</c:v>
                </c:pt>
                <c:pt idx="23">
                  <c:v>6046.505138354566</c:v>
                </c:pt>
                <c:pt idx="24">
                  <c:v>5887.9443547387564</c:v>
                </c:pt>
              </c:numCache>
            </c:numRef>
          </c:val>
          <c:extLst>
            <c:ext xmlns:c16="http://schemas.microsoft.com/office/drawing/2014/chart" uri="{C3380CC4-5D6E-409C-BE32-E72D297353CC}">
              <c16:uniqueId val="{00000006-2A02-47E0-8170-A91CF8ACDA49}"/>
            </c:ext>
          </c:extLst>
        </c:ser>
        <c:ser>
          <c:idx val="7"/>
          <c:order val="7"/>
          <c:tx>
            <c:strRef>
              <c:f>'Results ReCiPe (I) - CC'!$AB$17</c:f>
              <c:strCache>
                <c:ptCount val="1"/>
                <c:pt idx="0">
                  <c:v>CO2 captured and stored</c:v>
                </c:pt>
              </c:strCache>
            </c:strRef>
          </c:tx>
          <c:spPr>
            <a:solidFill>
              <a:schemeClr val="tx2">
                <a:lumMod val="20000"/>
                <a:lumOff val="80000"/>
              </a:schemeClr>
            </a:solidFill>
            <a:ln>
              <a:noFill/>
            </a:ln>
            <a:effectLst/>
          </c:spPr>
          <c:invertIfNegative val="0"/>
          <c:cat>
            <c:numRef>
              <c:f>'Results ReCiPe (I) - CC'!$AC$9:$BA$9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CC'!$AC$17:$BA$17</c:f>
              <c:numCache>
                <c:formatCode>0.00E+00</c:formatCode>
                <c:ptCount val="25"/>
                <c:pt idx="0">
                  <c:v>-100000</c:v>
                </c:pt>
                <c:pt idx="1">
                  <c:v>-100000</c:v>
                </c:pt>
                <c:pt idx="2">
                  <c:v>-100000</c:v>
                </c:pt>
                <c:pt idx="3">
                  <c:v>-100000</c:v>
                </c:pt>
                <c:pt idx="4">
                  <c:v>-100000</c:v>
                </c:pt>
                <c:pt idx="5">
                  <c:v>-100000</c:v>
                </c:pt>
                <c:pt idx="6">
                  <c:v>-100000</c:v>
                </c:pt>
                <c:pt idx="7">
                  <c:v>-100000</c:v>
                </c:pt>
                <c:pt idx="8">
                  <c:v>-100000</c:v>
                </c:pt>
                <c:pt idx="9">
                  <c:v>-100000</c:v>
                </c:pt>
                <c:pt idx="10">
                  <c:v>-100000</c:v>
                </c:pt>
                <c:pt idx="11">
                  <c:v>-100000</c:v>
                </c:pt>
                <c:pt idx="12">
                  <c:v>-100000</c:v>
                </c:pt>
                <c:pt idx="13">
                  <c:v>-100000</c:v>
                </c:pt>
                <c:pt idx="14">
                  <c:v>-100000</c:v>
                </c:pt>
                <c:pt idx="15">
                  <c:v>-100000</c:v>
                </c:pt>
                <c:pt idx="16">
                  <c:v>-100000</c:v>
                </c:pt>
                <c:pt idx="17">
                  <c:v>-100000</c:v>
                </c:pt>
                <c:pt idx="18">
                  <c:v>-100000</c:v>
                </c:pt>
                <c:pt idx="19">
                  <c:v>-100000</c:v>
                </c:pt>
                <c:pt idx="20">
                  <c:v>-100000</c:v>
                </c:pt>
                <c:pt idx="21">
                  <c:v>-100000</c:v>
                </c:pt>
                <c:pt idx="22">
                  <c:v>-100000</c:v>
                </c:pt>
                <c:pt idx="23">
                  <c:v>-100000</c:v>
                </c:pt>
                <c:pt idx="24">
                  <c:v>-100000</c:v>
                </c:pt>
              </c:numCache>
            </c:numRef>
          </c:val>
          <c:extLst>
            <c:ext xmlns:c16="http://schemas.microsoft.com/office/drawing/2014/chart" uri="{C3380CC4-5D6E-409C-BE32-E72D297353CC}">
              <c16:uniqueId val="{00000007-2A02-47E0-8170-A91CF8ACDA49}"/>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(I) - CC'!$AB$18</c:f>
              <c:strCache>
                <c:ptCount val="1"/>
                <c:pt idx="0">
                  <c:v>TOTAL per year</c:v>
                </c:pt>
              </c:strCache>
            </c:strRef>
          </c:tx>
          <c:spPr>
            <a:ln w="25400" cap="rnd">
              <a:noFill/>
              <a:round/>
            </a:ln>
            <a:effectLst/>
          </c:spPr>
          <c:marker>
            <c:symbol val="circle"/>
            <c:size val="5"/>
            <c:spPr>
              <a:solidFill>
                <a:schemeClr val="tx1"/>
              </a:solidFill>
              <a:ln w="9525">
                <a:solidFill>
                  <a:schemeClr val="tx1"/>
                </a:solidFill>
              </a:ln>
              <a:effectLst/>
            </c:spPr>
          </c:marker>
          <c:cat>
            <c:numRef>
              <c:f>'Results ReCiPe (I) - CC'!$AC$9:$BA$9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CC'!$AC$18:$BA$18</c:f>
              <c:numCache>
                <c:formatCode>0.00E+00</c:formatCode>
                <c:ptCount val="25"/>
                <c:pt idx="0">
                  <c:v>1893.8818741672876</c:v>
                </c:pt>
                <c:pt idx="1">
                  <c:v>-56539.047151174491</c:v>
                </c:pt>
                <c:pt idx="2">
                  <c:v>-56566.69619790819</c:v>
                </c:pt>
                <c:pt idx="3">
                  <c:v>-55232.621668580301</c:v>
                </c:pt>
                <c:pt idx="4">
                  <c:v>-56658.331693213513</c:v>
                </c:pt>
                <c:pt idx="5">
                  <c:v>-56684.962069039502</c:v>
                </c:pt>
                <c:pt idx="6">
                  <c:v>-52283.702191384335</c:v>
                </c:pt>
                <c:pt idx="7">
                  <c:v>-50682.262909679703</c:v>
                </c:pt>
                <c:pt idx="8">
                  <c:v>-47721.116545683406</c:v>
                </c:pt>
                <c:pt idx="9">
                  <c:v>-43348.927055240754</c:v>
                </c:pt>
                <c:pt idx="10">
                  <c:v>-41775.813875325242</c:v>
                </c:pt>
                <c:pt idx="11">
                  <c:v>-36620.819784193533</c:v>
                </c:pt>
                <c:pt idx="12">
                  <c:v>-30081.147620850359</c:v>
                </c:pt>
                <c:pt idx="13">
                  <c:v>-26352.4629816245</c:v>
                </c:pt>
                <c:pt idx="14">
                  <c:v>-21234.903728416684</c:v>
                </c:pt>
                <c:pt idx="15">
                  <c:v>-14728.978591956984</c:v>
                </c:pt>
                <c:pt idx="16">
                  <c:v>-15162.600344561113</c:v>
                </c:pt>
                <c:pt idx="17">
                  <c:v>-14196.380234568074</c:v>
                </c:pt>
                <c:pt idx="18">
                  <c:v>-11853.043837395438</c:v>
                </c:pt>
                <c:pt idx="19">
                  <c:v>-12270.651484306378</c:v>
                </c:pt>
                <c:pt idx="20">
                  <c:v>-11306.83080109673</c:v>
                </c:pt>
                <c:pt idx="21">
                  <c:v>-8676.2824589426164</c:v>
                </c:pt>
                <c:pt idx="22">
                  <c:v>-12162.624845056387</c:v>
                </c:pt>
                <c:pt idx="23">
                  <c:v>-14291.626997152242</c:v>
                </c:pt>
                <c:pt idx="24">
                  <c:v>-14209.713283158722</c:v>
                </c:pt>
              </c:numCache>
            </c:numRef>
          </c:val>
          <c:smooth val="0"/>
          <c:extLst>
            <c:ext xmlns:c16="http://schemas.microsoft.com/office/drawing/2014/chart" uri="{C3380CC4-5D6E-409C-BE32-E72D297353CC}">
              <c16:uniqueId val="{00000008-2A02-47E0-8170-A91CF8ACDA49}"/>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Climate change</a:t>
                </a:r>
              </a:p>
              <a:p>
                <a:pPr algn="ctr" rtl="0">
                  <a:defRPr/>
                </a:pPr>
                <a:r>
                  <a:rPr lang="nl-NL"/>
                  <a:t>[kg CO2-eq/ton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(I) - CC'!$AB$50</c:f>
              <c:strCache>
                <c:ptCount val="1"/>
                <c:pt idx="0">
                  <c:v>Construction - DAC</c:v>
                </c:pt>
              </c:strCache>
            </c:strRef>
          </c:tx>
          <c:spPr>
            <a:solidFill>
              <a:schemeClr val="accent4">
                <a:lumMod val="75000"/>
              </a:schemeClr>
            </a:solidFill>
            <a:ln>
              <a:noFill/>
            </a:ln>
            <a:effectLst/>
          </c:spPr>
          <c:invertIfNegative val="0"/>
          <c:cat>
            <c:numRef>
              <c:f>'Results ReCiPe (I) - CC'!$AC$49:$BA$49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CC'!$AC$50:$BA$50</c:f>
              <c:numCache>
                <c:formatCode>0.00E+00</c:formatCode>
                <c:ptCount val="25"/>
                <c:pt idx="0">
                  <c:v>50992.896958343765</c:v>
                </c:pt>
              </c:numCache>
            </c:numRef>
          </c:val>
          <c:extLst>
            <c:ext xmlns:c16="http://schemas.microsoft.com/office/drawing/2014/chart" uri="{C3380CC4-5D6E-409C-BE32-E72D297353CC}">
              <c16:uniqueId val="{00000000-07F8-428C-A28B-D4252E667C9C}"/>
            </c:ext>
          </c:extLst>
        </c:ser>
        <c:ser>
          <c:idx val="1"/>
          <c:order val="1"/>
          <c:tx>
            <c:strRef>
              <c:f>'Results ReCiPe (I) - CC'!$AB$51</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(I) - CC'!$AC$49:$BA$49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CC'!$AC$51:$BA$51</c:f>
              <c:numCache>
                <c:formatCode>0.00E+00</c:formatCode>
                <c:ptCount val="25"/>
                <c:pt idx="0">
                  <c:v>2689.460902868675</c:v>
                </c:pt>
              </c:numCache>
            </c:numRef>
          </c:val>
          <c:extLst>
            <c:ext xmlns:c16="http://schemas.microsoft.com/office/drawing/2014/chart" uri="{C3380CC4-5D6E-409C-BE32-E72D297353CC}">
              <c16:uniqueId val="{00000001-07F8-428C-A28B-D4252E667C9C}"/>
            </c:ext>
          </c:extLst>
        </c:ser>
        <c:ser>
          <c:idx val="2"/>
          <c:order val="2"/>
          <c:tx>
            <c:strRef>
              <c:f>'Results ReCiPe (I) - CC'!$AB$52</c:f>
              <c:strCache>
                <c:ptCount val="1"/>
                <c:pt idx="0">
                  <c:v>Deconstruction - DAC</c:v>
                </c:pt>
              </c:strCache>
            </c:strRef>
          </c:tx>
          <c:spPr>
            <a:solidFill>
              <a:schemeClr val="accent2">
                <a:lumMod val="40000"/>
                <a:lumOff val="60000"/>
              </a:schemeClr>
            </a:solidFill>
            <a:ln>
              <a:noFill/>
            </a:ln>
            <a:effectLst/>
          </c:spPr>
          <c:invertIfNegative val="0"/>
          <c:cat>
            <c:numRef>
              <c:f>'Results ReCiPe (I) - CC'!$AC$49:$BA$49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CC'!$AC$52:$BA$52</c:f>
              <c:numCache>
                <c:formatCode>0.00E+00</c:formatCode>
                <c:ptCount val="25"/>
                <c:pt idx="24">
                  <c:v>736.84411269170732</c:v>
                </c:pt>
              </c:numCache>
            </c:numRef>
          </c:val>
          <c:extLst>
            <c:ext xmlns:c16="http://schemas.microsoft.com/office/drawing/2014/chart" uri="{C3380CC4-5D6E-409C-BE32-E72D297353CC}">
              <c16:uniqueId val="{00000002-07F8-428C-A28B-D4252E667C9C}"/>
            </c:ext>
          </c:extLst>
        </c:ser>
        <c:ser>
          <c:idx val="3"/>
          <c:order val="3"/>
          <c:tx>
            <c:strRef>
              <c:f>'Results ReCiPe (I) - CC'!$AB$53</c:f>
              <c:strCache>
                <c:ptCount val="1"/>
                <c:pt idx="0">
                  <c:v>Deconstruction - geological storage</c:v>
                </c:pt>
              </c:strCache>
            </c:strRef>
          </c:tx>
          <c:spPr>
            <a:solidFill>
              <a:srgbClr val="FF9900"/>
            </a:solidFill>
            <a:ln>
              <a:noFill/>
            </a:ln>
            <a:effectLst/>
          </c:spPr>
          <c:invertIfNegative val="0"/>
          <c:cat>
            <c:numRef>
              <c:f>'Results ReCiPe (I) - CC'!$AC$49:$BA$49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CC'!$AC$53:$BA$53</c:f>
              <c:numCache>
                <c:formatCode>0.00E+00</c:formatCode>
                <c:ptCount val="25"/>
                <c:pt idx="24">
                  <c:v>22.256211814560157</c:v>
                </c:pt>
              </c:numCache>
            </c:numRef>
          </c:val>
          <c:extLst>
            <c:ext xmlns:c16="http://schemas.microsoft.com/office/drawing/2014/chart" uri="{C3380CC4-5D6E-409C-BE32-E72D297353CC}">
              <c16:uniqueId val="{00000003-07F8-428C-A28B-D4252E667C9C}"/>
            </c:ext>
          </c:extLst>
        </c:ser>
        <c:ser>
          <c:idx val="4"/>
          <c:order val="4"/>
          <c:tx>
            <c:strRef>
              <c:f>'Results ReCiPe (I) - CC'!$AB$54</c:f>
              <c:strCache>
                <c:ptCount val="1"/>
                <c:pt idx="0">
                  <c:v>Sorbent material</c:v>
                </c:pt>
              </c:strCache>
            </c:strRef>
          </c:tx>
          <c:spPr>
            <a:solidFill>
              <a:srgbClr val="FF8F8F"/>
            </a:solidFill>
            <a:ln>
              <a:noFill/>
            </a:ln>
            <a:effectLst/>
          </c:spPr>
          <c:invertIfNegative val="0"/>
          <c:cat>
            <c:numRef>
              <c:f>'Results ReCiPe (I) - CC'!$AC$49:$BA$49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CC'!$AC$54:$BA$54</c:f>
              <c:numCache>
                <c:formatCode>0.00E+00</c:formatCode>
                <c:ptCount val="25"/>
                <c:pt idx="0">
                  <c:v>1369.6249485785811</c:v>
                </c:pt>
                <c:pt idx="3">
                  <c:v>1330.201743386594</c:v>
                </c:pt>
                <c:pt idx="6">
                  <c:v>1291.6658561466461</c:v>
                </c:pt>
                <c:pt idx="9">
                  <c:v>1241.1161458074589</c:v>
                </c:pt>
                <c:pt idx="12">
                  <c:v>1178.1152807241949</c:v>
                </c:pt>
                <c:pt idx="15">
                  <c:v>1107.2050594847649</c:v>
                </c:pt>
                <c:pt idx="18">
                  <c:v>1057.185548264049</c:v>
                </c:pt>
                <c:pt idx="21">
                  <c:v>1022.6160132821969</c:v>
                </c:pt>
                <c:pt idx="24">
                  <c:v>1014.652642880409</c:v>
                </c:pt>
              </c:numCache>
            </c:numRef>
          </c:val>
          <c:extLst>
            <c:ext xmlns:c16="http://schemas.microsoft.com/office/drawing/2014/chart" uri="{C3380CC4-5D6E-409C-BE32-E72D297353CC}">
              <c16:uniqueId val="{00000004-07F8-428C-A28B-D4252E667C9C}"/>
            </c:ext>
          </c:extLst>
        </c:ser>
        <c:ser>
          <c:idx val="5"/>
          <c:order val="5"/>
          <c:tx>
            <c:strRef>
              <c:f>'Results ReCiPe (I) - CC'!$AB$55</c:f>
              <c:strCache>
                <c:ptCount val="1"/>
                <c:pt idx="0">
                  <c:v>Operation - DAC</c:v>
                </c:pt>
              </c:strCache>
            </c:strRef>
          </c:tx>
          <c:spPr>
            <a:solidFill>
              <a:schemeClr val="accent2">
                <a:lumMod val="75000"/>
              </a:schemeClr>
            </a:solidFill>
            <a:ln>
              <a:noFill/>
            </a:ln>
            <a:effectLst/>
          </c:spPr>
          <c:invertIfNegative val="0"/>
          <c:cat>
            <c:numRef>
              <c:f>'Results ReCiPe (I) - CC'!$AC$49:$BA$49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CC'!$AC$55:$BA$55</c:f>
              <c:numCache>
                <c:formatCode>0.00E+00</c:formatCode>
                <c:ptCount val="25"/>
                <c:pt idx="0">
                  <c:v>35137.912585031052</c:v>
                </c:pt>
                <c:pt idx="1">
                  <c:v>32955.608635970399</c:v>
                </c:pt>
                <c:pt idx="2">
                  <c:v>30774.206240875312</c:v>
                </c:pt>
                <c:pt idx="3">
                  <c:v>28556.69838655461</c:v>
                </c:pt>
                <c:pt idx="4">
                  <c:v>26376.533712289089</c:v>
                </c:pt>
                <c:pt idx="5">
                  <c:v>24196.677350939779</c:v>
                </c:pt>
                <c:pt idx="6">
                  <c:v>22496.69274953589</c:v>
                </c:pt>
                <c:pt idx="7">
                  <c:v>20800.987314882339</c:v>
                </c:pt>
                <c:pt idx="8">
                  <c:v>19077.733178113311</c:v>
                </c:pt>
                <c:pt idx="9">
                  <c:v>17385.017301517611</c:v>
                </c:pt>
                <c:pt idx="10">
                  <c:v>15693.00812724036</c:v>
                </c:pt>
                <c:pt idx="11">
                  <c:v>14328.560135041969</c:v>
                </c:pt>
                <c:pt idx="12">
                  <c:v>12958.521106640081</c:v>
                </c:pt>
                <c:pt idx="13">
                  <c:v>11576.690666377919</c:v>
                </c:pt>
                <c:pt idx="14">
                  <c:v>10195.76064630136</c:v>
                </c:pt>
                <c:pt idx="15">
                  <c:v>8809.5027908814172</c:v>
                </c:pt>
                <c:pt idx="16">
                  <c:v>8086.6452877616366</c:v>
                </c:pt>
                <c:pt idx="17">
                  <c:v>7363.1972148878667</c:v>
                </c:pt>
                <c:pt idx="18">
                  <c:v>6633.6849264403409</c:v>
                </c:pt>
                <c:pt idx="19">
                  <c:v>5909.2251672782704</c:v>
                </c:pt>
                <c:pt idx="20">
                  <c:v>5184.5274816267993</c:v>
                </c:pt>
                <c:pt idx="21">
                  <c:v>4921.3552851747154</c:v>
                </c:pt>
                <c:pt idx="22">
                  <c:v>4607.1491399061242</c:v>
                </c:pt>
                <c:pt idx="23">
                  <c:v>4291.8716246713884</c:v>
                </c:pt>
                <c:pt idx="24">
                  <c:v>3975.4949944578962</c:v>
                </c:pt>
              </c:numCache>
            </c:numRef>
          </c:val>
          <c:extLst>
            <c:ext xmlns:c16="http://schemas.microsoft.com/office/drawing/2014/chart" uri="{C3380CC4-5D6E-409C-BE32-E72D297353CC}">
              <c16:uniqueId val="{00000005-07F8-428C-A28B-D4252E667C9C}"/>
            </c:ext>
          </c:extLst>
        </c:ser>
        <c:ser>
          <c:idx val="6"/>
          <c:order val="6"/>
          <c:tx>
            <c:strRef>
              <c:f>'Results ReCiPe (I) - CC'!$AB$56</c:f>
              <c:strCache>
                <c:ptCount val="1"/>
                <c:pt idx="0">
                  <c:v>Operation - geological storage</c:v>
                </c:pt>
              </c:strCache>
            </c:strRef>
          </c:tx>
          <c:spPr>
            <a:solidFill>
              <a:schemeClr val="accent2">
                <a:lumMod val="50000"/>
              </a:schemeClr>
            </a:solidFill>
            <a:ln>
              <a:noFill/>
            </a:ln>
            <a:effectLst/>
          </c:spPr>
          <c:invertIfNegative val="0"/>
          <c:cat>
            <c:numRef>
              <c:f>'Results ReCiPe (I) - CC'!$AC$49:$BA$49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CC'!$AC$56:$BA$56</c:f>
              <c:numCache>
                <c:formatCode>0.00E+00</c:formatCode>
                <c:ptCount val="25"/>
                <c:pt idx="0">
                  <c:v>2816.490015727883</c:v>
                </c:pt>
                <c:pt idx="1">
                  <c:v>2643.1630151783997</c:v>
                </c:pt>
                <c:pt idx="2">
                  <c:v>2470.6554529119071</c:v>
                </c:pt>
                <c:pt idx="3">
                  <c:v>2295.6641346214378</c:v>
                </c:pt>
                <c:pt idx="4">
                  <c:v>2124.7498711288149</c:v>
                </c:pt>
                <c:pt idx="5">
                  <c:v>1954.6031179130839</c:v>
                </c:pt>
                <c:pt idx="6">
                  <c:v>1822.7260345807761</c:v>
                </c:pt>
                <c:pt idx="7">
                  <c:v>1691.452781228018</c:v>
                </c:pt>
                <c:pt idx="8">
                  <c:v>1558.0543689634449</c:v>
                </c:pt>
                <c:pt idx="9">
                  <c:v>1427.5534970495339</c:v>
                </c:pt>
                <c:pt idx="10">
                  <c:v>1297.370820631347</c:v>
                </c:pt>
                <c:pt idx="11">
                  <c:v>1192.0280904561412</c:v>
                </c:pt>
                <c:pt idx="12">
                  <c:v>1086.3153844765</c:v>
                </c:pt>
                <c:pt idx="13">
                  <c:v>979.679313659066</c:v>
                </c:pt>
                <c:pt idx="14">
                  <c:v>873.24358547651377</c:v>
                </c:pt>
                <c:pt idx="15">
                  <c:v>766.45125956112827</c:v>
                </c:pt>
                <c:pt idx="16">
                  <c:v>710.64060120959937</c:v>
                </c:pt>
                <c:pt idx="17">
                  <c:v>654.65478553185676</c:v>
                </c:pt>
                <c:pt idx="18">
                  <c:v>598.01001692743648</c:v>
                </c:pt>
                <c:pt idx="19">
                  <c:v>541.67841816254531</c:v>
                </c:pt>
                <c:pt idx="20">
                  <c:v>485.18977986330407</c:v>
                </c:pt>
                <c:pt idx="21">
                  <c:v>464.83208119096309</c:v>
                </c:pt>
                <c:pt idx="22">
                  <c:v>440.5989318243453</c:v>
                </c:pt>
                <c:pt idx="23">
                  <c:v>416.35907723093732</c:v>
                </c:pt>
                <c:pt idx="24">
                  <c:v>392.11018079298378</c:v>
                </c:pt>
              </c:numCache>
            </c:numRef>
          </c:val>
          <c:extLst>
            <c:ext xmlns:c16="http://schemas.microsoft.com/office/drawing/2014/chart" uri="{C3380CC4-5D6E-409C-BE32-E72D297353CC}">
              <c16:uniqueId val="{00000006-07F8-428C-A28B-D4252E667C9C}"/>
            </c:ext>
          </c:extLst>
        </c:ser>
        <c:ser>
          <c:idx val="7"/>
          <c:order val="7"/>
          <c:tx>
            <c:strRef>
              <c:f>'Results ReCiPe (I) - CC'!$AB$57</c:f>
              <c:strCache>
                <c:ptCount val="1"/>
                <c:pt idx="0">
                  <c:v>CO2 captured and stored</c:v>
                </c:pt>
              </c:strCache>
            </c:strRef>
          </c:tx>
          <c:spPr>
            <a:solidFill>
              <a:schemeClr val="tx2">
                <a:lumMod val="20000"/>
                <a:lumOff val="80000"/>
              </a:schemeClr>
            </a:solidFill>
            <a:ln>
              <a:noFill/>
            </a:ln>
            <a:effectLst/>
          </c:spPr>
          <c:invertIfNegative val="0"/>
          <c:cat>
            <c:numRef>
              <c:f>'Results ReCiPe (I) - CC'!$AC$49:$BA$49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CC'!$AC$57:$BA$57</c:f>
              <c:numCache>
                <c:formatCode>0.00E+00</c:formatCode>
                <c:ptCount val="25"/>
                <c:pt idx="0">
                  <c:v>-100000</c:v>
                </c:pt>
                <c:pt idx="1">
                  <c:v>-100000</c:v>
                </c:pt>
                <c:pt idx="2">
                  <c:v>-100000</c:v>
                </c:pt>
                <c:pt idx="3">
                  <c:v>-100000</c:v>
                </c:pt>
                <c:pt idx="4">
                  <c:v>-100000</c:v>
                </c:pt>
                <c:pt idx="5">
                  <c:v>-100000</c:v>
                </c:pt>
                <c:pt idx="6">
                  <c:v>-100000</c:v>
                </c:pt>
                <c:pt idx="7">
                  <c:v>-100000</c:v>
                </c:pt>
                <c:pt idx="8">
                  <c:v>-100000</c:v>
                </c:pt>
                <c:pt idx="9">
                  <c:v>-100000</c:v>
                </c:pt>
                <c:pt idx="10">
                  <c:v>-100000</c:v>
                </c:pt>
                <c:pt idx="11">
                  <c:v>-100000</c:v>
                </c:pt>
                <c:pt idx="12">
                  <c:v>-100000</c:v>
                </c:pt>
                <c:pt idx="13">
                  <c:v>-100000</c:v>
                </c:pt>
                <c:pt idx="14">
                  <c:v>-100000</c:v>
                </c:pt>
                <c:pt idx="15">
                  <c:v>-100000</c:v>
                </c:pt>
                <c:pt idx="16">
                  <c:v>-100000</c:v>
                </c:pt>
                <c:pt idx="17">
                  <c:v>-100000</c:v>
                </c:pt>
                <c:pt idx="18">
                  <c:v>-100000</c:v>
                </c:pt>
                <c:pt idx="19">
                  <c:v>-100000</c:v>
                </c:pt>
                <c:pt idx="20">
                  <c:v>-100000</c:v>
                </c:pt>
                <c:pt idx="21">
                  <c:v>-100000</c:v>
                </c:pt>
                <c:pt idx="22">
                  <c:v>-100000</c:v>
                </c:pt>
                <c:pt idx="23">
                  <c:v>-100000</c:v>
                </c:pt>
                <c:pt idx="24">
                  <c:v>-100000</c:v>
                </c:pt>
              </c:numCache>
            </c:numRef>
          </c:val>
          <c:extLst>
            <c:ext xmlns:c16="http://schemas.microsoft.com/office/drawing/2014/chart" uri="{C3380CC4-5D6E-409C-BE32-E72D297353CC}">
              <c16:uniqueId val="{00000007-07F8-428C-A28B-D4252E667C9C}"/>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(I) - CC'!$AB$58</c:f>
              <c:strCache>
                <c:ptCount val="1"/>
                <c:pt idx="0">
                  <c:v>TOTAL per year</c:v>
                </c:pt>
              </c:strCache>
            </c:strRef>
          </c:tx>
          <c:spPr>
            <a:ln w="25400" cap="rnd">
              <a:noFill/>
              <a:round/>
            </a:ln>
            <a:effectLst/>
          </c:spPr>
          <c:marker>
            <c:symbol val="circle"/>
            <c:size val="5"/>
            <c:spPr>
              <a:solidFill>
                <a:schemeClr val="tx1"/>
              </a:solidFill>
              <a:ln w="9525">
                <a:solidFill>
                  <a:schemeClr val="tx1"/>
                </a:solidFill>
              </a:ln>
              <a:effectLst/>
            </c:spPr>
          </c:marker>
          <c:cat>
            <c:numRef>
              <c:f>'Results ReCiPe (I) - CC'!$AC$49:$BA$49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CC'!$AC$58:$BA$58</c:f>
              <c:numCache>
                <c:formatCode>0.00E+00</c:formatCode>
                <c:ptCount val="25"/>
                <c:pt idx="0">
                  <c:v>-6993.6145894500369</c:v>
                </c:pt>
                <c:pt idx="1">
                  <c:v>-64401.228348851204</c:v>
                </c:pt>
                <c:pt idx="2">
                  <c:v>-66755.138306212786</c:v>
                </c:pt>
                <c:pt idx="3">
                  <c:v>-67817.43573543735</c:v>
                </c:pt>
                <c:pt idx="4">
                  <c:v>-71498.716416582101</c:v>
                </c:pt>
                <c:pt idx="5">
                  <c:v>-73848.71953114713</c:v>
                </c:pt>
                <c:pt idx="6">
                  <c:v>-74388.915359736682</c:v>
                </c:pt>
                <c:pt idx="7">
                  <c:v>-77507.559903889647</c:v>
                </c:pt>
                <c:pt idx="8">
                  <c:v>-79364.212452923239</c:v>
                </c:pt>
                <c:pt idx="9">
                  <c:v>-79946.313055625389</c:v>
                </c:pt>
                <c:pt idx="10">
                  <c:v>-83009.621052128292</c:v>
                </c:pt>
                <c:pt idx="11">
                  <c:v>-84479.411774501888</c:v>
                </c:pt>
                <c:pt idx="12">
                  <c:v>-84777.048228159227</c:v>
                </c:pt>
                <c:pt idx="13">
                  <c:v>-87443.63001996302</c:v>
                </c:pt>
                <c:pt idx="14">
                  <c:v>-88930.995768222128</c:v>
                </c:pt>
                <c:pt idx="15">
                  <c:v>-89316.840890072694</c:v>
                </c:pt>
                <c:pt idx="16">
                  <c:v>-91202.714111028763</c:v>
                </c:pt>
                <c:pt idx="17">
                  <c:v>-91982.14799958028</c:v>
                </c:pt>
                <c:pt idx="18">
                  <c:v>-91711.119508368167</c:v>
                </c:pt>
                <c:pt idx="19">
                  <c:v>-93549.096414559186</c:v>
                </c:pt>
                <c:pt idx="20">
                  <c:v>-94330.282738509894</c:v>
                </c:pt>
                <c:pt idx="21">
                  <c:v>-93591.19662035213</c:v>
                </c:pt>
                <c:pt idx="22">
                  <c:v>-94952.251928269528</c:v>
                </c:pt>
                <c:pt idx="23">
                  <c:v>-95291.769298097672</c:v>
                </c:pt>
                <c:pt idx="24">
                  <c:v>-93858.64185736244</c:v>
                </c:pt>
              </c:numCache>
            </c:numRef>
          </c:val>
          <c:smooth val="0"/>
          <c:extLst>
            <c:ext xmlns:c16="http://schemas.microsoft.com/office/drawing/2014/chart" uri="{C3380CC4-5D6E-409C-BE32-E72D297353CC}">
              <c16:uniqueId val="{00000008-07F8-428C-A28B-D4252E667C9C}"/>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Climate change</a:t>
                </a:r>
              </a:p>
              <a:p>
                <a:pPr algn="ctr" rtl="0">
                  <a:defRPr/>
                </a:pPr>
                <a:r>
                  <a:rPr lang="nl-NL"/>
                  <a:t>[kg CO2-eq/ton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(I) - CC'!$AB$90</c:f>
              <c:strCache>
                <c:ptCount val="1"/>
                <c:pt idx="0">
                  <c:v>Construction - DAC</c:v>
                </c:pt>
              </c:strCache>
            </c:strRef>
          </c:tx>
          <c:spPr>
            <a:solidFill>
              <a:schemeClr val="accent4">
                <a:lumMod val="75000"/>
              </a:schemeClr>
            </a:solidFill>
            <a:ln>
              <a:noFill/>
            </a:ln>
            <a:effectLst/>
          </c:spPr>
          <c:invertIfNegative val="0"/>
          <c:cat>
            <c:numRef>
              <c:f>'Results ReCiPe (I) - CC'!$AC$89:$BA$89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CC'!$AC$90:$BA$90</c:f>
              <c:numCache>
                <c:formatCode>0.00E+00</c:formatCode>
                <c:ptCount val="25"/>
                <c:pt idx="0">
                  <c:v>42087.257169202174</c:v>
                </c:pt>
              </c:numCache>
            </c:numRef>
          </c:val>
          <c:extLst>
            <c:ext xmlns:c16="http://schemas.microsoft.com/office/drawing/2014/chart" uri="{C3380CC4-5D6E-409C-BE32-E72D297353CC}">
              <c16:uniqueId val="{00000000-1D1E-4686-8A30-CD5B97F248C6}"/>
            </c:ext>
          </c:extLst>
        </c:ser>
        <c:ser>
          <c:idx val="1"/>
          <c:order val="1"/>
          <c:tx>
            <c:strRef>
              <c:f>'Results ReCiPe (I) - CC'!$AB$91</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(I) - CC'!$AC$89:$BA$89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CC'!$AC$91:$BA$91</c:f>
              <c:numCache>
                <c:formatCode>0.00E+00</c:formatCode>
                <c:ptCount val="25"/>
                <c:pt idx="0">
                  <c:v>2363.2132293652407</c:v>
                </c:pt>
              </c:numCache>
            </c:numRef>
          </c:val>
          <c:extLst>
            <c:ext xmlns:c16="http://schemas.microsoft.com/office/drawing/2014/chart" uri="{C3380CC4-5D6E-409C-BE32-E72D297353CC}">
              <c16:uniqueId val="{00000001-1D1E-4686-8A30-CD5B97F248C6}"/>
            </c:ext>
          </c:extLst>
        </c:ser>
        <c:ser>
          <c:idx val="2"/>
          <c:order val="2"/>
          <c:tx>
            <c:strRef>
              <c:f>'Results ReCiPe (I) - CC'!$AB$92</c:f>
              <c:strCache>
                <c:ptCount val="1"/>
                <c:pt idx="0">
                  <c:v>Deconstruction - DAC</c:v>
                </c:pt>
              </c:strCache>
            </c:strRef>
          </c:tx>
          <c:spPr>
            <a:solidFill>
              <a:schemeClr val="accent2">
                <a:lumMod val="40000"/>
                <a:lumOff val="60000"/>
              </a:schemeClr>
            </a:solidFill>
            <a:ln>
              <a:noFill/>
            </a:ln>
            <a:effectLst/>
          </c:spPr>
          <c:invertIfNegative val="0"/>
          <c:cat>
            <c:numRef>
              <c:f>'Results ReCiPe (I) - CC'!$AC$89:$BA$89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CC'!$AC$92:$BA$92</c:f>
              <c:numCache>
                <c:formatCode>0.00E+00</c:formatCode>
                <c:ptCount val="25"/>
                <c:pt idx="24">
                  <c:v>661.35458655062052</c:v>
                </c:pt>
              </c:numCache>
            </c:numRef>
          </c:val>
          <c:extLst>
            <c:ext xmlns:c16="http://schemas.microsoft.com/office/drawing/2014/chart" uri="{C3380CC4-5D6E-409C-BE32-E72D297353CC}">
              <c16:uniqueId val="{00000002-1D1E-4686-8A30-CD5B97F248C6}"/>
            </c:ext>
          </c:extLst>
        </c:ser>
        <c:ser>
          <c:idx val="3"/>
          <c:order val="3"/>
          <c:tx>
            <c:strRef>
              <c:f>'Results ReCiPe (I) - CC'!$AB$93</c:f>
              <c:strCache>
                <c:ptCount val="1"/>
                <c:pt idx="0">
                  <c:v>Deconstruction - geological storage</c:v>
                </c:pt>
              </c:strCache>
            </c:strRef>
          </c:tx>
          <c:spPr>
            <a:solidFill>
              <a:srgbClr val="FF9900"/>
            </a:solidFill>
            <a:ln>
              <a:noFill/>
            </a:ln>
            <a:effectLst/>
          </c:spPr>
          <c:invertIfNegative val="0"/>
          <c:cat>
            <c:numRef>
              <c:f>'Results ReCiPe (I) - CC'!$AC$89:$BA$89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CC'!$AC$93:$BA$93</c:f>
              <c:numCache>
                <c:formatCode>0.00E+00</c:formatCode>
                <c:ptCount val="25"/>
                <c:pt idx="24">
                  <c:v>20.943027296122771</c:v>
                </c:pt>
              </c:numCache>
            </c:numRef>
          </c:val>
          <c:extLst>
            <c:ext xmlns:c16="http://schemas.microsoft.com/office/drawing/2014/chart" uri="{C3380CC4-5D6E-409C-BE32-E72D297353CC}">
              <c16:uniqueId val="{00000003-1D1E-4686-8A30-CD5B97F248C6}"/>
            </c:ext>
          </c:extLst>
        </c:ser>
        <c:ser>
          <c:idx val="4"/>
          <c:order val="4"/>
          <c:tx>
            <c:strRef>
              <c:f>'Results ReCiPe (I) - CC'!$AB$94</c:f>
              <c:strCache>
                <c:ptCount val="1"/>
                <c:pt idx="0">
                  <c:v>Sorbent material</c:v>
                </c:pt>
              </c:strCache>
            </c:strRef>
          </c:tx>
          <c:spPr>
            <a:solidFill>
              <a:srgbClr val="FF8F8F"/>
            </a:solidFill>
            <a:ln>
              <a:noFill/>
            </a:ln>
            <a:effectLst/>
          </c:spPr>
          <c:invertIfNegative val="0"/>
          <c:cat>
            <c:numRef>
              <c:f>'Results ReCiPe (I) - CC'!$AC$89:$BA$89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CC'!$AC$94:$BA$94</c:f>
              <c:numCache>
                <c:formatCode>0.00E+00</c:formatCode>
                <c:ptCount val="25"/>
                <c:pt idx="0">
                  <c:v>1147.562206560159</c:v>
                </c:pt>
                <c:pt idx="3">
                  <c:v>1074.05698885017</c:v>
                </c:pt>
                <c:pt idx="6">
                  <c:v>1022.1502722838831</c:v>
                </c:pt>
                <c:pt idx="9">
                  <c:v>1005.159492641253</c:v>
                </c:pt>
                <c:pt idx="12">
                  <c:v>997.28372106165648</c:v>
                </c:pt>
                <c:pt idx="15">
                  <c:v>991.48221426531472</c:v>
                </c:pt>
                <c:pt idx="18">
                  <c:v>983.20946828966578</c:v>
                </c:pt>
                <c:pt idx="21">
                  <c:v>977.06180922356634</c:v>
                </c:pt>
                <c:pt idx="24">
                  <c:v>972.2449306465038</c:v>
                </c:pt>
              </c:numCache>
            </c:numRef>
          </c:val>
          <c:extLst>
            <c:ext xmlns:c16="http://schemas.microsoft.com/office/drawing/2014/chart" uri="{C3380CC4-5D6E-409C-BE32-E72D297353CC}">
              <c16:uniqueId val="{00000004-1D1E-4686-8A30-CD5B97F248C6}"/>
            </c:ext>
          </c:extLst>
        </c:ser>
        <c:ser>
          <c:idx val="5"/>
          <c:order val="5"/>
          <c:tx>
            <c:strRef>
              <c:f>'Results ReCiPe (I) - CC'!$AB$95</c:f>
              <c:strCache>
                <c:ptCount val="1"/>
                <c:pt idx="0">
                  <c:v>Operation - DAC</c:v>
                </c:pt>
              </c:strCache>
            </c:strRef>
          </c:tx>
          <c:spPr>
            <a:solidFill>
              <a:schemeClr val="accent2">
                <a:lumMod val="75000"/>
              </a:schemeClr>
            </a:solidFill>
            <a:ln>
              <a:noFill/>
            </a:ln>
            <a:effectLst/>
          </c:spPr>
          <c:invertIfNegative val="0"/>
          <c:cat>
            <c:numRef>
              <c:f>'Results ReCiPe (I) - CC'!$AC$89:$BA$89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CC'!$AC$95:$BA$95</c:f>
              <c:numCache>
                <c:formatCode>0.00E+00</c:formatCode>
                <c:ptCount val="25"/>
                <c:pt idx="0">
                  <c:v>15948.669016755241</c:v>
                </c:pt>
                <c:pt idx="1">
                  <c:v>13389.99569189397</c:v>
                </c:pt>
                <c:pt idx="2">
                  <c:v>10827.23891267645</c:v>
                </c:pt>
                <c:pt idx="3">
                  <c:v>8218.8257945370024</c:v>
                </c:pt>
                <c:pt idx="4">
                  <c:v>5644.4276850735196</c:v>
                </c:pt>
                <c:pt idx="5">
                  <c:v>3064.6241783682672</c:v>
                </c:pt>
                <c:pt idx="6">
                  <c:v>2687.516964717885</c:v>
                </c:pt>
                <c:pt idx="7">
                  <c:v>2307.006974906456</c:v>
                </c:pt>
                <c:pt idx="8">
                  <c:v>1885.7732388850741</c:v>
                </c:pt>
                <c:pt idx="9">
                  <c:v>1497.1340636467201</c:v>
                </c:pt>
                <c:pt idx="10">
                  <c:v>1105.0556163287481</c:v>
                </c:pt>
                <c:pt idx="11">
                  <c:v>1051.914731776312</c:v>
                </c:pt>
                <c:pt idx="12">
                  <c:v>998.84648515212825</c:v>
                </c:pt>
                <c:pt idx="13">
                  <c:v>938.79875757163541</c:v>
                </c:pt>
                <c:pt idx="14">
                  <c:v>885.91279505141324</c:v>
                </c:pt>
                <c:pt idx="15">
                  <c:v>832.92922605449894</c:v>
                </c:pt>
                <c:pt idx="16">
                  <c:v>177.72745792503221</c:v>
                </c:pt>
                <c:pt idx="17">
                  <c:v>-472.6222411397714</c:v>
                </c:pt>
                <c:pt idx="18">
                  <c:v>-1123.210931339017</c:v>
                </c:pt>
                <c:pt idx="19">
                  <c:v>-1763.602138605705</c:v>
                </c:pt>
                <c:pt idx="20">
                  <c:v>-2398.407205524295</c:v>
                </c:pt>
                <c:pt idx="21">
                  <c:v>-2902.0155866216869</c:v>
                </c:pt>
                <c:pt idx="22">
                  <c:v>-3436.9407115683739</c:v>
                </c:pt>
                <c:pt idx="23">
                  <c:v>-3973.344632822595</c:v>
                </c:pt>
                <c:pt idx="24">
                  <c:v>-4511.2514825700318</c:v>
                </c:pt>
              </c:numCache>
            </c:numRef>
          </c:val>
          <c:extLst>
            <c:ext xmlns:c16="http://schemas.microsoft.com/office/drawing/2014/chart" uri="{C3380CC4-5D6E-409C-BE32-E72D297353CC}">
              <c16:uniqueId val="{00000005-1D1E-4686-8A30-CD5B97F248C6}"/>
            </c:ext>
          </c:extLst>
        </c:ser>
        <c:ser>
          <c:idx val="6"/>
          <c:order val="6"/>
          <c:tx>
            <c:strRef>
              <c:f>'Results ReCiPe (I) - CC'!$AB$96</c:f>
              <c:strCache>
                <c:ptCount val="1"/>
                <c:pt idx="0">
                  <c:v>Operation - geological storage</c:v>
                </c:pt>
              </c:strCache>
            </c:strRef>
          </c:tx>
          <c:spPr>
            <a:solidFill>
              <a:schemeClr val="accent2">
                <a:lumMod val="50000"/>
              </a:schemeClr>
            </a:solidFill>
            <a:ln>
              <a:noFill/>
            </a:ln>
            <a:effectLst/>
          </c:spPr>
          <c:invertIfNegative val="0"/>
          <c:cat>
            <c:numRef>
              <c:f>'Results ReCiPe (I) - CC'!$AC$89:$BA$89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CC'!$AC$96:$BA$96</c:f>
              <c:numCache>
                <c:formatCode>0.00E+00</c:formatCode>
                <c:ptCount val="25"/>
                <c:pt idx="0">
                  <c:v>1324.993105402586</c:v>
                </c:pt>
                <c:pt idx="1">
                  <c:v>1124.6592286793289</c:v>
                </c:pt>
                <c:pt idx="2">
                  <c:v>925.32419922424913</c:v>
                </c:pt>
                <c:pt idx="3">
                  <c:v>723.38991438420589</c:v>
                </c:pt>
                <c:pt idx="4">
                  <c:v>525.78184053756183</c:v>
                </c:pt>
                <c:pt idx="5">
                  <c:v>329.05630824955551</c:v>
                </c:pt>
                <c:pt idx="6">
                  <c:v>300.02227837139071</c:v>
                </c:pt>
                <c:pt idx="7">
                  <c:v>270.85305737830294</c:v>
                </c:pt>
                <c:pt idx="8">
                  <c:v>238.49241055585631</c:v>
                </c:pt>
                <c:pt idx="9">
                  <c:v>208.97102057087639</c:v>
                </c:pt>
                <c:pt idx="10">
                  <c:v>179.31619921447572</c:v>
                </c:pt>
                <c:pt idx="11">
                  <c:v>174.74546078951869</c:v>
                </c:pt>
                <c:pt idx="12">
                  <c:v>170.1833141315044</c:v>
                </c:pt>
                <c:pt idx="13">
                  <c:v>165.03314483909071</c:v>
                </c:pt>
                <c:pt idx="14">
                  <c:v>160.49156426611091</c:v>
                </c:pt>
                <c:pt idx="15">
                  <c:v>155.9445728050664</c:v>
                </c:pt>
                <c:pt idx="16">
                  <c:v>105.80468796266101</c:v>
                </c:pt>
                <c:pt idx="17">
                  <c:v>55.583752553111765</c:v>
                </c:pt>
                <c:pt idx="18">
                  <c:v>4.8511905974471752</c:v>
                </c:pt>
                <c:pt idx="19">
                  <c:v>-45.498866994982166</c:v>
                </c:pt>
                <c:pt idx="20">
                  <c:v>-95.858698461078703</c:v>
                </c:pt>
                <c:pt idx="21">
                  <c:v>-133.54200193557298</c:v>
                </c:pt>
                <c:pt idx="22">
                  <c:v>-173.575212324517</c:v>
                </c:pt>
                <c:pt idx="23">
                  <c:v>-213.59915552673741</c:v>
                </c:pt>
                <c:pt idx="24">
                  <c:v>-253.6156822613541</c:v>
                </c:pt>
              </c:numCache>
            </c:numRef>
          </c:val>
          <c:extLst>
            <c:ext xmlns:c16="http://schemas.microsoft.com/office/drawing/2014/chart" uri="{C3380CC4-5D6E-409C-BE32-E72D297353CC}">
              <c16:uniqueId val="{00000006-1D1E-4686-8A30-CD5B97F248C6}"/>
            </c:ext>
          </c:extLst>
        </c:ser>
        <c:ser>
          <c:idx val="7"/>
          <c:order val="7"/>
          <c:tx>
            <c:strRef>
              <c:f>'Results ReCiPe (I) - CC'!$AB$97</c:f>
              <c:strCache>
                <c:ptCount val="1"/>
                <c:pt idx="0">
                  <c:v>CO2 captured and stored</c:v>
                </c:pt>
              </c:strCache>
            </c:strRef>
          </c:tx>
          <c:spPr>
            <a:solidFill>
              <a:schemeClr val="tx2">
                <a:lumMod val="20000"/>
                <a:lumOff val="80000"/>
              </a:schemeClr>
            </a:solidFill>
            <a:ln>
              <a:noFill/>
            </a:ln>
            <a:effectLst/>
          </c:spPr>
          <c:invertIfNegative val="0"/>
          <c:cat>
            <c:numRef>
              <c:f>'Results ReCiPe (I) - CC'!$AC$89:$BA$89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CC'!$AC$97:$BA$97</c:f>
              <c:numCache>
                <c:formatCode>0.00E+00</c:formatCode>
                <c:ptCount val="25"/>
                <c:pt idx="0">
                  <c:v>-100000</c:v>
                </c:pt>
                <c:pt idx="1">
                  <c:v>-100000</c:v>
                </c:pt>
                <c:pt idx="2">
                  <c:v>-100000</c:v>
                </c:pt>
                <c:pt idx="3">
                  <c:v>-100000</c:v>
                </c:pt>
                <c:pt idx="4">
                  <c:v>-100000</c:v>
                </c:pt>
                <c:pt idx="5">
                  <c:v>-100000</c:v>
                </c:pt>
                <c:pt idx="6">
                  <c:v>-100000</c:v>
                </c:pt>
                <c:pt idx="7">
                  <c:v>-100000</c:v>
                </c:pt>
                <c:pt idx="8">
                  <c:v>-100000</c:v>
                </c:pt>
                <c:pt idx="9">
                  <c:v>-100000</c:v>
                </c:pt>
                <c:pt idx="10">
                  <c:v>-100000</c:v>
                </c:pt>
                <c:pt idx="11">
                  <c:v>-100000</c:v>
                </c:pt>
                <c:pt idx="12">
                  <c:v>-100000</c:v>
                </c:pt>
                <c:pt idx="13">
                  <c:v>-100000</c:v>
                </c:pt>
                <c:pt idx="14">
                  <c:v>-100000</c:v>
                </c:pt>
                <c:pt idx="15">
                  <c:v>-100000</c:v>
                </c:pt>
                <c:pt idx="16">
                  <c:v>-100000</c:v>
                </c:pt>
                <c:pt idx="17">
                  <c:v>-100000</c:v>
                </c:pt>
                <c:pt idx="18">
                  <c:v>-100000</c:v>
                </c:pt>
                <c:pt idx="19">
                  <c:v>-100000</c:v>
                </c:pt>
                <c:pt idx="20">
                  <c:v>-100000</c:v>
                </c:pt>
                <c:pt idx="21">
                  <c:v>-100000</c:v>
                </c:pt>
                <c:pt idx="22">
                  <c:v>-100000</c:v>
                </c:pt>
                <c:pt idx="23">
                  <c:v>-100000</c:v>
                </c:pt>
                <c:pt idx="24">
                  <c:v>-100000</c:v>
                </c:pt>
              </c:numCache>
            </c:numRef>
          </c:val>
          <c:extLst>
            <c:ext xmlns:c16="http://schemas.microsoft.com/office/drawing/2014/chart" uri="{C3380CC4-5D6E-409C-BE32-E72D297353CC}">
              <c16:uniqueId val="{00000007-1D1E-4686-8A30-CD5B97F248C6}"/>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(I) - CC'!$AB$98</c:f>
              <c:strCache>
                <c:ptCount val="1"/>
                <c:pt idx="0">
                  <c:v>TOTAL per year</c:v>
                </c:pt>
              </c:strCache>
            </c:strRef>
          </c:tx>
          <c:spPr>
            <a:ln w="25400" cap="rnd">
              <a:noFill/>
              <a:round/>
            </a:ln>
            <a:effectLst/>
          </c:spPr>
          <c:marker>
            <c:symbol val="circle"/>
            <c:size val="5"/>
            <c:spPr>
              <a:solidFill>
                <a:schemeClr val="tx1"/>
              </a:solidFill>
              <a:ln w="9525">
                <a:solidFill>
                  <a:schemeClr val="tx1"/>
                </a:solidFill>
              </a:ln>
              <a:effectLst/>
            </c:spPr>
          </c:marker>
          <c:cat>
            <c:numRef>
              <c:f>'Results ReCiPe (I) - CC'!$AC$89:$BA$89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CC'!$AC$98:$BA$98</c:f>
              <c:numCache>
                <c:formatCode>0.00E+00</c:formatCode>
                <c:ptCount val="25"/>
                <c:pt idx="0">
                  <c:v>-37128.305272714606</c:v>
                </c:pt>
                <c:pt idx="1">
                  <c:v>-85485.345079426697</c:v>
                </c:pt>
                <c:pt idx="2">
                  <c:v>-88247.436888099299</c:v>
                </c:pt>
                <c:pt idx="3">
                  <c:v>-89983.727302228624</c:v>
                </c:pt>
                <c:pt idx="4">
                  <c:v>-93829.790474388923</c:v>
                </c:pt>
                <c:pt idx="5">
                  <c:v>-96606.319513382172</c:v>
                </c:pt>
                <c:pt idx="6">
                  <c:v>-95990.31048462684</c:v>
                </c:pt>
                <c:pt idx="7">
                  <c:v>-97422.139967715237</c:v>
                </c:pt>
                <c:pt idx="8">
                  <c:v>-97875.734350559069</c:v>
                </c:pt>
                <c:pt idx="9">
                  <c:v>-97288.735423141145</c:v>
                </c:pt>
                <c:pt idx="10">
                  <c:v>-98715.628184456771</c:v>
                </c:pt>
                <c:pt idx="11">
                  <c:v>-98773.339807434168</c:v>
                </c:pt>
                <c:pt idx="12">
                  <c:v>-97833.686479654716</c:v>
                </c:pt>
                <c:pt idx="13">
                  <c:v>-98896.168097589267</c:v>
                </c:pt>
                <c:pt idx="14">
                  <c:v>-98953.59564068247</c:v>
                </c:pt>
                <c:pt idx="15">
                  <c:v>-98019.643986875119</c:v>
                </c:pt>
                <c:pt idx="16">
                  <c:v>-99716.467854112314</c:v>
                </c:pt>
                <c:pt idx="17">
                  <c:v>-100417.03848858667</c:v>
                </c:pt>
                <c:pt idx="18">
                  <c:v>-100135.15027245191</c:v>
                </c:pt>
                <c:pt idx="19">
                  <c:v>-101809.10100560069</c:v>
                </c:pt>
                <c:pt idx="20">
                  <c:v>-102494.26590398538</c:v>
                </c:pt>
                <c:pt idx="21">
                  <c:v>-102058.49577933369</c:v>
                </c:pt>
                <c:pt idx="22">
                  <c:v>-103610.51592389289</c:v>
                </c:pt>
                <c:pt idx="23">
                  <c:v>-104186.94378834934</c:v>
                </c:pt>
                <c:pt idx="24">
                  <c:v>-103110.32462033814</c:v>
                </c:pt>
              </c:numCache>
            </c:numRef>
          </c:val>
          <c:smooth val="0"/>
          <c:extLst>
            <c:ext xmlns:c16="http://schemas.microsoft.com/office/drawing/2014/chart" uri="{C3380CC4-5D6E-409C-BE32-E72D297353CC}">
              <c16:uniqueId val="{00000008-1D1E-4686-8A30-CD5B97F248C6}"/>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Climate change</a:t>
                </a:r>
              </a:p>
              <a:p>
                <a:pPr algn="ctr" rtl="0">
                  <a:defRPr/>
                </a:pPr>
                <a:r>
                  <a:rPr lang="nl-NL"/>
                  <a:t>[kg CO2-eq/ton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(I) - CC'!$AB$132</c:f>
              <c:strCache>
                <c:ptCount val="1"/>
                <c:pt idx="0">
                  <c:v>Construction - DAC</c:v>
                </c:pt>
              </c:strCache>
            </c:strRef>
          </c:tx>
          <c:spPr>
            <a:solidFill>
              <a:schemeClr val="accent4">
                <a:lumMod val="75000"/>
              </a:schemeClr>
            </a:solidFill>
            <a:ln>
              <a:noFill/>
            </a:ln>
            <a:effectLst/>
          </c:spPr>
          <c:invertIfNegative val="0"/>
          <c:cat>
            <c:numRef>
              <c:f>'Results ReCiPe (I) - CC'!$AC$131:$BA$131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CC'!$AC$132:$BA$132</c:f>
              <c:numCache>
                <c:formatCode>0.00E+00</c:formatCode>
                <c:ptCount val="25"/>
                <c:pt idx="0">
                  <c:v>54120.743519027485</c:v>
                </c:pt>
              </c:numCache>
            </c:numRef>
          </c:val>
          <c:extLst>
            <c:ext xmlns:c16="http://schemas.microsoft.com/office/drawing/2014/chart" uri="{C3380CC4-5D6E-409C-BE32-E72D297353CC}">
              <c16:uniqueId val="{00000000-9B29-4C2D-96ED-15F2209CE3AA}"/>
            </c:ext>
          </c:extLst>
        </c:ser>
        <c:ser>
          <c:idx val="1"/>
          <c:order val="1"/>
          <c:tx>
            <c:strRef>
              <c:f>'Results ReCiPe (I) - CC'!$AB$133</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(I) - CC'!$AC$131:$BA$131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CC'!$AC$133:$BA$133</c:f>
              <c:numCache>
                <c:formatCode>0.00E+00</c:formatCode>
                <c:ptCount val="25"/>
                <c:pt idx="0">
                  <c:v>2871.9230330962901</c:v>
                </c:pt>
              </c:numCache>
            </c:numRef>
          </c:val>
          <c:extLst>
            <c:ext xmlns:c16="http://schemas.microsoft.com/office/drawing/2014/chart" uri="{C3380CC4-5D6E-409C-BE32-E72D297353CC}">
              <c16:uniqueId val="{00000001-9B29-4C2D-96ED-15F2209CE3AA}"/>
            </c:ext>
          </c:extLst>
        </c:ser>
        <c:ser>
          <c:idx val="2"/>
          <c:order val="2"/>
          <c:tx>
            <c:strRef>
              <c:f>'Results ReCiPe (I) - CC'!$AB$134</c:f>
              <c:strCache>
                <c:ptCount val="1"/>
                <c:pt idx="0">
                  <c:v>Deconstruction - DAC</c:v>
                </c:pt>
              </c:strCache>
            </c:strRef>
          </c:tx>
          <c:spPr>
            <a:solidFill>
              <a:schemeClr val="accent2">
                <a:lumMod val="40000"/>
                <a:lumOff val="60000"/>
              </a:schemeClr>
            </a:solidFill>
            <a:ln>
              <a:noFill/>
            </a:ln>
            <a:effectLst/>
          </c:spPr>
          <c:invertIfNegative val="0"/>
          <c:cat>
            <c:numRef>
              <c:f>'Results ReCiPe (I) - CC'!$AC$131:$BA$131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CC'!$AC$134:$BA$134</c:f>
              <c:numCache>
                <c:formatCode>0.00E+00</c:formatCode>
                <c:ptCount val="25"/>
                <c:pt idx="24">
                  <c:v>856.68574124441147</c:v>
                </c:pt>
              </c:numCache>
            </c:numRef>
          </c:val>
          <c:extLst>
            <c:ext xmlns:c16="http://schemas.microsoft.com/office/drawing/2014/chart" uri="{C3380CC4-5D6E-409C-BE32-E72D297353CC}">
              <c16:uniqueId val="{00000002-9B29-4C2D-96ED-15F2209CE3AA}"/>
            </c:ext>
          </c:extLst>
        </c:ser>
        <c:ser>
          <c:idx val="3"/>
          <c:order val="3"/>
          <c:tx>
            <c:strRef>
              <c:f>'Results ReCiPe (I) - CC'!$AB$135</c:f>
              <c:strCache>
                <c:ptCount val="1"/>
                <c:pt idx="0">
                  <c:v>Deconstruction - geological storage</c:v>
                </c:pt>
              </c:strCache>
            </c:strRef>
          </c:tx>
          <c:spPr>
            <a:solidFill>
              <a:srgbClr val="FF9900"/>
            </a:solidFill>
            <a:ln>
              <a:noFill/>
            </a:ln>
            <a:effectLst/>
          </c:spPr>
          <c:invertIfNegative val="0"/>
          <c:cat>
            <c:numRef>
              <c:f>'Results ReCiPe (I) - CC'!$AC$131:$BA$131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CC'!$AC$135:$BA$135</c:f>
              <c:numCache>
                <c:formatCode>0.00E+00</c:formatCode>
                <c:ptCount val="25"/>
                <c:pt idx="24">
                  <c:v>23.905501404359882</c:v>
                </c:pt>
              </c:numCache>
            </c:numRef>
          </c:val>
          <c:extLst>
            <c:ext xmlns:c16="http://schemas.microsoft.com/office/drawing/2014/chart" uri="{C3380CC4-5D6E-409C-BE32-E72D297353CC}">
              <c16:uniqueId val="{00000003-9B29-4C2D-96ED-15F2209CE3AA}"/>
            </c:ext>
          </c:extLst>
        </c:ser>
        <c:ser>
          <c:idx val="4"/>
          <c:order val="4"/>
          <c:tx>
            <c:strRef>
              <c:f>'Results ReCiPe (I) - CC'!$AB$136</c:f>
              <c:strCache>
                <c:ptCount val="1"/>
                <c:pt idx="0">
                  <c:v>Sorbent material</c:v>
                </c:pt>
              </c:strCache>
            </c:strRef>
          </c:tx>
          <c:spPr>
            <a:solidFill>
              <a:srgbClr val="FF8F8F"/>
            </a:solidFill>
            <a:ln>
              <a:noFill/>
            </a:ln>
            <a:effectLst/>
          </c:spPr>
          <c:invertIfNegative val="0"/>
          <c:cat>
            <c:numRef>
              <c:f>'Results ReCiPe (I) - CC'!$AC$131:$BA$131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CC'!$AC$136:$BA$136</c:f>
              <c:numCache>
                <c:formatCode>0.00E+00</c:formatCode>
                <c:ptCount val="25"/>
                <c:pt idx="0">
                  <c:v>1412.262440014819</c:v>
                </c:pt>
                <c:pt idx="3">
                  <c:v>1398.947377491419</c:v>
                </c:pt>
                <c:pt idx="6">
                  <c:v>1394.6883638131801</c:v>
                </c:pt>
                <c:pt idx="9">
                  <c:v>1393.1438101355629</c:v>
                </c:pt>
                <c:pt idx="12">
                  <c:v>1396.982775239785</c:v>
                </c:pt>
                <c:pt idx="15">
                  <c:v>1400.903339877279</c:v>
                </c:pt>
                <c:pt idx="18">
                  <c:v>1382.1741284587449</c:v>
                </c:pt>
                <c:pt idx="21">
                  <c:v>1363.5449444910939</c:v>
                </c:pt>
                <c:pt idx="24">
                  <c:v>1336.5991252427</c:v>
                </c:pt>
              </c:numCache>
            </c:numRef>
          </c:val>
          <c:extLst>
            <c:ext xmlns:c16="http://schemas.microsoft.com/office/drawing/2014/chart" uri="{C3380CC4-5D6E-409C-BE32-E72D297353CC}">
              <c16:uniqueId val="{00000004-9B29-4C2D-96ED-15F2209CE3AA}"/>
            </c:ext>
          </c:extLst>
        </c:ser>
        <c:ser>
          <c:idx val="5"/>
          <c:order val="5"/>
          <c:tx>
            <c:strRef>
              <c:f>'Results ReCiPe (I) - CC'!$AB$137</c:f>
              <c:strCache>
                <c:ptCount val="1"/>
                <c:pt idx="0">
                  <c:v>Operation - DAC</c:v>
                </c:pt>
              </c:strCache>
            </c:strRef>
          </c:tx>
          <c:spPr>
            <a:solidFill>
              <a:schemeClr val="accent2">
                <a:lumMod val="75000"/>
              </a:schemeClr>
            </a:solidFill>
            <a:ln>
              <a:noFill/>
            </a:ln>
            <a:effectLst/>
          </c:spPr>
          <c:invertIfNegative val="0"/>
          <c:cat>
            <c:numRef>
              <c:f>'Results ReCiPe (I) - CC'!$AC$131:$BA$131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CC'!$AC$137:$BA$137</c:f>
              <c:numCache>
                <c:formatCode>0.00E+00</c:formatCode>
                <c:ptCount val="25"/>
                <c:pt idx="0">
                  <c:v>31380.366551448449</c:v>
                </c:pt>
                <c:pt idx="1">
                  <c:v>31361.018213787313</c:v>
                </c:pt>
                <c:pt idx="2">
                  <c:v>31342.025173146783</c:v>
                </c:pt>
                <c:pt idx="3">
                  <c:v>31291.092656866786</c:v>
                </c:pt>
                <c:pt idx="4">
                  <c:v>31272.958034656098</c:v>
                </c:pt>
                <c:pt idx="5">
                  <c:v>31254.983620264975</c:v>
                </c:pt>
                <c:pt idx="6">
                  <c:v>33387.11948259452</c:v>
                </c:pt>
                <c:pt idx="7">
                  <c:v>35512.554931951418</c:v>
                </c:pt>
                <c:pt idx="8">
                  <c:v>37610.40214074697</c:v>
                </c:pt>
                <c:pt idx="9">
                  <c:v>39725.072110097906</c:v>
                </c:pt>
                <c:pt idx="10">
                  <c:v>41831.285555140814</c:v>
                </c:pt>
                <c:pt idx="11">
                  <c:v>45490.927528182016</c:v>
                </c:pt>
                <c:pt idx="12">
                  <c:v>49142.630883419144</c:v>
                </c:pt>
                <c:pt idx="13">
                  <c:v>52782.316886334913</c:v>
                </c:pt>
                <c:pt idx="14">
                  <c:v>56417.726327048942</c:v>
                </c:pt>
                <c:pt idx="15">
                  <c:v>60045.108147931809</c:v>
                </c:pt>
                <c:pt idx="16">
                  <c:v>60732.194100342786</c:v>
                </c:pt>
                <c:pt idx="17">
                  <c:v>61418.639247693522</c:v>
                </c:pt>
                <c:pt idx="18">
                  <c:v>62100.881364284411</c:v>
                </c:pt>
                <c:pt idx="19">
                  <c:v>62786.362160543758</c:v>
                </c:pt>
                <c:pt idx="20">
                  <c:v>63471.408968277603</c:v>
                </c:pt>
                <c:pt idx="21">
                  <c:v>64377.134287732253</c:v>
                </c:pt>
                <c:pt idx="22">
                  <c:v>62873.398309675053</c:v>
                </c:pt>
                <c:pt idx="23">
                  <c:v>61364.848824108471</c:v>
                </c:pt>
                <c:pt idx="24">
                  <c:v>59851.433911525099</c:v>
                </c:pt>
              </c:numCache>
            </c:numRef>
          </c:val>
          <c:extLst>
            <c:ext xmlns:c16="http://schemas.microsoft.com/office/drawing/2014/chart" uri="{C3380CC4-5D6E-409C-BE32-E72D297353CC}">
              <c16:uniqueId val="{00000005-9B29-4C2D-96ED-15F2209CE3AA}"/>
            </c:ext>
          </c:extLst>
        </c:ser>
        <c:ser>
          <c:idx val="6"/>
          <c:order val="6"/>
          <c:tx>
            <c:strRef>
              <c:f>'Results ReCiPe (I) - CC'!$AB$138</c:f>
              <c:strCache>
                <c:ptCount val="1"/>
                <c:pt idx="0">
                  <c:v>Operation - geological storage</c:v>
                </c:pt>
              </c:strCache>
            </c:strRef>
          </c:tx>
          <c:spPr>
            <a:solidFill>
              <a:schemeClr val="accent2">
                <a:lumMod val="50000"/>
              </a:schemeClr>
            </a:solidFill>
            <a:ln>
              <a:noFill/>
            </a:ln>
            <a:effectLst/>
          </c:spPr>
          <c:invertIfNegative val="0"/>
          <c:cat>
            <c:numRef>
              <c:f>'Results ReCiPe (I) - CC'!$AC$131:$BA$131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CC'!$AC$138:$BA$138</c:f>
              <c:numCache>
                <c:formatCode>0.00E+00</c:formatCode>
                <c:ptCount val="25"/>
                <c:pt idx="0">
                  <c:v>3227.0642832009357</c:v>
                </c:pt>
                <c:pt idx="1">
                  <c:v>3220.4820064807036</c:v>
                </c:pt>
                <c:pt idx="2">
                  <c:v>3213.9266122107406</c:v>
                </c:pt>
                <c:pt idx="3">
                  <c:v>3204.2755103925961</c:v>
                </c:pt>
                <c:pt idx="4">
                  <c:v>3197.7810533311199</c:v>
                </c:pt>
                <c:pt idx="5">
                  <c:v>3191.293200538933</c:v>
                </c:pt>
                <c:pt idx="6">
                  <c:v>3399.2495320576586</c:v>
                </c:pt>
                <c:pt idx="7">
                  <c:v>3605.9224350802679</c:v>
                </c:pt>
                <c:pt idx="8">
                  <c:v>3809.2824940686</c:v>
                </c:pt>
                <c:pt idx="9">
                  <c:v>4013.6674699518253</c:v>
                </c:pt>
                <c:pt idx="10">
                  <c:v>4216.6109873621208</c:v>
                </c:pt>
                <c:pt idx="11">
                  <c:v>4573.1821165020474</c:v>
                </c:pt>
                <c:pt idx="12">
                  <c:v>4928.1398139239072</c:v>
                </c:pt>
                <c:pt idx="13">
                  <c:v>5281.0862802050106</c:v>
                </c:pt>
                <c:pt idx="14">
                  <c:v>5632.7886890896625</c:v>
                </c:pt>
                <c:pt idx="15">
                  <c:v>5982.8683766559761</c:v>
                </c:pt>
                <c:pt idx="16">
                  <c:v>6044.359882748231</c:v>
                </c:pt>
                <c:pt idx="17">
                  <c:v>6105.6533151232761</c:v>
                </c:pt>
                <c:pt idx="18">
                  <c:v>6166.3996216888518</c:v>
                </c:pt>
                <c:pt idx="19">
                  <c:v>6227.3279291410563</c:v>
                </c:pt>
                <c:pt idx="20">
                  <c:v>6288.0783984268437</c:v>
                </c:pt>
                <c:pt idx="21">
                  <c:v>6363.945726929911</c:v>
                </c:pt>
                <c:pt idx="22">
                  <c:v>6205.170908935509</c:v>
                </c:pt>
                <c:pt idx="23">
                  <c:v>6046.505138354566</c:v>
                </c:pt>
                <c:pt idx="24">
                  <c:v>5887.9443547387564</c:v>
                </c:pt>
              </c:numCache>
            </c:numRef>
          </c:val>
          <c:extLst>
            <c:ext xmlns:c16="http://schemas.microsoft.com/office/drawing/2014/chart" uri="{C3380CC4-5D6E-409C-BE32-E72D297353CC}">
              <c16:uniqueId val="{00000006-9B29-4C2D-96ED-15F2209CE3AA}"/>
            </c:ext>
          </c:extLst>
        </c:ser>
        <c:ser>
          <c:idx val="7"/>
          <c:order val="7"/>
          <c:tx>
            <c:strRef>
              <c:f>'Results ReCiPe (I) - CC'!$AB$139</c:f>
              <c:strCache>
                <c:ptCount val="1"/>
                <c:pt idx="0">
                  <c:v>CO2 captured and stored</c:v>
                </c:pt>
              </c:strCache>
            </c:strRef>
          </c:tx>
          <c:spPr>
            <a:solidFill>
              <a:schemeClr val="tx2">
                <a:lumMod val="20000"/>
                <a:lumOff val="80000"/>
              </a:schemeClr>
            </a:solidFill>
            <a:ln>
              <a:noFill/>
            </a:ln>
            <a:effectLst/>
          </c:spPr>
          <c:invertIfNegative val="0"/>
          <c:cat>
            <c:numRef>
              <c:f>'Results ReCiPe (I) - CC'!$AC$131:$BA$131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CC'!$AC$139:$BA$139</c:f>
              <c:numCache>
                <c:formatCode>0.00E+00</c:formatCode>
                <c:ptCount val="25"/>
                <c:pt idx="0">
                  <c:v>-100000</c:v>
                </c:pt>
                <c:pt idx="1">
                  <c:v>-100000</c:v>
                </c:pt>
                <c:pt idx="2">
                  <c:v>-100000</c:v>
                </c:pt>
                <c:pt idx="3">
                  <c:v>-100000</c:v>
                </c:pt>
                <c:pt idx="4">
                  <c:v>-100000</c:v>
                </c:pt>
                <c:pt idx="5">
                  <c:v>-100000</c:v>
                </c:pt>
                <c:pt idx="6">
                  <c:v>-100000</c:v>
                </c:pt>
                <c:pt idx="7">
                  <c:v>-100000</c:v>
                </c:pt>
                <c:pt idx="8">
                  <c:v>-100000</c:v>
                </c:pt>
                <c:pt idx="9">
                  <c:v>-100000</c:v>
                </c:pt>
                <c:pt idx="10">
                  <c:v>-100000</c:v>
                </c:pt>
                <c:pt idx="11">
                  <c:v>-100000</c:v>
                </c:pt>
                <c:pt idx="12">
                  <c:v>-100000</c:v>
                </c:pt>
                <c:pt idx="13">
                  <c:v>-100000</c:v>
                </c:pt>
                <c:pt idx="14">
                  <c:v>-100000</c:v>
                </c:pt>
                <c:pt idx="15">
                  <c:v>-100000</c:v>
                </c:pt>
                <c:pt idx="16">
                  <c:v>-100000</c:v>
                </c:pt>
                <c:pt idx="17">
                  <c:v>-100000</c:v>
                </c:pt>
                <c:pt idx="18">
                  <c:v>-100000</c:v>
                </c:pt>
                <c:pt idx="19">
                  <c:v>-100000</c:v>
                </c:pt>
                <c:pt idx="20">
                  <c:v>-100000</c:v>
                </c:pt>
                <c:pt idx="21">
                  <c:v>-100000</c:v>
                </c:pt>
                <c:pt idx="22">
                  <c:v>-100000</c:v>
                </c:pt>
                <c:pt idx="23">
                  <c:v>-100000</c:v>
                </c:pt>
                <c:pt idx="24">
                  <c:v>-100000</c:v>
                </c:pt>
              </c:numCache>
            </c:numRef>
          </c:val>
          <c:extLst>
            <c:ext xmlns:c16="http://schemas.microsoft.com/office/drawing/2014/chart" uri="{C3380CC4-5D6E-409C-BE32-E72D297353CC}">
              <c16:uniqueId val="{00000007-9B29-4C2D-96ED-15F2209CE3AA}"/>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(I) - CC'!$AB$140</c:f>
              <c:strCache>
                <c:ptCount val="1"/>
                <c:pt idx="0">
                  <c:v>TOTAL per year</c:v>
                </c:pt>
              </c:strCache>
            </c:strRef>
          </c:tx>
          <c:spPr>
            <a:ln w="28575" cap="rnd">
              <a:noFill/>
              <a:round/>
            </a:ln>
            <a:effectLst/>
          </c:spPr>
          <c:marker>
            <c:symbol val="circle"/>
            <c:size val="5"/>
            <c:spPr>
              <a:solidFill>
                <a:schemeClr val="tx1"/>
              </a:solidFill>
              <a:ln w="9525">
                <a:solidFill>
                  <a:schemeClr val="accent3">
                    <a:lumMod val="60000"/>
                  </a:schemeClr>
                </a:solidFill>
              </a:ln>
              <a:effectLst/>
            </c:spPr>
          </c:marker>
          <c:cat>
            <c:numRef>
              <c:f>'Results ReCiPe (I) - CC'!$AC$131:$BA$131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CC'!$AC$140:$BA$140</c:f>
              <c:numCache>
                <c:formatCode>0.00E+00</c:formatCode>
                <c:ptCount val="25"/>
                <c:pt idx="0">
                  <c:v>-6987.6401732120285</c:v>
                </c:pt>
                <c:pt idx="1">
                  <c:v>-65418.499779731981</c:v>
                </c:pt>
                <c:pt idx="2">
                  <c:v>-65444.048214642477</c:v>
                </c:pt>
                <c:pt idx="3">
                  <c:v>-64105.684455249197</c:v>
                </c:pt>
                <c:pt idx="4">
                  <c:v>-65529.260912012782</c:v>
                </c:pt>
                <c:pt idx="5">
                  <c:v>-65553.723179196095</c:v>
                </c:pt>
                <c:pt idx="6">
                  <c:v>-61818.942621534647</c:v>
                </c:pt>
                <c:pt idx="7">
                  <c:v>-60881.522632968314</c:v>
                </c:pt>
                <c:pt idx="8">
                  <c:v>-58580.315365184433</c:v>
                </c:pt>
                <c:pt idx="9">
                  <c:v>-54868.116609814708</c:v>
                </c:pt>
                <c:pt idx="10">
                  <c:v>-53952.103457497069</c:v>
                </c:pt>
                <c:pt idx="11">
                  <c:v>-49935.89035531594</c:v>
                </c:pt>
                <c:pt idx="12">
                  <c:v>-44532.246527417163</c:v>
                </c:pt>
                <c:pt idx="13">
                  <c:v>-41936.596833460077</c:v>
                </c:pt>
                <c:pt idx="14">
                  <c:v>-37949.484983861395</c:v>
                </c:pt>
                <c:pt idx="15">
                  <c:v>-32571.120135534933</c:v>
                </c:pt>
                <c:pt idx="16">
                  <c:v>-33223.446016908987</c:v>
                </c:pt>
                <c:pt idx="17">
                  <c:v>-32475.707437183199</c:v>
                </c:pt>
                <c:pt idx="18">
                  <c:v>-30350.544885567986</c:v>
                </c:pt>
                <c:pt idx="19">
                  <c:v>-30986.309910315191</c:v>
                </c:pt>
                <c:pt idx="20">
                  <c:v>-30240.512633295555</c:v>
                </c:pt>
                <c:pt idx="21">
                  <c:v>-27895.375040846731</c:v>
                </c:pt>
                <c:pt idx="22">
                  <c:v>-30921.430781389441</c:v>
                </c:pt>
                <c:pt idx="23">
                  <c:v>-32588.646037536964</c:v>
                </c:pt>
                <c:pt idx="24">
                  <c:v>-32043.431365844677</c:v>
                </c:pt>
              </c:numCache>
            </c:numRef>
          </c:val>
          <c:smooth val="0"/>
          <c:extLst>
            <c:ext xmlns:c16="http://schemas.microsoft.com/office/drawing/2014/chart" uri="{C3380CC4-5D6E-409C-BE32-E72D297353CC}">
              <c16:uniqueId val="{00000008-9B29-4C2D-96ED-15F2209CE3AA}"/>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Climate</a:t>
                </a:r>
                <a:r>
                  <a:rPr lang="nl-NL" baseline="0"/>
                  <a:t> change</a:t>
                </a:r>
              </a:p>
              <a:p>
                <a:pPr algn="ctr" rtl="0">
                  <a:defRPr/>
                </a:pPr>
                <a:r>
                  <a:rPr lang="nl-NL" baseline="0"/>
                  <a:t>[kg CO2-eq</a:t>
                </a:r>
                <a:r>
                  <a:rPr lang="nl-NL"/>
                  <a:t>/ton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(I) - CC'!$AB$173</c:f>
              <c:strCache>
                <c:ptCount val="1"/>
                <c:pt idx="0">
                  <c:v>Construction - DAC</c:v>
                </c:pt>
              </c:strCache>
            </c:strRef>
          </c:tx>
          <c:spPr>
            <a:solidFill>
              <a:schemeClr val="accent4">
                <a:lumMod val="75000"/>
              </a:schemeClr>
            </a:solidFill>
            <a:ln>
              <a:noFill/>
            </a:ln>
            <a:effectLst/>
          </c:spPr>
          <c:invertIfNegative val="0"/>
          <c:cat>
            <c:numRef>
              <c:f>'Results ReCiPe (I) - CC'!$AC$172:$BA$172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CC'!$AC$173:$BA$173</c:f>
              <c:numCache>
                <c:formatCode>0.00E+00</c:formatCode>
                <c:ptCount val="25"/>
                <c:pt idx="0">
                  <c:v>50992.896958343765</c:v>
                </c:pt>
              </c:numCache>
            </c:numRef>
          </c:val>
          <c:extLst>
            <c:ext xmlns:c16="http://schemas.microsoft.com/office/drawing/2014/chart" uri="{C3380CC4-5D6E-409C-BE32-E72D297353CC}">
              <c16:uniqueId val="{00000000-D1A8-4413-8A87-C6A5B7F9723E}"/>
            </c:ext>
          </c:extLst>
        </c:ser>
        <c:ser>
          <c:idx val="1"/>
          <c:order val="1"/>
          <c:tx>
            <c:strRef>
              <c:f>'Results ReCiPe (I) - CC'!$AB$174</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(I) - CC'!$AC$172:$BA$172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CC'!$AC$174:$BA$174</c:f>
              <c:numCache>
                <c:formatCode>0.00E+00</c:formatCode>
                <c:ptCount val="25"/>
                <c:pt idx="0">
                  <c:v>2689.460902868675</c:v>
                </c:pt>
              </c:numCache>
            </c:numRef>
          </c:val>
          <c:extLst>
            <c:ext xmlns:c16="http://schemas.microsoft.com/office/drawing/2014/chart" uri="{C3380CC4-5D6E-409C-BE32-E72D297353CC}">
              <c16:uniqueId val="{00000001-D1A8-4413-8A87-C6A5B7F9723E}"/>
            </c:ext>
          </c:extLst>
        </c:ser>
        <c:ser>
          <c:idx val="2"/>
          <c:order val="2"/>
          <c:tx>
            <c:strRef>
              <c:f>'Results ReCiPe (I) - CC'!$AB$175</c:f>
              <c:strCache>
                <c:ptCount val="1"/>
                <c:pt idx="0">
                  <c:v>Deconstruction - DAC</c:v>
                </c:pt>
              </c:strCache>
            </c:strRef>
          </c:tx>
          <c:spPr>
            <a:solidFill>
              <a:schemeClr val="accent2">
                <a:lumMod val="40000"/>
                <a:lumOff val="60000"/>
              </a:schemeClr>
            </a:solidFill>
            <a:ln>
              <a:noFill/>
            </a:ln>
            <a:effectLst/>
          </c:spPr>
          <c:invertIfNegative val="0"/>
          <c:cat>
            <c:numRef>
              <c:f>'Results ReCiPe (I) - CC'!$AC$172:$BA$172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CC'!$AC$175:$BA$175</c:f>
              <c:numCache>
                <c:formatCode>0.00E+00</c:formatCode>
                <c:ptCount val="25"/>
                <c:pt idx="24">
                  <c:v>736.84411269170732</c:v>
                </c:pt>
              </c:numCache>
            </c:numRef>
          </c:val>
          <c:extLst>
            <c:ext xmlns:c16="http://schemas.microsoft.com/office/drawing/2014/chart" uri="{C3380CC4-5D6E-409C-BE32-E72D297353CC}">
              <c16:uniqueId val="{00000002-D1A8-4413-8A87-C6A5B7F9723E}"/>
            </c:ext>
          </c:extLst>
        </c:ser>
        <c:ser>
          <c:idx val="3"/>
          <c:order val="3"/>
          <c:tx>
            <c:strRef>
              <c:f>'Results ReCiPe (I) - CC'!$AB$176</c:f>
              <c:strCache>
                <c:ptCount val="1"/>
                <c:pt idx="0">
                  <c:v>Deconstruction - geological storage</c:v>
                </c:pt>
              </c:strCache>
            </c:strRef>
          </c:tx>
          <c:spPr>
            <a:solidFill>
              <a:srgbClr val="FF9900"/>
            </a:solidFill>
            <a:ln>
              <a:noFill/>
            </a:ln>
            <a:effectLst/>
          </c:spPr>
          <c:invertIfNegative val="0"/>
          <c:cat>
            <c:numRef>
              <c:f>'Results ReCiPe (I) - CC'!$AC$172:$BA$172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CC'!$AC$176:$BA$176</c:f>
              <c:numCache>
                <c:formatCode>0.00E+00</c:formatCode>
                <c:ptCount val="25"/>
                <c:pt idx="24">
                  <c:v>22.256211814560157</c:v>
                </c:pt>
              </c:numCache>
            </c:numRef>
          </c:val>
          <c:extLst>
            <c:ext xmlns:c16="http://schemas.microsoft.com/office/drawing/2014/chart" uri="{C3380CC4-5D6E-409C-BE32-E72D297353CC}">
              <c16:uniqueId val="{00000003-D1A8-4413-8A87-C6A5B7F9723E}"/>
            </c:ext>
          </c:extLst>
        </c:ser>
        <c:ser>
          <c:idx val="4"/>
          <c:order val="4"/>
          <c:tx>
            <c:strRef>
              <c:f>'Results ReCiPe (I) - CC'!$AB$177</c:f>
              <c:strCache>
                <c:ptCount val="1"/>
                <c:pt idx="0">
                  <c:v>Sorbent material</c:v>
                </c:pt>
              </c:strCache>
            </c:strRef>
          </c:tx>
          <c:spPr>
            <a:solidFill>
              <a:srgbClr val="FF8F8F"/>
            </a:solidFill>
            <a:ln>
              <a:noFill/>
            </a:ln>
            <a:effectLst/>
          </c:spPr>
          <c:invertIfNegative val="0"/>
          <c:cat>
            <c:numRef>
              <c:f>'Results ReCiPe (I) - CC'!$AC$172:$BA$172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CC'!$AC$177:$BA$177</c:f>
              <c:numCache>
                <c:formatCode>0.00E+00</c:formatCode>
                <c:ptCount val="25"/>
                <c:pt idx="0">
                  <c:v>1369.6249485785811</c:v>
                </c:pt>
                <c:pt idx="3">
                  <c:v>1330.201743386594</c:v>
                </c:pt>
                <c:pt idx="6">
                  <c:v>1291.6658561466461</c:v>
                </c:pt>
                <c:pt idx="9">
                  <c:v>1241.1161458074589</c:v>
                </c:pt>
                <c:pt idx="12">
                  <c:v>1178.1152807241949</c:v>
                </c:pt>
                <c:pt idx="15">
                  <c:v>1107.2050594847649</c:v>
                </c:pt>
                <c:pt idx="18">
                  <c:v>1057.185548264049</c:v>
                </c:pt>
                <c:pt idx="21">
                  <c:v>1022.6160132821969</c:v>
                </c:pt>
                <c:pt idx="24">
                  <c:v>1014.652642880409</c:v>
                </c:pt>
              </c:numCache>
            </c:numRef>
          </c:val>
          <c:extLst>
            <c:ext xmlns:c16="http://schemas.microsoft.com/office/drawing/2014/chart" uri="{C3380CC4-5D6E-409C-BE32-E72D297353CC}">
              <c16:uniqueId val="{00000004-D1A8-4413-8A87-C6A5B7F9723E}"/>
            </c:ext>
          </c:extLst>
        </c:ser>
        <c:ser>
          <c:idx val="5"/>
          <c:order val="5"/>
          <c:tx>
            <c:strRef>
              <c:f>'Results ReCiPe (I) - CC'!$AB$178</c:f>
              <c:strCache>
                <c:ptCount val="1"/>
                <c:pt idx="0">
                  <c:v>Operation - DAC</c:v>
                </c:pt>
              </c:strCache>
            </c:strRef>
          </c:tx>
          <c:spPr>
            <a:solidFill>
              <a:schemeClr val="accent2">
                <a:lumMod val="75000"/>
              </a:schemeClr>
            </a:solidFill>
            <a:ln>
              <a:noFill/>
            </a:ln>
            <a:effectLst/>
          </c:spPr>
          <c:invertIfNegative val="0"/>
          <c:cat>
            <c:numRef>
              <c:f>'Results ReCiPe (I) - CC'!$AC$172:$BA$172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CC'!$AC$178:$BA$178</c:f>
              <c:numCache>
                <c:formatCode>0.00E+00</c:formatCode>
                <c:ptCount val="25"/>
                <c:pt idx="0">
                  <c:v>27388.004921466745</c:v>
                </c:pt>
                <c:pt idx="1">
                  <c:v>25707.797607716468</c:v>
                </c:pt>
                <c:pt idx="2">
                  <c:v>24028.136659797732</c:v>
                </c:pt>
                <c:pt idx="3">
                  <c:v>22314.98010007825</c:v>
                </c:pt>
                <c:pt idx="4">
                  <c:v>20636.055158576437</c:v>
                </c:pt>
                <c:pt idx="5">
                  <c:v>18957.22290291333</c:v>
                </c:pt>
                <c:pt idx="6">
                  <c:v>17644.897602144451</c:v>
                </c:pt>
                <c:pt idx="7">
                  <c:v>16337.3833989088</c:v>
                </c:pt>
                <c:pt idx="8">
                  <c:v>15006.017932212002</c:v>
                </c:pt>
                <c:pt idx="9">
                  <c:v>13701.565403671537</c:v>
                </c:pt>
                <c:pt idx="10">
                  <c:v>12397.568625250038</c:v>
                </c:pt>
                <c:pt idx="11">
                  <c:v>11342.301779750504</c:v>
                </c:pt>
                <c:pt idx="12">
                  <c:v>10282.953643234141</c:v>
                </c:pt>
                <c:pt idx="13">
                  <c:v>9213.8513093940601</c:v>
                </c:pt>
                <c:pt idx="14">
                  <c:v>8146.5675299804561</c:v>
                </c:pt>
                <c:pt idx="15">
                  <c:v>7075.4045946271726</c:v>
                </c:pt>
                <c:pt idx="16">
                  <c:v>6514.2849379421041</c:v>
                </c:pt>
                <c:pt idx="17">
                  <c:v>5952.9305461214881</c:v>
                </c:pt>
                <c:pt idx="18">
                  <c:v>5386.357764428134</c:v>
                </c:pt>
                <c:pt idx="19">
                  <c:v>4824.6893955820615</c:v>
                </c:pt>
                <c:pt idx="20">
                  <c:v>4263.1825190077943</c:v>
                </c:pt>
                <c:pt idx="21">
                  <c:v>4061.3132485067558</c:v>
                </c:pt>
                <c:pt idx="22">
                  <c:v>3819.492152968613</c:v>
                </c:pt>
                <c:pt idx="23">
                  <c:v>3576.876604392558</c:v>
                </c:pt>
                <c:pt idx="24">
                  <c:v>3333.4471336763186</c:v>
                </c:pt>
              </c:numCache>
            </c:numRef>
          </c:val>
          <c:extLst>
            <c:ext xmlns:c16="http://schemas.microsoft.com/office/drawing/2014/chart" uri="{C3380CC4-5D6E-409C-BE32-E72D297353CC}">
              <c16:uniqueId val="{00000005-D1A8-4413-8A87-C6A5B7F9723E}"/>
            </c:ext>
          </c:extLst>
        </c:ser>
        <c:ser>
          <c:idx val="6"/>
          <c:order val="6"/>
          <c:tx>
            <c:strRef>
              <c:f>'Results ReCiPe (I) - CC'!$AB$179</c:f>
              <c:strCache>
                <c:ptCount val="1"/>
                <c:pt idx="0">
                  <c:v>Operation - geological storage</c:v>
                </c:pt>
              </c:strCache>
            </c:strRef>
          </c:tx>
          <c:spPr>
            <a:solidFill>
              <a:schemeClr val="accent2">
                <a:lumMod val="50000"/>
              </a:schemeClr>
            </a:solidFill>
            <a:ln>
              <a:noFill/>
            </a:ln>
            <a:effectLst/>
          </c:spPr>
          <c:invertIfNegative val="0"/>
          <c:cat>
            <c:numRef>
              <c:f>'Results ReCiPe (I) - CC'!$AC$172:$BA$172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CC'!$AC$179:$BA$179</c:f>
              <c:numCache>
                <c:formatCode>0.00E+00</c:formatCode>
                <c:ptCount val="25"/>
                <c:pt idx="0">
                  <c:v>2816.490015727883</c:v>
                </c:pt>
                <c:pt idx="1">
                  <c:v>2643.1630151783997</c:v>
                </c:pt>
                <c:pt idx="2">
                  <c:v>2470.6554529119071</c:v>
                </c:pt>
                <c:pt idx="3">
                  <c:v>2295.6641346214378</c:v>
                </c:pt>
                <c:pt idx="4">
                  <c:v>2124.7498711288149</c:v>
                </c:pt>
                <c:pt idx="5">
                  <c:v>1954.6031179130839</c:v>
                </c:pt>
                <c:pt idx="6">
                  <c:v>1822.7260345807761</c:v>
                </c:pt>
                <c:pt idx="7">
                  <c:v>1691.452781228018</c:v>
                </c:pt>
                <c:pt idx="8">
                  <c:v>1558.0543689634449</c:v>
                </c:pt>
                <c:pt idx="9">
                  <c:v>1427.5534970495339</c:v>
                </c:pt>
                <c:pt idx="10">
                  <c:v>1297.370820631347</c:v>
                </c:pt>
                <c:pt idx="11">
                  <c:v>1192.0280904561412</c:v>
                </c:pt>
                <c:pt idx="12">
                  <c:v>1086.3153844765</c:v>
                </c:pt>
                <c:pt idx="13">
                  <c:v>979.679313659066</c:v>
                </c:pt>
                <c:pt idx="14">
                  <c:v>873.24358547651377</c:v>
                </c:pt>
                <c:pt idx="15">
                  <c:v>766.45125956112827</c:v>
                </c:pt>
                <c:pt idx="16">
                  <c:v>710.64060120959937</c:v>
                </c:pt>
                <c:pt idx="17">
                  <c:v>654.65478553185676</c:v>
                </c:pt>
                <c:pt idx="18">
                  <c:v>598.01001692743648</c:v>
                </c:pt>
                <c:pt idx="19">
                  <c:v>541.67841816254531</c:v>
                </c:pt>
                <c:pt idx="20">
                  <c:v>485.18977986330407</c:v>
                </c:pt>
                <c:pt idx="21">
                  <c:v>464.83208119096309</c:v>
                </c:pt>
                <c:pt idx="22">
                  <c:v>440.5989318243453</c:v>
                </c:pt>
                <c:pt idx="23">
                  <c:v>416.35907723093732</c:v>
                </c:pt>
                <c:pt idx="24">
                  <c:v>392.11018079298378</c:v>
                </c:pt>
              </c:numCache>
            </c:numRef>
          </c:val>
          <c:extLst>
            <c:ext xmlns:c16="http://schemas.microsoft.com/office/drawing/2014/chart" uri="{C3380CC4-5D6E-409C-BE32-E72D297353CC}">
              <c16:uniqueId val="{00000006-D1A8-4413-8A87-C6A5B7F9723E}"/>
            </c:ext>
          </c:extLst>
        </c:ser>
        <c:ser>
          <c:idx val="7"/>
          <c:order val="7"/>
          <c:tx>
            <c:strRef>
              <c:f>'Results ReCiPe (I) - CC'!$AB$180</c:f>
              <c:strCache>
                <c:ptCount val="1"/>
                <c:pt idx="0">
                  <c:v>CO2 captured and stored</c:v>
                </c:pt>
              </c:strCache>
            </c:strRef>
          </c:tx>
          <c:spPr>
            <a:solidFill>
              <a:schemeClr val="tx2">
                <a:lumMod val="20000"/>
                <a:lumOff val="80000"/>
              </a:schemeClr>
            </a:solidFill>
            <a:ln>
              <a:noFill/>
            </a:ln>
            <a:effectLst/>
          </c:spPr>
          <c:invertIfNegative val="0"/>
          <c:cat>
            <c:numRef>
              <c:f>'Results ReCiPe (I) - CC'!$AC$172:$BA$172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CC'!$AC$180:$BA$180</c:f>
              <c:numCache>
                <c:formatCode>0.00E+00</c:formatCode>
                <c:ptCount val="25"/>
                <c:pt idx="0">
                  <c:v>-100000</c:v>
                </c:pt>
                <c:pt idx="1">
                  <c:v>-100000</c:v>
                </c:pt>
                <c:pt idx="2">
                  <c:v>-100000</c:v>
                </c:pt>
                <c:pt idx="3">
                  <c:v>-100000</c:v>
                </c:pt>
                <c:pt idx="4">
                  <c:v>-100000</c:v>
                </c:pt>
                <c:pt idx="5">
                  <c:v>-100000</c:v>
                </c:pt>
                <c:pt idx="6">
                  <c:v>-100000</c:v>
                </c:pt>
                <c:pt idx="7">
                  <c:v>-100000</c:v>
                </c:pt>
                <c:pt idx="8">
                  <c:v>-100000</c:v>
                </c:pt>
                <c:pt idx="9">
                  <c:v>-100000</c:v>
                </c:pt>
                <c:pt idx="10">
                  <c:v>-100000</c:v>
                </c:pt>
                <c:pt idx="11">
                  <c:v>-100000</c:v>
                </c:pt>
                <c:pt idx="12">
                  <c:v>-100000</c:v>
                </c:pt>
                <c:pt idx="13">
                  <c:v>-100000</c:v>
                </c:pt>
                <c:pt idx="14">
                  <c:v>-100000</c:v>
                </c:pt>
                <c:pt idx="15">
                  <c:v>-100000</c:v>
                </c:pt>
                <c:pt idx="16">
                  <c:v>-100000</c:v>
                </c:pt>
                <c:pt idx="17">
                  <c:v>-100000</c:v>
                </c:pt>
                <c:pt idx="18">
                  <c:v>-100000</c:v>
                </c:pt>
                <c:pt idx="19">
                  <c:v>-100000</c:v>
                </c:pt>
                <c:pt idx="20">
                  <c:v>-100000</c:v>
                </c:pt>
                <c:pt idx="21">
                  <c:v>-100000</c:v>
                </c:pt>
                <c:pt idx="22">
                  <c:v>-100000</c:v>
                </c:pt>
                <c:pt idx="23">
                  <c:v>-100000</c:v>
                </c:pt>
                <c:pt idx="24">
                  <c:v>-100000</c:v>
                </c:pt>
              </c:numCache>
            </c:numRef>
          </c:val>
          <c:extLst>
            <c:ext xmlns:c16="http://schemas.microsoft.com/office/drawing/2014/chart" uri="{C3380CC4-5D6E-409C-BE32-E72D297353CC}">
              <c16:uniqueId val="{00000007-D1A8-4413-8A87-C6A5B7F9723E}"/>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(I) - CC'!$AB$181</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cat>
            <c:numRef>
              <c:f>'Results ReCiPe (I) - CC'!$AC$172:$BA$172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CC'!$AC$181:$BA$181</c:f>
              <c:numCache>
                <c:formatCode>0.00E+00</c:formatCode>
                <c:ptCount val="25"/>
                <c:pt idx="0">
                  <c:v>-14743.522253014336</c:v>
                </c:pt>
                <c:pt idx="1">
                  <c:v>-71649.039377105131</c:v>
                </c:pt>
                <c:pt idx="2">
                  <c:v>-73501.207887290366</c:v>
                </c:pt>
                <c:pt idx="3">
                  <c:v>-74059.15402191371</c:v>
                </c:pt>
                <c:pt idx="4">
                  <c:v>-77239.194970294746</c:v>
                </c:pt>
                <c:pt idx="5">
                  <c:v>-79088.173979173589</c:v>
                </c:pt>
                <c:pt idx="6">
                  <c:v>-79240.710507128126</c:v>
                </c:pt>
                <c:pt idx="7">
                  <c:v>-81971.163819863184</c:v>
                </c:pt>
                <c:pt idx="8">
                  <c:v>-83435.927698824555</c:v>
                </c:pt>
                <c:pt idx="9">
                  <c:v>-83629.764953471473</c:v>
                </c:pt>
                <c:pt idx="10">
                  <c:v>-86305.060554118609</c:v>
                </c:pt>
                <c:pt idx="11">
                  <c:v>-87465.670129793361</c:v>
                </c:pt>
                <c:pt idx="12">
                  <c:v>-87452.615691565166</c:v>
                </c:pt>
                <c:pt idx="13">
                  <c:v>-89806.469376946872</c:v>
                </c:pt>
                <c:pt idx="14">
                  <c:v>-90980.188884543022</c:v>
                </c:pt>
                <c:pt idx="15">
                  <c:v>-91050.939086326936</c:v>
                </c:pt>
                <c:pt idx="16">
                  <c:v>-92775.074460848293</c:v>
                </c:pt>
                <c:pt idx="17">
                  <c:v>-93392.414668346653</c:v>
                </c:pt>
                <c:pt idx="18">
                  <c:v>-92958.446670380377</c:v>
                </c:pt>
                <c:pt idx="19">
                  <c:v>-94633.632186255389</c:v>
                </c:pt>
                <c:pt idx="20">
                  <c:v>-95251.627701128906</c:v>
                </c:pt>
                <c:pt idx="21">
                  <c:v>-94451.238657020091</c:v>
                </c:pt>
                <c:pt idx="22">
                  <c:v>-95739.908915207037</c:v>
                </c:pt>
                <c:pt idx="23">
                  <c:v>-96006.764318376503</c:v>
                </c:pt>
                <c:pt idx="24">
                  <c:v>-94500.689718144014</c:v>
                </c:pt>
              </c:numCache>
            </c:numRef>
          </c:val>
          <c:smooth val="0"/>
          <c:extLst>
            <c:ext xmlns:c16="http://schemas.microsoft.com/office/drawing/2014/chart" uri="{C3380CC4-5D6E-409C-BE32-E72D297353CC}">
              <c16:uniqueId val="{00000008-D1A8-4413-8A87-C6A5B7F9723E}"/>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Climate change </a:t>
                </a:r>
              </a:p>
              <a:p>
                <a:pPr algn="ctr" rtl="0">
                  <a:defRPr/>
                </a:pPr>
                <a:r>
                  <a:rPr lang="nl-NL"/>
                  <a:t>[kg CO2-eq/ton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(I) - CC'!$AB$214</c:f>
              <c:strCache>
                <c:ptCount val="1"/>
                <c:pt idx="0">
                  <c:v>Construction - DAC</c:v>
                </c:pt>
              </c:strCache>
            </c:strRef>
          </c:tx>
          <c:spPr>
            <a:solidFill>
              <a:schemeClr val="accent4">
                <a:lumMod val="75000"/>
              </a:schemeClr>
            </a:solidFill>
            <a:ln>
              <a:noFill/>
            </a:ln>
            <a:effectLst/>
          </c:spPr>
          <c:invertIfNegative val="0"/>
          <c:cat>
            <c:numRef>
              <c:f>'Results ReCiPe (I) - CC'!$AC$213:$BA$213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CC'!$AC$214:$BA$214</c:f>
              <c:numCache>
                <c:formatCode>0.00E+00</c:formatCode>
                <c:ptCount val="25"/>
                <c:pt idx="0">
                  <c:v>42087.257169202174</c:v>
                </c:pt>
              </c:numCache>
            </c:numRef>
          </c:val>
          <c:extLst>
            <c:ext xmlns:c16="http://schemas.microsoft.com/office/drawing/2014/chart" uri="{C3380CC4-5D6E-409C-BE32-E72D297353CC}">
              <c16:uniqueId val="{00000000-DAC0-41C3-97B7-70E3A25AB8F1}"/>
            </c:ext>
          </c:extLst>
        </c:ser>
        <c:ser>
          <c:idx val="1"/>
          <c:order val="1"/>
          <c:tx>
            <c:strRef>
              <c:f>'Results ReCiPe (I) - CC'!$AB$215</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(I) - CC'!$AC$213:$BA$213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CC'!$AC$215:$BA$215</c:f>
              <c:numCache>
                <c:formatCode>0.00E+00</c:formatCode>
                <c:ptCount val="25"/>
                <c:pt idx="0">
                  <c:v>2363.2132293652407</c:v>
                </c:pt>
              </c:numCache>
            </c:numRef>
          </c:val>
          <c:extLst>
            <c:ext xmlns:c16="http://schemas.microsoft.com/office/drawing/2014/chart" uri="{C3380CC4-5D6E-409C-BE32-E72D297353CC}">
              <c16:uniqueId val="{00000001-DAC0-41C3-97B7-70E3A25AB8F1}"/>
            </c:ext>
          </c:extLst>
        </c:ser>
        <c:ser>
          <c:idx val="2"/>
          <c:order val="2"/>
          <c:tx>
            <c:strRef>
              <c:f>'Results ReCiPe (I) - CC'!$AB$216</c:f>
              <c:strCache>
                <c:ptCount val="1"/>
                <c:pt idx="0">
                  <c:v>Deconstruction - DAC</c:v>
                </c:pt>
              </c:strCache>
            </c:strRef>
          </c:tx>
          <c:spPr>
            <a:solidFill>
              <a:schemeClr val="accent2">
                <a:lumMod val="40000"/>
                <a:lumOff val="60000"/>
              </a:schemeClr>
            </a:solidFill>
            <a:ln>
              <a:noFill/>
            </a:ln>
            <a:effectLst/>
          </c:spPr>
          <c:invertIfNegative val="0"/>
          <c:cat>
            <c:numRef>
              <c:f>'Results ReCiPe (I) - CC'!$AC$213:$BA$213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CC'!$AC$216:$BA$216</c:f>
              <c:numCache>
                <c:formatCode>0.00E+00</c:formatCode>
                <c:ptCount val="25"/>
                <c:pt idx="24">
                  <c:v>661.35458655062052</c:v>
                </c:pt>
              </c:numCache>
            </c:numRef>
          </c:val>
          <c:extLst>
            <c:ext xmlns:c16="http://schemas.microsoft.com/office/drawing/2014/chart" uri="{C3380CC4-5D6E-409C-BE32-E72D297353CC}">
              <c16:uniqueId val="{00000002-DAC0-41C3-97B7-70E3A25AB8F1}"/>
            </c:ext>
          </c:extLst>
        </c:ser>
        <c:ser>
          <c:idx val="3"/>
          <c:order val="3"/>
          <c:tx>
            <c:strRef>
              <c:f>'Results ReCiPe (I) - CC'!$AB$217</c:f>
              <c:strCache>
                <c:ptCount val="1"/>
                <c:pt idx="0">
                  <c:v>Deconstruction - geological storage</c:v>
                </c:pt>
              </c:strCache>
            </c:strRef>
          </c:tx>
          <c:spPr>
            <a:solidFill>
              <a:srgbClr val="FF9900"/>
            </a:solidFill>
            <a:ln>
              <a:noFill/>
            </a:ln>
            <a:effectLst/>
          </c:spPr>
          <c:invertIfNegative val="0"/>
          <c:cat>
            <c:numRef>
              <c:f>'Results ReCiPe (I) - CC'!$AC$213:$BA$213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CC'!$AC$217:$BA$217</c:f>
              <c:numCache>
                <c:formatCode>0.00E+00</c:formatCode>
                <c:ptCount val="25"/>
                <c:pt idx="24">
                  <c:v>20.943027296122771</c:v>
                </c:pt>
              </c:numCache>
            </c:numRef>
          </c:val>
          <c:extLst>
            <c:ext xmlns:c16="http://schemas.microsoft.com/office/drawing/2014/chart" uri="{C3380CC4-5D6E-409C-BE32-E72D297353CC}">
              <c16:uniqueId val="{00000003-DAC0-41C3-97B7-70E3A25AB8F1}"/>
            </c:ext>
          </c:extLst>
        </c:ser>
        <c:ser>
          <c:idx val="4"/>
          <c:order val="4"/>
          <c:tx>
            <c:strRef>
              <c:f>'Results ReCiPe (I) - CC'!$AB$218</c:f>
              <c:strCache>
                <c:ptCount val="1"/>
                <c:pt idx="0">
                  <c:v>Sorbent material</c:v>
                </c:pt>
              </c:strCache>
            </c:strRef>
          </c:tx>
          <c:spPr>
            <a:solidFill>
              <a:srgbClr val="FF8F8F"/>
            </a:solidFill>
            <a:ln>
              <a:noFill/>
            </a:ln>
            <a:effectLst/>
          </c:spPr>
          <c:invertIfNegative val="0"/>
          <c:cat>
            <c:numRef>
              <c:f>'Results ReCiPe (I) - CC'!$AC$213:$BA$213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CC'!$AC$218:$BA$218</c:f>
              <c:numCache>
                <c:formatCode>0.00E+00</c:formatCode>
                <c:ptCount val="25"/>
                <c:pt idx="0">
                  <c:v>1147.562206560159</c:v>
                </c:pt>
                <c:pt idx="3">
                  <c:v>1074.05698885017</c:v>
                </c:pt>
                <c:pt idx="6">
                  <c:v>1022.1502722838831</c:v>
                </c:pt>
                <c:pt idx="9">
                  <c:v>1005.159492641253</c:v>
                </c:pt>
                <c:pt idx="12">
                  <c:v>997.28372106165648</c:v>
                </c:pt>
                <c:pt idx="15">
                  <c:v>991.48221426531472</c:v>
                </c:pt>
                <c:pt idx="18">
                  <c:v>983.20946828966578</c:v>
                </c:pt>
                <c:pt idx="21">
                  <c:v>977.06180922356634</c:v>
                </c:pt>
                <c:pt idx="24">
                  <c:v>972.2449306465038</c:v>
                </c:pt>
              </c:numCache>
            </c:numRef>
          </c:val>
          <c:extLst>
            <c:ext xmlns:c16="http://schemas.microsoft.com/office/drawing/2014/chart" uri="{C3380CC4-5D6E-409C-BE32-E72D297353CC}">
              <c16:uniqueId val="{00000004-DAC0-41C3-97B7-70E3A25AB8F1}"/>
            </c:ext>
          </c:extLst>
        </c:ser>
        <c:ser>
          <c:idx val="5"/>
          <c:order val="5"/>
          <c:tx>
            <c:strRef>
              <c:f>'Results ReCiPe (I) - CC'!$AB$219</c:f>
              <c:strCache>
                <c:ptCount val="1"/>
                <c:pt idx="0">
                  <c:v>Operation - DAC</c:v>
                </c:pt>
              </c:strCache>
            </c:strRef>
          </c:tx>
          <c:spPr>
            <a:solidFill>
              <a:schemeClr val="accent2">
                <a:lumMod val="75000"/>
              </a:schemeClr>
            </a:solidFill>
            <a:ln>
              <a:noFill/>
            </a:ln>
            <a:effectLst/>
          </c:spPr>
          <c:invertIfNegative val="0"/>
          <c:cat>
            <c:numRef>
              <c:f>'Results ReCiPe (I) - CC'!$AC$213:$BA$213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CC'!$AC$219:$BA$219</c:f>
              <c:numCache>
                <c:formatCode>0.00E+00</c:formatCode>
                <c:ptCount val="25"/>
                <c:pt idx="0">
                  <c:v>12600.313573621774</c:v>
                </c:pt>
                <c:pt idx="1">
                  <c:v>10625.014116033764</c:v>
                </c:pt>
                <c:pt idx="2">
                  <c:v>8646.6132713818733</c:v>
                </c:pt>
                <c:pt idx="3">
                  <c:v>6627.806190941471</c:v>
                </c:pt>
                <c:pt idx="4">
                  <c:v>4640.158831214505</c:v>
                </c:pt>
                <c:pt idx="5">
                  <c:v>2648.4047687525217</c:v>
                </c:pt>
                <c:pt idx="6">
                  <c:v>2352.8911620223316</c:v>
                </c:pt>
                <c:pt idx="7">
                  <c:v>2054.8622629858401</c:v>
                </c:pt>
                <c:pt idx="8">
                  <c:v>1722.7615247725807</c:v>
                </c:pt>
                <c:pt idx="9">
                  <c:v>1418.7366115840668</c:v>
                </c:pt>
                <c:pt idx="10">
                  <c:v>1112.2132697731754</c:v>
                </c:pt>
                <c:pt idx="11">
                  <c:v>1067.5961811414722</c:v>
                </c:pt>
                <c:pt idx="12">
                  <c:v>1023.1579802935194</c:v>
                </c:pt>
                <c:pt idx="13">
                  <c:v>972.67364629483563</c:v>
                </c:pt>
                <c:pt idx="14">
                  <c:v>928.5199710803555</c:v>
                </c:pt>
                <c:pt idx="15">
                  <c:v>884.35797009937198</c:v>
                </c:pt>
                <c:pt idx="16">
                  <c:v>381.04919703273379</c:v>
                </c:pt>
                <c:pt idx="17">
                  <c:v>-118.48886810507291</c:v>
                </c:pt>
                <c:pt idx="18">
                  <c:v>-618.74716408245513</c:v>
                </c:pt>
                <c:pt idx="19">
                  <c:v>-1110.5462228630645</c:v>
                </c:pt>
                <c:pt idx="20">
                  <c:v>-1597.5906336574985</c:v>
                </c:pt>
                <c:pt idx="21">
                  <c:v>-1982.6229572562256</c:v>
                </c:pt>
                <c:pt idx="22">
                  <c:v>-2392.31411866502</c:v>
                </c:pt>
                <c:pt idx="23">
                  <c:v>-2803.1112163353891</c:v>
                </c:pt>
                <c:pt idx="24">
                  <c:v>-3215.0330015603463</c:v>
                </c:pt>
              </c:numCache>
            </c:numRef>
          </c:val>
          <c:extLst>
            <c:ext xmlns:c16="http://schemas.microsoft.com/office/drawing/2014/chart" uri="{C3380CC4-5D6E-409C-BE32-E72D297353CC}">
              <c16:uniqueId val="{00000005-DAC0-41C3-97B7-70E3A25AB8F1}"/>
            </c:ext>
          </c:extLst>
        </c:ser>
        <c:ser>
          <c:idx val="6"/>
          <c:order val="6"/>
          <c:tx>
            <c:strRef>
              <c:f>'Results ReCiPe (I) - CC'!$AB$220</c:f>
              <c:strCache>
                <c:ptCount val="1"/>
                <c:pt idx="0">
                  <c:v>Operation - geological storage</c:v>
                </c:pt>
              </c:strCache>
            </c:strRef>
          </c:tx>
          <c:spPr>
            <a:solidFill>
              <a:schemeClr val="accent2">
                <a:lumMod val="50000"/>
              </a:schemeClr>
            </a:solidFill>
            <a:ln>
              <a:noFill/>
            </a:ln>
            <a:effectLst/>
          </c:spPr>
          <c:invertIfNegative val="0"/>
          <c:cat>
            <c:numRef>
              <c:f>'Results ReCiPe (I) - CC'!$AC$213:$BA$213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CC'!$AC$220:$BA$220</c:f>
              <c:numCache>
                <c:formatCode>0.00E+00</c:formatCode>
                <c:ptCount val="25"/>
                <c:pt idx="0">
                  <c:v>1324.993105402586</c:v>
                </c:pt>
                <c:pt idx="1">
                  <c:v>1124.6592286793289</c:v>
                </c:pt>
                <c:pt idx="2">
                  <c:v>925.32419922424913</c:v>
                </c:pt>
                <c:pt idx="3">
                  <c:v>723.38991438420589</c:v>
                </c:pt>
                <c:pt idx="4">
                  <c:v>525.78184053756183</c:v>
                </c:pt>
                <c:pt idx="5">
                  <c:v>329.05630824955551</c:v>
                </c:pt>
                <c:pt idx="6">
                  <c:v>300.02227837139071</c:v>
                </c:pt>
                <c:pt idx="7">
                  <c:v>270.85305737830294</c:v>
                </c:pt>
                <c:pt idx="8">
                  <c:v>238.49241055585631</c:v>
                </c:pt>
                <c:pt idx="9">
                  <c:v>208.97102057087639</c:v>
                </c:pt>
                <c:pt idx="10">
                  <c:v>179.31619921447572</c:v>
                </c:pt>
                <c:pt idx="11">
                  <c:v>174.74546078951869</c:v>
                </c:pt>
                <c:pt idx="12">
                  <c:v>170.1833141315044</c:v>
                </c:pt>
                <c:pt idx="13">
                  <c:v>165.03314483909071</c:v>
                </c:pt>
                <c:pt idx="14">
                  <c:v>160.49156426611091</c:v>
                </c:pt>
                <c:pt idx="15">
                  <c:v>155.9445728050664</c:v>
                </c:pt>
                <c:pt idx="16">
                  <c:v>105.80468796266101</c:v>
                </c:pt>
                <c:pt idx="17">
                  <c:v>55.583752553111765</c:v>
                </c:pt>
                <c:pt idx="18">
                  <c:v>4.8511905974471752</c:v>
                </c:pt>
                <c:pt idx="19">
                  <c:v>-45.498866994982166</c:v>
                </c:pt>
                <c:pt idx="20">
                  <c:v>-95.858698461078703</c:v>
                </c:pt>
                <c:pt idx="21">
                  <c:v>-133.54200193557298</c:v>
                </c:pt>
                <c:pt idx="22">
                  <c:v>-173.575212324517</c:v>
                </c:pt>
                <c:pt idx="23">
                  <c:v>-213.59915552673741</c:v>
                </c:pt>
                <c:pt idx="24">
                  <c:v>-253.6156822613541</c:v>
                </c:pt>
              </c:numCache>
            </c:numRef>
          </c:val>
          <c:extLst>
            <c:ext xmlns:c16="http://schemas.microsoft.com/office/drawing/2014/chart" uri="{C3380CC4-5D6E-409C-BE32-E72D297353CC}">
              <c16:uniqueId val="{00000006-DAC0-41C3-97B7-70E3A25AB8F1}"/>
            </c:ext>
          </c:extLst>
        </c:ser>
        <c:ser>
          <c:idx val="7"/>
          <c:order val="7"/>
          <c:tx>
            <c:strRef>
              <c:f>'Results ReCiPe (I) - CC'!$AB$221</c:f>
              <c:strCache>
                <c:ptCount val="1"/>
                <c:pt idx="0">
                  <c:v>CO2 captured and stored</c:v>
                </c:pt>
              </c:strCache>
            </c:strRef>
          </c:tx>
          <c:spPr>
            <a:solidFill>
              <a:schemeClr val="tx2">
                <a:lumMod val="20000"/>
                <a:lumOff val="80000"/>
              </a:schemeClr>
            </a:solidFill>
            <a:ln>
              <a:noFill/>
            </a:ln>
            <a:effectLst/>
          </c:spPr>
          <c:invertIfNegative val="0"/>
          <c:cat>
            <c:numRef>
              <c:f>'Results ReCiPe (I) - CC'!$AC$213:$BA$213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CC'!$AC$221:$BA$221</c:f>
              <c:numCache>
                <c:formatCode>0.00E+00</c:formatCode>
                <c:ptCount val="25"/>
                <c:pt idx="0">
                  <c:v>-100000</c:v>
                </c:pt>
                <c:pt idx="1">
                  <c:v>-100000</c:v>
                </c:pt>
                <c:pt idx="2">
                  <c:v>-100000</c:v>
                </c:pt>
                <c:pt idx="3">
                  <c:v>-100000</c:v>
                </c:pt>
                <c:pt idx="4">
                  <c:v>-100000</c:v>
                </c:pt>
                <c:pt idx="5">
                  <c:v>-100000</c:v>
                </c:pt>
                <c:pt idx="6">
                  <c:v>-100000</c:v>
                </c:pt>
                <c:pt idx="7">
                  <c:v>-100000</c:v>
                </c:pt>
                <c:pt idx="8">
                  <c:v>-100000</c:v>
                </c:pt>
                <c:pt idx="9">
                  <c:v>-100000</c:v>
                </c:pt>
                <c:pt idx="10">
                  <c:v>-100000</c:v>
                </c:pt>
                <c:pt idx="11">
                  <c:v>-100000</c:v>
                </c:pt>
                <c:pt idx="12">
                  <c:v>-100000</c:v>
                </c:pt>
                <c:pt idx="13">
                  <c:v>-100000</c:v>
                </c:pt>
                <c:pt idx="14">
                  <c:v>-100000</c:v>
                </c:pt>
                <c:pt idx="15">
                  <c:v>-100000</c:v>
                </c:pt>
                <c:pt idx="16">
                  <c:v>-100000</c:v>
                </c:pt>
                <c:pt idx="17">
                  <c:v>-100000</c:v>
                </c:pt>
                <c:pt idx="18">
                  <c:v>-100000</c:v>
                </c:pt>
                <c:pt idx="19">
                  <c:v>-100000</c:v>
                </c:pt>
                <c:pt idx="20">
                  <c:v>-100000</c:v>
                </c:pt>
                <c:pt idx="21">
                  <c:v>-100000</c:v>
                </c:pt>
                <c:pt idx="22">
                  <c:v>-100000</c:v>
                </c:pt>
                <c:pt idx="23">
                  <c:v>-100000</c:v>
                </c:pt>
                <c:pt idx="24">
                  <c:v>-100000</c:v>
                </c:pt>
              </c:numCache>
            </c:numRef>
          </c:val>
          <c:extLst>
            <c:ext xmlns:c16="http://schemas.microsoft.com/office/drawing/2014/chart" uri="{C3380CC4-5D6E-409C-BE32-E72D297353CC}">
              <c16:uniqueId val="{00000007-DAC0-41C3-97B7-70E3A25AB8F1}"/>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(I) - CC'!$AB$222</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cat>
            <c:numRef>
              <c:f>'Results ReCiPe (I) - CC'!$AC$213:$BA$213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CC'!$AC$222:$BA$222</c:f>
              <c:numCache>
                <c:formatCode>0.00E+00</c:formatCode>
                <c:ptCount val="25"/>
                <c:pt idx="0">
                  <c:v>-40476.660715848069</c:v>
                </c:pt>
                <c:pt idx="1">
                  <c:v>-88250.326655286903</c:v>
                </c:pt>
                <c:pt idx="2">
                  <c:v>-90428.062529393879</c:v>
                </c:pt>
                <c:pt idx="3">
                  <c:v>-91574.746905824155</c:v>
                </c:pt>
                <c:pt idx="4">
                  <c:v>-94834.059328247939</c:v>
                </c:pt>
                <c:pt idx="5">
                  <c:v>-97022.538922997919</c:v>
                </c:pt>
                <c:pt idx="6">
                  <c:v>-96324.936287322402</c:v>
                </c:pt>
                <c:pt idx="7">
                  <c:v>-97674.284679635864</c:v>
                </c:pt>
                <c:pt idx="8">
                  <c:v>-98038.746064671563</c:v>
                </c:pt>
                <c:pt idx="9">
                  <c:v>-97367.13287520381</c:v>
                </c:pt>
                <c:pt idx="10">
                  <c:v>-98708.470531012354</c:v>
                </c:pt>
                <c:pt idx="11">
                  <c:v>-98757.658358069006</c:v>
                </c:pt>
                <c:pt idx="12">
                  <c:v>-97809.374984513313</c:v>
                </c:pt>
                <c:pt idx="13">
                  <c:v>-98862.293208866075</c:v>
                </c:pt>
                <c:pt idx="14">
                  <c:v>-98910.988464653536</c:v>
                </c:pt>
                <c:pt idx="15">
                  <c:v>-97968.215242830251</c:v>
                </c:pt>
                <c:pt idx="16">
                  <c:v>-99513.146115004609</c:v>
                </c:pt>
                <c:pt idx="17">
                  <c:v>-100062.90511555196</c:v>
                </c:pt>
                <c:pt idx="18">
                  <c:v>-99630.686505195335</c:v>
                </c:pt>
                <c:pt idx="19">
                  <c:v>-101156.04508985805</c:v>
                </c:pt>
                <c:pt idx="20">
                  <c:v>-101693.44933211857</c:v>
                </c:pt>
                <c:pt idx="21">
                  <c:v>-101139.10314996823</c:v>
                </c:pt>
                <c:pt idx="22">
                  <c:v>-102565.88933098954</c:v>
                </c:pt>
                <c:pt idx="23">
                  <c:v>-103016.71037186212</c:v>
                </c:pt>
                <c:pt idx="24">
                  <c:v>-101814.10613932845</c:v>
                </c:pt>
              </c:numCache>
            </c:numRef>
          </c:val>
          <c:smooth val="0"/>
          <c:extLst>
            <c:ext xmlns:c16="http://schemas.microsoft.com/office/drawing/2014/chart" uri="{C3380CC4-5D6E-409C-BE32-E72D297353CC}">
              <c16:uniqueId val="{00000008-DAC0-41C3-97B7-70E3A25AB8F1}"/>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Climate change </a:t>
                </a:r>
              </a:p>
              <a:p>
                <a:pPr algn="ctr" rtl="0">
                  <a:defRPr/>
                </a:pPr>
                <a:r>
                  <a:rPr lang="nl-NL"/>
                  <a:t>[kg CO2-eq/ton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26879729621161"/>
          <c:y val="5.4106329588493672E-2"/>
          <c:w val="0.87797394606685986"/>
          <c:h val="0.75500483548693564"/>
        </c:manualLayout>
      </c:layout>
      <c:barChart>
        <c:barDir val="col"/>
        <c:grouping val="stacked"/>
        <c:varyColors val="0"/>
        <c:ser>
          <c:idx val="0"/>
          <c:order val="0"/>
          <c:tx>
            <c:strRef>
              <c:f>'Results ReCiPe (I) - CC'!$AB$274</c:f>
              <c:strCache>
                <c:ptCount val="1"/>
                <c:pt idx="0">
                  <c:v>Construction - DAC</c:v>
                </c:pt>
              </c:strCache>
            </c:strRef>
          </c:tx>
          <c:spPr>
            <a:solidFill>
              <a:schemeClr val="accent4">
                <a:lumMod val="75000"/>
              </a:schemeClr>
            </a:solidFill>
            <a:ln>
              <a:noFill/>
            </a:ln>
            <a:effectLst/>
          </c:spPr>
          <c:invertIfNegative val="0"/>
          <c:cat>
            <c:numRef>
              <c:f>'Results ReCiPe (I) - CC'!$AC$273:$BA$273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CC'!$AC$274:$BA$274</c:f>
              <c:numCache>
                <c:formatCode>0.00E+00</c:formatCode>
                <c:ptCount val="25"/>
                <c:pt idx="0">
                  <c:v>44463.838826567226</c:v>
                </c:pt>
              </c:numCache>
            </c:numRef>
          </c:val>
          <c:extLst>
            <c:ext xmlns:c16="http://schemas.microsoft.com/office/drawing/2014/chart" uri="{C3380CC4-5D6E-409C-BE32-E72D297353CC}">
              <c16:uniqueId val="{00000000-8052-4E98-9D7B-28B300CD6EA0}"/>
            </c:ext>
          </c:extLst>
        </c:ser>
        <c:ser>
          <c:idx val="1"/>
          <c:order val="1"/>
          <c:tx>
            <c:strRef>
              <c:f>'Results ReCiPe (I) - CC'!$AB$275</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(I) - CC'!$AC$273:$BA$273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CC'!$AC$275:$BA$275</c:f>
              <c:numCache>
                <c:formatCode>0.00E+00</c:formatCode>
                <c:ptCount val="25"/>
                <c:pt idx="0">
                  <c:v>1435.961516548145</c:v>
                </c:pt>
              </c:numCache>
            </c:numRef>
          </c:val>
          <c:extLst>
            <c:ext xmlns:c16="http://schemas.microsoft.com/office/drawing/2014/chart" uri="{C3380CC4-5D6E-409C-BE32-E72D297353CC}">
              <c16:uniqueId val="{00000001-8052-4E98-9D7B-28B300CD6EA0}"/>
            </c:ext>
          </c:extLst>
        </c:ser>
        <c:ser>
          <c:idx val="2"/>
          <c:order val="2"/>
          <c:tx>
            <c:strRef>
              <c:f>'Results ReCiPe (I) - CC'!$AB$276</c:f>
              <c:strCache>
                <c:ptCount val="1"/>
                <c:pt idx="0">
                  <c:v>Deconstruction - DAC</c:v>
                </c:pt>
              </c:strCache>
            </c:strRef>
          </c:tx>
          <c:spPr>
            <a:solidFill>
              <a:schemeClr val="accent2">
                <a:lumMod val="40000"/>
                <a:lumOff val="60000"/>
              </a:schemeClr>
            </a:solidFill>
            <a:ln>
              <a:noFill/>
            </a:ln>
            <a:effectLst/>
          </c:spPr>
          <c:invertIfNegative val="0"/>
          <c:cat>
            <c:numRef>
              <c:f>'Results ReCiPe (I) - CC'!$AC$273:$BA$273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CC'!$AC$276:$BA$276</c:f>
              <c:numCache>
                <c:formatCode>0.00E+00</c:formatCode>
                <c:ptCount val="25"/>
                <c:pt idx="24">
                  <c:v>856.68574124441147</c:v>
                </c:pt>
              </c:numCache>
            </c:numRef>
          </c:val>
          <c:extLst>
            <c:ext xmlns:c16="http://schemas.microsoft.com/office/drawing/2014/chart" uri="{C3380CC4-5D6E-409C-BE32-E72D297353CC}">
              <c16:uniqueId val="{00000002-8052-4E98-9D7B-28B300CD6EA0}"/>
            </c:ext>
          </c:extLst>
        </c:ser>
        <c:ser>
          <c:idx val="3"/>
          <c:order val="3"/>
          <c:tx>
            <c:strRef>
              <c:f>'Results ReCiPe (I) - CC'!$AB$277</c:f>
              <c:strCache>
                <c:ptCount val="1"/>
                <c:pt idx="0">
                  <c:v>Deconstruction - geological storage</c:v>
                </c:pt>
              </c:strCache>
            </c:strRef>
          </c:tx>
          <c:spPr>
            <a:solidFill>
              <a:srgbClr val="FF9900"/>
            </a:solidFill>
            <a:ln>
              <a:noFill/>
            </a:ln>
            <a:effectLst/>
          </c:spPr>
          <c:invertIfNegative val="0"/>
          <c:cat>
            <c:numRef>
              <c:f>'Results ReCiPe (I) - CC'!$AC$273:$BA$273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CC'!$AC$277:$BA$277</c:f>
              <c:numCache>
                <c:formatCode>0.00E+00</c:formatCode>
                <c:ptCount val="25"/>
                <c:pt idx="24">
                  <c:v>11.952750702179941</c:v>
                </c:pt>
              </c:numCache>
            </c:numRef>
          </c:val>
          <c:extLst>
            <c:ext xmlns:c16="http://schemas.microsoft.com/office/drawing/2014/chart" uri="{C3380CC4-5D6E-409C-BE32-E72D297353CC}">
              <c16:uniqueId val="{00000003-8052-4E98-9D7B-28B300CD6EA0}"/>
            </c:ext>
          </c:extLst>
        </c:ser>
        <c:ser>
          <c:idx val="4"/>
          <c:order val="4"/>
          <c:tx>
            <c:strRef>
              <c:f>'Results ReCiPe (I) - CC'!$AB$278</c:f>
              <c:strCache>
                <c:ptCount val="1"/>
                <c:pt idx="0">
                  <c:v>Sorbent material</c:v>
                </c:pt>
              </c:strCache>
            </c:strRef>
          </c:tx>
          <c:spPr>
            <a:solidFill>
              <a:srgbClr val="FF8F8F"/>
            </a:solidFill>
            <a:ln>
              <a:noFill/>
            </a:ln>
            <a:effectLst/>
          </c:spPr>
          <c:invertIfNegative val="0"/>
          <c:cat>
            <c:numRef>
              <c:f>'Results ReCiPe (I) - CC'!$AC$273:$BA$273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CC'!$AC$278:$BA$278</c:f>
              <c:numCache>
                <c:formatCode>0.00E+00</c:formatCode>
                <c:ptCount val="25"/>
                <c:pt idx="0">
                  <c:v>1412.262440014819</c:v>
                </c:pt>
                <c:pt idx="3">
                  <c:v>1398.947377491419</c:v>
                </c:pt>
                <c:pt idx="6">
                  <c:v>1394.6883638131801</c:v>
                </c:pt>
                <c:pt idx="9">
                  <c:v>1393.1438101355629</c:v>
                </c:pt>
                <c:pt idx="12">
                  <c:v>1396.982775239785</c:v>
                </c:pt>
                <c:pt idx="15">
                  <c:v>1400.903339877279</c:v>
                </c:pt>
                <c:pt idx="18">
                  <c:v>1382.1741284587449</c:v>
                </c:pt>
                <c:pt idx="21">
                  <c:v>1363.5449444910939</c:v>
                </c:pt>
                <c:pt idx="24">
                  <c:v>1336.5991252427</c:v>
                </c:pt>
              </c:numCache>
            </c:numRef>
          </c:val>
          <c:extLst>
            <c:ext xmlns:c16="http://schemas.microsoft.com/office/drawing/2014/chart" uri="{C3380CC4-5D6E-409C-BE32-E72D297353CC}">
              <c16:uniqueId val="{00000004-8052-4E98-9D7B-28B300CD6EA0}"/>
            </c:ext>
          </c:extLst>
        </c:ser>
        <c:ser>
          <c:idx val="5"/>
          <c:order val="5"/>
          <c:tx>
            <c:strRef>
              <c:f>'Results ReCiPe (I) - CC'!$AB$279</c:f>
              <c:strCache>
                <c:ptCount val="1"/>
                <c:pt idx="0">
                  <c:v>Battery</c:v>
                </c:pt>
              </c:strCache>
            </c:strRef>
          </c:tx>
          <c:spPr>
            <a:solidFill>
              <a:schemeClr val="accent6">
                <a:lumMod val="50000"/>
              </a:schemeClr>
            </a:solidFill>
            <a:ln>
              <a:noFill/>
            </a:ln>
            <a:effectLst/>
          </c:spPr>
          <c:invertIfNegative val="0"/>
          <c:cat>
            <c:numRef>
              <c:f>'Results ReCiPe (I) - CC'!$AC$273:$BA$273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CC'!$AC$279:$BA$279</c:f>
              <c:numCache>
                <c:formatCode>0.00E+00</c:formatCode>
                <c:ptCount val="25"/>
                <c:pt idx="0">
                  <c:v>5189.4506444713561</c:v>
                </c:pt>
                <c:pt idx="1">
                  <c:v>5189.4506444713561</c:v>
                </c:pt>
                <c:pt idx="2">
                  <c:v>5189.4506444713561</c:v>
                </c:pt>
                <c:pt idx="3">
                  <c:v>5189.4506444713561</c:v>
                </c:pt>
                <c:pt idx="4">
                  <c:v>5189.4506444713561</c:v>
                </c:pt>
                <c:pt idx="5">
                  <c:v>5189.4506444713561</c:v>
                </c:pt>
                <c:pt idx="6">
                  <c:v>5189.4506444713561</c:v>
                </c:pt>
                <c:pt idx="7">
                  <c:v>5189.4506444713561</c:v>
                </c:pt>
                <c:pt idx="8">
                  <c:v>5189.4506444713561</c:v>
                </c:pt>
                <c:pt idx="9">
                  <c:v>5189.4506444713561</c:v>
                </c:pt>
                <c:pt idx="10">
                  <c:v>5189.4506444713561</c:v>
                </c:pt>
                <c:pt idx="11">
                  <c:v>5189.4506444713561</c:v>
                </c:pt>
                <c:pt idx="12">
                  <c:v>5189.4506444713561</c:v>
                </c:pt>
                <c:pt idx="13">
                  <c:v>5189.4506444713561</c:v>
                </c:pt>
                <c:pt idx="14">
                  <c:v>5189.4506444713561</c:v>
                </c:pt>
                <c:pt idx="15">
                  <c:v>5189.4506444713561</c:v>
                </c:pt>
                <c:pt idx="16">
                  <c:v>5189.4506444713561</c:v>
                </c:pt>
                <c:pt idx="17">
                  <c:v>5189.4506444713561</c:v>
                </c:pt>
                <c:pt idx="18">
                  <c:v>5189.4506444713561</c:v>
                </c:pt>
                <c:pt idx="19">
                  <c:v>5189.4506444713561</c:v>
                </c:pt>
                <c:pt idx="20">
                  <c:v>5189.4506444713561</c:v>
                </c:pt>
                <c:pt idx="21">
                  <c:v>5189.4506444713561</c:v>
                </c:pt>
                <c:pt idx="22">
                  <c:v>5189.4506444713561</c:v>
                </c:pt>
                <c:pt idx="23">
                  <c:v>5189.4506444713561</c:v>
                </c:pt>
                <c:pt idx="24">
                  <c:v>5189.4506444713561</c:v>
                </c:pt>
              </c:numCache>
            </c:numRef>
          </c:val>
          <c:extLst>
            <c:ext xmlns:c16="http://schemas.microsoft.com/office/drawing/2014/chart" uri="{C3380CC4-5D6E-409C-BE32-E72D297353CC}">
              <c16:uniqueId val="{00000005-8052-4E98-9D7B-28B300CD6EA0}"/>
            </c:ext>
          </c:extLst>
        </c:ser>
        <c:ser>
          <c:idx val="6"/>
          <c:order val="6"/>
          <c:tx>
            <c:strRef>
              <c:f>'Results ReCiPe (I) - CC'!$AB$280</c:f>
              <c:strCache>
                <c:ptCount val="1"/>
                <c:pt idx="0">
                  <c:v>Operation - DAC</c:v>
                </c:pt>
              </c:strCache>
            </c:strRef>
          </c:tx>
          <c:spPr>
            <a:solidFill>
              <a:schemeClr val="accent2">
                <a:lumMod val="75000"/>
              </a:schemeClr>
            </a:solidFill>
            <a:ln>
              <a:noFill/>
            </a:ln>
            <a:effectLst/>
          </c:spPr>
          <c:invertIfNegative val="0"/>
          <c:cat>
            <c:numRef>
              <c:f>'Results ReCiPe (I) - CC'!$AC$273:$BA$273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CC'!$AC$280:$BA$280</c:f>
              <c:numCache>
                <c:formatCode>0.00E+00</c:formatCode>
                <c:ptCount val="25"/>
                <c:pt idx="0">
                  <c:v>4244.5331060978733</c:v>
                </c:pt>
                <c:pt idx="1">
                  <c:v>4229.3927379675879</c:v>
                </c:pt>
                <c:pt idx="2">
                  <c:v>4214.7713893195614</c:v>
                </c:pt>
                <c:pt idx="3">
                  <c:v>4171.2530635825487</c:v>
                </c:pt>
                <c:pt idx="4">
                  <c:v>4157.6743804619819</c:v>
                </c:pt>
                <c:pt idx="5">
                  <c:v>4144.3904246089678</c:v>
                </c:pt>
                <c:pt idx="6">
                  <c:v>4131.0473390971711</c:v>
                </c:pt>
                <c:pt idx="7">
                  <c:v>4119.0060395002793</c:v>
                </c:pt>
                <c:pt idx="8">
                  <c:v>4090.0476453670153</c:v>
                </c:pt>
                <c:pt idx="9">
                  <c:v>4080.3749892793389</c:v>
                </c:pt>
                <c:pt idx="10">
                  <c:v>4071.6046769258764</c:v>
                </c:pt>
                <c:pt idx="11">
                  <c:v>4068.0607251164961</c:v>
                </c:pt>
                <c:pt idx="12">
                  <c:v>4065.4995959387952</c:v>
                </c:pt>
                <c:pt idx="13">
                  <c:v>4060.0572512754056</c:v>
                </c:pt>
                <c:pt idx="14">
                  <c:v>4059.2839538929938</c:v>
                </c:pt>
                <c:pt idx="15">
                  <c:v>4059.8559651210817</c:v>
                </c:pt>
                <c:pt idx="16">
                  <c:v>4039.8521662669809</c:v>
                </c:pt>
                <c:pt idx="17">
                  <c:v>4019.9239417808017</c:v>
                </c:pt>
                <c:pt idx="18">
                  <c:v>3996.2228768042128</c:v>
                </c:pt>
                <c:pt idx="19">
                  <c:v>3976.3653610239312</c:v>
                </c:pt>
                <c:pt idx="20">
                  <c:v>3956.4947950562532</c:v>
                </c:pt>
                <c:pt idx="21">
                  <c:v>3941.3360684246945</c:v>
                </c:pt>
                <c:pt idx="22">
                  <c:v>3913.5386851230901</c:v>
                </c:pt>
                <c:pt idx="23">
                  <c:v>3885.7496845051705</c:v>
                </c:pt>
                <c:pt idx="24">
                  <c:v>3857.9605991564572</c:v>
                </c:pt>
              </c:numCache>
            </c:numRef>
          </c:val>
          <c:extLst>
            <c:ext xmlns:c16="http://schemas.microsoft.com/office/drawing/2014/chart" uri="{C3380CC4-5D6E-409C-BE32-E72D297353CC}">
              <c16:uniqueId val="{00000006-8052-4E98-9D7B-28B300CD6EA0}"/>
            </c:ext>
          </c:extLst>
        </c:ser>
        <c:ser>
          <c:idx val="7"/>
          <c:order val="7"/>
          <c:tx>
            <c:strRef>
              <c:f>'Results ReCiPe (I) - CC'!$AB$281</c:f>
              <c:strCache>
                <c:ptCount val="1"/>
                <c:pt idx="0">
                  <c:v>Operation - geological storage</c:v>
                </c:pt>
              </c:strCache>
            </c:strRef>
          </c:tx>
          <c:spPr>
            <a:solidFill>
              <a:schemeClr val="accent2">
                <a:lumMod val="50000"/>
              </a:schemeClr>
            </a:solidFill>
            <a:ln>
              <a:noFill/>
            </a:ln>
            <a:effectLst/>
          </c:spPr>
          <c:invertIfNegative val="0"/>
          <c:cat>
            <c:numRef>
              <c:f>'Results ReCiPe (I) - CC'!$AC$273:$BA$273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CC'!$AC$281:$BA$281</c:f>
              <c:numCache>
                <c:formatCode>0.00E+00</c:formatCode>
                <c:ptCount val="25"/>
                <c:pt idx="0">
                  <c:v>1613.5321416004679</c:v>
                </c:pt>
                <c:pt idx="1">
                  <c:v>1610.2410032403518</c:v>
                </c:pt>
                <c:pt idx="2">
                  <c:v>1606.9633061053703</c:v>
                </c:pt>
                <c:pt idx="3">
                  <c:v>1602.137755196298</c:v>
                </c:pt>
                <c:pt idx="4">
                  <c:v>1598.8905266655599</c:v>
                </c:pt>
                <c:pt idx="5">
                  <c:v>1595.6466002694665</c:v>
                </c:pt>
                <c:pt idx="6">
                  <c:v>1699.6247660288293</c:v>
                </c:pt>
                <c:pt idx="7">
                  <c:v>1802.9612175401339</c:v>
                </c:pt>
                <c:pt idx="8">
                  <c:v>1904.6412470343</c:v>
                </c:pt>
                <c:pt idx="9">
                  <c:v>2006.8337349759126</c:v>
                </c:pt>
                <c:pt idx="10">
                  <c:v>2108.3054936810604</c:v>
                </c:pt>
                <c:pt idx="11">
                  <c:v>2286.5910582510237</c:v>
                </c:pt>
                <c:pt idx="12">
                  <c:v>2464.0699069619536</c:v>
                </c:pt>
                <c:pt idx="13">
                  <c:v>2640.5431401025053</c:v>
                </c:pt>
                <c:pt idx="14">
                  <c:v>2816.3943445448313</c:v>
                </c:pt>
                <c:pt idx="15">
                  <c:v>2991.4341883279881</c:v>
                </c:pt>
                <c:pt idx="16">
                  <c:v>3022.1799413741155</c:v>
                </c:pt>
                <c:pt idx="17">
                  <c:v>3052.8266575616381</c:v>
                </c:pt>
                <c:pt idx="18">
                  <c:v>3083.1998108444259</c:v>
                </c:pt>
                <c:pt idx="19">
                  <c:v>3113.6639645705282</c:v>
                </c:pt>
                <c:pt idx="20">
                  <c:v>3144.0391992134219</c:v>
                </c:pt>
                <c:pt idx="21">
                  <c:v>3181.9728634649555</c:v>
                </c:pt>
                <c:pt idx="22">
                  <c:v>3102.5854544677545</c:v>
                </c:pt>
                <c:pt idx="23">
                  <c:v>3023.252569177283</c:v>
                </c:pt>
                <c:pt idx="24">
                  <c:v>2943.9721773693782</c:v>
                </c:pt>
              </c:numCache>
            </c:numRef>
          </c:val>
          <c:extLst>
            <c:ext xmlns:c16="http://schemas.microsoft.com/office/drawing/2014/chart" uri="{C3380CC4-5D6E-409C-BE32-E72D297353CC}">
              <c16:uniqueId val="{00000007-8052-4E98-9D7B-28B300CD6EA0}"/>
            </c:ext>
          </c:extLst>
        </c:ser>
        <c:ser>
          <c:idx val="8"/>
          <c:order val="8"/>
          <c:tx>
            <c:strRef>
              <c:f>'Results ReCiPe (I) - CC'!$AB$282</c:f>
              <c:strCache>
                <c:ptCount val="1"/>
                <c:pt idx="0">
                  <c:v>CO2 captured and stored</c:v>
                </c:pt>
              </c:strCache>
            </c:strRef>
          </c:tx>
          <c:spPr>
            <a:solidFill>
              <a:schemeClr val="tx2">
                <a:lumMod val="20000"/>
                <a:lumOff val="80000"/>
              </a:schemeClr>
            </a:solidFill>
            <a:ln>
              <a:noFill/>
            </a:ln>
            <a:effectLst/>
          </c:spPr>
          <c:invertIfNegative val="0"/>
          <c:cat>
            <c:numRef>
              <c:f>'Results ReCiPe (I) - CC'!$AC$273:$BA$273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CC'!$AC$282:$BA$282</c:f>
              <c:numCache>
                <c:formatCode>0.00E+00</c:formatCode>
                <c:ptCount val="25"/>
                <c:pt idx="0">
                  <c:v>-50000</c:v>
                </c:pt>
                <c:pt idx="1">
                  <c:v>-50000</c:v>
                </c:pt>
                <c:pt idx="2">
                  <c:v>-50000</c:v>
                </c:pt>
                <c:pt idx="3">
                  <c:v>-50000</c:v>
                </c:pt>
                <c:pt idx="4">
                  <c:v>-50000</c:v>
                </c:pt>
                <c:pt idx="5">
                  <c:v>-50000</c:v>
                </c:pt>
                <c:pt idx="6">
                  <c:v>-50000</c:v>
                </c:pt>
                <c:pt idx="7">
                  <c:v>-50000</c:v>
                </c:pt>
                <c:pt idx="8">
                  <c:v>-50000</c:v>
                </c:pt>
                <c:pt idx="9">
                  <c:v>-50000</c:v>
                </c:pt>
                <c:pt idx="10">
                  <c:v>-50000</c:v>
                </c:pt>
                <c:pt idx="11">
                  <c:v>-50000</c:v>
                </c:pt>
                <c:pt idx="12">
                  <c:v>-50000</c:v>
                </c:pt>
                <c:pt idx="13">
                  <c:v>-50000</c:v>
                </c:pt>
                <c:pt idx="14">
                  <c:v>-50000</c:v>
                </c:pt>
                <c:pt idx="15">
                  <c:v>-50000</c:v>
                </c:pt>
                <c:pt idx="16">
                  <c:v>-50000</c:v>
                </c:pt>
                <c:pt idx="17">
                  <c:v>-50000</c:v>
                </c:pt>
                <c:pt idx="18">
                  <c:v>-50000</c:v>
                </c:pt>
                <c:pt idx="19">
                  <c:v>-50000</c:v>
                </c:pt>
                <c:pt idx="20">
                  <c:v>-50000</c:v>
                </c:pt>
                <c:pt idx="21">
                  <c:v>-50000</c:v>
                </c:pt>
                <c:pt idx="22">
                  <c:v>-50000</c:v>
                </c:pt>
                <c:pt idx="23">
                  <c:v>-50000</c:v>
                </c:pt>
                <c:pt idx="24">
                  <c:v>-50000</c:v>
                </c:pt>
              </c:numCache>
            </c:numRef>
          </c:val>
          <c:extLst>
            <c:ext xmlns:c16="http://schemas.microsoft.com/office/drawing/2014/chart" uri="{C3380CC4-5D6E-409C-BE32-E72D297353CC}">
              <c16:uniqueId val="{00000008-8052-4E98-9D7B-28B300CD6EA0}"/>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(I) - CC'!$AB$283</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cat>
            <c:numRef>
              <c:f>'Results ReCiPe (I) - CC'!$AC$273:$BA$273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CC'!$AC$283:$BA$283</c:f>
              <c:numCache>
                <c:formatCode>0.00E+00</c:formatCode>
                <c:ptCount val="25"/>
                <c:pt idx="0">
                  <c:v>8359.5786752998829</c:v>
                </c:pt>
                <c:pt idx="1">
                  <c:v>-38970.915614320707</c:v>
                </c:pt>
                <c:pt idx="2">
                  <c:v>-38988.814660103715</c:v>
                </c:pt>
                <c:pt idx="3">
                  <c:v>-37638.211159258382</c:v>
                </c:pt>
                <c:pt idx="4">
                  <c:v>-39053.984448401097</c:v>
                </c:pt>
                <c:pt idx="5">
                  <c:v>-39070.512330650206</c:v>
                </c:pt>
                <c:pt idx="6">
                  <c:v>-37585.188886589465</c:v>
                </c:pt>
                <c:pt idx="7">
                  <c:v>-38888.58209848823</c:v>
                </c:pt>
                <c:pt idx="8">
                  <c:v>-38815.860463127327</c:v>
                </c:pt>
                <c:pt idx="9">
                  <c:v>-37330.196821137826</c:v>
                </c:pt>
                <c:pt idx="10">
                  <c:v>-38630.639184921703</c:v>
                </c:pt>
                <c:pt idx="11">
                  <c:v>-38455.89757216112</c:v>
                </c:pt>
                <c:pt idx="12">
                  <c:v>-36883.997077388107</c:v>
                </c:pt>
                <c:pt idx="13">
                  <c:v>-38109.948964150732</c:v>
                </c:pt>
                <c:pt idx="14">
                  <c:v>-37934.871057090815</c:v>
                </c:pt>
                <c:pt idx="15">
                  <c:v>-36358.355862202297</c:v>
                </c:pt>
                <c:pt idx="16">
                  <c:v>-37748.517247887547</c:v>
                </c:pt>
                <c:pt idx="17">
                  <c:v>-37737.798756186203</c:v>
                </c:pt>
                <c:pt idx="18">
                  <c:v>-36348.952539421261</c:v>
                </c:pt>
                <c:pt idx="19">
                  <c:v>-37720.520029934181</c:v>
                </c:pt>
                <c:pt idx="20">
                  <c:v>-37710.015361258964</c:v>
                </c:pt>
                <c:pt idx="21">
                  <c:v>-36323.6954791479</c:v>
                </c:pt>
                <c:pt idx="22">
                  <c:v>-37794.425215937801</c:v>
                </c:pt>
                <c:pt idx="23">
                  <c:v>-37901.54710184619</c:v>
                </c:pt>
                <c:pt idx="24">
                  <c:v>-35803.37896181352</c:v>
                </c:pt>
              </c:numCache>
            </c:numRef>
          </c:val>
          <c:smooth val="0"/>
          <c:extLst>
            <c:ext xmlns:c16="http://schemas.microsoft.com/office/drawing/2014/chart" uri="{C3380CC4-5D6E-409C-BE32-E72D297353CC}">
              <c16:uniqueId val="{00000009-8052-4E98-9D7B-28B300CD6EA0}"/>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Climate change</a:t>
                </a:r>
              </a:p>
              <a:p>
                <a:pPr algn="ctr" rtl="0">
                  <a:defRPr/>
                </a:pPr>
                <a:r>
                  <a:rPr lang="nl-NL"/>
                  <a:t>[kg CO2-eq/ton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(I) - CC'!$AB$334</c:f>
              <c:strCache>
                <c:ptCount val="1"/>
                <c:pt idx="0">
                  <c:v>Construction - DAC</c:v>
                </c:pt>
              </c:strCache>
            </c:strRef>
          </c:tx>
          <c:spPr>
            <a:solidFill>
              <a:schemeClr val="accent4">
                <a:lumMod val="75000"/>
              </a:schemeClr>
            </a:solidFill>
            <a:ln>
              <a:noFill/>
            </a:ln>
            <a:effectLst/>
          </c:spPr>
          <c:invertIfNegative val="0"/>
          <c:cat>
            <c:numRef>
              <c:f>'Results ReCiPe (I) - CC'!$AC$333:$BA$333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CC'!$AC$334:$BA$334</c:f>
              <c:numCache>
                <c:formatCode>0.00E+00</c:formatCode>
                <c:ptCount val="25"/>
                <c:pt idx="0">
                  <c:v>41367.837722487486</c:v>
                </c:pt>
              </c:numCache>
            </c:numRef>
          </c:val>
          <c:extLst>
            <c:ext xmlns:c16="http://schemas.microsoft.com/office/drawing/2014/chart" uri="{C3380CC4-5D6E-409C-BE32-E72D297353CC}">
              <c16:uniqueId val="{00000000-7593-4A00-A4F2-42682FF2D3AE}"/>
            </c:ext>
          </c:extLst>
        </c:ser>
        <c:ser>
          <c:idx val="1"/>
          <c:order val="1"/>
          <c:tx>
            <c:strRef>
              <c:f>'Results ReCiPe (I) - CC'!$AB$335</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(I) - CC'!$AC$333:$BA$333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CC'!$AC$335:$BA$335</c:f>
              <c:numCache>
                <c:formatCode>0.00E+00</c:formatCode>
                <c:ptCount val="25"/>
                <c:pt idx="0">
                  <c:v>1344.7304514343375</c:v>
                </c:pt>
              </c:numCache>
            </c:numRef>
          </c:val>
          <c:extLst>
            <c:ext xmlns:c16="http://schemas.microsoft.com/office/drawing/2014/chart" uri="{C3380CC4-5D6E-409C-BE32-E72D297353CC}">
              <c16:uniqueId val="{00000001-7593-4A00-A4F2-42682FF2D3AE}"/>
            </c:ext>
          </c:extLst>
        </c:ser>
        <c:ser>
          <c:idx val="2"/>
          <c:order val="2"/>
          <c:tx>
            <c:strRef>
              <c:f>'Results ReCiPe (I) - CC'!$AB$336</c:f>
              <c:strCache>
                <c:ptCount val="1"/>
                <c:pt idx="0">
                  <c:v>Deconstruction - DAC</c:v>
                </c:pt>
              </c:strCache>
            </c:strRef>
          </c:tx>
          <c:spPr>
            <a:solidFill>
              <a:schemeClr val="accent2">
                <a:lumMod val="40000"/>
                <a:lumOff val="60000"/>
              </a:schemeClr>
            </a:solidFill>
            <a:ln>
              <a:noFill/>
            </a:ln>
            <a:effectLst/>
          </c:spPr>
          <c:invertIfNegative val="0"/>
          <c:cat>
            <c:numRef>
              <c:f>'Results ReCiPe (I) - CC'!$AC$333:$BA$333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CC'!$AC$336:$BA$336</c:f>
              <c:numCache>
                <c:formatCode>0.00E+00</c:formatCode>
                <c:ptCount val="25"/>
                <c:pt idx="24">
                  <c:v>736.84411269170732</c:v>
                </c:pt>
              </c:numCache>
            </c:numRef>
          </c:val>
          <c:extLst>
            <c:ext xmlns:c16="http://schemas.microsoft.com/office/drawing/2014/chart" uri="{C3380CC4-5D6E-409C-BE32-E72D297353CC}">
              <c16:uniqueId val="{00000002-7593-4A00-A4F2-42682FF2D3AE}"/>
            </c:ext>
          </c:extLst>
        </c:ser>
        <c:ser>
          <c:idx val="3"/>
          <c:order val="3"/>
          <c:tx>
            <c:strRef>
              <c:f>'Results ReCiPe (I) - CC'!$AB$337</c:f>
              <c:strCache>
                <c:ptCount val="1"/>
                <c:pt idx="0">
                  <c:v>Deconstruction - geological storage</c:v>
                </c:pt>
              </c:strCache>
            </c:strRef>
          </c:tx>
          <c:spPr>
            <a:solidFill>
              <a:srgbClr val="FF9900"/>
            </a:solidFill>
            <a:ln>
              <a:noFill/>
            </a:ln>
            <a:effectLst/>
          </c:spPr>
          <c:invertIfNegative val="0"/>
          <c:cat>
            <c:numRef>
              <c:f>'Results ReCiPe (I) - CC'!$AC$333:$BA$333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CC'!$AC$337:$BA$337</c:f>
              <c:numCache>
                <c:formatCode>0.00E+00</c:formatCode>
                <c:ptCount val="25"/>
                <c:pt idx="24">
                  <c:v>11.128105907280078</c:v>
                </c:pt>
              </c:numCache>
            </c:numRef>
          </c:val>
          <c:extLst>
            <c:ext xmlns:c16="http://schemas.microsoft.com/office/drawing/2014/chart" uri="{C3380CC4-5D6E-409C-BE32-E72D297353CC}">
              <c16:uniqueId val="{00000003-7593-4A00-A4F2-42682FF2D3AE}"/>
            </c:ext>
          </c:extLst>
        </c:ser>
        <c:ser>
          <c:idx val="4"/>
          <c:order val="4"/>
          <c:tx>
            <c:strRef>
              <c:f>'Results ReCiPe (I) - CC'!$AB$338</c:f>
              <c:strCache>
                <c:ptCount val="1"/>
                <c:pt idx="0">
                  <c:v>Sorbent material</c:v>
                </c:pt>
              </c:strCache>
            </c:strRef>
          </c:tx>
          <c:spPr>
            <a:solidFill>
              <a:srgbClr val="FF8F8F"/>
            </a:solidFill>
            <a:ln>
              <a:noFill/>
            </a:ln>
            <a:effectLst/>
          </c:spPr>
          <c:invertIfNegative val="0"/>
          <c:cat>
            <c:numRef>
              <c:f>'Results ReCiPe (I) - CC'!$AC$333:$BA$333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CC'!$AC$338:$BA$338</c:f>
              <c:numCache>
                <c:formatCode>0.00E+00</c:formatCode>
                <c:ptCount val="25"/>
                <c:pt idx="0">
                  <c:v>1369.6249485785811</c:v>
                </c:pt>
                <c:pt idx="3">
                  <c:v>1330.201743386594</c:v>
                </c:pt>
                <c:pt idx="6">
                  <c:v>1291.6658561466461</c:v>
                </c:pt>
                <c:pt idx="9">
                  <c:v>1241.1161458074589</c:v>
                </c:pt>
                <c:pt idx="12">
                  <c:v>1178.1152807241949</c:v>
                </c:pt>
                <c:pt idx="15">
                  <c:v>1107.2050594847649</c:v>
                </c:pt>
                <c:pt idx="18">
                  <c:v>1057.185548264049</c:v>
                </c:pt>
                <c:pt idx="21">
                  <c:v>1022.6160132821969</c:v>
                </c:pt>
                <c:pt idx="24">
                  <c:v>1014.652642880409</c:v>
                </c:pt>
              </c:numCache>
            </c:numRef>
          </c:val>
          <c:extLst>
            <c:ext xmlns:c16="http://schemas.microsoft.com/office/drawing/2014/chart" uri="{C3380CC4-5D6E-409C-BE32-E72D297353CC}">
              <c16:uniqueId val="{00000004-7593-4A00-A4F2-42682FF2D3AE}"/>
            </c:ext>
          </c:extLst>
        </c:ser>
        <c:ser>
          <c:idx val="5"/>
          <c:order val="5"/>
          <c:tx>
            <c:strRef>
              <c:f>'Results ReCiPe (I) - CC'!$AB$339</c:f>
              <c:strCache>
                <c:ptCount val="1"/>
                <c:pt idx="0">
                  <c:v>Battery</c:v>
                </c:pt>
              </c:strCache>
            </c:strRef>
          </c:tx>
          <c:spPr>
            <a:solidFill>
              <a:schemeClr val="accent6">
                <a:lumMod val="50000"/>
              </a:schemeClr>
            </a:solidFill>
            <a:ln>
              <a:noFill/>
            </a:ln>
            <a:effectLst/>
          </c:spPr>
          <c:invertIfNegative val="0"/>
          <c:cat>
            <c:numRef>
              <c:f>'Results ReCiPe (I) - CC'!$AC$333:$BA$333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CC'!$AC$339:$BA$339</c:f>
              <c:numCache>
                <c:formatCode>0.00E+00</c:formatCode>
                <c:ptCount val="25"/>
                <c:pt idx="0">
                  <c:v>4746.3452638801691</c:v>
                </c:pt>
                <c:pt idx="1">
                  <c:v>4746.3452638801691</c:v>
                </c:pt>
                <c:pt idx="2">
                  <c:v>4746.3452638801691</c:v>
                </c:pt>
                <c:pt idx="3">
                  <c:v>4746.3452638801691</c:v>
                </c:pt>
                <c:pt idx="4">
                  <c:v>4746.3452638801691</c:v>
                </c:pt>
                <c:pt idx="5">
                  <c:v>4746.3452638801691</c:v>
                </c:pt>
                <c:pt idx="6">
                  <c:v>4746.3452638801691</c:v>
                </c:pt>
                <c:pt idx="7">
                  <c:v>4746.3452638801691</c:v>
                </c:pt>
                <c:pt idx="8">
                  <c:v>4746.3452638801691</c:v>
                </c:pt>
                <c:pt idx="9">
                  <c:v>4746.3452638801691</c:v>
                </c:pt>
                <c:pt idx="10">
                  <c:v>4746.3452638801691</c:v>
                </c:pt>
                <c:pt idx="11">
                  <c:v>4746.3452638801691</c:v>
                </c:pt>
                <c:pt idx="12">
                  <c:v>4746.3452638801691</c:v>
                </c:pt>
                <c:pt idx="13">
                  <c:v>4746.3452638801691</c:v>
                </c:pt>
                <c:pt idx="14">
                  <c:v>4746.3452638801691</c:v>
                </c:pt>
                <c:pt idx="15">
                  <c:v>4746.3452638801691</c:v>
                </c:pt>
                <c:pt idx="16">
                  <c:v>4746.3452638801691</c:v>
                </c:pt>
                <c:pt idx="17">
                  <c:v>4746.3452638801691</c:v>
                </c:pt>
                <c:pt idx="18">
                  <c:v>4746.3452638801691</c:v>
                </c:pt>
                <c:pt idx="19">
                  <c:v>4746.3452638801691</c:v>
                </c:pt>
                <c:pt idx="20">
                  <c:v>4746.3452638801691</c:v>
                </c:pt>
                <c:pt idx="21">
                  <c:v>4746.3452638801691</c:v>
                </c:pt>
                <c:pt idx="22">
                  <c:v>4746.3452638801691</c:v>
                </c:pt>
                <c:pt idx="23">
                  <c:v>4746.3452638801691</c:v>
                </c:pt>
                <c:pt idx="24">
                  <c:v>4746.3452638801691</c:v>
                </c:pt>
              </c:numCache>
            </c:numRef>
          </c:val>
          <c:extLst>
            <c:ext xmlns:c16="http://schemas.microsoft.com/office/drawing/2014/chart" uri="{C3380CC4-5D6E-409C-BE32-E72D297353CC}">
              <c16:uniqueId val="{00000005-7593-4A00-A4F2-42682FF2D3AE}"/>
            </c:ext>
          </c:extLst>
        </c:ser>
        <c:ser>
          <c:idx val="6"/>
          <c:order val="6"/>
          <c:tx>
            <c:strRef>
              <c:f>'Results ReCiPe (I) - CC'!$AB$340</c:f>
              <c:strCache>
                <c:ptCount val="1"/>
                <c:pt idx="0">
                  <c:v>Operation - DAC</c:v>
                </c:pt>
              </c:strCache>
            </c:strRef>
          </c:tx>
          <c:spPr>
            <a:solidFill>
              <a:schemeClr val="accent2">
                <a:lumMod val="75000"/>
              </a:schemeClr>
            </a:solidFill>
            <a:ln>
              <a:noFill/>
            </a:ln>
            <a:effectLst/>
          </c:spPr>
          <c:invertIfNegative val="0"/>
          <c:cat>
            <c:numRef>
              <c:f>'Results ReCiPe (I) - CC'!$AC$333:$BA$333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CC'!$AC$340:$BA$340</c:f>
              <c:numCache>
                <c:formatCode>0.00E+00</c:formatCode>
                <c:ptCount val="25"/>
                <c:pt idx="0">
                  <c:v>3841.7763339966455</c:v>
                </c:pt>
                <c:pt idx="1">
                  <c:v>3764.9631472678157</c:v>
                </c:pt>
                <c:pt idx="2">
                  <c:v>3687.457017269719</c:v>
                </c:pt>
                <c:pt idx="3">
                  <c:v>3580.7789108668862</c:v>
                </c:pt>
                <c:pt idx="4">
                  <c:v>3502.2014670682802</c:v>
                </c:pt>
                <c:pt idx="5">
                  <c:v>3422.9046628068627</c:v>
                </c:pt>
                <c:pt idx="6">
                  <c:v>3345.597270706402</c:v>
                </c:pt>
                <c:pt idx="7">
                  <c:v>3275.2485840409495</c:v>
                </c:pt>
                <c:pt idx="8">
                  <c:v>3190.6588143492413</c:v>
                </c:pt>
                <c:pt idx="9">
                  <c:v>3123.8248889619222</c:v>
                </c:pt>
                <c:pt idx="10">
                  <c:v>3056.5992693884436</c:v>
                </c:pt>
                <c:pt idx="11">
                  <c:v>2983.4641823414868</c:v>
                </c:pt>
                <c:pt idx="12">
                  <c:v>2911.2211639831908</c:v>
                </c:pt>
                <c:pt idx="13">
                  <c:v>2835.231116150027</c:v>
                </c:pt>
                <c:pt idx="14">
                  <c:v>2764.7993848799979</c:v>
                </c:pt>
                <c:pt idx="15">
                  <c:v>2695.2620531225584</c:v>
                </c:pt>
                <c:pt idx="16">
                  <c:v>2645.6593239095728</c:v>
                </c:pt>
                <c:pt idx="17">
                  <c:v>2597.0707734289326</c:v>
                </c:pt>
                <c:pt idx="18">
                  <c:v>2545.5406383026152</c:v>
                </c:pt>
                <c:pt idx="19">
                  <c:v>2499.1035227577117</c:v>
                </c:pt>
                <c:pt idx="20">
                  <c:v>2454.249759533101</c:v>
                </c:pt>
                <c:pt idx="21">
                  <c:v>2448.7684096896573</c:v>
                </c:pt>
                <c:pt idx="22">
                  <c:v>2438.0619376134805</c:v>
                </c:pt>
                <c:pt idx="23">
                  <c:v>2427.4676493286934</c:v>
                </c:pt>
                <c:pt idx="24">
                  <c:v>2416.9929341227371</c:v>
                </c:pt>
              </c:numCache>
            </c:numRef>
          </c:val>
          <c:extLst>
            <c:ext xmlns:c16="http://schemas.microsoft.com/office/drawing/2014/chart" uri="{C3380CC4-5D6E-409C-BE32-E72D297353CC}">
              <c16:uniqueId val="{00000006-7593-4A00-A4F2-42682FF2D3AE}"/>
            </c:ext>
          </c:extLst>
        </c:ser>
        <c:ser>
          <c:idx val="7"/>
          <c:order val="7"/>
          <c:tx>
            <c:strRef>
              <c:f>'Results ReCiPe (I) - CC'!$AB$341</c:f>
              <c:strCache>
                <c:ptCount val="1"/>
                <c:pt idx="0">
                  <c:v>Operation - geological storage</c:v>
                </c:pt>
              </c:strCache>
            </c:strRef>
          </c:tx>
          <c:spPr>
            <a:solidFill>
              <a:schemeClr val="accent2">
                <a:lumMod val="50000"/>
              </a:schemeClr>
            </a:solidFill>
            <a:ln>
              <a:noFill/>
            </a:ln>
            <a:effectLst/>
          </c:spPr>
          <c:invertIfNegative val="0"/>
          <c:cat>
            <c:numRef>
              <c:f>'Results ReCiPe (I) - CC'!$AC$333:$BA$333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CC'!$AC$341:$BA$341</c:f>
              <c:numCache>
                <c:formatCode>0.00E+00</c:formatCode>
                <c:ptCount val="25"/>
                <c:pt idx="0">
                  <c:v>1408.2450078639415</c:v>
                </c:pt>
                <c:pt idx="1">
                  <c:v>1321.5815075891999</c:v>
                </c:pt>
                <c:pt idx="2">
                  <c:v>1235.3277264559536</c:v>
                </c:pt>
                <c:pt idx="3">
                  <c:v>1147.8320673107189</c:v>
                </c:pt>
                <c:pt idx="4">
                  <c:v>1062.3749355644075</c:v>
                </c:pt>
                <c:pt idx="5">
                  <c:v>977.30155895654195</c:v>
                </c:pt>
                <c:pt idx="6">
                  <c:v>911.36301729038803</c:v>
                </c:pt>
                <c:pt idx="7">
                  <c:v>845.72639061400901</c:v>
                </c:pt>
                <c:pt idx="8">
                  <c:v>779.02718448172243</c:v>
                </c:pt>
                <c:pt idx="9">
                  <c:v>713.77674852476696</c:v>
                </c:pt>
                <c:pt idx="10">
                  <c:v>648.68541031567349</c:v>
                </c:pt>
                <c:pt idx="11">
                  <c:v>596.01404522807059</c:v>
                </c:pt>
                <c:pt idx="12">
                  <c:v>543.15769223824998</c:v>
                </c:pt>
                <c:pt idx="13">
                  <c:v>489.839656829533</c:v>
                </c:pt>
                <c:pt idx="14">
                  <c:v>436.62179273825689</c:v>
                </c:pt>
                <c:pt idx="15">
                  <c:v>383.22562978056413</c:v>
                </c:pt>
                <c:pt idx="16">
                  <c:v>355.32030060479968</c:v>
                </c:pt>
                <c:pt idx="17">
                  <c:v>327.32739276592838</c:v>
                </c:pt>
                <c:pt idx="18">
                  <c:v>299.00500846371824</c:v>
                </c:pt>
                <c:pt idx="19">
                  <c:v>270.83920908127266</c:v>
                </c:pt>
                <c:pt idx="20">
                  <c:v>242.59488993165203</c:v>
                </c:pt>
                <c:pt idx="21">
                  <c:v>232.41604059548155</c:v>
                </c:pt>
                <c:pt idx="22">
                  <c:v>220.29946591217265</c:v>
                </c:pt>
                <c:pt idx="23">
                  <c:v>208.17953861546866</c:v>
                </c:pt>
                <c:pt idx="24">
                  <c:v>196.05509039649189</c:v>
                </c:pt>
              </c:numCache>
            </c:numRef>
          </c:val>
          <c:extLst>
            <c:ext xmlns:c16="http://schemas.microsoft.com/office/drawing/2014/chart" uri="{C3380CC4-5D6E-409C-BE32-E72D297353CC}">
              <c16:uniqueId val="{00000007-7593-4A00-A4F2-42682FF2D3AE}"/>
            </c:ext>
          </c:extLst>
        </c:ser>
        <c:ser>
          <c:idx val="8"/>
          <c:order val="8"/>
          <c:tx>
            <c:strRef>
              <c:f>'Results ReCiPe (I) - CC'!$AB$342</c:f>
              <c:strCache>
                <c:ptCount val="1"/>
                <c:pt idx="0">
                  <c:v>CO2 captured and stored</c:v>
                </c:pt>
              </c:strCache>
            </c:strRef>
          </c:tx>
          <c:spPr>
            <a:solidFill>
              <a:schemeClr val="tx2">
                <a:lumMod val="20000"/>
                <a:lumOff val="80000"/>
              </a:schemeClr>
            </a:solidFill>
            <a:ln>
              <a:noFill/>
            </a:ln>
            <a:effectLst/>
          </c:spPr>
          <c:invertIfNegative val="0"/>
          <c:cat>
            <c:numRef>
              <c:f>'Results ReCiPe (I) - CC'!$AC$333:$BA$333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CC'!$AC$342:$BA$342</c:f>
              <c:numCache>
                <c:formatCode>0.00E+00</c:formatCode>
                <c:ptCount val="25"/>
                <c:pt idx="0">
                  <c:v>-50000</c:v>
                </c:pt>
                <c:pt idx="1">
                  <c:v>-50000</c:v>
                </c:pt>
                <c:pt idx="2">
                  <c:v>-50000</c:v>
                </c:pt>
                <c:pt idx="3">
                  <c:v>-50000</c:v>
                </c:pt>
                <c:pt idx="4">
                  <c:v>-50000</c:v>
                </c:pt>
                <c:pt idx="5">
                  <c:v>-50000</c:v>
                </c:pt>
                <c:pt idx="6">
                  <c:v>-50000</c:v>
                </c:pt>
                <c:pt idx="7">
                  <c:v>-50000</c:v>
                </c:pt>
                <c:pt idx="8">
                  <c:v>-50000</c:v>
                </c:pt>
                <c:pt idx="9">
                  <c:v>-50000</c:v>
                </c:pt>
                <c:pt idx="10">
                  <c:v>-50000</c:v>
                </c:pt>
                <c:pt idx="11">
                  <c:v>-50000</c:v>
                </c:pt>
                <c:pt idx="12">
                  <c:v>-50000</c:v>
                </c:pt>
                <c:pt idx="13">
                  <c:v>-50000</c:v>
                </c:pt>
                <c:pt idx="14">
                  <c:v>-50000</c:v>
                </c:pt>
                <c:pt idx="15">
                  <c:v>-50000</c:v>
                </c:pt>
                <c:pt idx="16">
                  <c:v>-50000</c:v>
                </c:pt>
                <c:pt idx="17">
                  <c:v>-50000</c:v>
                </c:pt>
                <c:pt idx="18">
                  <c:v>-50000</c:v>
                </c:pt>
                <c:pt idx="19">
                  <c:v>-50000</c:v>
                </c:pt>
                <c:pt idx="20">
                  <c:v>-50000</c:v>
                </c:pt>
                <c:pt idx="21">
                  <c:v>-50000</c:v>
                </c:pt>
                <c:pt idx="22">
                  <c:v>-50000</c:v>
                </c:pt>
                <c:pt idx="23">
                  <c:v>-50000</c:v>
                </c:pt>
                <c:pt idx="24">
                  <c:v>-50000</c:v>
                </c:pt>
              </c:numCache>
            </c:numRef>
          </c:val>
          <c:extLst>
            <c:ext xmlns:c16="http://schemas.microsoft.com/office/drawing/2014/chart" uri="{C3380CC4-5D6E-409C-BE32-E72D297353CC}">
              <c16:uniqueId val="{00000008-7593-4A00-A4F2-42682FF2D3AE}"/>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(I) - CC'!$AB$343</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cat>
            <c:numRef>
              <c:f>'Results ReCiPe (I) - CC'!$AC$333:$BA$333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CC'!$AC$343:$BA$343</c:f>
              <c:numCache>
                <c:formatCode>0.00E+00</c:formatCode>
                <c:ptCount val="25"/>
                <c:pt idx="0">
                  <c:v>4078.5597282411618</c:v>
                </c:pt>
                <c:pt idx="1">
                  <c:v>-40167.110081262814</c:v>
                </c:pt>
                <c:pt idx="2">
                  <c:v>-40330.86999239416</c:v>
                </c:pt>
                <c:pt idx="3">
                  <c:v>-39194.84201455563</c:v>
                </c:pt>
                <c:pt idx="4">
                  <c:v>-40689.078333487145</c:v>
                </c:pt>
                <c:pt idx="5">
                  <c:v>-40853.448514356423</c:v>
                </c:pt>
                <c:pt idx="6">
                  <c:v>-39705.028591976392</c:v>
                </c:pt>
                <c:pt idx="7">
                  <c:v>-41132.679761464875</c:v>
                </c:pt>
                <c:pt idx="8">
                  <c:v>-41283.968737288866</c:v>
                </c:pt>
                <c:pt idx="9">
                  <c:v>-40174.936952825679</c:v>
                </c:pt>
                <c:pt idx="10">
                  <c:v>-41548.370056415712</c:v>
                </c:pt>
                <c:pt idx="11">
                  <c:v>-41674.17650855027</c:v>
                </c:pt>
                <c:pt idx="12">
                  <c:v>-40621.160599174196</c:v>
                </c:pt>
                <c:pt idx="13">
                  <c:v>-41928.58396314027</c:v>
                </c:pt>
                <c:pt idx="14">
                  <c:v>-42052.233558501575</c:v>
                </c:pt>
                <c:pt idx="15">
                  <c:v>-41067.961993731944</c:v>
                </c:pt>
                <c:pt idx="16">
                  <c:v>-42252.675111605458</c:v>
                </c:pt>
                <c:pt idx="17">
                  <c:v>-42329.256569924968</c:v>
                </c:pt>
                <c:pt idx="18">
                  <c:v>-41351.923541089447</c:v>
                </c:pt>
                <c:pt idx="19">
                  <c:v>-42483.712004280846</c:v>
                </c:pt>
                <c:pt idx="20">
                  <c:v>-42556.810086655081</c:v>
                </c:pt>
                <c:pt idx="21">
                  <c:v>-41549.854272552497</c:v>
                </c:pt>
                <c:pt idx="22">
                  <c:v>-42595.293332594178</c:v>
                </c:pt>
                <c:pt idx="23">
                  <c:v>-42618.007548175665</c:v>
                </c:pt>
                <c:pt idx="24">
                  <c:v>-40877.981850121207</c:v>
                </c:pt>
              </c:numCache>
            </c:numRef>
          </c:val>
          <c:smooth val="0"/>
          <c:extLst>
            <c:ext xmlns:c16="http://schemas.microsoft.com/office/drawing/2014/chart" uri="{C3380CC4-5D6E-409C-BE32-E72D297353CC}">
              <c16:uniqueId val="{00000009-7593-4A00-A4F2-42682FF2D3AE}"/>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Climate change </a:t>
                </a:r>
              </a:p>
              <a:p>
                <a:pPr algn="ctr" rtl="0">
                  <a:defRPr/>
                </a:pPr>
                <a:r>
                  <a:rPr lang="nl-NL"/>
                  <a:t>[kg</a:t>
                </a:r>
                <a:r>
                  <a:rPr lang="nl-NL" baseline="0"/>
                  <a:t> CO2-eq</a:t>
                </a:r>
                <a:r>
                  <a:rPr lang="nl-NL"/>
                  <a:t>/ton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580891821470707"/>
          <c:y val="7.1230981607336832E-2"/>
          <c:w val="0.71896793074763388"/>
          <c:h val="0.90807451676883488"/>
        </c:manualLayout>
      </c:layout>
      <c:scatterChart>
        <c:scatterStyle val="lineMarker"/>
        <c:varyColors val="0"/>
        <c:ser>
          <c:idx val="0"/>
          <c:order val="0"/>
          <c:tx>
            <c:strRef>
              <c:f>'Sensitivity analysis - HHD'!$A$453</c:f>
              <c:strCache>
                <c:ptCount val="1"/>
                <c:pt idx="0">
                  <c:v>Material use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'Sensitivity analysis - HHD'!$F$452:$H$452</c:f>
              <c:numCache>
                <c:formatCode>0%</c:formatCode>
                <c:ptCount val="3"/>
                <c:pt idx="0">
                  <c:v>0.8</c:v>
                </c:pt>
                <c:pt idx="1">
                  <c:v>1</c:v>
                </c:pt>
                <c:pt idx="2">
                  <c:v>1.2</c:v>
                </c:pt>
              </c:numCache>
            </c:numRef>
          </c:xVal>
          <c:yVal>
            <c:numRef>
              <c:f>'Sensitivity analysis - HHD'!$F$453:$H$453</c:f>
              <c:numCache>
                <c:formatCode>0.00E+00</c:formatCode>
                <c:ptCount val="3"/>
                <c:pt idx="0">
                  <c:v>9.9879846374267421E-5</c:v>
                </c:pt>
                <c:pt idx="1">
                  <c:v>1.1416197195825549E-4</c:v>
                </c:pt>
                <c:pt idx="2">
                  <c:v>1.2844409754224318E-4</c:v>
                </c:pt>
              </c:numCache>
            </c:numRef>
          </c:yVal>
          <c:smooth val="0"/>
          <c:extLst>
            <c:ext xmlns:c16="http://schemas.microsoft.com/office/drawing/2014/chart" uri="{C3380CC4-5D6E-409C-BE32-E72D297353CC}">
              <c16:uniqueId val="{00000000-F97A-4BA7-A363-995213455C9F}"/>
            </c:ext>
          </c:extLst>
        </c:ser>
        <c:ser>
          <c:idx val="1"/>
          <c:order val="1"/>
          <c:tx>
            <c:strRef>
              <c:f>'Sensitivity analysis - HHD'!$A$454</c:f>
              <c:strCache>
                <c:ptCount val="1"/>
                <c:pt idx="0">
                  <c:v>Energy use</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('Sensitivity analysis - HHD'!$E$452,'Sensitivity analysis - HHD'!$G$452,'Sensitivity analysis - HHD'!$J$452,'Sensitivity analysis - HHD'!$K$452)</c:f>
              <c:numCache>
                <c:formatCode>0%</c:formatCode>
                <c:ptCount val="4"/>
                <c:pt idx="0">
                  <c:v>0.67</c:v>
                </c:pt>
                <c:pt idx="1">
                  <c:v>1</c:v>
                </c:pt>
                <c:pt idx="2">
                  <c:v>1.67</c:v>
                </c:pt>
                <c:pt idx="3">
                  <c:v>2</c:v>
                </c:pt>
              </c:numCache>
            </c:numRef>
          </c:xVal>
          <c:yVal>
            <c:numRef>
              <c:f>('Sensitivity analysis - HHD'!$E$454,'Sensitivity analysis - HHD'!$G$454,'Sensitivity analysis - HHD'!$J$454,'Sensitivity analysis - HHD'!$K$454)</c:f>
              <c:numCache>
                <c:formatCode>0.00E+00</c:formatCode>
                <c:ptCount val="4"/>
                <c:pt idx="0">
                  <c:v>-1.7480290067089588E-4</c:v>
                </c:pt>
                <c:pt idx="1">
                  <c:v>1.1416197195825549E-4</c:v>
                </c:pt>
                <c:pt idx="2">
                  <c:v>6.9209171721655767E-4</c:v>
                </c:pt>
              </c:numCache>
            </c:numRef>
          </c:yVal>
          <c:smooth val="0"/>
          <c:extLst>
            <c:ext xmlns:c16="http://schemas.microsoft.com/office/drawing/2014/chart" uri="{C3380CC4-5D6E-409C-BE32-E72D297353CC}">
              <c16:uniqueId val="{00000001-F97A-4BA7-A363-995213455C9F}"/>
            </c:ext>
          </c:extLst>
        </c:ser>
        <c:ser>
          <c:idx val="2"/>
          <c:order val="2"/>
          <c:tx>
            <c:strRef>
              <c:f>'Sensitivity analysis - HHD'!$A$455</c:f>
              <c:strCache>
                <c:ptCount val="1"/>
                <c:pt idx="0">
                  <c:v>Lifetime DAC system</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('Sensitivity analysis - HHD'!$F$452,'Sensitivity analysis - HHD'!$G$452)</c:f>
              <c:numCache>
                <c:formatCode>0%</c:formatCode>
                <c:ptCount val="2"/>
                <c:pt idx="0">
                  <c:v>0.8</c:v>
                </c:pt>
                <c:pt idx="1">
                  <c:v>1</c:v>
                </c:pt>
              </c:numCache>
            </c:numRef>
          </c:xVal>
          <c:yVal>
            <c:numRef>
              <c:f>'Sensitivity analysis - HHD'!$F$455:$G$455</c:f>
              <c:numCache>
                <c:formatCode>0.00E+00</c:formatCode>
                <c:ptCount val="2"/>
                <c:pt idx="0">
                  <c:v>3.7470246494781894E-4</c:v>
                </c:pt>
                <c:pt idx="1">
                  <c:v>1.141619719582553E-4</c:v>
                </c:pt>
              </c:numCache>
            </c:numRef>
          </c:yVal>
          <c:smooth val="0"/>
          <c:extLst>
            <c:ext xmlns:c16="http://schemas.microsoft.com/office/drawing/2014/chart" uri="{C3380CC4-5D6E-409C-BE32-E72D297353CC}">
              <c16:uniqueId val="{00000002-F97A-4BA7-A363-995213455C9F}"/>
            </c:ext>
          </c:extLst>
        </c:ser>
        <c:ser>
          <c:idx val="3"/>
          <c:order val="3"/>
          <c:tx>
            <c:strRef>
              <c:f>'Sensitivity analysis - HHD'!$A$456</c:f>
              <c:strCache>
                <c:ptCount val="1"/>
                <c:pt idx="0">
                  <c:v>Lifetime sorbent material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('Sensitivity analysis - HHD'!$C$452,'Sensitivity analysis - HHD'!$G$452,'Sensitivity analysis - HHD'!$J$452)</c:f>
              <c:numCache>
                <c:formatCode>0%</c:formatCode>
                <c:ptCount val="3"/>
                <c:pt idx="0">
                  <c:v>0.33</c:v>
                </c:pt>
                <c:pt idx="1">
                  <c:v>1</c:v>
                </c:pt>
                <c:pt idx="2">
                  <c:v>1.67</c:v>
                </c:pt>
              </c:numCache>
            </c:numRef>
          </c:xVal>
          <c:yVal>
            <c:numRef>
              <c:f>('Sensitivity analysis - HHD'!$C$456,'Sensitivity analysis - HHD'!$G$456,'Sensitivity analysis - HHD'!$J$456)</c:f>
              <c:numCache>
                <c:formatCode>0.00E+00</c:formatCode>
                <c:ptCount val="3"/>
                <c:pt idx="0">
                  <c:v>1.2909862364369974E-4</c:v>
                </c:pt>
                <c:pt idx="1">
                  <c:v>1.1416197195825549E-4</c:v>
                </c:pt>
                <c:pt idx="2">
                  <c:v>1.1044077846027493E-4</c:v>
                </c:pt>
              </c:numCache>
            </c:numRef>
          </c:yVal>
          <c:smooth val="0"/>
          <c:extLst>
            <c:ext xmlns:c16="http://schemas.microsoft.com/office/drawing/2014/chart" uri="{C3380CC4-5D6E-409C-BE32-E72D297353CC}">
              <c16:uniqueId val="{00000003-F97A-4BA7-A363-995213455C9F}"/>
            </c:ext>
          </c:extLst>
        </c:ser>
        <c:ser>
          <c:idx val="4"/>
          <c:order val="4"/>
          <c:tx>
            <c:strRef>
              <c:f>'Sensitivity analysis - HHD'!$A$457</c:f>
              <c:strCache>
                <c:ptCount val="1"/>
                <c:pt idx="0">
                  <c:v>Capacity DAC unit</c:v>
                </c:pt>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numRef>
              <c:f>('Sensitivity analysis - HHD'!$D$452,'Sensitivity analysis - HHD'!$G$452,'Sensitivity analysis - HHD'!$I$452)</c:f>
              <c:numCache>
                <c:formatCode>0%</c:formatCode>
                <c:ptCount val="3"/>
                <c:pt idx="0">
                  <c:v>0.5</c:v>
                </c:pt>
                <c:pt idx="1">
                  <c:v>1</c:v>
                </c:pt>
                <c:pt idx="2">
                  <c:v>1.5</c:v>
                </c:pt>
              </c:numCache>
            </c:numRef>
          </c:xVal>
          <c:yVal>
            <c:numRef>
              <c:f>('Sensitivity analysis - HHD'!$D$457,'Sensitivity analysis - HHD'!$G$457,'Sensitivity analysis - HHD'!$I$457)</c:f>
              <c:numCache>
                <c:formatCode>0.00E+00</c:formatCode>
                <c:ptCount val="3"/>
                <c:pt idx="0">
                  <c:v>1.1563239439165104E-3</c:v>
                </c:pt>
                <c:pt idx="1">
                  <c:v>1.141619719582553E-4</c:v>
                </c:pt>
                <c:pt idx="2">
                  <c:v>-2.3322535202782984E-4</c:v>
                </c:pt>
              </c:numCache>
            </c:numRef>
          </c:yVal>
          <c:smooth val="0"/>
          <c:extLst>
            <c:ext xmlns:c16="http://schemas.microsoft.com/office/drawing/2014/chart" uri="{C3380CC4-5D6E-409C-BE32-E72D297353CC}">
              <c16:uniqueId val="{00000004-F97A-4BA7-A363-995213455C9F}"/>
            </c:ext>
          </c:extLst>
        </c:ser>
        <c:ser>
          <c:idx val="5"/>
          <c:order val="5"/>
          <c:tx>
            <c:strRef>
              <c:f>'Sensitivity analysis - HHD'!$A$458</c:f>
              <c:strCache>
                <c:ptCount val="1"/>
                <c:pt idx="0">
                  <c:v>Capacity factor</c:v>
                </c:pt>
              </c:strCache>
            </c:strRef>
          </c:tx>
          <c:spPr>
            <a:ln w="19050"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xVal>
            <c:numRef>
              <c:f>('Sensitivity analysis - HHD'!$G$452,'Sensitivity analysis - HHD'!$I$452,'Sensitivity analysis - HHD'!$K$452)</c:f>
              <c:numCache>
                <c:formatCode>0%</c:formatCode>
                <c:ptCount val="3"/>
                <c:pt idx="0">
                  <c:v>1</c:v>
                </c:pt>
                <c:pt idx="1">
                  <c:v>1.5</c:v>
                </c:pt>
                <c:pt idx="2">
                  <c:v>2</c:v>
                </c:pt>
              </c:numCache>
            </c:numRef>
          </c:xVal>
          <c:yVal>
            <c:numRef>
              <c:f>('Sensitivity analysis - HHD'!$G$458,'Sensitivity analysis - HHD'!$I$458,'Sensitivity analysis - HHD'!$K$458)</c:f>
              <c:numCache>
                <c:formatCode>0.00E+00</c:formatCode>
                <c:ptCount val="3"/>
                <c:pt idx="0">
                  <c:v>1.141619719582553E-4</c:v>
                </c:pt>
                <c:pt idx="1">
                  <c:v>1.7294998505541326E-5</c:v>
                </c:pt>
                <c:pt idx="2">
                  <c:v>-6.3427479371720393E-5</c:v>
                </c:pt>
              </c:numCache>
            </c:numRef>
          </c:yVal>
          <c:smooth val="0"/>
          <c:extLst>
            <c:ext xmlns:c16="http://schemas.microsoft.com/office/drawing/2014/chart" uri="{C3380CC4-5D6E-409C-BE32-E72D297353CC}">
              <c16:uniqueId val="{00000005-F97A-4BA7-A363-995213455C9F}"/>
            </c:ext>
          </c:extLst>
        </c:ser>
        <c:ser>
          <c:idx val="7"/>
          <c:order val="6"/>
          <c:tx>
            <c:strRef>
              <c:f>'Sensitivity analysis - HHD'!$A$459</c:f>
              <c:strCache>
                <c:ptCount val="1"/>
                <c:pt idx="0">
                  <c:v>Sorbent type - amine on silica</c:v>
                </c:pt>
              </c:strCache>
            </c:strRef>
          </c:tx>
          <c:spPr>
            <a:ln w="19050" cap="rnd">
              <a:noFill/>
              <a:round/>
            </a:ln>
            <a:effectLst/>
          </c:spPr>
          <c:marker>
            <c:symbol val="square"/>
            <c:size val="5"/>
            <c:spPr>
              <a:solidFill>
                <a:srgbClr val="C00000"/>
              </a:solidFill>
              <a:ln w="9525">
                <a:solidFill>
                  <a:srgbClr val="C00000"/>
                </a:solidFill>
              </a:ln>
              <a:effectLst/>
            </c:spPr>
          </c:marker>
          <c:xVal>
            <c:numRef>
              <c:f>'Sensitivity analysis - HHD'!$G$452</c:f>
              <c:numCache>
                <c:formatCode>0%</c:formatCode>
                <c:ptCount val="1"/>
                <c:pt idx="0">
                  <c:v>1</c:v>
                </c:pt>
              </c:numCache>
            </c:numRef>
          </c:xVal>
          <c:yVal>
            <c:numRef>
              <c:f>'Sensitivity analysis - HHD'!$G$459</c:f>
              <c:numCache>
                <c:formatCode>0.00E+00</c:formatCode>
                <c:ptCount val="1"/>
                <c:pt idx="0">
                  <c:v>1.3047995718017743E-4</c:v>
                </c:pt>
              </c:numCache>
            </c:numRef>
          </c:yVal>
          <c:smooth val="0"/>
          <c:extLst>
            <c:ext xmlns:c16="http://schemas.microsoft.com/office/drawing/2014/chart" uri="{C3380CC4-5D6E-409C-BE32-E72D297353CC}">
              <c16:uniqueId val="{00000007-F97A-4BA7-A363-995213455C9F}"/>
            </c:ext>
          </c:extLst>
        </c:ser>
        <c:dLbls>
          <c:showLegendKey val="0"/>
          <c:showVal val="0"/>
          <c:showCatName val="0"/>
          <c:showSerName val="0"/>
          <c:showPercent val="0"/>
          <c:showBubbleSize val="0"/>
        </c:dLbls>
        <c:axId val="894438607"/>
        <c:axId val="1119274239"/>
      </c:scatterChart>
      <c:valAx>
        <c:axId val="894438607"/>
        <c:scaling>
          <c:orientation val="minMax"/>
          <c:max val="2.5"/>
          <c:min val="0"/>
        </c:scaling>
        <c:delete val="0"/>
        <c:axPos val="b"/>
        <c:majorGridlines>
          <c:spPr>
            <a:ln w="9525" cap="flat" cmpd="sng" algn="ctr">
              <a:solidFill>
                <a:schemeClr val="tx1">
                  <a:lumMod val="50000"/>
                  <a:lumOff val="50000"/>
                </a:schemeClr>
              </a:solidFill>
              <a:round/>
            </a:ln>
            <a:effectLst/>
          </c:spPr>
        </c:majorGridlines>
        <c:numFmt formatCode="0%" sourceLinked="1"/>
        <c:majorTickMark val="none"/>
        <c:minorTickMark val="none"/>
        <c:tickLblPos val="high"/>
        <c:spPr>
          <a:noFill/>
          <a:ln w="190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1119274239"/>
        <c:crosses val="autoZero"/>
        <c:crossBetween val="midCat"/>
      </c:valAx>
      <c:valAx>
        <c:axId val="1119274239"/>
        <c:scaling>
          <c:orientation val="minMax"/>
        </c:scaling>
        <c:delete val="0"/>
        <c:axPos val="l"/>
        <c:majorGridlines>
          <c:spPr>
            <a:ln w="9525" cap="flat" cmpd="sng" algn="ctr">
              <a:solidFill>
                <a:schemeClr val="tx1">
                  <a:lumMod val="50000"/>
                  <a:lumOff val="50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r>
                  <a:rPr lang="nl-NL"/>
                  <a:t>Human health damage</a:t>
                </a:r>
              </a:p>
              <a:p>
                <a:pPr>
                  <a:defRPr/>
                </a:pPr>
                <a:r>
                  <a:rPr lang="nl-NL"/>
                  <a:t>[DALY/ton CO</a:t>
                </a:r>
                <a:r>
                  <a:rPr lang="nl-NL" baseline="-25000"/>
                  <a:t>2</a:t>
                </a:r>
                <a:r>
                  <a:rPr lang="nl-NL"/>
                  <a:t> captured and stored]</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title>
        <c:numFmt formatCode="0.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894438607"/>
        <c:crosses val="autoZero"/>
        <c:crossBetween val="midCat"/>
      </c:valAx>
      <c:spPr>
        <a:noFill/>
        <a:ln w="19050">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printSettings>
    <c:headerFooter/>
    <c:pageMargins b="0.75" l="0.7" r="0.7" t="0.75" header="0.3" footer="0.3"/>
    <c:pageSetup/>
  </c:printSettings>
</c:chartSpace>
</file>

<file path=xl/charts/chart1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(I) - CC'!$AB$395</c:f>
              <c:strCache>
                <c:ptCount val="1"/>
                <c:pt idx="0">
                  <c:v>Construction - DAC</c:v>
                </c:pt>
              </c:strCache>
            </c:strRef>
          </c:tx>
          <c:spPr>
            <a:solidFill>
              <a:schemeClr val="accent4">
                <a:lumMod val="75000"/>
              </a:schemeClr>
            </a:solidFill>
            <a:ln>
              <a:noFill/>
            </a:ln>
            <a:effectLst/>
          </c:spPr>
          <c:invertIfNegative val="0"/>
          <c:cat>
            <c:numRef>
              <c:f>'Results ReCiPe (I) - CC'!$AC$394:$BA$394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CC'!$AC$395:$BA$395</c:f>
              <c:numCache>
                <c:formatCode>0.00E+00</c:formatCode>
                <c:ptCount val="25"/>
                <c:pt idx="0">
                  <c:v>32559.330532867891</c:v>
                </c:pt>
              </c:numCache>
            </c:numRef>
          </c:val>
          <c:extLst>
            <c:ext xmlns:c16="http://schemas.microsoft.com/office/drawing/2014/chart" uri="{C3380CC4-5D6E-409C-BE32-E72D297353CC}">
              <c16:uniqueId val="{00000000-D254-4E86-AF82-99E05F2AD42F}"/>
            </c:ext>
          </c:extLst>
        </c:ser>
        <c:ser>
          <c:idx val="1"/>
          <c:order val="1"/>
          <c:tx>
            <c:strRef>
              <c:f>'Results ReCiPe (I) - CC'!$AB$396</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(I) - CC'!$AC$394:$BA$394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CC'!$AC$396:$BA$396</c:f>
              <c:numCache>
                <c:formatCode>0.00E+00</c:formatCode>
                <c:ptCount val="25"/>
                <c:pt idx="0">
                  <c:v>1181.6066146826204</c:v>
                </c:pt>
              </c:numCache>
            </c:numRef>
          </c:val>
          <c:extLst>
            <c:ext xmlns:c16="http://schemas.microsoft.com/office/drawing/2014/chart" uri="{C3380CC4-5D6E-409C-BE32-E72D297353CC}">
              <c16:uniqueId val="{00000001-D254-4E86-AF82-99E05F2AD42F}"/>
            </c:ext>
          </c:extLst>
        </c:ser>
        <c:ser>
          <c:idx val="2"/>
          <c:order val="2"/>
          <c:tx>
            <c:strRef>
              <c:f>'Results ReCiPe (I) - CC'!$AB$397</c:f>
              <c:strCache>
                <c:ptCount val="1"/>
                <c:pt idx="0">
                  <c:v>Deconstruction - DAC</c:v>
                </c:pt>
              </c:strCache>
            </c:strRef>
          </c:tx>
          <c:spPr>
            <a:solidFill>
              <a:schemeClr val="accent2">
                <a:lumMod val="40000"/>
                <a:lumOff val="60000"/>
              </a:schemeClr>
            </a:solidFill>
            <a:ln>
              <a:noFill/>
            </a:ln>
            <a:effectLst/>
          </c:spPr>
          <c:invertIfNegative val="0"/>
          <c:cat>
            <c:numRef>
              <c:f>'Results ReCiPe (I) - CC'!$AC$394:$BA$394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CC'!$AC$397:$BA$397</c:f>
              <c:numCache>
                <c:formatCode>0.00E+00</c:formatCode>
                <c:ptCount val="25"/>
                <c:pt idx="24">
                  <c:v>661.35458655062052</c:v>
                </c:pt>
              </c:numCache>
            </c:numRef>
          </c:val>
          <c:extLst>
            <c:ext xmlns:c16="http://schemas.microsoft.com/office/drawing/2014/chart" uri="{C3380CC4-5D6E-409C-BE32-E72D297353CC}">
              <c16:uniqueId val="{00000002-D254-4E86-AF82-99E05F2AD42F}"/>
            </c:ext>
          </c:extLst>
        </c:ser>
        <c:ser>
          <c:idx val="3"/>
          <c:order val="3"/>
          <c:tx>
            <c:strRef>
              <c:f>'Results ReCiPe (I) - CC'!$AB$398</c:f>
              <c:strCache>
                <c:ptCount val="1"/>
                <c:pt idx="0">
                  <c:v>Deconstruction - geological storage</c:v>
                </c:pt>
              </c:strCache>
            </c:strRef>
          </c:tx>
          <c:spPr>
            <a:solidFill>
              <a:srgbClr val="FF9900"/>
            </a:solidFill>
            <a:ln>
              <a:noFill/>
            </a:ln>
            <a:effectLst/>
          </c:spPr>
          <c:invertIfNegative val="0"/>
          <c:cat>
            <c:numRef>
              <c:f>'Results ReCiPe (I) - CC'!$AC$394:$BA$394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CC'!$AC$398:$BA$398</c:f>
              <c:numCache>
                <c:formatCode>0.00E+00</c:formatCode>
                <c:ptCount val="25"/>
                <c:pt idx="24">
                  <c:v>10.471513648061386</c:v>
                </c:pt>
              </c:numCache>
            </c:numRef>
          </c:val>
          <c:extLst>
            <c:ext xmlns:c16="http://schemas.microsoft.com/office/drawing/2014/chart" uri="{C3380CC4-5D6E-409C-BE32-E72D297353CC}">
              <c16:uniqueId val="{00000003-D254-4E86-AF82-99E05F2AD42F}"/>
            </c:ext>
          </c:extLst>
        </c:ser>
        <c:ser>
          <c:idx val="4"/>
          <c:order val="4"/>
          <c:tx>
            <c:strRef>
              <c:f>'Results ReCiPe (I) - CC'!$AB$399</c:f>
              <c:strCache>
                <c:ptCount val="1"/>
                <c:pt idx="0">
                  <c:v>Sorbent material</c:v>
                </c:pt>
              </c:strCache>
            </c:strRef>
          </c:tx>
          <c:spPr>
            <a:solidFill>
              <a:srgbClr val="FF8F8F"/>
            </a:solidFill>
            <a:ln>
              <a:noFill/>
            </a:ln>
            <a:effectLst/>
          </c:spPr>
          <c:invertIfNegative val="0"/>
          <c:cat>
            <c:numRef>
              <c:f>'Results ReCiPe (I) - CC'!$AC$394:$BA$394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CC'!$AC$399:$BA$399</c:f>
              <c:numCache>
                <c:formatCode>0.00E+00</c:formatCode>
                <c:ptCount val="25"/>
                <c:pt idx="0">
                  <c:v>1147.562206560159</c:v>
                </c:pt>
                <c:pt idx="3">
                  <c:v>1074.05698885017</c:v>
                </c:pt>
                <c:pt idx="6">
                  <c:v>1022.1502722838831</c:v>
                </c:pt>
                <c:pt idx="9">
                  <c:v>1005.159492641253</c:v>
                </c:pt>
                <c:pt idx="12">
                  <c:v>997.28372106165648</c:v>
                </c:pt>
                <c:pt idx="15">
                  <c:v>991.48221426531472</c:v>
                </c:pt>
                <c:pt idx="18">
                  <c:v>983.20946828966578</c:v>
                </c:pt>
                <c:pt idx="21">
                  <c:v>977.06180922356634</c:v>
                </c:pt>
                <c:pt idx="24">
                  <c:v>972.2449306465038</c:v>
                </c:pt>
              </c:numCache>
            </c:numRef>
          </c:val>
          <c:extLst>
            <c:ext xmlns:c16="http://schemas.microsoft.com/office/drawing/2014/chart" uri="{C3380CC4-5D6E-409C-BE32-E72D297353CC}">
              <c16:uniqueId val="{00000004-D254-4E86-AF82-99E05F2AD42F}"/>
            </c:ext>
          </c:extLst>
        </c:ser>
        <c:ser>
          <c:idx val="5"/>
          <c:order val="5"/>
          <c:tx>
            <c:strRef>
              <c:f>'Results ReCiPe (I) - CC'!$AB$400</c:f>
              <c:strCache>
                <c:ptCount val="1"/>
                <c:pt idx="0">
                  <c:v>Battery</c:v>
                </c:pt>
              </c:strCache>
            </c:strRef>
          </c:tx>
          <c:spPr>
            <a:solidFill>
              <a:schemeClr val="accent6">
                <a:lumMod val="50000"/>
              </a:schemeClr>
            </a:solidFill>
            <a:ln>
              <a:noFill/>
            </a:ln>
            <a:effectLst/>
          </c:spPr>
          <c:invertIfNegative val="0"/>
          <c:cat>
            <c:numRef>
              <c:f>'Results ReCiPe (I) - CC'!$AC$394:$BA$394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CC'!$AC$400:$BA$400</c:f>
              <c:numCache>
                <c:formatCode>0.00E+00</c:formatCode>
                <c:ptCount val="25"/>
                <c:pt idx="0">
                  <c:v>349.3150684931507</c:v>
                </c:pt>
                <c:pt idx="1">
                  <c:v>349.3150684931507</c:v>
                </c:pt>
                <c:pt idx="2">
                  <c:v>349.3150684931507</c:v>
                </c:pt>
                <c:pt idx="3">
                  <c:v>349.3150684931507</c:v>
                </c:pt>
                <c:pt idx="4">
                  <c:v>349.3150684931507</c:v>
                </c:pt>
                <c:pt idx="5">
                  <c:v>349.3150684931507</c:v>
                </c:pt>
                <c:pt idx="6">
                  <c:v>349.3150684931507</c:v>
                </c:pt>
                <c:pt idx="7">
                  <c:v>349.3150684931507</c:v>
                </c:pt>
                <c:pt idx="8">
                  <c:v>349.3150684931507</c:v>
                </c:pt>
                <c:pt idx="9">
                  <c:v>349.3150684931507</c:v>
                </c:pt>
                <c:pt idx="10">
                  <c:v>349.3150684931507</c:v>
                </c:pt>
                <c:pt idx="11">
                  <c:v>349.3150684931507</c:v>
                </c:pt>
                <c:pt idx="12">
                  <c:v>349.3150684931507</c:v>
                </c:pt>
                <c:pt idx="13">
                  <c:v>349.3150684931507</c:v>
                </c:pt>
                <c:pt idx="14">
                  <c:v>349.3150684931507</c:v>
                </c:pt>
                <c:pt idx="15">
                  <c:v>349.3150684931507</c:v>
                </c:pt>
                <c:pt idx="16">
                  <c:v>349.3150684931507</c:v>
                </c:pt>
                <c:pt idx="17">
                  <c:v>349.3150684931507</c:v>
                </c:pt>
                <c:pt idx="18">
                  <c:v>349.3150684931507</c:v>
                </c:pt>
                <c:pt idx="19">
                  <c:v>349.3150684931507</c:v>
                </c:pt>
                <c:pt idx="20">
                  <c:v>349.3150684931507</c:v>
                </c:pt>
                <c:pt idx="21">
                  <c:v>349.3150684931507</c:v>
                </c:pt>
                <c:pt idx="22">
                  <c:v>349.3150684931507</c:v>
                </c:pt>
                <c:pt idx="23">
                  <c:v>349.3150684931507</c:v>
                </c:pt>
                <c:pt idx="24">
                  <c:v>349.3150684931507</c:v>
                </c:pt>
              </c:numCache>
            </c:numRef>
          </c:val>
          <c:extLst>
            <c:ext xmlns:c16="http://schemas.microsoft.com/office/drawing/2014/chart" uri="{C3380CC4-5D6E-409C-BE32-E72D297353CC}">
              <c16:uniqueId val="{00000005-D254-4E86-AF82-99E05F2AD42F}"/>
            </c:ext>
          </c:extLst>
        </c:ser>
        <c:ser>
          <c:idx val="6"/>
          <c:order val="6"/>
          <c:tx>
            <c:strRef>
              <c:f>'Results ReCiPe (I) - CC'!$AB$401</c:f>
              <c:strCache>
                <c:ptCount val="1"/>
                <c:pt idx="0">
                  <c:v>Operation - DAC</c:v>
                </c:pt>
              </c:strCache>
            </c:strRef>
          </c:tx>
          <c:spPr>
            <a:solidFill>
              <a:schemeClr val="accent2">
                <a:lumMod val="75000"/>
              </a:schemeClr>
            </a:solidFill>
            <a:ln>
              <a:noFill/>
            </a:ln>
            <a:effectLst/>
          </c:spPr>
          <c:invertIfNegative val="0"/>
          <c:cat>
            <c:numRef>
              <c:f>'Results ReCiPe (I) - CC'!$AC$394:$BA$394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CC'!$AC$401:$BA$401</c:f>
              <c:numCache>
                <c:formatCode>0.00E+00</c:formatCode>
                <c:ptCount val="25"/>
                <c:pt idx="0">
                  <c:v>3081.9014589229741</c:v>
                </c:pt>
                <c:pt idx="1">
                  <c:v>2966.2884553296285</c:v>
                </c:pt>
                <c:pt idx="2">
                  <c:v>2850.6156152843396</c:v>
                </c:pt>
                <c:pt idx="3">
                  <c:v>2707.583414646082</c:v>
                </c:pt>
                <c:pt idx="4">
                  <c:v>2589.9499331626484</c:v>
                </c:pt>
                <c:pt idx="5">
                  <c:v>2472.2532400544419</c:v>
                </c:pt>
                <c:pt idx="6">
                  <c:v>2433.4675850565609</c:v>
                </c:pt>
                <c:pt idx="7">
                  <c:v>2395.0698092667067</c:v>
                </c:pt>
                <c:pt idx="8">
                  <c:v>2341.9200148464979</c:v>
                </c:pt>
                <c:pt idx="9">
                  <c:v>2304.5227831035563</c:v>
                </c:pt>
                <c:pt idx="10">
                  <c:v>2267.7086653341762</c:v>
                </c:pt>
                <c:pt idx="11">
                  <c:v>2247.865746414112</c:v>
                </c:pt>
                <c:pt idx="12">
                  <c:v>2228.5838643819575</c:v>
                </c:pt>
                <c:pt idx="13">
                  <c:v>2205.7296031327046</c:v>
                </c:pt>
                <c:pt idx="14">
                  <c:v>2187.1245376203028</c:v>
                </c:pt>
                <c:pt idx="15">
                  <c:v>2168.8213798107258</c:v>
                </c:pt>
                <c:pt idx="16">
                  <c:v>2151.7153772273559</c:v>
                </c:pt>
                <c:pt idx="17">
                  <c:v>2134.9357697519808</c:v>
                </c:pt>
                <c:pt idx="18">
                  <c:v>2115.5084578535038</c:v>
                </c:pt>
                <c:pt idx="19">
                  <c:v>2099.4082271600396</c:v>
                </c:pt>
                <c:pt idx="20">
                  <c:v>2085.5419811475899</c:v>
                </c:pt>
                <c:pt idx="21">
                  <c:v>2081.4566044505113</c:v>
                </c:pt>
                <c:pt idx="22">
                  <c:v>2073.3249014505486</c:v>
                </c:pt>
                <c:pt idx="23">
                  <c:v>2065.2998337073709</c:v>
                </c:pt>
                <c:pt idx="24">
                  <c:v>2057.3798160176079</c:v>
                </c:pt>
              </c:numCache>
            </c:numRef>
          </c:val>
          <c:extLst>
            <c:ext xmlns:c16="http://schemas.microsoft.com/office/drawing/2014/chart" uri="{C3380CC4-5D6E-409C-BE32-E72D297353CC}">
              <c16:uniqueId val="{00000006-D254-4E86-AF82-99E05F2AD42F}"/>
            </c:ext>
          </c:extLst>
        </c:ser>
        <c:ser>
          <c:idx val="7"/>
          <c:order val="7"/>
          <c:tx>
            <c:strRef>
              <c:f>'Results ReCiPe (I) - CC'!$AB$402</c:f>
              <c:strCache>
                <c:ptCount val="1"/>
                <c:pt idx="0">
                  <c:v>Operation - geological storage</c:v>
                </c:pt>
              </c:strCache>
            </c:strRef>
          </c:tx>
          <c:spPr>
            <a:solidFill>
              <a:schemeClr val="accent2">
                <a:lumMod val="50000"/>
              </a:schemeClr>
            </a:solidFill>
            <a:ln>
              <a:noFill/>
            </a:ln>
            <a:effectLst/>
          </c:spPr>
          <c:invertIfNegative val="0"/>
          <c:cat>
            <c:numRef>
              <c:f>'Results ReCiPe (I) - CC'!$AC$394:$BA$394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CC'!$AC$402:$BA$402</c:f>
              <c:numCache>
                <c:formatCode>0.00E+00</c:formatCode>
                <c:ptCount val="25"/>
                <c:pt idx="0">
                  <c:v>662.49655270129301</c:v>
                </c:pt>
                <c:pt idx="1">
                  <c:v>562.32961433966443</c:v>
                </c:pt>
                <c:pt idx="2">
                  <c:v>462.66209961212456</c:v>
                </c:pt>
                <c:pt idx="3">
                  <c:v>361.69495719210295</c:v>
                </c:pt>
                <c:pt idx="4">
                  <c:v>262.89092026878092</c:v>
                </c:pt>
                <c:pt idx="5">
                  <c:v>164.52815412477776</c:v>
                </c:pt>
                <c:pt idx="6">
                  <c:v>150.01113918569536</c:v>
                </c:pt>
                <c:pt idx="7">
                  <c:v>135.42652868915147</c:v>
                </c:pt>
                <c:pt idx="8">
                  <c:v>119.24620527792815</c:v>
                </c:pt>
                <c:pt idx="9">
                  <c:v>104.4855102854382</c:v>
                </c:pt>
                <c:pt idx="10">
                  <c:v>89.658099607237858</c:v>
                </c:pt>
                <c:pt idx="11">
                  <c:v>87.372730394759344</c:v>
                </c:pt>
                <c:pt idx="12">
                  <c:v>85.091657065752202</c:v>
                </c:pt>
                <c:pt idx="13">
                  <c:v>82.516572419545355</c:v>
                </c:pt>
                <c:pt idx="14">
                  <c:v>80.245782133055457</c:v>
                </c:pt>
                <c:pt idx="15">
                  <c:v>77.9722864025332</c:v>
                </c:pt>
                <c:pt idx="16">
                  <c:v>52.902343981330503</c:v>
                </c:pt>
                <c:pt idx="17">
                  <c:v>27.791876276555882</c:v>
                </c:pt>
                <c:pt idx="18">
                  <c:v>2.4255952987235876</c:v>
                </c:pt>
                <c:pt idx="19">
                  <c:v>-22.749433497491083</c:v>
                </c:pt>
                <c:pt idx="20">
                  <c:v>-47.929349230539351</c:v>
                </c:pt>
                <c:pt idx="21">
                  <c:v>-66.771000967786492</c:v>
                </c:pt>
                <c:pt idx="22">
                  <c:v>-86.787606162258498</c:v>
                </c:pt>
                <c:pt idx="23">
                  <c:v>-106.7995777633687</c:v>
                </c:pt>
                <c:pt idx="24">
                  <c:v>-126.80784113067705</c:v>
                </c:pt>
              </c:numCache>
            </c:numRef>
          </c:val>
          <c:extLst>
            <c:ext xmlns:c16="http://schemas.microsoft.com/office/drawing/2014/chart" uri="{C3380CC4-5D6E-409C-BE32-E72D297353CC}">
              <c16:uniqueId val="{00000007-D254-4E86-AF82-99E05F2AD42F}"/>
            </c:ext>
          </c:extLst>
        </c:ser>
        <c:ser>
          <c:idx val="8"/>
          <c:order val="8"/>
          <c:tx>
            <c:strRef>
              <c:f>'Results ReCiPe (I) - CC'!$AB$403</c:f>
              <c:strCache>
                <c:ptCount val="1"/>
                <c:pt idx="0">
                  <c:v>CO2 captured and stored</c:v>
                </c:pt>
              </c:strCache>
            </c:strRef>
          </c:tx>
          <c:spPr>
            <a:solidFill>
              <a:schemeClr val="tx2">
                <a:lumMod val="20000"/>
                <a:lumOff val="80000"/>
              </a:schemeClr>
            </a:solidFill>
            <a:ln>
              <a:noFill/>
            </a:ln>
            <a:effectLst/>
          </c:spPr>
          <c:invertIfNegative val="0"/>
          <c:cat>
            <c:numRef>
              <c:f>'Results ReCiPe (I) - CC'!$AC$394:$BA$394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CC'!$AC$403:$BA$403</c:f>
              <c:numCache>
                <c:formatCode>0.00E+00</c:formatCode>
                <c:ptCount val="25"/>
                <c:pt idx="0">
                  <c:v>-50000</c:v>
                </c:pt>
                <c:pt idx="1">
                  <c:v>-50000</c:v>
                </c:pt>
                <c:pt idx="2">
                  <c:v>-50000</c:v>
                </c:pt>
                <c:pt idx="3">
                  <c:v>-50000</c:v>
                </c:pt>
                <c:pt idx="4">
                  <c:v>-50000</c:v>
                </c:pt>
                <c:pt idx="5">
                  <c:v>-50000</c:v>
                </c:pt>
                <c:pt idx="6">
                  <c:v>-50000</c:v>
                </c:pt>
                <c:pt idx="7">
                  <c:v>-50000</c:v>
                </c:pt>
                <c:pt idx="8">
                  <c:v>-50000</c:v>
                </c:pt>
                <c:pt idx="9">
                  <c:v>-50000</c:v>
                </c:pt>
                <c:pt idx="10">
                  <c:v>-50000</c:v>
                </c:pt>
                <c:pt idx="11">
                  <c:v>-50000</c:v>
                </c:pt>
                <c:pt idx="12">
                  <c:v>-50000</c:v>
                </c:pt>
                <c:pt idx="13">
                  <c:v>-50000</c:v>
                </c:pt>
                <c:pt idx="14">
                  <c:v>-50000</c:v>
                </c:pt>
                <c:pt idx="15">
                  <c:v>-50000</c:v>
                </c:pt>
                <c:pt idx="16">
                  <c:v>-50000</c:v>
                </c:pt>
                <c:pt idx="17">
                  <c:v>-50000</c:v>
                </c:pt>
                <c:pt idx="18">
                  <c:v>-50000</c:v>
                </c:pt>
                <c:pt idx="19">
                  <c:v>-50000</c:v>
                </c:pt>
                <c:pt idx="20">
                  <c:v>-50000</c:v>
                </c:pt>
                <c:pt idx="21">
                  <c:v>-50000</c:v>
                </c:pt>
                <c:pt idx="22">
                  <c:v>-50000</c:v>
                </c:pt>
                <c:pt idx="23">
                  <c:v>-50000</c:v>
                </c:pt>
                <c:pt idx="24">
                  <c:v>-50000</c:v>
                </c:pt>
              </c:numCache>
            </c:numRef>
          </c:val>
          <c:extLst>
            <c:ext xmlns:c16="http://schemas.microsoft.com/office/drawing/2014/chart" uri="{C3380CC4-5D6E-409C-BE32-E72D297353CC}">
              <c16:uniqueId val="{00000008-D254-4E86-AF82-99E05F2AD42F}"/>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(I) - CC'!$AB$404</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cat>
            <c:numRef>
              <c:f>'Results ReCiPe (I) - CC'!$AC$394:$BA$394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(I) - CC'!$AC$404:$BA$404</c:f>
              <c:numCache>
                <c:formatCode>0.00E+00</c:formatCode>
                <c:ptCount val="25"/>
                <c:pt idx="0">
                  <c:v>-11017.787565771912</c:v>
                </c:pt>
                <c:pt idx="1">
                  <c:v>-46122.066861837557</c:v>
                </c:pt>
                <c:pt idx="2">
                  <c:v>-46337.407216610387</c:v>
                </c:pt>
                <c:pt idx="3">
                  <c:v>-45507.349570818493</c:v>
                </c:pt>
                <c:pt idx="4">
                  <c:v>-46797.844078075417</c:v>
                </c:pt>
                <c:pt idx="5">
                  <c:v>-47013.903537327627</c:v>
                </c:pt>
                <c:pt idx="6">
                  <c:v>-46045.055934980708</c:v>
                </c:pt>
                <c:pt idx="7">
                  <c:v>-47120.188593550993</c:v>
                </c:pt>
                <c:pt idx="8">
                  <c:v>-47189.518711382421</c:v>
                </c:pt>
                <c:pt idx="9">
                  <c:v>-46236.517145476602</c:v>
                </c:pt>
                <c:pt idx="10">
                  <c:v>-47293.318166565434</c:v>
                </c:pt>
                <c:pt idx="11">
                  <c:v>-47315.44645469798</c:v>
                </c:pt>
                <c:pt idx="12">
                  <c:v>-46339.725688997481</c:v>
                </c:pt>
                <c:pt idx="13">
                  <c:v>-47362.438755954601</c:v>
                </c:pt>
                <c:pt idx="14">
                  <c:v>-47383.314611753492</c:v>
                </c:pt>
                <c:pt idx="15">
                  <c:v>-46412.409051028277</c:v>
                </c:pt>
                <c:pt idx="16">
                  <c:v>-47446.067210298163</c:v>
                </c:pt>
                <c:pt idx="17">
                  <c:v>-47487.957285478311</c:v>
                </c:pt>
                <c:pt idx="18">
                  <c:v>-46549.541410064958</c:v>
                </c:pt>
                <c:pt idx="19">
                  <c:v>-47574.026137844303</c:v>
                </c:pt>
                <c:pt idx="20">
                  <c:v>-47613.072299589796</c:v>
                </c:pt>
                <c:pt idx="21">
                  <c:v>-46658.937518800558</c:v>
                </c:pt>
                <c:pt idx="22">
                  <c:v>-47664.147636218557</c:v>
                </c:pt>
                <c:pt idx="23">
                  <c:v>-47692.18467556285</c:v>
                </c:pt>
                <c:pt idx="24">
                  <c:v>-46076.041925774734</c:v>
                </c:pt>
              </c:numCache>
            </c:numRef>
          </c:val>
          <c:smooth val="0"/>
          <c:extLst>
            <c:ext xmlns:c16="http://schemas.microsoft.com/office/drawing/2014/chart" uri="{C3380CC4-5D6E-409C-BE32-E72D297353CC}">
              <c16:uniqueId val="{00000009-D254-4E86-AF82-99E05F2AD42F}"/>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Climate change</a:t>
                </a:r>
              </a:p>
              <a:p>
                <a:pPr algn="ctr" rtl="0">
                  <a:defRPr/>
                </a:pPr>
                <a:r>
                  <a:rPr lang="nl-NL"/>
                  <a:t>[kg CO2-eq/ton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HHD ship'!$AB$10</c:f>
              <c:strCache>
                <c:ptCount val="1"/>
                <c:pt idx="0">
                  <c:v>Construction - DAC</c:v>
                </c:pt>
              </c:strCache>
            </c:strRef>
          </c:tx>
          <c:spPr>
            <a:solidFill>
              <a:schemeClr val="accent4">
                <a:lumMod val="75000"/>
              </a:schemeClr>
            </a:solidFill>
            <a:ln>
              <a:noFill/>
            </a:ln>
            <a:effectLst/>
          </c:spPr>
          <c:invertIfNegative val="0"/>
          <c:val>
            <c:numRef>
              <c:f>'Results ReCiPe (H) - HHD ship'!$AC$10:$BA$10</c:f>
              <c:numCache>
                <c:formatCode>0.00E+00</c:formatCode>
                <c:ptCount val="25"/>
                <c:pt idx="0">
                  <c:v>0.16713320096113157</c:v>
                </c:pt>
              </c:numCache>
            </c:numRef>
          </c:val>
          <c:extLst>
            <c:ext xmlns:c15="http://schemas.microsoft.com/office/drawing/2012/chart" uri="{02D57815-91ED-43cb-92C2-25804820EDAC}">
              <c15:filteredCategoryTitle>
                <c15:cat>
                  <c:numRef>
                    <c:extLst>
                      <c:ext uri="{02D57815-91ED-43cb-92C2-25804820EDAC}">
                        <c15:formulaRef>
                          <c15:sqref>'Results ReCiPe (H) - HHD ship'!$AC$9:$BA$9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0-0B1D-4C0D-A8E1-FB02F7B4398C}"/>
            </c:ext>
          </c:extLst>
        </c:ser>
        <c:ser>
          <c:idx val="1"/>
          <c:order val="1"/>
          <c:tx>
            <c:strRef>
              <c:f>'Results ReCiPe (H) - HHD ship'!$AB$11</c:f>
              <c:strCache>
                <c:ptCount val="1"/>
                <c:pt idx="0">
                  <c:v>Construction - geological storage</c:v>
                </c:pt>
              </c:strCache>
            </c:strRef>
          </c:tx>
          <c:spPr>
            <a:solidFill>
              <a:schemeClr val="accent4">
                <a:lumMod val="60000"/>
                <a:lumOff val="40000"/>
              </a:schemeClr>
            </a:solidFill>
            <a:ln>
              <a:noFill/>
            </a:ln>
            <a:effectLst/>
          </c:spPr>
          <c:invertIfNegative val="0"/>
          <c:val>
            <c:numRef>
              <c:f>'Results ReCiPe (H) - HHD ship'!$AC$11:$BA$11</c:f>
              <c:numCache>
                <c:formatCode>0.00E+00</c:formatCode>
                <c:ptCount val="25"/>
                <c:pt idx="0">
                  <c:v>1.0010028574258376E-2</c:v>
                </c:pt>
              </c:numCache>
            </c:numRef>
          </c:val>
          <c:extLst>
            <c:ext xmlns:c15="http://schemas.microsoft.com/office/drawing/2012/chart" uri="{02D57815-91ED-43cb-92C2-25804820EDAC}">
              <c15:filteredCategoryTitle>
                <c15:cat>
                  <c:numRef>
                    <c:extLst>
                      <c:ext uri="{02D57815-91ED-43cb-92C2-25804820EDAC}">
                        <c15:formulaRef>
                          <c15:sqref>'Results ReCiPe (H) - HHD ship'!$AC$9:$BA$9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1-0B1D-4C0D-A8E1-FB02F7B4398C}"/>
            </c:ext>
          </c:extLst>
        </c:ser>
        <c:ser>
          <c:idx val="2"/>
          <c:order val="2"/>
          <c:tx>
            <c:strRef>
              <c:f>'Results ReCiPe (H) - HHD ship'!$AB$12</c:f>
              <c:strCache>
                <c:ptCount val="1"/>
                <c:pt idx="0">
                  <c:v>Deconstruction - DAC</c:v>
                </c:pt>
              </c:strCache>
            </c:strRef>
          </c:tx>
          <c:spPr>
            <a:solidFill>
              <a:schemeClr val="accent2">
                <a:lumMod val="40000"/>
                <a:lumOff val="60000"/>
              </a:schemeClr>
            </a:solidFill>
            <a:ln>
              <a:noFill/>
            </a:ln>
            <a:effectLst/>
          </c:spPr>
          <c:invertIfNegative val="0"/>
          <c:val>
            <c:numRef>
              <c:f>'Results ReCiPe (H) - HHD ship'!$AC$12:$BA$12</c:f>
              <c:numCache>
                <c:formatCode>0.00E+00</c:formatCode>
                <c:ptCount val="25"/>
                <c:pt idx="24">
                  <c:v>1.3460715242108881E-3</c:v>
                </c:pt>
              </c:numCache>
            </c:numRef>
          </c:val>
          <c:extLst>
            <c:ext xmlns:c15="http://schemas.microsoft.com/office/drawing/2012/chart" uri="{02D57815-91ED-43cb-92C2-25804820EDAC}">
              <c15:filteredCategoryTitle>
                <c15:cat>
                  <c:numRef>
                    <c:extLst>
                      <c:ext uri="{02D57815-91ED-43cb-92C2-25804820EDAC}">
                        <c15:formulaRef>
                          <c15:sqref>'Results ReCiPe (H) - HHD ship'!$AC$9:$BA$9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2-0B1D-4C0D-A8E1-FB02F7B4398C}"/>
            </c:ext>
          </c:extLst>
        </c:ser>
        <c:ser>
          <c:idx val="3"/>
          <c:order val="3"/>
          <c:tx>
            <c:strRef>
              <c:f>'Results ReCiPe (H) - HHD ship'!$AB$13</c:f>
              <c:strCache>
                <c:ptCount val="1"/>
                <c:pt idx="0">
                  <c:v>Deconstruction - geological storage</c:v>
                </c:pt>
              </c:strCache>
            </c:strRef>
          </c:tx>
          <c:spPr>
            <a:solidFill>
              <a:srgbClr val="FF9900"/>
            </a:solidFill>
            <a:ln>
              <a:noFill/>
            </a:ln>
            <a:effectLst/>
          </c:spPr>
          <c:invertIfNegative val="0"/>
          <c:val>
            <c:numRef>
              <c:f>'Results ReCiPe (H) - HHD ship'!$AC$13:$BA$13</c:f>
              <c:numCache>
                <c:formatCode>0.00E+00</c:formatCode>
                <c:ptCount val="25"/>
                <c:pt idx="24">
                  <c:v>3.7268740247547826E-5</c:v>
                </c:pt>
              </c:numCache>
            </c:numRef>
          </c:val>
          <c:extLst>
            <c:ext xmlns:c15="http://schemas.microsoft.com/office/drawing/2012/chart" uri="{02D57815-91ED-43cb-92C2-25804820EDAC}">
              <c15:filteredCategoryTitle>
                <c15:cat>
                  <c:numRef>
                    <c:extLst>
                      <c:ext uri="{02D57815-91ED-43cb-92C2-25804820EDAC}">
                        <c15:formulaRef>
                          <c15:sqref>'Results ReCiPe (H) - HHD ship'!$AC$9:$BA$9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3-0B1D-4C0D-A8E1-FB02F7B4398C}"/>
            </c:ext>
          </c:extLst>
        </c:ser>
        <c:ser>
          <c:idx val="4"/>
          <c:order val="4"/>
          <c:tx>
            <c:strRef>
              <c:f>'Results ReCiPe (H) - HHD ship'!$AB$14</c:f>
              <c:strCache>
                <c:ptCount val="1"/>
                <c:pt idx="0">
                  <c:v>Sorbent material</c:v>
                </c:pt>
              </c:strCache>
            </c:strRef>
          </c:tx>
          <c:spPr>
            <a:solidFill>
              <a:srgbClr val="FF8F8F"/>
            </a:solidFill>
            <a:ln>
              <a:noFill/>
            </a:ln>
            <a:effectLst/>
          </c:spPr>
          <c:invertIfNegative val="0"/>
          <c:val>
            <c:numRef>
              <c:f>'Results ReCiPe (H) - HHD ship'!$AC$14:$BA$14</c:f>
              <c:numCache>
                <c:formatCode>0.00E+00</c:formatCode>
                <c:ptCount val="25"/>
                <c:pt idx="0">
                  <c:v>2.357201361606037E-3</c:v>
                </c:pt>
                <c:pt idx="3">
                  <c:v>2.338551887019074E-3</c:v>
                </c:pt>
                <c:pt idx="6">
                  <c:v>2.3329664166207272E-3</c:v>
                </c:pt>
                <c:pt idx="9">
                  <c:v>2.334292606370443E-3</c:v>
                </c:pt>
                <c:pt idx="12">
                  <c:v>2.344407424713253E-3</c:v>
                </c:pt>
                <c:pt idx="15">
                  <c:v>2.3564976098142901E-3</c:v>
                </c:pt>
                <c:pt idx="18">
                  <c:v>2.3307713043124539E-3</c:v>
                </c:pt>
                <c:pt idx="21">
                  <c:v>2.3230274489819871E-3</c:v>
                </c:pt>
                <c:pt idx="24">
                  <c:v>2.2803262576522711E-3</c:v>
                </c:pt>
              </c:numCache>
            </c:numRef>
          </c:val>
          <c:extLst>
            <c:ext xmlns:c15="http://schemas.microsoft.com/office/drawing/2012/chart" uri="{02D57815-91ED-43cb-92C2-25804820EDAC}">
              <c15:filteredCategoryTitle>
                <c15:cat>
                  <c:numRef>
                    <c:extLst>
                      <c:ext uri="{02D57815-91ED-43cb-92C2-25804820EDAC}">
                        <c15:formulaRef>
                          <c15:sqref>'Results ReCiPe (H) - HHD ship'!$AC$9:$BA$9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4-0B1D-4C0D-A8E1-FB02F7B4398C}"/>
            </c:ext>
          </c:extLst>
        </c:ser>
        <c:ser>
          <c:idx val="5"/>
          <c:order val="5"/>
          <c:tx>
            <c:strRef>
              <c:f>'Results ReCiPe (H) - HHD ship'!$AB$15</c:f>
              <c:strCache>
                <c:ptCount val="1"/>
                <c:pt idx="0">
                  <c:v>Operation - DAC</c:v>
                </c:pt>
              </c:strCache>
            </c:strRef>
          </c:tx>
          <c:spPr>
            <a:solidFill>
              <a:schemeClr val="accent2">
                <a:lumMod val="75000"/>
              </a:schemeClr>
            </a:solidFill>
            <a:ln>
              <a:noFill/>
            </a:ln>
            <a:effectLst/>
          </c:spPr>
          <c:invertIfNegative val="0"/>
          <c:val>
            <c:numRef>
              <c:f>'Results ReCiPe (H) - HHD ship'!$AC$15:$BA$15</c:f>
              <c:numCache>
                <c:formatCode>0.00E+00</c:formatCode>
                <c:ptCount val="25"/>
                <c:pt idx="0">
                  <c:v>7.0909447305629536E-2</c:v>
                </c:pt>
                <c:pt idx="1">
                  <c:v>7.0729597576853487E-2</c:v>
                </c:pt>
                <c:pt idx="2">
                  <c:v>7.0528013548315796E-2</c:v>
                </c:pt>
                <c:pt idx="3">
                  <c:v>7.0277665591519128E-2</c:v>
                </c:pt>
                <c:pt idx="4">
                  <c:v>7.0067641490333468E-2</c:v>
                </c:pt>
                <c:pt idx="5">
                  <c:v>6.9856831166697067E-2</c:v>
                </c:pt>
                <c:pt idx="6">
                  <c:v>7.4731708484015391E-2</c:v>
                </c:pt>
                <c:pt idx="7">
                  <c:v>7.95967100678793E-2</c:v>
                </c:pt>
                <c:pt idx="8">
                  <c:v>8.4428256444418356E-2</c:v>
                </c:pt>
                <c:pt idx="9">
                  <c:v>8.9277421687728051E-2</c:v>
                </c:pt>
                <c:pt idx="10">
                  <c:v>9.4114118961245261E-2</c:v>
                </c:pt>
                <c:pt idx="11">
                  <c:v>0.10344985773162441</c:v>
                </c:pt>
                <c:pt idx="12">
                  <c:v>0.1127973450767826</c:v>
                </c:pt>
                <c:pt idx="13">
                  <c:v>0.122153450710752</c:v>
                </c:pt>
                <c:pt idx="14">
                  <c:v>0.13152565619576609</c:v>
                </c:pt>
                <c:pt idx="15">
                  <c:v>0.1409102799444979</c:v>
                </c:pt>
                <c:pt idx="16">
                  <c:v>0.14167302400756779</c:v>
                </c:pt>
                <c:pt idx="17">
                  <c:v>0.1424294071090331</c:v>
                </c:pt>
                <c:pt idx="18">
                  <c:v>0.1431766533539571</c:v>
                </c:pt>
                <c:pt idx="19">
                  <c:v>0.14392400712011769</c:v>
                </c:pt>
                <c:pt idx="20">
                  <c:v>0.14466707061247311</c:v>
                </c:pt>
                <c:pt idx="21">
                  <c:v>0.1424172327919703</c:v>
                </c:pt>
                <c:pt idx="22">
                  <c:v>0.13830319413001299</c:v>
                </c:pt>
                <c:pt idx="23">
                  <c:v>0.13417541973035349</c:v>
                </c:pt>
                <c:pt idx="24">
                  <c:v>0.13003377225450399</c:v>
                </c:pt>
              </c:numCache>
            </c:numRef>
          </c:val>
          <c:extLst>
            <c:ext xmlns:c15="http://schemas.microsoft.com/office/drawing/2012/chart" uri="{02D57815-91ED-43cb-92C2-25804820EDAC}">
              <c15:filteredCategoryTitle>
                <c15:cat>
                  <c:numRef>
                    <c:extLst>
                      <c:ext uri="{02D57815-91ED-43cb-92C2-25804820EDAC}">
                        <c15:formulaRef>
                          <c15:sqref>'Results ReCiPe (H) - HHD ship'!$AC$9:$BA$9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5-0B1D-4C0D-A8E1-FB02F7B4398C}"/>
            </c:ext>
          </c:extLst>
        </c:ser>
        <c:ser>
          <c:idx val="6"/>
          <c:order val="6"/>
          <c:tx>
            <c:strRef>
              <c:f>'Results ReCiPe (H) - HHD ship'!$AB$16</c:f>
              <c:strCache>
                <c:ptCount val="1"/>
                <c:pt idx="0">
                  <c:v>Operation - geological storage</c:v>
                </c:pt>
              </c:strCache>
            </c:strRef>
          </c:tx>
          <c:spPr>
            <a:solidFill>
              <a:schemeClr val="accent2">
                <a:lumMod val="50000"/>
              </a:schemeClr>
            </a:solidFill>
            <a:ln>
              <a:noFill/>
            </a:ln>
            <a:effectLst/>
          </c:spPr>
          <c:invertIfNegative val="0"/>
          <c:val>
            <c:numRef>
              <c:f>'Results ReCiPe (H) - HHD ship'!$AC$16:$BA$16</c:f>
              <c:numCache>
                <c:formatCode>0.00E+00</c:formatCode>
                <c:ptCount val="25"/>
                <c:pt idx="0">
                  <c:v>9.4509612337422E-3</c:v>
                </c:pt>
                <c:pt idx="1">
                  <c:v>9.4300859449296531E-3</c:v>
                </c:pt>
                <c:pt idx="2">
                  <c:v>9.4075908428544984E-3</c:v>
                </c:pt>
                <c:pt idx="3">
                  <c:v>9.3807128369535597E-3</c:v>
                </c:pt>
                <c:pt idx="4">
                  <c:v>9.3576402034245727E-3</c:v>
                </c:pt>
                <c:pt idx="5">
                  <c:v>9.3345481417857444E-3</c:v>
                </c:pt>
                <c:pt idx="6">
                  <c:v>9.6974695693430348E-3</c:v>
                </c:pt>
                <c:pt idx="7">
                  <c:v>1.005863086193929E-2</c:v>
                </c:pt>
                <c:pt idx="8">
                  <c:v>1.0415868774464919E-2</c:v>
                </c:pt>
                <c:pt idx="9">
                  <c:v>1.077380929272472E-2</c:v>
                </c:pt>
                <c:pt idx="10">
                  <c:v>1.112979696433317E-2</c:v>
                </c:pt>
                <c:pt idx="11">
                  <c:v>1.1824474038243949E-2</c:v>
                </c:pt>
                <c:pt idx="12">
                  <c:v>1.2518462685333581E-2</c:v>
                </c:pt>
                <c:pt idx="13">
                  <c:v>1.3211451215725391E-2</c:v>
                </c:pt>
                <c:pt idx="14">
                  <c:v>1.3904157911509731E-2</c:v>
                </c:pt>
                <c:pt idx="15">
                  <c:v>1.4596222288785311E-2</c:v>
                </c:pt>
                <c:pt idx="16">
                  <c:v>1.4642981122621862E-2</c:v>
                </c:pt>
                <c:pt idx="17">
                  <c:v>1.468914070479437E-2</c:v>
                </c:pt>
                <c:pt idx="18">
                  <c:v>1.473439348560146E-2</c:v>
                </c:pt>
                <c:pt idx="19">
                  <c:v>1.4779630705440812E-2</c:v>
                </c:pt>
                <c:pt idx="20">
                  <c:v>1.4824423246048289E-2</c:v>
                </c:pt>
                <c:pt idx="21">
                  <c:v>1.4647710254092741E-2</c:v>
                </c:pt>
                <c:pt idx="22">
                  <c:v>1.4322735027341018E-2</c:v>
                </c:pt>
                <c:pt idx="23">
                  <c:v>1.399794309042934E-2</c:v>
                </c:pt>
                <c:pt idx="24">
                  <c:v>1.3673325875907229E-2</c:v>
                </c:pt>
              </c:numCache>
            </c:numRef>
          </c:val>
          <c:extLst>
            <c:ext xmlns:c15="http://schemas.microsoft.com/office/drawing/2012/chart" uri="{02D57815-91ED-43cb-92C2-25804820EDAC}">
              <c15:filteredCategoryTitle>
                <c15:cat>
                  <c:numRef>
                    <c:extLst>
                      <c:ext uri="{02D57815-91ED-43cb-92C2-25804820EDAC}">
                        <c15:formulaRef>
                          <c15:sqref>'Results ReCiPe (H) - HHD ship'!$AC$9:$BA$9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6-0B1D-4C0D-A8E1-FB02F7B4398C}"/>
            </c:ext>
          </c:extLst>
        </c:ser>
        <c:ser>
          <c:idx val="7"/>
          <c:order val="7"/>
          <c:tx>
            <c:strRef>
              <c:f>'Results ReCiPe (H) - HHD ship'!$AB$17</c:f>
              <c:strCache>
                <c:ptCount val="1"/>
                <c:pt idx="0">
                  <c:v>CO2 captured and stored</c:v>
                </c:pt>
              </c:strCache>
            </c:strRef>
          </c:tx>
          <c:spPr>
            <a:solidFill>
              <a:schemeClr val="tx2">
                <a:lumMod val="20000"/>
                <a:lumOff val="80000"/>
              </a:schemeClr>
            </a:solidFill>
            <a:ln>
              <a:noFill/>
            </a:ln>
            <a:effectLst/>
          </c:spPr>
          <c:invertIfNegative val="0"/>
          <c:val>
            <c:numRef>
              <c:f>'Results ReCiPe (H) - HHD ship'!$AC$17:$BA$17</c:f>
              <c:numCache>
                <c:formatCode>0.00E+00</c:formatCode>
                <c:ptCount val="25"/>
                <c:pt idx="0">
                  <c:v>-9.2799999999999994E-2</c:v>
                </c:pt>
                <c:pt idx="1">
                  <c:v>-9.2799999999999994E-2</c:v>
                </c:pt>
                <c:pt idx="2">
                  <c:v>-9.2799999999999994E-2</c:v>
                </c:pt>
                <c:pt idx="3">
                  <c:v>-9.2799999999999994E-2</c:v>
                </c:pt>
                <c:pt idx="4">
                  <c:v>-9.2799999999999994E-2</c:v>
                </c:pt>
                <c:pt idx="5">
                  <c:v>-9.2799999999999994E-2</c:v>
                </c:pt>
                <c:pt idx="6">
                  <c:v>-9.2799999999999994E-2</c:v>
                </c:pt>
                <c:pt idx="7">
                  <c:v>-9.2799999999999994E-2</c:v>
                </c:pt>
                <c:pt idx="8">
                  <c:v>-9.2799999999999994E-2</c:v>
                </c:pt>
                <c:pt idx="9">
                  <c:v>-9.2799999999999994E-2</c:v>
                </c:pt>
                <c:pt idx="10">
                  <c:v>-9.2799999999999994E-2</c:v>
                </c:pt>
                <c:pt idx="11">
                  <c:v>-9.2799999999999994E-2</c:v>
                </c:pt>
                <c:pt idx="12">
                  <c:v>-9.2799999999999994E-2</c:v>
                </c:pt>
                <c:pt idx="13">
                  <c:v>-9.2799999999999994E-2</c:v>
                </c:pt>
                <c:pt idx="14">
                  <c:v>-9.2799999999999994E-2</c:v>
                </c:pt>
                <c:pt idx="15">
                  <c:v>-9.2799999999999994E-2</c:v>
                </c:pt>
                <c:pt idx="16">
                  <c:v>-9.2799999999999994E-2</c:v>
                </c:pt>
                <c:pt idx="17">
                  <c:v>-9.2799999999999994E-2</c:v>
                </c:pt>
                <c:pt idx="18">
                  <c:v>-9.2799999999999994E-2</c:v>
                </c:pt>
                <c:pt idx="19">
                  <c:v>-9.2799999999999994E-2</c:v>
                </c:pt>
                <c:pt idx="20">
                  <c:v>-9.2799999999999994E-2</c:v>
                </c:pt>
                <c:pt idx="21">
                  <c:v>-9.2799999999999994E-2</c:v>
                </c:pt>
                <c:pt idx="22">
                  <c:v>-9.2799999999999994E-2</c:v>
                </c:pt>
                <c:pt idx="23">
                  <c:v>-9.2799999999999994E-2</c:v>
                </c:pt>
                <c:pt idx="24">
                  <c:v>-9.2799999999999994E-2</c:v>
                </c:pt>
              </c:numCache>
            </c:numRef>
          </c:val>
          <c:extLst>
            <c:ext xmlns:c15="http://schemas.microsoft.com/office/drawing/2012/chart" uri="{02D57815-91ED-43cb-92C2-25804820EDAC}">
              <c15:filteredCategoryTitle>
                <c15:cat>
                  <c:numRef>
                    <c:extLst>
                      <c:ext uri="{02D57815-91ED-43cb-92C2-25804820EDAC}">
                        <c15:formulaRef>
                          <c15:sqref>'Results ReCiPe (H) - HHD ship'!$AC$9:$BA$9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7-0B1D-4C0D-A8E1-FB02F7B4398C}"/>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HHD ship'!$AB$18</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val>
            <c:numRef>
              <c:f>'Results ReCiPe (H) - HHD ship'!$AC$18:$BA$18</c:f>
              <c:numCache>
                <c:formatCode>0.00E+00</c:formatCode>
                <c:ptCount val="25"/>
                <c:pt idx="0">
                  <c:v>0.16706083943636774</c:v>
                </c:pt>
                <c:pt idx="1">
                  <c:v>-1.2640316478216854E-2</c:v>
                </c:pt>
                <c:pt idx="2">
                  <c:v>-1.2864395608829696E-2</c:v>
                </c:pt>
                <c:pt idx="3">
                  <c:v>-1.0803069684508226E-2</c:v>
                </c:pt>
                <c:pt idx="4">
                  <c:v>-1.3374718306241956E-2</c:v>
                </c:pt>
                <c:pt idx="5">
                  <c:v>-1.3608620691517179E-2</c:v>
                </c:pt>
                <c:pt idx="6">
                  <c:v>-6.0378555300208414E-3</c:v>
                </c:pt>
                <c:pt idx="7">
                  <c:v>-3.1446590701814103E-3</c:v>
                </c:pt>
                <c:pt idx="8">
                  <c:v>2.0441252188832804E-3</c:v>
                </c:pt>
                <c:pt idx="9">
                  <c:v>9.5855235868232136E-3</c:v>
                </c:pt>
                <c:pt idx="10">
                  <c:v>1.2443915925578433E-2</c:v>
                </c:pt>
                <c:pt idx="11">
                  <c:v>2.2474331769868364E-2</c:v>
                </c:pt>
                <c:pt idx="12">
                  <c:v>3.4860215186829441E-2</c:v>
                </c:pt>
                <c:pt idx="13">
                  <c:v>4.2564901926477383E-2</c:v>
                </c:pt>
                <c:pt idx="14">
                  <c:v>5.2629814107275824E-2</c:v>
                </c:pt>
                <c:pt idx="15">
                  <c:v>6.5062999843097519E-2</c:v>
                </c:pt>
                <c:pt idx="16">
                  <c:v>6.3516005130189651E-2</c:v>
                </c:pt>
                <c:pt idx="17">
                  <c:v>6.4318547813827481E-2</c:v>
                </c:pt>
                <c:pt idx="18">
                  <c:v>6.7441818143871013E-2</c:v>
                </c:pt>
                <c:pt idx="19">
                  <c:v>6.5903637825558498E-2</c:v>
                </c:pt>
                <c:pt idx="20">
                  <c:v>6.6691493858521411E-2</c:v>
                </c:pt>
                <c:pt idx="21">
                  <c:v>6.6587970495045057E-2</c:v>
                </c:pt>
                <c:pt idx="22">
                  <c:v>5.9825929157354019E-2</c:v>
                </c:pt>
                <c:pt idx="23">
                  <c:v>5.537336282078284E-2</c:v>
                </c:pt>
                <c:pt idx="24">
                  <c:v>5.4570764652521919E-2</c:v>
                </c:pt>
              </c:numCache>
            </c:numRef>
          </c:val>
          <c:smooth val="0"/>
          <c:extLst>
            <c:ext xmlns:c15="http://schemas.microsoft.com/office/drawing/2012/chart" uri="{02D57815-91ED-43cb-92C2-25804820EDAC}">
              <c15:filteredCategoryTitle>
                <c15:cat>
                  <c:numRef>
                    <c:extLst>
                      <c:ext uri="{02D57815-91ED-43cb-92C2-25804820EDAC}">
                        <c15:formulaRef>
                          <c15:sqref>'Results ReCiPe (H) - HHD ship'!$AC$9:$BA$9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8-0B1D-4C0D-A8E1-FB02F7B4398C}"/>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nl-NL"/>
                  <a:t>years</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NL"/>
            </a:p>
          </c:txPr>
        </c:title>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Human</a:t>
                </a:r>
                <a:r>
                  <a:rPr lang="nl-NL" baseline="0"/>
                  <a:t> health</a:t>
                </a:r>
                <a:r>
                  <a:rPr lang="nl-NL"/>
                  <a:t> damage </a:t>
                </a:r>
                <a:br>
                  <a:rPr lang="nl-NL"/>
                </a:br>
                <a:r>
                  <a:rPr lang="nl-NL"/>
                  <a:t>(DALY/ton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HHD ship'!$AB$50</c:f>
              <c:strCache>
                <c:ptCount val="1"/>
                <c:pt idx="0">
                  <c:v>Construction - DAC</c:v>
                </c:pt>
              </c:strCache>
            </c:strRef>
          </c:tx>
          <c:spPr>
            <a:solidFill>
              <a:schemeClr val="accent4">
                <a:lumMod val="75000"/>
              </a:schemeClr>
            </a:solidFill>
            <a:ln>
              <a:noFill/>
            </a:ln>
            <a:effectLst/>
          </c:spPr>
          <c:invertIfNegative val="0"/>
          <c:val>
            <c:numRef>
              <c:f>'Results ReCiPe (H) - HHD ship'!$AC$50:$BA$50</c:f>
              <c:numCache>
                <c:formatCode>0.00E+00</c:formatCode>
                <c:ptCount val="25"/>
                <c:pt idx="0">
                  <c:v>0.16006814629521346</c:v>
                </c:pt>
              </c:numCache>
            </c:numRef>
          </c:val>
          <c:extLst>
            <c:ext xmlns:c15="http://schemas.microsoft.com/office/drawing/2012/chart" uri="{02D57815-91ED-43cb-92C2-25804820EDAC}">
              <c15:filteredCategoryTitle>
                <c15:cat>
                  <c:numRef>
                    <c:extLst>
                      <c:ext uri="{02D57815-91ED-43cb-92C2-25804820EDAC}">
                        <c15:formulaRef>
                          <c15:sqref>'Results ReCiPe (H) - HHD ship'!$AC$49:$BA$49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0-E82D-413E-95CC-AE38D87B1CFF}"/>
            </c:ext>
          </c:extLst>
        </c:ser>
        <c:ser>
          <c:idx val="1"/>
          <c:order val="1"/>
          <c:tx>
            <c:strRef>
              <c:f>'Results ReCiPe (H) - HHD ship'!$AB$51</c:f>
              <c:strCache>
                <c:ptCount val="1"/>
                <c:pt idx="0">
                  <c:v>Construction - geological storage</c:v>
                </c:pt>
              </c:strCache>
            </c:strRef>
          </c:tx>
          <c:spPr>
            <a:solidFill>
              <a:schemeClr val="accent4">
                <a:lumMod val="60000"/>
                <a:lumOff val="40000"/>
              </a:schemeClr>
            </a:solidFill>
            <a:ln>
              <a:noFill/>
            </a:ln>
            <a:effectLst/>
          </c:spPr>
          <c:invertIfNegative val="0"/>
          <c:val>
            <c:numRef>
              <c:f>'Results ReCiPe (H) - HHD ship'!$AC$51:$BA$51</c:f>
              <c:numCache>
                <c:formatCode>0.00E+00</c:formatCode>
                <c:ptCount val="25"/>
                <c:pt idx="0">
                  <c:v>9.5063834765982819E-3</c:v>
                </c:pt>
              </c:numCache>
            </c:numRef>
          </c:val>
          <c:extLst>
            <c:ext xmlns:c15="http://schemas.microsoft.com/office/drawing/2012/chart" uri="{02D57815-91ED-43cb-92C2-25804820EDAC}">
              <c15:filteredCategoryTitle>
                <c15:cat>
                  <c:numRef>
                    <c:extLst>
                      <c:ext uri="{02D57815-91ED-43cb-92C2-25804820EDAC}">
                        <c15:formulaRef>
                          <c15:sqref>'Results ReCiPe (H) - HHD ship'!$AC$49:$BA$49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1-E82D-413E-95CC-AE38D87B1CFF}"/>
            </c:ext>
          </c:extLst>
        </c:ser>
        <c:ser>
          <c:idx val="2"/>
          <c:order val="2"/>
          <c:tx>
            <c:strRef>
              <c:f>'Results ReCiPe (H) - HHD ship'!$AB$52</c:f>
              <c:strCache>
                <c:ptCount val="1"/>
                <c:pt idx="0">
                  <c:v>Deconstruction - DAC</c:v>
                </c:pt>
              </c:strCache>
            </c:strRef>
          </c:tx>
          <c:spPr>
            <a:solidFill>
              <a:schemeClr val="accent2">
                <a:lumMod val="40000"/>
                <a:lumOff val="60000"/>
              </a:schemeClr>
            </a:solidFill>
            <a:ln>
              <a:noFill/>
            </a:ln>
            <a:effectLst/>
          </c:spPr>
          <c:invertIfNegative val="0"/>
          <c:val>
            <c:numRef>
              <c:f>'Results ReCiPe (H) - HHD ship'!$AC$52:$BA$52</c:f>
              <c:numCache>
                <c:formatCode>0.00E+00</c:formatCode>
                <c:ptCount val="25"/>
                <c:pt idx="24">
                  <c:v>1.2038817746522666E-3</c:v>
                </c:pt>
              </c:numCache>
            </c:numRef>
          </c:val>
          <c:extLst>
            <c:ext xmlns:c15="http://schemas.microsoft.com/office/drawing/2012/chart" uri="{02D57815-91ED-43cb-92C2-25804820EDAC}">
              <c15:filteredCategoryTitle>
                <c15:cat>
                  <c:numRef>
                    <c:extLst>
                      <c:ext uri="{02D57815-91ED-43cb-92C2-25804820EDAC}">
                        <c15:formulaRef>
                          <c15:sqref>'Results ReCiPe (H) - HHD ship'!$AC$49:$BA$49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2-E82D-413E-95CC-AE38D87B1CFF}"/>
            </c:ext>
          </c:extLst>
        </c:ser>
        <c:ser>
          <c:idx val="3"/>
          <c:order val="3"/>
          <c:tx>
            <c:strRef>
              <c:f>'Results ReCiPe (H) - HHD ship'!$AB$53</c:f>
              <c:strCache>
                <c:ptCount val="1"/>
                <c:pt idx="0">
                  <c:v>Deconstruction - geological storage</c:v>
                </c:pt>
              </c:strCache>
            </c:strRef>
          </c:tx>
          <c:spPr>
            <a:solidFill>
              <a:srgbClr val="FF9900"/>
            </a:solidFill>
            <a:ln>
              <a:noFill/>
            </a:ln>
            <a:effectLst/>
          </c:spPr>
          <c:invertIfNegative val="0"/>
          <c:val>
            <c:numRef>
              <c:f>'Results ReCiPe (H) - HHD ship'!$AC$53:$BA$53</c:f>
              <c:numCache>
                <c:formatCode>0.00E+00</c:formatCode>
                <c:ptCount val="25"/>
                <c:pt idx="24">
                  <c:v>3.5227143847144076E-5</c:v>
                </c:pt>
              </c:numCache>
            </c:numRef>
          </c:val>
          <c:extLst>
            <c:ext xmlns:c15="http://schemas.microsoft.com/office/drawing/2012/chart" uri="{02D57815-91ED-43cb-92C2-25804820EDAC}">
              <c15:filteredCategoryTitle>
                <c15:cat>
                  <c:numRef>
                    <c:extLst>
                      <c:ext uri="{02D57815-91ED-43cb-92C2-25804820EDAC}">
                        <c15:formulaRef>
                          <c15:sqref>'Results ReCiPe (H) - HHD ship'!$AC$49:$BA$49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3-E82D-413E-95CC-AE38D87B1CFF}"/>
            </c:ext>
          </c:extLst>
        </c:ser>
        <c:ser>
          <c:idx val="4"/>
          <c:order val="4"/>
          <c:tx>
            <c:strRef>
              <c:f>'Results ReCiPe (H) - HHD ship'!$AB$54</c:f>
              <c:strCache>
                <c:ptCount val="1"/>
                <c:pt idx="0">
                  <c:v>Sorbent material</c:v>
                </c:pt>
              </c:strCache>
            </c:strRef>
          </c:tx>
          <c:spPr>
            <a:solidFill>
              <a:srgbClr val="FF8F8F"/>
            </a:solidFill>
            <a:ln>
              <a:noFill/>
            </a:ln>
            <a:effectLst/>
          </c:spPr>
          <c:invertIfNegative val="0"/>
          <c:val>
            <c:numRef>
              <c:f>'Results ReCiPe (H) - HHD ship'!$AC$54:$BA$54</c:f>
              <c:numCache>
                <c:formatCode>0.00E+00</c:formatCode>
                <c:ptCount val="25"/>
                <c:pt idx="0">
                  <c:v>2.2868444478900299E-3</c:v>
                </c:pt>
                <c:pt idx="3">
                  <c:v>2.2242630345716192E-3</c:v>
                </c:pt>
                <c:pt idx="6">
                  <c:v>2.1636441841529248E-3</c:v>
                </c:pt>
                <c:pt idx="9">
                  <c:v>2.0913940629818349E-3</c:v>
                </c:pt>
                <c:pt idx="12">
                  <c:v>2.0111593851075741E-3</c:v>
                </c:pt>
                <c:pt idx="15">
                  <c:v>1.925325558619934E-3</c:v>
                </c:pt>
                <c:pt idx="18">
                  <c:v>1.868103373074346E-3</c:v>
                </c:pt>
                <c:pt idx="21">
                  <c:v>1.839484702599319E-3</c:v>
                </c:pt>
                <c:pt idx="24">
                  <c:v>1.8308470230828889E-3</c:v>
                </c:pt>
              </c:numCache>
            </c:numRef>
          </c:val>
          <c:extLst>
            <c:ext xmlns:c15="http://schemas.microsoft.com/office/drawing/2012/chart" uri="{02D57815-91ED-43cb-92C2-25804820EDAC}">
              <c15:filteredCategoryTitle>
                <c15:cat>
                  <c:numRef>
                    <c:extLst>
                      <c:ext uri="{02D57815-91ED-43cb-92C2-25804820EDAC}">
                        <c15:formulaRef>
                          <c15:sqref>'Results ReCiPe (H) - HHD ship'!$AC$49:$BA$49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4-E82D-413E-95CC-AE38D87B1CFF}"/>
            </c:ext>
          </c:extLst>
        </c:ser>
        <c:ser>
          <c:idx val="5"/>
          <c:order val="5"/>
          <c:tx>
            <c:strRef>
              <c:f>'Results ReCiPe (H) - HHD ship'!$AB$55</c:f>
              <c:strCache>
                <c:ptCount val="1"/>
                <c:pt idx="0">
                  <c:v>Operation - DAC</c:v>
                </c:pt>
              </c:strCache>
            </c:strRef>
          </c:tx>
          <c:spPr>
            <a:solidFill>
              <a:schemeClr val="accent2">
                <a:lumMod val="75000"/>
              </a:schemeClr>
            </a:solidFill>
            <a:ln>
              <a:noFill/>
            </a:ln>
            <a:effectLst/>
          </c:spPr>
          <c:invertIfNegative val="0"/>
          <c:val>
            <c:numRef>
              <c:f>'Results ReCiPe (H) - HHD ship'!$AC$55:$BA$55</c:f>
              <c:numCache>
                <c:formatCode>0.00E+00</c:formatCode>
                <c:ptCount val="25"/>
                <c:pt idx="0">
                  <c:v>6.0037117955109028E-2</c:v>
                </c:pt>
                <c:pt idx="1">
                  <c:v>5.6191867505510959E-2</c:v>
                </c:pt>
                <c:pt idx="2">
                  <c:v>5.2329272684781568E-2</c:v>
                </c:pt>
                <c:pt idx="3">
                  <c:v>4.841413521773321E-2</c:v>
                </c:pt>
                <c:pt idx="4">
                  <c:v>4.4539809777472107E-2</c:v>
                </c:pt>
                <c:pt idx="5">
                  <c:v>4.0662830543897487E-2</c:v>
                </c:pt>
                <c:pt idx="6">
                  <c:v>3.84101452645636E-2</c:v>
                </c:pt>
                <c:pt idx="7">
                  <c:v>3.616214979454152E-2</c:v>
                </c:pt>
                <c:pt idx="8">
                  <c:v>3.388387353827356E-2</c:v>
                </c:pt>
                <c:pt idx="9">
                  <c:v>3.1636813899357991E-2</c:v>
                </c:pt>
                <c:pt idx="10">
                  <c:v>2.9388776392389161E-2</c:v>
                </c:pt>
                <c:pt idx="11">
                  <c:v>2.7945528803582399E-2</c:v>
                </c:pt>
                <c:pt idx="12">
                  <c:v>2.6495555969194919E-2</c:v>
                </c:pt>
                <c:pt idx="13">
                  <c:v>2.5029611937261359E-2</c:v>
                </c:pt>
                <c:pt idx="14">
                  <c:v>2.3563053513519231E-2</c:v>
                </c:pt>
                <c:pt idx="15">
                  <c:v>2.2089192003759049E-2</c:v>
                </c:pt>
                <c:pt idx="16">
                  <c:v>2.1568773856969221E-2</c:v>
                </c:pt>
                <c:pt idx="17">
                  <c:v>2.1044854656145601E-2</c:v>
                </c:pt>
                <c:pt idx="18">
                  <c:v>2.0511477278365761E-2</c:v>
                </c:pt>
                <c:pt idx="19">
                  <c:v>1.9983955595474681E-2</c:v>
                </c:pt>
                <c:pt idx="20">
                  <c:v>1.9455066361617632E-2</c:v>
                </c:pt>
                <c:pt idx="21">
                  <c:v>1.964140297480697E-2</c:v>
                </c:pt>
                <c:pt idx="22">
                  <c:v>1.9407556618260911E-2</c:v>
                </c:pt>
                <c:pt idx="23">
                  <c:v>1.9173059591223431E-2</c:v>
                </c:pt>
                <c:pt idx="24">
                  <c:v>1.893784819983222E-2</c:v>
                </c:pt>
              </c:numCache>
            </c:numRef>
          </c:val>
          <c:extLst>
            <c:ext xmlns:c15="http://schemas.microsoft.com/office/drawing/2012/chart" uri="{02D57815-91ED-43cb-92C2-25804820EDAC}">
              <c15:filteredCategoryTitle>
                <c15:cat>
                  <c:numRef>
                    <c:extLst>
                      <c:ext uri="{02D57815-91ED-43cb-92C2-25804820EDAC}">
                        <c15:formulaRef>
                          <c15:sqref>'Results ReCiPe (H) - HHD ship'!$AC$49:$BA$49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5-E82D-413E-95CC-AE38D87B1CFF}"/>
            </c:ext>
          </c:extLst>
        </c:ser>
        <c:ser>
          <c:idx val="6"/>
          <c:order val="6"/>
          <c:tx>
            <c:strRef>
              <c:f>'Results ReCiPe (H) - HHD ship'!$AB$56</c:f>
              <c:strCache>
                <c:ptCount val="1"/>
                <c:pt idx="0">
                  <c:v>Operation - geological storage</c:v>
                </c:pt>
              </c:strCache>
            </c:strRef>
          </c:tx>
          <c:spPr>
            <a:solidFill>
              <a:schemeClr val="accent2">
                <a:lumMod val="50000"/>
              </a:schemeClr>
            </a:solidFill>
            <a:ln>
              <a:noFill/>
            </a:ln>
            <a:effectLst/>
          </c:spPr>
          <c:invertIfNegative val="0"/>
          <c:val>
            <c:numRef>
              <c:f>'Results ReCiPe (H) - HHD ship'!$AC$56:$BA$56</c:f>
              <c:numCache>
                <c:formatCode>0.00E+00</c:formatCode>
                <c:ptCount val="25"/>
                <c:pt idx="0">
                  <c:v>8.5933149816682687E-3</c:v>
                </c:pt>
                <c:pt idx="1">
                  <c:v>8.2908592660289031E-3</c:v>
                </c:pt>
                <c:pt idx="2">
                  <c:v>7.9883594686031723E-3</c:v>
                </c:pt>
                <c:pt idx="3">
                  <c:v>7.6824428526027699E-3</c:v>
                </c:pt>
                <c:pt idx="4">
                  <c:v>7.3815896913372861E-3</c:v>
                </c:pt>
                <c:pt idx="5">
                  <c:v>7.0818035588348371E-3</c:v>
                </c:pt>
                <c:pt idx="6">
                  <c:v>6.9065674968874242E-3</c:v>
                </c:pt>
                <c:pt idx="7">
                  <c:v>6.7320552022219326E-3</c:v>
                </c:pt>
                <c:pt idx="8">
                  <c:v>6.5552231612474613E-3</c:v>
                </c:pt>
                <c:pt idx="9">
                  <c:v>6.3814500845837899E-3</c:v>
                </c:pt>
                <c:pt idx="10">
                  <c:v>6.2079211584379103E-3</c:v>
                </c:pt>
                <c:pt idx="11">
                  <c:v>6.0954708685004551E-3</c:v>
                </c:pt>
                <c:pt idx="12">
                  <c:v>5.9825885760334385E-3</c:v>
                </c:pt>
                <c:pt idx="13">
                  <c:v>5.8684657507291106E-3</c:v>
                </c:pt>
                <c:pt idx="14">
                  <c:v>5.754469652475792E-3</c:v>
                </c:pt>
                <c:pt idx="15">
                  <c:v>5.6399811118439044E-3</c:v>
                </c:pt>
                <c:pt idx="16">
                  <c:v>5.5980827164439223E-3</c:v>
                </c:pt>
                <c:pt idx="17">
                  <c:v>5.5558844982483112E-3</c:v>
                </c:pt>
                <c:pt idx="18">
                  <c:v>5.5128289027284328E-3</c:v>
                </c:pt>
                <c:pt idx="19">
                  <c:v>5.4702708622407937E-3</c:v>
                </c:pt>
                <c:pt idx="20">
                  <c:v>5.427559757803185E-3</c:v>
                </c:pt>
                <c:pt idx="21">
                  <c:v>5.4501119918836331E-3</c:v>
                </c:pt>
                <c:pt idx="22">
                  <c:v>5.4320501046926078E-3</c:v>
                </c:pt>
                <c:pt idx="23">
                  <c:v>5.4139935919568661E-3</c:v>
                </c:pt>
                <c:pt idx="24">
                  <c:v>5.395935830577011E-3</c:v>
                </c:pt>
              </c:numCache>
            </c:numRef>
          </c:val>
          <c:extLst>
            <c:ext xmlns:c15="http://schemas.microsoft.com/office/drawing/2012/chart" uri="{02D57815-91ED-43cb-92C2-25804820EDAC}">
              <c15:filteredCategoryTitle>
                <c15:cat>
                  <c:numRef>
                    <c:extLst>
                      <c:ext uri="{02D57815-91ED-43cb-92C2-25804820EDAC}">
                        <c15:formulaRef>
                          <c15:sqref>'Results ReCiPe (H) - HHD ship'!$AC$49:$BA$49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6-E82D-413E-95CC-AE38D87B1CFF}"/>
            </c:ext>
          </c:extLst>
        </c:ser>
        <c:ser>
          <c:idx val="7"/>
          <c:order val="7"/>
          <c:tx>
            <c:strRef>
              <c:f>'Results ReCiPe (H) - HHD ship'!$AB$57</c:f>
              <c:strCache>
                <c:ptCount val="1"/>
                <c:pt idx="0">
                  <c:v>CO2 captured and stored</c:v>
                </c:pt>
              </c:strCache>
            </c:strRef>
          </c:tx>
          <c:spPr>
            <a:solidFill>
              <a:schemeClr val="tx2">
                <a:lumMod val="20000"/>
                <a:lumOff val="80000"/>
              </a:schemeClr>
            </a:solidFill>
            <a:ln>
              <a:noFill/>
            </a:ln>
            <a:effectLst/>
          </c:spPr>
          <c:invertIfNegative val="0"/>
          <c:val>
            <c:numRef>
              <c:f>'Results ReCiPe (H) - HHD ship'!$AC$57:$BA$57</c:f>
              <c:numCache>
                <c:formatCode>0.00E+00</c:formatCode>
                <c:ptCount val="25"/>
                <c:pt idx="0">
                  <c:v>-9.2799999999999994E-2</c:v>
                </c:pt>
                <c:pt idx="1">
                  <c:v>-9.2799999999999994E-2</c:v>
                </c:pt>
                <c:pt idx="2">
                  <c:v>-9.2799999999999994E-2</c:v>
                </c:pt>
                <c:pt idx="3">
                  <c:v>-9.2799999999999994E-2</c:v>
                </c:pt>
                <c:pt idx="4">
                  <c:v>-9.2799999999999994E-2</c:v>
                </c:pt>
                <c:pt idx="5">
                  <c:v>-9.2799999999999994E-2</c:v>
                </c:pt>
                <c:pt idx="6">
                  <c:v>-9.2799999999999994E-2</c:v>
                </c:pt>
                <c:pt idx="7">
                  <c:v>-9.2799999999999994E-2</c:v>
                </c:pt>
                <c:pt idx="8">
                  <c:v>-9.2799999999999994E-2</c:v>
                </c:pt>
                <c:pt idx="9">
                  <c:v>-9.2799999999999994E-2</c:v>
                </c:pt>
                <c:pt idx="10">
                  <c:v>-9.2799999999999994E-2</c:v>
                </c:pt>
                <c:pt idx="11">
                  <c:v>-9.2799999999999994E-2</c:v>
                </c:pt>
                <c:pt idx="12">
                  <c:v>-9.2799999999999994E-2</c:v>
                </c:pt>
                <c:pt idx="13">
                  <c:v>-9.2799999999999994E-2</c:v>
                </c:pt>
                <c:pt idx="14">
                  <c:v>-9.2799999999999994E-2</c:v>
                </c:pt>
                <c:pt idx="15">
                  <c:v>-9.2799999999999994E-2</c:v>
                </c:pt>
                <c:pt idx="16">
                  <c:v>-9.2799999999999994E-2</c:v>
                </c:pt>
                <c:pt idx="17">
                  <c:v>-9.2799999999999994E-2</c:v>
                </c:pt>
                <c:pt idx="18">
                  <c:v>-9.2799999999999994E-2</c:v>
                </c:pt>
                <c:pt idx="19">
                  <c:v>-9.2799999999999994E-2</c:v>
                </c:pt>
                <c:pt idx="20">
                  <c:v>-9.2799999999999994E-2</c:v>
                </c:pt>
                <c:pt idx="21">
                  <c:v>-9.2799999999999994E-2</c:v>
                </c:pt>
                <c:pt idx="22">
                  <c:v>-9.2799999999999994E-2</c:v>
                </c:pt>
                <c:pt idx="23">
                  <c:v>-9.2799999999999994E-2</c:v>
                </c:pt>
                <c:pt idx="24">
                  <c:v>-9.2799999999999994E-2</c:v>
                </c:pt>
              </c:numCache>
            </c:numRef>
          </c:val>
          <c:extLst>
            <c:ext xmlns:c15="http://schemas.microsoft.com/office/drawing/2012/chart" uri="{02D57815-91ED-43cb-92C2-25804820EDAC}">
              <c15:filteredCategoryTitle>
                <c15:cat>
                  <c:numRef>
                    <c:extLst>
                      <c:ext uri="{02D57815-91ED-43cb-92C2-25804820EDAC}">
                        <c15:formulaRef>
                          <c15:sqref>'Results ReCiPe (H) - HHD ship'!$AC$49:$BA$49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7-E82D-413E-95CC-AE38D87B1CFF}"/>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HHD ship'!$AB$58</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val>
            <c:numRef>
              <c:f>'Results ReCiPe (H) - HHD ship'!$AC$58:$BA$58</c:f>
              <c:numCache>
                <c:formatCode>0.00E+00</c:formatCode>
                <c:ptCount val="25"/>
                <c:pt idx="0">
                  <c:v>0.14769180715647909</c:v>
                </c:pt>
                <c:pt idx="1">
                  <c:v>-2.831727322846013E-2</c:v>
                </c:pt>
                <c:pt idx="2">
                  <c:v>-3.2482367846615255E-2</c:v>
                </c:pt>
                <c:pt idx="3">
                  <c:v>-3.4479158895092392E-2</c:v>
                </c:pt>
                <c:pt idx="4">
                  <c:v>-4.0878600531190599E-2</c:v>
                </c:pt>
                <c:pt idx="5">
                  <c:v>-4.505536589726767E-2</c:v>
                </c:pt>
                <c:pt idx="6">
                  <c:v>-4.531964305439605E-2</c:v>
                </c:pt>
                <c:pt idx="7">
                  <c:v>-4.9905795003236539E-2</c:v>
                </c:pt>
                <c:pt idx="8">
                  <c:v>-5.2360903300478975E-2</c:v>
                </c:pt>
                <c:pt idx="9">
                  <c:v>-5.2690341953076376E-2</c:v>
                </c:pt>
                <c:pt idx="10">
                  <c:v>-5.7203302449172919E-2</c:v>
                </c:pt>
                <c:pt idx="11">
                  <c:v>-5.8759000327917137E-2</c:v>
                </c:pt>
                <c:pt idx="12">
                  <c:v>-5.8310696069664061E-2</c:v>
                </c:pt>
                <c:pt idx="13">
                  <c:v>-6.1901922312009527E-2</c:v>
                </c:pt>
                <c:pt idx="14">
                  <c:v>-6.3482476834004972E-2</c:v>
                </c:pt>
                <c:pt idx="15">
                  <c:v>-6.3145501325777106E-2</c:v>
                </c:pt>
                <c:pt idx="16">
                  <c:v>-6.5633143426586854E-2</c:v>
                </c:pt>
                <c:pt idx="17">
                  <c:v>-6.6199260845606081E-2</c:v>
                </c:pt>
                <c:pt idx="18">
                  <c:v>-6.4907590445831456E-2</c:v>
                </c:pt>
                <c:pt idx="19">
                  <c:v>-6.7345773542284521E-2</c:v>
                </c:pt>
                <c:pt idx="20">
                  <c:v>-6.7917373880579168E-2</c:v>
                </c:pt>
                <c:pt idx="21">
                  <c:v>-6.5869000330710081E-2</c:v>
                </c:pt>
                <c:pt idx="22">
                  <c:v>-6.7960393277046477E-2</c:v>
                </c:pt>
                <c:pt idx="23">
                  <c:v>-6.8212946816819692E-2</c:v>
                </c:pt>
                <c:pt idx="24">
                  <c:v>-6.5396260028008468E-2</c:v>
                </c:pt>
              </c:numCache>
            </c:numRef>
          </c:val>
          <c:smooth val="0"/>
          <c:extLst>
            <c:ext xmlns:c15="http://schemas.microsoft.com/office/drawing/2012/chart" uri="{02D57815-91ED-43cb-92C2-25804820EDAC}">
              <c15:filteredCategoryTitle>
                <c15:cat>
                  <c:numRef>
                    <c:extLst>
                      <c:ext uri="{02D57815-91ED-43cb-92C2-25804820EDAC}">
                        <c15:formulaRef>
                          <c15:sqref>'Results ReCiPe (H) - HHD ship'!$AC$49:$BA$49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8-E82D-413E-95CC-AE38D87B1CFF}"/>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nl-NL"/>
                  <a:t>years</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NL"/>
            </a:p>
          </c:txPr>
        </c:title>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Human</a:t>
                </a:r>
                <a:r>
                  <a:rPr lang="nl-NL" baseline="0"/>
                  <a:t> health</a:t>
                </a:r>
                <a:r>
                  <a:rPr lang="nl-NL"/>
                  <a:t> damage </a:t>
                </a:r>
                <a:br>
                  <a:rPr lang="nl-NL"/>
                </a:br>
                <a:r>
                  <a:rPr lang="nl-NL"/>
                  <a:t>(DALY/ton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HHD ship'!$AB$90</c:f>
              <c:strCache>
                <c:ptCount val="1"/>
                <c:pt idx="0">
                  <c:v>Construction - DAC</c:v>
                </c:pt>
              </c:strCache>
            </c:strRef>
          </c:tx>
          <c:spPr>
            <a:solidFill>
              <a:schemeClr val="accent4">
                <a:lumMod val="75000"/>
              </a:schemeClr>
            </a:solidFill>
            <a:ln>
              <a:noFill/>
            </a:ln>
            <a:effectLst/>
          </c:spPr>
          <c:invertIfNegative val="0"/>
          <c:val>
            <c:numRef>
              <c:f>'Results ReCiPe (H) - HHD ship'!$AC$90:$BA$90</c:f>
              <c:numCache>
                <c:formatCode>0.00E+00</c:formatCode>
                <c:ptCount val="25"/>
                <c:pt idx="0">
                  <c:v>0.14486428170139623</c:v>
                </c:pt>
              </c:numCache>
            </c:numRef>
          </c:val>
          <c:extLst>
            <c:ext xmlns:c15="http://schemas.microsoft.com/office/drawing/2012/chart" uri="{02D57815-91ED-43cb-92C2-25804820EDAC}">
              <c15:filteredCategoryTitle>
                <c15:cat>
                  <c:numRef>
                    <c:extLst>
                      <c:ext uri="{02D57815-91ED-43cb-92C2-25804820EDAC}">
                        <c15:formulaRef>
                          <c15:sqref>'Results ReCiPe (H) - HHD ship'!$AC$89:$BA$89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0-0FFF-42D5-9B6F-507425412BD9}"/>
            </c:ext>
          </c:extLst>
        </c:ser>
        <c:ser>
          <c:idx val="1"/>
          <c:order val="1"/>
          <c:tx>
            <c:strRef>
              <c:f>'Results ReCiPe (H) - HHD ship'!$AB$91</c:f>
              <c:strCache>
                <c:ptCount val="1"/>
                <c:pt idx="0">
                  <c:v>Construction - geological storage</c:v>
                </c:pt>
              </c:strCache>
            </c:strRef>
          </c:tx>
          <c:spPr>
            <a:solidFill>
              <a:schemeClr val="accent4">
                <a:lumMod val="60000"/>
                <a:lumOff val="40000"/>
              </a:schemeClr>
            </a:solidFill>
            <a:ln>
              <a:noFill/>
            </a:ln>
            <a:effectLst/>
          </c:spPr>
          <c:invertIfNegative val="0"/>
          <c:val>
            <c:numRef>
              <c:f>'Results ReCiPe (H) - HHD ship'!$AC$91:$BA$91</c:f>
              <c:numCache>
                <c:formatCode>0.00E+00</c:formatCode>
                <c:ptCount val="25"/>
                <c:pt idx="0">
                  <c:v>8.977436741851275E-3</c:v>
                </c:pt>
              </c:numCache>
            </c:numRef>
          </c:val>
          <c:extLst>
            <c:ext xmlns:c15="http://schemas.microsoft.com/office/drawing/2012/chart" uri="{02D57815-91ED-43cb-92C2-25804820EDAC}">
              <c15:filteredCategoryTitle>
                <c15:cat>
                  <c:numRef>
                    <c:extLst>
                      <c:ext uri="{02D57815-91ED-43cb-92C2-25804820EDAC}">
                        <c15:formulaRef>
                          <c15:sqref>'Results ReCiPe (H) - HHD ship'!$AC$89:$BA$89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1-0FFF-42D5-9B6F-507425412BD9}"/>
            </c:ext>
          </c:extLst>
        </c:ser>
        <c:ser>
          <c:idx val="2"/>
          <c:order val="2"/>
          <c:tx>
            <c:strRef>
              <c:f>'Results ReCiPe (H) - HHD ship'!$AB$92</c:f>
              <c:strCache>
                <c:ptCount val="1"/>
                <c:pt idx="0">
                  <c:v>Deconstruction - DAC</c:v>
                </c:pt>
              </c:strCache>
            </c:strRef>
          </c:tx>
          <c:spPr>
            <a:solidFill>
              <a:schemeClr val="accent2">
                <a:lumMod val="40000"/>
                <a:lumOff val="60000"/>
              </a:schemeClr>
            </a:solidFill>
            <a:ln>
              <a:noFill/>
            </a:ln>
            <a:effectLst/>
          </c:spPr>
          <c:invertIfNegative val="0"/>
          <c:val>
            <c:numRef>
              <c:f>'Results ReCiPe (H) - HHD ship'!$AC$92:$BA$92</c:f>
              <c:numCache>
                <c:formatCode>0.00E+00</c:formatCode>
                <c:ptCount val="25"/>
                <c:pt idx="24">
                  <c:v>1.1364491829356034E-3</c:v>
                </c:pt>
              </c:numCache>
            </c:numRef>
          </c:val>
          <c:extLst>
            <c:ext xmlns:c15="http://schemas.microsoft.com/office/drawing/2012/chart" uri="{02D57815-91ED-43cb-92C2-25804820EDAC}">
              <c15:filteredCategoryTitle>
                <c15:cat>
                  <c:numRef>
                    <c:extLst>
                      <c:ext uri="{02D57815-91ED-43cb-92C2-25804820EDAC}">
                        <c15:formulaRef>
                          <c15:sqref>'Results ReCiPe (H) - HHD ship'!$AC$89:$BA$89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2-0FFF-42D5-9B6F-507425412BD9}"/>
            </c:ext>
          </c:extLst>
        </c:ser>
        <c:ser>
          <c:idx val="3"/>
          <c:order val="3"/>
          <c:tx>
            <c:strRef>
              <c:f>'Results ReCiPe (H) - HHD ship'!$AB$93</c:f>
              <c:strCache>
                <c:ptCount val="1"/>
                <c:pt idx="0">
                  <c:v>Deconstruction - geological storage</c:v>
                </c:pt>
              </c:strCache>
            </c:strRef>
          </c:tx>
          <c:spPr>
            <a:solidFill>
              <a:srgbClr val="FF9900"/>
            </a:solidFill>
            <a:ln>
              <a:noFill/>
            </a:ln>
            <a:effectLst/>
          </c:spPr>
          <c:invertIfNegative val="0"/>
          <c:val>
            <c:numRef>
              <c:f>'Results ReCiPe (H) - HHD ship'!$AC$93:$BA$93</c:f>
              <c:numCache>
                <c:formatCode>0.00E+00</c:formatCode>
                <c:ptCount val="25"/>
                <c:pt idx="24">
                  <c:v>3.4041847576099076E-5</c:v>
                </c:pt>
              </c:numCache>
            </c:numRef>
          </c:val>
          <c:extLst>
            <c:ext xmlns:c15="http://schemas.microsoft.com/office/drawing/2012/chart" uri="{02D57815-91ED-43cb-92C2-25804820EDAC}">
              <c15:filteredCategoryTitle>
                <c15:cat>
                  <c:numRef>
                    <c:extLst>
                      <c:ext uri="{02D57815-91ED-43cb-92C2-25804820EDAC}">
                        <c15:formulaRef>
                          <c15:sqref>'Results ReCiPe (H) - HHD ship'!$AC$89:$BA$89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3-0FFF-42D5-9B6F-507425412BD9}"/>
            </c:ext>
          </c:extLst>
        </c:ser>
        <c:ser>
          <c:idx val="4"/>
          <c:order val="4"/>
          <c:tx>
            <c:strRef>
              <c:f>'Results ReCiPe (H) - HHD ship'!$AB$94</c:f>
              <c:strCache>
                <c:ptCount val="1"/>
                <c:pt idx="0">
                  <c:v>Sorbent material</c:v>
                </c:pt>
              </c:strCache>
            </c:strRef>
          </c:tx>
          <c:spPr>
            <a:solidFill>
              <a:srgbClr val="FF8F8F"/>
            </a:solidFill>
            <a:ln>
              <a:noFill/>
            </a:ln>
            <a:effectLst/>
          </c:spPr>
          <c:invertIfNegative val="0"/>
          <c:val>
            <c:numRef>
              <c:f>'Results ReCiPe (H) - HHD ship'!$AC$94:$BA$94</c:f>
              <c:numCache>
                <c:formatCode>0.00E+00</c:formatCode>
                <c:ptCount val="25"/>
                <c:pt idx="0">
                  <c:v>1.9848842622015748E-3</c:v>
                </c:pt>
                <c:pt idx="3">
                  <c:v>1.889975707684352E-3</c:v>
                </c:pt>
                <c:pt idx="6">
                  <c:v>1.8240269819210511E-3</c:v>
                </c:pt>
                <c:pt idx="9">
                  <c:v>1.8069758007361711E-3</c:v>
                </c:pt>
                <c:pt idx="12">
                  <c:v>1.799728004873463E-3</c:v>
                </c:pt>
                <c:pt idx="15">
                  <c:v>1.7946676192961261E-3</c:v>
                </c:pt>
                <c:pt idx="18">
                  <c:v>1.786311731211142E-3</c:v>
                </c:pt>
                <c:pt idx="21">
                  <c:v>1.790817045871237E-3</c:v>
                </c:pt>
                <c:pt idx="24">
                  <c:v>1.786892271072078E-3</c:v>
                </c:pt>
              </c:numCache>
            </c:numRef>
          </c:val>
          <c:extLst>
            <c:ext xmlns:c15="http://schemas.microsoft.com/office/drawing/2012/chart" uri="{02D57815-91ED-43cb-92C2-25804820EDAC}">
              <c15:filteredCategoryTitle>
                <c15:cat>
                  <c:numRef>
                    <c:extLst>
                      <c:ext uri="{02D57815-91ED-43cb-92C2-25804820EDAC}">
                        <c15:formulaRef>
                          <c15:sqref>'Results ReCiPe (H) - HHD ship'!$AC$89:$BA$89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4-0FFF-42D5-9B6F-507425412BD9}"/>
            </c:ext>
          </c:extLst>
        </c:ser>
        <c:ser>
          <c:idx val="5"/>
          <c:order val="5"/>
          <c:tx>
            <c:strRef>
              <c:f>'Results ReCiPe (H) - HHD ship'!$AB$95</c:f>
              <c:strCache>
                <c:ptCount val="1"/>
                <c:pt idx="0">
                  <c:v>Operation - DAC</c:v>
                </c:pt>
              </c:strCache>
            </c:strRef>
          </c:tx>
          <c:spPr>
            <a:solidFill>
              <a:schemeClr val="accent2">
                <a:lumMod val="75000"/>
              </a:schemeClr>
            </a:solidFill>
            <a:ln>
              <a:noFill/>
            </a:ln>
            <a:effectLst/>
          </c:spPr>
          <c:invertIfNegative val="0"/>
          <c:val>
            <c:numRef>
              <c:f>'Results ReCiPe (H) - HHD ship'!$AC$95:$BA$95</c:f>
              <c:numCache>
                <c:formatCode>0.00E+00</c:formatCode>
                <c:ptCount val="25"/>
                <c:pt idx="0">
                  <c:v>3.1970161471994191E-2</c:v>
                </c:pt>
                <c:pt idx="1">
                  <c:v>2.9109048261782559E-2</c:v>
                </c:pt>
                <c:pt idx="2">
                  <c:v>2.6233085282901681E-2</c:v>
                </c:pt>
                <c:pt idx="3">
                  <c:v>2.3290847167405329E-2</c:v>
                </c:pt>
                <c:pt idx="4">
                  <c:v>2.0383545711031539E-2</c:v>
                </c:pt>
                <c:pt idx="5">
                  <c:v>1.7464351671340882E-2</c:v>
                </c:pt>
                <c:pt idx="6">
                  <c:v>1.7208349479355341E-2</c:v>
                </c:pt>
                <c:pt idx="7">
                  <c:v>1.6946844039901581E-2</c:v>
                </c:pt>
                <c:pt idx="8">
                  <c:v>1.663817542981191E-2</c:v>
                </c:pt>
                <c:pt idx="9">
                  <c:v>1.6363176778820931E-2</c:v>
                </c:pt>
                <c:pt idx="10">
                  <c:v>1.6081871721863549E-2</c:v>
                </c:pt>
                <c:pt idx="11">
                  <c:v>1.5943938721505829E-2</c:v>
                </c:pt>
                <c:pt idx="12">
                  <c:v>1.5808325031177139E-2</c:v>
                </c:pt>
                <c:pt idx="13">
                  <c:v>1.5664326837769409E-2</c:v>
                </c:pt>
                <c:pt idx="14">
                  <c:v>1.552884938795052E-2</c:v>
                </c:pt>
                <c:pt idx="15">
                  <c:v>1.5393763316684361E-2</c:v>
                </c:pt>
                <c:pt idx="16">
                  <c:v>1.4778131044248299E-2</c:v>
                </c:pt>
                <c:pt idx="17">
                  <c:v>1.4165123659348791E-2</c:v>
                </c:pt>
                <c:pt idx="18">
                  <c:v>1.35486801968695E-2</c:v>
                </c:pt>
                <c:pt idx="19">
                  <c:v>1.2944755993524751E-2</c:v>
                </c:pt>
                <c:pt idx="20">
                  <c:v>1.2344699833293079E-2</c:v>
                </c:pt>
                <c:pt idx="21">
                  <c:v>1.238039159625819E-2</c:v>
                </c:pt>
                <c:pt idx="22">
                  <c:v>1.1965932677229729E-2</c:v>
                </c:pt>
                <c:pt idx="23">
                  <c:v>1.1550338322082311E-2</c:v>
                </c:pt>
                <c:pt idx="24">
                  <c:v>1.113355301964785E-2</c:v>
                </c:pt>
              </c:numCache>
            </c:numRef>
          </c:val>
          <c:extLst>
            <c:ext xmlns:c15="http://schemas.microsoft.com/office/drawing/2012/chart" uri="{02D57815-91ED-43cb-92C2-25804820EDAC}">
              <c15:filteredCategoryTitle>
                <c15:cat>
                  <c:numRef>
                    <c:extLst>
                      <c:ext uri="{02D57815-91ED-43cb-92C2-25804820EDAC}">
                        <c15:formulaRef>
                          <c15:sqref>'Results ReCiPe (H) - HHD ship'!$AC$89:$BA$89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5-0FFF-42D5-9B6F-507425412BD9}"/>
            </c:ext>
          </c:extLst>
        </c:ser>
        <c:ser>
          <c:idx val="6"/>
          <c:order val="6"/>
          <c:tx>
            <c:strRef>
              <c:f>'Results ReCiPe (H) - HHD ship'!$AB$96</c:f>
              <c:strCache>
                <c:ptCount val="1"/>
                <c:pt idx="0">
                  <c:v>Operation - geological storage</c:v>
                </c:pt>
              </c:strCache>
            </c:strRef>
          </c:tx>
          <c:spPr>
            <a:solidFill>
              <a:schemeClr val="accent2">
                <a:lumMod val="50000"/>
              </a:schemeClr>
            </a:solidFill>
            <a:ln>
              <a:noFill/>
            </a:ln>
            <a:effectLst/>
          </c:spPr>
          <c:invertIfNegative val="0"/>
          <c:val>
            <c:numRef>
              <c:f>'Results ReCiPe (H) - HHD ship'!$AC$96:$BA$96</c:f>
              <c:numCache>
                <c:formatCode>0.00E+00</c:formatCode>
                <c:ptCount val="25"/>
                <c:pt idx="0">
                  <c:v>6.4113413642919994E-3</c:v>
                </c:pt>
                <c:pt idx="1">
                  <c:v>6.1870563164082874E-3</c:v>
                </c:pt>
                <c:pt idx="2">
                  <c:v>5.963008535558088E-3</c:v>
                </c:pt>
                <c:pt idx="3">
                  <c:v>5.734630362996632E-3</c:v>
                </c:pt>
                <c:pt idx="4">
                  <c:v>5.5108903406053209E-3</c:v>
                </c:pt>
                <c:pt idx="5">
                  <c:v>5.287579473543043E-3</c:v>
                </c:pt>
                <c:pt idx="6">
                  <c:v>5.2674711073858287E-3</c:v>
                </c:pt>
                <c:pt idx="7">
                  <c:v>5.247043547117405E-3</c:v>
                </c:pt>
                <c:pt idx="8">
                  <c:v>5.2228528819114701E-3</c:v>
                </c:pt>
                <c:pt idx="9">
                  <c:v>5.2016072909041606E-3</c:v>
                </c:pt>
                <c:pt idx="10">
                  <c:v>5.179982770564715E-3</c:v>
                </c:pt>
                <c:pt idx="11">
                  <c:v>5.1686646284624322E-3</c:v>
                </c:pt>
                <c:pt idx="12">
                  <c:v>5.1575362985013772E-3</c:v>
                </c:pt>
                <c:pt idx="13">
                  <c:v>5.1457028910987124E-3</c:v>
                </c:pt>
                <c:pt idx="14">
                  <c:v>5.1346104092235842E-3</c:v>
                </c:pt>
                <c:pt idx="15">
                  <c:v>5.1235542689888267E-3</c:v>
                </c:pt>
                <c:pt idx="16">
                  <c:v>5.0752136012556948E-3</c:v>
                </c:pt>
                <c:pt idx="17">
                  <c:v>5.0266829857731343E-3</c:v>
                </c:pt>
                <c:pt idx="18">
                  <c:v>4.9774210504638572E-3</c:v>
                </c:pt>
                <c:pt idx="19">
                  <c:v>4.9288028304039742E-3</c:v>
                </c:pt>
                <c:pt idx="20">
                  <c:v>4.8800914838041968E-3</c:v>
                </c:pt>
                <c:pt idx="21">
                  <c:v>4.8922208815631958E-3</c:v>
                </c:pt>
                <c:pt idx="22">
                  <c:v>4.8614659440340217E-3</c:v>
                </c:pt>
                <c:pt idx="23">
                  <c:v>4.8307189143537016E-3</c:v>
                </c:pt>
                <c:pt idx="24">
                  <c:v>4.7999740775658394E-3</c:v>
                </c:pt>
              </c:numCache>
            </c:numRef>
          </c:val>
          <c:extLst>
            <c:ext xmlns:c15="http://schemas.microsoft.com/office/drawing/2012/chart" uri="{02D57815-91ED-43cb-92C2-25804820EDAC}">
              <c15:filteredCategoryTitle>
                <c15:cat>
                  <c:numRef>
                    <c:extLst>
                      <c:ext uri="{02D57815-91ED-43cb-92C2-25804820EDAC}">
                        <c15:formulaRef>
                          <c15:sqref>'Results ReCiPe (H) - HHD ship'!$AC$89:$BA$89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6-0FFF-42D5-9B6F-507425412BD9}"/>
            </c:ext>
          </c:extLst>
        </c:ser>
        <c:ser>
          <c:idx val="7"/>
          <c:order val="7"/>
          <c:tx>
            <c:strRef>
              <c:f>'Results ReCiPe (H) - HHD ship'!$AB$97</c:f>
              <c:strCache>
                <c:ptCount val="1"/>
                <c:pt idx="0">
                  <c:v>CO2 captured and stored</c:v>
                </c:pt>
              </c:strCache>
            </c:strRef>
          </c:tx>
          <c:spPr>
            <a:solidFill>
              <a:schemeClr val="tx2">
                <a:lumMod val="20000"/>
                <a:lumOff val="80000"/>
              </a:schemeClr>
            </a:solidFill>
            <a:ln>
              <a:noFill/>
            </a:ln>
            <a:effectLst/>
          </c:spPr>
          <c:invertIfNegative val="0"/>
          <c:val>
            <c:numRef>
              <c:f>'Results ReCiPe (H) - HHD ship'!$AC$97:$BA$97</c:f>
              <c:numCache>
                <c:formatCode>0.00E+00</c:formatCode>
                <c:ptCount val="25"/>
                <c:pt idx="0">
                  <c:v>-9.2799999999999994E-2</c:v>
                </c:pt>
                <c:pt idx="1">
                  <c:v>-9.2799999999999994E-2</c:v>
                </c:pt>
                <c:pt idx="2">
                  <c:v>-9.2799999999999994E-2</c:v>
                </c:pt>
                <c:pt idx="3">
                  <c:v>-9.2799999999999994E-2</c:v>
                </c:pt>
                <c:pt idx="4">
                  <c:v>-9.2799999999999994E-2</c:v>
                </c:pt>
                <c:pt idx="5">
                  <c:v>-9.2799999999999994E-2</c:v>
                </c:pt>
                <c:pt idx="6">
                  <c:v>-9.2799999999999994E-2</c:v>
                </c:pt>
                <c:pt idx="7">
                  <c:v>-9.2799999999999994E-2</c:v>
                </c:pt>
                <c:pt idx="8">
                  <c:v>-9.2799999999999994E-2</c:v>
                </c:pt>
                <c:pt idx="9">
                  <c:v>-9.2799999999999994E-2</c:v>
                </c:pt>
                <c:pt idx="10">
                  <c:v>-9.2799999999999994E-2</c:v>
                </c:pt>
                <c:pt idx="11">
                  <c:v>-9.2799999999999994E-2</c:v>
                </c:pt>
                <c:pt idx="12">
                  <c:v>-9.2799999999999994E-2</c:v>
                </c:pt>
                <c:pt idx="13">
                  <c:v>-9.2799999999999994E-2</c:v>
                </c:pt>
                <c:pt idx="14">
                  <c:v>-9.2799999999999994E-2</c:v>
                </c:pt>
                <c:pt idx="15">
                  <c:v>-9.2799999999999994E-2</c:v>
                </c:pt>
                <c:pt idx="16">
                  <c:v>-9.2799999999999994E-2</c:v>
                </c:pt>
                <c:pt idx="17">
                  <c:v>-9.2799999999999994E-2</c:v>
                </c:pt>
                <c:pt idx="18">
                  <c:v>-9.2799999999999994E-2</c:v>
                </c:pt>
                <c:pt idx="19">
                  <c:v>-9.2799999999999994E-2</c:v>
                </c:pt>
                <c:pt idx="20">
                  <c:v>-9.2799999999999994E-2</c:v>
                </c:pt>
                <c:pt idx="21">
                  <c:v>-9.2799999999999994E-2</c:v>
                </c:pt>
                <c:pt idx="22">
                  <c:v>-9.2799999999999994E-2</c:v>
                </c:pt>
                <c:pt idx="23">
                  <c:v>-9.2799999999999994E-2</c:v>
                </c:pt>
                <c:pt idx="24">
                  <c:v>-9.2799999999999994E-2</c:v>
                </c:pt>
              </c:numCache>
            </c:numRef>
          </c:val>
          <c:extLst>
            <c:ext xmlns:c15="http://schemas.microsoft.com/office/drawing/2012/chart" uri="{02D57815-91ED-43cb-92C2-25804820EDAC}">
              <c15:filteredCategoryTitle>
                <c15:cat>
                  <c:numRef>
                    <c:extLst>
                      <c:ext uri="{02D57815-91ED-43cb-92C2-25804820EDAC}">
                        <c15:formulaRef>
                          <c15:sqref>'Results ReCiPe (H) - HHD ship'!$AC$89:$BA$89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7-0FFF-42D5-9B6F-507425412BD9}"/>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HHD ship'!$AB$98</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val>
            <c:numRef>
              <c:f>'Results ReCiPe (H) - HHD ship'!$AC$98:$BA$98</c:f>
              <c:numCache>
                <c:formatCode>0.00E+00</c:formatCode>
                <c:ptCount val="25"/>
                <c:pt idx="0">
                  <c:v>0.10140810554173529</c:v>
                </c:pt>
                <c:pt idx="1">
                  <c:v>-5.7503895421809149E-2</c:v>
                </c:pt>
                <c:pt idx="2">
                  <c:v>-6.0603906181540226E-2</c:v>
                </c:pt>
                <c:pt idx="3">
                  <c:v>-6.1884546761913684E-2</c:v>
                </c:pt>
                <c:pt idx="4">
                  <c:v>-6.6905563948363139E-2</c:v>
                </c:pt>
                <c:pt idx="5">
                  <c:v>-7.0048068855116066E-2</c:v>
                </c:pt>
                <c:pt idx="6">
                  <c:v>-6.850015243133778E-2</c:v>
                </c:pt>
                <c:pt idx="7">
                  <c:v>-7.0606112412981009E-2</c:v>
                </c:pt>
                <c:pt idx="8">
                  <c:v>-7.093897168827662E-2</c:v>
                </c:pt>
                <c:pt idx="9">
                  <c:v>-6.9428240129538729E-2</c:v>
                </c:pt>
                <c:pt idx="10">
                  <c:v>-7.1538145507571732E-2</c:v>
                </c:pt>
                <c:pt idx="11">
                  <c:v>-7.1687396650031737E-2</c:v>
                </c:pt>
                <c:pt idx="12">
                  <c:v>-7.0034410665448021E-2</c:v>
                </c:pt>
                <c:pt idx="13">
                  <c:v>-7.1989970271131881E-2</c:v>
                </c:pt>
                <c:pt idx="14">
                  <c:v>-7.2136540202825894E-2</c:v>
                </c:pt>
                <c:pt idx="15">
                  <c:v>-7.0488014795030682E-2</c:v>
                </c:pt>
                <c:pt idx="16">
                  <c:v>-7.2946655354496001E-2</c:v>
                </c:pt>
                <c:pt idx="17">
                  <c:v>-7.360819335487806E-2</c:v>
                </c:pt>
                <c:pt idx="18">
                  <c:v>-7.2487587021455496E-2</c:v>
                </c:pt>
                <c:pt idx="19">
                  <c:v>-7.4926441176071265E-2</c:v>
                </c:pt>
                <c:pt idx="20">
                  <c:v>-7.5575208682902711E-2</c:v>
                </c:pt>
                <c:pt idx="21">
                  <c:v>-7.373657047630737E-2</c:v>
                </c:pt>
                <c:pt idx="22">
                  <c:v>-7.5972601378736238E-2</c:v>
                </c:pt>
                <c:pt idx="23">
                  <c:v>-7.641894276356398E-2</c:v>
                </c:pt>
                <c:pt idx="24">
                  <c:v>-7.3909089601202516E-2</c:v>
                </c:pt>
              </c:numCache>
            </c:numRef>
          </c:val>
          <c:smooth val="0"/>
          <c:extLst>
            <c:ext xmlns:c15="http://schemas.microsoft.com/office/drawing/2012/chart" uri="{02D57815-91ED-43cb-92C2-25804820EDAC}">
              <c15:filteredCategoryTitle>
                <c15:cat>
                  <c:numRef>
                    <c:extLst>
                      <c:ext uri="{02D57815-91ED-43cb-92C2-25804820EDAC}">
                        <c15:formulaRef>
                          <c15:sqref>'Results ReCiPe (H) - HHD ship'!$AC$89:$BA$89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8-0FFF-42D5-9B6F-507425412BD9}"/>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nl-NL"/>
                  <a:t>years</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NL"/>
            </a:p>
          </c:txPr>
        </c:title>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Human</a:t>
                </a:r>
                <a:r>
                  <a:rPr lang="nl-NL" baseline="0"/>
                  <a:t> health</a:t>
                </a:r>
                <a:r>
                  <a:rPr lang="nl-NL"/>
                  <a:t> damage </a:t>
                </a:r>
                <a:br>
                  <a:rPr lang="nl-NL"/>
                </a:br>
                <a:r>
                  <a:rPr lang="nl-NL"/>
                  <a:t>(DALY/ton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HHD ship'!$AB$132</c:f>
              <c:strCache>
                <c:ptCount val="1"/>
                <c:pt idx="0">
                  <c:v>Construction - DAC</c:v>
                </c:pt>
              </c:strCache>
            </c:strRef>
          </c:tx>
          <c:spPr>
            <a:solidFill>
              <a:schemeClr val="accent4">
                <a:lumMod val="75000"/>
              </a:schemeClr>
            </a:solidFill>
            <a:ln>
              <a:noFill/>
            </a:ln>
            <a:effectLst/>
          </c:spPr>
          <c:invertIfNegative val="0"/>
          <c:cat>
            <c:numRef>
              <c:f>'Results ReCiPe (H) - HHD ship'!$AC$131:$BA$131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HHD ship'!$AC$132:$BA$132</c:f>
              <c:numCache>
                <c:formatCode>0.00E+00</c:formatCode>
                <c:ptCount val="25"/>
                <c:pt idx="0">
                  <c:v>0.16713320096113157</c:v>
                </c:pt>
              </c:numCache>
            </c:numRef>
          </c:val>
          <c:extLst>
            <c:ext xmlns:c16="http://schemas.microsoft.com/office/drawing/2014/chart" uri="{C3380CC4-5D6E-409C-BE32-E72D297353CC}">
              <c16:uniqueId val="{00000000-14B7-4C0A-AAE3-1983FCCE4AB5}"/>
            </c:ext>
          </c:extLst>
        </c:ser>
        <c:ser>
          <c:idx val="1"/>
          <c:order val="1"/>
          <c:tx>
            <c:strRef>
              <c:f>'Results ReCiPe (H) - HHD ship'!$AB$133</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(H) - HHD ship'!$AC$131:$BA$131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HHD ship'!$AC$133:$BA$133</c:f>
              <c:numCache>
                <c:formatCode>0.00E+00</c:formatCode>
                <c:ptCount val="25"/>
                <c:pt idx="0">
                  <c:v>1.0010028574258376E-2</c:v>
                </c:pt>
              </c:numCache>
            </c:numRef>
          </c:val>
          <c:extLst>
            <c:ext xmlns:c16="http://schemas.microsoft.com/office/drawing/2014/chart" uri="{C3380CC4-5D6E-409C-BE32-E72D297353CC}">
              <c16:uniqueId val="{00000001-14B7-4C0A-AAE3-1983FCCE4AB5}"/>
            </c:ext>
          </c:extLst>
        </c:ser>
        <c:ser>
          <c:idx val="2"/>
          <c:order val="2"/>
          <c:tx>
            <c:strRef>
              <c:f>'Results ReCiPe (H) - HHD ship'!$AB$134</c:f>
              <c:strCache>
                <c:ptCount val="1"/>
                <c:pt idx="0">
                  <c:v>Deconstruction - DAC</c:v>
                </c:pt>
              </c:strCache>
            </c:strRef>
          </c:tx>
          <c:spPr>
            <a:solidFill>
              <a:schemeClr val="accent2">
                <a:lumMod val="40000"/>
                <a:lumOff val="60000"/>
              </a:schemeClr>
            </a:solidFill>
            <a:ln>
              <a:noFill/>
            </a:ln>
            <a:effectLst/>
          </c:spPr>
          <c:invertIfNegative val="0"/>
          <c:cat>
            <c:numRef>
              <c:f>'Results ReCiPe (H) - HHD ship'!$AC$131:$BA$131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HHD ship'!$AC$134:$BA$134</c:f>
              <c:numCache>
                <c:formatCode>0.00E+00</c:formatCode>
                <c:ptCount val="25"/>
                <c:pt idx="24">
                  <c:v>1.3460715242108881E-3</c:v>
                </c:pt>
              </c:numCache>
            </c:numRef>
          </c:val>
          <c:extLst>
            <c:ext xmlns:c16="http://schemas.microsoft.com/office/drawing/2014/chart" uri="{C3380CC4-5D6E-409C-BE32-E72D297353CC}">
              <c16:uniqueId val="{00000002-14B7-4C0A-AAE3-1983FCCE4AB5}"/>
            </c:ext>
          </c:extLst>
        </c:ser>
        <c:ser>
          <c:idx val="3"/>
          <c:order val="3"/>
          <c:tx>
            <c:strRef>
              <c:f>'Results ReCiPe (H) - HHD ship'!$AB$135</c:f>
              <c:strCache>
                <c:ptCount val="1"/>
                <c:pt idx="0">
                  <c:v>Deconstruction - geological storage</c:v>
                </c:pt>
              </c:strCache>
            </c:strRef>
          </c:tx>
          <c:spPr>
            <a:solidFill>
              <a:srgbClr val="FF9900"/>
            </a:solidFill>
            <a:ln>
              <a:noFill/>
            </a:ln>
            <a:effectLst/>
          </c:spPr>
          <c:invertIfNegative val="0"/>
          <c:cat>
            <c:numRef>
              <c:f>'Results ReCiPe (H) - HHD ship'!$AC$131:$BA$131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HHD ship'!$AC$135:$BA$135</c:f>
              <c:numCache>
                <c:formatCode>0.00E+00</c:formatCode>
                <c:ptCount val="25"/>
                <c:pt idx="24">
                  <c:v>3.7268740247547826E-5</c:v>
                </c:pt>
              </c:numCache>
            </c:numRef>
          </c:val>
          <c:extLst>
            <c:ext xmlns:c16="http://schemas.microsoft.com/office/drawing/2014/chart" uri="{C3380CC4-5D6E-409C-BE32-E72D297353CC}">
              <c16:uniqueId val="{00000003-14B7-4C0A-AAE3-1983FCCE4AB5}"/>
            </c:ext>
          </c:extLst>
        </c:ser>
        <c:ser>
          <c:idx val="4"/>
          <c:order val="4"/>
          <c:tx>
            <c:strRef>
              <c:f>'Results ReCiPe (H) - HHD ship'!$AB$136</c:f>
              <c:strCache>
                <c:ptCount val="1"/>
                <c:pt idx="0">
                  <c:v>Sorbent material</c:v>
                </c:pt>
              </c:strCache>
            </c:strRef>
          </c:tx>
          <c:spPr>
            <a:solidFill>
              <a:srgbClr val="FF8F8F"/>
            </a:solidFill>
            <a:ln>
              <a:noFill/>
            </a:ln>
            <a:effectLst/>
          </c:spPr>
          <c:invertIfNegative val="0"/>
          <c:cat>
            <c:numRef>
              <c:f>'Results ReCiPe (H) - HHD ship'!$AC$131:$BA$131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HHD ship'!$AC$136:$BA$136</c:f>
              <c:numCache>
                <c:formatCode>0.00E+00</c:formatCode>
                <c:ptCount val="25"/>
                <c:pt idx="0">
                  <c:v>2.357201361606037E-3</c:v>
                </c:pt>
                <c:pt idx="3">
                  <c:v>2.338551887019074E-3</c:v>
                </c:pt>
                <c:pt idx="6">
                  <c:v>2.3329664166207272E-3</c:v>
                </c:pt>
                <c:pt idx="9">
                  <c:v>2.334292606370443E-3</c:v>
                </c:pt>
                <c:pt idx="12">
                  <c:v>2.344407424713253E-3</c:v>
                </c:pt>
                <c:pt idx="15">
                  <c:v>2.3564976098142901E-3</c:v>
                </c:pt>
                <c:pt idx="18">
                  <c:v>2.3307713043124539E-3</c:v>
                </c:pt>
                <c:pt idx="21">
                  <c:v>2.3230274489819871E-3</c:v>
                </c:pt>
                <c:pt idx="24">
                  <c:v>2.2803262576522711E-3</c:v>
                </c:pt>
              </c:numCache>
            </c:numRef>
          </c:val>
          <c:extLst>
            <c:ext xmlns:c16="http://schemas.microsoft.com/office/drawing/2014/chart" uri="{C3380CC4-5D6E-409C-BE32-E72D297353CC}">
              <c16:uniqueId val="{00000004-14B7-4C0A-AAE3-1983FCCE4AB5}"/>
            </c:ext>
          </c:extLst>
        </c:ser>
        <c:ser>
          <c:idx val="5"/>
          <c:order val="5"/>
          <c:tx>
            <c:strRef>
              <c:f>'Results ReCiPe (H) - HHD ship'!$AB$137</c:f>
              <c:strCache>
                <c:ptCount val="1"/>
                <c:pt idx="0">
                  <c:v>Operation - DAC</c:v>
                </c:pt>
              </c:strCache>
            </c:strRef>
          </c:tx>
          <c:spPr>
            <a:solidFill>
              <a:schemeClr val="accent2">
                <a:lumMod val="75000"/>
              </a:schemeClr>
            </a:solidFill>
            <a:ln>
              <a:noFill/>
            </a:ln>
            <a:effectLst/>
          </c:spPr>
          <c:invertIfNegative val="0"/>
          <c:cat>
            <c:numRef>
              <c:f>'Results ReCiPe (H) - HHD ship'!$AC$131:$BA$131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HHD ship'!$AC$137:$BA$137</c:f>
              <c:numCache>
                <c:formatCode>0.00E+00</c:formatCode>
                <c:ptCount val="25"/>
                <c:pt idx="0">
                  <c:v>5.7936669959752392E-2</c:v>
                </c:pt>
                <c:pt idx="1">
                  <c:v>5.7798977536212666E-2</c:v>
                </c:pt>
                <c:pt idx="2">
                  <c:v>5.7644803515677287E-2</c:v>
                </c:pt>
                <c:pt idx="3">
                  <c:v>5.7445538039350992E-2</c:v>
                </c:pt>
                <c:pt idx="4">
                  <c:v>5.7285114550924089E-2</c:v>
                </c:pt>
                <c:pt idx="5">
                  <c:v>5.7124135301795192E-2</c:v>
                </c:pt>
                <c:pt idx="6">
                  <c:v>6.0836013267578565E-2</c:v>
                </c:pt>
                <c:pt idx="7">
                  <c:v>6.4541273697726845E-2</c:v>
                </c:pt>
                <c:pt idx="8">
                  <c:v>6.8217901008272713E-2</c:v>
                </c:pt>
                <c:pt idx="9">
                  <c:v>7.1912644095711659E-2</c:v>
                </c:pt>
                <c:pt idx="10">
                  <c:v>7.5598510248962941E-2</c:v>
                </c:pt>
                <c:pt idx="11">
                  <c:v>8.2719825770981373E-2</c:v>
                </c:pt>
                <c:pt idx="12">
                  <c:v>8.9850755269602303E-2</c:v>
                </c:pt>
                <c:pt idx="13">
                  <c:v>9.6988260701402235E-2</c:v>
                </c:pt>
                <c:pt idx="14">
                  <c:v>0.10413922346205783</c:v>
                </c:pt>
                <c:pt idx="15">
                  <c:v>0.11130032917601163</c:v>
                </c:pt>
                <c:pt idx="16">
                  <c:v>0.11187728399346103</c:v>
                </c:pt>
                <c:pt idx="17">
                  <c:v>0.11244936864424317</c:v>
                </c:pt>
                <c:pt idx="18">
                  <c:v>0.11301361816694319</c:v>
                </c:pt>
                <c:pt idx="19">
                  <c:v>0.11357874206618396</c:v>
                </c:pt>
                <c:pt idx="20">
                  <c:v>0.11414054110586323</c:v>
                </c:pt>
                <c:pt idx="21">
                  <c:v>0.11244027225449538</c:v>
                </c:pt>
                <c:pt idx="22">
                  <c:v>0.10929333969881704</c:v>
                </c:pt>
                <c:pt idx="23">
                  <c:v>0.10613581421870298</c:v>
                </c:pt>
                <c:pt idx="24">
                  <c:v>0.10296758896790391</c:v>
                </c:pt>
              </c:numCache>
            </c:numRef>
          </c:val>
          <c:extLst>
            <c:ext xmlns:c16="http://schemas.microsoft.com/office/drawing/2014/chart" uri="{C3380CC4-5D6E-409C-BE32-E72D297353CC}">
              <c16:uniqueId val="{00000005-14B7-4C0A-AAE3-1983FCCE4AB5}"/>
            </c:ext>
          </c:extLst>
        </c:ser>
        <c:ser>
          <c:idx val="6"/>
          <c:order val="6"/>
          <c:tx>
            <c:strRef>
              <c:f>'Results ReCiPe (H) - HHD ship'!$AB$138</c:f>
              <c:strCache>
                <c:ptCount val="1"/>
                <c:pt idx="0">
                  <c:v>Operation - geological storage</c:v>
                </c:pt>
              </c:strCache>
            </c:strRef>
          </c:tx>
          <c:spPr>
            <a:solidFill>
              <a:schemeClr val="accent2">
                <a:lumMod val="50000"/>
              </a:schemeClr>
            </a:solidFill>
            <a:ln>
              <a:noFill/>
            </a:ln>
            <a:effectLst/>
          </c:spPr>
          <c:invertIfNegative val="0"/>
          <c:cat>
            <c:numRef>
              <c:f>'Results ReCiPe (H) - HHD ship'!$AC$131:$BA$131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HHD ship'!$AC$138:$BA$138</c:f>
              <c:numCache>
                <c:formatCode>0.00E+00</c:formatCode>
                <c:ptCount val="25"/>
                <c:pt idx="0">
                  <c:v>9.4509612337422E-3</c:v>
                </c:pt>
                <c:pt idx="1">
                  <c:v>9.4300859449296531E-3</c:v>
                </c:pt>
                <c:pt idx="2">
                  <c:v>9.4075908428544984E-3</c:v>
                </c:pt>
                <c:pt idx="3">
                  <c:v>9.3807128369535597E-3</c:v>
                </c:pt>
                <c:pt idx="4">
                  <c:v>9.3576402034245727E-3</c:v>
                </c:pt>
                <c:pt idx="5">
                  <c:v>9.3345481417857444E-3</c:v>
                </c:pt>
                <c:pt idx="6">
                  <c:v>9.6974695693430348E-3</c:v>
                </c:pt>
                <c:pt idx="7">
                  <c:v>1.005863086193929E-2</c:v>
                </c:pt>
                <c:pt idx="8">
                  <c:v>1.0415868774464919E-2</c:v>
                </c:pt>
                <c:pt idx="9">
                  <c:v>1.077380929272472E-2</c:v>
                </c:pt>
                <c:pt idx="10">
                  <c:v>1.112979696433317E-2</c:v>
                </c:pt>
                <c:pt idx="11">
                  <c:v>1.1824474038243949E-2</c:v>
                </c:pt>
                <c:pt idx="12">
                  <c:v>1.2518462685333581E-2</c:v>
                </c:pt>
                <c:pt idx="13">
                  <c:v>1.3211451215725391E-2</c:v>
                </c:pt>
                <c:pt idx="14">
                  <c:v>1.3904157911509731E-2</c:v>
                </c:pt>
                <c:pt idx="15">
                  <c:v>1.4596222288785311E-2</c:v>
                </c:pt>
                <c:pt idx="16">
                  <c:v>1.4642981122621862E-2</c:v>
                </c:pt>
                <c:pt idx="17">
                  <c:v>1.468914070479437E-2</c:v>
                </c:pt>
                <c:pt idx="18">
                  <c:v>1.473439348560146E-2</c:v>
                </c:pt>
                <c:pt idx="19">
                  <c:v>1.4779630705440812E-2</c:v>
                </c:pt>
                <c:pt idx="20">
                  <c:v>1.4824423246048289E-2</c:v>
                </c:pt>
                <c:pt idx="21">
                  <c:v>1.4647710254092741E-2</c:v>
                </c:pt>
                <c:pt idx="22">
                  <c:v>1.4322735027341018E-2</c:v>
                </c:pt>
                <c:pt idx="23">
                  <c:v>1.399794309042934E-2</c:v>
                </c:pt>
                <c:pt idx="24">
                  <c:v>1.3673325875907229E-2</c:v>
                </c:pt>
              </c:numCache>
            </c:numRef>
          </c:val>
          <c:extLst>
            <c:ext xmlns:c16="http://schemas.microsoft.com/office/drawing/2014/chart" uri="{C3380CC4-5D6E-409C-BE32-E72D297353CC}">
              <c16:uniqueId val="{00000006-14B7-4C0A-AAE3-1983FCCE4AB5}"/>
            </c:ext>
          </c:extLst>
        </c:ser>
        <c:ser>
          <c:idx val="7"/>
          <c:order val="7"/>
          <c:tx>
            <c:strRef>
              <c:f>'Results ReCiPe (H) - HHD ship'!$AB$139</c:f>
              <c:strCache>
                <c:ptCount val="1"/>
                <c:pt idx="0">
                  <c:v>CO2 captured and stored</c:v>
                </c:pt>
              </c:strCache>
            </c:strRef>
          </c:tx>
          <c:spPr>
            <a:solidFill>
              <a:schemeClr val="tx2">
                <a:lumMod val="20000"/>
                <a:lumOff val="80000"/>
              </a:schemeClr>
            </a:solidFill>
            <a:ln>
              <a:noFill/>
            </a:ln>
            <a:effectLst/>
          </c:spPr>
          <c:invertIfNegative val="0"/>
          <c:cat>
            <c:numRef>
              <c:f>'Results ReCiPe (H) - HHD ship'!$AC$131:$BA$131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HHD ship'!$AC$139:$BA$139</c:f>
              <c:numCache>
                <c:formatCode>0.00E+00</c:formatCode>
                <c:ptCount val="25"/>
                <c:pt idx="0">
                  <c:v>-9.2799999999999994E-2</c:v>
                </c:pt>
                <c:pt idx="1">
                  <c:v>-9.2799999999999994E-2</c:v>
                </c:pt>
                <c:pt idx="2">
                  <c:v>-9.2799999999999994E-2</c:v>
                </c:pt>
                <c:pt idx="3">
                  <c:v>-9.2799999999999994E-2</c:v>
                </c:pt>
                <c:pt idx="4">
                  <c:v>-9.2799999999999994E-2</c:v>
                </c:pt>
                <c:pt idx="5">
                  <c:v>-9.2799999999999994E-2</c:v>
                </c:pt>
                <c:pt idx="6">
                  <c:v>-9.2799999999999994E-2</c:v>
                </c:pt>
                <c:pt idx="7">
                  <c:v>-9.2799999999999994E-2</c:v>
                </c:pt>
                <c:pt idx="8">
                  <c:v>-9.2799999999999994E-2</c:v>
                </c:pt>
                <c:pt idx="9">
                  <c:v>-9.2799999999999994E-2</c:v>
                </c:pt>
                <c:pt idx="10">
                  <c:v>-9.2799999999999994E-2</c:v>
                </c:pt>
                <c:pt idx="11">
                  <c:v>-9.2799999999999994E-2</c:v>
                </c:pt>
                <c:pt idx="12">
                  <c:v>-9.2799999999999994E-2</c:v>
                </c:pt>
                <c:pt idx="13">
                  <c:v>-9.2799999999999994E-2</c:v>
                </c:pt>
                <c:pt idx="14">
                  <c:v>-9.2799999999999994E-2</c:v>
                </c:pt>
                <c:pt idx="15">
                  <c:v>-9.2799999999999994E-2</c:v>
                </c:pt>
                <c:pt idx="16">
                  <c:v>-9.2799999999999994E-2</c:v>
                </c:pt>
                <c:pt idx="17">
                  <c:v>-9.2799999999999994E-2</c:v>
                </c:pt>
                <c:pt idx="18">
                  <c:v>-9.2799999999999994E-2</c:v>
                </c:pt>
                <c:pt idx="19">
                  <c:v>-9.2799999999999994E-2</c:v>
                </c:pt>
                <c:pt idx="20">
                  <c:v>-9.2799999999999994E-2</c:v>
                </c:pt>
                <c:pt idx="21">
                  <c:v>-9.2799999999999994E-2</c:v>
                </c:pt>
                <c:pt idx="22">
                  <c:v>-9.2799999999999994E-2</c:v>
                </c:pt>
                <c:pt idx="23">
                  <c:v>-9.2799999999999994E-2</c:v>
                </c:pt>
                <c:pt idx="24">
                  <c:v>-9.2799999999999994E-2</c:v>
                </c:pt>
              </c:numCache>
            </c:numRef>
          </c:val>
          <c:extLst>
            <c:ext xmlns:c16="http://schemas.microsoft.com/office/drawing/2014/chart" uri="{C3380CC4-5D6E-409C-BE32-E72D297353CC}">
              <c16:uniqueId val="{00000007-14B7-4C0A-AAE3-1983FCCE4AB5}"/>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HHD ship'!$AB$140</c:f>
              <c:strCache>
                <c:ptCount val="1"/>
                <c:pt idx="0">
                  <c:v>TOTAL per year</c:v>
                </c:pt>
              </c:strCache>
            </c:strRef>
          </c:tx>
          <c:spPr>
            <a:ln w="28575" cap="rnd">
              <a:noFill/>
              <a:round/>
            </a:ln>
            <a:effectLst/>
          </c:spPr>
          <c:marker>
            <c:symbol val="circle"/>
            <c:size val="5"/>
            <c:spPr>
              <a:solidFill>
                <a:schemeClr val="tx1"/>
              </a:solidFill>
              <a:ln w="9525">
                <a:solidFill>
                  <a:schemeClr val="accent3">
                    <a:lumMod val="60000"/>
                  </a:schemeClr>
                </a:solidFill>
              </a:ln>
              <a:effectLst/>
            </c:spPr>
          </c:marker>
          <c:cat>
            <c:numRef>
              <c:f>'Results ReCiPe (H) - HHD ship'!$AC$131:$BA$131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HHD ship'!$AC$140:$BA$140</c:f>
              <c:numCache>
                <c:formatCode>0.00E+00</c:formatCode>
                <c:ptCount val="25"/>
                <c:pt idx="0">
                  <c:v>0.15408806209049056</c:v>
                </c:pt>
                <c:pt idx="1">
                  <c:v>-2.5570936518857668E-2</c:v>
                </c:pt>
                <c:pt idx="2">
                  <c:v>-2.5747605641468205E-2</c:v>
                </c:pt>
                <c:pt idx="3">
                  <c:v>-2.363519723667637E-2</c:v>
                </c:pt>
                <c:pt idx="4">
                  <c:v>-2.6157245245651328E-2</c:v>
                </c:pt>
                <c:pt idx="5">
                  <c:v>-2.6341316556419053E-2</c:v>
                </c:pt>
                <c:pt idx="6">
                  <c:v>-1.9933550746457668E-2</c:v>
                </c:pt>
                <c:pt idx="7">
                  <c:v>-1.8200095440333852E-2</c:v>
                </c:pt>
                <c:pt idx="8">
                  <c:v>-1.4166230217262363E-2</c:v>
                </c:pt>
                <c:pt idx="9">
                  <c:v>-7.7792540051931786E-3</c:v>
                </c:pt>
                <c:pt idx="10">
                  <c:v>-6.0716927867038861E-3</c:v>
                </c:pt>
                <c:pt idx="11">
                  <c:v>1.7442998092253303E-3</c:v>
                </c:pt>
                <c:pt idx="12">
                  <c:v>1.1913625379649143E-2</c:v>
                </c:pt>
                <c:pt idx="13">
                  <c:v>1.7399711917127636E-2</c:v>
                </c:pt>
                <c:pt idx="14">
                  <c:v>2.5243381373567561E-2</c:v>
                </c:pt>
                <c:pt idx="15">
                  <c:v>3.5453049074611248E-2</c:v>
                </c:pt>
                <c:pt idx="16">
                  <c:v>3.3720265116082893E-2</c:v>
                </c:pt>
                <c:pt idx="17">
                  <c:v>3.4338509349037538E-2</c:v>
                </c:pt>
                <c:pt idx="18">
                  <c:v>3.7278782956857104E-2</c:v>
                </c:pt>
                <c:pt idx="19">
                  <c:v>3.5558372771624769E-2</c:v>
                </c:pt>
                <c:pt idx="20">
                  <c:v>3.6164964351911522E-2</c:v>
                </c:pt>
                <c:pt idx="21">
                  <c:v>3.6611009957570106E-2</c:v>
                </c:pt>
                <c:pt idx="22">
                  <c:v>3.0816074726158063E-2</c:v>
                </c:pt>
                <c:pt idx="23">
                  <c:v>2.7333757309132331E-2</c:v>
                </c:pt>
                <c:pt idx="24">
                  <c:v>2.7504581365921849E-2</c:v>
                </c:pt>
              </c:numCache>
            </c:numRef>
          </c:val>
          <c:smooth val="0"/>
          <c:extLst>
            <c:ext xmlns:c16="http://schemas.microsoft.com/office/drawing/2014/chart" uri="{C3380CC4-5D6E-409C-BE32-E72D297353CC}">
              <c16:uniqueId val="{00000008-14B7-4C0A-AAE3-1983FCCE4AB5}"/>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Human</a:t>
                </a:r>
                <a:r>
                  <a:rPr lang="nl-NL" baseline="0"/>
                  <a:t> health</a:t>
                </a:r>
                <a:r>
                  <a:rPr lang="nl-NL"/>
                  <a:t> damage </a:t>
                </a:r>
                <a:br>
                  <a:rPr lang="nl-NL"/>
                </a:br>
                <a:r>
                  <a:rPr lang="nl-NL"/>
                  <a:t>(DALY/ton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HHD ship'!$AB$173</c:f>
              <c:strCache>
                <c:ptCount val="1"/>
                <c:pt idx="0">
                  <c:v>Construction - DAC</c:v>
                </c:pt>
              </c:strCache>
            </c:strRef>
          </c:tx>
          <c:spPr>
            <a:solidFill>
              <a:schemeClr val="accent4">
                <a:lumMod val="75000"/>
              </a:schemeClr>
            </a:solidFill>
            <a:ln>
              <a:noFill/>
            </a:ln>
            <a:effectLst/>
          </c:spPr>
          <c:invertIfNegative val="0"/>
          <c:val>
            <c:numRef>
              <c:f>'Results ReCiPe (H) - HHD ship'!$AC$173:$BA$173</c:f>
              <c:numCache>
                <c:formatCode>0.00E+00</c:formatCode>
                <c:ptCount val="25"/>
                <c:pt idx="0">
                  <c:v>0.16006814629521346</c:v>
                </c:pt>
              </c:numCache>
            </c:numRef>
          </c:val>
          <c:extLst>
            <c:ext xmlns:c15="http://schemas.microsoft.com/office/drawing/2012/chart" uri="{02D57815-91ED-43cb-92C2-25804820EDAC}">
              <c15:filteredCategoryTitle>
                <c15:cat>
                  <c:numRef>
                    <c:extLst>
                      <c:ext uri="{02D57815-91ED-43cb-92C2-25804820EDAC}">
                        <c15:formulaRef>
                          <c15:sqref>'Results ReCiPe (H) - HHD ship'!$AC$172:$BA$172</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0-DB8E-43B6-AA3F-5FFDCDCBF0C5}"/>
            </c:ext>
          </c:extLst>
        </c:ser>
        <c:ser>
          <c:idx val="1"/>
          <c:order val="1"/>
          <c:tx>
            <c:strRef>
              <c:f>'Results ReCiPe (H) - HHD ship'!$AB$174</c:f>
              <c:strCache>
                <c:ptCount val="1"/>
                <c:pt idx="0">
                  <c:v>Construction - geological storage</c:v>
                </c:pt>
              </c:strCache>
            </c:strRef>
          </c:tx>
          <c:spPr>
            <a:solidFill>
              <a:schemeClr val="accent4">
                <a:lumMod val="60000"/>
                <a:lumOff val="40000"/>
              </a:schemeClr>
            </a:solidFill>
            <a:ln>
              <a:noFill/>
            </a:ln>
            <a:effectLst/>
          </c:spPr>
          <c:invertIfNegative val="0"/>
          <c:val>
            <c:numRef>
              <c:f>'Results ReCiPe (H) - HHD ship'!$AC$174:$BA$174</c:f>
              <c:numCache>
                <c:formatCode>0.00E+00</c:formatCode>
                <c:ptCount val="25"/>
                <c:pt idx="0">
                  <c:v>9.5063834765982819E-3</c:v>
                </c:pt>
              </c:numCache>
            </c:numRef>
          </c:val>
          <c:extLst>
            <c:ext xmlns:c15="http://schemas.microsoft.com/office/drawing/2012/chart" uri="{02D57815-91ED-43cb-92C2-25804820EDAC}">
              <c15:filteredCategoryTitle>
                <c15:cat>
                  <c:numRef>
                    <c:extLst>
                      <c:ext uri="{02D57815-91ED-43cb-92C2-25804820EDAC}">
                        <c15:formulaRef>
                          <c15:sqref>'Results ReCiPe (H) - HHD ship'!$AC$172:$BA$172</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1-DB8E-43B6-AA3F-5FFDCDCBF0C5}"/>
            </c:ext>
          </c:extLst>
        </c:ser>
        <c:ser>
          <c:idx val="2"/>
          <c:order val="2"/>
          <c:tx>
            <c:strRef>
              <c:f>'Results ReCiPe (H) - HHD ship'!$AB$175</c:f>
              <c:strCache>
                <c:ptCount val="1"/>
                <c:pt idx="0">
                  <c:v>Deconstruction - DAC</c:v>
                </c:pt>
              </c:strCache>
            </c:strRef>
          </c:tx>
          <c:spPr>
            <a:solidFill>
              <a:schemeClr val="accent2">
                <a:lumMod val="40000"/>
                <a:lumOff val="60000"/>
              </a:schemeClr>
            </a:solidFill>
            <a:ln>
              <a:noFill/>
            </a:ln>
            <a:effectLst/>
          </c:spPr>
          <c:invertIfNegative val="0"/>
          <c:val>
            <c:numRef>
              <c:f>'Results ReCiPe (H) - HHD ship'!$AC$175:$BA$175</c:f>
              <c:numCache>
                <c:formatCode>0.00E+00</c:formatCode>
                <c:ptCount val="25"/>
                <c:pt idx="24">
                  <c:v>1.2038817746522666E-3</c:v>
                </c:pt>
              </c:numCache>
            </c:numRef>
          </c:val>
          <c:extLst>
            <c:ext xmlns:c15="http://schemas.microsoft.com/office/drawing/2012/chart" uri="{02D57815-91ED-43cb-92C2-25804820EDAC}">
              <c15:filteredCategoryTitle>
                <c15:cat>
                  <c:numRef>
                    <c:extLst>
                      <c:ext uri="{02D57815-91ED-43cb-92C2-25804820EDAC}">
                        <c15:formulaRef>
                          <c15:sqref>'Results ReCiPe (H) - HHD ship'!$AC$172:$BA$172</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2-DB8E-43B6-AA3F-5FFDCDCBF0C5}"/>
            </c:ext>
          </c:extLst>
        </c:ser>
        <c:ser>
          <c:idx val="3"/>
          <c:order val="3"/>
          <c:tx>
            <c:strRef>
              <c:f>'Results ReCiPe (H) - HHD ship'!$AB$176</c:f>
              <c:strCache>
                <c:ptCount val="1"/>
                <c:pt idx="0">
                  <c:v>Deconstruction - geological storage</c:v>
                </c:pt>
              </c:strCache>
            </c:strRef>
          </c:tx>
          <c:spPr>
            <a:solidFill>
              <a:srgbClr val="FF9900"/>
            </a:solidFill>
            <a:ln>
              <a:noFill/>
            </a:ln>
            <a:effectLst/>
          </c:spPr>
          <c:invertIfNegative val="0"/>
          <c:val>
            <c:numRef>
              <c:f>'Results ReCiPe (H) - HHD ship'!$AC$176:$BA$176</c:f>
              <c:numCache>
                <c:formatCode>0.00E+00</c:formatCode>
                <c:ptCount val="25"/>
                <c:pt idx="24">
                  <c:v>3.5227143847144076E-5</c:v>
                </c:pt>
              </c:numCache>
            </c:numRef>
          </c:val>
          <c:extLst>
            <c:ext xmlns:c15="http://schemas.microsoft.com/office/drawing/2012/chart" uri="{02D57815-91ED-43cb-92C2-25804820EDAC}">
              <c15:filteredCategoryTitle>
                <c15:cat>
                  <c:numRef>
                    <c:extLst>
                      <c:ext uri="{02D57815-91ED-43cb-92C2-25804820EDAC}">
                        <c15:formulaRef>
                          <c15:sqref>'Results ReCiPe (H) - HHD ship'!$AC$172:$BA$172</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3-DB8E-43B6-AA3F-5FFDCDCBF0C5}"/>
            </c:ext>
          </c:extLst>
        </c:ser>
        <c:ser>
          <c:idx val="4"/>
          <c:order val="4"/>
          <c:tx>
            <c:strRef>
              <c:f>'Results ReCiPe (H) - HHD ship'!$AB$177</c:f>
              <c:strCache>
                <c:ptCount val="1"/>
                <c:pt idx="0">
                  <c:v>Sorbent material</c:v>
                </c:pt>
              </c:strCache>
            </c:strRef>
          </c:tx>
          <c:spPr>
            <a:solidFill>
              <a:srgbClr val="FF8F8F"/>
            </a:solidFill>
            <a:ln>
              <a:noFill/>
            </a:ln>
            <a:effectLst/>
          </c:spPr>
          <c:invertIfNegative val="0"/>
          <c:val>
            <c:numRef>
              <c:f>'Results ReCiPe (H) - HHD ship'!$AC$177:$BA$177</c:f>
              <c:numCache>
                <c:formatCode>0.00E+00</c:formatCode>
                <c:ptCount val="25"/>
                <c:pt idx="0">
                  <c:v>2.2868444478900299E-3</c:v>
                </c:pt>
                <c:pt idx="3">
                  <c:v>2.2242630345716192E-3</c:v>
                </c:pt>
                <c:pt idx="6">
                  <c:v>2.1636441841529248E-3</c:v>
                </c:pt>
                <c:pt idx="9">
                  <c:v>2.0913940629818349E-3</c:v>
                </c:pt>
                <c:pt idx="12">
                  <c:v>2.0111593851075741E-3</c:v>
                </c:pt>
                <c:pt idx="15">
                  <c:v>1.925325558619934E-3</c:v>
                </c:pt>
                <c:pt idx="18">
                  <c:v>1.868103373074346E-3</c:v>
                </c:pt>
                <c:pt idx="21">
                  <c:v>1.839484702599319E-3</c:v>
                </c:pt>
                <c:pt idx="24">
                  <c:v>1.8308470230828889E-3</c:v>
                </c:pt>
              </c:numCache>
            </c:numRef>
          </c:val>
          <c:extLst>
            <c:ext xmlns:c15="http://schemas.microsoft.com/office/drawing/2012/chart" uri="{02D57815-91ED-43cb-92C2-25804820EDAC}">
              <c15:filteredCategoryTitle>
                <c15:cat>
                  <c:numRef>
                    <c:extLst>
                      <c:ext uri="{02D57815-91ED-43cb-92C2-25804820EDAC}">
                        <c15:formulaRef>
                          <c15:sqref>'Results ReCiPe (H) - HHD ship'!$AC$172:$BA$172</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4-DB8E-43B6-AA3F-5FFDCDCBF0C5}"/>
            </c:ext>
          </c:extLst>
        </c:ser>
        <c:ser>
          <c:idx val="5"/>
          <c:order val="5"/>
          <c:tx>
            <c:strRef>
              <c:f>'Results ReCiPe (H) - HHD ship'!$AB$178</c:f>
              <c:strCache>
                <c:ptCount val="1"/>
                <c:pt idx="0">
                  <c:v>Operation - DAC</c:v>
                </c:pt>
              </c:strCache>
            </c:strRef>
          </c:tx>
          <c:spPr>
            <a:solidFill>
              <a:schemeClr val="accent2">
                <a:lumMod val="75000"/>
              </a:schemeClr>
            </a:solidFill>
            <a:ln>
              <a:noFill/>
            </a:ln>
            <a:effectLst/>
          </c:spPr>
          <c:invertIfNegative val="0"/>
          <c:val>
            <c:numRef>
              <c:f>'Results ReCiPe (H) - HHD ship'!$AC$178:$BA$178</c:f>
              <c:numCache>
                <c:formatCode>0.00E+00</c:formatCode>
                <c:ptCount val="25"/>
                <c:pt idx="0">
                  <c:v>4.9474976847897568E-2</c:v>
                </c:pt>
                <c:pt idx="1">
                  <c:v>4.6522550306297726E-2</c:v>
                </c:pt>
                <c:pt idx="2">
                  <c:v>4.355624793890709E-2</c:v>
                </c:pt>
                <c:pt idx="3">
                  <c:v>4.0541541366208723E-2</c:v>
                </c:pt>
                <c:pt idx="4">
                  <c:v>3.7565066504135186E-2</c:v>
                </c:pt>
                <c:pt idx="5">
                  <c:v>3.4585867561235863E-2</c:v>
                </c:pt>
                <c:pt idx="6">
                  <c:v>3.2838818395999891E-2</c:v>
                </c:pt>
                <c:pt idx="7">
                  <c:v>3.1098187750874622E-2</c:v>
                </c:pt>
                <c:pt idx="8">
                  <c:v>2.933208111837475E-2</c:v>
                </c:pt>
                <c:pt idx="9">
                  <c:v>2.7594024536413905E-2</c:v>
                </c:pt>
                <c:pt idx="10">
                  <c:v>2.5855349323427739E-2</c:v>
                </c:pt>
                <c:pt idx="11">
                  <c:v>2.4734990290458083E-2</c:v>
                </c:pt>
                <c:pt idx="12">
                  <c:v>2.3610300650731924E-2</c:v>
                </c:pt>
                <c:pt idx="13">
                  <c:v>2.2473061940846511E-2</c:v>
                </c:pt>
                <c:pt idx="14">
                  <c:v>2.1336924852192057E-2</c:v>
                </c:pt>
                <c:pt idx="15">
                  <c:v>2.0195671173589842E-2</c:v>
                </c:pt>
                <c:pt idx="16">
                  <c:v>1.9789530140639756E-2</c:v>
                </c:pt>
                <c:pt idx="17">
                  <c:v>1.9381026348446195E-2</c:v>
                </c:pt>
                <c:pt idx="18">
                  <c:v>1.8964561507911409E-2</c:v>
                </c:pt>
                <c:pt idx="19">
                  <c:v>1.8553924321067339E-2</c:v>
                </c:pt>
                <c:pt idx="20">
                  <c:v>1.8142723046211284E-2</c:v>
                </c:pt>
                <c:pt idx="21">
                  <c:v>1.8301014964826487E-2</c:v>
                </c:pt>
                <c:pt idx="22">
                  <c:v>1.8122457232622846E-2</c:v>
                </c:pt>
                <c:pt idx="23">
                  <c:v>1.7943406836689314E-2</c:v>
                </c:pt>
                <c:pt idx="24">
                  <c:v>1.7763818435932222E-2</c:v>
                </c:pt>
              </c:numCache>
            </c:numRef>
          </c:val>
          <c:extLst>
            <c:ext xmlns:c15="http://schemas.microsoft.com/office/drawing/2012/chart" uri="{02D57815-91ED-43cb-92C2-25804820EDAC}">
              <c15:filteredCategoryTitle>
                <c15:cat>
                  <c:numRef>
                    <c:extLst>
                      <c:ext uri="{02D57815-91ED-43cb-92C2-25804820EDAC}">
                        <c15:formulaRef>
                          <c15:sqref>'Results ReCiPe (H) - HHD ship'!$AC$172:$BA$172</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5-DB8E-43B6-AA3F-5FFDCDCBF0C5}"/>
            </c:ext>
          </c:extLst>
        </c:ser>
        <c:ser>
          <c:idx val="6"/>
          <c:order val="6"/>
          <c:tx>
            <c:strRef>
              <c:f>'Results ReCiPe (H) - HHD ship'!$AB$179</c:f>
              <c:strCache>
                <c:ptCount val="1"/>
                <c:pt idx="0">
                  <c:v>Operation - geological storage</c:v>
                </c:pt>
              </c:strCache>
            </c:strRef>
          </c:tx>
          <c:spPr>
            <a:solidFill>
              <a:schemeClr val="accent2">
                <a:lumMod val="50000"/>
              </a:schemeClr>
            </a:solidFill>
            <a:ln>
              <a:noFill/>
            </a:ln>
            <a:effectLst/>
          </c:spPr>
          <c:invertIfNegative val="0"/>
          <c:val>
            <c:numRef>
              <c:f>'Results ReCiPe (H) - HHD ship'!$AC$179:$BA$179</c:f>
              <c:numCache>
                <c:formatCode>0.00E+00</c:formatCode>
                <c:ptCount val="25"/>
                <c:pt idx="0">
                  <c:v>8.5933149816682687E-3</c:v>
                </c:pt>
                <c:pt idx="1">
                  <c:v>8.2908592660289031E-3</c:v>
                </c:pt>
                <c:pt idx="2">
                  <c:v>7.9883594686031723E-3</c:v>
                </c:pt>
                <c:pt idx="3">
                  <c:v>7.6824428526027699E-3</c:v>
                </c:pt>
                <c:pt idx="4">
                  <c:v>7.3815896913372861E-3</c:v>
                </c:pt>
                <c:pt idx="5">
                  <c:v>7.0818035588348371E-3</c:v>
                </c:pt>
                <c:pt idx="6">
                  <c:v>6.9065674968874242E-3</c:v>
                </c:pt>
                <c:pt idx="7">
                  <c:v>6.7320552022219326E-3</c:v>
                </c:pt>
                <c:pt idx="8">
                  <c:v>6.5552231612474613E-3</c:v>
                </c:pt>
                <c:pt idx="9">
                  <c:v>6.3814500845837899E-3</c:v>
                </c:pt>
                <c:pt idx="10">
                  <c:v>6.2079211584379103E-3</c:v>
                </c:pt>
                <c:pt idx="11">
                  <c:v>6.0954708685004551E-3</c:v>
                </c:pt>
                <c:pt idx="12">
                  <c:v>5.9825885760334385E-3</c:v>
                </c:pt>
                <c:pt idx="13">
                  <c:v>5.8684657507291106E-3</c:v>
                </c:pt>
                <c:pt idx="14">
                  <c:v>5.754469652475792E-3</c:v>
                </c:pt>
                <c:pt idx="15">
                  <c:v>5.6399811118439044E-3</c:v>
                </c:pt>
                <c:pt idx="16">
                  <c:v>5.5980827164439223E-3</c:v>
                </c:pt>
                <c:pt idx="17">
                  <c:v>5.5558844982483112E-3</c:v>
                </c:pt>
                <c:pt idx="18">
                  <c:v>5.5128289027284328E-3</c:v>
                </c:pt>
                <c:pt idx="19">
                  <c:v>5.4702708622407937E-3</c:v>
                </c:pt>
                <c:pt idx="20">
                  <c:v>5.427559757803185E-3</c:v>
                </c:pt>
                <c:pt idx="21">
                  <c:v>5.4501119918836331E-3</c:v>
                </c:pt>
                <c:pt idx="22">
                  <c:v>5.4320501046926078E-3</c:v>
                </c:pt>
                <c:pt idx="23">
                  <c:v>5.4139935919568661E-3</c:v>
                </c:pt>
                <c:pt idx="24">
                  <c:v>5.395935830577011E-3</c:v>
                </c:pt>
              </c:numCache>
            </c:numRef>
          </c:val>
          <c:extLst>
            <c:ext xmlns:c15="http://schemas.microsoft.com/office/drawing/2012/chart" uri="{02D57815-91ED-43cb-92C2-25804820EDAC}">
              <c15:filteredCategoryTitle>
                <c15:cat>
                  <c:numRef>
                    <c:extLst>
                      <c:ext uri="{02D57815-91ED-43cb-92C2-25804820EDAC}">
                        <c15:formulaRef>
                          <c15:sqref>'Results ReCiPe (H) - HHD ship'!$AC$172:$BA$172</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6-DB8E-43B6-AA3F-5FFDCDCBF0C5}"/>
            </c:ext>
          </c:extLst>
        </c:ser>
        <c:ser>
          <c:idx val="7"/>
          <c:order val="7"/>
          <c:tx>
            <c:strRef>
              <c:f>'Results ReCiPe (H) - HHD ship'!$AB$180</c:f>
              <c:strCache>
                <c:ptCount val="1"/>
                <c:pt idx="0">
                  <c:v>CO2 captured and stored</c:v>
                </c:pt>
              </c:strCache>
            </c:strRef>
          </c:tx>
          <c:spPr>
            <a:solidFill>
              <a:schemeClr val="tx2">
                <a:lumMod val="20000"/>
                <a:lumOff val="80000"/>
              </a:schemeClr>
            </a:solidFill>
            <a:ln>
              <a:noFill/>
            </a:ln>
            <a:effectLst/>
          </c:spPr>
          <c:invertIfNegative val="0"/>
          <c:val>
            <c:numRef>
              <c:f>'Results ReCiPe (H) - HHD ship'!$AC$180:$BA$180</c:f>
              <c:numCache>
                <c:formatCode>0.00E+00</c:formatCode>
                <c:ptCount val="25"/>
                <c:pt idx="0">
                  <c:v>-9.2799999999999994E-2</c:v>
                </c:pt>
                <c:pt idx="1">
                  <c:v>-9.2799999999999994E-2</c:v>
                </c:pt>
                <c:pt idx="2">
                  <c:v>-9.2799999999999994E-2</c:v>
                </c:pt>
                <c:pt idx="3">
                  <c:v>-9.2799999999999994E-2</c:v>
                </c:pt>
                <c:pt idx="4">
                  <c:v>-9.2799999999999994E-2</c:v>
                </c:pt>
                <c:pt idx="5">
                  <c:v>-9.2799999999999994E-2</c:v>
                </c:pt>
                <c:pt idx="6">
                  <c:v>-9.2799999999999994E-2</c:v>
                </c:pt>
                <c:pt idx="7">
                  <c:v>-9.2799999999999994E-2</c:v>
                </c:pt>
                <c:pt idx="8">
                  <c:v>-9.2799999999999994E-2</c:v>
                </c:pt>
                <c:pt idx="9">
                  <c:v>-9.2799999999999994E-2</c:v>
                </c:pt>
                <c:pt idx="10">
                  <c:v>-9.2799999999999994E-2</c:v>
                </c:pt>
                <c:pt idx="11">
                  <c:v>-9.2799999999999994E-2</c:v>
                </c:pt>
                <c:pt idx="12">
                  <c:v>-9.2799999999999994E-2</c:v>
                </c:pt>
                <c:pt idx="13">
                  <c:v>-9.2799999999999994E-2</c:v>
                </c:pt>
                <c:pt idx="14">
                  <c:v>-9.2799999999999994E-2</c:v>
                </c:pt>
                <c:pt idx="15">
                  <c:v>-9.2799999999999994E-2</c:v>
                </c:pt>
                <c:pt idx="16">
                  <c:v>-9.2799999999999994E-2</c:v>
                </c:pt>
                <c:pt idx="17">
                  <c:v>-9.2799999999999994E-2</c:v>
                </c:pt>
                <c:pt idx="18">
                  <c:v>-9.2799999999999994E-2</c:v>
                </c:pt>
                <c:pt idx="19">
                  <c:v>-9.2799999999999994E-2</c:v>
                </c:pt>
                <c:pt idx="20">
                  <c:v>-9.2799999999999994E-2</c:v>
                </c:pt>
                <c:pt idx="21">
                  <c:v>-9.2799999999999994E-2</c:v>
                </c:pt>
                <c:pt idx="22">
                  <c:v>-9.2799999999999994E-2</c:v>
                </c:pt>
                <c:pt idx="23">
                  <c:v>-9.2799999999999994E-2</c:v>
                </c:pt>
                <c:pt idx="24">
                  <c:v>-9.2799999999999994E-2</c:v>
                </c:pt>
              </c:numCache>
            </c:numRef>
          </c:val>
          <c:extLst>
            <c:ext xmlns:c15="http://schemas.microsoft.com/office/drawing/2012/chart" uri="{02D57815-91ED-43cb-92C2-25804820EDAC}">
              <c15:filteredCategoryTitle>
                <c15:cat>
                  <c:numRef>
                    <c:extLst>
                      <c:ext uri="{02D57815-91ED-43cb-92C2-25804820EDAC}">
                        <c15:formulaRef>
                          <c15:sqref>'Results ReCiPe (H) - HHD ship'!$AC$172:$BA$172</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7-DB8E-43B6-AA3F-5FFDCDCBF0C5}"/>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HHD ship'!$AB$181</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val>
            <c:numRef>
              <c:f>'Results ReCiPe (H) - HHD ship'!$AC$181:$BA$181</c:f>
              <c:numCache>
                <c:formatCode>0.00E+00</c:formatCode>
                <c:ptCount val="25"/>
                <c:pt idx="0">
                  <c:v>0.13712966604926763</c:v>
                </c:pt>
                <c:pt idx="1">
                  <c:v>-3.7986590427673363E-2</c:v>
                </c:pt>
                <c:pt idx="2">
                  <c:v>-4.1255392592489733E-2</c:v>
                </c:pt>
                <c:pt idx="3">
                  <c:v>-4.2351752746616879E-2</c:v>
                </c:pt>
                <c:pt idx="4">
                  <c:v>-4.7853343804527521E-2</c:v>
                </c:pt>
                <c:pt idx="5">
                  <c:v>-5.1132328879929294E-2</c:v>
                </c:pt>
                <c:pt idx="6">
                  <c:v>-5.0890969922959758E-2</c:v>
                </c:pt>
                <c:pt idx="7">
                  <c:v>-5.4969757046903441E-2</c:v>
                </c:pt>
                <c:pt idx="8">
                  <c:v>-5.6912695720377784E-2</c:v>
                </c:pt>
                <c:pt idx="9">
                  <c:v>-5.6733131316020466E-2</c:v>
                </c:pt>
                <c:pt idx="10">
                  <c:v>-6.0736729518134344E-2</c:v>
                </c:pt>
                <c:pt idx="11">
                  <c:v>-6.1969538841041456E-2</c:v>
                </c:pt>
                <c:pt idx="12">
                  <c:v>-6.1195951388127057E-2</c:v>
                </c:pt>
                <c:pt idx="13">
                  <c:v>-6.4458472308424372E-2</c:v>
                </c:pt>
                <c:pt idx="14">
                  <c:v>-6.570860549533214E-2</c:v>
                </c:pt>
                <c:pt idx="15">
                  <c:v>-6.5039022155946313E-2</c:v>
                </c:pt>
                <c:pt idx="16">
                  <c:v>-6.7412387142916308E-2</c:v>
                </c:pt>
                <c:pt idx="17">
                  <c:v>-6.7863089153305495E-2</c:v>
                </c:pt>
                <c:pt idx="18">
                  <c:v>-6.6454506216285805E-2</c:v>
                </c:pt>
                <c:pt idx="19">
                  <c:v>-6.8775804816691863E-2</c:v>
                </c:pt>
                <c:pt idx="20">
                  <c:v>-6.922971719598553E-2</c:v>
                </c:pt>
                <c:pt idx="21">
                  <c:v>-6.7209388340690554E-2</c:v>
                </c:pt>
                <c:pt idx="22">
                  <c:v>-6.9245492662684538E-2</c:v>
                </c:pt>
                <c:pt idx="23">
                  <c:v>-6.9442599571353819E-2</c:v>
                </c:pt>
                <c:pt idx="24">
                  <c:v>-6.657028979190846E-2</c:v>
                </c:pt>
              </c:numCache>
            </c:numRef>
          </c:val>
          <c:smooth val="0"/>
          <c:extLst>
            <c:ext xmlns:c15="http://schemas.microsoft.com/office/drawing/2012/chart" uri="{02D57815-91ED-43cb-92C2-25804820EDAC}">
              <c15:filteredCategoryTitle>
                <c15:cat>
                  <c:numRef>
                    <c:extLst>
                      <c:ext uri="{02D57815-91ED-43cb-92C2-25804820EDAC}">
                        <c15:formulaRef>
                          <c15:sqref>'Results ReCiPe (H) - HHD ship'!$AC$172:$BA$172</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8-DB8E-43B6-AA3F-5FFDCDCBF0C5}"/>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nl-NL"/>
                  <a:t>years</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NL"/>
            </a:p>
          </c:txPr>
        </c:title>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Human</a:t>
                </a:r>
                <a:r>
                  <a:rPr lang="nl-NL" baseline="0"/>
                  <a:t> health</a:t>
                </a:r>
                <a:r>
                  <a:rPr lang="nl-NL"/>
                  <a:t> damage </a:t>
                </a:r>
                <a:br>
                  <a:rPr lang="nl-NL"/>
                </a:br>
                <a:r>
                  <a:rPr lang="nl-NL"/>
                  <a:t>(DALY/ton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HHD ship'!$AB$214</c:f>
              <c:strCache>
                <c:ptCount val="1"/>
                <c:pt idx="0">
                  <c:v>Construction - DAC</c:v>
                </c:pt>
              </c:strCache>
            </c:strRef>
          </c:tx>
          <c:spPr>
            <a:solidFill>
              <a:schemeClr val="accent4">
                <a:lumMod val="75000"/>
              </a:schemeClr>
            </a:solidFill>
            <a:ln>
              <a:noFill/>
            </a:ln>
            <a:effectLst/>
          </c:spPr>
          <c:invertIfNegative val="0"/>
          <c:val>
            <c:numRef>
              <c:f>'Results ReCiPe (H) - HHD ship'!$AC$214:$BA$214</c:f>
              <c:numCache>
                <c:formatCode>0.00E+00</c:formatCode>
                <c:ptCount val="25"/>
                <c:pt idx="0">
                  <c:v>0.14486428170139623</c:v>
                </c:pt>
              </c:numCache>
            </c:numRef>
          </c:val>
          <c:extLst>
            <c:ext xmlns:c15="http://schemas.microsoft.com/office/drawing/2012/chart" uri="{02D57815-91ED-43cb-92C2-25804820EDAC}">
              <c15:filteredCategoryTitle>
                <c15:cat>
                  <c:numRef>
                    <c:extLst>
                      <c:ext uri="{02D57815-91ED-43cb-92C2-25804820EDAC}">
                        <c15:formulaRef>
                          <c15:sqref>'Results ReCiPe (H) - HHD ship'!$AC$213:$BA$213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0-5668-4FFF-811C-F72F4A24A333}"/>
            </c:ext>
          </c:extLst>
        </c:ser>
        <c:ser>
          <c:idx val="1"/>
          <c:order val="1"/>
          <c:tx>
            <c:strRef>
              <c:f>'Results ReCiPe (H) - HHD ship'!$AB$215</c:f>
              <c:strCache>
                <c:ptCount val="1"/>
                <c:pt idx="0">
                  <c:v>Construction - geological storage</c:v>
                </c:pt>
              </c:strCache>
            </c:strRef>
          </c:tx>
          <c:spPr>
            <a:solidFill>
              <a:schemeClr val="accent4">
                <a:lumMod val="60000"/>
                <a:lumOff val="40000"/>
              </a:schemeClr>
            </a:solidFill>
            <a:ln>
              <a:noFill/>
            </a:ln>
            <a:effectLst/>
          </c:spPr>
          <c:invertIfNegative val="0"/>
          <c:val>
            <c:numRef>
              <c:f>'Results ReCiPe (H) - HHD ship'!$AC$215:$BA$215</c:f>
              <c:numCache>
                <c:formatCode>0.00E+00</c:formatCode>
                <c:ptCount val="25"/>
                <c:pt idx="0">
                  <c:v>8.977436741851275E-3</c:v>
                </c:pt>
              </c:numCache>
            </c:numRef>
          </c:val>
          <c:extLst>
            <c:ext xmlns:c15="http://schemas.microsoft.com/office/drawing/2012/chart" uri="{02D57815-91ED-43cb-92C2-25804820EDAC}">
              <c15:filteredCategoryTitle>
                <c15:cat>
                  <c:numRef>
                    <c:extLst>
                      <c:ext uri="{02D57815-91ED-43cb-92C2-25804820EDAC}">
                        <c15:formulaRef>
                          <c15:sqref>'Results ReCiPe (H) - HHD ship'!$AC$213:$BA$213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1-5668-4FFF-811C-F72F4A24A333}"/>
            </c:ext>
          </c:extLst>
        </c:ser>
        <c:ser>
          <c:idx val="2"/>
          <c:order val="2"/>
          <c:tx>
            <c:strRef>
              <c:f>'Results ReCiPe (H) - HHD ship'!$AB$216</c:f>
              <c:strCache>
                <c:ptCount val="1"/>
                <c:pt idx="0">
                  <c:v>Deconstruction - DAC</c:v>
                </c:pt>
              </c:strCache>
            </c:strRef>
          </c:tx>
          <c:spPr>
            <a:solidFill>
              <a:schemeClr val="accent2">
                <a:lumMod val="40000"/>
                <a:lumOff val="60000"/>
              </a:schemeClr>
            </a:solidFill>
            <a:ln>
              <a:noFill/>
            </a:ln>
            <a:effectLst/>
          </c:spPr>
          <c:invertIfNegative val="0"/>
          <c:val>
            <c:numRef>
              <c:f>'Results ReCiPe (H) - HHD ship'!$AC$216:$BA$216</c:f>
              <c:numCache>
                <c:formatCode>0.00E+00</c:formatCode>
                <c:ptCount val="25"/>
                <c:pt idx="24">
                  <c:v>1.1364491829356034E-3</c:v>
                </c:pt>
              </c:numCache>
            </c:numRef>
          </c:val>
          <c:extLst>
            <c:ext xmlns:c15="http://schemas.microsoft.com/office/drawing/2012/chart" uri="{02D57815-91ED-43cb-92C2-25804820EDAC}">
              <c15:filteredCategoryTitle>
                <c15:cat>
                  <c:numRef>
                    <c:extLst>
                      <c:ext uri="{02D57815-91ED-43cb-92C2-25804820EDAC}">
                        <c15:formulaRef>
                          <c15:sqref>'Results ReCiPe (H) - HHD ship'!$AC$213:$BA$213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2-5668-4FFF-811C-F72F4A24A333}"/>
            </c:ext>
          </c:extLst>
        </c:ser>
        <c:ser>
          <c:idx val="3"/>
          <c:order val="3"/>
          <c:tx>
            <c:strRef>
              <c:f>'Results ReCiPe (H) - HHD ship'!$AB$217</c:f>
              <c:strCache>
                <c:ptCount val="1"/>
                <c:pt idx="0">
                  <c:v>Deconstruction - geological storage</c:v>
                </c:pt>
              </c:strCache>
            </c:strRef>
          </c:tx>
          <c:spPr>
            <a:solidFill>
              <a:srgbClr val="FF9900"/>
            </a:solidFill>
            <a:ln>
              <a:noFill/>
            </a:ln>
            <a:effectLst/>
          </c:spPr>
          <c:invertIfNegative val="0"/>
          <c:val>
            <c:numRef>
              <c:f>'Results ReCiPe (H) - HHD ship'!$AC$217:$BA$217</c:f>
              <c:numCache>
                <c:formatCode>0.00E+00</c:formatCode>
                <c:ptCount val="25"/>
                <c:pt idx="24">
                  <c:v>3.4041847576099076E-5</c:v>
                </c:pt>
              </c:numCache>
            </c:numRef>
          </c:val>
          <c:extLst>
            <c:ext xmlns:c15="http://schemas.microsoft.com/office/drawing/2012/chart" uri="{02D57815-91ED-43cb-92C2-25804820EDAC}">
              <c15:filteredCategoryTitle>
                <c15:cat>
                  <c:numRef>
                    <c:extLst>
                      <c:ext uri="{02D57815-91ED-43cb-92C2-25804820EDAC}">
                        <c15:formulaRef>
                          <c15:sqref>'Results ReCiPe (H) - HHD ship'!$AC$213:$BA$213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3-5668-4FFF-811C-F72F4A24A333}"/>
            </c:ext>
          </c:extLst>
        </c:ser>
        <c:ser>
          <c:idx val="4"/>
          <c:order val="4"/>
          <c:tx>
            <c:strRef>
              <c:f>'Results ReCiPe (H) - HHD ship'!$AB$218</c:f>
              <c:strCache>
                <c:ptCount val="1"/>
                <c:pt idx="0">
                  <c:v>Sorbent material</c:v>
                </c:pt>
              </c:strCache>
            </c:strRef>
          </c:tx>
          <c:spPr>
            <a:solidFill>
              <a:srgbClr val="FF8F8F"/>
            </a:solidFill>
            <a:ln>
              <a:noFill/>
            </a:ln>
            <a:effectLst/>
          </c:spPr>
          <c:invertIfNegative val="0"/>
          <c:val>
            <c:numRef>
              <c:f>'Results ReCiPe (H) - HHD ship'!$AC$218:$BA$218</c:f>
              <c:numCache>
                <c:formatCode>0.00E+00</c:formatCode>
                <c:ptCount val="25"/>
                <c:pt idx="0">
                  <c:v>1.9848842622015748E-3</c:v>
                </c:pt>
                <c:pt idx="3">
                  <c:v>1.889975707684352E-3</c:v>
                </c:pt>
                <c:pt idx="6">
                  <c:v>1.8240269819210511E-3</c:v>
                </c:pt>
                <c:pt idx="9">
                  <c:v>1.8069758007361711E-3</c:v>
                </c:pt>
                <c:pt idx="12">
                  <c:v>1.799728004873463E-3</c:v>
                </c:pt>
                <c:pt idx="15">
                  <c:v>1.7946676192961261E-3</c:v>
                </c:pt>
                <c:pt idx="18">
                  <c:v>1.786311731211142E-3</c:v>
                </c:pt>
                <c:pt idx="21">
                  <c:v>1.790817045871237E-3</c:v>
                </c:pt>
                <c:pt idx="24">
                  <c:v>1.786892271072078E-3</c:v>
                </c:pt>
              </c:numCache>
            </c:numRef>
          </c:val>
          <c:extLst>
            <c:ext xmlns:c15="http://schemas.microsoft.com/office/drawing/2012/chart" uri="{02D57815-91ED-43cb-92C2-25804820EDAC}">
              <c15:filteredCategoryTitle>
                <c15:cat>
                  <c:numRef>
                    <c:extLst>
                      <c:ext uri="{02D57815-91ED-43cb-92C2-25804820EDAC}">
                        <c15:formulaRef>
                          <c15:sqref>'Results ReCiPe (H) - HHD ship'!$AC$213:$BA$213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4-5668-4FFF-811C-F72F4A24A333}"/>
            </c:ext>
          </c:extLst>
        </c:ser>
        <c:ser>
          <c:idx val="5"/>
          <c:order val="5"/>
          <c:tx>
            <c:strRef>
              <c:f>'Results ReCiPe (H) - HHD ship'!$AB$219</c:f>
              <c:strCache>
                <c:ptCount val="1"/>
                <c:pt idx="0">
                  <c:v>Operation - DAC</c:v>
                </c:pt>
              </c:strCache>
            </c:strRef>
          </c:tx>
          <c:spPr>
            <a:solidFill>
              <a:schemeClr val="accent2">
                <a:lumMod val="75000"/>
              </a:schemeClr>
            </a:solidFill>
            <a:ln>
              <a:noFill/>
            </a:ln>
            <a:effectLst/>
          </c:spPr>
          <c:invertIfNegative val="0"/>
          <c:val>
            <c:numRef>
              <c:f>'Results ReCiPe (H) - HHD ship'!$AC$219:$BA$219</c:f>
              <c:numCache>
                <c:formatCode>0.00E+00</c:formatCode>
                <c:ptCount val="25"/>
                <c:pt idx="0">
                  <c:v>2.7805402985483764E-2</c:v>
                </c:pt>
                <c:pt idx="1">
                  <c:v>2.5597110478286972E-2</c:v>
                </c:pt>
                <c:pt idx="2">
                  <c:v>2.3377369172353744E-2</c:v>
                </c:pt>
                <c:pt idx="3">
                  <c:v>2.1099058813075746E-2</c:v>
                </c:pt>
                <c:pt idx="4">
                  <c:v>1.8854118847398099E-2</c:v>
                </c:pt>
                <c:pt idx="5">
                  <c:v>1.6599751467149353E-2</c:v>
                </c:pt>
                <c:pt idx="6">
                  <c:v>1.6392459890207992E-2</c:v>
                </c:pt>
                <c:pt idx="7">
                  <c:v>1.6182024304463936E-2</c:v>
                </c:pt>
                <c:pt idx="8">
                  <c:v>1.5932960360475808E-2</c:v>
                </c:pt>
                <c:pt idx="9">
                  <c:v>1.5713786827570561E-2</c:v>
                </c:pt>
                <c:pt idx="10">
                  <c:v>1.5490469227403323E-2</c:v>
                </c:pt>
                <c:pt idx="11">
                  <c:v>1.5379799322573877E-2</c:v>
                </c:pt>
                <c:pt idx="12">
                  <c:v>1.5271678877963896E-2</c:v>
                </c:pt>
                <c:pt idx="13">
                  <c:v>1.515681577052932E-2</c:v>
                </c:pt>
                <c:pt idx="14">
                  <c:v>1.5049750474562492E-2</c:v>
                </c:pt>
                <c:pt idx="15">
                  <c:v>1.4943265329522629E-2</c:v>
                </c:pt>
                <c:pt idx="16">
                  <c:v>1.4472306796371601E-2</c:v>
                </c:pt>
                <c:pt idx="17">
                  <c:v>1.4003396450145969E-2</c:v>
                </c:pt>
                <c:pt idx="18">
                  <c:v>1.3531045803837721E-2</c:v>
                </c:pt>
                <c:pt idx="19">
                  <c:v>1.3069084532262144E-2</c:v>
                </c:pt>
                <c:pt idx="20">
                  <c:v>1.2609663012792977E-2</c:v>
                </c:pt>
                <c:pt idx="21">
                  <c:v>1.2655241851171941E-2</c:v>
                </c:pt>
                <c:pt idx="22">
                  <c:v>1.2340041193375966E-2</c:v>
                </c:pt>
                <c:pt idx="23">
                  <c:v>1.2023972033871863E-2</c:v>
                </c:pt>
                <c:pt idx="24">
                  <c:v>1.1706992340619025E-2</c:v>
                </c:pt>
              </c:numCache>
            </c:numRef>
          </c:val>
          <c:extLst>
            <c:ext xmlns:c15="http://schemas.microsoft.com/office/drawing/2012/chart" uri="{02D57815-91ED-43cb-92C2-25804820EDAC}">
              <c15:filteredCategoryTitle>
                <c15:cat>
                  <c:numRef>
                    <c:extLst>
                      <c:ext uri="{02D57815-91ED-43cb-92C2-25804820EDAC}">
                        <c15:formulaRef>
                          <c15:sqref>'Results ReCiPe (H) - HHD ship'!$AC$213:$BA$213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5-5668-4FFF-811C-F72F4A24A333}"/>
            </c:ext>
          </c:extLst>
        </c:ser>
        <c:ser>
          <c:idx val="6"/>
          <c:order val="6"/>
          <c:tx>
            <c:strRef>
              <c:f>'Results ReCiPe (H) - HHD ship'!$AB$220</c:f>
              <c:strCache>
                <c:ptCount val="1"/>
                <c:pt idx="0">
                  <c:v>Operation - geological storage</c:v>
                </c:pt>
              </c:strCache>
            </c:strRef>
          </c:tx>
          <c:spPr>
            <a:solidFill>
              <a:schemeClr val="accent2">
                <a:lumMod val="50000"/>
              </a:schemeClr>
            </a:solidFill>
            <a:ln>
              <a:noFill/>
            </a:ln>
            <a:effectLst/>
          </c:spPr>
          <c:invertIfNegative val="0"/>
          <c:val>
            <c:numRef>
              <c:f>'Results ReCiPe (H) - HHD ship'!$AC$220:$BA$220</c:f>
              <c:numCache>
                <c:formatCode>0.00E+00</c:formatCode>
                <c:ptCount val="25"/>
                <c:pt idx="0">
                  <c:v>6.4113413642919994E-3</c:v>
                </c:pt>
                <c:pt idx="1">
                  <c:v>6.1870563164082874E-3</c:v>
                </c:pt>
                <c:pt idx="2">
                  <c:v>5.963008535558088E-3</c:v>
                </c:pt>
                <c:pt idx="3">
                  <c:v>5.734630362996632E-3</c:v>
                </c:pt>
                <c:pt idx="4">
                  <c:v>5.5108903406053209E-3</c:v>
                </c:pt>
                <c:pt idx="5">
                  <c:v>5.287579473543043E-3</c:v>
                </c:pt>
                <c:pt idx="6">
                  <c:v>5.2674711073858287E-3</c:v>
                </c:pt>
                <c:pt idx="7">
                  <c:v>5.247043547117405E-3</c:v>
                </c:pt>
                <c:pt idx="8">
                  <c:v>5.2228528819114701E-3</c:v>
                </c:pt>
                <c:pt idx="9">
                  <c:v>5.2016072909041606E-3</c:v>
                </c:pt>
                <c:pt idx="10">
                  <c:v>5.179982770564715E-3</c:v>
                </c:pt>
                <c:pt idx="11">
                  <c:v>5.1686646284624322E-3</c:v>
                </c:pt>
                <c:pt idx="12">
                  <c:v>5.1575362985013772E-3</c:v>
                </c:pt>
                <c:pt idx="13">
                  <c:v>5.1457028910987124E-3</c:v>
                </c:pt>
                <c:pt idx="14">
                  <c:v>5.1346104092235842E-3</c:v>
                </c:pt>
                <c:pt idx="15">
                  <c:v>5.1235542689888267E-3</c:v>
                </c:pt>
                <c:pt idx="16">
                  <c:v>5.0752136012556948E-3</c:v>
                </c:pt>
                <c:pt idx="17">
                  <c:v>5.0266829857731343E-3</c:v>
                </c:pt>
                <c:pt idx="18">
                  <c:v>4.9774210504638572E-3</c:v>
                </c:pt>
                <c:pt idx="19">
                  <c:v>4.9288028304039742E-3</c:v>
                </c:pt>
                <c:pt idx="20">
                  <c:v>4.8800914838041968E-3</c:v>
                </c:pt>
                <c:pt idx="21">
                  <c:v>4.8922208815631958E-3</c:v>
                </c:pt>
                <c:pt idx="22">
                  <c:v>4.8614659440340217E-3</c:v>
                </c:pt>
                <c:pt idx="23">
                  <c:v>4.8307189143537016E-3</c:v>
                </c:pt>
                <c:pt idx="24">
                  <c:v>4.7999740775658394E-3</c:v>
                </c:pt>
              </c:numCache>
            </c:numRef>
          </c:val>
          <c:extLst>
            <c:ext xmlns:c15="http://schemas.microsoft.com/office/drawing/2012/chart" uri="{02D57815-91ED-43cb-92C2-25804820EDAC}">
              <c15:filteredCategoryTitle>
                <c15:cat>
                  <c:numRef>
                    <c:extLst>
                      <c:ext uri="{02D57815-91ED-43cb-92C2-25804820EDAC}">
                        <c15:formulaRef>
                          <c15:sqref>'Results ReCiPe (H) - HHD ship'!$AC$213:$BA$213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6-5668-4FFF-811C-F72F4A24A333}"/>
            </c:ext>
          </c:extLst>
        </c:ser>
        <c:ser>
          <c:idx val="7"/>
          <c:order val="7"/>
          <c:tx>
            <c:strRef>
              <c:f>'Results ReCiPe (H) - HHD ship'!$AB$221</c:f>
              <c:strCache>
                <c:ptCount val="1"/>
                <c:pt idx="0">
                  <c:v>CO2 captured and stored</c:v>
                </c:pt>
              </c:strCache>
            </c:strRef>
          </c:tx>
          <c:spPr>
            <a:solidFill>
              <a:schemeClr val="tx2">
                <a:lumMod val="20000"/>
                <a:lumOff val="80000"/>
              </a:schemeClr>
            </a:solidFill>
            <a:ln>
              <a:noFill/>
            </a:ln>
            <a:effectLst/>
          </c:spPr>
          <c:invertIfNegative val="0"/>
          <c:val>
            <c:numRef>
              <c:f>'Results ReCiPe (H) - HHD ship'!$AC$221:$BA$221</c:f>
              <c:numCache>
                <c:formatCode>0.00E+00</c:formatCode>
                <c:ptCount val="25"/>
                <c:pt idx="0">
                  <c:v>-9.2799999999999994E-2</c:v>
                </c:pt>
                <c:pt idx="1">
                  <c:v>-9.2799999999999994E-2</c:v>
                </c:pt>
                <c:pt idx="2">
                  <c:v>-9.2799999999999994E-2</c:v>
                </c:pt>
                <c:pt idx="3">
                  <c:v>-9.2799999999999994E-2</c:v>
                </c:pt>
                <c:pt idx="4">
                  <c:v>-9.2799999999999994E-2</c:v>
                </c:pt>
                <c:pt idx="5">
                  <c:v>-9.2799999999999994E-2</c:v>
                </c:pt>
                <c:pt idx="6">
                  <c:v>-9.2799999999999994E-2</c:v>
                </c:pt>
                <c:pt idx="7">
                  <c:v>-9.2799999999999994E-2</c:v>
                </c:pt>
                <c:pt idx="8">
                  <c:v>-9.2799999999999994E-2</c:v>
                </c:pt>
                <c:pt idx="9">
                  <c:v>-9.2799999999999994E-2</c:v>
                </c:pt>
                <c:pt idx="10">
                  <c:v>-9.2799999999999994E-2</c:v>
                </c:pt>
                <c:pt idx="11">
                  <c:v>-9.2799999999999994E-2</c:v>
                </c:pt>
                <c:pt idx="12">
                  <c:v>-9.2799999999999994E-2</c:v>
                </c:pt>
                <c:pt idx="13">
                  <c:v>-9.2799999999999994E-2</c:v>
                </c:pt>
                <c:pt idx="14">
                  <c:v>-9.2799999999999994E-2</c:v>
                </c:pt>
                <c:pt idx="15">
                  <c:v>-9.2799999999999994E-2</c:v>
                </c:pt>
                <c:pt idx="16">
                  <c:v>-9.2799999999999994E-2</c:v>
                </c:pt>
                <c:pt idx="17">
                  <c:v>-9.2799999999999994E-2</c:v>
                </c:pt>
                <c:pt idx="18">
                  <c:v>-9.2799999999999994E-2</c:v>
                </c:pt>
                <c:pt idx="19">
                  <c:v>-9.2799999999999994E-2</c:v>
                </c:pt>
                <c:pt idx="20">
                  <c:v>-9.2799999999999994E-2</c:v>
                </c:pt>
                <c:pt idx="21">
                  <c:v>-9.2799999999999994E-2</c:v>
                </c:pt>
                <c:pt idx="22">
                  <c:v>-9.2799999999999994E-2</c:v>
                </c:pt>
                <c:pt idx="23">
                  <c:v>-9.2799999999999994E-2</c:v>
                </c:pt>
                <c:pt idx="24">
                  <c:v>-9.2799999999999994E-2</c:v>
                </c:pt>
              </c:numCache>
            </c:numRef>
          </c:val>
          <c:extLst>
            <c:ext xmlns:c15="http://schemas.microsoft.com/office/drawing/2012/chart" uri="{02D57815-91ED-43cb-92C2-25804820EDAC}">
              <c15:filteredCategoryTitle>
                <c15:cat>
                  <c:numRef>
                    <c:extLst>
                      <c:ext uri="{02D57815-91ED-43cb-92C2-25804820EDAC}">
                        <c15:formulaRef>
                          <c15:sqref>'Results ReCiPe (H) - HHD ship'!$AC$213:$BA$213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7-5668-4FFF-811C-F72F4A24A333}"/>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HHD ship'!$AB$222</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val>
            <c:numRef>
              <c:f>'Results ReCiPe (H) - HHD ship'!$AC$222:$BA$222</c:f>
              <c:numCache>
                <c:formatCode>0.00E+00</c:formatCode>
                <c:ptCount val="25"/>
                <c:pt idx="0">
                  <c:v>9.724334705522486E-2</c:v>
                </c:pt>
                <c:pt idx="1">
                  <c:v>-6.1015833205304737E-2</c:v>
                </c:pt>
                <c:pt idx="2">
                  <c:v>-6.3459622292088153E-2</c:v>
                </c:pt>
                <c:pt idx="3">
                  <c:v>-6.4076335116243263E-2</c:v>
                </c:pt>
                <c:pt idx="4">
                  <c:v>-6.8434990811996582E-2</c:v>
                </c:pt>
                <c:pt idx="5">
                  <c:v>-7.0912669059307598E-2</c:v>
                </c:pt>
                <c:pt idx="6">
                  <c:v>-6.9316042020485122E-2</c:v>
                </c:pt>
                <c:pt idx="7">
                  <c:v>-7.137093214841865E-2</c:v>
                </c:pt>
                <c:pt idx="8">
                  <c:v>-7.1644186757612721E-2</c:v>
                </c:pt>
                <c:pt idx="9">
                  <c:v>-7.0077630080789099E-2</c:v>
                </c:pt>
                <c:pt idx="10">
                  <c:v>-7.212954800203196E-2</c:v>
                </c:pt>
                <c:pt idx="11">
                  <c:v>-7.2251536048963685E-2</c:v>
                </c:pt>
                <c:pt idx="12">
                  <c:v>-7.0571056818661257E-2</c:v>
                </c:pt>
                <c:pt idx="13">
                  <c:v>-7.2497481338371958E-2</c:v>
                </c:pt>
                <c:pt idx="14">
                  <c:v>-7.2615639116213909E-2</c:v>
                </c:pt>
                <c:pt idx="15">
                  <c:v>-7.0938512782192417E-2</c:v>
                </c:pt>
                <c:pt idx="16">
                  <c:v>-7.3252479602372689E-2</c:v>
                </c:pt>
                <c:pt idx="17">
                  <c:v>-7.3769920564080882E-2</c:v>
                </c:pt>
                <c:pt idx="18">
                  <c:v>-7.2505221414487273E-2</c:v>
                </c:pt>
                <c:pt idx="19">
                  <c:v>-7.4802112637333884E-2</c:v>
                </c:pt>
                <c:pt idx="20">
                  <c:v>-7.5310245503402817E-2</c:v>
                </c:pt>
                <c:pt idx="21">
                  <c:v>-7.346172022139362E-2</c:v>
                </c:pt>
                <c:pt idx="22">
                  <c:v>-7.5598492862590003E-2</c:v>
                </c:pt>
                <c:pt idx="23">
                  <c:v>-7.5945309051774434E-2</c:v>
                </c:pt>
                <c:pt idx="24">
                  <c:v>-7.333565028023134E-2</c:v>
                </c:pt>
              </c:numCache>
            </c:numRef>
          </c:val>
          <c:smooth val="0"/>
          <c:extLst>
            <c:ext xmlns:c15="http://schemas.microsoft.com/office/drawing/2012/chart" uri="{02D57815-91ED-43cb-92C2-25804820EDAC}">
              <c15:filteredCategoryTitle>
                <c15:cat>
                  <c:numRef>
                    <c:extLst>
                      <c:ext uri="{02D57815-91ED-43cb-92C2-25804820EDAC}">
                        <c15:formulaRef>
                          <c15:sqref>'Results ReCiPe (H) - HHD ship'!$AC$213:$BA$213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8-5668-4FFF-811C-F72F4A24A333}"/>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nl-NL"/>
                  <a:t>years</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NL"/>
            </a:p>
          </c:txPr>
        </c:title>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Human</a:t>
                </a:r>
                <a:r>
                  <a:rPr lang="nl-NL" baseline="0"/>
                  <a:t> health</a:t>
                </a:r>
                <a:r>
                  <a:rPr lang="nl-NL"/>
                  <a:t> damage </a:t>
                </a:r>
                <a:br>
                  <a:rPr lang="nl-NL"/>
                </a:br>
                <a:r>
                  <a:rPr lang="nl-NL"/>
                  <a:t>(DALY/ton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26879729621161"/>
          <c:y val="5.4106329588493672E-2"/>
          <c:w val="0.87797394606685986"/>
          <c:h val="0.72023208434090313"/>
        </c:manualLayout>
      </c:layout>
      <c:barChart>
        <c:barDir val="col"/>
        <c:grouping val="stacked"/>
        <c:varyColors val="0"/>
        <c:ser>
          <c:idx val="0"/>
          <c:order val="0"/>
          <c:tx>
            <c:strRef>
              <c:f>'Results ReCiPe (H) - HHD ship'!$AB$274</c:f>
              <c:strCache>
                <c:ptCount val="1"/>
                <c:pt idx="0">
                  <c:v>Construction - DAC</c:v>
                </c:pt>
              </c:strCache>
            </c:strRef>
          </c:tx>
          <c:spPr>
            <a:solidFill>
              <a:schemeClr val="accent4">
                <a:lumMod val="75000"/>
              </a:schemeClr>
            </a:solidFill>
            <a:ln>
              <a:noFill/>
            </a:ln>
            <a:effectLst/>
          </c:spPr>
          <c:invertIfNegative val="0"/>
          <c:val>
            <c:numRef>
              <c:f>'Results ReCiPe (H) - HHD ship'!$AC$274:$BA$274</c:f>
              <c:numCache>
                <c:formatCode>0.00E+00</c:formatCode>
                <c:ptCount val="25"/>
                <c:pt idx="0">
                  <c:v>0.1597952541352278</c:v>
                </c:pt>
              </c:numCache>
            </c:numRef>
          </c:val>
          <c:extLst>
            <c:ext xmlns:c15="http://schemas.microsoft.com/office/drawing/2012/chart" uri="{02D57815-91ED-43cb-92C2-25804820EDAC}">
              <c15:filteredCategoryTitle>
                <c15:cat>
                  <c:numRef>
                    <c:extLst>
                      <c:ext uri="{02D57815-91ED-43cb-92C2-25804820EDAC}">
                        <c15:formulaRef>
                          <c15:sqref>'Results ReCiPe (H) - HHD ship'!$AC$273:$BA$273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0-C7BE-4C46-A010-35D33808AF30}"/>
            </c:ext>
          </c:extLst>
        </c:ser>
        <c:ser>
          <c:idx val="1"/>
          <c:order val="1"/>
          <c:tx>
            <c:strRef>
              <c:f>'Results ReCiPe (H) - HHD ship'!$AB$275</c:f>
              <c:strCache>
                <c:ptCount val="1"/>
                <c:pt idx="0">
                  <c:v>Construction - geological storage</c:v>
                </c:pt>
              </c:strCache>
            </c:strRef>
          </c:tx>
          <c:spPr>
            <a:solidFill>
              <a:schemeClr val="accent4">
                <a:lumMod val="60000"/>
                <a:lumOff val="40000"/>
              </a:schemeClr>
            </a:solidFill>
            <a:ln>
              <a:noFill/>
            </a:ln>
            <a:effectLst/>
          </c:spPr>
          <c:invertIfNegative val="0"/>
          <c:val>
            <c:numRef>
              <c:f>'Results ReCiPe (H) - HHD ship'!$AC$275:$BA$275</c:f>
              <c:numCache>
                <c:formatCode>0.00E+00</c:formatCode>
                <c:ptCount val="25"/>
                <c:pt idx="0">
                  <c:v>5.005014287129188E-3</c:v>
                </c:pt>
              </c:numCache>
            </c:numRef>
          </c:val>
          <c:extLst>
            <c:ext xmlns:c15="http://schemas.microsoft.com/office/drawing/2012/chart" uri="{02D57815-91ED-43cb-92C2-25804820EDAC}">
              <c15:filteredCategoryTitle>
                <c15:cat>
                  <c:numRef>
                    <c:extLst>
                      <c:ext uri="{02D57815-91ED-43cb-92C2-25804820EDAC}">
                        <c15:formulaRef>
                          <c15:sqref>'Results ReCiPe (H) - HHD ship'!$AC$273:$BA$273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1-C7BE-4C46-A010-35D33808AF30}"/>
            </c:ext>
          </c:extLst>
        </c:ser>
        <c:ser>
          <c:idx val="2"/>
          <c:order val="2"/>
          <c:tx>
            <c:strRef>
              <c:f>'Results ReCiPe (H) - HHD ship'!$AB$276</c:f>
              <c:strCache>
                <c:ptCount val="1"/>
                <c:pt idx="0">
                  <c:v>Deconstruction - DAC</c:v>
                </c:pt>
              </c:strCache>
            </c:strRef>
          </c:tx>
          <c:spPr>
            <a:solidFill>
              <a:schemeClr val="accent2">
                <a:lumMod val="40000"/>
                <a:lumOff val="60000"/>
              </a:schemeClr>
            </a:solidFill>
            <a:ln>
              <a:noFill/>
            </a:ln>
            <a:effectLst/>
          </c:spPr>
          <c:invertIfNegative val="0"/>
          <c:val>
            <c:numRef>
              <c:f>'Results ReCiPe (H) - HHD ship'!$AC$276:$BA$276</c:f>
              <c:numCache>
                <c:formatCode>0.00E+00</c:formatCode>
                <c:ptCount val="25"/>
                <c:pt idx="24">
                  <c:v>1.3460715242108881E-3</c:v>
                </c:pt>
              </c:numCache>
            </c:numRef>
          </c:val>
          <c:extLst>
            <c:ext xmlns:c15="http://schemas.microsoft.com/office/drawing/2012/chart" uri="{02D57815-91ED-43cb-92C2-25804820EDAC}">
              <c15:filteredCategoryTitle>
                <c15:cat>
                  <c:numRef>
                    <c:extLst>
                      <c:ext uri="{02D57815-91ED-43cb-92C2-25804820EDAC}">
                        <c15:formulaRef>
                          <c15:sqref>'Results ReCiPe (H) - HHD ship'!$AC$273:$BA$273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2-C7BE-4C46-A010-35D33808AF30}"/>
            </c:ext>
          </c:extLst>
        </c:ser>
        <c:ser>
          <c:idx val="3"/>
          <c:order val="3"/>
          <c:tx>
            <c:strRef>
              <c:f>'Results ReCiPe (H) - HHD ship'!$AB$277</c:f>
              <c:strCache>
                <c:ptCount val="1"/>
                <c:pt idx="0">
                  <c:v>Deconstruction - geological storage</c:v>
                </c:pt>
              </c:strCache>
            </c:strRef>
          </c:tx>
          <c:spPr>
            <a:solidFill>
              <a:srgbClr val="FF9900"/>
            </a:solidFill>
            <a:ln>
              <a:noFill/>
            </a:ln>
            <a:effectLst/>
          </c:spPr>
          <c:invertIfNegative val="0"/>
          <c:val>
            <c:numRef>
              <c:f>'Results ReCiPe (H) - HHD ship'!$AC$277:$BA$277</c:f>
              <c:numCache>
                <c:formatCode>0.00E+00</c:formatCode>
                <c:ptCount val="25"/>
                <c:pt idx="24">
                  <c:v>1.8634370123773913E-5</c:v>
                </c:pt>
              </c:numCache>
            </c:numRef>
          </c:val>
          <c:extLst>
            <c:ext xmlns:c15="http://schemas.microsoft.com/office/drawing/2012/chart" uri="{02D57815-91ED-43cb-92C2-25804820EDAC}">
              <c15:filteredCategoryTitle>
                <c15:cat>
                  <c:numRef>
                    <c:extLst>
                      <c:ext uri="{02D57815-91ED-43cb-92C2-25804820EDAC}">
                        <c15:formulaRef>
                          <c15:sqref>'Results ReCiPe (H) - HHD ship'!$AC$273:$BA$273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3-C7BE-4C46-A010-35D33808AF30}"/>
            </c:ext>
          </c:extLst>
        </c:ser>
        <c:ser>
          <c:idx val="4"/>
          <c:order val="4"/>
          <c:tx>
            <c:strRef>
              <c:f>'Results ReCiPe (H) - HHD ship'!$AB$278</c:f>
              <c:strCache>
                <c:ptCount val="1"/>
                <c:pt idx="0">
                  <c:v>Sorbent material</c:v>
                </c:pt>
              </c:strCache>
            </c:strRef>
          </c:tx>
          <c:spPr>
            <a:solidFill>
              <a:srgbClr val="FF8F8F"/>
            </a:solidFill>
            <a:ln>
              <a:noFill/>
            </a:ln>
            <a:effectLst/>
          </c:spPr>
          <c:invertIfNegative val="0"/>
          <c:val>
            <c:numRef>
              <c:f>'Results ReCiPe (H) - HHD ship'!$AC$278:$BA$278</c:f>
              <c:numCache>
                <c:formatCode>0.00E+00</c:formatCode>
                <c:ptCount val="25"/>
                <c:pt idx="0">
                  <c:v>2.357201361606037E-3</c:v>
                </c:pt>
                <c:pt idx="3">
                  <c:v>2.338551887019074E-3</c:v>
                </c:pt>
                <c:pt idx="6">
                  <c:v>2.3329664166207272E-3</c:v>
                </c:pt>
                <c:pt idx="9">
                  <c:v>2.334292606370443E-3</c:v>
                </c:pt>
                <c:pt idx="12">
                  <c:v>2.344407424713253E-3</c:v>
                </c:pt>
                <c:pt idx="15">
                  <c:v>2.3564976098142901E-3</c:v>
                </c:pt>
                <c:pt idx="18">
                  <c:v>2.3307713043124539E-3</c:v>
                </c:pt>
                <c:pt idx="21">
                  <c:v>2.3230274489819871E-3</c:v>
                </c:pt>
                <c:pt idx="24">
                  <c:v>2.2803262576522711E-3</c:v>
                </c:pt>
              </c:numCache>
            </c:numRef>
          </c:val>
          <c:extLst>
            <c:ext xmlns:c15="http://schemas.microsoft.com/office/drawing/2012/chart" uri="{02D57815-91ED-43cb-92C2-25804820EDAC}">
              <c15:filteredCategoryTitle>
                <c15:cat>
                  <c:numRef>
                    <c:extLst>
                      <c:ext uri="{02D57815-91ED-43cb-92C2-25804820EDAC}">
                        <c15:formulaRef>
                          <c15:sqref>'Results ReCiPe (H) - HHD ship'!$AC$273:$BA$273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4-C7BE-4C46-A010-35D33808AF30}"/>
            </c:ext>
          </c:extLst>
        </c:ser>
        <c:ser>
          <c:idx val="5"/>
          <c:order val="5"/>
          <c:tx>
            <c:strRef>
              <c:f>'Results ReCiPe (H) - HHD ship'!$AB$279</c:f>
              <c:strCache>
                <c:ptCount val="1"/>
                <c:pt idx="0">
                  <c:v>Battery</c:v>
                </c:pt>
              </c:strCache>
            </c:strRef>
          </c:tx>
          <c:spPr>
            <a:solidFill>
              <a:schemeClr val="accent6">
                <a:lumMod val="50000"/>
              </a:schemeClr>
            </a:solidFill>
            <a:ln>
              <a:noFill/>
            </a:ln>
            <a:effectLst/>
          </c:spPr>
          <c:invertIfNegative val="0"/>
          <c:val>
            <c:numRef>
              <c:f>'Results ReCiPe (H) - HHD ship'!$AC$279:$BA$279</c:f>
              <c:numCache>
                <c:formatCode>0.00E+00</c:formatCode>
                <c:ptCount val="25"/>
                <c:pt idx="0">
                  <c:v>3.7606884347843109E-2</c:v>
                </c:pt>
                <c:pt idx="1">
                  <c:v>3.7606884347843109E-2</c:v>
                </c:pt>
                <c:pt idx="2">
                  <c:v>3.7606884347843109E-2</c:v>
                </c:pt>
                <c:pt idx="3">
                  <c:v>3.7606884347843109E-2</c:v>
                </c:pt>
                <c:pt idx="4">
                  <c:v>3.7606884347843109E-2</c:v>
                </c:pt>
                <c:pt idx="5">
                  <c:v>3.7606884347843109E-2</c:v>
                </c:pt>
                <c:pt idx="6">
                  <c:v>3.7606884347843109E-2</c:v>
                </c:pt>
                <c:pt idx="7">
                  <c:v>3.7606884347843109E-2</c:v>
                </c:pt>
                <c:pt idx="8">
                  <c:v>3.7606884347843109E-2</c:v>
                </c:pt>
                <c:pt idx="9">
                  <c:v>3.7606884347843109E-2</c:v>
                </c:pt>
                <c:pt idx="10">
                  <c:v>3.7606884347843109E-2</c:v>
                </c:pt>
                <c:pt idx="11">
                  <c:v>3.7606884347843109E-2</c:v>
                </c:pt>
                <c:pt idx="12">
                  <c:v>3.7606884347843109E-2</c:v>
                </c:pt>
                <c:pt idx="13">
                  <c:v>3.7606884347843109E-2</c:v>
                </c:pt>
                <c:pt idx="14">
                  <c:v>3.7606884347843109E-2</c:v>
                </c:pt>
                <c:pt idx="15">
                  <c:v>3.7606884347843109E-2</c:v>
                </c:pt>
                <c:pt idx="16">
                  <c:v>3.7606884347843109E-2</c:v>
                </c:pt>
                <c:pt idx="17">
                  <c:v>3.7606884347843109E-2</c:v>
                </c:pt>
                <c:pt idx="18">
                  <c:v>3.7606884347843109E-2</c:v>
                </c:pt>
                <c:pt idx="19">
                  <c:v>3.7606884347843109E-2</c:v>
                </c:pt>
                <c:pt idx="20">
                  <c:v>3.7606884347843109E-2</c:v>
                </c:pt>
                <c:pt idx="21">
                  <c:v>3.7606884347843109E-2</c:v>
                </c:pt>
                <c:pt idx="22">
                  <c:v>3.7606884347843109E-2</c:v>
                </c:pt>
                <c:pt idx="23">
                  <c:v>3.7606884347843109E-2</c:v>
                </c:pt>
                <c:pt idx="24">
                  <c:v>3.7606884347843109E-2</c:v>
                </c:pt>
              </c:numCache>
            </c:numRef>
          </c:val>
          <c:extLst>
            <c:ext xmlns:c15="http://schemas.microsoft.com/office/drawing/2012/chart" uri="{02D57815-91ED-43cb-92C2-25804820EDAC}">
              <c15:filteredCategoryTitle>
                <c15:cat>
                  <c:numRef>
                    <c:extLst>
                      <c:ext uri="{02D57815-91ED-43cb-92C2-25804820EDAC}">
                        <c15:formulaRef>
                          <c15:sqref>'Results ReCiPe (H) - HHD ship'!$AC$273:$BA$273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5-C7BE-4C46-A010-35D33808AF30}"/>
            </c:ext>
          </c:extLst>
        </c:ser>
        <c:ser>
          <c:idx val="6"/>
          <c:order val="6"/>
          <c:tx>
            <c:strRef>
              <c:f>'Results ReCiPe (H) - HHD ship'!$AB$280</c:f>
              <c:strCache>
                <c:ptCount val="1"/>
                <c:pt idx="0">
                  <c:v>Operation - DAC</c:v>
                </c:pt>
              </c:strCache>
            </c:strRef>
          </c:tx>
          <c:spPr>
            <a:solidFill>
              <a:schemeClr val="accent2">
                <a:lumMod val="75000"/>
              </a:schemeClr>
            </a:solidFill>
            <a:ln>
              <a:noFill/>
            </a:ln>
            <a:effectLst/>
          </c:spPr>
          <c:invertIfNegative val="0"/>
          <c:val>
            <c:numRef>
              <c:f>'Results ReCiPe (H) - HHD ship'!$AC$280:$BA$280</c:f>
              <c:numCache>
                <c:formatCode>0.00E+00</c:formatCode>
                <c:ptCount val="25"/>
                <c:pt idx="0">
                  <c:v>2.5393132376145978E-2</c:v>
                </c:pt>
                <c:pt idx="1">
                  <c:v>2.5386762089797048E-2</c:v>
                </c:pt>
                <c:pt idx="2">
                  <c:v>2.538085339756093E-2</c:v>
                </c:pt>
                <c:pt idx="3">
                  <c:v>2.5336334798651702E-2</c:v>
                </c:pt>
                <c:pt idx="4">
                  <c:v>2.5331220502552203E-2</c:v>
                </c:pt>
                <c:pt idx="5">
                  <c:v>2.5326311580108021E-2</c:v>
                </c:pt>
                <c:pt idx="6">
                  <c:v>2.5293725224504678E-2</c:v>
                </c:pt>
                <c:pt idx="7">
                  <c:v>2.5265270795297202E-2</c:v>
                </c:pt>
                <c:pt idx="8">
                  <c:v>2.5221231765272578E-2</c:v>
                </c:pt>
                <c:pt idx="9">
                  <c:v>2.5199834142130565E-2</c:v>
                </c:pt>
                <c:pt idx="10">
                  <c:v>2.5181295398559476E-2</c:v>
                </c:pt>
                <c:pt idx="11">
                  <c:v>2.5180242641040913E-2</c:v>
                </c:pt>
                <c:pt idx="12">
                  <c:v>2.5182111288651152E-2</c:v>
                </c:pt>
                <c:pt idx="13">
                  <c:v>2.5183691684456298E-2</c:v>
                </c:pt>
                <c:pt idx="14">
                  <c:v>2.51909032563487E-2</c:v>
                </c:pt>
                <c:pt idx="15">
                  <c:v>2.520113838936287E-2</c:v>
                </c:pt>
                <c:pt idx="16">
                  <c:v>2.5175280834720534E-2</c:v>
                </c:pt>
                <c:pt idx="17">
                  <c:v>2.5149303273379404E-2</c:v>
                </c:pt>
                <c:pt idx="18">
                  <c:v>2.5118992254091137E-2</c:v>
                </c:pt>
                <c:pt idx="19">
                  <c:v>2.5092606311484598E-2</c:v>
                </c:pt>
                <c:pt idx="20">
                  <c:v>2.5065942649119339E-2</c:v>
                </c:pt>
                <c:pt idx="21">
                  <c:v>2.5194146508512049E-2</c:v>
                </c:pt>
                <c:pt idx="22">
                  <c:v>2.5150023608704108E-2</c:v>
                </c:pt>
                <c:pt idx="23">
                  <c:v>2.5105334490682755E-2</c:v>
                </c:pt>
                <c:pt idx="24">
                  <c:v>2.5060068697469448E-2</c:v>
                </c:pt>
              </c:numCache>
            </c:numRef>
          </c:val>
          <c:extLst>
            <c:ext xmlns:c15="http://schemas.microsoft.com/office/drawing/2012/chart" uri="{02D57815-91ED-43cb-92C2-25804820EDAC}">
              <c15:filteredCategoryTitle>
                <c15:cat>
                  <c:numRef>
                    <c:extLst>
                      <c:ext uri="{02D57815-91ED-43cb-92C2-25804820EDAC}">
                        <c15:formulaRef>
                          <c15:sqref>'Results ReCiPe (H) - HHD ship'!$AC$273:$BA$273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6-C7BE-4C46-A010-35D33808AF30}"/>
            </c:ext>
          </c:extLst>
        </c:ser>
        <c:ser>
          <c:idx val="7"/>
          <c:order val="7"/>
          <c:tx>
            <c:strRef>
              <c:f>'Results ReCiPe (H) - HHD ship'!$AB$281</c:f>
              <c:strCache>
                <c:ptCount val="1"/>
                <c:pt idx="0">
                  <c:v>Operation - geological storage</c:v>
                </c:pt>
              </c:strCache>
            </c:strRef>
          </c:tx>
          <c:spPr>
            <a:solidFill>
              <a:schemeClr val="accent2">
                <a:lumMod val="50000"/>
              </a:schemeClr>
            </a:solidFill>
            <a:ln>
              <a:noFill/>
            </a:ln>
            <a:effectLst/>
          </c:spPr>
          <c:invertIfNegative val="0"/>
          <c:val>
            <c:numRef>
              <c:f>'Results ReCiPe (H) - HHD ship'!$AC$281:$BA$281</c:f>
              <c:numCache>
                <c:formatCode>0.00E+00</c:formatCode>
                <c:ptCount val="25"/>
                <c:pt idx="0">
                  <c:v>4.7254806168711E-3</c:v>
                </c:pt>
                <c:pt idx="1">
                  <c:v>4.7150429724648266E-3</c:v>
                </c:pt>
                <c:pt idx="2">
                  <c:v>4.7037954214272492E-3</c:v>
                </c:pt>
                <c:pt idx="3">
                  <c:v>4.6903564184767798E-3</c:v>
                </c:pt>
                <c:pt idx="4">
                  <c:v>4.6788201017122864E-3</c:v>
                </c:pt>
                <c:pt idx="5">
                  <c:v>4.6672740708928722E-3</c:v>
                </c:pt>
                <c:pt idx="6">
                  <c:v>4.8487347846715174E-3</c:v>
                </c:pt>
                <c:pt idx="7">
                  <c:v>5.0293154309696449E-3</c:v>
                </c:pt>
                <c:pt idx="8">
                  <c:v>5.2079343872324596E-3</c:v>
                </c:pt>
                <c:pt idx="9">
                  <c:v>5.38690464636236E-3</c:v>
                </c:pt>
                <c:pt idx="10">
                  <c:v>5.5648984821665849E-3</c:v>
                </c:pt>
                <c:pt idx="11">
                  <c:v>5.9122370191219747E-3</c:v>
                </c:pt>
                <c:pt idx="12">
                  <c:v>6.2592313426667904E-3</c:v>
                </c:pt>
                <c:pt idx="13">
                  <c:v>6.6057256078626957E-3</c:v>
                </c:pt>
                <c:pt idx="14">
                  <c:v>6.9520789557548654E-3</c:v>
                </c:pt>
                <c:pt idx="15">
                  <c:v>7.2981111443926553E-3</c:v>
                </c:pt>
                <c:pt idx="16">
                  <c:v>7.3214905613109308E-3</c:v>
                </c:pt>
                <c:pt idx="17">
                  <c:v>7.3445703523971851E-3</c:v>
                </c:pt>
                <c:pt idx="18">
                  <c:v>7.3671967428007301E-3</c:v>
                </c:pt>
                <c:pt idx="19">
                  <c:v>7.3898153527204059E-3</c:v>
                </c:pt>
                <c:pt idx="20">
                  <c:v>7.4122116230241446E-3</c:v>
                </c:pt>
                <c:pt idx="21">
                  <c:v>7.3238551270463706E-3</c:v>
                </c:pt>
                <c:pt idx="22">
                  <c:v>7.161367513670509E-3</c:v>
                </c:pt>
                <c:pt idx="23">
                  <c:v>6.99897154521467E-3</c:v>
                </c:pt>
                <c:pt idx="24">
                  <c:v>6.8366629379536144E-3</c:v>
                </c:pt>
              </c:numCache>
            </c:numRef>
          </c:val>
          <c:extLst>
            <c:ext xmlns:c15="http://schemas.microsoft.com/office/drawing/2012/chart" uri="{02D57815-91ED-43cb-92C2-25804820EDAC}">
              <c15:filteredCategoryTitle>
                <c15:cat>
                  <c:numRef>
                    <c:extLst>
                      <c:ext uri="{02D57815-91ED-43cb-92C2-25804820EDAC}">
                        <c15:formulaRef>
                          <c15:sqref>'Results ReCiPe (H) - HHD ship'!$AC$273:$BA$273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7-C7BE-4C46-A010-35D33808AF30}"/>
            </c:ext>
          </c:extLst>
        </c:ser>
        <c:ser>
          <c:idx val="8"/>
          <c:order val="8"/>
          <c:tx>
            <c:strRef>
              <c:f>'Results ReCiPe (H) - HHD ship'!$AB$282</c:f>
              <c:strCache>
                <c:ptCount val="1"/>
                <c:pt idx="0">
                  <c:v>CO2 captured and stored</c:v>
                </c:pt>
              </c:strCache>
            </c:strRef>
          </c:tx>
          <c:spPr>
            <a:solidFill>
              <a:schemeClr val="tx2">
                <a:lumMod val="20000"/>
                <a:lumOff val="80000"/>
              </a:schemeClr>
            </a:solidFill>
            <a:ln>
              <a:noFill/>
            </a:ln>
            <a:effectLst/>
          </c:spPr>
          <c:invertIfNegative val="0"/>
          <c:val>
            <c:numRef>
              <c:f>'Results ReCiPe (H) - HHD ship'!$AC$282:$BA$282</c:f>
              <c:numCache>
                <c:formatCode>0.00E+00</c:formatCode>
                <c:ptCount val="25"/>
                <c:pt idx="0">
                  <c:v>-4.6399999999999997E-2</c:v>
                </c:pt>
                <c:pt idx="1">
                  <c:v>-4.6399999999999997E-2</c:v>
                </c:pt>
                <c:pt idx="2">
                  <c:v>-4.6399999999999997E-2</c:v>
                </c:pt>
                <c:pt idx="3">
                  <c:v>-4.6399999999999997E-2</c:v>
                </c:pt>
                <c:pt idx="4">
                  <c:v>-4.6399999999999997E-2</c:v>
                </c:pt>
                <c:pt idx="5">
                  <c:v>-4.6399999999999997E-2</c:v>
                </c:pt>
                <c:pt idx="6">
                  <c:v>-4.6399999999999997E-2</c:v>
                </c:pt>
                <c:pt idx="7">
                  <c:v>-4.6399999999999997E-2</c:v>
                </c:pt>
                <c:pt idx="8">
                  <c:v>-4.6399999999999997E-2</c:v>
                </c:pt>
                <c:pt idx="9">
                  <c:v>-4.6399999999999997E-2</c:v>
                </c:pt>
                <c:pt idx="10">
                  <c:v>-4.6399999999999997E-2</c:v>
                </c:pt>
                <c:pt idx="11">
                  <c:v>-4.6399999999999997E-2</c:v>
                </c:pt>
                <c:pt idx="12">
                  <c:v>-4.6399999999999997E-2</c:v>
                </c:pt>
                <c:pt idx="13">
                  <c:v>-4.6399999999999997E-2</c:v>
                </c:pt>
                <c:pt idx="14">
                  <c:v>-4.6399999999999997E-2</c:v>
                </c:pt>
                <c:pt idx="15">
                  <c:v>-4.6399999999999997E-2</c:v>
                </c:pt>
                <c:pt idx="16">
                  <c:v>-4.6399999999999997E-2</c:v>
                </c:pt>
                <c:pt idx="17">
                  <c:v>-4.6399999999999997E-2</c:v>
                </c:pt>
                <c:pt idx="18">
                  <c:v>-4.6399999999999997E-2</c:v>
                </c:pt>
                <c:pt idx="19">
                  <c:v>-4.6399999999999997E-2</c:v>
                </c:pt>
                <c:pt idx="20">
                  <c:v>-4.6399999999999997E-2</c:v>
                </c:pt>
                <c:pt idx="21">
                  <c:v>-4.6399999999999997E-2</c:v>
                </c:pt>
                <c:pt idx="22">
                  <c:v>-4.6399999999999997E-2</c:v>
                </c:pt>
                <c:pt idx="23">
                  <c:v>-4.6399999999999997E-2</c:v>
                </c:pt>
                <c:pt idx="24">
                  <c:v>-4.6399999999999997E-2</c:v>
                </c:pt>
              </c:numCache>
            </c:numRef>
          </c:val>
          <c:extLst>
            <c:ext xmlns:c15="http://schemas.microsoft.com/office/drawing/2012/chart" uri="{02D57815-91ED-43cb-92C2-25804820EDAC}">
              <c15:filteredCategoryTitle>
                <c15:cat>
                  <c:numRef>
                    <c:extLst>
                      <c:ext uri="{02D57815-91ED-43cb-92C2-25804820EDAC}">
                        <c15:formulaRef>
                          <c15:sqref>'Results ReCiPe (H) - HHD ship'!$AC$273:$BA$273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8-C7BE-4C46-A010-35D33808AF30}"/>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(H) - HHD ship'!$AB$283</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val>
            <c:numRef>
              <c:f>'Results ReCiPe (H) - HHD ship'!$AC$283:$BA$283</c:f>
              <c:numCache>
                <c:formatCode>0.00E+00</c:formatCode>
                <c:ptCount val="25"/>
                <c:pt idx="0">
                  <c:v>0.18848296712482321</c:v>
                </c:pt>
                <c:pt idx="1">
                  <c:v>2.1308689410104997E-2</c:v>
                </c:pt>
                <c:pt idx="2">
                  <c:v>2.1291533166831286E-2</c:v>
                </c:pt>
                <c:pt idx="3">
                  <c:v>2.3572127451990665E-2</c:v>
                </c:pt>
                <c:pt idx="4">
                  <c:v>2.1216924952107599E-2</c:v>
                </c:pt>
                <c:pt idx="5">
                  <c:v>2.1200469998844007E-2</c:v>
                </c:pt>
                <c:pt idx="6">
                  <c:v>2.3682310773640039E-2</c:v>
                </c:pt>
                <c:pt idx="7">
                  <c:v>2.1501470574109963E-2</c:v>
                </c:pt>
                <c:pt idx="8">
                  <c:v>2.1636050500348156E-2</c:v>
                </c:pt>
                <c:pt idx="9">
                  <c:v>2.4127915742706479E-2</c:v>
                </c:pt>
                <c:pt idx="10">
                  <c:v>2.1953078228569164E-2</c:v>
                </c:pt>
                <c:pt idx="11">
                  <c:v>2.2299364008006001E-2</c:v>
                </c:pt>
                <c:pt idx="12">
                  <c:v>2.4992634403874309E-2</c:v>
                </c:pt>
                <c:pt idx="13">
                  <c:v>2.2996301640162101E-2</c:v>
                </c:pt>
                <c:pt idx="14">
                  <c:v>2.3349866559946669E-2</c:v>
                </c:pt>
                <c:pt idx="15">
                  <c:v>2.6062631491412927E-2</c:v>
                </c:pt>
                <c:pt idx="16">
                  <c:v>2.3703655743874577E-2</c:v>
                </c:pt>
                <c:pt idx="17">
                  <c:v>2.3700757973619702E-2</c:v>
                </c:pt>
                <c:pt idx="18">
                  <c:v>2.6023844649047431E-2</c:v>
                </c:pt>
                <c:pt idx="19">
                  <c:v>2.3689306012048106E-2</c:v>
                </c:pt>
                <c:pt idx="20">
                  <c:v>2.3685038619986595E-2</c:v>
                </c:pt>
                <c:pt idx="21">
                  <c:v>2.6047913432383524E-2</c:v>
                </c:pt>
                <c:pt idx="22">
                  <c:v>2.3518275470217731E-2</c:v>
                </c:pt>
                <c:pt idx="23">
                  <c:v>2.3311190383740535E-2</c:v>
                </c:pt>
                <c:pt idx="24">
                  <c:v>2.67486481352531E-2</c:v>
                </c:pt>
              </c:numCache>
            </c:numRef>
          </c:val>
          <c:smooth val="0"/>
          <c:extLst>
            <c:ext xmlns:c15="http://schemas.microsoft.com/office/drawing/2012/chart" uri="{02D57815-91ED-43cb-92C2-25804820EDAC}">
              <c15:filteredCategoryTitle>
                <c15:cat>
                  <c:numRef>
                    <c:extLst>
                      <c:ext uri="{02D57815-91ED-43cb-92C2-25804820EDAC}">
                        <c15:formulaRef>
                          <c15:sqref>'Results ReCiPe (H) - HHD ship'!$AC$273:$BA$273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9-C7BE-4C46-A010-35D33808AF30}"/>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nl-NL"/>
                  <a:t>years</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NL"/>
            </a:p>
          </c:txPr>
        </c:title>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Human</a:t>
                </a:r>
                <a:r>
                  <a:rPr lang="nl-NL" baseline="0"/>
                  <a:t> health</a:t>
                </a:r>
                <a:r>
                  <a:rPr lang="nl-NL"/>
                  <a:t> damage </a:t>
                </a:r>
                <a:br>
                  <a:rPr lang="nl-NL"/>
                </a:br>
                <a:r>
                  <a:rPr lang="nl-NL"/>
                  <a:t>(DALY/ton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HHD ship'!$AB$334</c:f>
              <c:strCache>
                <c:ptCount val="1"/>
                <c:pt idx="0">
                  <c:v>Construction - DAC</c:v>
                </c:pt>
              </c:strCache>
            </c:strRef>
          </c:tx>
          <c:spPr>
            <a:solidFill>
              <a:schemeClr val="accent4">
                <a:lumMod val="75000"/>
              </a:schemeClr>
            </a:solidFill>
            <a:ln>
              <a:noFill/>
            </a:ln>
            <a:effectLst/>
          </c:spPr>
          <c:invertIfNegative val="0"/>
          <c:val>
            <c:numRef>
              <c:f>'Results ReCiPe (H) - HHD ship'!$AC$334:$BA$334</c:f>
              <c:numCache>
                <c:formatCode>0.00E+00</c:formatCode>
                <c:ptCount val="25"/>
                <c:pt idx="0">
                  <c:v>0.15280359411988906</c:v>
                </c:pt>
              </c:numCache>
            </c:numRef>
          </c:val>
          <c:extLst>
            <c:ext xmlns:c15="http://schemas.microsoft.com/office/drawing/2012/chart" uri="{02D57815-91ED-43cb-92C2-25804820EDAC}">
              <c15:filteredCategoryTitle>
                <c15:cat>
                  <c:numRef>
                    <c:extLst>
                      <c:ext uri="{02D57815-91ED-43cb-92C2-25804820EDAC}">
                        <c15:formulaRef>
                          <c15:sqref>'Results ReCiPe (H) - HHD ship'!$AC$333:$BA$333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0-A1C2-4CA3-9CB8-AE23003FB789}"/>
            </c:ext>
          </c:extLst>
        </c:ser>
        <c:ser>
          <c:idx val="1"/>
          <c:order val="1"/>
          <c:tx>
            <c:strRef>
              <c:f>'Results ReCiPe (H) - HHD ship'!$AB$335</c:f>
              <c:strCache>
                <c:ptCount val="1"/>
                <c:pt idx="0">
                  <c:v>Construction - geological storage</c:v>
                </c:pt>
              </c:strCache>
            </c:strRef>
          </c:tx>
          <c:spPr>
            <a:solidFill>
              <a:schemeClr val="accent4">
                <a:lumMod val="60000"/>
                <a:lumOff val="40000"/>
              </a:schemeClr>
            </a:solidFill>
            <a:ln>
              <a:noFill/>
            </a:ln>
            <a:effectLst/>
          </c:spPr>
          <c:invertIfNegative val="0"/>
          <c:val>
            <c:numRef>
              <c:f>'Results ReCiPe (H) - HHD ship'!$AC$335:$BA$335</c:f>
              <c:numCache>
                <c:formatCode>0.00E+00</c:formatCode>
                <c:ptCount val="25"/>
                <c:pt idx="0">
                  <c:v>4.7531917382991409E-3</c:v>
                </c:pt>
              </c:numCache>
            </c:numRef>
          </c:val>
          <c:extLst>
            <c:ext xmlns:c15="http://schemas.microsoft.com/office/drawing/2012/chart" uri="{02D57815-91ED-43cb-92C2-25804820EDAC}">
              <c15:filteredCategoryTitle>
                <c15:cat>
                  <c:numRef>
                    <c:extLst>
                      <c:ext uri="{02D57815-91ED-43cb-92C2-25804820EDAC}">
                        <c15:formulaRef>
                          <c15:sqref>'Results ReCiPe (H) - HHD ship'!$AC$333:$BA$333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1-A1C2-4CA3-9CB8-AE23003FB789}"/>
            </c:ext>
          </c:extLst>
        </c:ser>
        <c:ser>
          <c:idx val="2"/>
          <c:order val="2"/>
          <c:tx>
            <c:strRef>
              <c:f>'Results ReCiPe (H) - HHD ship'!$AB$336</c:f>
              <c:strCache>
                <c:ptCount val="1"/>
                <c:pt idx="0">
                  <c:v>Deconstruction - DAC</c:v>
                </c:pt>
              </c:strCache>
            </c:strRef>
          </c:tx>
          <c:spPr>
            <a:solidFill>
              <a:schemeClr val="accent2">
                <a:lumMod val="40000"/>
                <a:lumOff val="60000"/>
              </a:schemeClr>
            </a:solidFill>
            <a:ln>
              <a:noFill/>
            </a:ln>
            <a:effectLst/>
          </c:spPr>
          <c:invertIfNegative val="0"/>
          <c:val>
            <c:numRef>
              <c:f>'Results ReCiPe (H) - HHD ship'!$AC$336:$BA$336</c:f>
              <c:numCache>
                <c:formatCode>0.00E+00</c:formatCode>
                <c:ptCount val="25"/>
                <c:pt idx="24">
                  <c:v>1.2038817746522666E-3</c:v>
                </c:pt>
              </c:numCache>
            </c:numRef>
          </c:val>
          <c:extLst>
            <c:ext xmlns:c15="http://schemas.microsoft.com/office/drawing/2012/chart" uri="{02D57815-91ED-43cb-92C2-25804820EDAC}">
              <c15:filteredCategoryTitle>
                <c15:cat>
                  <c:numRef>
                    <c:extLst>
                      <c:ext uri="{02D57815-91ED-43cb-92C2-25804820EDAC}">
                        <c15:formulaRef>
                          <c15:sqref>'Results ReCiPe (H) - HHD ship'!$AC$333:$BA$333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2-A1C2-4CA3-9CB8-AE23003FB789}"/>
            </c:ext>
          </c:extLst>
        </c:ser>
        <c:ser>
          <c:idx val="3"/>
          <c:order val="3"/>
          <c:tx>
            <c:strRef>
              <c:f>'Results ReCiPe (H) - HHD ship'!$AB$337</c:f>
              <c:strCache>
                <c:ptCount val="1"/>
                <c:pt idx="0">
                  <c:v>Deconstruction - geological storage</c:v>
                </c:pt>
              </c:strCache>
            </c:strRef>
          </c:tx>
          <c:spPr>
            <a:solidFill>
              <a:srgbClr val="FF9900"/>
            </a:solidFill>
            <a:ln>
              <a:noFill/>
            </a:ln>
            <a:effectLst/>
          </c:spPr>
          <c:invertIfNegative val="0"/>
          <c:val>
            <c:numRef>
              <c:f>'Results ReCiPe (H) - HHD ship'!$AC$337:$BA$337</c:f>
              <c:numCache>
                <c:formatCode>0.00E+00</c:formatCode>
                <c:ptCount val="25"/>
                <c:pt idx="24">
                  <c:v>1.7613571923572038E-5</c:v>
                </c:pt>
              </c:numCache>
            </c:numRef>
          </c:val>
          <c:extLst>
            <c:ext xmlns:c15="http://schemas.microsoft.com/office/drawing/2012/chart" uri="{02D57815-91ED-43cb-92C2-25804820EDAC}">
              <c15:filteredCategoryTitle>
                <c15:cat>
                  <c:numRef>
                    <c:extLst>
                      <c:ext uri="{02D57815-91ED-43cb-92C2-25804820EDAC}">
                        <c15:formulaRef>
                          <c15:sqref>'Results ReCiPe (H) - HHD ship'!$AC$333:$BA$333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3-A1C2-4CA3-9CB8-AE23003FB789}"/>
            </c:ext>
          </c:extLst>
        </c:ser>
        <c:ser>
          <c:idx val="4"/>
          <c:order val="4"/>
          <c:tx>
            <c:strRef>
              <c:f>'Results ReCiPe (H) - HHD ship'!$AB$338</c:f>
              <c:strCache>
                <c:ptCount val="1"/>
                <c:pt idx="0">
                  <c:v>Sorbent material</c:v>
                </c:pt>
              </c:strCache>
            </c:strRef>
          </c:tx>
          <c:spPr>
            <a:solidFill>
              <a:srgbClr val="FF8F8F"/>
            </a:solidFill>
            <a:ln>
              <a:noFill/>
            </a:ln>
            <a:effectLst/>
          </c:spPr>
          <c:invertIfNegative val="0"/>
          <c:val>
            <c:numRef>
              <c:f>'Results ReCiPe (H) - HHD ship'!$AC$338:$BA$338</c:f>
              <c:numCache>
                <c:formatCode>0.00E+00</c:formatCode>
                <c:ptCount val="25"/>
                <c:pt idx="0">
                  <c:v>2.2868444478900299E-3</c:v>
                </c:pt>
                <c:pt idx="3">
                  <c:v>2.2242630345716192E-3</c:v>
                </c:pt>
                <c:pt idx="6">
                  <c:v>2.1636441841529248E-3</c:v>
                </c:pt>
                <c:pt idx="9">
                  <c:v>2.0913940629818349E-3</c:v>
                </c:pt>
                <c:pt idx="12">
                  <c:v>2.0111593851075741E-3</c:v>
                </c:pt>
                <c:pt idx="15">
                  <c:v>1.925325558619934E-3</c:v>
                </c:pt>
                <c:pt idx="18">
                  <c:v>1.868103373074346E-3</c:v>
                </c:pt>
                <c:pt idx="21">
                  <c:v>1.839484702599319E-3</c:v>
                </c:pt>
                <c:pt idx="24">
                  <c:v>1.8308470230828889E-3</c:v>
                </c:pt>
              </c:numCache>
            </c:numRef>
          </c:val>
          <c:extLst>
            <c:ext xmlns:c15="http://schemas.microsoft.com/office/drawing/2012/chart" uri="{02D57815-91ED-43cb-92C2-25804820EDAC}">
              <c15:filteredCategoryTitle>
                <c15:cat>
                  <c:numRef>
                    <c:extLst>
                      <c:ext uri="{02D57815-91ED-43cb-92C2-25804820EDAC}">
                        <c15:formulaRef>
                          <c15:sqref>'Results ReCiPe (H) - HHD ship'!$AC$333:$BA$333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4-A1C2-4CA3-9CB8-AE23003FB789}"/>
            </c:ext>
          </c:extLst>
        </c:ser>
        <c:ser>
          <c:idx val="5"/>
          <c:order val="5"/>
          <c:tx>
            <c:strRef>
              <c:f>'Results ReCiPe (H) - HHD ship'!$AB$339</c:f>
              <c:strCache>
                <c:ptCount val="1"/>
                <c:pt idx="0">
                  <c:v>Battery</c:v>
                </c:pt>
              </c:strCache>
            </c:strRef>
          </c:tx>
          <c:spPr>
            <a:solidFill>
              <a:schemeClr val="accent6">
                <a:lumMod val="50000"/>
              </a:schemeClr>
            </a:solidFill>
            <a:ln>
              <a:noFill/>
            </a:ln>
            <a:effectLst/>
          </c:spPr>
          <c:invertIfNegative val="0"/>
          <c:val>
            <c:numRef>
              <c:f>'Results ReCiPe (H) - HHD ship'!$AC$339:$BA$339</c:f>
              <c:numCache>
                <c:formatCode>0.00E+00</c:formatCode>
                <c:ptCount val="25"/>
                <c:pt idx="0">
                  <c:v>3.6698770310743312E-2</c:v>
                </c:pt>
                <c:pt idx="1">
                  <c:v>3.6698770310743312E-2</c:v>
                </c:pt>
                <c:pt idx="2">
                  <c:v>3.6698770310743312E-2</c:v>
                </c:pt>
                <c:pt idx="3">
                  <c:v>3.6698770310743312E-2</c:v>
                </c:pt>
                <c:pt idx="4">
                  <c:v>3.6698770310743312E-2</c:v>
                </c:pt>
                <c:pt idx="5">
                  <c:v>3.6698770310743312E-2</c:v>
                </c:pt>
                <c:pt idx="6">
                  <c:v>3.6698770310743312E-2</c:v>
                </c:pt>
                <c:pt idx="7">
                  <c:v>3.6698770310743312E-2</c:v>
                </c:pt>
                <c:pt idx="8">
                  <c:v>3.6698770310743312E-2</c:v>
                </c:pt>
                <c:pt idx="9">
                  <c:v>3.6698770310743312E-2</c:v>
                </c:pt>
                <c:pt idx="10">
                  <c:v>3.6698770310743312E-2</c:v>
                </c:pt>
                <c:pt idx="11">
                  <c:v>3.6698770310743312E-2</c:v>
                </c:pt>
                <c:pt idx="12">
                  <c:v>3.6698770310743312E-2</c:v>
                </c:pt>
                <c:pt idx="13">
                  <c:v>3.6698770310743312E-2</c:v>
                </c:pt>
                <c:pt idx="14">
                  <c:v>3.6698770310743312E-2</c:v>
                </c:pt>
                <c:pt idx="15">
                  <c:v>3.6698770310743312E-2</c:v>
                </c:pt>
                <c:pt idx="16">
                  <c:v>3.6698770310743312E-2</c:v>
                </c:pt>
                <c:pt idx="17">
                  <c:v>3.6698770310743312E-2</c:v>
                </c:pt>
                <c:pt idx="18">
                  <c:v>3.6698770310743312E-2</c:v>
                </c:pt>
                <c:pt idx="19">
                  <c:v>3.6698770310743312E-2</c:v>
                </c:pt>
                <c:pt idx="20">
                  <c:v>3.6698770310743312E-2</c:v>
                </c:pt>
                <c:pt idx="21">
                  <c:v>3.6698770310743312E-2</c:v>
                </c:pt>
                <c:pt idx="22">
                  <c:v>3.6698770310743312E-2</c:v>
                </c:pt>
                <c:pt idx="23">
                  <c:v>3.6698770310743312E-2</c:v>
                </c:pt>
                <c:pt idx="24">
                  <c:v>3.6698770310743312E-2</c:v>
                </c:pt>
              </c:numCache>
            </c:numRef>
          </c:val>
          <c:extLst>
            <c:ext xmlns:c15="http://schemas.microsoft.com/office/drawing/2012/chart" uri="{02D57815-91ED-43cb-92C2-25804820EDAC}">
              <c15:filteredCategoryTitle>
                <c15:cat>
                  <c:numRef>
                    <c:extLst>
                      <c:ext uri="{02D57815-91ED-43cb-92C2-25804820EDAC}">
                        <c15:formulaRef>
                          <c15:sqref>'Results ReCiPe (H) - HHD ship'!$AC$333:$BA$333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5-A1C2-4CA3-9CB8-AE23003FB789}"/>
            </c:ext>
          </c:extLst>
        </c:ser>
        <c:ser>
          <c:idx val="6"/>
          <c:order val="6"/>
          <c:tx>
            <c:strRef>
              <c:f>'Results ReCiPe (H) - HHD ship'!$AB$340</c:f>
              <c:strCache>
                <c:ptCount val="1"/>
                <c:pt idx="0">
                  <c:v>Operation - DAC</c:v>
                </c:pt>
              </c:strCache>
            </c:strRef>
          </c:tx>
          <c:spPr>
            <a:solidFill>
              <a:schemeClr val="accent2">
                <a:lumMod val="75000"/>
              </a:schemeClr>
            </a:solidFill>
            <a:ln>
              <a:noFill/>
            </a:ln>
            <a:effectLst/>
          </c:spPr>
          <c:invertIfNegative val="0"/>
          <c:val>
            <c:numRef>
              <c:f>'Results ReCiPe (H) - HHD ship'!$AC$340:$BA$340</c:f>
              <c:numCache>
                <c:formatCode>0.00E+00</c:formatCode>
                <c:ptCount val="25"/>
                <c:pt idx="0">
                  <c:v>2.4592916213383192E-2</c:v>
                </c:pt>
                <c:pt idx="1">
                  <c:v>2.4492253261722656E-2</c:v>
                </c:pt>
                <c:pt idx="2">
                  <c:v>2.4388433020564908E-2</c:v>
                </c:pt>
                <c:pt idx="3">
                  <c:v>2.42438140080929E-2</c:v>
                </c:pt>
                <c:pt idx="4">
                  <c:v>2.4133906961006681E-2</c:v>
                </c:pt>
                <c:pt idx="5">
                  <c:v>2.4020580058759473E-2</c:v>
                </c:pt>
                <c:pt idx="6">
                  <c:v>2.3878452035089502E-2</c:v>
                </c:pt>
                <c:pt idx="7">
                  <c:v>2.3749011514534062E-2</c:v>
                </c:pt>
                <c:pt idx="8">
                  <c:v>2.3607155091283992E-2</c:v>
                </c:pt>
                <c:pt idx="9">
                  <c:v>2.3485878923419821E-2</c:v>
                </c:pt>
                <c:pt idx="10">
                  <c:v>2.3365064636344222E-2</c:v>
                </c:pt>
                <c:pt idx="11">
                  <c:v>2.3267325972967434E-2</c:v>
                </c:pt>
                <c:pt idx="12">
                  <c:v>2.3173238075734136E-2</c:v>
                </c:pt>
                <c:pt idx="13">
                  <c:v>2.3077099371627826E-2</c:v>
                </c:pt>
                <c:pt idx="14">
                  <c:v>2.2988534985372587E-2</c:v>
                </c:pt>
                <c:pt idx="15">
                  <c:v>2.2902055770086523E-2</c:v>
                </c:pt>
                <c:pt idx="16">
                  <c:v>2.2854220142108059E-2</c:v>
                </c:pt>
                <c:pt idx="17">
                  <c:v>2.2807812816613145E-2</c:v>
                </c:pt>
                <c:pt idx="18">
                  <c:v>2.2757660133605091E-2</c:v>
                </c:pt>
                <c:pt idx="19">
                  <c:v>2.2714112173136177E-2</c:v>
                </c:pt>
                <c:pt idx="20">
                  <c:v>2.2672761776796464E-2</c:v>
                </c:pt>
                <c:pt idx="21">
                  <c:v>2.2801281023062597E-2</c:v>
                </c:pt>
                <c:pt idx="22">
                  <c:v>2.2799190558163568E-2</c:v>
                </c:pt>
                <c:pt idx="23">
                  <c:v>2.2797127855379302E-2</c:v>
                </c:pt>
                <c:pt idx="24">
                  <c:v>2.279510719349959E-2</c:v>
                </c:pt>
              </c:numCache>
            </c:numRef>
          </c:val>
          <c:extLst>
            <c:ext xmlns:c15="http://schemas.microsoft.com/office/drawing/2012/chart" uri="{02D57815-91ED-43cb-92C2-25804820EDAC}">
              <c15:filteredCategoryTitle>
                <c15:cat>
                  <c:numRef>
                    <c:extLst>
                      <c:ext uri="{02D57815-91ED-43cb-92C2-25804820EDAC}">
                        <c15:formulaRef>
                          <c15:sqref>'Results ReCiPe (H) - HHD ship'!$AC$333:$BA$333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6-A1C2-4CA3-9CB8-AE23003FB789}"/>
            </c:ext>
          </c:extLst>
        </c:ser>
        <c:ser>
          <c:idx val="7"/>
          <c:order val="7"/>
          <c:tx>
            <c:strRef>
              <c:f>'Results ReCiPe (H) - HHD ship'!$AB$341</c:f>
              <c:strCache>
                <c:ptCount val="1"/>
                <c:pt idx="0">
                  <c:v>Operation - geological storage</c:v>
                </c:pt>
              </c:strCache>
            </c:strRef>
          </c:tx>
          <c:spPr>
            <a:solidFill>
              <a:schemeClr val="accent2">
                <a:lumMod val="50000"/>
              </a:schemeClr>
            </a:solidFill>
            <a:ln>
              <a:noFill/>
            </a:ln>
            <a:effectLst/>
          </c:spPr>
          <c:invertIfNegative val="0"/>
          <c:val>
            <c:numRef>
              <c:f>'Results ReCiPe (H) - HHD ship'!$AC$341:$BA$341</c:f>
              <c:numCache>
                <c:formatCode>0.00E+00</c:formatCode>
                <c:ptCount val="25"/>
                <c:pt idx="0">
                  <c:v>4.2966574908341344E-3</c:v>
                </c:pt>
                <c:pt idx="1">
                  <c:v>4.1454296330144516E-3</c:v>
                </c:pt>
                <c:pt idx="2">
                  <c:v>3.9941797343015862E-3</c:v>
                </c:pt>
                <c:pt idx="3">
                  <c:v>3.8412214263013849E-3</c:v>
                </c:pt>
                <c:pt idx="4">
                  <c:v>3.690794845668643E-3</c:v>
                </c:pt>
                <c:pt idx="5">
                  <c:v>3.5409017794174186E-3</c:v>
                </c:pt>
                <c:pt idx="6">
                  <c:v>3.4532837484437121E-3</c:v>
                </c:pt>
                <c:pt idx="7">
                  <c:v>3.3660276011109663E-3</c:v>
                </c:pt>
                <c:pt idx="8">
                  <c:v>3.2776115806237307E-3</c:v>
                </c:pt>
                <c:pt idx="9">
                  <c:v>3.190725042291895E-3</c:v>
                </c:pt>
                <c:pt idx="10">
                  <c:v>3.1039605792189551E-3</c:v>
                </c:pt>
                <c:pt idx="11">
                  <c:v>3.0477354342502276E-3</c:v>
                </c:pt>
                <c:pt idx="12">
                  <c:v>2.9912942880167192E-3</c:v>
                </c:pt>
                <c:pt idx="13">
                  <c:v>2.9342328753645553E-3</c:v>
                </c:pt>
                <c:pt idx="14">
                  <c:v>2.877234826237896E-3</c:v>
                </c:pt>
                <c:pt idx="15">
                  <c:v>2.8199905559219522E-3</c:v>
                </c:pt>
                <c:pt idx="16">
                  <c:v>2.7990413582219612E-3</c:v>
                </c:pt>
                <c:pt idx="17">
                  <c:v>2.7779422491241556E-3</c:v>
                </c:pt>
                <c:pt idx="18">
                  <c:v>2.7564144513642164E-3</c:v>
                </c:pt>
                <c:pt idx="19">
                  <c:v>2.7351354311203968E-3</c:v>
                </c:pt>
                <c:pt idx="20">
                  <c:v>2.7137798789015925E-3</c:v>
                </c:pt>
                <c:pt idx="21">
                  <c:v>2.7250559959418165E-3</c:v>
                </c:pt>
                <c:pt idx="22">
                  <c:v>2.7160250523463039E-3</c:v>
                </c:pt>
                <c:pt idx="23">
                  <c:v>2.706996795978433E-3</c:v>
                </c:pt>
                <c:pt idx="24">
                  <c:v>2.6979679152885055E-3</c:v>
                </c:pt>
              </c:numCache>
            </c:numRef>
          </c:val>
          <c:extLst>
            <c:ext xmlns:c15="http://schemas.microsoft.com/office/drawing/2012/chart" uri="{02D57815-91ED-43cb-92C2-25804820EDAC}">
              <c15:filteredCategoryTitle>
                <c15:cat>
                  <c:numRef>
                    <c:extLst>
                      <c:ext uri="{02D57815-91ED-43cb-92C2-25804820EDAC}">
                        <c15:formulaRef>
                          <c15:sqref>'Results ReCiPe (H) - HHD ship'!$AC$333:$BA$333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7-A1C2-4CA3-9CB8-AE23003FB789}"/>
            </c:ext>
          </c:extLst>
        </c:ser>
        <c:ser>
          <c:idx val="8"/>
          <c:order val="8"/>
          <c:tx>
            <c:strRef>
              <c:f>'Results ReCiPe (H) - HHD ship'!$AB$342</c:f>
              <c:strCache>
                <c:ptCount val="1"/>
                <c:pt idx="0">
                  <c:v>CO2 captured and stored</c:v>
                </c:pt>
              </c:strCache>
            </c:strRef>
          </c:tx>
          <c:spPr>
            <a:solidFill>
              <a:schemeClr val="tx2">
                <a:lumMod val="20000"/>
                <a:lumOff val="80000"/>
              </a:schemeClr>
            </a:solidFill>
            <a:ln>
              <a:noFill/>
            </a:ln>
            <a:effectLst/>
          </c:spPr>
          <c:invertIfNegative val="0"/>
          <c:val>
            <c:numRef>
              <c:f>'Results ReCiPe (H) - HHD ship'!$AC$342:$BA$342</c:f>
              <c:numCache>
                <c:formatCode>0.00E+00</c:formatCode>
                <c:ptCount val="25"/>
                <c:pt idx="0">
                  <c:v>-4.6399999999999997E-2</c:v>
                </c:pt>
                <c:pt idx="1">
                  <c:v>-4.6399999999999997E-2</c:v>
                </c:pt>
                <c:pt idx="2">
                  <c:v>-4.6399999999999997E-2</c:v>
                </c:pt>
                <c:pt idx="3">
                  <c:v>-4.6399999999999997E-2</c:v>
                </c:pt>
                <c:pt idx="4">
                  <c:v>-4.6399999999999997E-2</c:v>
                </c:pt>
                <c:pt idx="5">
                  <c:v>-4.6399999999999997E-2</c:v>
                </c:pt>
                <c:pt idx="6">
                  <c:v>-4.6399999999999997E-2</c:v>
                </c:pt>
                <c:pt idx="7">
                  <c:v>-4.6399999999999997E-2</c:v>
                </c:pt>
                <c:pt idx="8">
                  <c:v>-4.6399999999999997E-2</c:v>
                </c:pt>
                <c:pt idx="9">
                  <c:v>-4.6399999999999997E-2</c:v>
                </c:pt>
                <c:pt idx="10">
                  <c:v>-4.6399999999999997E-2</c:v>
                </c:pt>
                <c:pt idx="11">
                  <c:v>-4.6399999999999997E-2</c:v>
                </c:pt>
                <c:pt idx="12">
                  <c:v>-4.6399999999999997E-2</c:v>
                </c:pt>
                <c:pt idx="13">
                  <c:v>-4.6399999999999997E-2</c:v>
                </c:pt>
                <c:pt idx="14">
                  <c:v>-4.6399999999999997E-2</c:v>
                </c:pt>
                <c:pt idx="15">
                  <c:v>-4.6399999999999997E-2</c:v>
                </c:pt>
                <c:pt idx="16">
                  <c:v>-4.6399999999999997E-2</c:v>
                </c:pt>
                <c:pt idx="17">
                  <c:v>-4.6399999999999997E-2</c:v>
                </c:pt>
                <c:pt idx="18">
                  <c:v>-4.6399999999999997E-2</c:v>
                </c:pt>
                <c:pt idx="19">
                  <c:v>-4.6399999999999997E-2</c:v>
                </c:pt>
                <c:pt idx="20">
                  <c:v>-4.6399999999999997E-2</c:v>
                </c:pt>
                <c:pt idx="21">
                  <c:v>-4.6399999999999997E-2</c:v>
                </c:pt>
                <c:pt idx="22">
                  <c:v>-4.6399999999999997E-2</c:v>
                </c:pt>
                <c:pt idx="23">
                  <c:v>-4.6399999999999997E-2</c:v>
                </c:pt>
                <c:pt idx="24">
                  <c:v>-4.6399999999999997E-2</c:v>
                </c:pt>
              </c:numCache>
            </c:numRef>
          </c:val>
          <c:extLst>
            <c:ext xmlns:c15="http://schemas.microsoft.com/office/drawing/2012/chart" uri="{02D57815-91ED-43cb-92C2-25804820EDAC}">
              <c15:filteredCategoryTitle>
                <c15:cat>
                  <c:numRef>
                    <c:extLst>
                      <c:ext uri="{02D57815-91ED-43cb-92C2-25804820EDAC}">
                        <c15:formulaRef>
                          <c15:sqref>'Results ReCiPe (H) - HHD ship'!$AC$333:$BA$333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8-A1C2-4CA3-9CB8-AE23003FB789}"/>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(H) - HHD ship'!$AB$343</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val>
            <c:numRef>
              <c:f>'Results ReCiPe (H) - HHD ship'!$AC$343:$BA$343</c:f>
              <c:numCache>
                <c:formatCode>0.00E+00</c:formatCode>
                <c:ptCount val="25"/>
                <c:pt idx="0">
                  <c:v>0.17903197432103887</c:v>
                </c:pt>
                <c:pt idx="1">
                  <c:v>1.8936453205480416E-2</c:v>
                </c:pt>
                <c:pt idx="2">
                  <c:v>1.8681383065609819E-2</c:v>
                </c:pt>
                <c:pt idx="3">
                  <c:v>2.0608068779709221E-2</c:v>
                </c:pt>
                <c:pt idx="4">
                  <c:v>1.8123472117418632E-2</c:v>
                </c:pt>
                <c:pt idx="5">
                  <c:v>1.7860252148920203E-2</c:v>
                </c:pt>
                <c:pt idx="6">
                  <c:v>1.9794150278429443E-2</c:v>
                </c:pt>
                <c:pt idx="7">
                  <c:v>1.7413809426388344E-2</c:v>
                </c:pt>
                <c:pt idx="8">
                  <c:v>1.7183536982651043E-2</c:v>
                </c:pt>
                <c:pt idx="9">
                  <c:v>1.9066768339436865E-2</c:v>
                </c:pt>
                <c:pt idx="10">
                  <c:v>1.6767795526306487E-2</c:v>
                </c:pt>
                <c:pt idx="11">
                  <c:v>1.6613831717960978E-2</c:v>
                </c:pt>
                <c:pt idx="12">
                  <c:v>1.8474462059601737E-2</c:v>
                </c:pt>
                <c:pt idx="13">
                  <c:v>1.6310102557735698E-2</c:v>
                </c:pt>
                <c:pt idx="14">
                  <c:v>1.6164540122353799E-2</c:v>
                </c:pt>
                <c:pt idx="15">
                  <c:v>1.7946142195371731E-2</c:v>
                </c:pt>
                <c:pt idx="16">
                  <c:v>1.5952031811073332E-2</c:v>
                </c:pt>
                <c:pt idx="17">
                  <c:v>1.5884525376480621E-2</c:v>
                </c:pt>
                <c:pt idx="18">
                  <c:v>1.7680948268786967E-2</c:v>
                </c:pt>
                <c:pt idx="19">
                  <c:v>1.5748017914999891E-2</c:v>
                </c:pt>
                <c:pt idx="20">
                  <c:v>1.5685311966441365E-2</c:v>
                </c:pt>
                <c:pt idx="21">
                  <c:v>1.7664592032347048E-2</c:v>
                </c:pt>
                <c:pt idx="22">
                  <c:v>1.5813985921253187E-2</c:v>
                </c:pt>
                <c:pt idx="23">
                  <c:v>1.5802894962101049E-2</c:v>
                </c:pt>
                <c:pt idx="24">
                  <c:v>1.8844187789190142E-2</c:v>
                </c:pt>
              </c:numCache>
            </c:numRef>
          </c:val>
          <c:smooth val="0"/>
          <c:extLst>
            <c:ext xmlns:c15="http://schemas.microsoft.com/office/drawing/2012/chart" uri="{02D57815-91ED-43cb-92C2-25804820EDAC}">
              <c15:filteredCategoryTitle>
                <c15:cat>
                  <c:numRef>
                    <c:extLst>
                      <c:ext uri="{02D57815-91ED-43cb-92C2-25804820EDAC}">
                        <c15:formulaRef>
                          <c15:sqref>'Results ReCiPe (H) - HHD ship'!$AC$333:$BA$333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9-A1C2-4CA3-9CB8-AE23003FB789}"/>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nl-NL"/>
                  <a:t>years</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NL"/>
            </a:p>
          </c:txPr>
        </c:title>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Human</a:t>
                </a:r>
                <a:r>
                  <a:rPr lang="nl-NL" baseline="0"/>
                  <a:t> health</a:t>
                </a:r>
                <a:r>
                  <a:rPr lang="nl-NL"/>
                  <a:t> damage </a:t>
                </a:r>
                <a:br>
                  <a:rPr lang="nl-NL"/>
                </a:br>
                <a:r>
                  <a:rPr lang="nl-NL"/>
                  <a:t>(DALY/ton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HHD ship'!$AB$395</c:f>
              <c:strCache>
                <c:ptCount val="1"/>
                <c:pt idx="0">
                  <c:v>Construction - DAC</c:v>
                </c:pt>
              </c:strCache>
            </c:strRef>
          </c:tx>
          <c:spPr>
            <a:solidFill>
              <a:schemeClr val="accent4">
                <a:lumMod val="75000"/>
              </a:schemeClr>
            </a:solidFill>
            <a:ln>
              <a:noFill/>
            </a:ln>
            <a:effectLst/>
          </c:spPr>
          <c:invertIfNegative val="0"/>
          <c:val>
            <c:numRef>
              <c:f>'Results ReCiPe (H) - HHD ship'!$AC$395:$BA$395</c:f>
              <c:numCache>
                <c:formatCode>0.00E+00</c:formatCode>
                <c:ptCount val="25"/>
                <c:pt idx="0">
                  <c:v>0.13774913518918389</c:v>
                </c:pt>
              </c:numCache>
            </c:numRef>
          </c:val>
          <c:extLst>
            <c:ext xmlns:c15="http://schemas.microsoft.com/office/drawing/2012/chart" uri="{02D57815-91ED-43cb-92C2-25804820EDAC}">
              <c15:filteredCategoryTitle>
                <c15:cat>
                  <c:numRef>
                    <c:extLst>
                      <c:ext uri="{02D57815-91ED-43cb-92C2-25804820EDAC}">
                        <c15:formulaRef>
                          <c15:sqref>'Results ReCiPe (H) - HHD ship'!$AC$394:$BA$394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0-5937-435A-A259-07BBAF0D1592}"/>
            </c:ext>
          </c:extLst>
        </c:ser>
        <c:ser>
          <c:idx val="1"/>
          <c:order val="1"/>
          <c:tx>
            <c:strRef>
              <c:f>'Results ReCiPe (H) - HHD ship'!$AB$396</c:f>
              <c:strCache>
                <c:ptCount val="1"/>
                <c:pt idx="0">
                  <c:v>Construction - geological storage</c:v>
                </c:pt>
              </c:strCache>
            </c:strRef>
          </c:tx>
          <c:spPr>
            <a:solidFill>
              <a:schemeClr val="accent4">
                <a:lumMod val="60000"/>
                <a:lumOff val="40000"/>
              </a:schemeClr>
            </a:solidFill>
            <a:ln>
              <a:noFill/>
            </a:ln>
            <a:effectLst/>
          </c:spPr>
          <c:invertIfNegative val="0"/>
          <c:val>
            <c:numRef>
              <c:f>'Results ReCiPe (H) - HHD ship'!$AC$396:$BA$396</c:f>
              <c:numCache>
                <c:formatCode>0.00E+00</c:formatCode>
                <c:ptCount val="25"/>
                <c:pt idx="0">
                  <c:v>4.4887183709256375E-3</c:v>
                </c:pt>
              </c:numCache>
            </c:numRef>
          </c:val>
          <c:extLst>
            <c:ext xmlns:c15="http://schemas.microsoft.com/office/drawing/2012/chart" uri="{02D57815-91ED-43cb-92C2-25804820EDAC}">
              <c15:filteredCategoryTitle>
                <c15:cat>
                  <c:numRef>
                    <c:extLst>
                      <c:ext uri="{02D57815-91ED-43cb-92C2-25804820EDAC}">
                        <c15:formulaRef>
                          <c15:sqref>'Results ReCiPe (H) - HHD ship'!$AC$394:$BA$394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1-5937-435A-A259-07BBAF0D1592}"/>
            </c:ext>
          </c:extLst>
        </c:ser>
        <c:ser>
          <c:idx val="2"/>
          <c:order val="2"/>
          <c:tx>
            <c:strRef>
              <c:f>'Results ReCiPe (H) - HHD ship'!$AB$397</c:f>
              <c:strCache>
                <c:ptCount val="1"/>
                <c:pt idx="0">
                  <c:v>Deconstruction - DAC</c:v>
                </c:pt>
              </c:strCache>
            </c:strRef>
          </c:tx>
          <c:spPr>
            <a:solidFill>
              <a:schemeClr val="accent2">
                <a:lumMod val="40000"/>
                <a:lumOff val="60000"/>
              </a:schemeClr>
            </a:solidFill>
            <a:ln>
              <a:noFill/>
            </a:ln>
            <a:effectLst/>
          </c:spPr>
          <c:invertIfNegative val="0"/>
          <c:val>
            <c:numRef>
              <c:f>'Results ReCiPe (H) - HHD ship'!$AC$397:$BA$397</c:f>
              <c:numCache>
                <c:formatCode>0.00E+00</c:formatCode>
                <c:ptCount val="25"/>
                <c:pt idx="24">
                  <c:v>1.1364491829356034E-3</c:v>
                </c:pt>
              </c:numCache>
            </c:numRef>
          </c:val>
          <c:extLst>
            <c:ext xmlns:c15="http://schemas.microsoft.com/office/drawing/2012/chart" uri="{02D57815-91ED-43cb-92C2-25804820EDAC}">
              <c15:filteredCategoryTitle>
                <c15:cat>
                  <c:numRef>
                    <c:extLst>
                      <c:ext uri="{02D57815-91ED-43cb-92C2-25804820EDAC}">
                        <c15:formulaRef>
                          <c15:sqref>'Results ReCiPe (H) - HHD ship'!$AC$394:$BA$394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2-5937-435A-A259-07BBAF0D1592}"/>
            </c:ext>
          </c:extLst>
        </c:ser>
        <c:ser>
          <c:idx val="3"/>
          <c:order val="3"/>
          <c:tx>
            <c:strRef>
              <c:f>'Results ReCiPe (H) - HHD ship'!$AB$398</c:f>
              <c:strCache>
                <c:ptCount val="1"/>
                <c:pt idx="0">
                  <c:v>Deconstruction - geological storage</c:v>
                </c:pt>
              </c:strCache>
            </c:strRef>
          </c:tx>
          <c:spPr>
            <a:solidFill>
              <a:srgbClr val="FF9900"/>
            </a:solidFill>
            <a:ln>
              <a:noFill/>
            </a:ln>
            <a:effectLst/>
          </c:spPr>
          <c:invertIfNegative val="0"/>
          <c:val>
            <c:numRef>
              <c:f>'Results ReCiPe (H) - HHD ship'!$AC$398:$BA$398</c:f>
              <c:numCache>
                <c:formatCode>0.00E+00</c:formatCode>
                <c:ptCount val="25"/>
                <c:pt idx="24">
                  <c:v>1.7020923788049538E-5</c:v>
                </c:pt>
              </c:numCache>
            </c:numRef>
          </c:val>
          <c:extLst>
            <c:ext xmlns:c15="http://schemas.microsoft.com/office/drawing/2012/chart" uri="{02D57815-91ED-43cb-92C2-25804820EDAC}">
              <c15:filteredCategoryTitle>
                <c15:cat>
                  <c:numRef>
                    <c:extLst>
                      <c:ext uri="{02D57815-91ED-43cb-92C2-25804820EDAC}">
                        <c15:formulaRef>
                          <c15:sqref>'Results ReCiPe (H) - HHD ship'!$AC$394:$BA$394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3-5937-435A-A259-07BBAF0D1592}"/>
            </c:ext>
          </c:extLst>
        </c:ser>
        <c:ser>
          <c:idx val="4"/>
          <c:order val="4"/>
          <c:tx>
            <c:strRef>
              <c:f>'Results ReCiPe (H) - HHD ship'!$AB$399</c:f>
              <c:strCache>
                <c:ptCount val="1"/>
                <c:pt idx="0">
                  <c:v>Sorbent material</c:v>
                </c:pt>
              </c:strCache>
            </c:strRef>
          </c:tx>
          <c:spPr>
            <a:solidFill>
              <a:srgbClr val="FF8F8F"/>
            </a:solidFill>
            <a:ln>
              <a:noFill/>
            </a:ln>
            <a:effectLst/>
          </c:spPr>
          <c:invertIfNegative val="0"/>
          <c:val>
            <c:numRef>
              <c:f>'Results ReCiPe (H) - HHD ship'!$AC$399:$BA$399</c:f>
              <c:numCache>
                <c:formatCode>0.00E+00</c:formatCode>
                <c:ptCount val="25"/>
                <c:pt idx="0">
                  <c:v>1.9848842622015748E-3</c:v>
                </c:pt>
                <c:pt idx="3">
                  <c:v>1.889975707684352E-3</c:v>
                </c:pt>
                <c:pt idx="6">
                  <c:v>1.8240269819210511E-3</c:v>
                </c:pt>
                <c:pt idx="9">
                  <c:v>1.8069758007361711E-3</c:v>
                </c:pt>
                <c:pt idx="12">
                  <c:v>1.799728004873463E-3</c:v>
                </c:pt>
                <c:pt idx="15">
                  <c:v>1.7946676192961261E-3</c:v>
                </c:pt>
                <c:pt idx="18">
                  <c:v>1.786311731211142E-3</c:v>
                </c:pt>
                <c:pt idx="21">
                  <c:v>1.790817045871237E-3</c:v>
                </c:pt>
                <c:pt idx="24">
                  <c:v>1.786892271072078E-3</c:v>
                </c:pt>
              </c:numCache>
            </c:numRef>
          </c:val>
          <c:extLst>
            <c:ext xmlns:c15="http://schemas.microsoft.com/office/drawing/2012/chart" uri="{02D57815-91ED-43cb-92C2-25804820EDAC}">
              <c15:filteredCategoryTitle>
                <c15:cat>
                  <c:numRef>
                    <c:extLst>
                      <c:ext uri="{02D57815-91ED-43cb-92C2-25804820EDAC}">
                        <c15:formulaRef>
                          <c15:sqref>'Results ReCiPe (H) - HHD ship'!$AC$394:$BA$394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4-5937-435A-A259-07BBAF0D1592}"/>
            </c:ext>
          </c:extLst>
        </c:ser>
        <c:ser>
          <c:idx val="5"/>
          <c:order val="5"/>
          <c:tx>
            <c:strRef>
              <c:f>'Results ReCiPe (H) - HHD ship'!$AB$400</c:f>
              <c:strCache>
                <c:ptCount val="1"/>
                <c:pt idx="0">
                  <c:v>Battery</c:v>
                </c:pt>
              </c:strCache>
            </c:strRef>
          </c:tx>
          <c:spPr>
            <a:solidFill>
              <a:schemeClr val="accent6">
                <a:lumMod val="50000"/>
              </a:schemeClr>
            </a:solidFill>
            <a:ln>
              <a:noFill/>
            </a:ln>
            <a:effectLst/>
          </c:spPr>
          <c:invertIfNegative val="0"/>
          <c:val>
            <c:numRef>
              <c:f>'Results ReCiPe (H) - HHD ship'!$AC$400:$BA$400</c:f>
              <c:numCache>
                <c:formatCode>0.00E+00</c:formatCode>
                <c:ptCount val="25"/>
                <c:pt idx="0">
                  <c:v>3.4093916043373432E-2</c:v>
                </c:pt>
                <c:pt idx="1">
                  <c:v>3.4093916043373432E-2</c:v>
                </c:pt>
                <c:pt idx="2">
                  <c:v>3.4093916043373432E-2</c:v>
                </c:pt>
                <c:pt idx="3">
                  <c:v>3.4093916043373432E-2</c:v>
                </c:pt>
                <c:pt idx="4">
                  <c:v>3.4093916043373432E-2</c:v>
                </c:pt>
                <c:pt idx="5">
                  <c:v>3.4093916043373432E-2</c:v>
                </c:pt>
                <c:pt idx="6">
                  <c:v>3.4093916043373432E-2</c:v>
                </c:pt>
                <c:pt idx="7">
                  <c:v>3.4093916043373432E-2</c:v>
                </c:pt>
                <c:pt idx="8">
                  <c:v>3.4093916043373432E-2</c:v>
                </c:pt>
                <c:pt idx="9">
                  <c:v>3.4093916043373432E-2</c:v>
                </c:pt>
                <c:pt idx="10">
                  <c:v>3.4093916043373432E-2</c:v>
                </c:pt>
                <c:pt idx="11">
                  <c:v>3.4093916043373432E-2</c:v>
                </c:pt>
                <c:pt idx="12">
                  <c:v>3.4093916043373432E-2</c:v>
                </c:pt>
                <c:pt idx="13">
                  <c:v>3.4093916043373432E-2</c:v>
                </c:pt>
                <c:pt idx="14">
                  <c:v>3.4093916043373432E-2</c:v>
                </c:pt>
                <c:pt idx="15">
                  <c:v>3.4093916043373432E-2</c:v>
                </c:pt>
                <c:pt idx="16">
                  <c:v>3.4093916043373432E-2</c:v>
                </c:pt>
                <c:pt idx="17">
                  <c:v>3.4093916043373432E-2</c:v>
                </c:pt>
                <c:pt idx="18">
                  <c:v>3.4093916043373432E-2</c:v>
                </c:pt>
                <c:pt idx="19">
                  <c:v>3.4093916043373432E-2</c:v>
                </c:pt>
                <c:pt idx="20">
                  <c:v>3.4093916043373432E-2</c:v>
                </c:pt>
                <c:pt idx="21">
                  <c:v>3.4093916043373432E-2</c:v>
                </c:pt>
                <c:pt idx="22">
                  <c:v>3.4093916043373432E-2</c:v>
                </c:pt>
                <c:pt idx="23">
                  <c:v>3.4093916043373432E-2</c:v>
                </c:pt>
                <c:pt idx="24">
                  <c:v>3.4093916043373432E-2</c:v>
                </c:pt>
              </c:numCache>
            </c:numRef>
          </c:val>
          <c:extLst>
            <c:ext xmlns:c15="http://schemas.microsoft.com/office/drawing/2012/chart" uri="{02D57815-91ED-43cb-92C2-25804820EDAC}">
              <c15:filteredCategoryTitle>
                <c15:cat>
                  <c:numRef>
                    <c:extLst>
                      <c:ext uri="{02D57815-91ED-43cb-92C2-25804820EDAC}">
                        <c15:formulaRef>
                          <c15:sqref>'Results ReCiPe (H) - HHD ship'!$AC$394:$BA$394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5-5937-435A-A259-07BBAF0D1592}"/>
            </c:ext>
          </c:extLst>
        </c:ser>
        <c:ser>
          <c:idx val="6"/>
          <c:order val="6"/>
          <c:tx>
            <c:strRef>
              <c:f>'Results ReCiPe (H) - HHD ship'!$AB$401</c:f>
              <c:strCache>
                <c:ptCount val="1"/>
                <c:pt idx="0">
                  <c:v>Operation - DAC</c:v>
                </c:pt>
              </c:strCache>
            </c:strRef>
          </c:tx>
          <c:spPr>
            <a:solidFill>
              <a:schemeClr val="accent2">
                <a:lumMod val="75000"/>
              </a:schemeClr>
            </a:solidFill>
            <a:ln>
              <a:noFill/>
            </a:ln>
            <a:effectLst/>
          </c:spPr>
          <c:invertIfNegative val="0"/>
          <c:val>
            <c:numRef>
              <c:f>'Results ReCiPe (H) - HHD ship'!$AC$401:$BA$401</c:f>
              <c:numCache>
                <c:formatCode>0.00E+00</c:formatCode>
                <c:ptCount val="25"/>
                <c:pt idx="0">
                  <c:v>2.3287088111872252E-2</c:v>
                </c:pt>
                <c:pt idx="1">
                  <c:v>2.3155261909047299E-2</c:v>
                </c:pt>
                <c:pt idx="2">
                  <c:v>2.3022561684121871E-2</c:v>
                </c:pt>
                <c:pt idx="3">
                  <c:v>2.2850508548696778E-2</c:v>
                </c:pt>
                <c:pt idx="4">
                  <c:v>2.2711112085667364E-2</c:v>
                </c:pt>
                <c:pt idx="5">
                  <c:v>2.2569725708316092E-2</c:v>
                </c:pt>
                <c:pt idx="6">
                  <c:v>2.2511239056159222E-2</c:v>
                </c:pt>
                <c:pt idx="7">
                  <c:v>2.2457514182959971E-2</c:v>
                </c:pt>
                <c:pt idx="8">
                  <c:v>2.2390458299827595E-2</c:v>
                </c:pt>
                <c:pt idx="9">
                  <c:v>2.2343781410811381E-2</c:v>
                </c:pt>
                <c:pt idx="10">
                  <c:v>2.2300115776085223E-2</c:v>
                </c:pt>
                <c:pt idx="11">
                  <c:v>2.2274251263911606E-2</c:v>
                </c:pt>
                <c:pt idx="12">
                  <c:v>2.2251904187837252E-2</c:v>
                </c:pt>
                <c:pt idx="13">
                  <c:v>2.2227607869295677E-2</c:v>
                </c:pt>
                <c:pt idx="14">
                  <c:v>2.2209561730615349E-2</c:v>
                </c:pt>
                <c:pt idx="15">
                  <c:v>2.2192785967190775E-2</c:v>
                </c:pt>
                <c:pt idx="16">
                  <c:v>2.2185527477797853E-2</c:v>
                </c:pt>
                <c:pt idx="17">
                  <c:v>2.2178486437026447E-2</c:v>
                </c:pt>
                <c:pt idx="18">
                  <c:v>2.2167410309395539E-2</c:v>
                </c:pt>
                <c:pt idx="19">
                  <c:v>2.2160494210171626E-2</c:v>
                </c:pt>
                <c:pt idx="20">
                  <c:v>2.2151742786651041E-2</c:v>
                </c:pt>
                <c:pt idx="21">
                  <c:v>2.2290503926919003E-2</c:v>
                </c:pt>
                <c:pt idx="22">
                  <c:v>2.2294093728597822E-2</c:v>
                </c:pt>
                <c:pt idx="23">
                  <c:v>2.2297679457918593E-2</c:v>
                </c:pt>
                <c:pt idx="24">
                  <c:v>2.2301262438572052E-2</c:v>
                </c:pt>
              </c:numCache>
            </c:numRef>
          </c:val>
          <c:extLst>
            <c:ext xmlns:c15="http://schemas.microsoft.com/office/drawing/2012/chart" uri="{02D57815-91ED-43cb-92C2-25804820EDAC}">
              <c15:filteredCategoryTitle>
                <c15:cat>
                  <c:numRef>
                    <c:extLst>
                      <c:ext uri="{02D57815-91ED-43cb-92C2-25804820EDAC}">
                        <c15:formulaRef>
                          <c15:sqref>'Results ReCiPe (H) - HHD ship'!$AC$394:$BA$394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6-5937-435A-A259-07BBAF0D1592}"/>
            </c:ext>
          </c:extLst>
        </c:ser>
        <c:ser>
          <c:idx val="7"/>
          <c:order val="7"/>
          <c:tx>
            <c:strRef>
              <c:f>'Results ReCiPe (H) - HHD ship'!$AB$402</c:f>
              <c:strCache>
                <c:ptCount val="1"/>
                <c:pt idx="0">
                  <c:v>Operation - geological storage</c:v>
                </c:pt>
              </c:strCache>
            </c:strRef>
          </c:tx>
          <c:spPr>
            <a:solidFill>
              <a:schemeClr val="accent2">
                <a:lumMod val="50000"/>
              </a:schemeClr>
            </a:solidFill>
            <a:ln>
              <a:noFill/>
            </a:ln>
            <a:effectLst/>
          </c:spPr>
          <c:invertIfNegative val="0"/>
          <c:val>
            <c:numRef>
              <c:f>'Results ReCiPe (H) - HHD ship'!$AC$402:$BA$402</c:f>
              <c:numCache>
                <c:formatCode>0.00E+00</c:formatCode>
                <c:ptCount val="25"/>
                <c:pt idx="0">
                  <c:v>3.2056706821459997E-3</c:v>
                </c:pt>
                <c:pt idx="1">
                  <c:v>3.0935281582041437E-3</c:v>
                </c:pt>
                <c:pt idx="2">
                  <c:v>2.981504267779044E-3</c:v>
                </c:pt>
                <c:pt idx="3">
                  <c:v>2.867315181498316E-3</c:v>
                </c:pt>
                <c:pt idx="4">
                  <c:v>2.7554451703026605E-3</c:v>
                </c:pt>
                <c:pt idx="5">
                  <c:v>2.6437897367715215E-3</c:v>
                </c:pt>
                <c:pt idx="6">
                  <c:v>2.6337355536929143E-3</c:v>
                </c:pt>
                <c:pt idx="7">
                  <c:v>2.6235217735587025E-3</c:v>
                </c:pt>
                <c:pt idx="8">
                  <c:v>2.6114264409557351E-3</c:v>
                </c:pt>
                <c:pt idx="9">
                  <c:v>2.6008036454520803E-3</c:v>
                </c:pt>
                <c:pt idx="10">
                  <c:v>2.5899913852823575E-3</c:v>
                </c:pt>
                <c:pt idx="11">
                  <c:v>2.5843323142312161E-3</c:v>
                </c:pt>
                <c:pt idx="12">
                  <c:v>2.5787681492506886E-3</c:v>
                </c:pt>
                <c:pt idx="13">
                  <c:v>2.5728514455493562E-3</c:v>
                </c:pt>
                <c:pt idx="14">
                  <c:v>2.5673052046117921E-3</c:v>
                </c:pt>
                <c:pt idx="15">
                  <c:v>2.5617771344944133E-3</c:v>
                </c:pt>
                <c:pt idx="16">
                  <c:v>2.5376068006278474E-3</c:v>
                </c:pt>
                <c:pt idx="17">
                  <c:v>2.5133414928865672E-3</c:v>
                </c:pt>
                <c:pt idx="18">
                  <c:v>2.4887105252319286E-3</c:v>
                </c:pt>
                <c:pt idx="19">
                  <c:v>2.4644014152019871E-3</c:v>
                </c:pt>
                <c:pt idx="20">
                  <c:v>2.4400457419020984E-3</c:v>
                </c:pt>
                <c:pt idx="21">
                  <c:v>2.4461104407815979E-3</c:v>
                </c:pt>
                <c:pt idx="22">
                  <c:v>2.4307329720170108E-3</c:v>
                </c:pt>
                <c:pt idx="23">
                  <c:v>2.4153594571768508E-3</c:v>
                </c:pt>
                <c:pt idx="24">
                  <c:v>2.3999870387829197E-3</c:v>
                </c:pt>
              </c:numCache>
            </c:numRef>
          </c:val>
          <c:extLst>
            <c:ext xmlns:c15="http://schemas.microsoft.com/office/drawing/2012/chart" uri="{02D57815-91ED-43cb-92C2-25804820EDAC}">
              <c15:filteredCategoryTitle>
                <c15:cat>
                  <c:numRef>
                    <c:extLst>
                      <c:ext uri="{02D57815-91ED-43cb-92C2-25804820EDAC}">
                        <c15:formulaRef>
                          <c15:sqref>'Results ReCiPe (H) - HHD ship'!$AC$394:$BA$394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7-5937-435A-A259-07BBAF0D1592}"/>
            </c:ext>
          </c:extLst>
        </c:ser>
        <c:ser>
          <c:idx val="8"/>
          <c:order val="8"/>
          <c:tx>
            <c:strRef>
              <c:f>'Results ReCiPe (H) - HHD ship'!$AB$403</c:f>
              <c:strCache>
                <c:ptCount val="1"/>
                <c:pt idx="0">
                  <c:v>CO2 captured and stored</c:v>
                </c:pt>
              </c:strCache>
            </c:strRef>
          </c:tx>
          <c:spPr>
            <a:solidFill>
              <a:schemeClr val="tx2">
                <a:lumMod val="20000"/>
                <a:lumOff val="80000"/>
              </a:schemeClr>
            </a:solidFill>
            <a:ln>
              <a:noFill/>
            </a:ln>
            <a:effectLst/>
          </c:spPr>
          <c:invertIfNegative val="0"/>
          <c:val>
            <c:numRef>
              <c:f>'Results ReCiPe (H) - HHD ship'!$AC$403:$BA$403</c:f>
              <c:numCache>
                <c:formatCode>0.00E+00</c:formatCode>
                <c:ptCount val="25"/>
                <c:pt idx="0">
                  <c:v>-4.6399999999999997E-2</c:v>
                </c:pt>
                <c:pt idx="1">
                  <c:v>-4.6399999999999997E-2</c:v>
                </c:pt>
                <c:pt idx="2">
                  <c:v>-4.6399999999999997E-2</c:v>
                </c:pt>
                <c:pt idx="3">
                  <c:v>-4.6399999999999997E-2</c:v>
                </c:pt>
                <c:pt idx="4">
                  <c:v>-4.6399999999999997E-2</c:v>
                </c:pt>
                <c:pt idx="5">
                  <c:v>-4.6399999999999997E-2</c:v>
                </c:pt>
                <c:pt idx="6">
                  <c:v>-4.6399999999999997E-2</c:v>
                </c:pt>
                <c:pt idx="7">
                  <c:v>-4.6399999999999997E-2</c:v>
                </c:pt>
                <c:pt idx="8">
                  <c:v>-4.6399999999999997E-2</c:v>
                </c:pt>
                <c:pt idx="9">
                  <c:v>-4.6399999999999997E-2</c:v>
                </c:pt>
                <c:pt idx="10">
                  <c:v>-4.6399999999999997E-2</c:v>
                </c:pt>
                <c:pt idx="11">
                  <c:v>-4.6399999999999997E-2</c:v>
                </c:pt>
                <c:pt idx="12">
                  <c:v>-4.6399999999999997E-2</c:v>
                </c:pt>
                <c:pt idx="13">
                  <c:v>-4.6399999999999997E-2</c:v>
                </c:pt>
                <c:pt idx="14">
                  <c:v>-4.6399999999999997E-2</c:v>
                </c:pt>
                <c:pt idx="15">
                  <c:v>-4.6399999999999997E-2</c:v>
                </c:pt>
                <c:pt idx="16">
                  <c:v>-4.6399999999999997E-2</c:v>
                </c:pt>
                <c:pt idx="17">
                  <c:v>-4.6399999999999997E-2</c:v>
                </c:pt>
                <c:pt idx="18">
                  <c:v>-4.6399999999999997E-2</c:v>
                </c:pt>
                <c:pt idx="19">
                  <c:v>-4.6399999999999997E-2</c:v>
                </c:pt>
                <c:pt idx="20">
                  <c:v>-4.6399999999999997E-2</c:v>
                </c:pt>
                <c:pt idx="21">
                  <c:v>-4.6399999999999997E-2</c:v>
                </c:pt>
                <c:pt idx="22">
                  <c:v>-4.6399999999999997E-2</c:v>
                </c:pt>
                <c:pt idx="23">
                  <c:v>-4.6399999999999997E-2</c:v>
                </c:pt>
                <c:pt idx="24">
                  <c:v>-4.6399999999999997E-2</c:v>
                </c:pt>
              </c:numCache>
            </c:numRef>
          </c:val>
          <c:extLst>
            <c:ext xmlns:c15="http://schemas.microsoft.com/office/drawing/2012/chart" uri="{02D57815-91ED-43cb-92C2-25804820EDAC}">
              <c15:filteredCategoryTitle>
                <c15:cat>
                  <c:numRef>
                    <c:extLst>
                      <c:ext uri="{02D57815-91ED-43cb-92C2-25804820EDAC}">
                        <c15:formulaRef>
                          <c15:sqref>'Results ReCiPe (H) - HHD ship'!$AC$394:$BA$394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8-5937-435A-A259-07BBAF0D1592}"/>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(H) - HHD ship'!$AB$404</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val>
            <c:numRef>
              <c:f>'Results ReCiPe (H) - HHD ship'!$AC$404:$BA$404</c:f>
              <c:numCache>
                <c:formatCode>0.00E+00</c:formatCode>
                <c:ptCount val="25"/>
                <c:pt idx="0">
                  <c:v>0.15840941265970276</c:v>
                </c:pt>
                <c:pt idx="1">
                  <c:v>1.3942706110624876E-2</c:v>
                </c:pt>
                <c:pt idx="2">
                  <c:v>1.3697981995274347E-2</c:v>
                </c:pt>
                <c:pt idx="3">
                  <c:v>1.5301715481252885E-2</c:v>
                </c:pt>
                <c:pt idx="4">
                  <c:v>1.3160473299343466E-2</c:v>
                </c:pt>
                <c:pt idx="5">
                  <c:v>1.2907431488461046E-2</c:v>
                </c:pt>
                <c:pt idx="6">
                  <c:v>1.466291763514662E-2</c:v>
                </c:pt>
                <c:pt idx="7">
                  <c:v>1.2774951999892106E-2</c:v>
                </c:pt>
                <c:pt idx="8">
                  <c:v>1.2695800784156767E-2</c:v>
                </c:pt>
                <c:pt idx="9">
                  <c:v>1.4445476900373067E-2</c:v>
                </c:pt>
                <c:pt idx="10">
                  <c:v>1.2584023204741009E-2</c:v>
                </c:pt>
                <c:pt idx="11">
                  <c:v>1.2552499621516264E-2</c:v>
                </c:pt>
                <c:pt idx="12">
                  <c:v>1.4324316385334837E-2</c:v>
                </c:pt>
                <c:pt idx="13">
                  <c:v>1.2494375358218464E-2</c:v>
                </c:pt>
                <c:pt idx="14">
                  <c:v>1.2470782978600575E-2</c:v>
                </c:pt>
                <c:pt idx="15">
                  <c:v>1.4243146764354758E-2</c:v>
                </c:pt>
                <c:pt idx="16">
                  <c:v>1.2417050321799135E-2</c:v>
                </c:pt>
                <c:pt idx="17">
                  <c:v>1.2385743973286449E-2</c:v>
                </c:pt>
                <c:pt idx="18">
                  <c:v>1.4136348609212042E-2</c:v>
                </c:pt>
                <c:pt idx="19">
                  <c:v>1.231881166874705E-2</c:v>
                </c:pt>
                <c:pt idx="20">
                  <c:v>1.228570457192657E-2</c:v>
                </c:pt>
                <c:pt idx="21">
                  <c:v>1.4221347456945276E-2</c:v>
                </c:pt>
                <c:pt idx="22">
                  <c:v>1.241874274398827E-2</c:v>
                </c:pt>
                <c:pt idx="23">
                  <c:v>1.2406954958468878E-2</c:v>
                </c:pt>
                <c:pt idx="24">
                  <c:v>1.5335527898524139E-2</c:v>
                </c:pt>
              </c:numCache>
            </c:numRef>
          </c:val>
          <c:smooth val="0"/>
          <c:extLst>
            <c:ext xmlns:c15="http://schemas.microsoft.com/office/drawing/2012/chart" uri="{02D57815-91ED-43cb-92C2-25804820EDAC}">
              <c15:filteredCategoryTitle>
                <c15:cat>
                  <c:numRef>
                    <c:extLst>
                      <c:ext uri="{02D57815-91ED-43cb-92C2-25804820EDAC}">
                        <c15:formulaRef>
                          <c15:sqref>'Results ReCiPe (H) - HHD ship'!$AC$394:$BA$394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9-5937-435A-A259-07BBAF0D1592}"/>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nl-NL"/>
                  <a:t>years</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NL"/>
            </a:p>
          </c:txPr>
        </c:title>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Human</a:t>
                </a:r>
                <a:r>
                  <a:rPr lang="nl-NL" baseline="0"/>
                  <a:t> health</a:t>
                </a:r>
                <a:r>
                  <a:rPr lang="nl-NL"/>
                  <a:t> damage </a:t>
                </a:r>
                <a:br>
                  <a:rPr lang="nl-NL"/>
                </a:br>
                <a:r>
                  <a:rPr lang="nl-NL"/>
                  <a:t>(DALY/ton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2254393319634"/>
          <c:y val="6.9740429383197355E-2"/>
          <c:w val="0.42336028977008383"/>
          <c:h val="0.885736824710606"/>
        </c:manualLayout>
      </c:layout>
      <c:scatterChart>
        <c:scatterStyle val="lineMarker"/>
        <c:varyColors val="0"/>
        <c:ser>
          <c:idx val="0"/>
          <c:order val="0"/>
          <c:tx>
            <c:strRef>
              <c:f>'Sensitivity analysis - HHD'!$Y$453</c:f>
              <c:strCache>
                <c:ptCount val="1"/>
                <c:pt idx="0">
                  <c:v>Material use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'Sensitivity analysis - HHD'!$AD$452:$AF$452</c:f>
              <c:numCache>
                <c:formatCode>0%</c:formatCode>
                <c:ptCount val="3"/>
                <c:pt idx="0">
                  <c:v>0.8</c:v>
                </c:pt>
                <c:pt idx="1">
                  <c:v>1</c:v>
                </c:pt>
                <c:pt idx="2">
                  <c:v>1.2</c:v>
                </c:pt>
              </c:numCache>
            </c:numRef>
          </c:xVal>
          <c:yVal>
            <c:numRef>
              <c:f>'Sensitivity analysis - HHD'!$AD$453:$AF$453</c:f>
              <c:numCache>
                <c:formatCode>0.00E+00</c:formatCode>
                <c:ptCount val="3"/>
                <c:pt idx="0">
                  <c:v>-6.8374291006556153E-4</c:v>
                </c:pt>
                <c:pt idx="1">
                  <c:v>-6.7134193330766075E-4</c:v>
                </c:pt>
                <c:pt idx="2">
                  <c:v>-6.5894095654975998E-4</c:v>
                </c:pt>
              </c:numCache>
            </c:numRef>
          </c:yVal>
          <c:smooth val="0"/>
          <c:extLst>
            <c:ext xmlns:c16="http://schemas.microsoft.com/office/drawing/2014/chart" uri="{C3380CC4-5D6E-409C-BE32-E72D297353CC}">
              <c16:uniqueId val="{00000000-791B-42DF-B45D-A5C7B50F7569}"/>
            </c:ext>
          </c:extLst>
        </c:ser>
        <c:ser>
          <c:idx val="1"/>
          <c:order val="1"/>
          <c:tx>
            <c:strRef>
              <c:f>'Sensitivity analysis - HHD'!$Y$454</c:f>
              <c:strCache>
                <c:ptCount val="1"/>
                <c:pt idx="0">
                  <c:v>Energy use</c:v>
                </c:pt>
              </c:strCache>
            </c:strRef>
          </c:tx>
          <c:spPr>
            <a:ln w="31750" cap="rnd">
              <a:solidFill>
                <a:schemeClr val="accent4"/>
              </a:solidFill>
              <a:round/>
            </a:ln>
            <a:effectLst/>
          </c:spPr>
          <c:marker>
            <c:symbol val="circle"/>
            <c:size val="5"/>
            <c:spPr>
              <a:solidFill>
                <a:schemeClr val="accent4"/>
              </a:solidFill>
              <a:ln w="9525">
                <a:solidFill>
                  <a:schemeClr val="accent4"/>
                </a:solidFill>
              </a:ln>
              <a:effectLst/>
            </c:spPr>
          </c:marker>
          <c:xVal>
            <c:numRef>
              <c:f>('Sensitivity analysis - HHD'!$AC$452,'Sensitivity analysis - HHD'!$AE$452,'Sensitivity analysis - HHD'!$AH$452)</c:f>
              <c:numCache>
                <c:formatCode>0%</c:formatCode>
                <c:ptCount val="3"/>
                <c:pt idx="0">
                  <c:v>0.67</c:v>
                </c:pt>
                <c:pt idx="1">
                  <c:v>1</c:v>
                </c:pt>
                <c:pt idx="2">
                  <c:v>1.67</c:v>
                </c:pt>
              </c:numCache>
            </c:numRef>
          </c:xVal>
          <c:yVal>
            <c:numRef>
              <c:f>('Sensitivity analysis - HHD'!$AC$454,'Sensitivity analysis - HHD'!$AE$454,'Sensitivity analysis - HHD'!$AH$454)</c:f>
              <c:numCache>
                <c:formatCode>0.00E+00</c:formatCode>
                <c:ptCount val="3"/>
                <c:pt idx="0">
                  <c:v>-7.2537627546279018E-4</c:v>
                </c:pt>
                <c:pt idx="1">
                  <c:v>-6.7134193330766075E-4</c:v>
                </c:pt>
                <c:pt idx="2">
                  <c:v>-5.6327324899740189E-4</c:v>
                </c:pt>
              </c:numCache>
            </c:numRef>
          </c:yVal>
          <c:smooth val="0"/>
          <c:extLst>
            <c:ext xmlns:c16="http://schemas.microsoft.com/office/drawing/2014/chart" uri="{C3380CC4-5D6E-409C-BE32-E72D297353CC}">
              <c16:uniqueId val="{00000001-791B-42DF-B45D-A5C7B50F7569}"/>
            </c:ext>
          </c:extLst>
        </c:ser>
        <c:ser>
          <c:idx val="2"/>
          <c:order val="2"/>
          <c:tx>
            <c:strRef>
              <c:f>'Sensitivity analysis - HHD'!$Y$455</c:f>
              <c:strCache>
                <c:ptCount val="1"/>
                <c:pt idx="0">
                  <c:v>Lifetime DAC system</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'Sensitivity analysis - HHD'!$AD$452:$AE$452</c:f>
              <c:numCache>
                <c:formatCode>0%</c:formatCode>
                <c:ptCount val="2"/>
                <c:pt idx="0">
                  <c:v>0.8</c:v>
                </c:pt>
                <c:pt idx="1">
                  <c:v>1</c:v>
                </c:pt>
              </c:numCache>
            </c:numRef>
          </c:xVal>
          <c:yVal>
            <c:numRef>
              <c:f>'Sensitivity analysis - HHD'!$AD$455:$AE$455</c:f>
              <c:numCache>
                <c:formatCode>0.00E+00</c:formatCode>
                <c:ptCount val="2"/>
                <c:pt idx="0">
                  <c:v>-6.0717741663457599E-4</c:v>
                </c:pt>
                <c:pt idx="1">
                  <c:v>-6.7134193330766075E-4</c:v>
                </c:pt>
              </c:numCache>
            </c:numRef>
          </c:yVal>
          <c:smooth val="0"/>
          <c:extLst>
            <c:ext xmlns:c16="http://schemas.microsoft.com/office/drawing/2014/chart" uri="{C3380CC4-5D6E-409C-BE32-E72D297353CC}">
              <c16:uniqueId val="{00000002-791B-42DF-B45D-A5C7B50F7569}"/>
            </c:ext>
          </c:extLst>
        </c:ser>
        <c:ser>
          <c:idx val="3"/>
          <c:order val="3"/>
          <c:tx>
            <c:strRef>
              <c:f>'Sensitivity analysis - HHD'!$Y$456</c:f>
              <c:strCache>
                <c:ptCount val="1"/>
                <c:pt idx="0">
                  <c:v>Lifetime sorbent material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('Sensitivity analysis - HHD'!$AA$452,'Sensitivity analysis - HHD'!$AE$452,'Sensitivity analysis - HHD'!$AH$452)</c:f>
              <c:numCache>
                <c:formatCode>0%</c:formatCode>
                <c:ptCount val="3"/>
                <c:pt idx="0">
                  <c:v>0.33</c:v>
                </c:pt>
                <c:pt idx="1">
                  <c:v>1</c:v>
                </c:pt>
                <c:pt idx="2">
                  <c:v>1.67</c:v>
                </c:pt>
              </c:numCache>
            </c:numRef>
          </c:xVal>
          <c:yVal>
            <c:numRef>
              <c:f>('Sensitivity analysis - HHD'!$AA$456,'Sensitivity analysis - HHD'!$AE$456,'Sensitivity analysis - HHD'!$AH$456)</c:f>
              <c:numCache>
                <c:formatCode>0.00E+00</c:formatCode>
                <c:ptCount val="3"/>
                <c:pt idx="0">
                  <c:v>-6.5969214149944804E-4</c:v>
                </c:pt>
                <c:pt idx="1">
                  <c:v>-6.7134193330766075E-4</c:v>
                </c:pt>
                <c:pt idx="2">
                  <c:v>-6.7425072443065386E-4</c:v>
                </c:pt>
              </c:numCache>
            </c:numRef>
          </c:yVal>
          <c:smooth val="0"/>
          <c:extLst>
            <c:ext xmlns:c16="http://schemas.microsoft.com/office/drawing/2014/chart" uri="{C3380CC4-5D6E-409C-BE32-E72D297353CC}">
              <c16:uniqueId val="{00000003-791B-42DF-B45D-A5C7B50F7569}"/>
            </c:ext>
          </c:extLst>
        </c:ser>
        <c:ser>
          <c:idx val="4"/>
          <c:order val="4"/>
          <c:tx>
            <c:strRef>
              <c:f>'Sensitivity analysis - HHD'!$Y$457</c:f>
              <c:strCache>
                <c:ptCount val="1"/>
                <c:pt idx="0">
                  <c:v>Capacity DAC unit</c:v>
                </c:pt>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numRef>
              <c:f>('Sensitivity analysis - HHD'!$AB$452,'Sensitivity analysis - HHD'!$AE$452,'Sensitivity analysis - HHD'!$AG$452)</c:f>
              <c:numCache>
                <c:formatCode>0%</c:formatCode>
                <c:ptCount val="3"/>
                <c:pt idx="0">
                  <c:v>0.5</c:v>
                </c:pt>
                <c:pt idx="1">
                  <c:v>1</c:v>
                </c:pt>
                <c:pt idx="2">
                  <c:v>1.5</c:v>
                </c:pt>
              </c:numCache>
            </c:numRef>
          </c:xVal>
          <c:yVal>
            <c:numRef>
              <c:f>('Sensitivity analysis - HHD'!$AB$457,'Sensitivity analysis - HHD'!$AE$457,'Sensitivity analysis - HHD'!$AG$457)</c:f>
              <c:numCache>
                <c:formatCode>0.00E+00</c:formatCode>
                <c:ptCount val="3"/>
                <c:pt idx="0">
                  <c:v>-4.1468386661532171E-4</c:v>
                </c:pt>
                <c:pt idx="1">
                  <c:v>-6.7134193330766075E-4</c:v>
                </c:pt>
                <c:pt idx="2">
                  <c:v>-7.5689462220510724E-4</c:v>
                </c:pt>
              </c:numCache>
            </c:numRef>
          </c:yVal>
          <c:smooth val="0"/>
          <c:extLst>
            <c:ext xmlns:c16="http://schemas.microsoft.com/office/drawing/2014/chart" uri="{C3380CC4-5D6E-409C-BE32-E72D297353CC}">
              <c16:uniqueId val="{00000004-791B-42DF-B45D-A5C7B50F7569}"/>
            </c:ext>
          </c:extLst>
        </c:ser>
        <c:ser>
          <c:idx val="7"/>
          <c:order val="5"/>
          <c:tx>
            <c:strRef>
              <c:f>'Sensitivity analysis - HHD'!$Y$458</c:f>
              <c:strCache>
                <c:ptCount val="1"/>
                <c:pt idx="0">
                  <c:v>Capacity factor</c:v>
                </c:pt>
              </c:strCache>
            </c:strRef>
          </c:tx>
          <c:spPr>
            <a:ln w="19050" cap="rnd">
              <a:solidFill>
                <a:schemeClr val="accent6">
                  <a:lumMod val="50000"/>
                </a:schemeClr>
              </a:solidFill>
              <a:round/>
            </a:ln>
            <a:effectLst/>
          </c:spPr>
          <c:marker>
            <c:symbol val="circle"/>
            <c:size val="5"/>
            <c:spPr>
              <a:solidFill>
                <a:schemeClr val="accent6">
                  <a:lumMod val="50000"/>
                </a:schemeClr>
              </a:solidFill>
              <a:ln w="9525">
                <a:solidFill>
                  <a:schemeClr val="accent6">
                    <a:lumMod val="50000"/>
                  </a:schemeClr>
                </a:solidFill>
              </a:ln>
              <a:effectLst/>
            </c:spPr>
          </c:marker>
          <c:xVal>
            <c:numRef>
              <c:f>('Sensitivity analysis - HHD'!$AE$452,'Sensitivity analysis - HHD'!$AG$452,'Sensitivity analysis - HHD'!$AI$452)</c:f>
              <c:numCache>
                <c:formatCode>0%</c:formatCode>
                <c:ptCount val="3"/>
                <c:pt idx="0">
                  <c:v>1</c:v>
                </c:pt>
                <c:pt idx="1">
                  <c:v>1.5</c:v>
                </c:pt>
                <c:pt idx="2">
                  <c:v>2</c:v>
                </c:pt>
              </c:numCache>
            </c:numRef>
          </c:xVal>
          <c:yVal>
            <c:numRef>
              <c:f>('Sensitivity analysis - HHD'!$AE$458,'Sensitivity analysis - HHD'!$AG$458,'Sensitivity analysis - HHD'!$AI$458)</c:f>
              <c:numCache>
                <c:formatCode>0.00E+00</c:formatCode>
                <c:ptCount val="3"/>
                <c:pt idx="0">
                  <c:v>-6.7134193330766075E-4</c:v>
                </c:pt>
                <c:pt idx="1">
                  <c:v>-6.6259166896737295E-4</c:v>
                </c:pt>
                <c:pt idx="2">
                  <c:v>-6.5529978201713294E-4</c:v>
                </c:pt>
              </c:numCache>
            </c:numRef>
          </c:yVal>
          <c:smooth val="0"/>
          <c:extLst>
            <c:ext xmlns:c16="http://schemas.microsoft.com/office/drawing/2014/chart" uri="{C3380CC4-5D6E-409C-BE32-E72D297353CC}">
              <c16:uniqueId val="{00000005-791B-42DF-B45D-A5C7B50F7569}"/>
            </c:ext>
          </c:extLst>
        </c:ser>
        <c:ser>
          <c:idx val="6"/>
          <c:order val="6"/>
          <c:tx>
            <c:strRef>
              <c:f>'Sensitivity analysis - HHD'!$Y$459</c:f>
              <c:strCache>
                <c:ptCount val="1"/>
                <c:pt idx="0">
                  <c:v>Sorbent type - amine on silica</c:v>
                </c:pt>
              </c:strCache>
            </c:strRef>
          </c:tx>
          <c:spPr>
            <a:ln w="19050" cap="rnd">
              <a:noFill/>
              <a:round/>
            </a:ln>
            <a:effectLst/>
          </c:spPr>
          <c:marker>
            <c:symbol val="square"/>
            <c:size val="5"/>
            <c:spPr>
              <a:solidFill>
                <a:srgbClr val="C00000"/>
              </a:solidFill>
              <a:ln w="9525">
                <a:solidFill>
                  <a:srgbClr val="C00000"/>
                </a:solidFill>
              </a:ln>
              <a:effectLst/>
            </c:spPr>
          </c:marker>
          <c:xVal>
            <c:numRef>
              <c:f>'Sensitivity analysis - HHD'!$AE$452</c:f>
              <c:numCache>
                <c:formatCode>0%</c:formatCode>
                <c:ptCount val="1"/>
                <c:pt idx="0">
                  <c:v>1</c:v>
                </c:pt>
              </c:numCache>
            </c:numRef>
          </c:xVal>
          <c:yVal>
            <c:numRef>
              <c:f>'Sensitivity analysis - HHD'!$AE$459</c:f>
              <c:numCache>
                <c:formatCode>0.00E+00</c:formatCode>
                <c:ptCount val="1"/>
                <c:pt idx="0">
                  <c:v>-6.582331613997095E-4</c:v>
                </c:pt>
              </c:numCache>
            </c:numRef>
          </c:yVal>
          <c:smooth val="0"/>
          <c:extLst>
            <c:ext xmlns:c16="http://schemas.microsoft.com/office/drawing/2014/chart" uri="{C3380CC4-5D6E-409C-BE32-E72D297353CC}">
              <c16:uniqueId val="{00000007-791B-42DF-B45D-A5C7B50F7569}"/>
            </c:ext>
          </c:extLst>
        </c:ser>
        <c:dLbls>
          <c:showLegendKey val="0"/>
          <c:showVal val="0"/>
          <c:showCatName val="0"/>
          <c:showSerName val="0"/>
          <c:showPercent val="0"/>
          <c:showBubbleSize val="0"/>
        </c:dLbls>
        <c:axId val="894438607"/>
        <c:axId val="1119274239"/>
      </c:scatterChart>
      <c:valAx>
        <c:axId val="894438607"/>
        <c:scaling>
          <c:orientation val="minMax"/>
          <c:max val="2.5"/>
          <c:min val="0"/>
        </c:scaling>
        <c:delete val="0"/>
        <c:axPos val="b"/>
        <c:majorGridlines>
          <c:spPr>
            <a:ln w="9525" cap="flat" cmpd="sng" algn="ctr">
              <a:solidFill>
                <a:schemeClr val="tx1">
                  <a:lumMod val="50000"/>
                  <a:lumOff val="50000"/>
                </a:schemeClr>
              </a:solidFill>
              <a:round/>
            </a:ln>
            <a:effectLst/>
          </c:spPr>
        </c:majorGridlines>
        <c:numFmt formatCode="0%" sourceLinked="1"/>
        <c:majorTickMark val="none"/>
        <c:minorTickMark val="none"/>
        <c:tickLblPos val="high"/>
        <c:spPr>
          <a:noFill/>
          <a:ln w="190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1119274239"/>
        <c:crosses val="autoZero"/>
        <c:crossBetween val="midCat"/>
      </c:valAx>
      <c:valAx>
        <c:axId val="1119274239"/>
        <c:scaling>
          <c:orientation val="minMax"/>
        </c:scaling>
        <c:delete val="0"/>
        <c:axPos val="l"/>
        <c:majorGridlines>
          <c:spPr>
            <a:ln w="9525" cap="flat" cmpd="sng" algn="ctr">
              <a:solidFill>
                <a:schemeClr val="tx1">
                  <a:lumMod val="50000"/>
                  <a:lumOff val="50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r>
                  <a:rPr lang="nl-NL"/>
                  <a:t>Human health damage</a:t>
                </a:r>
              </a:p>
              <a:p>
                <a:pPr>
                  <a:defRPr/>
                </a:pPr>
                <a:r>
                  <a:rPr lang="nl-NL"/>
                  <a:t>[DALY/ton CO</a:t>
                </a:r>
                <a:r>
                  <a:rPr lang="nl-NL" baseline="-25000"/>
                  <a:t>2</a:t>
                </a:r>
                <a:r>
                  <a:rPr lang="nl-NL"/>
                  <a:t> captured and stored]</a:t>
                </a:r>
              </a:p>
            </c:rich>
          </c:tx>
          <c:layout>
            <c:manualLayout>
              <c:xMode val="edge"/>
              <c:yMode val="edge"/>
              <c:x val="0"/>
              <c:y val="0.1551010987146160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title>
        <c:numFmt formatCode="0.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894438607"/>
        <c:crosses val="autoZero"/>
        <c:crossBetween val="midCat"/>
      </c:valAx>
      <c:spPr>
        <a:noFill/>
        <a:ln w="19050">
          <a:solidFill>
            <a:schemeClr val="tx1"/>
          </a:solidFill>
        </a:ln>
        <a:effectLst/>
      </c:spPr>
    </c:plotArea>
    <c:legend>
      <c:legendPos val="r"/>
      <c:layout>
        <c:manualLayout>
          <c:xMode val="edge"/>
          <c:yMode val="edge"/>
          <c:x val="0.53718116324829401"/>
          <c:y val="6.9177319256384068E-2"/>
          <c:w val="0.27954164711576512"/>
          <c:h val="0.87651563750530548"/>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printSettings>
    <c:headerFooter/>
    <c:pageMargins b="0.75" l="0.7" r="0.7" t="0.75" header="0.3" footer="0.3"/>
    <c:pageSetup/>
  </c:printSettings>
</c:chartSpace>
</file>

<file path=xl/charts/chart1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ESD ship'!$AB$10</c:f>
              <c:strCache>
                <c:ptCount val="1"/>
                <c:pt idx="0">
                  <c:v>Construction - DAC</c:v>
                </c:pt>
              </c:strCache>
            </c:strRef>
          </c:tx>
          <c:spPr>
            <a:solidFill>
              <a:schemeClr val="accent1"/>
            </a:solidFill>
            <a:ln>
              <a:noFill/>
            </a:ln>
            <a:effectLst/>
          </c:spPr>
          <c:invertIfNegative val="0"/>
          <c:cat>
            <c:numRef>
              <c:f>'Results ReCiPe (H) - ESD ship'!$AC$9:$BA$9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ship'!$AC$10:$BA$10</c:f>
              <c:numCache>
                <c:formatCode>0.00E+00</c:formatCode>
                <c:ptCount val="25"/>
                <c:pt idx="0">
                  <c:v>1.9467533260507852E-4</c:v>
                </c:pt>
              </c:numCache>
            </c:numRef>
          </c:val>
          <c:extLst>
            <c:ext xmlns:c16="http://schemas.microsoft.com/office/drawing/2014/chart" uri="{C3380CC4-5D6E-409C-BE32-E72D297353CC}">
              <c16:uniqueId val="{00000000-DB75-49BF-8332-5A0BBCE2362A}"/>
            </c:ext>
          </c:extLst>
        </c:ser>
        <c:ser>
          <c:idx val="1"/>
          <c:order val="1"/>
          <c:tx>
            <c:strRef>
              <c:f>'Results ReCiPe (H) - ESD ship'!$AB$11</c:f>
              <c:strCache>
                <c:ptCount val="1"/>
                <c:pt idx="0">
                  <c:v>Construction - geological storage</c:v>
                </c:pt>
              </c:strCache>
            </c:strRef>
          </c:tx>
          <c:spPr>
            <a:solidFill>
              <a:schemeClr val="accent2"/>
            </a:solidFill>
            <a:ln>
              <a:noFill/>
            </a:ln>
            <a:effectLst/>
          </c:spPr>
          <c:invertIfNegative val="0"/>
          <c:cat>
            <c:numRef>
              <c:f>'Results ReCiPe (H) - ESD ship'!$AC$9:$BA$9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ship'!$AC$11:$BA$11</c:f>
              <c:numCache>
                <c:formatCode>0.00E+00</c:formatCode>
                <c:ptCount val="25"/>
                <c:pt idx="0">
                  <c:v>1.1362073373089257E-5</c:v>
                </c:pt>
              </c:numCache>
            </c:numRef>
          </c:val>
          <c:extLst>
            <c:ext xmlns:c16="http://schemas.microsoft.com/office/drawing/2014/chart" uri="{C3380CC4-5D6E-409C-BE32-E72D297353CC}">
              <c16:uniqueId val="{00000001-DB75-49BF-8332-5A0BBCE2362A}"/>
            </c:ext>
          </c:extLst>
        </c:ser>
        <c:ser>
          <c:idx val="2"/>
          <c:order val="2"/>
          <c:tx>
            <c:strRef>
              <c:f>'Results ReCiPe (H) - ESD ship'!$AB$12</c:f>
              <c:strCache>
                <c:ptCount val="1"/>
                <c:pt idx="0">
                  <c:v>Deconstruction - DAC</c:v>
                </c:pt>
              </c:strCache>
            </c:strRef>
          </c:tx>
          <c:spPr>
            <a:solidFill>
              <a:schemeClr val="accent3"/>
            </a:solidFill>
            <a:ln>
              <a:noFill/>
            </a:ln>
            <a:effectLst/>
          </c:spPr>
          <c:invertIfNegative val="0"/>
          <c:cat>
            <c:numRef>
              <c:f>'Results ReCiPe (H) - ESD ship'!$AC$9:$BA$9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ship'!$AC$12:$BA$12</c:f>
              <c:numCache>
                <c:formatCode>0.00E+00</c:formatCode>
                <c:ptCount val="25"/>
                <c:pt idx="24">
                  <c:v>2.8327516247168551E-6</c:v>
                </c:pt>
              </c:numCache>
            </c:numRef>
          </c:val>
          <c:extLst>
            <c:ext xmlns:c16="http://schemas.microsoft.com/office/drawing/2014/chart" uri="{C3380CC4-5D6E-409C-BE32-E72D297353CC}">
              <c16:uniqueId val="{00000002-DB75-49BF-8332-5A0BBCE2362A}"/>
            </c:ext>
          </c:extLst>
        </c:ser>
        <c:ser>
          <c:idx val="3"/>
          <c:order val="3"/>
          <c:tx>
            <c:strRef>
              <c:f>'Results ReCiPe (H) - ESD ship'!$AB$13</c:f>
              <c:strCache>
                <c:ptCount val="1"/>
                <c:pt idx="0">
                  <c:v>Deconstruction - geological storage</c:v>
                </c:pt>
              </c:strCache>
            </c:strRef>
          </c:tx>
          <c:spPr>
            <a:solidFill>
              <a:schemeClr val="accent4"/>
            </a:solidFill>
            <a:ln>
              <a:noFill/>
            </a:ln>
            <a:effectLst/>
          </c:spPr>
          <c:invertIfNegative val="0"/>
          <c:cat>
            <c:numRef>
              <c:f>'Results ReCiPe (H) - ESD ship'!$AC$9:$BA$9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ship'!$AC$13:$BA$13</c:f>
              <c:numCache>
                <c:formatCode>0.00E+00</c:formatCode>
                <c:ptCount val="25"/>
                <c:pt idx="24">
                  <c:v>9.2615556283479631E-8</c:v>
                </c:pt>
              </c:numCache>
            </c:numRef>
          </c:val>
          <c:extLst>
            <c:ext xmlns:c16="http://schemas.microsoft.com/office/drawing/2014/chart" uri="{C3380CC4-5D6E-409C-BE32-E72D297353CC}">
              <c16:uniqueId val="{00000003-DB75-49BF-8332-5A0BBCE2362A}"/>
            </c:ext>
          </c:extLst>
        </c:ser>
        <c:ser>
          <c:idx val="4"/>
          <c:order val="4"/>
          <c:tx>
            <c:strRef>
              <c:f>'Results ReCiPe (H) - ESD ship'!$AB$14</c:f>
              <c:strCache>
                <c:ptCount val="1"/>
                <c:pt idx="0">
                  <c:v>Sorbent material</c:v>
                </c:pt>
              </c:strCache>
            </c:strRef>
          </c:tx>
          <c:spPr>
            <a:solidFill>
              <a:schemeClr val="accent5"/>
            </a:solidFill>
            <a:ln>
              <a:noFill/>
            </a:ln>
            <a:effectLst/>
          </c:spPr>
          <c:invertIfNegative val="0"/>
          <c:cat>
            <c:numRef>
              <c:f>'Results ReCiPe (H) - ESD ship'!$AC$9:$BA$9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ship'!$AC$14:$BA$14</c:f>
              <c:numCache>
                <c:formatCode>0.00E+00</c:formatCode>
                <c:ptCount val="25"/>
                <c:pt idx="0">
                  <c:v>4.5446143489064019E-6</c:v>
                </c:pt>
                <c:pt idx="3">
                  <c:v>4.4990771841472508E-6</c:v>
                </c:pt>
                <c:pt idx="6">
                  <c:v>4.4904228129143327E-6</c:v>
                </c:pt>
                <c:pt idx="9">
                  <c:v>4.4944994140002021E-6</c:v>
                </c:pt>
                <c:pt idx="12">
                  <c:v>4.5214378334785092E-6</c:v>
                </c:pt>
                <c:pt idx="15">
                  <c:v>4.5497134383595956E-6</c:v>
                </c:pt>
                <c:pt idx="18">
                  <c:v>4.4955793454683717E-6</c:v>
                </c:pt>
                <c:pt idx="21">
                  <c:v>4.4518098931988601E-6</c:v>
                </c:pt>
                <c:pt idx="24">
                  <c:v>4.3615476020125354E-6</c:v>
                </c:pt>
              </c:numCache>
            </c:numRef>
          </c:val>
          <c:extLst>
            <c:ext xmlns:c16="http://schemas.microsoft.com/office/drawing/2014/chart" uri="{C3380CC4-5D6E-409C-BE32-E72D297353CC}">
              <c16:uniqueId val="{00000004-DB75-49BF-8332-5A0BBCE2362A}"/>
            </c:ext>
          </c:extLst>
        </c:ser>
        <c:ser>
          <c:idx val="5"/>
          <c:order val="5"/>
          <c:tx>
            <c:strRef>
              <c:f>'Results ReCiPe (H) - ESD ship'!$AB$15</c:f>
              <c:strCache>
                <c:ptCount val="1"/>
                <c:pt idx="0">
                  <c:v>Operation - DAC</c:v>
                </c:pt>
              </c:strCache>
            </c:strRef>
          </c:tx>
          <c:spPr>
            <a:solidFill>
              <a:schemeClr val="accent6"/>
            </a:solidFill>
            <a:ln>
              <a:noFill/>
            </a:ln>
            <a:effectLst/>
          </c:spPr>
          <c:invertIfNegative val="0"/>
          <c:cat>
            <c:numRef>
              <c:f>'Results ReCiPe (H) - ESD ship'!$AC$9:$BA$9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ship'!$AC$15:$BA$15</c:f>
              <c:numCache>
                <c:formatCode>0.00E+00</c:formatCode>
                <c:ptCount val="25"/>
                <c:pt idx="0">
                  <c:v>1.5920555991974649E-4</c:v>
                </c:pt>
                <c:pt idx="1">
                  <c:v>1.5859027360308589E-4</c:v>
                </c:pt>
                <c:pt idx="2">
                  <c:v>1.5797337276137659E-4</c:v>
                </c:pt>
                <c:pt idx="3">
                  <c:v>1.572254907913862E-4</c:v>
                </c:pt>
                <c:pt idx="4">
                  <c:v>1.5660366017830599E-4</c:v>
                </c:pt>
                <c:pt idx="5">
                  <c:v>1.5597967989555838E-4</c:v>
                </c:pt>
                <c:pt idx="6">
                  <c:v>1.670822608839831E-4</c:v>
                </c:pt>
                <c:pt idx="7">
                  <c:v>1.781692607581189E-4</c:v>
                </c:pt>
                <c:pt idx="8">
                  <c:v>1.8916451889116779E-4</c:v>
                </c:pt>
                <c:pt idx="9">
                  <c:v>2.002330591974372E-4</c:v>
                </c:pt>
                <c:pt idx="10">
                  <c:v>2.1128054377896619E-4</c:v>
                </c:pt>
                <c:pt idx="11">
                  <c:v>2.3211425384718858E-4</c:v>
                </c:pt>
                <c:pt idx="12">
                  <c:v>2.5300220548370649E-4</c:v>
                </c:pt>
                <c:pt idx="13">
                  <c:v>2.7393031315185381E-4</c:v>
                </c:pt>
                <c:pt idx="14">
                  <c:v>2.9493631770013121E-4</c:v>
                </c:pt>
                <c:pt idx="15">
                  <c:v>3.160065837364855E-4</c:v>
                </c:pt>
                <c:pt idx="16">
                  <c:v>3.1826920214883341E-4</c:v>
                </c:pt>
                <c:pt idx="17">
                  <c:v>3.2055707191781731E-4</c:v>
                </c:pt>
                <c:pt idx="18">
                  <c:v>3.2285076714382098E-4</c:v>
                </c:pt>
                <c:pt idx="19">
                  <c:v>3.2518167321633171E-4</c:v>
                </c:pt>
                <c:pt idx="20">
                  <c:v>3.2753064165504488E-4</c:v>
                </c:pt>
                <c:pt idx="21">
                  <c:v>3.2324713149420558E-4</c:v>
                </c:pt>
                <c:pt idx="22">
                  <c:v>3.1409168339007588E-4</c:v>
                </c:pt>
                <c:pt idx="23">
                  <c:v>3.0490425528419628E-4</c:v>
                </c:pt>
                <c:pt idx="24">
                  <c:v>2.9568457784293501E-4</c:v>
                </c:pt>
              </c:numCache>
            </c:numRef>
          </c:val>
          <c:extLst>
            <c:ext xmlns:c16="http://schemas.microsoft.com/office/drawing/2014/chart" uri="{C3380CC4-5D6E-409C-BE32-E72D297353CC}">
              <c16:uniqueId val="{00000005-DB75-49BF-8332-5A0BBCE2362A}"/>
            </c:ext>
          </c:extLst>
        </c:ser>
        <c:ser>
          <c:idx val="6"/>
          <c:order val="6"/>
          <c:tx>
            <c:strRef>
              <c:f>'Results ReCiPe (H) - ESD ship'!$AB$16</c:f>
              <c:strCache>
                <c:ptCount val="1"/>
                <c:pt idx="0">
                  <c:v>Operation - geological storage</c:v>
                </c:pt>
              </c:strCache>
            </c:strRef>
          </c:tx>
          <c:spPr>
            <a:solidFill>
              <a:schemeClr val="accent1">
                <a:lumMod val="60000"/>
              </a:schemeClr>
            </a:solidFill>
            <a:ln>
              <a:noFill/>
            </a:ln>
            <a:effectLst/>
          </c:spPr>
          <c:invertIfNegative val="0"/>
          <c:cat>
            <c:numRef>
              <c:f>'Results ReCiPe (H) - ESD ship'!$AC$9:$BA$9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ship'!$AC$16:$BA$16</c:f>
              <c:numCache>
                <c:formatCode>0.00E+00</c:formatCode>
                <c:ptCount val="25"/>
                <c:pt idx="0">
                  <c:v>2.1411457361923899E-5</c:v>
                </c:pt>
                <c:pt idx="1">
                  <c:v>2.134626139780347E-5</c:v>
                </c:pt>
                <c:pt idx="2">
                  <c:v>2.1281080505332481E-5</c:v>
                </c:pt>
                <c:pt idx="3">
                  <c:v>2.1203888885810071E-5</c:v>
                </c:pt>
                <c:pt idx="4">
                  <c:v>2.1138597055229607E-5</c:v>
                </c:pt>
                <c:pt idx="5">
                  <c:v>2.1073273370877479E-5</c:v>
                </c:pt>
                <c:pt idx="6">
                  <c:v>2.189850791901482E-5</c:v>
                </c:pt>
                <c:pt idx="7">
                  <c:v>2.2720225997016439E-5</c:v>
                </c:pt>
                <c:pt idx="8">
                  <c:v>2.353142565341111E-5</c:v>
                </c:pt>
                <c:pt idx="9">
                  <c:v>2.4347085307727769E-5</c:v>
                </c:pt>
                <c:pt idx="10">
                  <c:v>2.5158820491834341E-5</c:v>
                </c:pt>
                <c:pt idx="11">
                  <c:v>2.6707573548875054E-5</c:v>
                </c:pt>
                <c:pt idx="12">
                  <c:v>2.8256858849125578E-5</c:v>
                </c:pt>
                <c:pt idx="13">
                  <c:v>2.9805253849723289E-5</c:v>
                </c:pt>
                <c:pt idx="14">
                  <c:v>3.1356304335659161E-5</c:v>
                </c:pt>
                <c:pt idx="15">
                  <c:v>3.2908610200607962E-5</c:v>
                </c:pt>
                <c:pt idx="16">
                  <c:v>3.3053616911178429E-5</c:v>
                </c:pt>
                <c:pt idx="17">
                  <c:v>3.3200139877901228E-5</c:v>
                </c:pt>
                <c:pt idx="18">
                  <c:v>3.3346362165411798E-5</c:v>
                </c:pt>
                <c:pt idx="19">
                  <c:v>3.349536104250592E-5</c:v>
                </c:pt>
                <c:pt idx="20">
                  <c:v>3.3645334737870039E-5</c:v>
                </c:pt>
                <c:pt idx="21">
                  <c:v>3.3288671939723599E-5</c:v>
                </c:pt>
                <c:pt idx="22">
                  <c:v>3.256174309133864E-5</c:v>
                </c:pt>
                <c:pt idx="23">
                  <c:v>3.1835137380265742E-5</c:v>
                </c:pt>
                <c:pt idx="24">
                  <c:v>3.1108841210400045E-5</c:v>
                </c:pt>
              </c:numCache>
            </c:numRef>
          </c:val>
          <c:extLst>
            <c:ext xmlns:c16="http://schemas.microsoft.com/office/drawing/2014/chart" uri="{C3380CC4-5D6E-409C-BE32-E72D297353CC}">
              <c16:uniqueId val="{00000006-DB75-49BF-8332-5A0BBCE2362A}"/>
            </c:ext>
          </c:extLst>
        </c:ser>
        <c:ser>
          <c:idx val="7"/>
          <c:order val="7"/>
          <c:tx>
            <c:strRef>
              <c:f>'Results ReCiPe (H) - ESD ship'!$AB$17</c:f>
              <c:strCache>
                <c:ptCount val="1"/>
                <c:pt idx="0">
                  <c:v>CO2 captured and stored</c:v>
                </c:pt>
              </c:strCache>
            </c:strRef>
          </c:tx>
          <c:spPr>
            <a:solidFill>
              <a:schemeClr val="accent2">
                <a:lumMod val="60000"/>
              </a:schemeClr>
            </a:solidFill>
            <a:ln>
              <a:noFill/>
            </a:ln>
            <a:effectLst/>
          </c:spPr>
          <c:invertIfNegative val="0"/>
          <c:cat>
            <c:numRef>
              <c:f>'Results ReCiPe (H) - ESD ship'!$AC$9:$BA$9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ship'!$AC$17:$BA$17</c:f>
              <c:numCache>
                <c:formatCode>0.00E+00</c:formatCode>
                <c:ptCount val="25"/>
                <c:pt idx="0">
                  <c:v>-2.8000764999999998E-4</c:v>
                </c:pt>
                <c:pt idx="1">
                  <c:v>-2.8000764999999998E-4</c:v>
                </c:pt>
                <c:pt idx="2">
                  <c:v>-2.8000764999999998E-4</c:v>
                </c:pt>
                <c:pt idx="3">
                  <c:v>-2.8000764999999998E-4</c:v>
                </c:pt>
                <c:pt idx="4">
                  <c:v>-2.8000764999999998E-4</c:v>
                </c:pt>
                <c:pt idx="5">
                  <c:v>-2.8000764999999998E-4</c:v>
                </c:pt>
                <c:pt idx="6">
                  <c:v>-2.8000764999999998E-4</c:v>
                </c:pt>
                <c:pt idx="7">
                  <c:v>-2.8000764999999998E-4</c:v>
                </c:pt>
                <c:pt idx="8">
                  <c:v>-2.8000764999999998E-4</c:v>
                </c:pt>
                <c:pt idx="9">
                  <c:v>-2.8000764999999998E-4</c:v>
                </c:pt>
                <c:pt idx="10">
                  <c:v>-2.8000764999999998E-4</c:v>
                </c:pt>
                <c:pt idx="11">
                  <c:v>-2.8000764999999998E-4</c:v>
                </c:pt>
                <c:pt idx="12">
                  <c:v>-2.8000764999999998E-4</c:v>
                </c:pt>
                <c:pt idx="13">
                  <c:v>-2.8000764999999998E-4</c:v>
                </c:pt>
                <c:pt idx="14">
                  <c:v>-2.8000764999999998E-4</c:v>
                </c:pt>
                <c:pt idx="15">
                  <c:v>-2.8000764999999998E-4</c:v>
                </c:pt>
                <c:pt idx="16">
                  <c:v>-2.8000764999999998E-4</c:v>
                </c:pt>
                <c:pt idx="17">
                  <c:v>-2.8000764999999998E-4</c:v>
                </c:pt>
                <c:pt idx="18">
                  <c:v>-2.8000764999999998E-4</c:v>
                </c:pt>
                <c:pt idx="19">
                  <c:v>-2.8000764999999998E-4</c:v>
                </c:pt>
                <c:pt idx="20">
                  <c:v>-2.8000764999999998E-4</c:v>
                </c:pt>
                <c:pt idx="21">
                  <c:v>-2.8000764999999998E-4</c:v>
                </c:pt>
                <c:pt idx="22">
                  <c:v>-2.8000764999999998E-4</c:v>
                </c:pt>
                <c:pt idx="23">
                  <c:v>-2.8000764999999998E-4</c:v>
                </c:pt>
                <c:pt idx="24">
                  <c:v>-2.8000764999999998E-4</c:v>
                </c:pt>
              </c:numCache>
            </c:numRef>
          </c:val>
          <c:extLst>
            <c:ext xmlns:c16="http://schemas.microsoft.com/office/drawing/2014/chart" uri="{C3380CC4-5D6E-409C-BE32-E72D297353CC}">
              <c16:uniqueId val="{00000007-DB75-49BF-8332-5A0BBCE2362A}"/>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ESD ship'!$AB$18</c:f>
              <c:strCache>
                <c:ptCount val="1"/>
                <c:pt idx="0">
                  <c:v>TOTAL per year</c:v>
                </c:pt>
              </c:strCache>
            </c:strRef>
          </c:tx>
          <c:spPr>
            <a:ln w="28575" cap="rnd">
              <a:solidFill>
                <a:schemeClr val="accent3">
                  <a:lumMod val="60000"/>
                </a:schemeClr>
              </a:solidFill>
              <a:round/>
            </a:ln>
            <a:effectLst/>
          </c:spPr>
          <c:marker>
            <c:symbol val="circle"/>
            <c:size val="5"/>
            <c:spPr>
              <a:solidFill>
                <a:schemeClr val="tx1"/>
              </a:solidFill>
              <a:ln w="9525">
                <a:solidFill>
                  <a:schemeClr val="tx1"/>
                </a:solidFill>
              </a:ln>
              <a:effectLst/>
            </c:spPr>
          </c:marker>
          <c:cat>
            <c:numRef>
              <c:f>'Results ReCiPe (H) - ESD ship'!$AC$9:$BA$9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ship'!$AC$18:$BA$18</c:f>
              <c:numCache>
                <c:formatCode>0.00E+00</c:formatCode>
                <c:ptCount val="25"/>
                <c:pt idx="0">
                  <c:v>1.1119138760874454E-4</c:v>
                </c:pt>
                <c:pt idx="1">
                  <c:v>-1.0007111499911063E-4</c:v>
                </c:pt>
                <c:pt idx="2">
                  <c:v>-1.007531967332909E-4</c:v>
                </c:pt>
                <c:pt idx="3">
                  <c:v>-9.7079193138656459E-5</c:v>
                </c:pt>
                <c:pt idx="4">
                  <c:v>-1.0226539276646438E-4</c:v>
                </c:pt>
                <c:pt idx="5">
                  <c:v>-1.0295469673356412E-4</c:v>
                </c:pt>
                <c:pt idx="6">
                  <c:v>-8.6536458384087726E-5</c:v>
                </c:pt>
                <c:pt idx="7">
                  <c:v>-7.9118163244864658E-5</c:v>
                </c:pt>
                <c:pt idx="8">
                  <c:v>-6.7311705455421069E-5</c:v>
                </c:pt>
                <c:pt idx="9">
                  <c:v>-5.0933006080834805E-5</c:v>
                </c:pt>
                <c:pt idx="10">
                  <c:v>-4.3568285729199456E-5</c:v>
                </c:pt>
                <c:pt idx="11">
                  <c:v>-2.1185822603936365E-5</c:v>
                </c:pt>
                <c:pt idx="12">
                  <c:v>5.7728521663106321E-6</c:v>
                </c:pt>
                <c:pt idx="13">
                  <c:v>2.3727917001577128E-5</c:v>
                </c:pt>
                <c:pt idx="14">
                  <c:v>4.6284972035790406E-5</c:v>
                </c:pt>
                <c:pt idx="15">
                  <c:v>7.3457257375453115E-5</c:v>
                </c:pt>
                <c:pt idx="16">
                  <c:v>7.131516906001183E-5</c:v>
                </c:pt>
                <c:pt idx="17">
                  <c:v>7.3749561795718576E-5</c:v>
                </c:pt>
                <c:pt idx="18">
                  <c:v>8.068505865470115E-5</c:v>
                </c:pt>
                <c:pt idx="19">
                  <c:v>7.8669384258837655E-5</c:v>
                </c:pt>
                <c:pt idx="20">
                  <c:v>8.1168326392914926E-5</c:v>
                </c:pt>
                <c:pt idx="21">
                  <c:v>8.0979963327128094E-5</c:v>
                </c:pt>
                <c:pt idx="22">
                  <c:v>6.6645776481414536E-5</c:v>
                </c:pt>
                <c:pt idx="23">
                  <c:v>5.6731742664462015E-5</c:v>
                </c:pt>
                <c:pt idx="24">
                  <c:v>5.407268383634796E-5</c:v>
                </c:pt>
              </c:numCache>
            </c:numRef>
          </c:val>
          <c:smooth val="0"/>
          <c:extLst>
            <c:ext xmlns:c16="http://schemas.microsoft.com/office/drawing/2014/chart" uri="{C3380CC4-5D6E-409C-BE32-E72D297353CC}">
              <c16:uniqueId val="{00000008-DB75-49BF-8332-5A0BBCE2362A}"/>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Ecosystem damage </a:t>
                </a:r>
                <a:br>
                  <a:rPr lang="nl-NL"/>
                </a:br>
                <a:r>
                  <a:rPr lang="nl-NL"/>
                  <a:t>(PDF*yr/ton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ESD ship'!$AB$50</c:f>
              <c:strCache>
                <c:ptCount val="1"/>
                <c:pt idx="0">
                  <c:v>Construction - DAC</c:v>
                </c:pt>
              </c:strCache>
            </c:strRef>
          </c:tx>
          <c:spPr>
            <a:solidFill>
              <a:schemeClr val="accent1"/>
            </a:solidFill>
            <a:ln>
              <a:noFill/>
            </a:ln>
            <a:effectLst/>
          </c:spPr>
          <c:invertIfNegative val="0"/>
          <c:cat>
            <c:numRef>
              <c:f>'Results ReCiPe (H) - ESD ship'!$AC$49:$BA$49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ship'!$AC$50:$BA$50</c:f>
              <c:numCache>
                <c:formatCode>0.00E+00</c:formatCode>
                <c:ptCount val="25"/>
                <c:pt idx="0">
                  <c:v>1.8346526921509307E-4</c:v>
                </c:pt>
              </c:numCache>
            </c:numRef>
          </c:val>
          <c:extLst>
            <c:ext xmlns:c16="http://schemas.microsoft.com/office/drawing/2014/chart" uri="{C3380CC4-5D6E-409C-BE32-E72D297353CC}">
              <c16:uniqueId val="{00000000-B7A4-4160-B74A-7E65A4EC7578}"/>
            </c:ext>
          </c:extLst>
        </c:ser>
        <c:ser>
          <c:idx val="1"/>
          <c:order val="1"/>
          <c:tx>
            <c:strRef>
              <c:f>'Results ReCiPe (H) - ESD ship'!$AB$51</c:f>
              <c:strCache>
                <c:ptCount val="1"/>
                <c:pt idx="0">
                  <c:v>Construction - geological storage</c:v>
                </c:pt>
              </c:strCache>
            </c:strRef>
          </c:tx>
          <c:spPr>
            <a:solidFill>
              <a:schemeClr val="accent2"/>
            </a:solidFill>
            <a:ln>
              <a:noFill/>
            </a:ln>
            <a:effectLst/>
          </c:spPr>
          <c:invertIfNegative val="0"/>
          <c:cat>
            <c:numRef>
              <c:f>'Results ReCiPe (H) - ESD ship'!$AC$49:$BA$49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ship'!$AC$51:$BA$51</c:f>
              <c:numCache>
                <c:formatCode>0.00E+00</c:formatCode>
                <c:ptCount val="25"/>
                <c:pt idx="0">
                  <c:v>1.0765797689579158E-5</c:v>
                </c:pt>
              </c:numCache>
            </c:numRef>
          </c:val>
          <c:extLst>
            <c:ext xmlns:c16="http://schemas.microsoft.com/office/drawing/2014/chart" uri="{C3380CC4-5D6E-409C-BE32-E72D297353CC}">
              <c16:uniqueId val="{00000001-B7A4-4160-B74A-7E65A4EC7578}"/>
            </c:ext>
          </c:extLst>
        </c:ser>
        <c:ser>
          <c:idx val="2"/>
          <c:order val="2"/>
          <c:tx>
            <c:strRef>
              <c:f>'Results ReCiPe (H) - ESD ship'!$AB$52</c:f>
              <c:strCache>
                <c:ptCount val="1"/>
                <c:pt idx="0">
                  <c:v>Deconstruction - DAC</c:v>
                </c:pt>
              </c:strCache>
            </c:strRef>
          </c:tx>
          <c:spPr>
            <a:solidFill>
              <a:schemeClr val="accent3"/>
            </a:solidFill>
            <a:ln>
              <a:noFill/>
            </a:ln>
            <a:effectLst/>
          </c:spPr>
          <c:invertIfNegative val="0"/>
          <c:cat>
            <c:numRef>
              <c:f>'Results ReCiPe (H) - ESD ship'!$AC$49:$BA$49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ship'!$AC$52:$BA$52</c:f>
              <c:numCache>
                <c:formatCode>0.00E+00</c:formatCode>
                <c:ptCount val="25"/>
                <c:pt idx="24">
                  <c:v>2.5814369390254752E-6</c:v>
                </c:pt>
              </c:numCache>
            </c:numRef>
          </c:val>
          <c:extLst>
            <c:ext xmlns:c16="http://schemas.microsoft.com/office/drawing/2014/chart" uri="{C3380CC4-5D6E-409C-BE32-E72D297353CC}">
              <c16:uniqueId val="{00000002-B7A4-4160-B74A-7E65A4EC7578}"/>
            </c:ext>
          </c:extLst>
        </c:ser>
        <c:ser>
          <c:idx val="3"/>
          <c:order val="3"/>
          <c:tx>
            <c:strRef>
              <c:f>'Results ReCiPe (H) - ESD ship'!$AB$53</c:f>
              <c:strCache>
                <c:ptCount val="1"/>
                <c:pt idx="0">
                  <c:v>Deconstruction - geological storage</c:v>
                </c:pt>
              </c:strCache>
            </c:strRef>
          </c:tx>
          <c:spPr>
            <a:solidFill>
              <a:schemeClr val="accent4"/>
            </a:solidFill>
            <a:ln>
              <a:noFill/>
            </a:ln>
            <a:effectLst/>
          </c:spPr>
          <c:invertIfNegative val="0"/>
          <c:cat>
            <c:numRef>
              <c:f>'Results ReCiPe (H) - ESD ship'!$AC$49:$BA$49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ship'!$AC$53:$BA$53</c:f>
              <c:numCache>
                <c:formatCode>0.00E+00</c:formatCode>
                <c:ptCount val="25"/>
                <c:pt idx="24">
                  <c:v>8.9177657234606268E-8</c:v>
                </c:pt>
              </c:numCache>
            </c:numRef>
          </c:val>
          <c:extLst>
            <c:ext xmlns:c16="http://schemas.microsoft.com/office/drawing/2014/chart" uri="{C3380CC4-5D6E-409C-BE32-E72D297353CC}">
              <c16:uniqueId val="{00000003-B7A4-4160-B74A-7E65A4EC7578}"/>
            </c:ext>
          </c:extLst>
        </c:ser>
        <c:ser>
          <c:idx val="4"/>
          <c:order val="4"/>
          <c:tx>
            <c:strRef>
              <c:f>'Results ReCiPe (H) - ESD ship'!$AB$54</c:f>
              <c:strCache>
                <c:ptCount val="1"/>
                <c:pt idx="0">
                  <c:v>Sorbent material</c:v>
                </c:pt>
              </c:strCache>
            </c:strRef>
          </c:tx>
          <c:spPr>
            <a:solidFill>
              <a:schemeClr val="accent5"/>
            </a:solidFill>
            <a:ln>
              <a:noFill/>
            </a:ln>
            <a:effectLst/>
          </c:spPr>
          <c:invertIfNegative val="0"/>
          <c:cat>
            <c:numRef>
              <c:f>'Results ReCiPe (H) - ESD ship'!$AC$49:$BA$49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ship'!$AC$54:$BA$54</c:f>
              <c:numCache>
                <c:formatCode>0.00E+00</c:formatCode>
                <c:ptCount val="25"/>
                <c:pt idx="0">
                  <c:v>4.3941155135361717E-6</c:v>
                </c:pt>
                <c:pt idx="3">
                  <c:v>4.2507924568478764E-6</c:v>
                </c:pt>
                <c:pt idx="6">
                  <c:v>4.1207843305059888E-6</c:v>
                </c:pt>
                <c:pt idx="9">
                  <c:v>3.961479922998473E-6</c:v>
                </c:pt>
                <c:pt idx="12">
                  <c:v>3.782659921523485E-6</c:v>
                </c:pt>
                <c:pt idx="15">
                  <c:v>3.5852486401048028E-6</c:v>
                </c:pt>
                <c:pt idx="18">
                  <c:v>3.4498744880293848E-6</c:v>
                </c:pt>
                <c:pt idx="21">
                  <c:v>3.372986237475297E-6</c:v>
                </c:pt>
                <c:pt idx="24">
                  <c:v>3.3539861692443772E-6</c:v>
                </c:pt>
              </c:numCache>
            </c:numRef>
          </c:val>
          <c:extLst>
            <c:ext xmlns:c16="http://schemas.microsoft.com/office/drawing/2014/chart" uri="{C3380CC4-5D6E-409C-BE32-E72D297353CC}">
              <c16:uniqueId val="{00000004-B7A4-4160-B74A-7E65A4EC7578}"/>
            </c:ext>
          </c:extLst>
        </c:ser>
        <c:ser>
          <c:idx val="5"/>
          <c:order val="5"/>
          <c:tx>
            <c:strRef>
              <c:f>'Results ReCiPe (H) - ESD ship'!$AB$55</c:f>
              <c:strCache>
                <c:ptCount val="1"/>
                <c:pt idx="0">
                  <c:v>Operation - DAC</c:v>
                </c:pt>
              </c:strCache>
            </c:strRef>
          </c:tx>
          <c:spPr>
            <a:solidFill>
              <a:schemeClr val="accent6"/>
            </a:solidFill>
            <a:ln>
              <a:noFill/>
            </a:ln>
            <a:effectLst/>
          </c:spPr>
          <c:invertIfNegative val="0"/>
          <c:cat>
            <c:numRef>
              <c:f>'Results ReCiPe (H) - ESD ship'!$AC$49:$BA$49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ship'!$AC$55:$BA$55</c:f>
              <c:numCache>
                <c:formatCode>0.00E+00</c:formatCode>
                <c:ptCount val="25"/>
                <c:pt idx="0">
                  <c:v>1.3361435604320219E-4</c:v>
                </c:pt>
                <c:pt idx="1">
                  <c:v>1.2435162258133729E-4</c:v>
                </c:pt>
                <c:pt idx="2">
                  <c:v>1.1508237983310978E-4</c:v>
                </c:pt>
                <c:pt idx="3">
                  <c:v>1.0566677106744298E-4</c:v>
                </c:pt>
                <c:pt idx="4">
                  <c:v>9.6381925416766273E-5</c:v>
                </c:pt>
                <c:pt idx="5">
                  <c:v>8.70902425505496E-5</c:v>
                </c:pt>
                <c:pt idx="6">
                  <c:v>8.124926805619201E-5</c:v>
                </c:pt>
                <c:pt idx="7">
                  <c:v>7.5405929888946104E-5</c:v>
                </c:pt>
                <c:pt idx="8">
                  <c:v>6.944717831106104E-5</c:v>
                </c:pt>
                <c:pt idx="9">
                  <c:v>6.358312376437103E-5</c:v>
                </c:pt>
                <c:pt idx="10">
                  <c:v>5.7708346934499931E-5</c:v>
                </c:pt>
                <c:pt idx="11">
                  <c:v>5.3763378307681148E-5</c:v>
                </c:pt>
                <c:pt idx="12">
                  <c:v>4.9798807055253776E-5</c:v>
                </c:pt>
                <c:pt idx="13">
                  <c:v>4.5778917704587026E-5</c:v>
                </c:pt>
                <c:pt idx="14">
                  <c:v>4.1767328423486589E-5</c:v>
                </c:pt>
                <c:pt idx="15">
                  <c:v>3.7736342371296047E-5</c:v>
                </c:pt>
                <c:pt idx="16">
                  <c:v>3.5947525832154186E-5</c:v>
                </c:pt>
                <c:pt idx="17">
                  <c:v>3.4163542254970762E-5</c:v>
                </c:pt>
                <c:pt idx="18">
                  <c:v>3.2354290354847996E-5</c:v>
                </c:pt>
                <c:pt idx="19">
                  <c:v>3.0578067059847324E-5</c:v>
                </c:pt>
                <c:pt idx="20">
                  <c:v>2.8806914294984728E-5</c:v>
                </c:pt>
                <c:pt idx="21">
                  <c:v>2.8834762225004799E-5</c:v>
                </c:pt>
                <c:pt idx="22">
                  <c:v>2.7994095656881697E-5</c:v>
                </c:pt>
                <c:pt idx="23">
                  <c:v>2.7149398183460298E-5</c:v>
                </c:pt>
                <c:pt idx="24">
                  <c:v>2.6300571716740338E-5</c:v>
                </c:pt>
              </c:numCache>
            </c:numRef>
          </c:val>
          <c:extLst>
            <c:ext xmlns:c16="http://schemas.microsoft.com/office/drawing/2014/chart" uri="{C3380CC4-5D6E-409C-BE32-E72D297353CC}">
              <c16:uniqueId val="{00000005-B7A4-4160-B74A-7E65A4EC7578}"/>
            </c:ext>
          </c:extLst>
        </c:ser>
        <c:ser>
          <c:idx val="6"/>
          <c:order val="6"/>
          <c:tx>
            <c:strRef>
              <c:f>'Results ReCiPe (H) - ESD ship'!$AB$56</c:f>
              <c:strCache>
                <c:ptCount val="1"/>
                <c:pt idx="0">
                  <c:v>Operation - geological storage</c:v>
                </c:pt>
              </c:strCache>
            </c:strRef>
          </c:tx>
          <c:spPr>
            <a:solidFill>
              <a:schemeClr val="accent1">
                <a:lumMod val="60000"/>
              </a:schemeClr>
            </a:solidFill>
            <a:ln>
              <a:noFill/>
            </a:ln>
            <a:effectLst/>
          </c:spPr>
          <c:invertIfNegative val="0"/>
          <c:cat>
            <c:numRef>
              <c:f>'Results ReCiPe (H) - ESD ship'!$AC$49:$BA$49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ship'!$AC$56:$BA$56</c:f>
              <c:numCache>
                <c:formatCode>0.00E+00</c:formatCode>
                <c:ptCount val="25"/>
                <c:pt idx="0">
                  <c:v>1.9390949317352811E-5</c:v>
                </c:pt>
                <c:pt idx="1">
                  <c:v>1.8661328509887688E-5</c:v>
                </c:pt>
                <c:pt idx="2">
                  <c:v>1.7934335280055782E-5</c:v>
                </c:pt>
                <c:pt idx="3">
                  <c:v>1.719716485079069E-5</c:v>
                </c:pt>
                <c:pt idx="4">
                  <c:v>1.6475255627199822E-5</c:v>
                </c:pt>
                <c:pt idx="5">
                  <c:v>1.575595438443333E-5</c:v>
                </c:pt>
                <c:pt idx="6">
                  <c:v>1.530367486712303E-5</c:v>
                </c:pt>
                <c:pt idx="7">
                  <c:v>1.4852137500264339E-5</c:v>
                </c:pt>
                <c:pt idx="8">
                  <c:v>1.4391477212008621E-5</c:v>
                </c:pt>
                <c:pt idx="9">
                  <c:v>1.3940108722479819E-5</c:v>
                </c:pt>
                <c:pt idx="10">
                  <c:v>1.3488775786014369E-5</c:v>
                </c:pt>
                <c:pt idx="11">
                  <c:v>1.318412833728529E-5</c:v>
                </c:pt>
                <c:pt idx="12">
                  <c:v>1.287813160253217E-5</c:v>
                </c:pt>
                <c:pt idx="13">
                  <c:v>1.256763288569512E-5</c:v>
                </c:pt>
                <c:pt idx="14">
                  <c:v>1.225832953909413E-5</c:v>
                </c:pt>
                <c:pt idx="15">
                  <c:v>1.1947670770425411E-5</c:v>
                </c:pt>
                <c:pt idx="16">
                  <c:v>1.1808529269503159E-5</c:v>
                </c:pt>
                <c:pt idx="17">
                  <c:v>1.1669458023731799E-5</c:v>
                </c:pt>
                <c:pt idx="18">
                  <c:v>1.1527776254451121E-5</c:v>
                </c:pt>
                <c:pt idx="19">
                  <c:v>1.138869247154725E-5</c:v>
                </c:pt>
                <c:pt idx="20">
                  <c:v>1.1249695042970771E-5</c:v>
                </c:pt>
                <c:pt idx="21">
                  <c:v>1.1260350345006189E-5</c:v>
                </c:pt>
                <c:pt idx="22">
                  <c:v>1.119545926327364E-5</c:v>
                </c:pt>
                <c:pt idx="23">
                  <c:v>1.1130462761508001E-5</c:v>
                </c:pt>
                <c:pt idx="24">
                  <c:v>1.1065351480277341E-5</c:v>
                </c:pt>
              </c:numCache>
            </c:numRef>
          </c:val>
          <c:extLst>
            <c:ext xmlns:c16="http://schemas.microsoft.com/office/drawing/2014/chart" uri="{C3380CC4-5D6E-409C-BE32-E72D297353CC}">
              <c16:uniqueId val="{00000006-B7A4-4160-B74A-7E65A4EC7578}"/>
            </c:ext>
          </c:extLst>
        </c:ser>
        <c:ser>
          <c:idx val="7"/>
          <c:order val="7"/>
          <c:tx>
            <c:strRef>
              <c:f>'Results ReCiPe (H) - ESD ship'!$AB$57</c:f>
              <c:strCache>
                <c:ptCount val="1"/>
                <c:pt idx="0">
                  <c:v>CO2 captured and stored</c:v>
                </c:pt>
              </c:strCache>
            </c:strRef>
          </c:tx>
          <c:spPr>
            <a:solidFill>
              <a:schemeClr val="accent2">
                <a:lumMod val="60000"/>
              </a:schemeClr>
            </a:solidFill>
            <a:ln>
              <a:noFill/>
            </a:ln>
            <a:effectLst/>
          </c:spPr>
          <c:invertIfNegative val="0"/>
          <c:cat>
            <c:numRef>
              <c:f>'Results ReCiPe (H) - ESD ship'!$AC$49:$BA$49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ship'!$AC$57:$BA$57</c:f>
              <c:numCache>
                <c:formatCode>0.00E+00</c:formatCode>
                <c:ptCount val="25"/>
                <c:pt idx="0">
                  <c:v>-2.8000764999999998E-4</c:v>
                </c:pt>
                <c:pt idx="1">
                  <c:v>-2.8000764999999998E-4</c:v>
                </c:pt>
                <c:pt idx="2">
                  <c:v>-2.8000764999999998E-4</c:v>
                </c:pt>
                <c:pt idx="3">
                  <c:v>-2.8000764999999998E-4</c:v>
                </c:pt>
                <c:pt idx="4">
                  <c:v>-2.8000764999999998E-4</c:v>
                </c:pt>
                <c:pt idx="5">
                  <c:v>-2.8000764999999998E-4</c:v>
                </c:pt>
                <c:pt idx="6">
                  <c:v>-2.8000764999999998E-4</c:v>
                </c:pt>
                <c:pt idx="7">
                  <c:v>-2.8000764999999998E-4</c:v>
                </c:pt>
                <c:pt idx="8">
                  <c:v>-2.8000764999999998E-4</c:v>
                </c:pt>
                <c:pt idx="9">
                  <c:v>-2.8000764999999998E-4</c:v>
                </c:pt>
                <c:pt idx="10">
                  <c:v>-2.8000764999999998E-4</c:v>
                </c:pt>
                <c:pt idx="11">
                  <c:v>-2.8000764999999998E-4</c:v>
                </c:pt>
                <c:pt idx="12">
                  <c:v>-2.8000764999999998E-4</c:v>
                </c:pt>
                <c:pt idx="13">
                  <c:v>-2.8000764999999998E-4</c:v>
                </c:pt>
                <c:pt idx="14">
                  <c:v>-2.8000764999999998E-4</c:v>
                </c:pt>
                <c:pt idx="15">
                  <c:v>-2.8000764999999998E-4</c:v>
                </c:pt>
                <c:pt idx="16">
                  <c:v>-2.8000764999999998E-4</c:v>
                </c:pt>
                <c:pt idx="17">
                  <c:v>-2.8000764999999998E-4</c:v>
                </c:pt>
                <c:pt idx="18">
                  <c:v>-2.8000764999999998E-4</c:v>
                </c:pt>
                <c:pt idx="19">
                  <c:v>-2.8000764999999998E-4</c:v>
                </c:pt>
                <c:pt idx="20">
                  <c:v>-2.8000764999999998E-4</c:v>
                </c:pt>
                <c:pt idx="21">
                  <c:v>-2.8000764999999998E-4</c:v>
                </c:pt>
                <c:pt idx="22">
                  <c:v>-2.8000764999999998E-4</c:v>
                </c:pt>
                <c:pt idx="23">
                  <c:v>-2.8000764999999998E-4</c:v>
                </c:pt>
                <c:pt idx="24">
                  <c:v>-2.8000764999999998E-4</c:v>
                </c:pt>
              </c:numCache>
            </c:numRef>
          </c:val>
          <c:extLst>
            <c:ext xmlns:c16="http://schemas.microsoft.com/office/drawing/2014/chart" uri="{C3380CC4-5D6E-409C-BE32-E72D297353CC}">
              <c16:uniqueId val="{00000007-B7A4-4160-B74A-7E65A4EC7578}"/>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ESD ship'!$AB$58</c:f>
              <c:strCache>
                <c:ptCount val="1"/>
                <c:pt idx="0">
                  <c:v>TOTAL per year</c:v>
                </c:pt>
              </c:strCache>
            </c:strRef>
          </c:tx>
          <c:spPr>
            <a:ln w="28575" cap="rnd">
              <a:solidFill>
                <a:schemeClr val="accent3">
                  <a:lumMod val="60000"/>
                </a:schemeClr>
              </a:solidFill>
              <a:round/>
            </a:ln>
            <a:effectLst/>
          </c:spPr>
          <c:marker>
            <c:symbol val="circle"/>
            <c:size val="5"/>
            <c:spPr>
              <a:solidFill>
                <a:schemeClr val="tx1"/>
              </a:solidFill>
              <a:ln w="9525">
                <a:solidFill>
                  <a:schemeClr val="tx1"/>
                </a:solidFill>
              </a:ln>
              <a:effectLst/>
            </c:spPr>
          </c:marker>
          <c:cat>
            <c:numRef>
              <c:f>'Results ReCiPe (H) - ESD ship'!$AC$49:$BA$49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ship'!$AC$58:$BA$58</c:f>
              <c:numCache>
                <c:formatCode>0.00E+00</c:formatCode>
                <c:ptCount val="25"/>
                <c:pt idx="0">
                  <c:v>7.1622837778763382E-5</c:v>
                </c:pt>
                <c:pt idx="1">
                  <c:v>-1.3699469890877499E-4</c:v>
                </c:pt>
                <c:pt idx="2">
                  <c:v>-1.4699093488683442E-4</c:v>
                </c:pt>
                <c:pt idx="3">
                  <c:v>-1.5289292162491843E-4</c:v>
                </c:pt>
                <c:pt idx="4">
                  <c:v>-1.6715046895603389E-4</c:v>
                </c:pt>
                <c:pt idx="5">
                  <c:v>-1.7716145306501704E-4</c:v>
                </c:pt>
                <c:pt idx="6">
                  <c:v>-1.7933392274617894E-4</c:v>
                </c:pt>
                <c:pt idx="7">
                  <c:v>-1.8974958261078954E-4</c:v>
                </c:pt>
                <c:pt idx="8">
                  <c:v>-1.9616899447693031E-4</c:v>
                </c:pt>
                <c:pt idx="9">
                  <c:v>-1.9852293759015067E-4</c:v>
                </c:pt>
                <c:pt idx="10">
                  <c:v>-2.0881052727948567E-4</c:v>
                </c:pt>
                <c:pt idx="11">
                  <c:v>-2.1306014335503354E-4</c:v>
                </c:pt>
                <c:pt idx="12">
                  <c:v>-2.1354805142069055E-4</c:v>
                </c:pt>
                <c:pt idx="13">
                  <c:v>-2.2166109940971782E-4</c:v>
                </c:pt>
                <c:pt idx="14">
                  <c:v>-2.2598199203741927E-4</c:v>
                </c:pt>
                <c:pt idx="15">
                  <c:v>-2.2673838821817374E-4</c:v>
                </c:pt>
                <c:pt idx="16">
                  <c:v>-2.3225159489834263E-4</c:v>
                </c:pt>
                <c:pt idx="17">
                  <c:v>-2.341746497212974E-4</c:v>
                </c:pt>
                <c:pt idx="18">
                  <c:v>-2.3267570890267149E-4</c:v>
                </c:pt>
                <c:pt idx="19">
                  <c:v>-2.3804089046860539E-4</c:v>
                </c:pt>
                <c:pt idx="20">
                  <c:v>-2.399510406620445E-4</c:v>
                </c:pt>
                <c:pt idx="21">
                  <c:v>-2.3653955119251369E-4</c:v>
                </c:pt>
                <c:pt idx="22">
                  <c:v>-2.4081809507984464E-4</c:v>
                </c:pt>
                <c:pt idx="23">
                  <c:v>-2.4172778905503167E-4</c:v>
                </c:pt>
                <c:pt idx="24">
                  <c:v>-2.3661712603747785E-4</c:v>
                </c:pt>
              </c:numCache>
            </c:numRef>
          </c:val>
          <c:smooth val="0"/>
          <c:extLst>
            <c:ext xmlns:c16="http://schemas.microsoft.com/office/drawing/2014/chart" uri="{C3380CC4-5D6E-409C-BE32-E72D297353CC}">
              <c16:uniqueId val="{00000008-B7A4-4160-B74A-7E65A4EC7578}"/>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Ecosystem damage </a:t>
                </a:r>
                <a:br>
                  <a:rPr lang="nl-NL"/>
                </a:br>
                <a:r>
                  <a:rPr lang="nl-NL"/>
                  <a:t>(PDF*yr/ton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ESD ship'!$AB$90</c:f>
              <c:strCache>
                <c:ptCount val="1"/>
                <c:pt idx="0">
                  <c:v>Construction - DAC</c:v>
                </c:pt>
              </c:strCache>
            </c:strRef>
          </c:tx>
          <c:spPr>
            <a:solidFill>
              <a:schemeClr val="accent1"/>
            </a:solidFill>
            <a:ln>
              <a:noFill/>
            </a:ln>
            <a:effectLst/>
          </c:spPr>
          <c:invertIfNegative val="0"/>
          <c:cat>
            <c:numRef>
              <c:f>'Results ReCiPe (H) - ESD ship'!$AC$89:$BA$89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ship'!$AC$90:$BA$90</c:f>
              <c:numCache>
                <c:formatCode>0.00E+00</c:formatCode>
                <c:ptCount val="25"/>
                <c:pt idx="0">
                  <c:v>1.5226911141711527E-4</c:v>
                </c:pt>
              </c:numCache>
            </c:numRef>
          </c:val>
          <c:extLst>
            <c:ext xmlns:c16="http://schemas.microsoft.com/office/drawing/2014/chart" uri="{C3380CC4-5D6E-409C-BE32-E72D297353CC}">
              <c16:uniqueId val="{00000000-344A-4CB7-8138-E271447A793A}"/>
            </c:ext>
          </c:extLst>
        </c:ser>
        <c:ser>
          <c:idx val="1"/>
          <c:order val="1"/>
          <c:tx>
            <c:strRef>
              <c:f>'Results ReCiPe (H) - ESD ship'!$AB$91</c:f>
              <c:strCache>
                <c:ptCount val="1"/>
                <c:pt idx="0">
                  <c:v>Construction - geological storage</c:v>
                </c:pt>
              </c:strCache>
            </c:strRef>
          </c:tx>
          <c:spPr>
            <a:solidFill>
              <a:schemeClr val="accent2"/>
            </a:solidFill>
            <a:ln>
              <a:noFill/>
            </a:ln>
            <a:effectLst/>
          </c:spPr>
          <c:invertIfNegative val="0"/>
          <c:cat>
            <c:numRef>
              <c:f>'Results ReCiPe (H) - ESD ship'!$AC$89:$BA$89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ship'!$AC$91:$BA$91</c:f>
              <c:numCache>
                <c:formatCode>0.00E+00</c:formatCode>
                <c:ptCount val="25"/>
                <c:pt idx="0">
                  <c:v>9.7865963272845992E-6</c:v>
                </c:pt>
              </c:numCache>
            </c:numRef>
          </c:val>
          <c:extLst>
            <c:ext xmlns:c16="http://schemas.microsoft.com/office/drawing/2014/chart" uri="{C3380CC4-5D6E-409C-BE32-E72D297353CC}">
              <c16:uniqueId val="{00000001-344A-4CB7-8138-E271447A793A}"/>
            </c:ext>
          </c:extLst>
        </c:ser>
        <c:ser>
          <c:idx val="2"/>
          <c:order val="2"/>
          <c:tx>
            <c:strRef>
              <c:f>'Results ReCiPe (H) - ESD ship'!$AB$92</c:f>
              <c:strCache>
                <c:ptCount val="1"/>
                <c:pt idx="0">
                  <c:v>Deconstruction - DAC</c:v>
                </c:pt>
              </c:strCache>
            </c:strRef>
          </c:tx>
          <c:spPr>
            <a:solidFill>
              <a:schemeClr val="accent3"/>
            </a:solidFill>
            <a:ln>
              <a:noFill/>
            </a:ln>
            <a:effectLst/>
          </c:spPr>
          <c:invertIfNegative val="0"/>
          <c:cat>
            <c:numRef>
              <c:f>'Results ReCiPe (H) - ESD ship'!$AC$89:$BA$89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ship'!$AC$92:$BA$92</c:f>
              <c:numCache>
                <c:formatCode>0.00E+00</c:formatCode>
                <c:ptCount val="25"/>
                <c:pt idx="24">
                  <c:v>2.4979772832792044E-6</c:v>
                </c:pt>
              </c:numCache>
            </c:numRef>
          </c:val>
          <c:extLst>
            <c:ext xmlns:c16="http://schemas.microsoft.com/office/drawing/2014/chart" uri="{C3380CC4-5D6E-409C-BE32-E72D297353CC}">
              <c16:uniqueId val="{00000002-344A-4CB7-8138-E271447A793A}"/>
            </c:ext>
          </c:extLst>
        </c:ser>
        <c:ser>
          <c:idx val="3"/>
          <c:order val="3"/>
          <c:tx>
            <c:strRef>
              <c:f>'Results ReCiPe (H) - ESD ship'!$AB$93</c:f>
              <c:strCache>
                <c:ptCount val="1"/>
                <c:pt idx="0">
                  <c:v>Deconstruction - geological storage</c:v>
                </c:pt>
              </c:strCache>
            </c:strRef>
          </c:tx>
          <c:spPr>
            <a:solidFill>
              <a:schemeClr val="accent4"/>
            </a:solidFill>
            <a:ln>
              <a:noFill/>
            </a:ln>
            <a:effectLst/>
          </c:spPr>
          <c:invertIfNegative val="0"/>
          <c:cat>
            <c:numRef>
              <c:f>'Results ReCiPe (H) - ESD ship'!$AC$89:$BA$89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ship'!$AC$93:$BA$93</c:f>
              <c:numCache>
                <c:formatCode>0.00E+00</c:formatCode>
                <c:ptCount val="25"/>
                <c:pt idx="24">
                  <c:v>8.9291412421487725E-8</c:v>
                </c:pt>
              </c:numCache>
            </c:numRef>
          </c:val>
          <c:extLst>
            <c:ext xmlns:c16="http://schemas.microsoft.com/office/drawing/2014/chart" uri="{C3380CC4-5D6E-409C-BE32-E72D297353CC}">
              <c16:uniqueId val="{00000003-344A-4CB7-8138-E271447A793A}"/>
            </c:ext>
          </c:extLst>
        </c:ser>
        <c:ser>
          <c:idx val="4"/>
          <c:order val="4"/>
          <c:tx>
            <c:strRef>
              <c:f>'Results ReCiPe (H) - ESD ship'!$AB$94</c:f>
              <c:strCache>
                <c:ptCount val="1"/>
                <c:pt idx="0">
                  <c:v>Sorbent material</c:v>
                </c:pt>
              </c:strCache>
            </c:strRef>
          </c:tx>
          <c:spPr>
            <a:solidFill>
              <a:schemeClr val="accent5"/>
            </a:solidFill>
            <a:ln>
              <a:noFill/>
            </a:ln>
            <a:effectLst/>
          </c:spPr>
          <c:invertIfNegative val="0"/>
          <c:cat>
            <c:numRef>
              <c:f>'Results ReCiPe (H) - ESD ship'!$AC$89:$BA$89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ship'!$AC$94:$BA$94</c:f>
              <c:numCache>
                <c:formatCode>0.00E+00</c:formatCode>
                <c:ptCount val="25"/>
                <c:pt idx="0">
                  <c:v>3.715731652454359E-6</c:v>
                </c:pt>
                <c:pt idx="3">
                  <c:v>3.5013590415283682E-6</c:v>
                </c:pt>
                <c:pt idx="6">
                  <c:v>3.359625974222981E-6</c:v>
                </c:pt>
                <c:pt idx="9">
                  <c:v>3.3222042704526711E-6</c:v>
                </c:pt>
                <c:pt idx="12">
                  <c:v>3.3098090978734569E-6</c:v>
                </c:pt>
                <c:pt idx="15">
                  <c:v>3.2987119954850761E-6</c:v>
                </c:pt>
                <c:pt idx="18">
                  <c:v>3.278896138541998E-6</c:v>
                </c:pt>
                <c:pt idx="21">
                  <c:v>3.2828870256197742E-6</c:v>
                </c:pt>
                <c:pt idx="24">
                  <c:v>3.2779455111866361E-6</c:v>
                </c:pt>
              </c:numCache>
            </c:numRef>
          </c:val>
          <c:extLst>
            <c:ext xmlns:c16="http://schemas.microsoft.com/office/drawing/2014/chart" uri="{C3380CC4-5D6E-409C-BE32-E72D297353CC}">
              <c16:uniqueId val="{00000004-344A-4CB7-8138-E271447A793A}"/>
            </c:ext>
          </c:extLst>
        </c:ser>
        <c:ser>
          <c:idx val="5"/>
          <c:order val="5"/>
          <c:tx>
            <c:strRef>
              <c:f>'Results ReCiPe (H) - ESD ship'!$AB$95</c:f>
              <c:strCache>
                <c:ptCount val="1"/>
                <c:pt idx="0">
                  <c:v>Operation - DAC</c:v>
                </c:pt>
              </c:strCache>
            </c:strRef>
          </c:tx>
          <c:spPr>
            <a:solidFill>
              <a:schemeClr val="accent6"/>
            </a:solidFill>
            <a:ln>
              <a:noFill/>
            </a:ln>
            <a:effectLst/>
          </c:spPr>
          <c:invertIfNegative val="0"/>
          <c:cat>
            <c:numRef>
              <c:f>'Results ReCiPe (H) - ESD ship'!$AC$89:$BA$89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ship'!$AC$95:$BA$95</c:f>
              <c:numCache>
                <c:formatCode>0.00E+00</c:formatCode>
                <c:ptCount val="25"/>
                <c:pt idx="0">
                  <c:v>6.3717328796313093E-5</c:v>
                </c:pt>
                <c:pt idx="1">
                  <c:v>5.6064869259432871E-5</c:v>
                </c:pt>
                <c:pt idx="2">
                  <c:v>4.8387865202493779E-5</c:v>
                </c:pt>
                <c:pt idx="3">
                  <c:v>4.0517758274940266E-5</c:v>
                </c:pt>
                <c:pt idx="4">
                  <c:v>3.2780388556367346E-5</c:v>
                </c:pt>
                <c:pt idx="5">
                  <c:v>2.5018586502988008E-5</c:v>
                </c:pt>
                <c:pt idx="6">
                  <c:v>2.4397784673646839E-5</c:v>
                </c:pt>
                <c:pt idx="7">
                  <c:v>2.3766644488374709E-5</c:v>
                </c:pt>
                <c:pt idx="8">
                  <c:v>2.2968897962791128E-5</c:v>
                </c:pt>
                <c:pt idx="9">
                  <c:v>2.2308068249612139E-5</c:v>
                </c:pt>
                <c:pt idx="10">
                  <c:v>2.1636248337898779E-5</c:v>
                </c:pt>
                <c:pt idx="11">
                  <c:v>2.1186751507580927E-5</c:v>
                </c:pt>
                <c:pt idx="12">
                  <c:v>2.0735727732456728E-5</c:v>
                </c:pt>
                <c:pt idx="13">
                  <c:v>2.0237052755713819E-5</c:v>
                </c:pt>
                <c:pt idx="14">
                  <c:v>1.977188367707933E-5</c:v>
                </c:pt>
                <c:pt idx="15">
                  <c:v>1.930151207486615E-5</c:v>
                </c:pt>
                <c:pt idx="16">
                  <c:v>1.750980975287537E-5</c:v>
                </c:pt>
                <c:pt idx="17">
                  <c:v>1.573940713515193E-5</c:v>
                </c:pt>
                <c:pt idx="18">
                  <c:v>1.3954408532416669E-5</c:v>
                </c:pt>
                <c:pt idx="19">
                  <c:v>1.2223309099940228E-5</c:v>
                </c:pt>
                <c:pt idx="20">
                  <c:v>1.0506036422635848E-5</c:v>
                </c:pt>
                <c:pt idx="21">
                  <c:v>1.0245999437767839E-5</c:v>
                </c:pt>
                <c:pt idx="22">
                  <c:v>9.0410572106458026E-6</c:v>
                </c:pt>
                <c:pt idx="23">
                  <c:v>7.8342904707184229E-6</c:v>
                </c:pt>
                <c:pt idx="24">
                  <c:v>6.6254960565204505E-6</c:v>
                </c:pt>
              </c:numCache>
            </c:numRef>
          </c:val>
          <c:extLst>
            <c:ext xmlns:c16="http://schemas.microsoft.com/office/drawing/2014/chart" uri="{C3380CC4-5D6E-409C-BE32-E72D297353CC}">
              <c16:uniqueId val="{00000005-344A-4CB7-8138-E271447A793A}"/>
            </c:ext>
          </c:extLst>
        </c:ser>
        <c:ser>
          <c:idx val="6"/>
          <c:order val="6"/>
          <c:tx>
            <c:strRef>
              <c:f>'Results ReCiPe (H) - ESD ship'!$AB$96</c:f>
              <c:strCache>
                <c:ptCount val="1"/>
                <c:pt idx="0">
                  <c:v>Operation - geological storage</c:v>
                </c:pt>
              </c:strCache>
            </c:strRef>
          </c:tx>
          <c:spPr>
            <a:solidFill>
              <a:schemeClr val="accent1">
                <a:lumMod val="60000"/>
              </a:schemeClr>
            </a:solidFill>
            <a:ln>
              <a:noFill/>
            </a:ln>
            <a:effectLst/>
          </c:spPr>
          <c:invertIfNegative val="0"/>
          <c:cat>
            <c:numRef>
              <c:f>'Results ReCiPe (H) - ESD ship'!$AC$89:$BA$89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ship'!$AC$96:$BA$96</c:f>
              <c:numCache>
                <c:formatCode>0.00E+00</c:formatCode>
                <c:ptCount val="25"/>
                <c:pt idx="0">
                  <c:v>1.397230697958846E-5</c:v>
                </c:pt>
                <c:pt idx="1">
                  <c:v>1.3373121876380491E-5</c:v>
                </c:pt>
                <c:pt idx="2">
                  <c:v>1.277580237849213E-5</c:v>
                </c:pt>
                <c:pt idx="3">
                  <c:v>1.2165413569094758E-5</c:v>
                </c:pt>
                <c:pt idx="4">
                  <c:v>1.1571002647046209E-5</c:v>
                </c:pt>
                <c:pt idx="5">
                  <c:v>1.0978455728925081E-5</c:v>
                </c:pt>
                <c:pt idx="6">
                  <c:v>1.092974602111803E-5</c:v>
                </c:pt>
                <c:pt idx="7">
                  <c:v>1.088040475074631E-5</c:v>
                </c:pt>
                <c:pt idx="8">
                  <c:v>1.081749524820995E-5</c:v>
                </c:pt>
                <c:pt idx="9">
                  <c:v>1.076627063653383E-5</c:v>
                </c:pt>
                <c:pt idx="10">
                  <c:v>1.071439394199937E-5</c:v>
                </c:pt>
                <c:pt idx="11">
                  <c:v>1.067964304694314E-5</c:v>
                </c:pt>
                <c:pt idx="12">
                  <c:v>1.064476665709213E-5</c:v>
                </c:pt>
                <c:pt idx="13">
                  <c:v>1.060587016109457E-5</c:v>
                </c:pt>
                <c:pt idx="14">
                  <c:v>1.056990743151152E-5</c:v>
                </c:pt>
                <c:pt idx="15">
                  <c:v>1.053353477728358E-5</c:v>
                </c:pt>
                <c:pt idx="16">
                  <c:v>1.0396951995731101E-5</c:v>
                </c:pt>
                <c:pt idx="17">
                  <c:v>1.026077440225023E-5</c:v>
                </c:pt>
                <c:pt idx="18">
                  <c:v>1.0121927378484881E-5</c:v>
                </c:pt>
                <c:pt idx="19">
                  <c:v>9.9863608625909252E-6</c:v>
                </c:pt>
                <c:pt idx="20">
                  <c:v>9.8506685184270553E-6</c:v>
                </c:pt>
                <c:pt idx="21">
                  <c:v>9.8422770775849935E-6</c:v>
                </c:pt>
                <c:pt idx="22">
                  <c:v>9.7523558459090229E-6</c:v>
                </c:pt>
                <c:pt idx="23">
                  <c:v>9.6625663797943337E-6</c:v>
                </c:pt>
                <c:pt idx="24">
                  <c:v>9.5728908880754938E-6</c:v>
                </c:pt>
              </c:numCache>
            </c:numRef>
          </c:val>
          <c:extLst>
            <c:ext xmlns:c16="http://schemas.microsoft.com/office/drawing/2014/chart" uri="{C3380CC4-5D6E-409C-BE32-E72D297353CC}">
              <c16:uniqueId val="{00000006-344A-4CB7-8138-E271447A793A}"/>
            </c:ext>
          </c:extLst>
        </c:ser>
        <c:ser>
          <c:idx val="7"/>
          <c:order val="7"/>
          <c:tx>
            <c:strRef>
              <c:f>'Results ReCiPe (H) - ESD ship'!$AB$97</c:f>
              <c:strCache>
                <c:ptCount val="1"/>
                <c:pt idx="0">
                  <c:v>CO2 captured and stored</c:v>
                </c:pt>
              </c:strCache>
            </c:strRef>
          </c:tx>
          <c:spPr>
            <a:solidFill>
              <a:schemeClr val="accent2">
                <a:lumMod val="60000"/>
              </a:schemeClr>
            </a:solidFill>
            <a:ln>
              <a:noFill/>
            </a:ln>
            <a:effectLst/>
          </c:spPr>
          <c:invertIfNegative val="0"/>
          <c:cat>
            <c:numRef>
              <c:f>'Results ReCiPe (H) - ESD ship'!$AC$89:$BA$89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ship'!$AC$97:$BA$97</c:f>
              <c:numCache>
                <c:formatCode>0.00E+00</c:formatCode>
                <c:ptCount val="25"/>
                <c:pt idx="0">
                  <c:v>-2.8000764999999998E-4</c:v>
                </c:pt>
                <c:pt idx="1">
                  <c:v>-2.8000764999999998E-4</c:v>
                </c:pt>
                <c:pt idx="2">
                  <c:v>-2.8000764999999998E-4</c:v>
                </c:pt>
                <c:pt idx="3">
                  <c:v>-2.8000764999999998E-4</c:v>
                </c:pt>
                <c:pt idx="4">
                  <c:v>-2.8000764999999998E-4</c:v>
                </c:pt>
                <c:pt idx="5">
                  <c:v>-2.8000764999999998E-4</c:v>
                </c:pt>
                <c:pt idx="6">
                  <c:v>-2.8000764999999998E-4</c:v>
                </c:pt>
                <c:pt idx="7">
                  <c:v>-2.8000764999999998E-4</c:v>
                </c:pt>
                <c:pt idx="8">
                  <c:v>-2.8000764999999998E-4</c:v>
                </c:pt>
                <c:pt idx="9">
                  <c:v>-2.8000764999999998E-4</c:v>
                </c:pt>
                <c:pt idx="10">
                  <c:v>-2.8000764999999998E-4</c:v>
                </c:pt>
                <c:pt idx="11">
                  <c:v>-2.8000764999999998E-4</c:v>
                </c:pt>
                <c:pt idx="12">
                  <c:v>-2.8000764999999998E-4</c:v>
                </c:pt>
                <c:pt idx="13">
                  <c:v>-2.8000764999999998E-4</c:v>
                </c:pt>
                <c:pt idx="14">
                  <c:v>-2.8000764999999998E-4</c:v>
                </c:pt>
                <c:pt idx="15">
                  <c:v>-2.8000764999999998E-4</c:v>
                </c:pt>
                <c:pt idx="16">
                  <c:v>-2.8000764999999998E-4</c:v>
                </c:pt>
                <c:pt idx="17">
                  <c:v>-2.8000764999999998E-4</c:v>
                </c:pt>
                <c:pt idx="18">
                  <c:v>-2.8000764999999998E-4</c:v>
                </c:pt>
                <c:pt idx="19">
                  <c:v>-2.8000764999999998E-4</c:v>
                </c:pt>
                <c:pt idx="20">
                  <c:v>-2.8000764999999998E-4</c:v>
                </c:pt>
                <c:pt idx="21">
                  <c:v>-2.8000764999999998E-4</c:v>
                </c:pt>
                <c:pt idx="22">
                  <c:v>-2.8000764999999998E-4</c:v>
                </c:pt>
                <c:pt idx="23">
                  <c:v>-2.8000764999999998E-4</c:v>
                </c:pt>
                <c:pt idx="24">
                  <c:v>-2.8000764999999998E-4</c:v>
                </c:pt>
              </c:numCache>
            </c:numRef>
          </c:val>
          <c:extLst>
            <c:ext xmlns:c16="http://schemas.microsoft.com/office/drawing/2014/chart" uri="{C3380CC4-5D6E-409C-BE32-E72D297353CC}">
              <c16:uniqueId val="{00000007-344A-4CB7-8138-E271447A793A}"/>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ESD ship'!$AB$98</c:f>
              <c:strCache>
                <c:ptCount val="1"/>
                <c:pt idx="0">
                  <c:v>TOTAL per year</c:v>
                </c:pt>
              </c:strCache>
            </c:strRef>
          </c:tx>
          <c:spPr>
            <a:ln w="28575" cap="rnd">
              <a:solidFill>
                <a:schemeClr val="accent3">
                  <a:lumMod val="60000"/>
                </a:schemeClr>
              </a:solidFill>
              <a:round/>
            </a:ln>
            <a:effectLst/>
          </c:spPr>
          <c:marker>
            <c:symbol val="circle"/>
            <c:size val="5"/>
            <c:spPr>
              <a:solidFill>
                <a:schemeClr val="tx1"/>
              </a:solidFill>
              <a:ln w="9525">
                <a:solidFill>
                  <a:schemeClr val="tx1"/>
                </a:solidFill>
              </a:ln>
              <a:effectLst/>
            </c:spPr>
          </c:marker>
          <c:cat>
            <c:numRef>
              <c:f>'Results ReCiPe (H) - ESD ship'!$AC$89:$BA$89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ship'!$AC$98:$BA$98</c:f>
              <c:numCache>
                <c:formatCode>0.00E+00</c:formatCode>
                <c:ptCount val="25"/>
                <c:pt idx="0">
                  <c:v>-3.6546574827244193E-5</c:v>
                </c:pt>
                <c:pt idx="1">
                  <c:v>-2.1056965886418662E-4</c:v>
                </c:pt>
                <c:pt idx="2">
                  <c:v>-2.1884398241901406E-4</c:v>
                </c:pt>
                <c:pt idx="3">
                  <c:v>-2.2382311911443658E-4</c:v>
                </c:pt>
                <c:pt idx="4">
                  <c:v>-2.3565625879658642E-4</c:v>
                </c:pt>
                <c:pt idx="5">
                  <c:v>-2.4401060776808691E-4</c:v>
                </c:pt>
                <c:pt idx="6">
                  <c:v>-2.4132049333101214E-4</c:v>
                </c:pt>
                <c:pt idx="7">
                  <c:v>-2.4536060076087895E-4</c:v>
                </c:pt>
                <c:pt idx="8">
                  <c:v>-2.4622125678899889E-4</c:v>
                </c:pt>
                <c:pt idx="9">
                  <c:v>-2.4361110684340134E-4</c:v>
                </c:pt>
                <c:pt idx="10">
                  <c:v>-2.4765700772010182E-4</c:v>
                </c:pt>
                <c:pt idx="11">
                  <c:v>-2.4814125544547592E-4</c:v>
                </c:pt>
                <c:pt idx="12">
                  <c:v>-2.4531734651257769E-4</c:v>
                </c:pt>
                <c:pt idx="13">
                  <c:v>-2.4916472708319158E-4</c:v>
                </c:pt>
                <c:pt idx="14">
                  <c:v>-2.4966585889140916E-4</c:v>
                </c:pt>
                <c:pt idx="15">
                  <c:v>-2.4687389115236516E-4</c:v>
                </c:pt>
                <c:pt idx="16">
                  <c:v>-2.521008882513935E-4</c:v>
                </c:pt>
                <c:pt idx="17">
                  <c:v>-2.5400746846259781E-4</c:v>
                </c:pt>
                <c:pt idx="18">
                  <c:v>-2.5265241795055645E-4</c:v>
                </c:pt>
                <c:pt idx="19">
                  <c:v>-2.5779798003746881E-4</c:v>
                </c:pt>
                <c:pt idx="20">
                  <c:v>-2.5965094505893708E-4</c:v>
                </c:pt>
                <c:pt idx="21">
                  <c:v>-2.5663648645902738E-4</c:v>
                </c:pt>
                <c:pt idx="22">
                  <c:v>-2.6121423694344518E-4</c:v>
                </c:pt>
                <c:pt idx="23">
                  <c:v>-2.625107931494872E-4</c:v>
                </c:pt>
                <c:pt idx="24">
                  <c:v>-2.5794404884851673E-4</c:v>
                </c:pt>
              </c:numCache>
            </c:numRef>
          </c:val>
          <c:smooth val="0"/>
          <c:extLst>
            <c:ext xmlns:c16="http://schemas.microsoft.com/office/drawing/2014/chart" uri="{C3380CC4-5D6E-409C-BE32-E72D297353CC}">
              <c16:uniqueId val="{00000008-344A-4CB7-8138-E271447A793A}"/>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Ecosystem damage </a:t>
                </a:r>
                <a:br>
                  <a:rPr lang="nl-NL"/>
                </a:br>
                <a:r>
                  <a:rPr lang="nl-NL"/>
                  <a:t>(PDF*yr/ton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ESD ship'!$AB$132</c:f>
              <c:strCache>
                <c:ptCount val="1"/>
                <c:pt idx="0">
                  <c:v>Construction - DAC</c:v>
                </c:pt>
              </c:strCache>
            </c:strRef>
          </c:tx>
          <c:spPr>
            <a:solidFill>
              <a:schemeClr val="accent1"/>
            </a:solidFill>
            <a:ln>
              <a:noFill/>
            </a:ln>
            <a:effectLst/>
          </c:spPr>
          <c:invertIfNegative val="0"/>
          <c:cat>
            <c:numRef>
              <c:f>'Results ReCiPe (H) - ESD ship'!$AC$131:$BA$131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ship'!$AC$132:$BA$132</c:f>
              <c:numCache>
                <c:formatCode>0.00E+00</c:formatCode>
                <c:ptCount val="25"/>
                <c:pt idx="0">
                  <c:v>1.9467533260507852E-4</c:v>
                </c:pt>
              </c:numCache>
            </c:numRef>
          </c:val>
          <c:extLst>
            <c:ext xmlns:c16="http://schemas.microsoft.com/office/drawing/2014/chart" uri="{C3380CC4-5D6E-409C-BE32-E72D297353CC}">
              <c16:uniqueId val="{00000000-AE3F-4D2A-97BE-A467C6CE4C52}"/>
            </c:ext>
          </c:extLst>
        </c:ser>
        <c:ser>
          <c:idx val="1"/>
          <c:order val="1"/>
          <c:tx>
            <c:strRef>
              <c:f>'Results ReCiPe (H) - ESD ship'!$AB$133</c:f>
              <c:strCache>
                <c:ptCount val="1"/>
                <c:pt idx="0">
                  <c:v>Construction - geological storage</c:v>
                </c:pt>
              </c:strCache>
            </c:strRef>
          </c:tx>
          <c:spPr>
            <a:solidFill>
              <a:schemeClr val="accent2"/>
            </a:solidFill>
            <a:ln>
              <a:noFill/>
            </a:ln>
            <a:effectLst/>
          </c:spPr>
          <c:invertIfNegative val="0"/>
          <c:cat>
            <c:numRef>
              <c:f>'Results ReCiPe (H) - ESD ship'!$AC$131:$BA$131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ship'!$AC$133:$BA$133</c:f>
              <c:numCache>
                <c:formatCode>0.00E+00</c:formatCode>
                <c:ptCount val="25"/>
                <c:pt idx="0">
                  <c:v>1.1362073373089257E-5</c:v>
                </c:pt>
              </c:numCache>
            </c:numRef>
          </c:val>
          <c:extLst>
            <c:ext xmlns:c16="http://schemas.microsoft.com/office/drawing/2014/chart" uri="{C3380CC4-5D6E-409C-BE32-E72D297353CC}">
              <c16:uniqueId val="{00000001-AE3F-4D2A-97BE-A467C6CE4C52}"/>
            </c:ext>
          </c:extLst>
        </c:ser>
        <c:ser>
          <c:idx val="2"/>
          <c:order val="2"/>
          <c:tx>
            <c:strRef>
              <c:f>'Results ReCiPe (H) - ESD ship'!$AB$134</c:f>
              <c:strCache>
                <c:ptCount val="1"/>
                <c:pt idx="0">
                  <c:v>Deconstruction - DAC</c:v>
                </c:pt>
              </c:strCache>
            </c:strRef>
          </c:tx>
          <c:spPr>
            <a:solidFill>
              <a:schemeClr val="accent3"/>
            </a:solidFill>
            <a:ln>
              <a:noFill/>
            </a:ln>
            <a:effectLst/>
          </c:spPr>
          <c:invertIfNegative val="0"/>
          <c:cat>
            <c:numRef>
              <c:f>'Results ReCiPe (H) - ESD ship'!$AC$131:$BA$131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ship'!$AC$134:$BA$134</c:f>
              <c:numCache>
                <c:formatCode>0.00E+00</c:formatCode>
                <c:ptCount val="25"/>
                <c:pt idx="24">
                  <c:v>2.8327516247168551E-6</c:v>
                </c:pt>
              </c:numCache>
            </c:numRef>
          </c:val>
          <c:extLst>
            <c:ext xmlns:c16="http://schemas.microsoft.com/office/drawing/2014/chart" uri="{C3380CC4-5D6E-409C-BE32-E72D297353CC}">
              <c16:uniqueId val="{00000002-AE3F-4D2A-97BE-A467C6CE4C52}"/>
            </c:ext>
          </c:extLst>
        </c:ser>
        <c:ser>
          <c:idx val="3"/>
          <c:order val="3"/>
          <c:tx>
            <c:strRef>
              <c:f>'Results ReCiPe (H) - ESD ship'!$AB$135</c:f>
              <c:strCache>
                <c:ptCount val="1"/>
                <c:pt idx="0">
                  <c:v>Deconstruction - geological storage</c:v>
                </c:pt>
              </c:strCache>
            </c:strRef>
          </c:tx>
          <c:spPr>
            <a:solidFill>
              <a:schemeClr val="accent4"/>
            </a:solidFill>
            <a:ln>
              <a:noFill/>
            </a:ln>
            <a:effectLst/>
          </c:spPr>
          <c:invertIfNegative val="0"/>
          <c:cat>
            <c:numRef>
              <c:f>'Results ReCiPe (H) - ESD ship'!$AC$131:$BA$131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ship'!$AC$135:$BA$135</c:f>
              <c:numCache>
                <c:formatCode>0.00E+00</c:formatCode>
                <c:ptCount val="25"/>
                <c:pt idx="24">
                  <c:v>9.2615556283479631E-8</c:v>
                </c:pt>
              </c:numCache>
            </c:numRef>
          </c:val>
          <c:extLst>
            <c:ext xmlns:c16="http://schemas.microsoft.com/office/drawing/2014/chart" uri="{C3380CC4-5D6E-409C-BE32-E72D297353CC}">
              <c16:uniqueId val="{00000003-AE3F-4D2A-97BE-A467C6CE4C52}"/>
            </c:ext>
          </c:extLst>
        </c:ser>
        <c:ser>
          <c:idx val="4"/>
          <c:order val="4"/>
          <c:tx>
            <c:strRef>
              <c:f>'Results ReCiPe (H) - ESD ship'!$AB$136</c:f>
              <c:strCache>
                <c:ptCount val="1"/>
                <c:pt idx="0">
                  <c:v>Sorbent material</c:v>
                </c:pt>
              </c:strCache>
            </c:strRef>
          </c:tx>
          <c:spPr>
            <a:solidFill>
              <a:schemeClr val="accent5"/>
            </a:solidFill>
            <a:ln>
              <a:noFill/>
            </a:ln>
            <a:effectLst/>
          </c:spPr>
          <c:invertIfNegative val="0"/>
          <c:cat>
            <c:numRef>
              <c:f>'Results ReCiPe (H) - ESD ship'!$AC$131:$BA$131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ship'!$AC$136:$BA$136</c:f>
              <c:numCache>
                <c:formatCode>0.00E+00</c:formatCode>
                <c:ptCount val="25"/>
                <c:pt idx="0">
                  <c:v>4.5446143489064019E-6</c:v>
                </c:pt>
                <c:pt idx="3">
                  <c:v>4.4990771841472508E-6</c:v>
                </c:pt>
                <c:pt idx="6">
                  <c:v>4.4904228129143327E-6</c:v>
                </c:pt>
                <c:pt idx="9">
                  <c:v>4.4944994140002021E-6</c:v>
                </c:pt>
                <c:pt idx="12">
                  <c:v>4.5214378334785092E-6</c:v>
                </c:pt>
                <c:pt idx="15">
                  <c:v>4.5497134383595956E-6</c:v>
                </c:pt>
                <c:pt idx="18">
                  <c:v>4.4955793454683717E-6</c:v>
                </c:pt>
                <c:pt idx="21">
                  <c:v>4.4518098931988601E-6</c:v>
                </c:pt>
                <c:pt idx="24">
                  <c:v>4.3615476020125354E-6</c:v>
                </c:pt>
              </c:numCache>
            </c:numRef>
          </c:val>
          <c:extLst>
            <c:ext xmlns:c16="http://schemas.microsoft.com/office/drawing/2014/chart" uri="{C3380CC4-5D6E-409C-BE32-E72D297353CC}">
              <c16:uniqueId val="{00000004-AE3F-4D2A-97BE-A467C6CE4C52}"/>
            </c:ext>
          </c:extLst>
        </c:ser>
        <c:ser>
          <c:idx val="5"/>
          <c:order val="5"/>
          <c:tx>
            <c:strRef>
              <c:f>'Results ReCiPe (H) - ESD ship'!$AB$137</c:f>
              <c:strCache>
                <c:ptCount val="1"/>
                <c:pt idx="0">
                  <c:v>Operation - DAC</c:v>
                </c:pt>
              </c:strCache>
            </c:strRef>
          </c:tx>
          <c:spPr>
            <a:solidFill>
              <a:schemeClr val="accent6"/>
            </a:solidFill>
            <a:ln>
              <a:noFill/>
            </a:ln>
            <a:effectLst/>
          </c:spPr>
          <c:invertIfNegative val="0"/>
          <c:cat>
            <c:numRef>
              <c:f>'Results ReCiPe (H) - ESD ship'!$AC$131:$BA$131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ship'!$AC$137:$BA$137</c:f>
              <c:numCache>
                <c:formatCode>0.00E+00</c:formatCode>
                <c:ptCount val="25"/>
                <c:pt idx="0">
                  <c:v>1.2609712408111751E-4</c:v>
                </c:pt>
                <c:pt idx="1">
                  <c:v>1.2561981054232138E-4</c:v>
                </c:pt>
                <c:pt idx="2">
                  <c:v>1.2514152768895251E-4</c:v>
                </c:pt>
                <c:pt idx="3">
                  <c:v>1.2453918917903461E-4</c:v>
                </c:pt>
                <c:pt idx="4">
                  <c:v>1.240576804340914E-4</c:v>
                </c:pt>
                <c:pt idx="5">
                  <c:v>1.2357469085938648E-4</c:v>
                </c:pt>
                <c:pt idx="6">
                  <c:v>1.3204048212213683E-4</c:v>
                </c:pt>
                <c:pt idx="7">
                  <c:v>1.4049514393957337E-4</c:v>
                </c:pt>
                <c:pt idx="8">
                  <c:v>1.4886759273517822E-4</c:v>
                </c:pt>
                <c:pt idx="9">
                  <c:v>1.5730945561294408E-4</c:v>
                </c:pt>
                <c:pt idx="10">
                  <c:v>1.6573576125827191E-4</c:v>
                </c:pt>
                <c:pt idx="11">
                  <c:v>1.8163286251103754E-4</c:v>
                </c:pt>
                <c:pt idx="12">
                  <c:v>1.9757185748234539E-4</c:v>
                </c:pt>
                <c:pt idx="13">
                  <c:v>2.1353857022540711E-4</c:v>
                </c:pt>
                <c:pt idx="14">
                  <c:v>2.2956863122547394E-4</c:v>
                </c:pt>
                <c:pt idx="15">
                  <c:v>2.4564852111216183E-4</c:v>
                </c:pt>
                <c:pt idx="16">
                  <c:v>2.4736407694702907E-4</c:v>
                </c:pt>
                <c:pt idx="17">
                  <c:v>2.4909873898929565E-4</c:v>
                </c:pt>
                <c:pt idx="18">
                  <c:v>2.5083414466368513E-4</c:v>
                </c:pt>
                <c:pt idx="19">
                  <c:v>2.5260133405196787E-4</c:v>
                </c:pt>
                <c:pt idx="20">
                  <c:v>2.5438215810291237E-4</c:v>
                </c:pt>
                <c:pt idx="21">
                  <c:v>2.5111953062878484E-4</c:v>
                </c:pt>
                <c:pt idx="22">
                  <c:v>2.4411536205559085E-4</c:v>
                </c:pt>
                <c:pt idx="23">
                  <c:v>2.3708664520123195E-4</c:v>
                </c:pt>
                <c:pt idx="24">
                  <c:v>2.3003317125281871E-4</c:v>
                </c:pt>
              </c:numCache>
            </c:numRef>
          </c:val>
          <c:extLst>
            <c:ext xmlns:c16="http://schemas.microsoft.com/office/drawing/2014/chart" uri="{C3380CC4-5D6E-409C-BE32-E72D297353CC}">
              <c16:uniqueId val="{00000005-AE3F-4D2A-97BE-A467C6CE4C52}"/>
            </c:ext>
          </c:extLst>
        </c:ser>
        <c:ser>
          <c:idx val="6"/>
          <c:order val="6"/>
          <c:tx>
            <c:strRef>
              <c:f>'Results ReCiPe (H) - ESD ship'!$AB$138</c:f>
              <c:strCache>
                <c:ptCount val="1"/>
                <c:pt idx="0">
                  <c:v>Operation - geological storage</c:v>
                </c:pt>
              </c:strCache>
            </c:strRef>
          </c:tx>
          <c:spPr>
            <a:solidFill>
              <a:schemeClr val="accent1">
                <a:lumMod val="60000"/>
              </a:schemeClr>
            </a:solidFill>
            <a:ln>
              <a:noFill/>
            </a:ln>
            <a:effectLst/>
          </c:spPr>
          <c:invertIfNegative val="0"/>
          <c:cat>
            <c:numRef>
              <c:f>'Results ReCiPe (H) - ESD ship'!$AC$131:$BA$131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ship'!$AC$138:$BA$138</c:f>
              <c:numCache>
                <c:formatCode>0.00E+00</c:formatCode>
                <c:ptCount val="25"/>
                <c:pt idx="0">
                  <c:v>4.9246351932424972E-8</c:v>
                </c:pt>
                <c:pt idx="1">
                  <c:v>4.9096401214947981E-8</c:v>
                </c:pt>
                <c:pt idx="2">
                  <c:v>4.8946485162264705E-8</c:v>
                </c:pt>
                <c:pt idx="3">
                  <c:v>4.8768944437363166E-8</c:v>
                </c:pt>
                <c:pt idx="4">
                  <c:v>4.8618773227028101E-8</c:v>
                </c:pt>
                <c:pt idx="5">
                  <c:v>4.8468528753018203E-8</c:v>
                </c:pt>
                <c:pt idx="6">
                  <c:v>5.0366568213734085E-8</c:v>
                </c:pt>
                <c:pt idx="7">
                  <c:v>5.2256519793137814E-8</c:v>
                </c:pt>
                <c:pt idx="8">
                  <c:v>5.4122279002845554E-8</c:v>
                </c:pt>
                <c:pt idx="9">
                  <c:v>5.5998296207773871E-8</c:v>
                </c:pt>
                <c:pt idx="10">
                  <c:v>5.7865287131218987E-8</c:v>
                </c:pt>
                <c:pt idx="11">
                  <c:v>6.1427419162412621E-8</c:v>
                </c:pt>
                <c:pt idx="12">
                  <c:v>6.4990775352988838E-8</c:v>
                </c:pt>
                <c:pt idx="13">
                  <c:v>6.8552083854363568E-8</c:v>
                </c:pt>
                <c:pt idx="14">
                  <c:v>7.2119499972016069E-8</c:v>
                </c:pt>
                <c:pt idx="15">
                  <c:v>7.5689803461398313E-8</c:v>
                </c:pt>
                <c:pt idx="16">
                  <c:v>7.602331889571039E-8</c:v>
                </c:pt>
                <c:pt idx="17">
                  <c:v>7.6360321719172824E-8</c:v>
                </c:pt>
                <c:pt idx="18">
                  <c:v>7.6696632980447138E-8</c:v>
                </c:pt>
                <c:pt idx="19">
                  <c:v>7.7039330397763627E-8</c:v>
                </c:pt>
                <c:pt idx="20">
                  <c:v>7.7384269897101088E-8</c:v>
                </c:pt>
                <c:pt idx="21">
                  <c:v>7.6563945461364284E-8</c:v>
                </c:pt>
                <c:pt idx="22">
                  <c:v>7.4892009110078879E-8</c:v>
                </c:pt>
                <c:pt idx="23">
                  <c:v>7.3220815974611205E-8</c:v>
                </c:pt>
                <c:pt idx="24">
                  <c:v>7.1550334783920095E-8</c:v>
                </c:pt>
              </c:numCache>
            </c:numRef>
          </c:val>
          <c:extLst>
            <c:ext xmlns:c16="http://schemas.microsoft.com/office/drawing/2014/chart" uri="{C3380CC4-5D6E-409C-BE32-E72D297353CC}">
              <c16:uniqueId val="{00000006-AE3F-4D2A-97BE-A467C6CE4C52}"/>
            </c:ext>
          </c:extLst>
        </c:ser>
        <c:ser>
          <c:idx val="7"/>
          <c:order val="7"/>
          <c:tx>
            <c:strRef>
              <c:f>'Results ReCiPe (H) - ESD ship'!$AB$139</c:f>
              <c:strCache>
                <c:ptCount val="1"/>
                <c:pt idx="0">
                  <c:v>CO2 captured and stored</c:v>
                </c:pt>
              </c:strCache>
            </c:strRef>
          </c:tx>
          <c:spPr>
            <a:solidFill>
              <a:schemeClr val="accent2">
                <a:lumMod val="60000"/>
              </a:schemeClr>
            </a:solidFill>
            <a:ln>
              <a:noFill/>
            </a:ln>
            <a:effectLst/>
          </c:spPr>
          <c:invertIfNegative val="0"/>
          <c:cat>
            <c:numRef>
              <c:f>'Results ReCiPe (H) - ESD ship'!$AC$131:$BA$131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ship'!$AC$139:$BA$139</c:f>
              <c:numCache>
                <c:formatCode>0.00E+00</c:formatCode>
                <c:ptCount val="25"/>
                <c:pt idx="0">
                  <c:v>-2.8000764999999998E-4</c:v>
                </c:pt>
                <c:pt idx="1">
                  <c:v>-2.8000764999999998E-4</c:v>
                </c:pt>
                <c:pt idx="2">
                  <c:v>-2.8000764999999998E-4</c:v>
                </c:pt>
                <c:pt idx="3">
                  <c:v>-2.8000764999999998E-4</c:v>
                </c:pt>
                <c:pt idx="4">
                  <c:v>-2.8000764999999998E-4</c:v>
                </c:pt>
                <c:pt idx="5">
                  <c:v>-2.8000764999999998E-4</c:v>
                </c:pt>
                <c:pt idx="6">
                  <c:v>-2.8000764999999998E-4</c:v>
                </c:pt>
                <c:pt idx="7">
                  <c:v>-2.8000764999999998E-4</c:v>
                </c:pt>
                <c:pt idx="8">
                  <c:v>-2.8000764999999998E-4</c:v>
                </c:pt>
                <c:pt idx="9">
                  <c:v>-2.8000764999999998E-4</c:v>
                </c:pt>
                <c:pt idx="10">
                  <c:v>-2.8000764999999998E-4</c:v>
                </c:pt>
                <c:pt idx="11">
                  <c:v>-2.8000764999999998E-4</c:v>
                </c:pt>
                <c:pt idx="12">
                  <c:v>-2.8000764999999998E-4</c:v>
                </c:pt>
                <c:pt idx="13">
                  <c:v>-2.8000764999999998E-4</c:v>
                </c:pt>
                <c:pt idx="14">
                  <c:v>-2.8000764999999998E-4</c:v>
                </c:pt>
                <c:pt idx="15">
                  <c:v>-2.8000764999999998E-4</c:v>
                </c:pt>
                <c:pt idx="16">
                  <c:v>-2.8000764999999998E-4</c:v>
                </c:pt>
                <c:pt idx="17">
                  <c:v>-2.8000764999999998E-4</c:v>
                </c:pt>
                <c:pt idx="18">
                  <c:v>-2.8000764999999998E-4</c:v>
                </c:pt>
                <c:pt idx="19">
                  <c:v>-2.8000764999999998E-4</c:v>
                </c:pt>
                <c:pt idx="20">
                  <c:v>-2.8000764999999998E-4</c:v>
                </c:pt>
                <c:pt idx="21">
                  <c:v>-2.8000764999999998E-4</c:v>
                </c:pt>
                <c:pt idx="22">
                  <c:v>-2.8000764999999998E-4</c:v>
                </c:pt>
                <c:pt idx="23">
                  <c:v>-2.8000764999999998E-4</c:v>
                </c:pt>
                <c:pt idx="24">
                  <c:v>-2.8000764999999998E-4</c:v>
                </c:pt>
              </c:numCache>
            </c:numRef>
          </c:val>
          <c:extLst>
            <c:ext xmlns:c16="http://schemas.microsoft.com/office/drawing/2014/chart" uri="{C3380CC4-5D6E-409C-BE32-E72D297353CC}">
              <c16:uniqueId val="{00000007-AE3F-4D2A-97BE-A467C6CE4C52}"/>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ESD ship'!$AB$140</c:f>
              <c:strCache>
                <c:ptCount val="1"/>
                <c:pt idx="0">
                  <c:v>TOTAL per year</c:v>
                </c:pt>
              </c:strCache>
            </c:strRef>
          </c:tx>
          <c:spPr>
            <a:ln w="28575" cap="rnd">
              <a:solidFill>
                <a:schemeClr val="accent3">
                  <a:lumMod val="60000"/>
                </a:schemeClr>
              </a:solidFill>
              <a:round/>
            </a:ln>
            <a:effectLst/>
          </c:spPr>
          <c:marker>
            <c:symbol val="circle"/>
            <c:size val="5"/>
            <c:spPr>
              <a:solidFill>
                <a:schemeClr val="tx1"/>
              </a:solidFill>
              <a:ln w="9525">
                <a:solidFill>
                  <a:schemeClr val="accent3">
                    <a:lumMod val="60000"/>
                  </a:schemeClr>
                </a:solidFill>
              </a:ln>
              <a:effectLst/>
            </c:spPr>
          </c:marker>
          <c:cat>
            <c:numRef>
              <c:f>'Results ReCiPe (H) - ESD ship'!$AC$131:$BA$131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ship'!$AC$140:$BA$140</c:f>
              <c:numCache>
                <c:formatCode>0.00E+00</c:formatCode>
                <c:ptCount val="25"/>
                <c:pt idx="0">
                  <c:v>5.6720740760124097E-5</c:v>
                </c:pt>
                <c:pt idx="1">
                  <c:v>-1.5433874305646365E-4</c:v>
                </c:pt>
                <c:pt idx="2">
                  <c:v>-1.548171758258852E-4</c:v>
                </c:pt>
                <c:pt idx="3">
                  <c:v>-1.5092061469238076E-4</c:v>
                </c:pt>
                <c:pt idx="4">
                  <c:v>-1.5590135079268156E-4</c:v>
                </c:pt>
                <c:pt idx="5">
                  <c:v>-1.5638449061186049E-4</c:v>
                </c:pt>
                <c:pt idx="6">
                  <c:v>-1.4342637849673509E-4</c:v>
                </c:pt>
                <c:pt idx="7">
                  <c:v>-1.3946024954063346E-4</c:v>
                </c:pt>
                <c:pt idx="8">
                  <c:v>-1.3108593498581891E-4</c:v>
                </c:pt>
                <c:pt idx="9">
                  <c:v>-1.1814769667684792E-4</c:v>
                </c:pt>
                <c:pt idx="10">
                  <c:v>-1.1421402345459684E-4</c:v>
                </c:pt>
                <c:pt idx="11">
                  <c:v>-9.8313360069800031E-5</c:v>
                </c:pt>
                <c:pt idx="12">
                  <c:v>-7.7849363908823085E-5</c:v>
                </c:pt>
                <c:pt idx="13">
                  <c:v>-6.6400527690738505E-5</c:v>
                </c:pt>
                <c:pt idx="14">
                  <c:v>-5.0366899274554032E-5</c:v>
                </c:pt>
                <c:pt idx="15">
                  <c:v>-2.9733725646017119E-5</c:v>
                </c:pt>
                <c:pt idx="16">
                  <c:v>-3.2567549734075212E-5</c:v>
                </c:pt>
                <c:pt idx="17">
                  <c:v>-3.0832550688985141E-5</c:v>
                </c:pt>
                <c:pt idx="18">
                  <c:v>-2.4601229357865996E-5</c:v>
                </c:pt>
                <c:pt idx="19">
                  <c:v>-2.7329276617634379E-5</c:v>
                </c:pt>
                <c:pt idx="20">
                  <c:v>-2.5548107627190492E-5</c:v>
                </c:pt>
                <c:pt idx="21">
                  <c:v>-2.4359745532554909E-5</c:v>
                </c:pt>
                <c:pt idx="22">
                  <c:v>-3.5817395935299032E-5</c:v>
                </c:pt>
                <c:pt idx="23">
                  <c:v>-4.2847783982793416E-5</c:v>
                </c:pt>
                <c:pt idx="24">
                  <c:v>-4.26160136293845E-5</c:v>
                </c:pt>
              </c:numCache>
            </c:numRef>
          </c:val>
          <c:smooth val="0"/>
          <c:extLst>
            <c:ext xmlns:c16="http://schemas.microsoft.com/office/drawing/2014/chart" uri="{C3380CC4-5D6E-409C-BE32-E72D297353CC}">
              <c16:uniqueId val="{00000008-AE3F-4D2A-97BE-A467C6CE4C52}"/>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Ecosystem damage </a:t>
                </a:r>
              </a:p>
              <a:p>
                <a:pPr algn="ctr" rtl="0">
                  <a:defRPr/>
                </a:pPr>
                <a:r>
                  <a:rPr lang="nl-NL"/>
                  <a:t>[PDF*yr/ton CO2 captured and stored)</a:t>
                </a:r>
                <a:endParaRPr lang="en-NL"/>
              </a:p>
              <a:p>
                <a:pPr algn="ctr" rtl="0">
                  <a:defRPr/>
                </a:pPr>
                <a:endParaRPr lang="nl-NL"/>
              </a:p>
            </c:rich>
          </c:tx>
          <c:layout>
            <c:manualLayout>
              <c:xMode val="edge"/>
              <c:yMode val="edge"/>
              <c:x val="7.9702420389474969E-3"/>
              <c:y val="0.1809137471468788"/>
            </c:manualLayout>
          </c:layout>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ESD ship'!$AB$173</c:f>
              <c:strCache>
                <c:ptCount val="1"/>
                <c:pt idx="0">
                  <c:v>Construction - DAC</c:v>
                </c:pt>
              </c:strCache>
            </c:strRef>
          </c:tx>
          <c:spPr>
            <a:solidFill>
              <a:schemeClr val="accent1"/>
            </a:solidFill>
            <a:ln>
              <a:noFill/>
            </a:ln>
            <a:effectLst/>
          </c:spPr>
          <c:invertIfNegative val="0"/>
          <c:cat>
            <c:numRef>
              <c:f>'Results ReCiPe (H) - ESD ship'!$AC$172:$BA$172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ship'!$AC$173:$BA$173</c:f>
              <c:numCache>
                <c:formatCode>0.00E+00</c:formatCode>
                <c:ptCount val="25"/>
                <c:pt idx="0">
                  <c:v>1.8346526921509307E-4</c:v>
                </c:pt>
              </c:numCache>
            </c:numRef>
          </c:val>
          <c:extLst>
            <c:ext xmlns:c16="http://schemas.microsoft.com/office/drawing/2014/chart" uri="{C3380CC4-5D6E-409C-BE32-E72D297353CC}">
              <c16:uniqueId val="{00000000-27A7-49C2-8933-6C5009B37409}"/>
            </c:ext>
          </c:extLst>
        </c:ser>
        <c:ser>
          <c:idx val="1"/>
          <c:order val="1"/>
          <c:tx>
            <c:strRef>
              <c:f>'Results ReCiPe (H) - ESD ship'!$AB$174</c:f>
              <c:strCache>
                <c:ptCount val="1"/>
                <c:pt idx="0">
                  <c:v>Construction - geological storage</c:v>
                </c:pt>
              </c:strCache>
            </c:strRef>
          </c:tx>
          <c:spPr>
            <a:solidFill>
              <a:schemeClr val="accent2"/>
            </a:solidFill>
            <a:ln>
              <a:noFill/>
            </a:ln>
            <a:effectLst/>
          </c:spPr>
          <c:invertIfNegative val="0"/>
          <c:cat>
            <c:numRef>
              <c:f>'Results ReCiPe (H) - ESD ship'!$AC$172:$BA$172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ship'!$AC$174:$BA$174</c:f>
              <c:numCache>
                <c:formatCode>0.00E+00</c:formatCode>
                <c:ptCount val="25"/>
                <c:pt idx="0">
                  <c:v>1.0765797689579158E-5</c:v>
                </c:pt>
              </c:numCache>
            </c:numRef>
          </c:val>
          <c:extLst>
            <c:ext xmlns:c16="http://schemas.microsoft.com/office/drawing/2014/chart" uri="{C3380CC4-5D6E-409C-BE32-E72D297353CC}">
              <c16:uniqueId val="{00000001-27A7-49C2-8933-6C5009B37409}"/>
            </c:ext>
          </c:extLst>
        </c:ser>
        <c:ser>
          <c:idx val="2"/>
          <c:order val="2"/>
          <c:tx>
            <c:strRef>
              <c:f>'Results ReCiPe (H) - ESD ship'!$AB$175</c:f>
              <c:strCache>
                <c:ptCount val="1"/>
                <c:pt idx="0">
                  <c:v>Deconstruction - DAC</c:v>
                </c:pt>
              </c:strCache>
            </c:strRef>
          </c:tx>
          <c:spPr>
            <a:solidFill>
              <a:schemeClr val="accent3"/>
            </a:solidFill>
            <a:ln>
              <a:noFill/>
            </a:ln>
            <a:effectLst/>
          </c:spPr>
          <c:invertIfNegative val="0"/>
          <c:cat>
            <c:numRef>
              <c:f>'Results ReCiPe (H) - ESD ship'!$AC$172:$BA$172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ship'!$AC$175:$BA$175</c:f>
              <c:numCache>
                <c:formatCode>0.00E+00</c:formatCode>
                <c:ptCount val="25"/>
                <c:pt idx="24">
                  <c:v>2.5814369390254752E-6</c:v>
                </c:pt>
              </c:numCache>
            </c:numRef>
          </c:val>
          <c:extLst>
            <c:ext xmlns:c16="http://schemas.microsoft.com/office/drawing/2014/chart" uri="{C3380CC4-5D6E-409C-BE32-E72D297353CC}">
              <c16:uniqueId val="{00000002-27A7-49C2-8933-6C5009B37409}"/>
            </c:ext>
          </c:extLst>
        </c:ser>
        <c:ser>
          <c:idx val="3"/>
          <c:order val="3"/>
          <c:tx>
            <c:strRef>
              <c:f>'Results ReCiPe (H) - ESD ship'!$AB$176</c:f>
              <c:strCache>
                <c:ptCount val="1"/>
                <c:pt idx="0">
                  <c:v>Deconstruction - geological storage</c:v>
                </c:pt>
              </c:strCache>
            </c:strRef>
          </c:tx>
          <c:spPr>
            <a:solidFill>
              <a:schemeClr val="accent4"/>
            </a:solidFill>
            <a:ln>
              <a:noFill/>
            </a:ln>
            <a:effectLst/>
          </c:spPr>
          <c:invertIfNegative val="0"/>
          <c:cat>
            <c:numRef>
              <c:f>'Results ReCiPe (H) - ESD ship'!$AC$172:$BA$172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ship'!$AC$176:$BA$176</c:f>
              <c:numCache>
                <c:formatCode>0.00E+00</c:formatCode>
                <c:ptCount val="25"/>
                <c:pt idx="24">
                  <c:v>8.9177657234606268E-8</c:v>
                </c:pt>
              </c:numCache>
            </c:numRef>
          </c:val>
          <c:extLst>
            <c:ext xmlns:c16="http://schemas.microsoft.com/office/drawing/2014/chart" uri="{C3380CC4-5D6E-409C-BE32-E72D297353CC}">
              <c16:uniqueId val="{00000003-27A7-49C2-8933-6C5009B37409}"/>
            </c:ext>
          </c:extLst>
        </c:ser>
        <c:ser>
          <c:idx val="4"/>
          <c:order val="4"/>
          <c:tx>
            <c:strRef>
              <c:f>'Results ReCiPe (H) - ESD ship'!$AB$177</c:f>
              <c:strCache>
                <c:ptCount val="1"/>
                <c:pt idx="0">
                  <c:v>Sorbent material</c:v>
                </c:pt>
              </c:strCache>
            </c:strRef>
          </c:tx>
          <c:spPr>
            <a:solidFill>
              <a:schemeClr val="accent5"/>
            </a:solidFill>
            <a:ln>
              <a:noFill/>
            </a:ln>
            <a:effectLst/>
          </c:spPr>
          <c:invertIfNegative val="0"/>
          <c:cat>
            <c:numRef>
              <c:f>'Results ReCiPe (H) - ESD ship'!$AC$172:$BA$172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ship'!$AC$177:$BA$177</c:f>
              <c:numCache>
                <c:formatCode>0.00E+00</c:formatCode>
                <c:ptCount val="25"/>
                <c:pt idx="0">
                  <c:v>4.3941155135361717E-6</c:v>
                </c:pt>
                <c:pt idx="3">
                  <c:v>4.2507924568478764E-6</c:v>
                </c:pt>
                <c:pt idx="6">
                  <c:v>4.1207843305059888E-6</c:v>
                </c:pt>
                <c:pt idx="9">
                  <c:v>3.961479922998473E-6</c:v>
                </c:pt>
                <c:pt idx="12">
                  <c:v>3.782659921523485E-6</c:v>
                </c:pt>
                <c:pt idx="15">
                  <c:v>3.5852486401048028E-6</c:v>
                </c:pt>
                <c:pt idx="18">
                  <c:v>3.4498744880293848E-6</c:v>
                </c:pt>
                <c:pt idx="21">
                  <c:v>3.372986237475297E-6</c:v>
                </c:pt>
                <c:pt idx="24">
                  <c:v>3.3539861692443772E-6</c:v>
                </c:pt>
              </c:numCache>
            </c:numRef>
          </c:val>
          <c:extLst>
            <c:ext xmlns:c16="http://schemas.microsoft.com/office/drawing/2014/chart" uri="{C3380CC4-5D6E-409C-BE32-E72D297353CC}">
              <c16:uniqueId val="{00000004-27A7-49C2-8933-6C5009B37409}"/>
            </c:ext>
          </c:extLst>
        </c:ser>
        <c:ser>
          <c:idx val="5"/>
          <c:order val="5"/>
          <c:tx>
            <c:strRef>
              <c:f>'Results ReCiPe (H) - ESD ship'!$AB$178</c:f>
              <c:strCache>
                <c:ptCount val="1"/>
                <c:pt idx="0">
                  <c:v>Operation - DAC</c:v>
                </c:pt>
              </c:strCache>
            </c:strRef>
          </c:tx>
          <c:spPr>
            <a:solidFill>
              <a:schemeClr val="accent6"/>
            </a:solidFill>
            <a:ln>
              <a:noFill/>
            </a:ln>
            <a:effectLst/>
          </c:spPr>
          <c:invertIfNegative val="0"/>
          <c:cat>
            <c:numRef>
              <c:f>'Results ReCiPe (H) - ESD ship'!$AC$172:$BA$172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ship'!$AC$178:$BA$178</c:f>
              <c:numCache>
                <c:formatCode>0.00E+00</c:formatCode>
                <c:ptCount val="25"/>
                <c:pt idx="0">
                  <c:v>1.0631386695713137E-4</c:v>
                </c:pt>
                <c:pt idx="1">
                  <c:v>9.9195492323323346E-5</c:v>
                </c:pt>
                <c:pt idx="2">
                  <c:v>9.2071055427469641E-5</c:v>
                </c:pt>
                <c:pt idx="3">
                  <c:v>8.480967982117366E-5</c:v>
                </c:pt>
                <c:pt idx="4">
                  <c:v>7.7671362794186723E-5</c:v>
                </c:pt>
                <c:pt idx="5">
                  <c:v>7.0526797329012271E-5</c:v>
                </c:pt>
                <c:pt idx="6">
                  <c:v>6.6021432869089867E-5</c:v>
                </c:pt>
                <c:pt idx="7">
                  <c:v>6.1518250126262004E-5</c:v>
                </c:pt>
                <c:pt idx="8">
                  <c:v>5.6915220684311279E-5</c:v>
                </c:pt>
                <c:pt idx="9">
                  <c:v>5.2397405095628239E-5</c:v>
                </c:pt>
                <c:pt idx="10">
                  <c:v>4.787080628765045E-5</c:v>
                </c:pt>
                <c:pt idx="11">
                  <c:v>4.4823461488432227E-5</c:v>
                </c:pt>
                <c:pt idx="12">
                  <c:v>4.1761576383950526E-5</c:v>
                </c:pt>
                <c:pt idx="13">
                  <c:v>3.865316298722266E-5</c:v>
                </c:pt>
                <c:pt idx="14">
                  <c:v>3.5556269763647242E-5</c:v>
                </c:pt>
                <c:pt idx="15">
                  <c:v>3.2445173908467337E-5</c:v>
                </c:pt>
                <c:pt idx="16">
                  <c:v>3.1057485592137793E-5</c:v>
                </c:pt>
                <c:pt idx="17">
                  <c:v>2.967422560339777E-5</c:v>
                </c:pt>
                <c:pt idx="18">
                  <c:v>2.8268104320533644E-5</c:v>
                </c:pt>
                <c:pt idx="19">
                  <c:v>2.6892810437179852E-5</c:v>
                </c:pt>
                <c:pt idx="20">
                  <c:v>2.5316103019982918E-5</c:v>
                </c:pt>
                <c:pt idx="21">
                  <c:v>2.5353384783025232E-5</c:v>
                </c:pt>
                <c:pt idx="22">
                  <c:v>2.4706877807295189E-5</c:v>
                </c:pt>
                <c:pt idx="23">
                  <c:v>2.405735843545893E-5</c:v>
                </c:pt>
                <c:pt idx="24">
                  <c:v>2.340475868104593E-5</c:v>
                </c:pt>
              </c:numCache>
            </c:numRef>
          </c:val>
          <c:extLst>
            <c:ext xmlns:c16="http://schemas.microsoft.com/office/drawing/2014/chart" uri="{C3380CC4-5D6E-409C-BE32-E72D297353CC}">
              <c16:uniqueId val="{00000005-27A7-49C2-8933-6C5009B37409}"/>
            </c:ext>
          </c:extLst>
        </c:ser>
        <c:ser>
          <c:idx val="6"/>
          <c:order val="6"/>
          <c:tx>
            <c:strRef>
              <c:f>'Results ReCiPe (H) - ESD ship'!$AB$179</c:f>
              <c:strCache>
                <c:ptCount val="1"/>
                <c:pt idx="0">
                  <c:v>Operation - geological storage</c:v>
                </c:pt>
              </c:strCache>
            </c:strRef>
          </c:tx>
          <c:spPr>
            <a:solidFill>
              <a:schemeClr val="accent1">
                <a:lumMod val="60000"/>
              </a:schemeClr>
            </a:solidFill>
            <a:ln>
              <a:noFill/>
            </a:ln>
            <a:effectLst/>
          </c:spPr>
          <c:invertIfNegative val="0"/>
          <c:cat>
            <c:numRef>
              <c:f>'Results ReCiPe (H) - ESD ship'!$AC$172:$BA$172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ship'!$AC$179:$BA$179</c:f>
              <c:numCache>
                <c:formatCode>0.00E+00</c:formatCode>
                <c:ptCount val="25"/>
                <c:pt idx="0">
                  <c:v>4.4599183429911463E-8</c:v>
                </c:pt>
                <c:pt idx="1">
                  <c:v>4.2921055572741688E-8</c:v>
                </c:pt>
                <c:pt idx="2">
                  <c:v>4.1248971144128296E-8</c:v>
                </c:pt>
                <c:pt idx="3">
                  <c:v>3.9553479156818589E-8</c:v>
                </c:pt>
                <c:pt idx="4">
                  <c:v>3.7893087942559588E-8</c:v>
                </c:pt>
                <c:pt idx="5">
                  <c:v>3.623869508419666E-8</c:v>
                </c:pt>
                <c:pt idx="6">
                  <c:v>3.5198452194382971E-8</c:v>
                </c:pt>
                <c:pt idx="7">
                  <c:v>3.4159916250607981E-8</c:v>
                </c:pt>
                <c:pt idx="8">
                  <c:v>3.3100397587619832E-8</c:v>
                </c:pt>
                <c:pt idx="9">
                  <c:v>3.2062250061703584E-8</c:v>
                </c:pt>
                <c:pt idx="10">
                  <c:v>3.1024184307833054E-8</c:v>
                </c:pt>
                <c:pt idx="11">
                  <c:v>3.0323495175756169E-8</c:v>
                </c:pt>
                <c:pt idx="12">
                  <c:v>2.9619702685823993E-8</c:v>
                </c:pt>
                <c:pt idx="13">
                  <c:v>2.8905555637098774E-8</c:v>
                </c:pt>
                <c:pt idx="14">
                  <c:v>2.81941579399165E-8</c:v>
                </c:pt>
                <c:pt idx="15">
                  <c:v>2.7479642771978447E-8</c:v>
                </c:pt>
                <c:pt idx="16">
                  <c:v>2.715961731985727E-8</c:v>
                </c:pt>
                <c:pt idx="17">
                  <c:v>2.6839753454583142E-8</c:v>
                </c:pt>
                <c:pt idx="18">
                  <c:v>2.6513885385237577E-8</c:v>
                </c:pt>
                <c:pt idx="19">
                  <c:v>2.6193992684558678E-8</c:v>
                </c:pt>
                <c:pt idx="20">
                  <c:v>2.5874298598832772E-8</c:v>
                </c:pt>
                <c:pt idx="21">
                  <c:v>2.5898805793514236E-8</c:v>
                </c:pt>
                <c:pt idx="22">
                  <c:v>2.5749556305529373E-8</c:v>
                </c:pt>
                <c:pt idx="23">
                  <c:v>2.5600064351468402E-8</c:v>
                </c:pt>
                <c:pt idx="24">
                  <c:v>2.5450308404637885E-8</c:v>
                </c:pt>
              </c:numCache>
            </c:numRef>
          </c:val>
          <c:extLst>
            <c:ext xmlns:c16="http://schemas.microsoft.com/office/drawing/2014/chart" uri="{C3380CC4-5D6E-409C-BE32-E72D297353CC}">
              <c16:uniqueId val="{00000006-27A7-49C2-8933-6C5009B37409}"/>
            </c:ext>
          </c:extLst>
        </c:ser>
        <c:ser>
          <c:idx val="7"/>
          <c:order val="7"/>
          <c:tx>
            <c:strRef>
              <c:f>'Results ReCiPe (H) - ESD ship'!$AB$180</c:f>
              <c:strCache>
                <c:ptCount val="1"/>
                <c:pt idx="0">
                  <c:v>CO2 captured and stored</c:v>
                </c:pt>
              </c:strCache>
            </c:strRef>
          </c:tx>
          <c:spPr>
            <a:solidFill>
              <a:schemeClr val="accent2">
                <a:lumMod val="60000"/>
              </a:schemeClr>
            </a:solidFill>
            <a:ln>
              <a:noFill/>
            </a:ln>
            <a:effectLst/>
          </c:spPr>
          <c:invertIfNegative val="0"/>
          <c:cat>
            <c:numRef>
              <c:f>'Results ReCiPe (H) - ESD ship'!$AC$172:$BA$172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ship'!$AC$180:$BA$180</c:f>
              <c:numCache>
                <c:formatCode>0.00E+00</c:formatCode>
                <c:ptCount val="25"/>
                <c:pt idx="0">
                  <c:v>-2.8000764999999998E-4</c:v>
                </c:pt>
                <c:pt idx="1">
                  <c:v>-2.8000764999999998E-4</c:v>
                </c:pt>
                <c:pt idx="2">
                  <c:v>-2.8000764999999998E-4</c:v>
                </c:pt>
                <c:pt idx="3">
                  <c:v>-2.8000764999999998E-4</c:v>
                </c:pt>
                <c:pt idx="4">
                  <c:v>-2.8000764999999998E-4</c:v>
                </c:pt>
                <c:pt idx="5">
                  <c:v>-2.8000764999999998E-4</c:v>
                </c:pt>
                <c:pt idx="6">
                  <c:v>-2.8000764999999998E-4</c:v>
                </c:pt>
                <c:pt idx="7">
                  <c:v>-2.8000764999999998E-4</c:v>
                </c:pt>
                <c:pt idx="8">
                  <c:v>-2.8000764999999998E-4</c:v>
                </c:pt>
                <c:pt idx="9">
                  <c:v>-2.8000764999999998E-4</c:v>
                </c:pt>
                <c:pt idx="10">
                  <c:v>-2.8000764999999998E-4</c:v>
                </c:pt>
                <c:pt idx="11">
                  <c:v>-2.8000764999999998E-4</c:v>
                </c:pt>
                <c:pt idx="12">
                  <c:v>-2.8000764999999998E-4</c:v>
                </c:pt>
                <c:pt idx="13">
                  <c:v>-2.8000764999999998E-4</c:v>
                </c:pt>
                <c:pt idx="14">
                  <c:v>-2.8000764999999998E-4</c:v>
                </c:pt>
                <c:pt idx="15">
                  <c:v>-2.8000764999999998E-4</c:v>
                </c:pt>
                <c:pt idx="16">
                  <c:v>-2.8000764999999998E-4</c:v>
                </c:pt>
                <c:pt idx="17">
                  <c:v>-2.8000764999999998E-4</c:v>
                </c:pt>
                <c:pt idx="18">
                  <c:v>-2.8000764999999998E-4</c:v>
                </c:pt>
                <c:pt idx="19">
                  <c:v>-2.8000764999999998E-4</c:v>
                </c:pt>
                <c:pt idx="20">
                  <c:v>-2.8000764999999998E-4</c:v>
                </c:pt>
                <c:pt idx="21">
                  <c:v>-2.8000764999999998E-4</c:v>
                </c:pt>
                <c:pt idx="22">
                  <c:v>-2.8000764999999998E-4</c:v>
                </c:pt>
                <c:pt idx="23">
                  <c:v>-2.8000764999999998E-4</c:v>
                </c:pt>
                <c:pt idx="24">
                  <c:v>-2.8000764999999998E-4</c:v>
                </c:pt>
              </c:numCache>
            </c:numRef>
          </c:val>
          <c:extLst>
            <c:ext xmlns:c16="http://schemas.microsoft.com/office/drawing/2014/chart" uri="{C3380CC4-5D6E-409C-BE32-E72D297353CC}">
              <c16:uniqueId val="{00000007-27A7-49C2-8933-6C5009B37409}"/>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ESD ship'!$AB$181</c:f>
              <c:strCache>
                <c:ptCount val="1"/>
                <c:pt idx="0">
                  <c:v>TOTAL per year</c:v>
                </c:pt>
              </c:strCache>
            </c:strRef>
          </c:tx>
          <c:spPr>
            <a:ln w="28575" cap="rnd">
              <a:solidFill>
                <a:schemeClr val="accent3">
                  <a:lumMod val="60000"/>
                </a:schemeClr>
              </a:solidFill>
              <a:round/>
            </a:ln>
            <a:effectLst/>
          </c:spPr>
          <c:marker>
            <c:symbol val="circle"/>
            <c:size val="5"/>
            <c:spPr>
              <a:solidFill>
                <a:schemeClr val="tx1"/>
              </a:solidFill>
              <a:ln w="9525">
                <a:solidFill>
                  <a:schemeClr val="tx1"/>
                </a:solidFill>
              </a:ln>
              <a:effectLst/>
            </c:spPr>
          </c:marker>
          <c:cat>
            <c:numRef>
              <c:f>'Results ReCiPe (H) - ESD ship'!$AC$172:$BA$172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ship'!$AC$181:$BA$181</c:f>
              <c:numCache>
                <c:formatCode>0.00E+00</c:formatCode>
                <c:ptCount val="25"/>
                <c:pt idx="0">
                  <c:v>2.4975998558769686E-5</c:v>
                </c:pt>
                <c:pt idx="1">
                  <c:v>-1.807692366211039E-4</c:v>
                </c:pt>
                <c:pt idx="2">
                  <c:v>-1.878953456013862E-4</c:v>
                </c:pt>
                <c:pt idx="3">
                  <c:v>-1.9090762424282164E-4</c:v>
                </c:pt>
                <c:pt idx="4">
                  <c:v>-2.022983941178707E-4</c:v>
                </c:pt>
                <c:pt idx="5">
                  <c:v>-2.0944461397590352E-4</c:v>
                </c:pt>
                <c:pt idx="6">
                  <c:v>-2.0983023434820974E-4</c:v>
                </c:pt>
                <c:pt idx="7">
                  <c:v>-2.1845523995748736E-4</c:v>
                </c:pt>
                <c:pt idx="8">
                  <c:v>-2.230593289181011E-4</c:v>
                </c:pt>
                <c:pt idx="9">
                  <c:v>-2.2361670273131156E-4</c:v>
                </c:pt>
                <c:pt idx="10">
                  <c:v>-2.321058195280417E-4</c:v>
                </c:pt>
                <c:pt idx="11">
                  <c:v>-2.35153865016392E-4</c:v>
                </c:pt>
                <c:pt idx="12">
                  <c:v>-2.3443379399184014E-4</c:v>
                </c:pt>
                <c:pt idx="13">
                  <c:v>-2.4132558145714022E-4</c:v>
                </c:pt>
                <c:pt idx="14">
                  <c:v>-2.4442318607841284E-4</c:v>
                </c:pt>
                <c:pt idx="15">
                  <c:v>-2.4394974780865585E-4</c:v>
                </c:pt>
                <c:pt idx="16">
                  <c:v>-2.4892300479054233E-4</c:v>
                </c:pt>
                <c:pt idx="17">
                  <c:v>-2.5030658464314764E-4</c:v>
                </c:pt>
                <c:pt idx="18">
                  <c:v>-2.4826315730605173E-4</c:v>
                </c:pt>
                <c:pt idx="19">
                  <c:v>-2.530886455701356E-4</c:v>
                </c:pt>
                <c:pt idx="20">
                  <c:v>-2.5466567268141822E-4</c:v>
                </c:pt>
                <c:pt idx="21">
                  <c:v>-2.5125538017370592E-4</c:v>
                </c:pt>
                <c:pt idx="22">
                  <c:v>-2.5527502263639928E-4</c:v>
                </c:pt>
                <c:pt idx="23">
                  <c:v>-2.5592469150018956E-4</c:v>
                </c:pt>
                <c:pt idx="24">
                  <c:v>-2.5055284024504495E-4</c:v>
                </c:pt>
              </c:numCache>
            </c:numRef>
          </c:val>
          <c:smooth val="0"/>
          <c:extLst>
            <c:ext xmlns:c16="http://schemas.microsoft.com/office/drawing/2014/chart" uri="{C3380CC4-5D6E-409C-BE32-E72D297353CC}">
              <c16:uniqueId val="{00000008-27A7-49C2-8933-6C5009B37409}"/>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nl-NL"/>
                  <a:t>years</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NL"/>
            </a:p>
          </c:txPr>
        </c:title>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Ecosystem damage </a:t>
                </a:r>
              </a:p>
              <a:p>
                <a:pPr algn="ctr" rtl="0">
                  <a:defRPr/>
                </a:pPr>
                <a:r>
                  <a:rPr lang="nl-NL"/>
                  <a:t>[PDF*yr/ton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ESD ship'!$AB$214</c:f>
              <c:strCache>
                <c:ptCount val="1"/>
                <c:pt idx="0">
                  <c:v>Construction - DAC</c:v>
                </c:pt>
              </c:strCache>
            </c:strRef>
          </c:tx>
          <c:spPr>
            <a:solidFill>
              <a:schemeClr val="accent1"/>
            </a:solidFill>
            <a:ln>
              <a:noFill/>
            </a:ln>
            <a:effectLst/>
          </c:spPr>
          <c:invertIfNegative val="0"/>
          <c:cat>
            <c:numRef>
              <c:f>'Results ReCiPe (H) - ESD ship'!$AC$213:$BA$213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ship'!$AC$214:$BA$214</c:f>
              <c:numCache>
                <c:formatCode>0.00E+00</c:formatCode>
                <c:ptCount val="25"/>
                <c:pt idx="0">
                  <c:v>1.5226911141711527E-4</c:v>
                </c:pt>
              </c:numCache>
            </c:numRef>
          </c:val>
          <c:extLst>
            <c:ext xmlns:c16="http://schemas.microsoft.com/office/drawing/2014/chart" uri="{C3380CC4-5D6E-409C-BE32-E72D297353CC}">
              <c16:uniqueId val="{00000000-749E-4007-AC79-10950809DEA3}"/>
            </c:ext>
          </c:extLst>
        </c:ser>
        <c:ser>
          <c:idx val="1"/>
          <c:order val="1"/>
          <c:tx>
            <c:strRef>
              <c:f>'Results ReCiPe (H) - ESD ship'!$AB$215</c:f>
              <c:strCache>
                <c:ptCount val="1"/>
                <c:pt idx="0">
                  <c:v>Construction - geological storage</c:v>
                </c:pt>
              </c:strCache>
            </c:strRef>
          </c:tx>
          <c:spPr>
            <a:solidFill>
              <a:schemeClr val="accent2"/>
            </a:solidFill>
            <a:ln>
              <a:noFill/>
            </a:ln>
            <a:effectLst/>
          </c:spPr>
          <c:invertIfNegative val="0"/>
          <c:cat>
            <c:numRef>
              <c:f>'Results ReCiPe (H) - ESD ship'!$AC$213:$BA$213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ship'!$AC$215:$BA$215</c:f>
              <c:numCache>
                <c:formatCode>0.00E+00</c:formatCode>
                <c:ptCount val="25"/>
                <c:pt idx="0">
                  <c:v>9.7865963272845992E-6</c:v>
                </c:pt>
              </c:numCache>
            </c:numRef>
          </c:val>
          <c:extLst>
            <c:ext xmlns:c16="http://schemas.microsoft.com/office/drawing/2014/chart" uri="{C3380CC4-5D6E-409C-BE32-E72D297353CC}">
              <c16:uniqueId val="{00000001-749E-4007-AC79-10950809DEA3}"/>
            </c:ext>
          </c:extLst>
        </c:ser>
        <c:ser>
          <c:idx val="2"/>
          <c:order val="2"/>
          <c:tx>
            <c:strRef>
              <c:f>'Results ReCiPe (H) - ESD ship'!$AB$216</c:f>
              <c:strCache>
                <c:ptCount val="1"/>
                <c:pt idx="0">
                  <c:v>Deconstruction - DAC</c:v>
                </c:pt>
              </c:strCache>
            </c:strRef>
          </c:tx>
          <c:spPr>
            <a:solidFill>
              <a:schemeClr val="accent3"/>
            </a:solidFill>
            <a:ln>
              <a:noFill/>
            </a:ln>
            <a:effectLst/>
          </c:spPr>
          <c:invertIfNegative val="0"/>
          <c:cat>
            <c:numRef>
              <c:f>'Results ReCiPe (H) - ESD ship'!$AC$213:$BA$213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ship'!$AC$216:$BA$216</c:f>
              <c:numCache>
                <c:formatCode>0.00E+00</c:formatCode>
                <c:ptCount val="25"/>
                <c:pt idx="24">
                  <c:v>2.4979772832792044E-6</c:v>
                </c:pt>
              </c:numCache>
            </c:numRef>
          </c:val>
          <c:extLst>
            <c:ext xmlns:c16="http://schemas.microsoft.com/office/drawing/2014/chart" uri="{C3380CC4-5D6E-409C-BE32-E72D297353CC}">
              <c16:uniqueId val="{00000002-749E-4007-AC79-10950809DEA3}"/>
            </c:ext>
          </c:extLst>
        </c:ser>
        <c:ser>
          <c:idx val="3"/>
          <c:order val="3"/>
          <c:tx>
            <c:strRef>
              <c:f>'Results ReCiPe (H) - ESD ship'!$AB$217</c:f>
              <c:strCache>
                <c:ptCount val="1"/>
                <c:pt idx="0">
                  <c:v>Deconstruction - geological storage</c:v>
                </c:pt>
              </c:strCache>
            </c:strRef>
          </c:tx>
          <c:spPr>
            <a:solidFill>
              <a:schemeClr val="accent4"/>
            </a:solidFill>
            <a:ln>
              <a:noFill/>
            </a:ln>
            <a:effectLst/>
          </c:spPr>
          <c:invertIfNegative val="0"/>
          <c:cat>
            <c:numRef>
              <c:f>'Results ReCiPe (H) - ESD ship'!$AC$213:$BA$213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ship'!$AC$217:$BA$217</c:f>
              <c:numCache>
                <c:formatCode>0.00E+00</c:formatCode>
                <c:ptCount val="25"/>
                <c:pt idx="24">
                  <c:v>8.9291412421487725E-8</c:v>
                </c:pt>
              </c:numCache>
            </c:numRef>
          </c:val>
          <c:extLst>
            <c:ext xmlns:c16="http://schemas.microsoft.com/office/drawing/2014/chart" uri="{C3380CC4-5D6E-409C-BE32-E72D297353CC}">
              <c16:uniqueId val="{00000003-749E-4007-AC79-10950809DEA3}"/>
            </c:ext>
          </c:extLst>
        </c:ser>
        <c:ser>
          <c:idx val="4"/>
          <c:order val="4"/>
          <c:tx>
            <c:strRef>
              <c:f>'Results ReCiPe (H) - ESD ship'!$AB$218</c:f>
              <c:strCache>
                <c:ptCount val="1"/>
                <c:pt idx="0">
                  <c:v>Sorbent material</c:v>
                </c:pt>
              </c:strCache>
            </c:strRef>
          </c:tx>
          <c:spPr>
            <a:solidFill>
              <a:schemeClr val="accent5"/>
            </a:solidFill>
            <a:ln>
              <a:noFill/>
            </a:ln>
            <a:effectLst/>
          </c:spPr>
          <c:invertIfNegative val="0"/>
          <c:cat>
            <c:numRef>
              <c:f>'Results ReCiPe (H) - ESD ship'!$AC$213:$BA$213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ship'!$AC$218:$BA$218</c:f>
              <c:numCache>
                <c:formatCode>0.00E+00</c:formatCode>
                <c:ptCount val="25"/>
                <c:pt idx="0">
                  <c:v>3.715731652454359E-6</c:v>
                </c:pt>
                <c:pt idx="3">
                  <c:v>3.5013590415283682E-6</c:v>
                </c:pt>
                <c:pt idx="6">
                  <c:v>3.359625974222981E-6</c:v>
                </c:pt>
                <c:pt idx="9">
                  <c:v>3.3222042704526711E-6</c:v>
                </c:pt>
                <c:pt idx="12">
                  <c:v>3.3098090978734569E-6</c:v>
                </c:pt>
                <c:pt idx="15">
                  <c:v>3.2987119954850761E-6</c:v>
                </c:pt>
                <c:pt idx="18">
                  <c:v>3.278896138541998E-6</c:v>
                </c:pt>
                <c:pt idx="21">
                  <c:v>3.2828870256197742E-6</c:v>
                </c:pt>
                <c:pt idx="24">
                  <c:v>3.2779455111866361E-6</c:v>
                </c:pt>
              </c:numCache>
            </c:numRef>
          </c:val>
          <c:extLst>
            <c:ext xmlns:c16="http://schemas.microsoft.com/office/drawing/2014/chart" uri="{C3380CC4-5D6E-409C-BE32-E72D297353CC}">
              <c16:uniqueId val="{00000004-749E-4007-AC79-10950809DEA3}"/>
            </c:ext>
          </c:extLst>
        </c:ser>
        <c:ser>
          <c:idx val="5"/>
          <c:order val="5"/>
          <c:tx>
            <c:strRef>
              <c:f>'Results ReCiPe (H) - ESD ship'!$AB$219</c:f>
              <c:strCache>
                <c:ptCount val="1"/>
                <c:pt idx="0">
                  <c:v>Operation - DAC</c:v>
                </c:pt>
              </c:strCache>
            </c:strRef>
          </c:tx>
          <c:spPr>
            <a:solidFill>
              <a:schemeClr val="accent6"/>
            </a:solidFill>
            <a:ln>
              <a:noFill/>
            </a:ln>
            <a:effectLst/>
          </c:spPr>
          <c:invertIfNegative val="0"/>
          <c:cat>
            <c:numRef>
              <c:f>'Results ReCiPe (H) - ESD ship'!$AC$213:$BA$213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ship'!$AC$219:$BA$219</c:f>
              <c:numCache>
                <c:formatCode>0.00E+00</c:formatCode>
                <c:ptCount val="25"/>
                <c:pt idx="0">
                  <c:v>5.2485260841158965E-5</c:v>
                </c:pt>
                <c:pt idx="1">
                  <c:v>4.6583975863190444E-5</c:v>
                </c:pt>
                <c:pt idx="2">
                  <c:v>4.0663143243011243E-5</c:v>
                </c:pt>
                <c:pt idx="3">
                  <c:v>3.4569009498929191E-5</c:v>
                </c:pt>
                <c:pt idx="4">
                  <c:v>2.8598997412621645E-5</c:v>
                </c:pt>
                <c:pt idx="5">
                  <c:v>2.2609504784310214E-5</c:v>
                </c:pt>
                <c:pt idx="6">
                  <c:v>2.2122737058492591E-5</c:v>
                </c:pt>
                <c:pt idx="7">
                  <c:v>2.1628060529237967E-5</c:v>
                </c:pt>
                <c:pt idx="8">
                  <c:v>2.09927647023118E-5</c:v>
                </c:pt>
                <c:pt idx="9">
                  <c:v>2.0475342199917643E-5</c:v>
                </c:pt>
                <c:pt idx="10">
                  <c:v>1.9949701852944732E-5</c:v>
                </c:pt>
                <c:pt idx="11">
                  <c:v>1.9601621350894765E-5</c:v>
                </c:pt>
                <c:pt idx="12">
                  <c:v>1.9252652744242143E-5</c:v>
                </c:pt>
                <c:pt idx="13">
                  <c:v>1.8862663357652828E-5</c:v>
                </c:pt>
                <c:pt idx="14">
                  <c:v>1.850290418822944E-5</c:v>
                </c:pt>
                <c:pt idx="15">
                  <c:v>1.8138975887903136E-5</c:v>
                </c:pt>
                <c:pt idx="16">
                  <c:v>1.6766178772234577E-5</c:v>
                </c:pt>
                <c:pt idx="17">
                  <c:v>1.5409740495097621E-5</c:v>
                </c:pt>
                <c:pt idx="18">
                  <c:v>1.4037994594488492E-5</c:v>
                </c:pt>
                <c:pt idx="19">
                  <c:v>1.2711488092123848E-5</c:v>
                </c:pt>
                <c:pt idx="20">
                  <c:v>1.139266720179935E-5</c:v>
                </c:pt>
                <c:pt idx="21">
                  <c:v>1.1217420733954137E-5</c:v>
                </c:pt>
                <c:pt idx="22">
                  <c:v>1.0297012768990355E-5</c:v>
                </c:pt>
                <c:pt idx="23">
                  <c:v>9.3752170203539572E-6</c:v>
                </c:pt>
                <c:pt idx="24">
                  <c:v>8.4518779018362923E-6</c:v>
                </c:pt>
              </c:numCache>
            </c:numRef>
          </c:val>
          <c:extLst>
            <c:ext xmlns:c16="http://schemas.microsoft.com/office/drawing/2014/chart" uri="{C3380CC4-5D6E-409C-BE32-E72D297353CC}">
              <c16:uniqueId val="{00000005-749E-4007-AC79-10950809DEA3}"/>
            </c:ext>
          </c:extLst>
        </c:ser>
        <c:ser>
          <c:idx val="6"/>
          <c:order val="6"/>
          <c:tx>
            <c:strRef>
              <c:f>'Results ReCiPe (H) - ESD ship'!$AB$220</c:f>
              <c:strCache>
                <c:ptCount val="1"/>
                <c:pt idx="0">
                  <c:v>Operation - geological storage</c:v>
                </c:pt>
              </c:strCache>
            </c:strRef>
          </c:tx>
          <c:spPr>
            <a:solidFill>
              <a:schemeClr val="accent1">
                <a:lumMod val="60000"/>
              </a:schemeClr>
            </a:solidFill>
            <a:ln>
              <a:noFill/>
            </a:ln>
            <a:effectLst/>
          </c:spPr>
          <c:invertIfNegative val="0"/>
          <c:cat>
            <c:numRef>
              <c:f>'Results ReCiPe (H) - ESD ship'!$AC$213:$BA$213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ship'!$AC$220:$BA$220</c:f>
              <c:numCache>
                <c:formatCode>0.00E+00</c:formatCode>
                <c:ptCount val="25"/>
                <c:pt idx="0">
                  <c:v>3.2136306053053461E-8</c:v>
                </c:pt>
                <c:pt idx="1">
                  <c:v>3.0758180315675132E-8</c:v>
                </c:pt>
                <c:pt idx="2">
                  <c:v>2.9384345470531899E-8</c:v>
                </c:pt>
                <c:pt idx="3">
                  <c:v>2.7980451208917948E-8</c:v>
                </c:pt>
                <c:pt idx="4">
                  <c:v>2.6613306088206282E-8</c:v>
                </c:pt>
                <c:pt idx="5">
                  <c:v>2.5250448176527686E-8</c:v>
                </c:pt>
                <c:pt idx="6">
                  <c:v>2.513841584857147E-8</c:v>
                </c:pt>
                <c:pt idx="7">
                  <c:v>2.5024930926716515E-8</c:v>
                </c:pt>
                <c:pt idx="8">
                  <c:v>2.4880239070882885E-8</c:v>
                </c:pt>
                <c:pt idx="9">
                  <c:v>2.4762422464027812E-8</c:v>
                </c:pt>
                <c:pt idx="10">
                  <c:v>2.4643106066598553E-8</c:v>
                </c:pt>
                <c:pt idx="11">
                  <c:v>2.4563179007969224E-8</c:v>
                </c:pt>
                <c:pt idx="12">
                  <c:v>2.4482963311311898E-8</c:v>
                </c:pt>
                <c:pt idx="13">
                  <c:v>2.4393501370517513E-8</c:v>
                </c:pt>
                <c:pt idx="14">
                  <c:v>2.4310787092476496E-8</c:v>
                </c:pt>
                <c:pt idx="15">
                  <c:v>2.4227129987752235E-8</c:v>
                </c:pt>
                <c:pt idx="16">
                  <c:v>2.3912989590181532E-8</c:v>
                </c:pt>
                <c:pt idx="17">
                  <c:v>2.3599781125175531E-8</c:v>
                </c:pt>
                <c:pt idx="18">
                  <c:v>2.3280432970515226E-8</c:v>
                </c:pt>
                <c:pt idx="19">
                  <c:v>2.2968629983959128E-8</c:v>
                </c:pt>
                <c:pt idx="20">
                  <c:v>2.265653759238223E-8</c:v>
                </c:pt>
                <c:pt idx="21">
                  <c:v>2.2637237278445487E-8</c:v>
                </c:pt>
                <c:pt idx="22">
                  <c:v>2.2430418445590755E-8</c:v>
                </c:pt>
                <c:pt idx="23">
                  <c:v>2.2223902673526969E-8</c:v>
                </c:pt>
                <c:pt idx="24">
                  <c:v>2.2017649042573636E-8</c:v>
                </c:pt>
              </c:numCache>
            </c:numRef>
          </c:val>
          <c:extLst>
            <c:ext xmlns:c16="http://schemas.microsoft.com/office/drawing/2014/chart" uri="{C3380CC4-5D6E-409C-BE32-E72D297353CC}">
              <c16:uniqueId val="{00000006-749E-4007-AC79-10950809DEA3}"/>
            </c:ext>
          </c:extLst>
        </c:ser>
        <c:ser>
          <c:idx val="7"/>
          <c:order val="7"/>
          <c:tx>
            <c:strRef>
              <c:f>'Results ReCiPe (H) - ESD ship'!$AB$221</c:f>
              <c:strCache>
                <c:ptCount val="1"/>
                <c:pt idx="0">
                  <c:v>CO2 captured and stored</c:v>
                </c:pt>
              </c:strCache>
            </c:strRef>
          </c:tx>
          <c:spPr>
            <a:solidFill>
              <a:schemeClr val="accent2">
                <a:lumMod val="60000"/>
              </a:schemeClr>
            </a:solidFill>
            <a:ln>
              <a:noFill/>
            </a:ln>
            <a:effectLst/>
          </c:spPr>
          <c:invertIfNegative val="0"/>
          <c:cat>
            <c:numRef>
              <c:f>'Results ReCiPe (H) - ESD ship'!$AC$213:$BA$213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ship'!$AC$221:$BA$221</c:f>
              <c:numCache>
                <c:formatCode>0.00E+00</c:formatCode>
                <c:ptCount val="25"/>
                <c:pt idx="0">
                  <c:v>-2.8000764999999998E-4</c:v>
                </c:pt>
                <c:pt idx="1">
                  <c:v>-2.8000764999999998E-4</c:v>
                </c:pt>
                <c:pt idx="2">
                  <c:v>-2.8000764999999998E-4</c:v>
                </c:pt>
                <c:pt idx="3">
                  <c:v>-2.8000764999999998E-4</c:v>
                </c:pt>
                <c:pt idx="4">
                  <c:v>-2.8000764999999998E-4</c:v>
                </c:pt>
                <c:pt idx="5">
                  <c:v>-2.8000764999999998E-4</c:v>
                </c:pt>
                <c:pt idx="6">
                  <c:v>-2.8000764999999998E-4</c:v>
                </c:pt>
                <c:pt idx="7">
                  <c:v>-2.8000764999999998E-4</c:v>
                </c:pt>
                <c:pt idx="8">
                  <c:v>-2.8000764999999998E-4</c:v>
                </c:pt>
                <c:pt idx="9">
                  <c:v>-2.8000764999999998E-4</c:v>
                </c:pt>
                <c:pt idx="10">
                  <c:v>-2.8000764999999998E-4</c:v>
                </c:pt>
                <c:pt idx="11">
                  <c:v>-2.8000764999999998E-4</c:v>
                </c:pt>
                <c:pt idx="12">
                  <c:v>-2.8000764999999998E-4</c:v>
                </c:pt>
                <c:pt idx="13">
                  <c:v>-2.8000764999999998E-4</c:v>
                </c:pt>
                <c:pt idx="14">
                  <c:v>-2.8000764999999998E-4</c:v>
                </c:pt>
                <c:pt idx="15">
                  <c:v>-2.8000764999999998E-4</c:v>
                </c:pt>
                <c:pt idx="16">
                  <c:v>-2.8000764999999998E-4</c:v>
                </c:pt>
                <c:pt idx="17">
                  <c:v>-2.8000764999999998E-4</c:v>
                </c:pt>
                <c:pt idx="18">
                  <c:v>-2.8000764999999998E-4</c:v>
                </c:pt>
                <c:pt idx="19">
                  <c:v>-2.8000764999999998E-4</c:v>
                </c:pt>
                <c:pt idx="20">
                  <c:v>-2.8000764999999998E-4</c:v>
                </c:pt>
                <c:pt idx="21">
                  <c:v>-2.8000764999999998E-4</c:v>
                </c:pt>
                <c:pt idx="22">
                  <c:v>-2.8000764999999998E-4</c:v>
                </c:pt>
                <c:pt idx="23">
                  <c:v>-2.8000764999999998E-4</c:v>
                </c:pt>
                <c:pt idx="24">
                  <c:v>-2.8000764999999998E-4</c:v>
                </c:pt>
              </c:numCache>
            </c:numRef>
          </c:val>
          <c:extLst>
            <c:ext xmlns:c16="http://schemas.microsoft.com/office/drawing/2014/chart" uri="{C3380CC4-5D6E-409C-BE32-E72D297353CC}">
              <c16:uniqueId val="{00000007-749E-4007-AC79-10950809DEA3}"/>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ESD ship'!$AB$222</c:f>
              <c:strCache>
                <c:ptCount val="1"/>
                <c:pt idx="0">
                  <c:v>TOTAL per year</c:v>
                </c:pt>
              </c:strCache>
            </c:strRef>
          </c:tx>
          <c:spPr>
            <a:ln w="28575" cap="rnd">
              <a:solidFill>
                <a:schemeClr val="accent3">
                  <a:lumMod val="60000"/>
                </a:schemeClr>
              </a:solidFill>
              <a:round/>
            </a:ln>
            <a:effectLst/>
          </c:spPr>
          <c:marker>
            <c:symbol val="circle"/>
            <c:size val="5"/>
            <c:spPr>
              <a:solidFill>
                <a:schemeClr val="tx1"/>
              </a:solidFill>
              <a:ln w="9525">
                <a:solidFill>
                  <a:schemeClr val="tx1"/>
                </a:solidFill>
              </a:ln>
              <a:effectLst/>
            </c:spPr>
          </c:marker>
          <c:cat>
            <c:numRef>
              <c:f>'Results ReCiPe (H) - ESD ship'!$AC$213:$BA$213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ship'!$AC$222:$BA$222</c:f>
              <c:numCache>
                <c:formatCode>0.00E+00</c:formatCode>
                <c:ptCount val="25"/>
                <c:pt idx="0">
                  <c:v>-6.1718813455933737E-5</c:v>
                </c:pt>
                <c:pt idx="1">
                  <c:v>-2.3339291595649386E-4</c:v>
                </c:pt>
                <c:pt idx="2">
                  <c:v>-2.3931512241151821E-4</c:v>
                </c:pt>
                <c:pt idx="3">
                  <c:v>-2.419093010083335E-4</c:v>
                </c:pt>
                <c:pt idx="4">
                  <c:v>-2.5138203928129011E-4</c:v>
                </c:pt>
                <c:pt idx="5">
                  <c:v>-2.5737289476751324E-4</c:v>
                </c:pt>
                <c:pt idx="6">
                  <c:v>-2.5450014855143586E-4</c:v>
                </c:pt>
                <c:pt idx="7">
                  <c:v>-2.5835456453983532E-4</c:v>
                </c:pt>
                <c:pt idx="8">
                  <c:v>-2.5899000505861727E-4</c:v>
                </c:pt>
                <c:pt idx="9">
                  <c:v>-2.5618534110716565E-4</c:v>
                </c:pt>
                <c:pt idx="10">
                  <c:v>-2.6003330504098868E-4</c:v>
                </c:pt>
                <c:pt idx="11">
                  <c:v>-2.6038146547009727E-4</c:v>
                </c:pt>
                <c:pt idx="12">
                  <c:v>-2.5742070519457305E-4</c:v>
                </c:pt>
                <c:pt idx="13">
                  <c:v>-2.6112059314097665E-4</c:v>
                </c:pt>
                <c:pt idx="14">
                  <c:v>-2.6148043502467809E-4</c:v>
                </c:pt>
                <c:pt idx="15">
                  <c:v>-2.5854573498662402E-4</c:v>
                </c:pt>
                <c:pt idx="16">
                  <c:v>-2.6321755823817525E-4</c:v>
                </c:pt>
                <c:pt idx="17">
                  <c:v>-2.6457430972377718E-4</c:v>
                </c:pt>
                <c:pt idx="18">
                  <c:v>-2.6266747883399899E-4</c:v>
                </c:pt>
                <c:pt idx="19">
                  <c:v>-2.6727319327789217E-4</c:v>
                </c:pt>
                <c:pt idx="20">
                  <c:v>-2.6859232626060827E-4</c:v>
                </c:pt>
                <c:pt idx="21">
                  <c:v>-2.6548470500314763E-4</c:v>
                </c:pt>
                <c:pt idx="22">
                  <c:v>-2.6968820681256406E-4</c:v>
                </c:pt>
                <c:pt idx="23">
                  <c:v>-2.7061020907697249E-4</c:v>
                </c:pt>
                <c:pt idx="24">
                  <c:v>-2.6566854024223381E-4</c:v>
                </c:pt>
              </c:numCache>
            </c:numRef>
          </c:val>
          <c:smooth val="0"/>
          <c:extLst>
            <c:ext xmlns:c16="http://schemas.microsoft.com/office/drawing/2014/chart" uri="{C3380CC4-5D6E-409C-BE32-E72D297353CC}">
              <c16:uniqueId val="{00000008-749E-4007-AC79-10950809DEA3}"/>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nl-NL"/>
                  <a:t>years</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NL"/>
            </a:p>
          </c:txPr>
        </c:title>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Ecosystem damage</a:t>
                </a:r>
              </a:p>
              <a:p>
                <a:pPr algn="ctr" rtl="0">
                  <a:defRPr/>
                </a:pPr>
                <a:r>
                  <a:rPr lang="nl-NL"/>
                  <a:t>[PDF*yr/ton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26879729621161"/>
          <c:y val="5.4106329588493672E-2"/>
          <c:w val="0.87797394606685986"/>
          <c:h val="0.72010707666758345"/>
        </c:manualLayout>
      </c:layout>
      <c:barChart>
        <c:barDir val="col"/>
        <c:grouping val="stacked"/>
        <c:varyColors val="0"/>
        <c:ser>
          <c:idx val="0"/>
          <c:order val="0"/>
          <c:tx>
            <c:strRef>
              <c:f>'Results ReCiPe (H) - ESD ship'!$AB$274</c:f>
              <c:strCache>
                <c:ptCount val="1"/>
                <c:pt idx="0">
                  <c:v>Construction - DAC</c:v>
                </c:pt>
              </c:strCache>
            </c:strRef>
          </c:tx>
          <c:spPr>
            <a:solidFill>
              <a:schemeClr val="accent1"/>
            </a:solidFill>
            <a:ln>
              <a:noFill/>
            </a:ln>
            <a:effectLst/>
          </c:spPr>
          <c:invertIfNegative val="0"/>
          <c:cat>
            <c:numRef>
              <c:f>'Results ReCiPe (H) - ESD ship'!$AC$273:$BA$273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ship'!$AC$274:$BA$274</c:f>
              <c:numCache>
                <c:formatCode>0.00E+00</c:formatCode>
                <c:ptCount val="25"/>
                <c:pt idx="0">
                  <c:v>1.7996708147025861E-4</c:v>
                </c:pt>
              </c:numCache>
            </c:numRef>
          </c:val>
          <c:extLst>
            <c:ext xmlns:c16="http://schemas.microsoft.com/office/drawing/2014/chart" uri="{C3380CC4-5D6E-409C-BE32-E72D297353CC}">
              <c16:uniqueId val="{00000000-57CB-4712-BA1D-9AEE493CD24C}"/>
            </c:ext>
          </c:extLst>
        </c:ser>
        <c:ser>
          <c:idx val="1"/>
          <c:order val="1"/>
          <c:tx>
            <c:strRef>
              <c:f>'Results ReCiPe (H) - ESD ship'!$AB$275</c:f>
              <c:strCache>
                <c:ptCount val="1"/>
                <c:pt idx="0">
                  <c:v>Construction - geological storage</c:v>
                </c:pt>
              </c:strCache>
            </c:strRef>
          </c:tx>
          <c:spPr>
            <a:solidFill>
              <a:schemeClr val="accent2"/>
            </a:solidFill>
            <a:ln>
              <a:noFill/>
            </a:ln>
            <a:effectLst/>
          </c:spPr>
          <c:invertIfNegative val="0"/>
          <c:cat>
            <c:numRef>
              <c:f>'Results ReCiPe (H) - ESD ship'!$AC$273:$BA$273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ship'!$AC$275:$BA$275</c:f>
              <c:numCache>
                <c:formatCode>0.00E+00</c:formatCode>
                <c:ptCount val="25"/>
                <c:pt idx="0">
                  <c:v>5.6810366865446284E-6</c:v>
                </c:pt>
              </c:numCache>
            </c:numRef>
          </c:val>
          <c:extLst>
            <c:ext xmlns:c16="http://schemas.microsoft.com/office/drawing/2014/chart" uri="{C3380CC4-5D6E-409C-BE32-E72D297353CC}">
              <c16:uniqueId val="{00000001-57CB-4712-BA1D-9AEE493CD24C}"/>
            </c:ext>
          </c:extLst>
        </c:ser>
        <c:ser>
          <c:idx val="2"/>
          <c:order val="2"/>
          <c:tx>
            <c:strRef>
              <c:f>'Results ReCiPe (H) - ESD ship'!$AB$276</c:f>
              <c:strCache>
                <c:ptCount val="1"/>
                <c:pt idx="0">
                  <c:v>Deconstruction - DAC</c:v>
                </c:pt>
              </c:strCache>
            </c:strRef>
          </c:tx>
          <c:spPr>
            <a:solidFill>
              <a:schemeClr val="accent3"/>
            </a:solidFill>
            <a:ln>
              <a:noFill/>
            </a:ln>
            <a:effectLst/>
          </c:spPr>
          <c:invertIfNegative val="0"/>
          <c:cat>
            <c:numRef>
              <c:f>'Results ReCiPe (H) - ESD ship'!$AC$273:$BA$273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ship'!$AC$276:$BA$276</c:f>
              <c:numCache>
                <c:formatCode>0.00E+00</c:formatCode>
                <c:ptCount val="25"/>
                <c:pt idx="24">
                  <c:v>2.8327516247168551E-6</c:v>
                </c:pt>
              </c:numCache>
            </c:numRef>
          </c:val>
          <c:extLst>
            <c:ext xmlns:c16="http://schemas.microsoft.com/office/drawing/2014/chart" uri="{C3380CC4-5D6E-409C-BE32-E72D297353CC}">
              <c16:uniqueId val="{00000002-57CB-4712-BA1D-9AEE493CD24C}"/>
            </c:ext>
          </c:extLst>
        </c:ser>
        <c:ser>
          <c:idx val="3"/>
          <c:order val="3"/>
          <c:tx>
            <c:strRef>
              <c:f>'Results ReCiPe (H) - ESD ship'!$AB$277</c:f>
              <c:strCache>
                <c:ptCount val="1"/>
                <c:pt idx="0">
                  <c:v>Deconstruction - geological storage</c:v>
                </c:pt>
              </c:strCache>
            </c:strRef>
          </c:tx>
          <c:spPr>
            <a:solidFill>
              <a:schemeClr val="accent4"/>
            </a:solidFill>
            <a:ln>
              <a:noFill/>
            </a:ln>
            <a:effectLst/>
          </c:spPr>
          <c:invertIfNegative val="0"/>
          <c:cat>
            <c:numRef>
              <c:f>'Results ReCiPe (H) - ESD ship'!$AC$273:$BA$273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ship'!$AC$277:$BA$277</c:f>
              <c:numCache>
                <c:formatCode>0.00E+00</c:formatCode>
                <c:ptCount val="25"/>
                <c:pt idx="24">
                  <c:v>4.6307778141739816E-8</c:v>
                </c:pt>
              </c:numCache>
            </c:numRef>
          </c:val>
          <c:extLst>
            <c:ext xmlns:c16="http://schemas.microsoft.com/office/drawing/2014/chart" uri="{C3380CC4-5D6E-409C-BE32-E72D297353CC}">
              <c16:uniqueId val="{00000003-57CB-4712-BA1D-9AEE493CD24C}"/>
            </c:ext>
          </c:extLst>
        </c:ser>
        <c:ser>
          <c:idx val="4"/>
          <c:order val="4"/>
          <c:tx>
            <c:strRef>
              <c:f>'Results ReCiPe (H) - ESD ship'!$AB$278</c:f>
              <c:strCache>
                <c:ptCount val="1"/>
                <c:pt idx="0">
                  <c:v>Sorbent material</c:v>
                </c:pt>
              </c:strCache>
            </c:strRef>
          </c:tx>
          <c:spPr>
            <a:solidFill>
              <a:schemeClr val="accent5"/>
            </a:solidFill>
            <a:ln>
              <a:noFill/>
            </a:ln>
            <a:effectLst/>
          </c:spPr>
          <c:invertIfNegative val="0"/>
          <c:cat>
            <c:numRef>
              <c:f>'Results ReCiPe (H) - ESD ship'!$AC$273:$BA$273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ship'!$AC$278:$BA$278</c:f>
              <c:numCache>
                <c:formatCode>0.00E+00</c:formatCode>
                <c:ptCount val="25"/>
                <c:pt idx="0">
                  <c:v>4.5446143489064019E-6</c:v>
                </c:pt>
                <c:pt idx="3">
                  <c:v>4.4990771841472508E-6</c:v>
                </c:pt>
                <c:pt idx="6">
                  <c:v>4.4904228129143327E-6</c:v>
                </c:pt>
                <c:pt idx="9">
                  <c:v>4.4944994140002021E-6</c:v>
                </c:pt>
                <c:pt idx="12">
                  <c:v>4.5214378334785092E-6</c:v>
                </c:pt>
                <c:pt idx="15">
                  <c:v>4.5497134383595956E-6</c:v>
                </c:pt>
                <c:pt idx="18">
                  <c:v>4.4955793454683717E-6</c:v>
                </c:pt>
                <c:pt idx="21">
                  <c:v>4.4518098931988601E-6</c:v>
                </c:pt>
                <c:pt idx="24">
                  <c:v>4.3615476020125354E-6</c:v>
                </c:pt>
              </c:numCache>
            </c:numRef>
          </c:val>
          <c:extLst>
            <c:ext xmlns:c16="http://schemas.microsoft.com/office/drawing/2014/chart" uri="{C3380CC4-5D6E-409C-BE32-E72D297353CC}">
              <c16:uniqueId val="{00000004-57CB-4712-BA1D-9AEE493CD24C}"/>
            </c:ext>
          </c:extLst>
        </c:ser>
        <c:ser>
          <c:idx val="5"/>
          <c:order val="5"/>
          <c:tx>
            <c:strRef>
              <c:f>'Results ReCiPe (H) - ESD ship'!$AB$279</c:f>
              <c:strCache>
                <c:ptCount val="1"/>
                <c:pt idx="0">
                  <c:v>Battery</c:v>
                </c:pt>
              </c:strCache>
            </c:strRef>
          </c:tx>
          <c:spPr>
            <a:solidFill>
              <a:schemeClr val="accent6"/>
            </a:solidFill>
            <a:ln>
              <a:noFill/>
            </a:ln>
            <a:effectLst/>
          </c:spPr>
          <c:invertIfNegative val="0"/>
          <c:cat>
            <c:numRef>
              <c:f>'Results ReCiPe (H) - ESD ship'!$AC$273:$BA$273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ship'!$AC$279:$BA$279</c:f>
              <c:numCache>
                <c:formatCode>0.00E+00</c:formatCode>
                <c:ptCount val="25"/>
                <c:pt idx="0">
                  <c:v>4.2493836061690516E-5</c:v>
                </c:pt>
                <c:pt idx="1">
                  <c:v>4.2493836061690516E-5</c:v>
                </c:pt>
                <c:pt idx="2">
                  <c:v>4.2493836061690516E-5</c:v>
                </c:pt>
                <c:pt idx="3">
                  <c:v>4.2493836061690516E-5</c:v>
                </c:pt>
                <c:pt idx="4">
                  <c:v>4.2493836061690516E-5</c:v>
                </c:pt>
                <c:pt idx="5">
                  <c:v>4.2493836061690516E-5</c:v>
                </c:pt>
                <c:pt idx="6">
                  <c:v>4.2493836061690516E-5</c:v>
                </c:pt>
                <c:pt idx="7">
                  <c:v>4.2493836061690516E-5</c:v>
                </c:pt>
                <c:pt idx="8">
                  <c:v>4.2493836061690516E-5</c:v>
                </c:pt>
                <c:pt idx="9">
                  <c:v>4.2493836061690516E-5</c:v>
                </c:pt>
                <c:pt idx="10">
                  <c:v>4.2493836061690516E-5</c:v>
                </c:pt>
                <c:pt idx="11">
                  <c:v>4.2493836061690516E-5</c:v>
                </c:pt>
                <c:pt idx="12">
                  <c:v>4.2493836061690516E-5</c:v>
                </c:pt>
                <c:pt idx="13">
                  <c:v>4.2493836061690516E-5</c:v>
                </c:pt>
                <c:pt idx="14">
                  <c:v>4.2493836061690516E-5</c:v>
                </c:pt>
                <c:pt idx="15">
                  <c:v>4.2493836061690516E-5</c:v>
                </c:pt>
                <c:pt idx="16">
                  <c:v>4.2493836061690516E-5</c:v>
                </c:pt>
                <c:pt idx="17">
                  <c:v>4.2493836061690516E-5</c:v>
                </c:pt>
                <c:pt idx="18">
                  <c:v>4.2493836061690516E-5</c:v>
                </c:pt>
                <c:pt idx="19">
                  <c:v>4.2493836061690516E-5</c:v>
                </c:pt>
                <c:pt idx="20">
                  <c:v>4.2493836061690516E-5</c:v>
                </c:pt>
                <c:pt idx="21">
                  <c:v>4.2493836061690516E-5</c:v>
                </c:pt>
                <c:pt idx="22">
                  <c:v>4.2493836061690516E-5</c:v>
                </c:pt>
                <c:pt idx="23">
                  <c:v>4.2493836061690516E-5</c:v>
                </c:pt>
                <c:pt idx="24">
                  <c:v>4.2493836061690516E-5</c:v>
                </c:pt>
              </c:numCache>
            </c:numRef>
          </c:val>
          <c:extLst>
            <c:ext xmlns:c16="http://schemas.microsoft.com/office/drawing/2014/chart" uri="{C3380CC4-5D6E-409C-BE32-E72D297353CC}">
              <c16:uniqueId val="{00000005-57CB-4712-BA1D-9AEE493CD24C}"/>
            </c:ext>
          </c:extLst>
        </c:ser>
        <c:ser>
          <c:idx val="6"/>
          <c:order val="6"/>
          <c:tx>
            <c:strRef>
              <c:f>'Results ReCiPe (H) - ESD ship'!$AB$280</c:f>
              <c:strCache>
                <c:ptCount val="1"/>
                <c:pt idx="0">
                  <c:v>Operation - DAC</c:v>
                </c:pt>
              </c:strCache>
            </c:strRef>
          </c:tx>
          <c:spPr>
            <a:solidFill>
              <a:schemeClr val="accent1">
                <a:lumMod val="60000"/>
              </a:schemeClr>
            </a:solidFill>
            <a:ln>
              <a:noFill/>
            </a:ln>
            <a:effectLst/>
          </c:spPr>
          <c:invertIfNegative val="0"/>
          <c:cat>
            <c:numRef>
              <c:f>'Results ReCiPe (H) - ESD ship'!$AC$273:$BA$273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ship'!$AC$280:$BA$280</c:f>
              <c:numCache>
                <c:formatCode>0.00E+00</c:formatCode>
                <c:ptCount val="25"/>
                <c:pt idx="0">
                  <c:v>3.184798946166635E-5</c:v>
                </c:pt>
                <c:pt idx="1">
                  <c:v>3.1806032877991928E-5</c:v>
                </c:pt>
                <c:pt idx="2">
                  <c:v>3.1765312078523924E-5</c:v>
                </c:pt>
                <c:pt idx="3">
                  <c:v>3.1606481672953891E-5</c:v>
                </c:pt>
                <c:pt idx="4">
                  <c:v>3.1568126153756075E-5</c:v>
                </c:pt>
                <c:pt idx="5">
                  <c:v>3.1530486474513787E-5</c:v>
                </c:pt>
                <c:pt idx="6">
                  <c:v>3.1511761031868211E-5</c:v>
                </c:pt>
                <c:pt idx="7">
                  <c:v>3.1496425567667984E-5</c:v>
                </c:pt>
                <c:pt idx="8">
                  <c:v>3.1420825663209868E-5</c:v>
                </c:pt>
                <c:pt idx="9">
                  <c:v>3.1411240204703013E-5</c:v>
                </c:pt>
                <c:pt idx="10">
                  <c:v>3.1403903493023348E-5</c:v>
                </c:pt>
                <c:pt idx="11">
                  <c:v>3.1425309713637459E-5</c:v>
                </c:pt>
                <c:pt idx="12">
                  <c:v>3.1448944412737935E-5</c:v>
                </c:pt>
                <c:pt idx="13">
                  <c:v>3.145791964250943E-5</c:v>
                </c:pt>
                <c:pt idx="14">
                  <c:v>3.1486039859722046E-5</c:v>
                </c:pt>
                <c:pt idx="15">
                  <c:v>3.1517756957661743E-5</c:v>
                </c:pt>
                <c:pt idx="16">
                  <c:v>3.1463245411885644E-5</c:v>
                </c:pt>
                <c:pt idx="17">
                  <c:v>3.1407925977443708E-5</c:v>
                </c:pt>
                <c:pt idx="18">
                  <c:v>3.1334348442988149E-5</c:v>
                </c:pt>
                <c:pt idx="19">
                  <c:v>3.1277501431985654E-5</c:v>
                </c:pt>
                <c:pt idx="20">
                  <c:v>3.1219928460264509E-5</c:v>
                </c:pt>
                <c:pt idx="21">
                  <c:v>3.128880014268202E-5</c:v>
                </c:pt>
                <c:pt idx="22">
                  <c:v>3.1187723593284688E-5</c:v>
                </c:pt>
                <c:pt idx="23">
                  <c:v>3.1085884766006009E-5</c:v>
                </c:pt>
                <c:pt idx="24">
                  <c:v>3.0983268037809624E-5</c:v>
                </c:pt>
              </c:numCache>
            </c:numRef>
          </c:val>
          <c:extLst>
            <c:ext xmlns:c16="http://schemas.microsoft.com/office/drawing/2014/chart" uri="{C3380CC4-5D6E-409C-BE32-E72D297353CC}">
              <c16:uniqueId val="{00000006-57CB-4712-BA1D-9AEE493CD24C}"/>
            </c:ext>
          </c:extLst>
        </c:ser>
        <c:ser>
          <c:idx val="7"/>
          <c:order val="7"/>
          <c:tx>
            <c:strRef>
              <c:f>'Results ReCiPe (H) - ESD ship'!$AB$281</c:f>
              <c:strCache>
                <c:ptCount val="1"/>
                <c:pt idx="0">
                  <c:v>Operation - geological storage</c:v>
                </c:pt>
              </c:strCache>
            </c:strRef>
          </c:tx>
          <c:spPr>
            <a:solidFill>
              <a:schemeClr val="accent2">
                <a:lumMod val="60000"/>
              </a:schemeClr>
            </a:solidFill>
            <a:ln>
              <a:noFill/>
            </a:ln>
            <a:effectLst/>
          </c:spPr>
          <c:invertIfNegative val="0"/>
          <c:cat>
            <c:numRef>
              <c:f>'Results ReCiPe (H) - ESD ship'!$AC$273:$BA$273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ship'!$AC$281:$BA$281</c:f>
              <c:numCache>
                <c:formatCode>0.00E+00</c:formatCode>
                <c:ptCount val="25"/>
                <c:pt idx="0">
                  <c:v>1.070572868096195E-5</c:v>
                </c:pt>
                <c:pt idx="1">
                  <c:v>1.0673130698901735E-5</c:v>
                </c:pt>
                <c:pt idx="2">
                  <c:v>1.064054025266624E-5</c:v>
                </c:pt>
                <c:pt idx="3">
                  <c:v>1.0601944442905035E-5</c:v>
                </c:pt>
                <c:pt idx="4">
                  <c:v>1.0569298527614804E-5</c:v>
                </c:pt>
                <c:pt idx="5">
                  <c:v>1.0536636685438739E-5</c:v>
                </c:pt>
                <c:pt idx="6">
                  <c:v>1.094925395950741E-5</c:v>
                </c:pt>
                <c:pt idx="7">
                  <c:v>1.136011299850822E-5</c:v>
                </c:pt>
                <c:pt idx="8">
                  <c:v>1.1765712826705555E-5</c:v>
                </c:pt>
                <c:pt idx="9">
                  <c:v>1.2173542653863885E-5</c:v>
                </c:pt>
                <c:pt idx="10">
                  <c:v>1.2579410245917171E-5</c:v>
                </c:pt>
                <c:pt idx="11">
                  <c:v>1.3353786774437527E-5</c:v>
                </c:pt>
                <c:pt idx="12">
                  <c:v>1.4128429424562789E-5</c:v>
                </c:pt>
                <c:pt idx="13">
                  <c:v>1.4902626924861644E-5</c:v>
                </c:pt>
                <c:pt idx="14">
                  <c:v>1.5678152167829581E-5</c:v>
                </c:pt>
                <c:pt idx="15">
                  <c:v>1.6454305100303981E-5</c:v>
                </c:pt>
                <c:pt idx="16">
                  <c:v>1.6526808455589215E-5</c:v>
                </c:pt>
                <c:pt idx="17">
                  <c:v>1.6600069938950614E-5</c:v>
                </c:pt>
                <c:pt idx="18">
                  <c:v>1.6673181082705899E-5</c:v>
                </c:pt>
                <c:pt idx="19">
                  <c:v>1.674768052125296E-5</c:v>
                </c:pt>
                <c:pt idx="20">
                  <c:v>1.6822667368935019E-5</c:v>
                </c:pt>
                <c:pt idx="21">
                  <c:v>1.66443359698618E-5</c:v>
                </c:pt>
                <c:pt idx="22">
                  <c:v>1.628087154566932E-5</c:v>
                </c:pt>
                <c:pt idx="23">
                  <c:v>1.5917568690132871E-5</c:v>
                </c:pt>
                <c:pt idx="24">
                  <c:v>1.5554420605200022E-5</c:v>
                </c:pt>
              </c:numCache>
            </c:numRef>
          </c:val>
          <c:extLst>
            <c:ext xmlns:c16="http://schemas.microsoft.com/office/drawing/2014/chart" uri="{C3380CC4-5D6E-409C-BE32-E72D297353CC}">
              <c16:uniqueId val="{00000007-57CB-4712-BA1D-9AEE493CD24C}"/>
            </c:ext>
          </c:extLst>
        </c:ser>
        <c:ser>
          <c:idx val="8"/>
          <c:order val="8"/>
          <c:tx>
            <c:strRef>
              <c:f>'Results ReCiPe (H) - ESD ship'!$AB$282</c:f>
              <c:strCache>
                <c:ptCount val="1"/>
                <c:pt idx="0">
                  <c:v>CO2 captured and stored</c:v>
                </c:pt>
              </c:strCache>
            </c:strRef>
          </c:tx>
          <c:spPr>
            <a:solidFill>
              <a:schemeClr val="accent3">
                <a:lumMod val="60000"/>
              </a:schemeClr>
            </a:solidFill>
            <a:ln>
              <a:noFill/>
            </a:ln>
            <a:effectLst/>
          </c:spPr>
          <c:invertIfNegative val="0"/>
          <c:cat>
            <c:numRef>
              <c:f>'Results ReCiPe (H) - ESD ship'!$AC$273:$BA$273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ship'!$AC$282:$BA$282</c:f>
              <c:numCache>
                <c:formatCode>0.00E+00</c:formatCode>
                <c:ptCount val="25"/>
                <c:pt idx="0">
                  <c:v>-1.4000382499999999E-4</c:v>
                </c:pt>
                <c:pt idx="1">
                  <c:v>-1.4000382499999999E-4</c:v>
                </c:pt>
                <c:pt idx="2">
                  <c:v>-1.4000382499999999E-4</c:v>
                </c:pt>
                <c:pt idx="3">
                  <c:v>-1.4000382499999999E-4</c:v>
                </c:pt>
                <c:pt idx="4">
                  <c:v>-1.4000382499999999E-4</c:v>
                </c:pt>
                <c:pt idx="5">
                  <c:v>-1.4000382499999999E-4</c:v>
                </c:pt>
                <c:pt idx="6">
                  <c:v>-1.4000382499999999E-4</c:v>
                </c:pt>
                <c:pt idx="7">
                  <c:v>-1.4000382499999999E-4</c:v>
                </c:pt>
                <c:pt idx="8">
                  <c:v>-1.4000382499999999E-4</c:v>
                </c:pt>
                <c:pt idx="9">
                  <c:v>-1.4000382499999999E-4</c:v>
                </c:pt>
                <c:pt idx="10">
                  <c:v>-1.4000382499999999E-4</c:v>
                </c:pt>
                <c:pt idx="11">
                  <c:v>-1.4000382499999999E-4</c:v>
                </c:pt>
                <c:pt idx="12">
                  <c:v>-1.4000382499999999E-4</c:v>
                </c:pt>
                <c:pt idx="13">
                  <c:v>-1.4000382499999999E-4</c:v>
                </c:pt>
                <c:pt idx="14">
                  <c:v>-1.4000382499999999E-4</c:v>
                </c:pt>
                <c:pt idx="15">
                  <c:v>-1.4000382499999999E-4</c:v>
                </c:pt>
                <c:pt idx="16">
                  <c:v>-1.4000382499999999E-4</c:v>
                </c:pt>
                <c:pt idx="17">
                  <c:v>-1.4000382499999999E-4</c:v>
                </c:pt>
                <c:pt idx="18">
                  <c:v>-1.4000382499999999E-4</c:v>
                </c:pt>
                <c:pt idx="19">
                  <c:v>-1.4000382499999999E-4</c:v>
                </c:pt>
                <c:pt idx="20">
                  <c:v>-1.4000382499999999E-4</c:v>
                </c:pt>
                <c:pt idx="21">
                  <c:v>-1.4000382499999999E-4</c:v>
                </c:pt>
                <c:pt idx="22">
                  <c:v>-1.4000382499999999E-4</c:v>
                </c:pt>
                <c:pt idx="23">
                  <c:v>-1.4000382499999999E-4</c:v>
                </c:pt>
                <c:pt idx="24">
                  <c:v>-1.4000382499999999E-4</c:v>
                </c:pt>
              </c:numCache>
            </c:numRef>
          </c:val>
          <c:extLst>
            <c:ext xmlns:c16="http://schemas.microsoft.com/office/drawing/2014/chart" uri="{C3380CC4-5D6E-409C-BE32-E72D297353CC}">
              <c16:uniqueId val="{00000008-57CB-4712-BA1D-9AEE493CD24C}"/>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(H) - ESD ship'!$AB$283</c:f>
              <c:strCache>
                <c:ptCount val="1"/>
                <c:pt idx="0">
                  <c:v>TOTAL per year</c:v>
                </c:pt>
              </c:strCache>
            </c:strRef>
          </c:tx>
          <c:spPr>
            <a:ln w="28575" cap="rnd">
              <a:solidFill>
                <a:schemeClr val="accent4">
                  <a:lumMod val="60000"/>
                </a:schemeClr>
              </a:solidFill>
              <a:round/>
            </a:ln>
            <a:effectLst/>
          </c:spPr>
          <c:marker>
            <c:symbol val="circle"/>
            <c:size val="5"/>
            <c:spPr>
              <a:solidFill>
                <a:schemeClr val="bg1"/>
              </a:solidFill>
              <a:ln w="9525">
                <a:solidFill>
                  <a:schemeClr val="accent4">
                    <a:lumMod val="60000"/>
                  </a:schemeClr>
                </a:solidFill>
              </a:ln>
              <a:effectLst/>
            </c:spPr>
          </c:marker>
          <c:cat>
            <c:numRef>
              <c:f>'Results ReCiPe (H) - ESD ship'!$AC$273:$BA$273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ship'!$AC$283:$BA$283</c:f>
              <c:numCache>
                <c:formatCode>0.00E+00</c:formatCode>
                <c:ptCount val="25"/>
                <c:pt idx="0">
                  <c:v>1.3523646171002845E-4</c:v>
                </c:pt>
                <c:pt idx="1">
                  <c:v>-5.5030825361415816E-5</c:v>
                </c:pt>
                <c:pt idx="2">
                  <c:v>-5.51041366071193E-5</c:v>
                </c:pt>
                <c:pt idx="3">
                  <c:v>-5.08024856383033E-5</c:v>
                </c:pt>
                <c:pt idx="4">
                  <c:v>-5.5372564256938602E-5</c:v>
                </c:pt>
                <c:pt idx="5">
                  <c:v>-5.5442865778356954E-5</c:v>
                </c:pt>
                <c:pt idx="6">
                  <c:v>-5.0558551134019511E-5</c:v>
                </c:pt>
                <c:pt idx="7">
                  <c:v>-5.4653450372133284E-5</c:v>
                </c:pt>
                <c:pt idx="8">
                  <c:v>-5.432345044839404E-5</c:v>
                </c:pt>
                <c:pt idx="9">
                  <c:v>-4.9430706665742381E-5</c:v>
                </c:pt>
                <c:pt idx="10">
                  <c:v>-5.3526675199368952E-5</c:v>
                </c:pt>
                <c:pt idx="11">
                  <c:v>-5.2730892450234486E-5</c:v>
                </c:pt>
                <c:pt idx="12">
                  <c:v>-4.7411177267530242E-5</c:v>
                </c:pt>
                <c:pt idx="13">
                  <c:v>-5.1149442370938391E-5</c:v>
                </c:pt>
                <c:pt idx="14">
                  <c:v>-5.0345796910757849E-5</c:v>
                </c:pt>
                <c:pt idx="15">
                  <c:v>-4.4988213441984163E-5</c:v>
                </c:pt>
                <c:pt idx="16">
                  <c:v>-4.9519935070834617E-5</c:v>
                </c:pt>
                <c:pt idx="17">
                  <c:v>-4.9501993021915157E-5</c:v>
                </c:pt>
                <c:pt idx="18">
                  <c:v>-4.5006880067147056E-5</c:v>
                </c:pt>
                <c:pt idx="19">
                  <c:v>-4.9484806985070865E-5</c:v>
                </c:pt>
                <c:pt idx="20">
                  <c:v>-4.946739310910994E-5</c:v>
                </c:pt>
                <c:pt idx="21">
                  <c:v>-4.5125042932566789E-5</c:v>
                </c:pt>
                <c:pt idx="22">
                  <c:v>-5.0041393799355474E-5</c:v>
                </c:pt>
                <c:pt idx="23">
                  <c:v>-5.0506535482170602E-5</c:v>
                </c:pt>
                <c:pt idx="24">
                  <c:v>-4.3731693290428693E-5</c:v>
                </c:pt>
              </c:numCache>
            </c:numRef>
          </c:val>
          <c:smooth val="0"/>
          <c:extLst>
            <c:ext xmlns:c16="http://schemas.microsoft.com/office/drawing/2014/chart" uri="{C3380CC4-5D6E-409C-BE32-E72D297353CC}">
              <c16:uniqueId val="{00000009-57CB-4712-BA1D-9AEE493CD24C}"/>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Ecosystem damage </a:t>
                </a:r>
              </a:p>
              <a:p>
                <a:pPr algn="ctr" rtl="0">
                  <a:defRPr/>
                </a:pPr>
                <a:r>
                  <a:rPr lang="nl-NL"/>
                  <a:t>[PDF*yr/ton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ESD ship'!$AB$334</c:f>
              <c:strCache>
                <c:ptCount val="1"/>
                <c:pt idx="0">
                  <c:v>Construction - DAC</c:v>
                </c:pt>
              </c:strCache>
            </c:strRef>
          </c:tx>
          <c:spPr>
            <a:solidFill>
              <a:schemeClr val="accent1"/>
            </a:solidFill>
            <a:ln>
              <a:noFill/>
            </a:ln>
            <a:effectLst/>
          </c:spPr>
          <c:invertIfNegative val="0"/>
          <c:cat>
            <c:numRef>
              <c:f>'Results ReCiPe (H) - ESD ship'!$AC$333:$BA$333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ship'!$AC$334:$BA$334</c:f>
              <c:numCache>
                <c:formatCode>0.00E+00</c:formatCode>
                <c:ptCount val="25"/>
                <c:pt idx="0">
                  <c:v>1.6886495556759864E-4</c:v>
                </c:pt>
              </c:numCache>
            </c:numRef>
          </c:val>
          <c:extLst>
            <c:ext xmlns:c16="http://schemas.microsoft.com/office/drawing/2014/chart" uri="{C3380CC4-5D6E-409C-BE32-E72D297353CC}">
              <c16:uniqueId val="{00000000-2749-41D9-81D2-CD10065AF59F}"/>
            </c:ext>
          </c:extLst>
        </c:ser>
        <c:ser>
          <c:idx val="1"/>
          <c:order val="1"/>
          <c:tx>
            <c:strRef>
              <c:f>'Results ReCiPe (H) - ESD ship'!$AB$335</c:f>
              <c:strCache>
                <c:ptCount val="1"/>
                <c:pt idx="0">
                  <c:v>Construction - geological storage</c:v>
                </c:pt>
              </c:strCache>
            </c:strRef>
          </c:tx>
          <c:spPr>
            <a:solidFill>
              <a:schemeClr val="accent2"/>
            </a:solidFill>
            <a:ln>
              <a:noFill/>
            </a:ln>
            <a:effectLst/>
          </c:spPr>
          <c:invertIfNegative val="0"/>
          <c:cat>
            <c:numRef>
              <c:f>'Results ReCiPe (H) - ESD ship'!$AC$333:$BA$333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ship'!$AC$335:$BA$335</c:f>
              <c:numCache>
                <c:formatCode>0.00E+00</c:formatCode>
                <c:ptCount val="25"/>
                <c:pt idx="0">
                  <c:v>5.3828988447895789E-6</c:v>
                </c:pt>
              </c:numCache>
            </c:numRef>
          </c:val>
          <c:extLst>
            <c:ext xmlns:c16="http://schemas.microsoft.com/office/drawing/2014/chart" uri="{C3380CC4-5D6E-409C-BE32-E72D297353CC}">
              <c16:uniqueId val="{00000001-2749-41D9-81D2-CD10065AF59F}"/>
            </c:ext>
          </c:extLst>
        </c:ser>
        <c:ser>
          <c:idx val="2"/>
          <c:order val="2"/>
          <c:tx>
            <c:strRef>
              <c:f>'Results ReCiPe (H) - ESD ship'!$AB$336</c:f>
              <c:strCache>
                <c:ptCount val="1"/>
                <c:pt idx="0">
                  <c:v>Deconstruction - DAC</c:v>
                </c:pt>
              </c:strCache>
            </c:strRef>
          </c:tx>
          <c:spPr>
            <a:solidFill>
              <a:schemeClr val="accent3"/>
            </a:solidFill>
            <a:ln>
              <a:noFill/>
            </a:ln>
            <a:effectLst/>
          </c:spPr>
          <c:invertIfNegative val="0"/>
          <c:cat>
            <c:numRef>
              <c:f>'Results ReCiPe (H) - ESD ship'!$AC$333:$BA$333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ship'!$AC$336:$BA$336</c:f>
              <c:numCache>
                <c:formatCode>0.00E+00</c:formatCode>
                <c:ptCount val="25"/>
                <c:pt idx="24">
                  <c:v>2.5814369390254752E-6</c:v>
                </c:pt>
              </c:numCache>
            </c:numRef>
          </c:val>
          <c:extLst>
            <c:ext xmlns:c16="http://schemas.microsoft.com/office/drawing/2014/chart" uri="{C3380CC4-5D6E-409C-BE32-E72D297353CC}">
              <c16:uniqueId val="{00000002-2749-41D9-81D2-CD10065AF59F}"/>
            </c:ext>
          </c:extLst>
        </c:ser>
        <c:ser>
          <c:idx val="3"/>
          <c:order val="3"/>
          <c:tx>
            <c:strRef>
              <c:f>'Results ReCiPe (H) - ESD ship'!$AB$337</c:f>
              <c:strCache>
                <c:ptCount val="1"/>
                <c:pt idx="0">
                  <c:v>Deconstruction - geological storage</c:v>
                </c:pt>
              </c:strCache>
            </c:strRef>
          </c:tx>
          <c:spPr>
            <a:solidFill>
              <a:schemeClr val="accent4"/>
            </a:solidFill>
            <a:ln>
              <a:noFill/>
            </a:ln>
            <a:effectLst/>
          </c:spPr>
          <c:invertIfNegative val="0"/>
          <c:cat>
            <c:numRef>
              <c:f>'Results ReCiPe (H) - ESD ship'!$AC$333:$BA$333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ship'!$AC$337:$BA$337</c:f>
              <c:numCache>
                <c:formatCode>0.00E+00</c:formatCode>
                <c:ptCount val="25"/>
                <c:pt idx="24">
                  <c:v>4.4588828617303134E-8</c:v>
                </c:pt>
              </c:numCache>
            </c:numRef>
          </c:val>
          <c:extLst>
            <c:ext xmlns:c16="http://schemas.microsoft.com/office/drawing/2014/chart" uri="{C3380CC4-5D6E-409C-BE32-E72D297353CC}">
              <c16:uniqueId val="{00000003-2749-41D9-81D2-CD10065AF59F}"/>
            </c:ext>
          </c:extLst>
        </c:ser>
        <c:ser>
          <c:idx val="4"/>
          <c:order val="4"/>
          <c:tx>
            <c:strRef>
              <c:f>'Results ReCiPe (H) - ESD ship'!$AB$338</c:f>
              <c:strCache>
                <c:ptCount val="1"/>
                <c:pt idx="0">
                  <c:v>Sorbent material</c:v>
                </c:pt>
              </c:strCache>
            </c:strRef>
          </c:tx>
          <c:spPr>
            <a:solidFill>
              <a:schemeClr val="accent5"/>
            </a:solidFill>
            <a:ln>
              <a:noFill/>
            </a:ln>
            <a:effectLst/>
          </c:spPr>
          <c:invertIfNegative val="0"/>
          <c:cat>
            <c:numRef>
              <c:f>'Results ReCiPe (H) - ESD ship'!$AC$333:$BA$333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ship'!$AC$338:$BA$338</c:f>
              <c:numCache>
                <c:formatCode>0.00E+00</c:formatCode>
                <c:ptCount val="25"/>
                <c:pt idx="0">
                  <c:v>4.3941155135361717E-6</c:v>
                </c:pt>
                <c:pt idx="3">
                  <c:v>4.2507924568478764E-6</c:v>
                </c:pt>
                <c:pt idx="6">
                  <c:v>4.1207843305059888E-6</c:v>
                </c:pt>
                <c:pt idx="9">
                  <c:v>3.961479922998473E-6</c:v>
                </c:pt>
                <c:pt idx="12">
                  <c:v>3.782659921523485E-6</c:v>
                </c:pt>
                <c:pt idx="15">
                  <c:v>3.5852486401048028E-6</c:v>
                </c:pt>
                <c:pt idx="18">
                  <c:v>3.4498744880293848E-6</c:v>
                </c:pt>
                <c:pt idx="21">
                  <c:v>3.372986237475297E-6</c:v>
                </c:pt>
                <c:pt idx="24">
                  <c:v>3.3539861692443772E-6</c:v>
                </c:pt>
              </c:numCache>
            </c:numRef>
          </c:val>
          <c:extLst>
            <c:ext xmlns:c16="http://schemas.microsoft.com/office/drawing/2014/chart" uri="{C3380CC4-5D6E-409C-BE32-E72D297353CC}">
              <c16:uniqueId val="{00000004-2749-41D9-81D2-CD10065AF59F}"/>
            </c:ext>
          </c:extLst>
        </c:ser>
        <c:ser>
          <c:idx val="5"/>
          <c:order val="5"/>
          <c:tx>
            <c:strRef>
              <c:f>'Results ReCiPe (H) - ESD ship'!$AB$339</c:f>
              <c:strCache>
                <c:ptCount val="1"/>
                <c:pt idx="0">
                  <c:v>Battery</c:v>
                </c:pt>
              </c:strCache>
            </c:strRef>
          </c:tx>
          <c:spPr>
            <a:solidFill>
              <a:schemeClr val="accent6"/>
            </a:solidFill>
            <a:ln>
              <a:noFill/>
            </a:ln>
            <a:effectLst/>
          </c:spPr>
          <c:invertIfNegative val="0"/>
          <c:cat>
            <c:numRef>
              <c:f>'Results ReCiPe (H) - ESD ship'!$AC$333:$BA$333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ship'!$AC$339:$BA$339</c:f>
              <c:numCache>
                <c:formatCode>0.00E+00</c:formatCode>
                <c:ptCount val="25"/>
                <c:pt idx="0">
                  <c:v>4.0871761583502129E-5</c:v>
                </c:pt>
                <c:pt idx="1">
                  <c:v>4.0871761583502129E-5</c:v>
                </c:pt>
                <c:pt idx="2">
                  <c:v>4.0871761583502129E-5</c:v>
                </c:pt>
                <c:pt idx="3">
                  <c:v>4.0871761583502129E-5</c:v>
                </c:pt>
                <c:pt idx="4">
                  <c:v>4.0871761583502129E-5</c:v>
                </c:pt>
                <c:pt idx="5">
                  <c:v>4.0871761583502129E-5</c:v>
                </c:pt>
                <c:pt idx="6">
                  <c:v>4.0871761583502129E-5</c:v>
                </c:pt>
                <c:pt idx="7">
                  <c:v>4.0871761583502129E-5</c:v>
                </c:pt>
                <c:pt idx="8">
                  <c:v>4.0871761583502129E-5</c:v>
                </c:pt>
                <c:pt idx="9">
                  <c:v>4.0871761583502129E-5</c:v>
                </c:pt>
                <c:pt idx="10">
                  <c:v>4.0871761583502129E-5</c:v>
                </c:pt>
                <c:pt idx="11">
                  <c:v>4.0871761583502129E-5</c:v>
                </c:pt>
                <c:pt idx="12">
                  <c:v>4.0871761583502129E-5</c:v>
                </c:pt>
                <c:pt idx="13">
                  <c:v>4.0871761583502129E-5</c:v>
                </c:pt>
                <c:pt idx="14">
                  <c:v>4.0871761583502129E-5</c:v>
                </c:pt>
                <c:pt idx="15">
                  <c:v>4.0871761583502129E-5</c:v>
                </c:pt>
                <c:pt idx="16">
                  <c:v>4.0871761583502129E-5</c:v>
                </c:pt>
                <c:pt idx="17">
                  <c:v>4.0871761583502129E-5</c:v>
                </c:pt>
                <c:pt idx="18">
                  <c:v>4.0871761583502129E-5</c:v>
                </c:pt>
                <c:pt idx="19">
                  <c:v>4.0871761583502129E-5</c:v>
                </c:pt>
                <c:pt idx="20">
                  <c:v>4.0871761583502129E-5</c:v>
                </c:pt>
                <c:pt idx="21">
                  <c:v>4.0871761583502129E-5</c:v>
                </c:pt>
                <c:pt idx="22">
                  <c:v>4.0871761583502129E-5</c:v>
                </c:pt>
                <c:pt idx="23">
                  <c:v>4.0871761583502129E-5</c:v>
                </c:pt>
                <c:pt idx="24">
                  <c:v>4.0871761583502129E-5</c:v>
                </c:pt>
              </c:numCache>
            </c:numRef>
          </c:val>
          <c:extLst>
            <c:ext xmlns:c16="http://schemas.microsoft.com/office/drawing/2014/chart" uri="{C3380CC4-5D6E-409C-BE32-E72D297353CC}">
              <c16:uniqueId val="{00000005-2749-41D9-81D2-CD10065AF59F}"/>
            </c:ext>
          </c:extLst>
        </c:ser>
        <c:ser>
          <c:idx val="6"/>
          <c:order val="6"/>
          <c:tx>
            <c:strRef>
              <c:f>'Results ReCiPe (H) - ESD ship'!$AB$340</c:f>
              <c:strCache>
                <c:ptCount val="1"/>
                <c:pt idx="0">
                  <c:v>Operation - DAC</c:v>
                </c:pt>
              </c:strCache>
            </c:strRef>
          </c:tx>
          <c:spPr>
            <a:solidFill>
              <a:schemeClr val="accent1">
                <a:lumMod val="60000"/>
              </a:schemeClr>
            </a:solidFill>
            <a:ln>
              <a:noFill/>
            </a:ln>
            <a:effectLst/>
          </c:spPr>
          <c:invertIfNegative val="0"/>
          <c:cat>
            <c:numRef>
              <c:f>'Results ReCiPe (H) - ESD ship'!$AC$333:$BA$333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ship'!$AC$340:$BA$340</c:f>
              <c:numCache>
                <c:formatCode>0.00E+00</c:formatCode>
                <c:ptCount val="25"/>
                <c:pt idx="0">
                  <c:v>3.0579456005944634E-5</c:v>
                </c:pt>
                <c:pt idx="1">
                  <c:v>3.0315643832565207E-5</c:v>
                </c:pt>
                <c:pt idx="2">
                  <c:v>3.0046365533739365E-5</c:v>
                </c:pt>
                <c:pt idx="3">
                  <c:v>2.9653165190446102E-5</c:v>
                </c:pt>
                <c:pt idx="4">
                  <c:v>2.9373937522208305E-5</c:v>
                </c:pt>
                <c:pt idx="5">
                  <c:v>2.9089544483119878E-5</c:v>
                </c:pt>
                <c:pt idx="6">
                  <c:v>2.8840085357698996E-5</c:v>
                </c:pt>
                <c:pt idx="7">
                  <c:v>2.8608301239059106E-5</c:v>
                </c:pt>
                <c:pt idx="8">
                  <c:v>2.831758934022452E-5</c:v>
                </c:pt>
                <c:pt idx="9">
                  <c:v>2.8090522022836749E-5</c:v>
                </c:pt>
                <c:pt idx="10">
                  <c:v>2.7860475996081412E-5</c:v>
                </c:pt>
                <c:pt idx="11">
                  <c:v>2.766695455824348E-5</c:v>
                </c:pt>
                <c:pt idx="12">
                  <c:v>2.7475377909819686E-5</c:v>
                </c:pt>
                <c:pt idx="13">
                  <c:v>2.7262409843764254E-5</c:v>
                </c:pt>
                <c:pt idx="14">
                  <c:v>2.7074838495933675E-5</c:v>
                </c:pt>
                <c:pt idx="15">
                  <c:v>2.6890005070460946E-5</c:v>
                </c:pt>
                <c:pt idx="16">
                  <c:v>2.6770678435611011E-5</c:v>
                </c:pt>
                <c:pt idx="17">
                  <c:v>2.665474441709669E-5</c:v>
                </c:pt>
                <c:pt idx="18">
                  <c:v>2.652096826349867E-5</c:v>
                </c:pt>
                <c:pt idx="19">
                  <c:v>2.6414375250292009E-5</c:v>
                </c:pt>
                <c:pt idx="20">
                  <c:v>2.6213526345897014E-5</c:v>
                </c:pt>
                <c:pt idx="21">
                  <c:v>2.6339167912679071E-5</c:v>
                </c:pt>
                <c:pt idx="22">
                  <c:v>2.6313040975251445E-5</c:v>
                </c:pt>
                <c:pt idx="23">
                  <c:v>2.6287217030870466E-5</c:v>
                </c:pt>
                <c:pt idx="24">
                  <c:v>2.6261726102380168E-5</c:v>
                </c:pt>
              </c:numCache>
            </c:numRef>
          </c:val>
          <c:extLst>
            <c:ext xmlns:c16="http://schemas.microsoft.com/office/drawing/2014/chart" uri="{C3380CC4-5D6E-409C-BE32-E72D297353CC}">
              <c16:uniqueId val="{00000006-2749-41D9-81D2-CD10065AF59F}"/>
            </c:ext>
          </c:extLst>
        </c:ser>
        <c:ser>
          <c:idx val="7"/>
          <c:order val="7"/>
          <c:tx>
            <c:strRef>
              <c:f>'Results ReCiPe (H) - ESD ship'!$AB$341</c:f>
              <c:strCache>
                <c:ptCount val="1"/>
                <c:pt idx="0">
                  <c:v>Operation - geological storage</c:v>
                </c:pt>
              </c:strCache>
            </c:strRef>
          </c:tx>
          <c:spPr>
            <a:solidFill>
              <a:schemeClr val="accent2">
                <a:lumMod val="60000"/>
              </a:schemeClr>
            </a:solidFill>
            <a:ln>
              <a:noFill/>
            </a:ln>
            <a:effectLst/>
          </c:spPr>
          <c:invertIfNegative val="0"/>
          <c:cat>
            <c:numRef>
              <c:f>'Results ReCiPe (H) - ESD ship'!$AC$333:$BA$333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ship'!$AC$341:$BA$341</c:f>
              <c:numCache>
                <c:formatCode>0.00E+00</c:formatCode>
                <c:ptCount val="25"/>
                <c:pt idx="0">
                  <c:v>9.6954746586764057E-6</c:v>
                </c:pt>
                <c:pt idx="1">
                  <c:v>9.3306642549438442E-6</c:v>
                </c:pt>
                <c:pt idx="2">
                  <c:v>8.9671676400278909E-6</c:v>
                </c:pt>
                <c:pt idx="3">
                  <c:v>8.5985824253953452E-6</c:v>
                </c:pt>
                <c:pt idx="4">
                  <c:v>8.2376278135999108E-6</c:v>
                </c:pt>
                <c:pt idx="5">
                  <c:v>7.8779771922166652E-6</c:v>
                </c:pt>
                <c:pt idx="6">
                  <c:v>7.651837433561515E-6</c:v>
                </c:pt>
                <c:pt idx="7">
                  <c:v>7.4260687501321696E-6</c:v>
                </c:pt>
                <c:pt idx="8">
                  <c:v>7.1957386060043106E-6</c:v>
                </c:pt>
                <c:pt idx="9">
                  <c:v>6.9700543612399097E-6</c:v>
                </c:pt>
                <c:pt idx="10">
                  <c:v>6.7443878930071847E-6</c:v>
                </c:pt>
                <c:pt idx="11">
                  <c:v>6.5920641686426452E-6</c:v>
                </c:pt>
                <c:pt idx="12">
                  <c:v>6.4390658012660851E-6</c:v>
                </c:pt>
                <c:pt idx="13">
                  <c:v>6.2838164428475598E-6</c:v>
                </c:pt>
                <c:pt idx="14">
                  <c:v>6.1291647695470648E-6</c:v>
                </c:pt>
                <c:pt idx="15">
                  <c:v>5.9738353852127054E-6</c:v>
                </c:pt>
                <c:pt idx="16">
                  <c:v>5.9042646347515797E-6</c:v>
                </c:pt>
                <c:pt idx="17">
                  <c:v>5.8347290118658995E-6</c:v>
                </c:pt>
                <c:pt idx="18">
                  <c:v>5.7638881272255604E-6</c:v>
                </c:pt>
                <c:pt idx="19">
                  <c:v>5.6943462357736248E-6</c:v>
                </c:pt>
                <c:pt idx="20">
                  <c:v>5.6248475214853853E-6</c:v>
                </c:pt>
                <c:pt idx="21">
                  <c:v>5.6301751725030944E-6</c:v>
                </c:pt>
                <c:pt idx="22">
                  <c:v>5.5977296316368199E-6</c:v>
                </c:pt>
                <c:pt idx="23">
                  <c:v>5.5652313807540004E-6</c:v>
                </c:pt>
                <c:pt idx="24">
                  <c:v>5.5326757401386704E-6</c:v>
                </c:pt>
              </c:numCache>
            </c:numRef>
          </c:val>
          <c:extLst>
            <c:ext xmlns:c16="http://schemas.microsoft.com/office/drawing/2014/chart" uri="{C3380CC4-5D6E-409C-BE32-E72D297353CC}">
              <c16:uniqueId val="{00000007-2749-41D9-81D2-CD10065AF59F}"/>
            </c:ext>
          </c:extLst>
        </c:ser>
        <c:ser>
          <c:idx val="8"/>
          <c:order val="8"/>
          <c:tx>
            <c:strRef>
              <c:f>'Results ReCiPe (H) - ESD ship'!$AB$342</c:f>
              <c:strCache>
                <c:ptCount val="1"/>
                <c:pt idx="0">
                  <c:v>CO2 captured and stored</c:v>
                </c:pt>
              </c:strCache>
            </c:strRef>
          </c:tx>
          <c:spPr>
            <a:solidFill>
              <a:schemeClr val="accent3">
                <a:lumMod val="60000"/>
              </a:schemeClr>
            </a:solidFill>
            <a:ln>
              <a:noFill/>
            </a:ln>
            <a:effectLst/>
          </c:spPr>
          <c:invertIfNegative val="0"/>
          <c:cat>
            <c:numRef>
              <c:f>'Results ReCiPe (H) - ESD ship'!$AC$333:$BA$333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ship'!$AC$342:$BA$342</c:f>
              <c:numCache>
                <c:formatCode>0.00E+00</c:formatCode>
                <c:ptCount val="25"/>
                <c:pt idx="0">
                  <c:v>-1.4000382499999999E-4</c:v>
                </c:pt>
                <c:pt idx="1">
                  <c:v>-1.4000382499999999E-4</c:v>
                </c:pt>
                <c:pt idx="2">
                  <c:v>-1.4000382499999999E-4</c:v>
                </c:pt>
                <c:pt idx="3">
                  <c:v>-1.4000382499999999E-4</c:v>
                </c:pt>
                <c:pt idx="4">
                  <c:v>-1.4000382499999999E-4</c:v>
                </c:pt>
                <c:pt idx="5">
                  <c:v>-1.4000382499999999E-4</c:v>
                </c:pt>
                <c:pt idx="6">
                  <c:v>-1.4000382499999999E-4</c:v>
                </c:pt>
                <c:pt idx="7">
                  <c:v>-1.4000382499999999E-4</c:v>
                </c:pt>
                <c:pt idx="8">
                  <c:v>-1.4000382499999999E-4</c:v>
                </c:pt>
                <c:pt idx="9">
                  <c:v>-1.4000382499999999E-4</c:v>
                </c:pt>
                <c:pt idx="10">
                  <c:v>-1.4000382499999999E-4</c:v>
                </c:pt>
                <c:pt idx="11">
                  <c:v>-1.4000382499999999E-4</c:v>
                </c:pt>
                <c:pt idx="12">
                  <c:v>-1.4000382499999999E-4</c:v>
                </c:pt>
                <c:pt idx="13">
                  <c:v>-1.4000382499999999E-4</c:v>
                </c:pt>
                <c:pt idx="14">
                  <c:v>-1.4000382499999999E-4</c:v>
                </c:pt>
                <c:pt idx="15">
                  <c:v>-1.4000382499999999E-4</c:v>
                </c:pt>
                <c:pt idx="16">
                  <c:v>-1.4000382499999999E-4</c:v>
                </c:pt>
                <c:pt idx="17">
                  <c:v>-1.4000382499999999E-4</c:v>
                </c:pt>
                <c:pt idx="18">
                  <c:v>-1.4000382499999999E-4</c:v>
                </c:pt>
                <c:pt idx="19">
                  <c:v>-1.4000382499999999E-4</c:v>
                </c:pt>
                <c:pt idx="20">
                  <c:v>-1.4000382499999999E-4</c:v>
                </c:pt>
                <c:pt idx="21">
                  <c:v>-1.4000382499999999E-4</c:v>
                </c:pt>
                <c:pt idx="22">
                  <c:v>-1.4000382499999999E-4</c:v>
                </c:pt>
                <c:pt idx="23">
                  <c:v>-1.4000382499999999E-4</c:v>
                </c:pt>
                <c:pt idx="24">
                  <c:v>-1.4000382499999999E-4</c:v>
                </c:pt>
              </c:numCache>
            </c:numRef>
          </c:val>
          <c:extLst>
            <c:ext xmlns:c16="http://schemas.microsoft.com/office/drawing/2014/chart" uri="{C3380CC4-5D6E-409C-BE32-E72D297353CC}">
              <c16:uniqueId val="{00000008-2749-41D9-81D2-CD10065AF59F}"/>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(H) - ESD ship'!$AB$343</c:f>
              <c:strCache>
                <c:ptCount val="1"/>
                <c:pt idx="0">
                  <c:v>TOTAL per year</c:v>
                </c:pt>
              </c:strCache>
            </c:strRef>
          </c:tx>
          <c:spPr>
            <a:ln w="28575" cap="rnd">
              <a:solidFill>
                <a:schemeClr val="accent4">
                  <a:lumMod val="60000"/>
                </a:schemeClr>
              </a:solidFill>
              <a:round/>
            </a:ln>
            <a:effectLst/>
          </c:spPr>
          <c:marker>
            <c:symbol val="circle"/>
            <c:size val="5"/>
            <c:spPr>
              <a:solidFill>
                <a:schemeClr val="bg1"/>
              </a:solidFill>
              <a:ln w="9525">
                <a:solidFill>
                  <a:schemeClr val="accent4">
                    <a:lumMod val="60000"/>
                  </a:schemeClr>
                </a:solidFill>
              </a:ln>
              <a:effectLst/>
            </c:spPr>
          </c:marker>
          <c:cat>
            <c:numRef>
              <c:f>'Results ReCiPe (H) - ESD ship'!$AC$333:$BA$333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ship'!$AC$343:$BA$343</c:f>
              <c:numCache>
                <c:formatCode>0.00E+00</c:formatCode>
                <c:ptCount val="25"/>
                <c:pt idx="0">
                  <c:v>1.1978483717404754E-4</c:v>
                </c:pt>
                <c:pt idx="1">
                  <c:v>-5.9485755328988799E-5</c:v>
                </c:pt>
                <c:pt idx="2">
                  <c:v>-6.0118530242730606E-5</c:v>
                </c:pt>
                <c:pt idx="3">
                  <c:v>-5.6629523343808532E-5</c:v>
                </c:pt>
                <c:pt idx="4">
                  <c:v>-6.1520498080689642E-5</c:v>
                </c:pt>
                <c:pt idx="5">
                  <c:v>-6.2164541741161326E-5</c:v>
                </c:pt>
                <c:pt idx="6">
                  <c:v>-5.8519356294731362E-5</c:v>
                </c:pt>
                <c:pt idx="7">
                  <c:v>-6.3097693427306592E-5</c:v>
                </c:pt>
                <c:pt idx="8">
                  <c:v>-6.3618735470269037E-5</c:v>
                </c:pt>
                <c:pt idx="9">
                  <c:v>-6.0110007109422729E-5</c:v>
                </c:pt>
                <c:pt idx="10">
                  <c:v>-6.4527199527409271E-5</c:v>
                </c:pt>
                <c:pt idx="11">
                  <c:v>-6.4873044689611739E-5</c:v>
                </c:pt>
                <c:pt idx="12">
                  <c:v>-6.1434959783888604E-5</c:v>
                </c:pt>
                <c:pt idx="13">
                  <c:v>-6.5585837129886058E-5</c:v>
                </c:pt>
                <c:pt idx="14">
                  <c:v>-6.5928060151017112E-5</c:v>
                </c:pt>
                <c:pt idx="15">
                  <c:v>-6.2682974320719395E-5</c:v>
                </c:pt>
                <c:pt idx="16">
                  <c:v>-6.6457120346135283E-5</c:v>
                </c:pt>
                <c:pt idx="17">
                  <c:v>-6.664258998753527E-5</c:v>
                </c:pt>
                <c:pt idx="18">
                  <c:v>-6.3397332537744238E-5</c:v>
                </c:pt>
                <c:pt idx="19">
                  <c:v>-6.7023341930432223E-5</c:v>
                </c:pt>
                <c:pt idx="20">
                  <c:v>-6.729368954911546E-5</c:v>
                </c:pt>
                <c:pt idx="21">
                  <c:v>-6.3789734093840398E-5</c:v>
                </c:pt>
                <c:pt idx="22">
                  <c:v>-6.7221292809609606E-5</c:v>
                </c:pt>
                <c:pt idx="23">
                  <c:v>-6.7279615004873394E-5</c:v>
                </c:pt>
                <c:pt idx="24">
                  <c:v>-6.1357649637091871E-5</c:v>
                </c:pt>
              </c:numCache>
            </c:numRef>
          </c:val>
          <c:smooth val="0"/>
          <c:extLst>
            <c:ext xmlns:c16="http://schemas.microsoft.com/office/drawing/2014/chart" uri="{C3380CC4-5D6E-409C-BE32-E72D297353CC}">
              <c16:uniqueId val="{00000009-2749-41D9-81D2-CD10065AF59F}"/>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Ecosystem damage</a:t>
                </a:r>
              </a:p>
              <a:p>
                <a:pPr algn="ctr" rtl="0">
                  <a:defRPr/>
                </a:pPr>
                <a:r>
                  <a:rPr lang="nl-NL"/>
                  <a:t>[PDF*yr/ton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ESD ship'!$AB$395</c:f>
              <c:strCache>
                <c:ptCount val="1"/>
                <c:pt idx="0">
                  <c:v>Construction - DAC</c:v>
                </c:pt>
              </c:strCache>
            </c:strRef>
          </c:tx>
          <c:spPr>
            <a:solidFill>
              <a:schemeClr val="accent1"/>
            </a:solidFill>
            <a:ln>
              <a:noFill/>
            </a:ln>
            <a:effectLst/>
          </c:spPr>
          <c:invertIfNegative val="0"/>
          <c:cat>
            <c:numRef>
              <c:f>'Results ReCiPe (H) - ESD ship'!$AC$394:$BA$394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ship'!$AC$395:$BA$395</c:f>
              <c:numCache>
                <c:formatCode>0.00E+00</c:formatCode>
                <c:ptCount val="25"/>
                <c:pt idx="0">
                  <c:v>1.3798038147677175E-4</c:v>
                </c:pt>
              </c:numCache>
            </c:numRef>
          </c:val>
          <c:extLst>
            <c:ext xmlns:c16="http://schemas.microsoft.com/office/drawing/2014/chart" uri="{C3380CC4-5D6E-409C-BE32-E72D297353CC}">
              <c16:uniqueId val="{00000000-2627-4066-B173-F76C8DFF52D1}"/>
            </c:ext>
          </c:extLst>
        </c:ser>
        <c:ser>
          <c:idx val="1"/>
          <c:order val="1"/>
          <c:tx>
            <c:strRef>
              <c:f>'Results ReCiPe (H) - ESD ship'!$AB$396</c:f>
              <c:strCache>
                <c:ptCount val="1"/>
                <c:pt idx="0">
                  <c:v>Construction - geological storage</c:v>
                </c:pt>
              </c:strCache>
            </c:strRef>
          </c:tx>
          <c:spPr>
            <a:solidFill>
              <a:schemeClr val="accent2"/>
            </a:solidFill>
            <a:ln>
              <a:noFill/>
            </a:ln>
            <a:effectLst/>
          </c:spPr>
          <c:invertIfNegative val="0"/>
          <c:cat>
            <c:numRef>
              <c:f>'Results ReCiPe (H) - ESD ship'!$AC$394:$BA$394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ship'!$AC$396:$BA$396</c:f>
              <c:numCache>
                <c:formatCode>0.00E+00</c:formatCode>
                <c:ptCount val="25"/>
                <c:pt idx="0">
                  <c:v>4.8932981636422996E-6</c:v>
                </c:pt>
              </c:numCache>
            </c:numRef>
          </c:val>
          <c:extLst>
            <c:ext xmlns:c16="http://schemas.microsoft.com/office/drawing/2014/chart" uri="{C3380CC4-5D6E-409C-BE32-E72D297353CC}">
              <c16:uniqueId val="{00000001-2627-4066-B173-F76C8DFF52D1}"/>
            </c:ext>
          </c:extLst>
        </c:ser>
        <c:ser>
          <c:idx val="2"/>
          <c:order val="2"/>
          <c:tx>
            <c:strRef>
              <c:f>'Results ReCiPe (H) - ESD ship'!$AB$397</c:f>
              <c:strCache>
                <c:ptCount val="1"/>
                <c:pt idx="0">
                  <c:v>Deconstruction - DAC</c:v>
                </c:pt>
              </c:strCache>
            </c:strRef>
          </c:tx>
          <c:spPr>
            <a:solidFill>
              <a:schemeClr val="accent3"/>
            </a:solidFill>
            <a:ln>
              <a:noFill/>
            </a:ln>
            <a:effectLst/>
          </c:spPr>
          <c:invertIfNegative val="0"/>
          <c:cat>
            <c:numRef>
              <c:f>'Results ReCiPe (H) - ESD ship'!$AC$394:$BA$394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ship'!$AC$397:$BA$397</c:f>
              <c:numCache>
                <c:formatCode>0.00E+00</c:formatCode>
                <c:ptCount val="25"/>
                <c:pt idx="24">
                  <c:v>2.4979772832792044E-6</c:v>
                </c:pt>
              </c:numCache>
            </c:numRef>
          </c:val>
          <c:extLst>
            <c:ext xmlns:c16="http://schemas.microsoft.com/office/drawing/2014/chart" uri="{C3380CC4-5D6E-409C-BE32-E72D297353CC}">
              <c16:uniqueId val="{00000002-2627-4066-B173-F76C8DFF52D1}"/>
            </c:ext>
          </c:extLst>
        </c:ser>
        <c:ser>
          <c:idx val="3"/>
          <c:order val="3"/>
          <c:tx>
            <c:strRef>
              <c:f>'Results ReCiPe (H) - ESD ship'!$AB$398</c:f>
              <c:strCache>
                <c:ptCount val="1"/>
                <c:pt idx="0">
                  <c:v>Deconstruction - geological storage</c:v>
                </c:pt>
              </c:strCache>
            </c:strRef>
          </c:tx>
          <c:spPr>
            <a:solidFill>
              <a:schemeClr val="accent4"/>
            </a:solidFill>
            <a:ln>
              <a:noFill/>
            </a:ln>
            <a:effectLst/>
          </c:spPr>
          <c:invertIfNegative val="0"/>
          <c:cat>
            <c:numRef>
              <c:f>'Results ReCiPe (H) - ESD ship'!$AC$394:$BA$394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ship'!$AC$398:$BA$398</c:f>
              <c:numCache>
                <c:formatCode>0.00E+00</c:formatCode>
                <c:ptCount val="25"/>
                <c:pt idx="24">
                  <c:v>4.4645706210743862E-8</c:v>
                </c:pt>
              </c:numCache>
            </c:numRef>
          </c:val>
          <c:extLst>
            <c:ext xmlns:c16="http://schemas.microsoft.com/office/drawing/2014/chart" uri="{C3380CC4-5D6E-409C-BE32-E72D297353CC}">
              <c16:uniqueId val="{00000003-2627-4066-B173-F76C8DFF52D1}"/>
            </c:ext>
          </c:extLst>
        </c:ser>
        <c:ser>
          <c:idx val="4"/>
          <c:order val="4"/>
          <c:tx>
            <c:strRef>
              <c:f>'Results ReCiPe (H) - ESD ship'!$AB$399</c:f>
              <c:strCache>
                <c:ptCount val="1"/>
                <c:pt idx="0">
                  <c:v>Sorbent material</c:v>
                </c:pt>
              </c:strCache>
            </c:strRef>
          </c:tx>
          <c:spPr>
            <a:solidFill>
              <a:schemeClr val="accent5"/>
            </a:solidFill>
            <a:ln>
              <a:noFill/>
            </a:ln>
            <a:effectLst/>
          </c:spPr>
          <c:invertIfNegative val="0"/>
          <c:cat>
            <c:numRef>
              <c:f>'Results ReCiPe (H) - ESD ship'!$AC$394:$BA$394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ship'!$AC$399:$BA$399</c:f>
              <c:numCache>
                <c:formatCode>0.00E+00</c:formatCode>
                <c:ptCount val="25"/>
                <c:pt idx="0">
                  <c:v>3.715731652454359E-6</c:v>
                </c:pt>
                <c:pt idx="3">
                  <c:v>3.5013590415283682E-6</c:v>
                </c:pt>
                <c:pt idx="6">
                  <c:v>3.359625974222981E-6</c:v>
                </c:pt>
                <c:pt idx="9">
                  <c:v>3.3222042704526711E-6</c:v>
                </c:pt>
                <c:pt idx="12">
                  <c:v>3.3098090978734569E-6</c:v>
                </c:pt>
                <c:pt idx="15">
                  <c:v>3.2987119954850761E-6</c:v>
                </c:pt>
                <c:pt idx="18">
                  <c:v>3.278896138541998E-6</c:v>
                </c:pt>
                <c:pt idx="21">
                  <c:v>3.2828870256197742E-6</c:v>
                </c:pt>
                <c:pt idx="24">
                  <c:v>3.2779455111866361E-6</c:v>
                </c:pt>
              </c:numCache>
            </c:numRef>
          </c:val>
          <c:extLst>
            <c:ext xmlns:c16="http://schemas.microsoft.com/office/drawing/2014/chart" uri="{C3380CC4-5D6E-409C-BE32-E72D297353CC}">
              <c16:uniqueId val="{00000004-2627-4066-B173-F76C8DFF52D1}"/>
            </c:ext>
          </c:extLst>
        </c:ser>
        <c:ser>
          <c:idx val="5"/>
          <c:order val="5"/>
          <c:tx>
            <c:strRef>
              <c:f>'Results ReCiPe (H) - ESD ship'!$AB$400</c:f>
              <c:strCache>
                <c:ptCount val="1"/>
                <c:pt idx="0">
                  <c:v>Battery</c:v>
                </c:pt>
              </c:strCache>
            </c:strRef>
          </c:tx>
          <c:spPr>
            <a:solidFill>
              <a:schemeClr val="accent6"/>
            </a:solidFill>
            <a:ln>
              <a:noFill/>
            </a:ln>
            <a:effectLst/>
          </c:spPr>
          <c:invertIfNegative val="0"/>
          <c:cat>
            <c:numRef>
              <c:f>'Results ReCiPe (H) - ESD ship'!$AC$394:$BA$394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ship'!$AC$400:$BA$400</c:f>
              <c:numCache>
                <c:formatCode>0.00E+00</c:formatCode>
                <c:ptCount val="25"/>
                <c:pt idx="0">
                  <c:v>3.5391838353938991E-5</c:v>
                </c:pt>
                <c:pt idx="1">
                  <c:v>3.5391838353938991E-5</c:v>
                </c:pt>
                <c:pt idx="2">
                  <c:v>3.5391838353938991E-5</c:v>
                </c:pt>
                <c:pt idx="3">
                  <c:v>3.5391838353938991E-5</c:v>
                </c:pt>
                <c:pt idx="4">
                  <c:v>3.5391838353938991E-5</c:v>
                </c:pt>
                <c:pt idx="5">
                  <c:v>3.5391838353938991E-5</c:v>
                </c:pt>
                <c:pt idx="6">
                  <c:v>3.5391838353938991E-5</c:v>
                </c:pt>
                <c:pt idx="7">
                  <c:v>3.5391838353938991E-5</c:v>
                </c:pt>
                <c:pt idx="8">
                  <c:v>3.5391838353938991E-5</c:v>
                </c:pt>
                <c:pt idx="9">
                  <c:v>3.5391838353938991E-5</c:v>
                </c:pt>
                <c:pt idx="10">
                  <c:v>3.5391838353938991E-5</c:v>
                </c:pt>
                <c:pt idx="11">
                  <c:v>3.5391838353938991E-5</c:v>
                </c:pt>
                <c:pt idx="12">
                  <c:v>3.5391838353938991E-5</c:v>
                </c:pt>
                <c:pt idx="13">
                  <c:v>3.5391838353938991E-5</c:v>
                </c:pt>
                <c:pt idx="14">
                  <c:v>3.5391838353938991E-5</c:v>
                </c:pt>
                <c:pt idx="15">
                  <c:v>3.5391838353938991E-5</c:v>
                </c:pt>
                <c:pt idx="16">
                  <c:v>3.5391838353938991E-5</c:v>
                </c:pt>
                <c:pt idx="17">
                  <c:v>3.5391838353938991E-5</c:v>
                </c:pt>
                <c:pt idx="18">
                  <c:v>3.5391838353938991E-5</c:v>
                </c:pt>
                <c:pt idx="19">
                  <c:v>3.5391838353938991E-5</c:v>
                </c:pt>
                <c:pt idx="20">
                  <c:v>3.5391838353938991E-5</c:v>
                </c:pt>
                <c:pt idx="21">
                  <c:v>3.5391838353938991E-5</c:v>
                </c:pt>
                <c:pt idx="22">
                  <c:v>3.5391838353938991E-5</c:v>
                </c:pt>
                <c:pt idx="23">
                  <c:v>3.5391838353938991E-5</c:v>
                </c:pt>
                <c:pt idx="24">
                  <c:v>3.5391838353938991E-5</c:v>
                </c:pt>
              </c:numCache>
            </c:numRef>
          </c:val>
          <c:extLst>
            <c:ext xmlns:c16="http://schemas.microsoft.com/office/drawing/2014/chart" uri="{C3380CC4-5D6E-409C-BE32-E72D297353CC}">
              <c16:uniqueId val="{00000005-2627-4066-B173-F76C8DFF52D1}"/>
            </c:ext>
          </c:extLst>
        </c:ser>
        <c:ser>
          <c:idx val="6"/>
          <c:order val="6"/>
          <c:tx>
            <c:strRef>
              <c:f>'Results ReCiPe (H) - ESD ship'!$AB$401</c:f>
              <c:strCache>
                <c:ptCount val="1"/>
                <c:pt idx="0">
                  <c:v>Operation - DAC</c:v>
                </c:pt>
              </c:strCache>
            </c:strRef>
          </c:tx>
          <c:spPr>
            <a:solidFill>
              <a:schemeClr val="accent1">
                <a:lumMod val="60000"/>
              </a:schemeClr>
            </a:solidFill>
            <a:ln>
              <a:noFill/>
            </a:ln>
            <a:effectLst/>
          </c:spPr>
          <c:invertIfNegative val="0"/>
          <c:cat>
            <c:numRef>
              <c:f>'Results ReCiPe (H) - ESD ship'!$AC$394:$BA$394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ship'!$AC$401:$BA$401</c:f>
              <c:numCache>
                <c:formatCode>0.00E+00</c:formatCode>
                <c:ptCount val="25"/>
                <c:pt idx="0">
                  <c:v>2.799474380680289E-5</c:v>
                </c:pt>
                <c:pt idx="1">
                  <c:v>2.7678158887883355E-5</c:v>
                </c:pt>
                <c:pt idx="2">
                  <c:v>2.7356905758340147E-5</c:v>
                </c:pt>
                <c:pt idx="3">
                  <c:v>2.6908114255842618E-5</c:v>
                </c:pt>
                <c:pt idx="4">
                  <c:v>2.6570793414369379E-5</c:v>
                </c:pt>
                <c:pt idx="5">
                  <c:v>2.6228782386745567E-5</c:v>
                </c:pt>
                <c:pt idx="6">
                  <c:v>2.6162431768583067E-5</c:v>
                </c:pt>
                <c:pt idx="7">
                  <c:v>2.6095891012387027E-5</c:v>
                </c:pt>
                <c:pt idx="8">
                  <c:v>2.5962917182790027E-5</c:v>
                </c:pt>
                <c:pt idx="9">
                  <c:v>2.5895776925025042E-5</c:v>
                </c:pt>
                <c:pt idx="10">
                  <c:v>2.5829312673375157E-5</c:v>
                </c:pt>
                <c:pt idx="11">
                  <c:v>2.5804262908942239E-5</c:v>
                </c:pt>
                <c:pt idx="12">
                  <c:v>2.5780459778227925E-5</c:v>
                </c:pt>
                <c:pt idx="13">
                  <c:v>2.5733670272860495E-5</c:v>
                </c:pt>
                <c:pt idx="14">
                  <c:v>2.5709867187306292E-5</c:v>
                </c:pt>
                <c:pt idx="15">
                  <c:v>2.5685162055894327E-5</c:v>
                </c:pt>
                <c:pt idx="16">
                  <c:v>2.5655767215887149E-5</c:v>
                </c:pt>
                <c:pt idx="17">
                  <c:v>2.5626884571953715E-5</c:v>
                </c:pt>
                <c:pt idx="18">
                  <c:v>2.5577541066413494E-5</c:v>
                </c:pt>
                <c:pt idx="19">
                  <c:v>2.5548471842133846E-5</c:v>
                </c:pt>
                <c:pt idx="20">
                  <c:v>2.5506543880165256E-5</c:v>
                </c:pt>
                <c:pt idx="21">
                  <c:v>2.5665889134127306E-5</c:v>
                </c:pt>
                <c:pt idx="22">
                  <c:v>2.5659663863316576E-5</c:v>
                </c:pt>
                <c:pt idx="23">
                  <c:v>2.5653454404168285E-5</c:v>
                </c:pt>
                <c:pt idx="24">
                  <c:v>2.5647258080522851E-5</c:v>
                </c:pt>
              </c:numCache>
            </c:numRef>
          </c:val>
          <c:extLst>
            <c:ext xmlns:c16="http://schemas.microsoft.com/office/drawing/2014/chart" uri="{C3380CC4-5D6E-409C-BE32-E72D297353CC}">
              <c16:uniqueId val="{00000006-2627-4066-B173-F76C8DFF52D1}"/>
            </c:ext>
          </c:extLst>
        </c:ser>
        <c:ser>
          <c:idx val="7"/>
          <c:order val="7"/>
          <c:tx>
            <c:strRef>
              <c:f>'Results ReCiPe (H) - ESD ship'!$AB$402</c:f>
              <c:strCache>
                <c:ptCount val="1"/>
                <c:pt idx="0">
                  <c:v>Operation - geological storage</c:v>
                </c:pt>
              </c:strCache>
            </c:strRef>
          </c:tx>
          <c:spPr>
            <a:solidFill>
              <a:schemeClr val="accent2">
                <a:lumMod val="60000"/>
              </a:schemeClr>
            </a:solidFill>
            <a:ln>
              <a:noFill/>
            </a:ln>
            <a:effectLst/>
          </c:spPr>
          <c:invertIfNegative val="0"/>
          <c:cat>
            <c:numRef>
              <c:f>'Results ReCiPe (H) - ESD ship'!$AC$394:$BA$394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ship'!$AC$402:$BA$402</c:f>
              <c:numCache>
                <c:formatCode>0.00E+00</c:formatCode>
                <c:ptCount val="25"/>
                <c:pt idx="0">
                  <c:v>6.98615348979423E-6</c:v>
                </c:pt>
                <c:pt idx="1">
                  <c:v>6.6865609381902453E-6</c:v>
                </c:pt>
                <c:pt idx="2">
                  <c:v>6.387901189246065E-6</c:v>
                </c:pt>
                <c:pt idx="3">
                  <c:v>6.0827067845473792E-6</c:v>
                </c:pt>
                <c:pt idx="4">
                  <c:v>5.7855013235231044E-6</c:v>
                </c:pt>
                <c:pt idx="5">
                  <c:v>5.4892278644625403E-6</c:v>
                </c:pt>
                <c:pt idx="6">
                  <c:v>5.4648730105590148E-6</c:v>
                </c:pt>
                <c:pt idx="7">
                  <c:v>5.4402023753731551E-6</c:v>
                </c:pt>
                <c:pt idx="8">
                  <c:v>5.4087476241049749E-6</c:v>
                </c:pt>
                <c:pt idx="9">
                  <c:v>5.3831353182669151E-6</c:v>
                </c:pt>
                <c:pt idx="10">
                  <c:v>5.3571969709996852E-6</c:v>
                </c:pt>
                <c:pt idx="11">
                  <c:v>5.3398215234715699E-6</c:v>
                </c:pt>
                <c:pt idx="12">
                  <c:v>5.3223833285460649E-6</c:v>
                </c:pt>
                <c:pt idx="13">
                  <c:v>5.3029350805472848E-6</c:v>
                </c:pt>
                <c:pt idx="14">
                  <c:v>5.2849537157557602E-6</c:v>
                </c:pt>
                <c:pt idx="15">
                  <c:v>5.2667673886417901E-6</c:v>
                </c:pt>
                <c:pt idx="16">
                  <c:v>5.1984759978655503E-6</c:v>
                </c:pt>
                <c:pt idx="17">
                  <c:v>5.1303872011251149E-6</c:v>
                </c:pt>
                <c:pt idx="18">
                  <c:v>5.0609636892424405E-6</c:v>
                </c:pt>
                <c:pt idx="19">
                  <c:v>4.9931804312954626E-6</c:v>
                </c:pt>
                <c:pt idx="20">
                  <c:v>4.9253342592135276E-6</c:v>
                </c:pt>
                <c:pt idx="21">
                  <c:v>4.9211385387924968E-6</c:v>
                </c:pt>
                <c:pt idx="22">
                  <c:v>4.8761779229545114E-6</c:v>
                </c:pt>
                <c:pt idx="23">
                  <c:v>4.8312831898971668E-6</c:v>
                </c:pt>
                <c:pt idx="24">
                  <c:v>4.7864454440377469E-6</c:v>
                </c:pt>
              </c:numCache>
            </c:numRef>
          </c:val>
          <c:extLst>
            <c:ext xmlns:c16="http://schemas.microsoft.com/office/drawing/2014/chart" uri="{C3380CC4-5D6E-409C-BE32-E72D297353CC}">
              <c16:uniqueId val="{00000007-2627-4066-B173-F76C8DFF52D1}"/>
            </c:ext>
          </c:extLst>
        </c:ser>
        <c:ser>
          <c:idx val="8"/>
          <c:order val="8"/>
          <c:tx>
            <c:strRef>
              <c:f>'Results ReCiPe (H) - ESD ship'!$AB$403</c:f>
              <c:strCache>
                <c:ptCount val="1"/>
                <c:pt idx="0">
                  <c:v>CO2 captured and stored</c:v>
                </c:pt>
              </c:strCache>
            </c:strRef>
          </c:tx>
          <c:spPr>
            <a:solidFill>
              <a:schemeClr val="accent3">
                <a:lumMod val="60000"/>
              </a:schemeClr>
            </a:solidFill>
            <a:ln>
              <a:noFill/>
            </a:ln>
            <a:effectLst/>
          </c:spPr>
          <c:invertIfNegative val="0"/>
          <c:cat>
            <c:numRef>
              <c:f>'Results ReCiPe (H) - ESD ship'!$AC$394:$BA$394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ship'!$AC$403:$BA$403</c:f>
              <c:numCache>
                <c:formatCode>0.00E+00</c:formatCode>
                <c:ptCount val="25"/>
                <c:pt idx="0">
                  <c:v>-1.4000382499999999E-4</c:v>
                </c:pt>
                <c:pt idx="1">
                  <c:v>-1.4000382499999999E-4</c:v>
                </c:pt>
                <c:pt idx="2">
                  <c:v>-1.4000382499999999E-4</c:v>
                </c:pt>
                <c:pt idx="3">
                  <c:v>-1.4000382499999999E-4</c:v>
                </c:pt>
                <c:pt idx="4">
                  <c:v>-1.4000382499999999E-4</c:v>
                </c:pt>
                <c:pt idx="5">
                  <c:v>-1.4000382499999999E-4</c:v>
                </c:pt>
                <c:pt idx="6">
                  <c:v>-1.4000382499999999E-4</c:v>
                </c:pt>
                <c:pt idx="7">
                  <c:v>-1.4000382499999999E-4</c:v>
                </c:pt>
                <c:pt idx="8">
                  <c:v>-1.4000382499999999E-4</c:v>
                </c:pt>
                <c:pt idx="9">
                  <c:v>-1.4000382499999999E-4</c:v>
                </c:pt>
                <c:pt idx="10">
                  <c:v>-1.4000382499999999E-4</c:v>
                </c:pt>
                <c:pt idx="11">
                  <c:v>-1.4000382499999999E-4</c:v>
                </c:pt>
                <c:pt idx="12">
                  <c:v>-1.4000382499999999E-4</c:v>
                </c:pt>
                <c:pt idx="13">
                  <c:v>-1.4000382499999999E-4</c:v>
                </c:pt>
                <c:pt idx="14">
                  <c:v>-1.4000382499999999E-4</c:v>
                </c:pt>
                <c:pt idx="15">
                  <c:v>-1.4000382499999999E-4</c:v>
                </c:pt>
                <c:pt idx="16">
                  <c:v>-1.4000382499999999E-4</c:v>
                </c:pt>
                <c:pt idx="17">
                  <c:v>-1.4000382499999999E-4</c:v>
                </c:pt>
                <c:pt idx="18">
                  <c:v>-1.4000382499999999E-4</c:v>
                </c:pt>
                <c:pt idx="19">
                  <c:v>-1.4000382499999999E-4</c:v>
                </c:pt>
                <c:pt idx="20">
                  <c:v>-1.4000382499999999E-4</c:v>
                </c:pt>
                <c:pt idx="21">
                  <c:v>-1.4000382499999999E-4</c:v>
                </c:pt>
                <c:pt idx="22">
                  <c:v>-1.4000382499999999E-4</c:v>
                </c:pt>
                <c:pt idx="23">
                  <c:v>-1.4000382499999999E-4</c:v>
                </c:pt>
                <c:pt idx="24">
                  <c:v>-1.4000382499999999E-4</c:v>
                </c:pt>
              </c:numCache>
            </c:numRef>
          </c:val>
          <c:extLst>
            <c:ext xmlns:c16="http://schemas.microsoft.com/office/drawing/2014/chart" uri="{C3380CC4-5D6E-409C-BE32-E72D297353CC}">
              <c16:uniqueId val="{00000008-2627-4066-B173-F76C8DFF52D1}"/>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(H) - ESD ship'!$AB$404</c:f>
              <c:strCache>
                <c:ptCount val="1"/>
                <c:pt idx="0">
                  <c:v>TOTAL per year</c:v>
                </c:pt>
              </c:strCache>
            </c:strRef>
          </c:tx>
          <c:spPr>
            <a:ln w="28575" cap="rnd">
              <a:solidFill>
                <a:schemeClr val="accent4">
                  <a:lumMod val="60000"/>
                </a:schemeClr>
              </a:solidFill>
              <a:round/>
            </a:ln>
            <a:effectLst/>
          </c:spPr>
          <c:marker>
            <c:symbol val="circle"/>
            <c:size val="5"/>
            <c:spPr>
              <a:solidFill>
                <a:schemeClr val="bg1"/>
              </a:solidFill>
              <a:ln w="9525">
                <a:solidFill>
                  <a:schemeClr val="accent4">
                    <a:lumMod val="60000"/>
                  </a:schemeClr>
                </a:solidFill>
              </a:ln>
              <a:effectLst/>
            </c:spPr>
          </c:marker>
          <c:cat>
            <c:numRef>
              <c:f>'Results ReCiPe (H) - ESD ship'!$AC$394:$BA$394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 ship'!$AC$404:$BA$404</c:f>
              <c:numCache>
                <c:formatCode>0.00E+00</c:formatCode>
                <c:ptCount val="25"/>
                <c:pt idx="0">
                  <c:v>7.6958321943404543E-5</c:v>
                </c:pt>
                <c:pt idx="1">
                  <c:v>-7.0247266819987403E-5</c:v>
                </c:pt>
                <c:pt idx="2">
                  <c:v>-7.0867179698474794E-5</c:v>
                </c:pt>
                <c:pt idx="3">
                  <c:v>-6.811980656414264E-5</c:v>
                </c:pt>
                <c:pt idx="4">
                  <c:v>-7.2255691908168528E-5</c:v>
                </c:pt>
                <c:pt idx="5">
                  <c:v>-7.289397639485289E-5</c:v>
                </c:pt>
                <c:pt idx="6">
                  <c:v>-6.9625055892695933E-5</c:v>
                </c:pt>
                <c:pt idx="7">
                  <c:v>-7.3075893258300824E-5</c:v>
                </c:pt>
                <c:pt idx="8">
                  <c:v>-7.3240321839166005E-5</c:v>
                </c:pt>
                <c:pt idx="9">
                  <c:v>-7.0010870132316381E-5</c:v>
                </c:pt>
                <c:pt idx="10">
                  <c:v>-7.3425477001686152E-5</c:v>
                </c:pt>
                <c:pt idx="11">
                  <c:v>-7.3467902213647182E-5</c:v>
                </c:pt>
                <c:pt idx="12">
                  <c:v>-7.0199334441413552E-5</c:v>
                </c:pt>
                <c:pt idx="13">
                  <c:v>-7.3575381292653226E-5</c:v>
                </c:pt>
                <c:pt idx="14">
                  <c:v>-7.3617165742998953E-5</c:v>
                </c:pt>
                <c:pt idx="15">
                  <c:v>-7.0361345206039805E-5</c:v>
                </c:pt>
                <c:pt idx="16">
                  <c:v>-7.3757743432308301E-5</c:v>
                </c:pt>
                <c:pt idx="17">
                  <c:v>-7.3854714872982169E-5</c:v>
                </c:pt>
                <c:pt idx="18">
                  <c:v>-7.0694585751863068E-5</c:v>
                </c:pt>
                <c:pt idx="19">
                  <c:v>-7.4070334372631689E-5</c:v>
                </c:pt>
                <c:pt idx="20">
                  <c:v>-7.4180108506682221E-5</c:v>
                </c:pt>
                <c:pt idx="21">
                  <c:v>-7.0742071947521421E-5</c:v>
                </c:pt>
                <c:pt idx="22">
                  <c:v>-7.4076144859789908E-5</c:v>
                </c:pt>
                <c:pt idx="23">
                  <c:v>-7.4127249051995542E-5</c:v>
                </c:pt>
                <c:pt idx="24">
                  <c:v>-6.8357714620823816E-5</c:v>
                </c:pt>
              </c:numCache>
            </c:numRef>
          </c:val>
          <c:smooth val="0"/>
          <c:extLst>
            <c:ext xmlns:c16="http://schemas.microsoft.com/office/drawing/2014/chart" uri="{C3380CC4-5D6E-409C-BE32-E72D297353CC}">
              <c16:uniqueId val="{00000009-2627-4066-B173-F76C8DFF52D1}"/>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Ecosystem damage </a:t>
                </a:r>
              </a:p>
              <a:p>
                <a:pPr algn="ctr" rtl="0">
                  <a:defRPr/>
                </a:pPr>
                <a:r>
                  <a:rPr lang="nl-NL"/>
                  <a:t>[PDF*yr/ton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RD ship'!$AB$10</c:f>
              <c:strCache>
                <c:ptCount val="1"/>
                <c:pt idx="0">
                  <c:v>Construction - DAC</c:v>
                </c:pt>
              </c:strCache>
            </c:strRef>
          </c:tx>
          <c:spPr>
            <a:solidFill>
              <a:schemeClr val="accent4">
                <a:lumMod val="75000"/>
              </a:schemeClr>
            </a:solidFill>
            <a:ln>
              <a:noFill/>
            </a:ln>
            <a:effectLst/>
          </c:spPr>
          <c:invertIfNegative val="0"/>
          <c:cat>
            <c:numRef>
              <c:f>'Results ReCiPe (H) - RD ship'!$AC$9:$BA$9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ship'!$AC$10:$BA$10</c:f>
              <c:numCache>
                <c:formatCode>0.00E+00</c:formatCode>
                <c:ptCount val="25"/>
                <c:pt idx="0">
                  <c:v>2893.1840673783981</c:v>
                </c:pt>
              </c:numCache>
            </c:numRef>
          </c:val>
          <c:extLst>
            <c:ext xmlns:c16="http://schemas.microsoft.com/office/drawing/2014/chart" uri="{C3380CC4-5D6E-409C-BE32-E72D297353CC}">
              <c16:uniqueId val="{00000000-C6FF-4A6E-9137-EDAFDF891CA1}"/>
            </c:ext>
          </c:extLst>
        </c:ser>
        <c:ser>
          <c:idx val="1"/>
          <c:order val="1"/>
          <c:tx>
            <c:strRef>
              <c:f>'Results ReCiPe (H) - RD ship'!$AB$11</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(H) - RD ship'!$AC$9:$BA$9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ship'!$AC$11:$BA$11</c:f>
              <c:numCache>
                <c:formatCode>0.00E+00</c:formatCode>
                <c:ptCount val="25"/>
                <c:pt idx="0">
                  <c:v>269.67676540478124</c:v>
                </c:pt>
              </c:numCache>
            </c:numRef>
          </c:val>
          <c:extLst>
            <c:ext xmlns:c16="http://schemas.microsoft.com/office/drawing/2014/chart" uri="{C3380CC4-5D6E-409C-BE32-E72D297353CC}">
              <c16:uniqueId val="{00000001-C6FF-4A6E-9137-EDAFDF891CA1}"/>
            </c:ext>
          </c:extLst>
        </c:ser>
        <c:ser>
          <c:idx val="2"/>
          <c:order val="2"/>
          <c:tx>
            <c:strRef>
              <c:f>'Results ReCiPe (H) - RD ship'!$AB$12</c:f>
              <c:strCache>
                <c:ptCount val="1"/>
                <c:pt idx="0">
                  <c:v>Deconstruction - DAC</c:v>
                </c:pt>
              </c:strCache>
            </c:strRef>
          </c:tx>
          <c:spPr>
            <a:solidFill>
              <a:schemeClr val="accent2">
                <a:lumMod val="40000"/>
                <a:lumOff val="60000"/>
              </a:schemeClr>
            </a:solidFill>
            <a:ln>
              <a:noFill/>
            </a:ln>
            <a:effectLst/>
          </c:spPr>
          <c:invertIfNegative val="0"/>
          <c:cat>
            <c:numRef>
              <c:f>'Results ReCiPe (H) - RD ship'!$AC$9:$BA$9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ship'!$AC$12:$BA$12</c:f>
              <c:numCache>
                <c:formatCode>0.00E+00</c:formatCode>
                <c:ptCount val="25"/>
                <c:pt idx="24">
                  <c:v>45.635874346592793</c:v>
                </c:pt>
              </c:numCache>
            </c:numRef>
          </c:val>
          <c:extLst>
            <c:ext xmlns:c16="http://schemas.microsoft.com/office/drawing/2014/chart" uri="{C3380CC4-5D6E-409C-BE32-E72D297353CC}">
              <c16:uniqueId val="{00000002-C6FF-4A6E-9137-EDAFDF891CA1}"/>
            </c:ext>
          </c:extLst>
        </c:ser>
        <c:ser>
          <c:idx val="3"/>
          <c:order val="3"/>
          <c:tx>
            <c:strRef>
              <c:f>'Results ReCiPe (H) - RD ship'!$AB$13</c:f>
              <c:strCache>
                <c:ptCount val="1"/>
                <c:pt idx="0">
                  <c:v>Deconstruction - geological storage</c:v>
                </c:pt>
              </c:strCache>
            </c:strRef>
          </c:tx>
          <c:spPr>
            <a:solidFill>
              <a:srgbClr val="FF9900"/>
            </a:solidFill>
            <a:ln>
              <a:noFill/>
            </a:ln>
            <a:effectLst/>
          </c:spPr>
          <c:invertIfNegative val="0"/>
          <c:cat>
            <c:numRef>
              <c:f>'Results ReCiPe (H) - RD ship'!$AC$9:$BA$9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ship'!$AC$13:$BA$13</c:f>
              <c:numCache>
                <c:formatCode>0.00E+00</c:formatCode>
                <c:ptCount val="25"/>
                <c:pt idx="24">
                  <c:v>5.3706297748739608E-4</c:v>
                </c:pt>
              </c:numCache>
            </c:numRef>
          </c:val>
          <c:extLst>
            <c:ext xmlns:c16="http://schemas.microsoft.com/office/drawing/2014/chart" uri="{C3380CC4-5D6E-409C-BE32-E72D297353CC}">
              <c16:uniqueId val="{00000003-C6FF-4A6E-9137-EDAFDF891CA1}"/>
            </c:ext>
          </c:extLst>
        </c:ser>
        <c:ser>
          <c:idx val="4"/>
          <c:order val="4"/>
          <c:tx>
            <c:strRef>
              <c:f>'Results ReCiPe (H) - RD ship'!$AB$14</c:f>
              <c:strCache>
                <c:ptCount val="1"/>
                <c:pt idx="0">
                  <c:v>Sorbent material</c:v>
                </c:pt>
              </c:strCache>
            </c:strRef>
          </c:tx>
          <c:spPr>
            <a:solidFill>
              <a:srgbClr val="FF8F8F"/>
            </a:solidFill>
            <a:ln>
              <a:noFill/>
            </a:ln>
            <a:effectLst/>
          </c:spPr>
          <c:invertIfNegative val="0"/>
          <c:cat>
            <c:numRef>
              <c:f>'Results ReCiPe (H) - RD ship'!$AC$9:$BA$9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ship'!$AC$14:$BA$14</c:f>
              <c:numCache>
                <c:formatCode>0.00E+00</c:formatCode>
                <c:ptCount val="25"/>
                <c:pt idx="0">
                  <c:v>118.1930543229993</c:v>
                </c:pt>
                <c:pt idx="3">
                  <c:v>117.3708968791351</c:v>
                </c:pt>
                <c:pt idx="6">
                  <c:v>117.2479070799383</c:v>
                </c:pt>
                <c:pt idx="9">
                  <c:v>116.65080958776529</c:v>
                </c:pt>
                <c:pt idx="12">
                  <c:v>116.5694194979278</c:v>
                </c:pt>
                <c:pt idx="15">
                  <c:v>116.3562974875733</c:v>
                </c:pt>
                <c:pt idx="18">
                  <c:v>116.0610845903859</c:v>
                </c:pt>
                <c:pt idx="21">
                  <c:v>115.9379738654637</c:v>
                </c:pt>
                <c:pt idx="24">
                  <c:v>115.8757111011497</c:v>
                </c:pt>
              </c:numCache>
            </c:numRef>
          </c:val>
          <c:extLst>
            <c:ext xmlns:c16="http://schemas.microsoft.com/office/drawing/2014/chart" uri="{C3380CC4-5D6E-409C-BE32-E72D297353CC}">
              <c16:uniqueId val="{00000004-C6FF-4A6E-9137-EDAFDF891CA1}"/>
            </c:ext>
          </c:extLst>
        </c:ser>
        <c:ser>
          <c:idx val="5"/>
          <c:order val="5"/>
          <c:tx>
            <c:strRef>
              <c:f>'Results ReCiPe (H) - RD ship'!$AB$15</c:f>
              <c:strCache>
                <c:ptCount val="1"/>
                <c:pt idx="0">
                  <c:v>Operation - DAC</c:v>
                </c:pt>
              </c:strCache>
            </c:strRef>
          </c:tx>
          <c:spPr>
            <a:solidFill>
              <a:schemeClr val="accent2">
                <a:lumMod val="75000"/>
              </a:schemeClr>
            </a:solidFill>
            <a:ln>
              <a:noFill/>
            </a:ln>
            <a:effectLst/>
          </c:spPr>
          <c:invertIfNegative val="0"/>
          <c:cat>
            <c:numRef>
              <c:f>'Results ReCiPe (H) - RD ship'!$AC$9:$BA$9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ship'!$AC$15:$BA$15</c:f>
              <c:numCache>
                <c:formatCode>0.00E+00</c:formatCode>
                <c:ptCount val="25"/>
                <c:pt idx="0">
                  <c:v>2322.1156028821961</c:v>
                </c:pt>
                <c:pt idx="1">
                  <c:v>2332.8507557548551</c:v>
                </c:pt>
                <c:pt idx="2">
                  <c:v>2343.6747205671109</c:v>
                </c:pt>
                <c:pt idx="3">
                  <c:v>2350.4325473014642</c:v>
                </c:pt>
                <c:pt idx="4">
                  <c:v>2361.4920858946348</c:v>
                </c:pt>
                <c:pt idx="5">
                  <c:v>2372.6374563349809</c:v>
                </c:pt>
                <c:pt idx="6">
                  <c:v>2414.344422470358</c:v>
                </c:pt>
                <c:pt idx="7">
                  <c:v>2455.9963773549689</c:v>
                </c:pt>
                <c:pt idx="8">
                  <c:v>2494.5087850326322</c:v>
                </c:pt>
                <c:pt idx="9">
                  <c:v>2536.1990872373349</c:v>
                </c:pt>
                <c:pt idx="10">
                  <c:v>2577.858450231492</c:v>
                </c:pt>
                <c:pt idx="11">
                  <c:v>2582.8506304151101</c:v>
                </c:pt>
                <c:pt idx="12">
                  <c:v>2587.7225433079388</c:v>
                </c:pt>
                <c:pt idx="13">
                  <c:v>2591.7642004254149</c:v>
                </c:pt>
                <c:pt idx="14">
                  <c:v>2596.3863005575281</c:v>
                </c:pt>
                <c:pt idx="15">
                  <c:v>2600.8698419603979</c:v>
                </c:pt>
                <c:pt idx="16">
                  <c:v>2696.0408363239512</c:v>
                </c:pt>
                <c:pt idx="17">
                  <c:v>2791.256276568382</c:v>
                </c:pt>
                <c:pt idx="18">
                  <c:v>2885.9126654099659</c:v>
                </c:pt>
                <c:pt idx="19">
                  <c:v>2981.278530338298</c:v>
                </c:pt>
                <c:pt idx="20">
                  <c:v>3076.7277878244122</c:v>
                </c:pt>
                <c:pt idx="21">
                  <c:v>3096.471757898084</c:v>
                </c:pt>
                <c:pt idx="22">
                  <c:v>3116.3989502358882</c:v>
                </c:pt>
                <c:pt idx="23">
                  <c:v>3136.458086324692</c:v>
                </c:pt>
                <c:pt idx="24">
                  <c:v>3156.6485629656809</c:v>
                </c:pt>
              </c:numCache>
            </c:numRef>
          </c:val>
          <c:extLst>
            <c:ext xmlns:c16="http://schemas.microsoft.com/office/drawing/2014/chart" uri="{C3380CC4-5D6E-409C-BE32-E72D297353CC}">
              <c16:uniqueId val="{00000005-C6FF-4A6E-9137-EDAFDF891CA1}"/>
            </c:ext>
          </c:extLst>
        </c:ser>
        <c:ser>
          <c:idx val="6"/>
          <c:order val="6"/>
          <c:tx>
            <c:strRef>
              <c:f>'Results ReCiPe (H) - RD ship'!$AB$16</c:f>
              <c:strCache>
                <c:ptCount val="1"/>
                <c:pt idx="0">
                  <c:v>Operation - geological storage</c:v>
                </c:pt>
              </c:strCache>
            </c:strRef>
          </c:tx>
          <c:spPr>
            <a:solidFill>
              <a:schemeClr val="accent2">
                <a:lumMod val="50000"/>
              </a:schemeClr>
            </a:solidFill>
            <a:ln>
              <a:noFill/>
            </a:ln>
            <a:effectLst/>
          </c:spPr>
          <c:invertIfNegative val="0"/>
          <c:cat>
            <c:numRef>
              <c:f>'Results ReCiPe (H) - RD ship'!$AC$9:$BA$9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ship'!$AC$16:$BA$16</c:f>
              <c:numCache>
                <c:formatCode>0.00E+00</c:formatCode>
                <c:ptCount val="25"/>
                <c:pt idx="0">
                  <c:v>195.76172255046851</c:v>
                </c:pt>
                <c:pt idx="1">
                  <c:v>196.30148589353811</c:v>
                </c:pt>
                <c:pt idx="2">
                  <c:v>196.84487569979018</c:v>
                </c:pt>
                <c:pt idx="3">
                  <c:v>197.01108349836508</c:v>
                </c:pt>
                <c:pt idx="4">
                  <c:v>197.56637214637439</c:v>
                </c:pt>
                <c:pt idx="5">
                  <c:v>198.1248505113056</c:v>
                </c:pt>
                <c:pt idx="6">
                  <c:v>201.0336327118896</c:v>
                </c:pt>
                <c:pt idx="7">
                  <c:v>203.9293270335265</c:v>
                </c:pt>
                <c:pt idx="8">
                  <c:v>206.53164214593019</c:v>
                </c:pt>
                <c:pt idx="9">
                  <c:v>209.41288864898362</c:v>
                </c:pt>
                <c:pt idx="10">
                  <c:v>212.2828472532</c:v>
                </c:pt>
                <c:pt idx="11">
                  <c:v>212.45450292244698</c:v>
                </c:pt>
                <c:pt idx="12">
                  <c:v>212.61635025047849</c:v>
                </c:pt>
                <c:pt idx="13">
                  <c:v>212.70125871557372</c:v>
                </c:pt>
                <c:pt idx="14">
                  <c:v>212.84301969916569</c:v>
                </c:pt>
                <c:pt idx="15">
                  <c:v>212.97372093898539</c:v>
                </c:pt>
                <c:pt idx="16">
                  <c:v>219.89336175473932</c:v>
                </c:pt>
                <c:pt idx="17">
                  <c:v>226.8026118924702</c:v>
                </c:pt>
                <c:pt idx="18">
                  <c:v>233.64305368362221</c:v>
                </c:pt>
                <c:pt idx="19">
                  <c:v>240.53623405225241</c:v>
                </c:pt>
                <c:pt idx="20">
                  <c:v>247.42187369609371</c:v>
                </c:pt>
                <c:pt idx="21">
                  <c:v>248.45751871708993</c:v>
                </c:pt>
                <c:pt idx="22">
                  <c:v>249.50527150164211</c:v>
                </c:pt>
                <c:pt idx="23">
                  <c:v>250.55677353235589</c:v>
                </c:pt>
                <c:pt idx="24">
                  <c:v>251.61182169995388</c:v>
                </c:pt>
              </c:numCache>
            </c:numRef>
          </c:val>
          <c:extLst>
            <c:ext xmlns:c16="http://schemas.microsoft.com/office/drawing/2014/chart" uri="{C3380CC4-5D6E-409C-BE32-E72D297353CC}">
              <c16:uniqueId val="{00000006-C6FF-4A6E-9137-EDAFDF891CA1}"/>
            </c:ext>
          </c:extLst>
        </c:ser>
        <c:ser>
          <c:idx val="7"/>
          <c:order val="7"/>
          <c:tx>
            <c:strRef>
              <c:f>'Results ReCiPe (H) - RD ship'!$AB$17</c:f>
              <c:strCache>
                <c:ptCount val="1"/>
                <c:pt idx="0">
                  <c:v>CO2 captured and stored</c:v>
                </c:pt>
              </c:strCache>
            </c:strRef>
          </c:tx>
          <c:spPr>
            <a:solidFill>
              <a:schemeClr val="tx2">
                <a:lumMod val="20000"/>
                <a:lumOff val="80000"/>
              </a:schemeClr>
            </a:solidFill>
            <a:ln>
              <a:noFill/>
            </a:ln>
            <a:effectLst/>
          </c:spPr>
          <c:invertIfNegative val="0"/>
          <c:cat>
            <c:numRef>
              <c:f>'Results ReCiPe (H) - RD ship'!$AC$9:$BA$9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ship'!$AC$17:$BA$17</c:f>
              <c:numCache>
                <c:formatCode>0.00E+00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7-C6FF-4A6E-9137-EDAFDF891CA1}"/>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RD ship'!$AB$18</c:f>
              <c:strCache>
                <c:ptCount val="1"/>
                <c:pt idx="0">
                  <c:v>TOTAL per year</c:v>
                </c:pt>
              </c:strCache>
            </c:strRef>
          </c:tx>
          <c:spPr>
            <a:ln w="25400" cap="rnd">
              <a:noFill/>
              <a:round/>
            </a:ln>
            <a:effectLst/>
          </c:spPr>
          <c:marker>
            <c:symbol val="circle"/>
            <c:size val="5"/>
            <c:spPr>
              <a:solidFill>
                <a:schemeClr val="tx1"/>
              </a:solidFill>
              <a:ln w="9525">
                <a:solidFill>
                  <a:schemeClr val="tx1"/>
                </a:solidFill>
              </a:ln>
              <a:effectLst/>
            </c:spPr>
          </c:marker>
          <c:cat>
            <c:numRef>
              <c:f>'Results ReCiPe (H) - RD ship'!$AC$9:$BA$9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ship'!$AC$18:$BA$18</c:f>
              <c:numCache>
                <c:formatCode>0.00E+00</c:formatCode>
                <c:ptCount val="25"/>
                <c:pt idx="0">
                  <c:v>5798.9312125388433</c:v>
                </c:pt>
                <c:pt idx="1">
                  <c:v>2529.1522416483931</c:v>
                </c:pt>
                <c:pt idx="2">
                  <c:v>2540.5195962669009</c:v>
                </c:pt>
                <c:pt idx="3">
                  <c:v>2664.8145276789646</c:v>
                </c:pt>
                <c:pt idx="4">
                  <c:v>2559.0584580410091</c:v>
                </c:pt>
                <c:pt idx="5">
                  <c:v>2570.7623068462867</c:v>
                </c:pt>
                <c:pt idx="6">
                  <c:v>2732.6259622621856</c:v>
                </c:pt>
                <c:pt idx="7">
                  <c:v>2659.9257043884954</c:v>
                </c:pt>
                <c:pt idx="8">
                  <c:v>2701.0404271785624</c:v>
                </c:pt>
                <c:pt idx="9">
                  <c:v>2862.2627854740836</c:v>
                </c:pt>
                <c:pt idx="10">
                  <c:v>2790.1412974846921</c:v>
                </c:pt>
                <c:pt idx="11">
                  <c:v>2795.305133337557</c:v>
                </c:pt>
                <c:pt idx="12">
                  <c:v>2916.9083130563449</c:v>
                </c:pt>
                <c:pt idx="13">
                  <c:v>2804.4654591409885</c:v>
                </c:pt>
                <c:pt idx="14">
                  <c:v>2809.2293202566939</c:v>
                </c:pt>
                <c:pt idx="15">
                  <c:v>2930.1998603869565</c:v>
                </c:pt>
                <c:pt idx="16">
                  <c:v>2915.9341980786903</c:v>
                </c:pt>
                <c:pt idx="17">
                  <c:v>3018.0588884608524</c:v>
                </c:pt>
                <c:pt idx="18">
                  <c:v>3235.616803683974</c:v>
                </c:pt>
                <c:pt idx="19">
                  <c:v>3221.8147643905504</c:v>
                </c:pt>
                <c:pt idx="20">
                  <c:v>3324.149661520506</c:v>
                </c:pt>
                <c:pt idx="21">
                  <c:v>3460.8672504806377</c:v>
                </c:pt>
                <c:pt idx="22">
                  <c:v>3365.9042217375304</c:v>
                </c:pt>
                <c:pt idx="23">
                  <c:v>3387.0148598570477</c:v>
                </c:pt>
                <c:pt idx="24">
                  <c:v>3569.7725071763548</c:v>
                </c:pt>
              </c:numCache>
            </c:numRef>
          </c:val>
          <c:smooth val="0"/>
          <c:extLst>
            <c:ext xmlns:c16="http://schemas.microsoft.com/office/drawing/2014/chart" uri="{C3380CC4-5D6E-409C-BE32-E72D297353CC}">
              <c16:uniqueId val="{00000008-C6FF-4A6E-9137-EDAFDF891CA1}"/>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Resource damage</a:t>
                </a:r>
              </a:p>
              <a:p>
                <a:pPr algn="ctr" rtl="0">
                  <a:defRPr/>
                </a:pPr>
                <a:r>
                  <a:rPr lang="nl-NL"/>
                  <a:t>[USD2013/ton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535209944394535"/>
          <c:y val="7.845160620140787E-2"/>
          <c:w val="0.71503138979994152"/>
          <c:h val="0.8960265999776722"/>
        </c:manualLayout>
      </c:layout>
      <c:scatterChart>
        <c:scatterStyle val="lineMarker"/>
        <c:varyColors val="0"/>
        <c:ser>
          <c:idx val="0"/>
          <c:order val="0"/>
          <c:tx>
            <c:strRef>
              <c:f>'Sensitivity analysis - HHD'!$A$464</c:f>
              <c:strCache>
                <c:ptCount val="1"/>
                <c:pt idx="0">
                  <c:v>Material use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'Sensitivity analysis - HHD'!$F$463:$G$463</c:f>
              <c:numCache>
                <c:formatCode>0%</c:formatCode>
                <c:ptCount val="2"/>
                <c:pt idx="0">
                  <c:v>0.8</c:v>
                </c:pt>
                <c:pt idx="1">
                  <c:v>1</c:v>
                </c:pt>
              </c:numCache>
            </c:numRef>
          </c:xVal>
          <c:yVal>
            <c:numRef>
              <c:f>'Sensitivity analysis - HHD'!$F$464:$G$464</c:f>
              <c:numCache>
                <c:formatCode>0.00E+00</c:formatCode>
                <c:ptCount val="2"/>
                <c:pt idx="0">
                  <c:v>5.4703181996412613E-4</c:v>
                </c:pt>
                <c:pt idx="1">
                  <c:v>5.7361821585479695E-4</c:v>
                </c:pt>
              </c:numCache>
            </c:numRef>
          </c:yVal>
          <c:smooth val="0"/>
          <c:extLst>
            <c:ext xmlns:c16="http://schemas.microsoft.com/office/drawing/2014/chart" uri="{C3380CC4-5D6E-409C-BE32-E72D297353CC}">
              <c16:uniqueId val="{00000000-3F39-46F5-86CC-8E8FECFC749C}"/>
            </c:ext>
          </c:extLst>
        </c:ser>
        <c:ser>
          <c:idx val="1"/>
          <c:order val="1"/>
          <c:tx>
            <c:strRef>
              <c:f>'Sensitivity analysis - HHD'!$A$465</c:f>
              <c:strCache>
                <c:ptCount val="1"/>
                <c:pt idx="0">
                  <c:v>Energy use</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('Sensitivity analysis - HHD'!$E$463,'Sensitivity analysis - HHD'!$G$463,'Sensitivity analysis - HHD'!$J$463)</c:f>
              <c:numCache>
                <c:formatCode>0%</c:formatCode>
                <c:ptCount val="3"/>
                <c:pt idx="0">
                  <c:v>0.67</c:v>
                </c:pt>
                <c:pt idx="1">
                  <c:v>1</c:v>
                </c:pt>
                <c:pt idx="2">
                  <c:v>1.67</c:v>
                </c:pt>
              </c:numCache>
            </c:numRef>
          </c:xVal>
          <c:yVal>
            <c:numRef>
              <c:f>('Sensitivity analysis - HHD'!$E$465,'Sensitivity analysis - HHD'!$G$465,'Sensitivity analysis - HHD'!$J$465)</c:f>
              <c:numCache>
                <c:formatCode>0.00E+00</c:formatCode>
                <c:ptCount val="3"/>
                <c:pt idx="0">
                  <c:v>4.0552068039916933E-4</c:v>
                </c:pt>
                <c:pt idx="1">
                  <c:v>5.7361821585479695E-4</c:v>
                </c:pt>
                <c:pt idx="2">
                  <c:v>9.0981328676605219E-4</c:v>
                </c:pt>
              </c:numCache>
            </c:numRef>
          </c:yVal>
          <c:smooth val="0"/>
          <c:extLst>
            <c:ext xmlns:c16="http://schemas.microsoft.com/office/drawing/2014/chart" uri="{C3380CC4-5D6E-409C-BE32-E72D297353CC}">
              <c16:uniqueId val="{00000001-3F39-46F5-86CC-8E8FECFC749C}"/>
            </c:ext>
          </c:extLst>
        </c:ser>
        <c:ser>
          <c:idx val="2"/>
          <c:order val="2"/>
          <c:tx>
            <c:strRef>
              <c:f>'Sensitivity analysis - HHD'!$A$466</c:f>
              <c:strCache>
                <c:ptCount val="1"/>
                <c:pt idx="0">
                  <c:v>Lifetime DAC system</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'Sensitivity analysis - HHD'!$F$463:$G$463</c:f>
              <c:numCache>
                <c:formatCode>0%</c:formatCode>
                <c:ptCount val="2"/>
                <c:pt idx="0">
                  <c:v>0.8</c:v>
                </c:pt>
                <c:pt idx="1">
                  <c:v>1</c:v>
                </c:pt>
              </c:numCache>
            </c:numRef>
          </c:xVal>
          <c:yVal>
            <c:numRef>
              <c:f>'Sensitivity analysis - HHD'!$F$466:$G$466</c:f>
              <c:numCache>
                <c:formatCode>0.00E+00</c:formatCode>
                <c:ptCount val="2"/>
                <c:pt idx="0">
                  <c:v>9.4902276981849595E-4</c:v>
                </c:pt>
                <c:pt idx="1">
                  <c:v>5.7361821585479695E-4</c:v>
                </c:pt>
              </c:numCache>
            </c:numRef>
          </c:yVal>
          <c:smooth val="0"/>
          <c:extLst>
            <c:ext xmlns:c16="http://schemas.microsoft.com/office/drawing/2014/chart" uri="{C3380CC4-5D6E-409C-BE32-E72D297353CC}">
              <c16:uniqueId val="{00000002-3F39-46F5-86CC-8E8FECFC749C}"/>
            </c:ext>
          </c:extLst>
        </c:ser>
        <c:ser>
          <c:idx val="3"/>
          <c:order val="3"/>
          <c:tx>
            <c:strRef>
              <c:f>'Sensitivity analysis - HHD'!$A$467</c:f>
              <c:strCache>
                <c:ptCount val="1"/>
                <c:pt idx="0">
                  <c:v>Lifetime sorbent material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('Sensitivity analysis - HHD'!$C$463,'Sensitivity analysis - HHD'!$G$463,'Sensitivity analysis - HHD'!$J$463)</c:f>
              <c:numCache>
                <c:formatCode>0%</c:formatCode>
                <c:ptCount val="3"/>
                <c:pt idx="0">
                  <c:v>0.33</c:v>
                </c:pt>
                <c:pt idx="1">
                  <c:v>1</c:v>
                </c:pt>
                <c:pt idx="2">
                  <c:v>1.67</c:v>
                </c:pt>
              </c:numCache>
            </c:numRef>
          </c:xVal>
          <c:yVal>
            <c:numRef>
              <c:f>('Sensitivity analysis - HHD'!$C$467,'Sensitivity analysis - HHD'!$G$467,'Sensitivity analysis - HHD'!$J$467)</c:f>
              <c:numCache>
                <c:formatCode>0.00E+00</c:formatCode>
                <c:ptCount val="3"/>
                <c:pt idx="0">
                  <c:v>5.8015565061340501E-4</c:v>
                </c:pt>
                <c:pt idx="1">
                  <c:v>5.7361821585479695E-4</c:v>
                </c:pt>
                <c:pt idx="2">
                  <c:v>5.6149780542998019E-4</c:v>
                </c:pt>
              </c:numCache>
            </c:numRef>
          </c:yVal>
          <c:smooth val="0"/>
          <c:extLst>
            <c:ext xmlns:c16="http://schemas.microsoft.com/office/drawing/2014/chart" uri="{C3380CC4-5D6E-409C-BE32-E72D297353CC}">
              <c16:uniqueId val="{00000003-3F39-46F5-86CC-8E8FECFC749C}"/>
            </c:ext>
          </c:extLst>
        </c:ser>
        <c:ser>
          <c:idx val="4"/>
          <c:order val="4"/>
          <c:tx>
            <c:strRef>
              <c:f>'Sensitivity analysis - HHD'!$A$468</c:f>
              <c:strCache>
                <c:ptCount val="1"/>
                <c:pt idx="0">
                  <c:v>Capacity DAC unit</c:v>
                </c:pt>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numRef>
              <c:f>('Sensitivity analysis - HHD'!$D$463,'Sensitivity analysis - HHD'!$G$463,'Sensitivity analysis - HHD'!$I$463)</c:f>
              <c:numCache>
                <c:formatCode>0%</c:formatCode>
                <c:ptCount val="3"/>
                <c:pt idx="0">
                  <c:v>0.5</c:v>
                </c:pt>
                <c:pt idx="1">
                  <c:v>1</c:v>
                </c:pt>
                <c:pt idx="2">
                  <c:v>1.5</c:v>
                </c:pt>
              </c:numCache>
            </c:numRef>
          </c:xVal>
          <c:yVal>
            <c:numRef>
              <c:f>('Sensitivity analysis - HHD'!$D$468,'Sensitivity analysis - HHD'!$G$468,'Sensitivity analysis - HHD'!$I$468)</c:f>
              <c:numCache>
                <c:formatCode>0.00E+00</c:formatCode>
                <c:ptCount val="3"/>
                <c:pt idx="0">
                  <c:v>2.0752364317095937E-3</c:v>
                </c:pt>
                <c:pt idx="1">
                  <c:v>5.7361821585479695E-4</c:v>
                </c:pt>
                <c:pt idx="2">
                  <c:v>7.3078810569864559E-5</c:v>
                </c:pt>
              </c:numCache>
            </c:numRef>
          </c:yVal>
          <c:smooth val="0"/>
          <c:extLst>
            <c:ext xmlns:c16="http://schemas.microsoft.com/office/drawing/2014/chart" uri="{C3380CC4-5D6E-409C-BE32-E72D297353CC}">
              <c16:uniqueId val="{00000004-3F39-46F5-86CC-8E8FECFC749C}"/>
            </c:ext>
          </c:extLst>
        </c:ser>
        <c:ser>
          <c:idx val="5"/>
          <c:order val="5"/>
          <c:tx>
            <c:strRef>
              <c:f>'Sensitivity analysis - HHD'!$A$469</c:f>
              <c:strCache>
                <c:ptCount val="1"/>
                <c:pt idx="0">
                  <c:v>Curtailment factor</c:v>
                </c:pt>
              </c:strCache>
            </c:strRef>
          </c:tx>
          <c:spPr>
            <a:ln w="19050"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xVal>
            <c:numRef>
              <c:f>('Sensitivity analysis - HHD'!$B$463,'Sensitivity analysis - HHD'!$D$463,'Sensitivity analysis - HHD'!$G$463,'Sensitivity analysis - HHD'!$I$463)</c:f>
              <c:numCache>
                <c:formatCode>0%</c:formatCode>
                <c:ptCount val="4"/>
                <c:pt idx="0">
                  <c:v>0</c:v>
                </c:pt>
                <c:pt idx="1">
                  <c:v>0.5</c:v>
                </c:pt>
                <c:pt idx="2">
                  <c:v>1</c:v>
                </c:pt>
                <c:pt idx="3">
                  <c:v>1.5</c:v>
                </c:pt>
              </c:numCache>
            </c:numRef>
          </c:xVal>
          <c:yVal>
            <c:numRef>
              <c:f>('Sensitivity analysis - HHD'!$B$469,'Sensitivity analysis - HHD'!$D$469,'Sensitivity analysis - HHD'!$G$469,'Sensitivity analysis - HHD'!$I$469)</c:f>
              <c:numCache>
                <c:formatCode>0.00</c:formatCode>
                <c:ptCount val="4"/>
                <c:pt idx="0">
                  <c:v>3.2147191267135541E-4</c:v>
                </c:pt>
                <c:pt idx="1">
                  <c:v>4.0552068039916928E-4</c:v>
                </c:pt>
                <c:pt idx="2" formatCode="0.00E+00">
                  <c:v>5.7361821585479695E-4</c:v>
                </c:pt>
                <c:pt idx="3" formatCode="0.00E+00">
                  <c:v>1.0779108222216801E-3</c:v>
                </c:pt>
              </c:numCache>
            </c:numRef>
          </c:yVal>
          <c:smooth val="0"/>
          <c:extLst>
            <c:ext xmlns:c16="http://schemas.microsoft.com/office/drawing/2014/chart" uri="{C3380CC4-5D6E-409C-BE32-E72D297353CC}">
              <c16:uniqueId val="{00000005-3F39-46F5-86CC-8E8FECFC749C}"/>
            </c:ext>
          </c:extLst>
        </c:ser>
        <c:ser>
          <c:idx val="8"/>
          <c:order val="6"/>
          <c:tx>
            <c:strRef>
              <c:f>'Sensitivity analysis - HHD'!$A$470</c:f>
              <c:strCache>
                <c:ptCount val="1"/>
                <c:pt idx="0">
                  <c:v>Battery capacity</c:v>
                </c:pt>
              </c:strCache>
            </c:strRef>
          </c:tx>
          <c:spPr>
            <a:ln w="19050" cap="rnd">
              <a:solidFill>
                <a:srgbClr val="FF4F4F"/>
              </a:solidFill>
              <a:round/>
            </a:ln>
            <a:effectLst/>
          </c:spPr>
          <c:marker>
            <c:symbol val="circle"/>
            <c:size val="5"/>
            <c:spPr>
              <a:solidFill>
                <a:srgbClr val="FF4F4F"/>
              </a:solidFill>
              <a:ln w="9525">
                <a:solidFill>
                  <a:srgbClr val="FF4F4F"/>
                </a:solidFill>
              </a:ln>
              <a:effectLst/>
            </c:spPr>
          </c:marker>
          <c:xVal>
            <c:numRef>
              <c:f>('Sensitivity analysis - HHD'!$D$463,'Sensitivity analysis - HHD'!$G$463,'Sensitivity analysis - HHD'!$K$463)</c:f>
              <c:numCache>
                <c:formatCode>0%</c:formatCode>
                <c:ptCount val="3"/>
                <c:pt idx="0">
                  <c:v>0.5</c:v>
                </c:pt>
                <c:pt idx="1">
                  <c:v>1</c:v>
                </c:pt>
                <c:pt idx="2">
                  <c:v>2</c:v>
                </c:pt>
              </c:numCache>
            </c:numRef>
          </c:xVal>
          <c:yVal>
            <c:numRef>
              <c:f>('Sensitivity analysis - HHD'!$D$470,'Sensitivity analysis - HHD'!$G$470,'Sensitivity analysis - HHD'!$K$470)</c:f>
              <c:numCache>
                <c:formatCode>0.00</c:formatCode>
                <c:ptCount val="3"/>
                <c:pt idx="0">
                  <c:v>3.1310213492009089E-5</c:v>
                </c:pt>
                <c:pt idx="1">
                  <c:v>5.7361821585479695E-4</c:v>
                </c:pt>
                <c:pt idx="2" formatCode="0.0">
                  <c:v>2.6556691738865122E-3</c:v>
                </c:pt>
              </c:numCache>
            </c:numRef>
          </c:yVal>
          <c:smooth val="0"/>
          <c:extLst>
            <c:ext xmlns:c16="http://schemas.microsoft.com/office/drawing/2014/chart" uri="{C3380CC4-5D6E-409C-BE32-E72D297353CC}">
              <c16:uniqueId val="{00000006-3F39-46F5-86CC-8E8FECFC749C}"/>
            </c:ext>
          </c:extLst>
        </c:ser>
        <c:ser>
          <c:idx val="9"/>
          <c:order val="7"/>
          <c:tx>
            <c:strRef>
              <c:f>'Sensitivity analysis - HHD'!$A$471</c:f>
              <c:strCache>
                <c:ptCount val="1"/>
                <c:pt idx="0">
                  <c:v>Battery share factor</c:v>
                </c:pt>
              </c:strCache>
            </c:strRef>
          </c:tx>
          <c:spPr>
            <a:ln w="19050" cap="rnd">
              <a:solidFill>
                <a:srgbClr val="A4D3EA"/>
              </a:solidFill>
              <a:round/>
            </a:ln>
            <a:effectLst/>
          </c:spPr>
          <c:marker>
            <c:symbol val="circle"/>
            <c:size val="5"/>
            <c:spPr>
              <a:solidFill>
                <a:srgbClr val="A4D3EA"/>
              </a:solidFill>
              <a:ln w="9525">
                <a:solidFill>
                  <a:srgbClr val="A4D3EA"/>
                </a:solidFill>
              </a:ln>
              <a:effectLst/>
            </c:spPr>
          </c:marker>
          <c:xVal>
            <c:numRef>
              <c:f>('Sensitivity analysis - HHD'!$D$463,'Sensitivity analysis - HHD'!$G$463,'Sensitivity analysis - HHD'!$I$463)</c:f>
              <c:numCache>
                <c:formatCode>0%</c:formatCode>
                <c:ptCount val="3"/>
                <c:pt idx="0">
                  <c:v>0.5</c:v>
                </c:pt>
                <c:pt idx="1">
                  <c:v>1</c:v>
                </c:pt>
                <c:pt idx="2">
                  <c:v>1.5</c:v>
                </c:pt>
              </c:numCache>
            </c:numRef>
          </c:xVal>
          <c:yVal>
            <c:numRef>
              <c:f>('Sensitivity analysis - HHD'!$D$471,'Sensitivity analysis - HHD'!$G$471,'Sensitivity analysis - HHD'!$K$471)</c:f>
              <c:numCache>
                <c:formatCode>0.00</c:formatCode>
                <c:ptCount val="3"/>
                <c:pt idx="0">
                  <c:v>5.6653086030585714E-4</c:v>
                </c:pt>
                <c:pt idx="1">
                  <c:v>5.7361821585479695E-4</c:v>
                </c:pt>
                <c:pt idx="2" formatCode="0.0">
                  <c:v>5.8724774575660474E-4</c:v>
                </c:pt>
              </c:numCache>
            </c:numRef>
          </c:yVal>
          <c:smooth val="0"/>
          <c:extLst>
            <c:ext xmlns:c16="http://schemas.microsoft.com/office/drawing/2014/chart" uri="{C3380CC4-5D6E-409C-BE32-E72D297353CC}">
              <c16:uniqueId val="{00000007-3F39-46F5-86CC-8E8FECFC749C}"/>
            </c:ext>
          </c:extLst>
        </c:ser>
        <c:ser>
          <c:idx val="7"/>
          <c:order val="8"/>
          <c:tx>
            <c:strRef>
              <c:f>'Sensitivity analysis - HHD'!$A$472</c:f>
              <c:strCache>
                <c:ptCount val="1"/>
                <c:pt idx="0">
                  <c:v>Sorbent type - amine on silica</c:v>
                </c:pt>
              </c:strCache>
            </c:strRef>
          </c:tx>
          <c:spPr>
            <a:ln w="19050" cap="rnd">
              <a:noFill/>
              <a:round/>
            </a:ln>
            <a:effectLst/>
          </c:spPr>
          <c:marker>
            <c:symbol val="square"/>
            <c:size val="5"/>
            <c:spPr>
              <a:solidFill>
                <a:srgbClr val="C00000"/>
              </a:solidFill>
              <a:ln w="9525">
                <a:solidFill>
                  <a:srgbClr val="C00000"/>
                </a:solidFill>
              </a:ln>
              <a:effectLst/>
            </c:spPr>
          </c:marker>
          <c:xVal>
            <c:numRef>
              <c:f>'Sensitivity analysis - HHD'!$G$463</c:f>
              <c:numCache>
                <c:formatCode>0%</c:formatCode>
                <c:ptCount val="1"/>
                <c:pt idx="0">
                  <c:v>1</c:v>
                </c:pt>
              </c:numCache>
            </c:numRef>
          </c:xVal>
          <c:yVal>
            <c:numRef>
              <c:f>'Sensitivity analysis - HHD'!$G$472</c:f>
              <c:numCache>
                <c:formatCode>0.00E+00</c:formatCode>
                <c:ptCount val="1"/>
                <c:pt idx="0">
                  <c:v>6.0625418629864098E-4</c:v>
                </c:pt>
              </c:numCache>
            </c:numRef>
          </c:yVal>
          <c:smooth val="0"/>
          <c:extLst>
            <c:ext xmlns:c16="http://schemas.microsoft.com/office/drawing/2014/chart" uri="{C3380CC4-5D6E-409C-BE32-E72D297353CC}">
              <c16:uniqueId val="{00000009-3F39-46F5-86CC-8E8FECFC749C}"/>
            </c:ext>
          </c:extLst>
        </c:ser>
        <c:dLbls>
          <c:showLegendKey val="0"/>
          <c:showVal val="0"/>
          <c:showCatName val="0"/>
          <c:showSerName val="0"/>
          <c:showPercent val="0"/>
          <c:showBubbleSize val="0"/>
        </c:dLbls>
        <c:axId val="894438607"/>
        <c:axId val="1119274239"/>
      </c:scatterChart>
      <c:valAx>
        <c:axId val="894438607"/>
        <c:scaling>
          <c:orientation val="minMax"/>
          <c:max val="2.5"/>
          <c:min val="0"/>
        </c:scaling>
        <c:delete val="0"/>
        <c:axPos val="b"/>
        <c:majorGridlines>
          <c:spPr>
            <a:ln w="9525" cap="flat" cmpd="sng" algn="ctr">
              <a:solidFill>
                <a:schemeClr val="tx1">
                  <a:lumMod val="50000"/>
                  <a:lumOff val="50000"/>
                </a:schemeClr>
              </a:solidFill>
              <a:round/>
            </a:ln>
            <a:effectLst/>
          </c:spPr>
        </c:majorGridlines>
        <c:numFmt formatCode="0%" sourceLinked="1"/>
        <c:majorTickMark val="none"/>
        <c:minorTickMark val="none"/>
        <c:tickLblPos val="high"/>
        <c:spPr>
          <a:noFill/>
          <a:ln w="190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1119274239"/>
        <c:crosses val="autoZero"/>
        <c:crossBetween val="midCat"/>
      </c:valAx>
      <c:valAx>
        <c:axId val="1119274239"/>
        <c:scaling>
          <c:orientation val="minMax"/>
        </c:scaling>
        <c:delete val="0"/>
        <c:axPos val="l"/>
        <c:majorGridlines>
          <c:spPr>
            <a:ln w="9525" cap="flat" cmpd="sng" algn="ctr">
              <a:solidFill>
                <a:schemeClr val="tx1">
                  <a:lumMod val="50000"/>
                  <a:lumOff val="50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r>
                  <a:rPr lang="nl-NL"/>
                  <a:t>Human health</a:t>
                </a:r>
                <a:r>
                  <a:rPr lang="nl-NL" baseline="0"/>
                  <a:t> damage</a:t>
                </a:r>
              </a:p>
              <a:p>
                <a:pPr>
                  <a:defRPr/>
                </a:pPr>
                <a:r>
                  <a:rPr lang="nl-NL" baseline="0"/>
                  <a:t>[DALY</a:t>
                </a:r>
                <a:r>
                  <a:rPr lang="nl-NL"/>
                  <a:t>/ton CO</a:t>
                </a:r>
                <a:r>
                  <a:rPr lang="nl-NL" baseline="-25000"/>
                  <a:t>2</a:t>
                </a:r>
                <a:r>
                  <a:rPr lang="nl-NL"/>
                  <a:t> captured and stored]</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title>
        <c:numFmt formatCode="0.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894438607"/>
        <c:crosses val="autoZero"/>
        <c:crossBetween val="midCat"/>
      </c:valAx>
      <c:spPr>
        <a:noFill/>
        <a:ln w="19050">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printSettings>
    <c:headerFooter/>
    <c:pageMargins b="0.75" l="0.7" r="0.7" t="0.75" header="0.3" footer="0.3"/>
    <c:pageSetup/>
  </c:printSettings>
</c:chartSpace>
</file>

<file path=xl/charts/chart1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RD ship'!$AB$50</c:f>
              <c:strCache>
                <c:ptCount val="1"/>
                <c:pt idx="0">
                  <c:v>Construction - DAC</c:v>
                </c:pt>
              </c:strCache>
            </c:strRef>
          </c:tx>
          <c:spPr>
            <a:solidFill>
              <a:schemeClr val="accent4">
                <a:lumMod val="75000"/>
              </a:schemeClr>
            </a:solidFill>
            <a:ln>
              <a:noFill/>
            </a:ln>
            <a:effectLst/>
          </c:spPr>
          <c:invertIfNegative val="0"/>
          <c:cat>
            <c:numRef>
              <c:f>'Results ReCiPe (H) - RD ship'!$AC$49:$BA$49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ship'!$AC$50:$BA$50</c:f>
              <c:numCache>
                <c:formatCode>0.00E+00</c:formatCode>
                <c:ptCount val="25"/>
                <c:pt idx="0">
                  <c:v>2837.5515154411646</c:v>
                </c:pt>
              </c:numCache>
            </c:numRef>
          </c:val>
          <c:extLst>
            <c:ext xmlns:c16="http://schemas.microsoft.com/office/drawing/2014/chart" uri="{C3380CC4-5D6E-409C-BE32-E72D297353CC}">
              <c16:uniqueId val="{00000000-A2CC-4445-8FBE-332C75D7E771}"/>
            </c:ext>
          </c:extLst>
        </c:ser>
        <c:ser>
          <c:idx val="1"/>
          <c:order val="1"/>
          <c:tx>
            <c:strRef>
              <c:f>'Results ReCiPe (H) - RD ship'!$AB$51</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(H) - RD ship'!$AC$49:$BA$49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ship'!$AC$51:$BA$51</c:f>
              <c:numCache>
                <c:formatCode>0.00E+00</c:formatCode>
                <c:ptCount val="25"/>
                <c:pt idx="0">
                  <c:v>266.94496473340826</c:v>
                </c:pt>
              </c:numCache>
            </c:numRef>
          </c:val>
          <c:extLst>
            <c:ext xmlns:c16="http://schemas.microsoft.com/office/drawing/2014/chart" uri="{C3380CC4-5D6E-409C-BE32-E72D297353CC}">
              <c16:uniqueId val="{00000001-A2CC-4445-8FBE-332C75D7E771}"/>
            </c:ext>
          </c:extLst>
        </c:ser>
        <c:ser>
          <c:idx val="2"/>
          <c:order val="2"/>
          <c:tx>
            <c:strRef>
              <c:f>'Results ReCiPe (H) - RD ship'!$AB$52</c:f>
              <c:strCache>
                <c:ptCount val="1"/>
                <c:pt idx="0">
                  <c:v>Deconstruction - DAC</c:v>
                </c:pt>
              </c:strCache>
            </c:strRef>
          </c:tx>
          <c:spPr>
            <a:solidFill>
              <a:schemeClr val="accent2">
                <a:lumMod val="40000"/>
                <a:lumOff val="60000"/>
              </a:schemeClr>
            </a:solidFill>
            <a:ln>
              <a:noFill/>
            </a:ln>
            <a:effectLst/>
          </c:spPr>
          <c:invertIfNegative val="0"/>
          <c:cat>
            <c:numRef>
              <c:f>'Results ReCiPe (H) - RD ship'!$AC$49:$BA$49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ship'!$AC$52:$BA$52</c:f>
              <c:numCache>
                <c:formatCode>0.00E+00</c:formatCode>
                <c:ptCount val="25"/>
                <c:pt idx="24">
                  <c:v>41.794125692809452</c:v>
                </c:pt>
              </c:numCache>
            </c:numRef>
          </c:val>
          <c:extLst>
            <c:ext xmlns:c16="http://schemas.microsoft.com/office/drawing/2014/chart" uri="{C3380CC4-5D6E-409C-BE32-E72D297353CC}">
              <c16:uniqueId val="{00000002-A2CC-4445-8FBE-332C75D7E771}"/>
            </c:ext>
          </c:extLst>
        </c:ser>
        <c:ser>
          <c:idx val="3"/>
          <c:order val="3"/>
          <c:tx>
            <c:strRef>
              <c:f>'Results ReCiPe (H) - RD ship'!$AB$53</c:f>
              <c:strCache>
                <c:ptCount val="1"/>
                <c:pt idx="0">
                  <c:v>Deconstruction - geological storage</c:v>
                </c:pt>
              </c:strCache>
            </c:strRef>
          </c:tx>
          <c:spPr>
            <a:solidFill>
              <a:srgbClr val="FF9900"/>
            </a:solidFill>
            <a:ln>
              <a:noFill/>
            </a:ln>
            <a:effectLst/>
          </c:spPr>
          <c:invertIfNegative val="0"/>
          <c:cat>
            <c:numRef>
              <c:f>'Results ReCiPe (H) - RD ship'!$AC$49:$BA$49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ship'!$AC$53:$BA$53</c:f>
              <c:numCache>
                <c:formatCode>0.00E+00</c:formatCode>
                <c:ptCount val="25"/>
                <c:pt idx="24">
                  <c:v>1.2962860497828945</c:v>
                </c:pt>
              </c:numCache>
            </c:numRef>
          </c:val>
          <c:extLst>
            <c:ext xmlns:c16="http://schemas.microsoft.com/office/drawing/2014/chart" uri="{C3380CC4-5D6E-409C-BE32-E72D297353CC}">
              <c16:uniqueId val="{00000003-A2CC-4445-8FBE-332C75D7E771}"/>
            </c:ext>
          </c:extLst>
        </c:ser>
        <c:ser>
          <c:idx val="4"/>
          <c:order val="4"/>
          <c:tx>
            <c:strRef>
              <c:f>'Results ReCiPe (H) - RD ship'!$AB$54</c:f>
              <c:strCache>
                <c:ptCount val="1"/>
                <c:pt idx="0">
                  <c:v>Sorbent material</c:v>
                </c:pt>
              </c:strCache>
            </c:strRef>
          </c:tx>
          <c:spPr>
            <a:solidFill>
              <a:srgbClr val="FF8F8F"/>
            </a:solidFill>
            <a:ln>
              <a:noFill/>
            </a:ln>
            <a:effectLst/>
          </c:spPr>
          <c:invertIfNegative val="0"/>
          <c:cat>
            <c:numRef>
              <c:f>'Results ReCiPe (H) - RD ship'!$AC$49:$BA$49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ship'!$AC$54:$BA$54</c:f>
              <c:numCache>
                <c:formatCode>0.00E+00</c:formatCode>
                <c:ptCount val="25"/>
                <c:pt idx="0">
                  <c:v>117.4164153447413</c:v>
                </c:pt>
                <c:pt idx="3">
                  <c:v>116.14482404943</c:v>
                </c:pt>
                <c:pt idx="6">
                  <c:v>115.85431461269189</c:v>
                </c:pt>
                <c:pt idx="9">
                  <c:v>115.7060268138878</c:v>
                </c:pt>
                <c:pt idx="12">
                  <c:v>115.22430296168601</c:v>
                </c:pt>
                <c:pt idx="15">
                  <c:v>114.21787004973891</c:v>
                </c:pt>
                <c:pt idx="18">
                  <c:v>113.3881732416237</c:v>
                </c:pt>
                <c:pt idx="21">
                  <c:v>112.8508899058024</c:v>
                </c:pt>
                <c:pt idx="24">
                  <c:v>112.6235531268987</c:v>
                </c:pt>
              </c:numCache>
            </c:numRef>
          </c:val>
          <c:extLst>
            <c:ext xmlns:c16="http://schemas.microsoft.com/office/drawing/2014/chart" uri="{C3380CC4-5D6E-409C-BE32-E72D297353CC}">
              <c16:uniqueId val="{00000004-A2CC-4445-8FBE-332C75D7E771}"/>
            </c:ext>
          </c:extLst>
        </c:ser>
        <c:ser>
          <c:idx val="5"/>
          <c:order val="5"/>
          <c:tx>
            <c:strRef>
              <c:f>'Results ReCiPe (H) - RD ship'!$AB$55</c:f>
              <c:strCache>
                <c:ptCount val="1"/>
                <c:pt idx="0">
                  <c:v>Operation - DAC</c:v>
                </c:pt>
              </c:strCache>
            </c:strRef>
          </c:tx>
          <c:spPr>
            <a:solidFill>
              <a:schemeClr val="accent2">
                <a:lumMod val="75000"/>
              </a:schemeClr>
            </a:solidFill>
            <a:ln>
              <a:noFill/>
            </a:ln>
            <a:effectLst/>
          </c:spPr>
          <c:invertIfNegative val="0"/>
          <c:cat>
            <c:numRef>
              <c:f>'Results ReCiPe (H) - RD ship'!$AC$49:$BA$49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ship'!$AC$55:$BA$55</c:f>
              <c:numCache>
                <c:formatCode>0.00E+00</c:formatCode>
                <c:ptCount val="25"/>
                <c:pt idx="0">
                  <c:v>2397.063593199709</c:v>
                </c:pt>
                <c:pt idx="1">
                  <c:v>2379.6134774011311</c:v>
                </c:pt>
                <c:pt idx="2">
                  <c:v>2362.188629716703</c:v>
                </c:pt>
                <c:pt idx="3">
                  <c:v>2340.3044915874762</c:v>
                </c:pt>
                <c:pt idx="4">
                  <c:v>2322.9440845460231</c:v>
                </c:pt>
                <c:pt idx="5">
                  <c:v>2305.605553690335</c:v>
                </c:pt>
                <c:pt idx="6">
                  <c:v>2300.808644434393</c:v>
                </c:pt>
                <c:pt idx="7">
                  <c:v>2295.8854356329139</c:v>
                </c:pt>
                <c:pt idx="8">
                  <c:v>2286.8703410958919</c:v>
                </c:pt>
                <c:pt idx="9">
                  <c:v>2281.515543203242</c:v>
                </c:pt>
                <c:pt idx="10">
                  <c:v>2275.968512933965</c:v>
                </c:pt>
                <c:pt idx="11">
                  <c:v>2261.0406552066361</c:v>
                </c:pt>
                <c:pt idx="12">
                  <c:v>2245.842790154612</c:v>
                </c:pt>
                <c:pt idx="13">
                  <c:v>2229.4525728716731</c:v>
                </c:pt>
                <c:pt idx="14">
                  <c:v>2213.7291686234798</c:v>
                </c:pt>
                <c:pt idx="15">
                  <c:v>2197.7407664790348</c:v>
                </c:pt>
                <c:pt idx="16">
                  <c:v>2211.2953173476822</c:v>
                </c:pt>
                <c:pt idx="17">
                  <c:v>2224.5851349859472</c:v>
                </c:pt>
                <c:pt idx="18">
                  <c:v>2236.7044559808719</c:v>
                </c:pt>
                <c:pt idx="19">
                  <c:v>2249.4766981934999</c:v>
                </c:pt>
                <c:pt idx="20">
                  <c:v>2261.9944338859809</c:v>
                </c:pt>
                <c:pt idx="21">
                  <c:v>2240.5891057678832</c:v>
                </c:pt>
                <c:pt idx="22">
                  <c:v>2219.186363062181</c:v>
                </c:pt>
                <c:pt idx="23">
                  <c:v>2197.694707669616</c:v>
                </c:pt>
                <c:pt idx="24">
                  <c:v>2176.1108391783118</c:v>
                </c:pt>
              </c:numCache>
            </c:numRef>
          </c:val>
          <c:extLst>
            <c:ext xmlns:c16="http://schemas.microsoft.com/office/drawing/2014/chart" uri="{C3380CC4-5D6E-409C-BE32-E72D297353CC}">
              <c16:uniqueId val="{00000005-A2CC-4445-8FBE-332C75D7E771}"/>
            </c:ext>
          </c:extLst>
        </c:ser>
        <c:ser>
          <c:idx val="6"/>
          <c:order val="6"/>
          <c:tx>
            <c:strRef>
              <c:f>'Results ReCiPe (H) - RD ship'!$AB$56</c:f>
              <c:strCache>
                <c:ptCount val="1"/>
                <c:pt idx="0">
                  <c:v>Operation - geological storage</c:v>
                </c:pt>
              </c:strCache>
            </c:strRef>
          </c:tx>
          <c:spPr>
            <a:solidFill>
              <a:schemeClr val="accent2">
                <a:lumMod val="50000"/>
              </a:schemeClr>
            </a:solidFill>
            <a:ln>
              <a:noFill/>
            </a:ln>
            <a:effectLst/>
          </c:spPr>
          <c:invertIfNegative val="0"/>
          <c:cat>
            <c:numRef>
              <c:f>'Results ReCiPe (H) - RD ship'!$AC$49:$BA$49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ship'!$AC$56:$BA$56</c:f>
              <c:numCache>
                <c:formatCode>0.00E+00</c:formatCode>
                <c:ptCount val="25"/>
                <c:pt idx="0">
                  <c:v>200.64428013390173</c:v>
                </c:pt>
                <c:pt idx="1">
                  <c:v>198.88987102701171</c:v>
                </c:pt>
                <c:pt idx="2">
                  <c:v>197.14183434126971</c:v>
                </c:pt>
                <c:pt idx="3">
                  <c:v>194.9959183591115</c:v>
                </c:pt>
                <c:pt idx="4">
                  <c:v>193.2624144529706</c:v>
                </c:pt>
                <c:pt idx="5">
                  <c:v>191.53490018423719</c:v>
                </c:pt>
                <c:pt idx="6">
                  <c:v>190.9975749317953</c:v>
                </c:pt>
                <c:pt idx="7">
                  <c:v>190.4517415185353</c:v>
                </c:pt>
                <c:pt idx="8">
                  <c:v>189.55284221781989</c:v>
                </c:pt>
                <c:pt idx="9">
                  <c:v>188.9767026724202</c:v>
                </c:pt>
                <c:pt idx="10">
                  <c:v>188.38664248840891</c:v>
                </c:pt>
                <c:pt idx="11">
                  <c:v>187.22532996797722</c:v>
                </c:pt>
                <c:pt idx="12">
                  <c:v>186.04470531712519</c:v>
                </c:pt>
                <c:pt idx="13">
                  <c:v>184.7625314071924</c:v>
                </c:pt>
                <c:pt idx="14">
                  <c:v>183.54449771318281</c:v>
                </c:pt>
                <c:pt idx="15">
                  <c:v>182.30739946394971</c:v>
                </c:pt>
                <c:pt idx="16">
                  <c:v>183.5566604619637</c:v>
                </c:pt>
                <c:pt idx="17">
                  <c:v>184.79229458687769</c:v>
                </c:pt>
                <c:pt idx="18">
                  <c:v>185.9338856299583</c:v>
                </c:pt>
                <c:pt idx="19">
                  <c:v>187.14268841019211</c:v>
                </c:pt>
                <c:pt idx="20">
                  <c:v>188.3380573783914</c:v>
                </c:pt>
                <c:pt idx="21">
                  <c:v>186.4779317854391</c:v>
                </c:pt>
                <c:pt idx="22">
                  <c:v>184.62669982481441</c:v>
                </c:pt>
                <c:pt idx="23">
                  <c:v>182.77386974818862</c:v>
                </c:pt>
                <c:pt idx="24">
                  <c:v>180.91913840904829</c:v>
                </c:pt>
              </c:numCache>
            </c:numRef>
          </c:val>
          <c:extLst>
            <c:ext xmlns:c16="http://schemas.microsoft.com/office/drawing/2014/chart" uri="{C3380CC4-5D6E-409C-BE32-E72D297353CC}">
              <c16:uniqueId val="{00000006-A2CC-4445-8FBE-332C75D7E771}"/>
            </c:ext>
          </c:extLst>
        </c:ser>
        <c:ser>
          <c:idx val="7"/>
          <c:order val="7"/>
          <c:tx>
            <c:strRef>
              <c:f>'Results ReCiPe (H) - RD ship'!$AB$57</c:f>
              <c:strCache>
                <c:ptCount val="1"/>
                <c:pt idx="0">
                  <c:v>CO2 captured and stored</c:v>
                </c:pt>
              </c:strCache>
            </c:strRef>
          </c:tx>
          <c:spPr>
            <a:solidFill>
              <a:schemeClr val="tx2">
                <a:lumMod val="20000"/>
                <a:lumOff val="80000"/>
              </a:schemeClr>
            </a:solidFill>
            <a:ln>
              <a:noFill/>
            </a:ln>
            <a:effectLst/>
          </c:spPr>
          <c:invertIfNegative val="0"/>
          <c:cat>
            <c:numRef>
              <c:f>'Results ReCiPe (H) - RD ship'!$AC$49:$BA$49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ship'!$AC$57:$BA$57</c:f>
              <c:numCache>
                <c:formatCode>0.00E+00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7-A2CC-4445-8FBE-332C75D7E771}"/>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RD ship'!$AB$58</c:f>
              <c:strCache>
                <c:ptCount val="1"/>
                <c:pt idx="0">
                  <c:v>TOTAL per year</c:v>
                </c:pt>
              </c:strCache>
            </c:strRef>
          </c:tx>
          <c:spPr>
            <a:ln w="25400" cap="rnd">
              <a:noFill/>
              <a:round/>
            </a:ln>
            <a:effectLst/>
          </c:spPr>
          <c:marker>
            <c:symbol val="circle"/>
            <c:size val="5"/>
            <c:spPr>
              <a:solidFill>
                <a:schemeClr val="tx1"/>
              </a:solidFill>
              <a:ln w="9525">
                <a:solidFill>
                  <a:schemeClr val="tx1"/>
                </a:solidFill>
              </a:ln>
              <a:effectLst/>
            </c:spPr>
          </c:marker>
          <c:cat>
            <c:numRef>
              <c:f>'Results ReCiPe (H) - RD ship'!$AC$49:$BA$49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ship'!$AC$58:$BA$58</c:f>
              <c:numCache>
                <c:formatCode>0.00E+00</c:formatCode>
                <c:ptCount val="25"/>
                <c:pt idx="0">
                  <c:v>5819.6207688529248</c:v>
                </c:pt>
                <c:pt idx="1">
                  <c:v>2578.503348428143</c:v>
                </c:pt>
                <c:pt idx="2">
                  <c:v>2559.3304640579727</c:v>
                </c:pt>
                <c:pt idx="3">
                  <c:v>2651.4452339960176</c:v>
                </c:pt>
                <c:pt idx="4">
                  <c:v>2516.2064989989935</c:v>
                </c:pt>
                <c:pt idx="5">
                  <c:v>2497.1404538745724</c:v>
                </c:pt>
                <c:pt idx="6">
                  <c:v>2607.6605339788803</c:v>
                </c:pt>
                <c:pt idx="7">
                  <c:v>2486.3371771514494</c:v>
                </c:pt>
                <c:pt idx="8">
                  <c:v>2476.4231833137119</c:v>
                </c:pt>
                <c:pt idx="9">
                  <c:v>2586.1982726895503</c:v>
                </c:pt>
                <c:pt idx="10">
                  <c:v>2464.3551554223741</c:v>
                </c:pt>
                <c:pt idx="11">
                  <c:v>2448.2659851746134</c:v>
                </c:pt>
                <c:pt idx="12">
                  <c:v>2547.1117984334232</c:v>
                </c:pt>
                <c:pt idx="13">
                  <c:v>2414.2151042788655</c:v>
                </c:pt>
                <c:pt idx="14">
                  <c:v>2397.2736663366627</c:v>
                </c:pt>
                <c:pt idx="15">
                  <c:v>2494.2660359927236</c:v>
                </c:pt>
                <c:pt idx="16">
                  <c:v>2394.8519778096461</c:v>
                </c:pt>
                <c:pt idx="17">
                  <c:v>2409.3774295728249</c:v>
                </c:pt>
                <c:pt idx="18">
                  <c:v>2536.0265148524541</c:v>
                </c:pt>
                <c:pt idx="19">
                  <c:v>2436.619386603692</c:v>
                </c:pt>
                <c:pt idx="20">
                  <c:v>2450.3324912643725</c:v>
                </c:pt>
                <c:pt idx="21">
                  <c:v>2539.9179274591247</c:v>
                </c:pt>
                <c:pt idx="22">
                  <c:v>2403.8130628869953</c:v>
                </c:pt>
                <c:pt idx="23">
                  <c:v>2380.4685774178047</c:v>
                </c:pt>
                <c:pt idx="24">
                  <c:v>2512.7439424568511</c:v>
                </c:pt>
              </c:numCache>
            </c:numRef>
          </c:val>
          <c:smooth val="0"/>
          <c:extLst>
            <c:ext xmlns:c16="http://schemas.microsoft.com/office/drawing/2014/chart" uri="{C3380CC4-5D6E-409C-BE32-E72D297353CC}">
              <c16:uniqueId val="{00000008-A2CC-4445-8FBE-332C75D7E771}"/>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Resource damage</a:t>
                </a:r>
              </a:p>
              <a:p>
                <a:pPr algn="ctr" rtl="0">
                  <a:defRPr/>
                </a:pPr>
                <a:r>
                  <a:rPr lang="nl-NL"/>
                  <a:t>[USD2013/ton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RD ship'!$AB$90</c:f>
              <c:strCache>
                <c:ptCount val="1"/>
                <c:pt idx="0">
                  <c:v>Construction - DAC</c:v>
                </c:pt>
              </c:strCache>
            </c:strRef>
          </c:tx>
          <c:spPr>
            <a:solidFill>
              <a:schemeClr val="accent4">
                <a:lumMod val="75000"/>
              </a:schemeClr>
            </a:solidFill>
            <a:ln>
              <a:noFill/>
            </a:ln>
            <a:effectLst/>
          </c:spPr>
          <c:invertIfNegative val="0"/>
          <c:cat>
            <c:numRef>
              <c:f>'Results ReCiPe (H) - RD ship'!$AC$89:$BA$89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ship'!$AC$90:$BA$90</c:f>
              <c:numCache>
                <c:formatCode>0.00E+00</c:formatCode>
                <c:ptCount val="25"/>
                <c:pt idx="0">
                  <c:v>2681.9296561792253</c:v>
                </c:pt>
              </c:numCache>
            </c:numRef>
          </c:val>
          <c:extLst>
            <c:ext xmlns:c16="http://schemas.microsoft.com/office/drawing/2014/chart" uri="{C3380CC4-5D6E-409C-BE32-E72D297353CC}">
              <c16:uniqueId val="{00000000-3D84-402B-80FE-C72B42A4861A}"/>
            </c:ext>
          </c:extLst>
        </c:ser>
        <c:ser>
          <c:idx val="1"/>
          <c:order val="1"/>
          <c:tx>
            <c:strRef>
              <c:f>'Results ReCiPe (H) - RD ship'!$AB$91</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(H) - RD ship'!$AC$89:$BA$89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ship'!$AC$91:$BA$91</c:f>
              <c:numCache>
                <c:formatCode>0.00E+00</c:formatCode>
                <c:ptCount val="25"/>
                <c:pt idx="0">
                  <c:v>258.88808240632699</c:v>
                </c:pt>
              </c:numCache>
            </c:numRef>
          </c:val>
          <c:extLst>
            <c:ext xmlns:c16="http://schemas.microsoft.com/office/drawing/2014/chart" uri="{C3380CC4-5D6E-409C-BE32-E72D297353CC}">
              <c16:uniqueId val="{00000001-3D84-402B-80FE-C72B42A4861A}"/>
            </c:ext>
          </c:extLst>
        </c:ser>
        <c:ser>
          <c:idx val="2"/>
          <c:order val="2"/>
          <c:tx>
            <c:strRef>
              <c:f>'Results ReCiPe (H) - RD ship'!$AB$92</c:f>
              <c:strCache>
                <c:ptCount val="1"/>
                <c:pt idx="0">
                  <c:v>Deconstruction - DAC</c:v>
                </c:pt>
              </c:strCache>
            </c:strRef>
          </c:tx>
          <c:spPr>
            <a:solidFill>
              <a:schemeClr val="accent2">
                <a:lumMod val="40000"/>
                <a:lumOff val="60000"/>
              </a:schemeClr>
            </a:solidFill>
            <a:ln>
              <a:noFill/>
            </a:ln>
            <a:effectLst/>
          </c:spPr>
          <c:invertIfNegative val="0"/>
          <c:cat>
            <c:numRef>
              <c:f>'Results ReCiPe (H) - RD ship'!$AC$89:$BA$89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ship'!$AC$92:$BA$92</c:f>
              <c:numCache>
                <c:formatCode>0.00E+00</c:formatCode>
                <c:ptCount val="25"/>
                <c:pt idx="24">
                  <c:v>38.789621318581062</c:v>
                </c:pt>
              </c:numCache>
            </c:numRef>
          </c:val>
          <c:extLst>
            <c:ext xmlns:c16="http://schemas.microsoft.com/office/drawing/2014/chart" uri="{C3380CC4-5D6E-409C-BE32-E72D297353CC}">
              <c16:uniqueId val="{00000002-3D84-402B-80FE-C72B42A4861A}"/>
            </c:ext>
          </c:extLst>
        </c:ser>
        <c:ser>
          <c:idx val="3"/>
          <c:order val="3"/>
          <c:tx>
            <c:strRef>
              <c:f>'Results ReCiPe (H) - RD ship'!$AB$93</c:f>
              <c:strCache>
                <c:ptCount val="1"/>
                <c:pt idx="0">
                  <c:v>Deconstruction - geological storage</c:v>
                </c:pt>
              </c:strCache>
            </c:strRef>
          </c:tx>
          <c:spPr>
            <a:solidFill>
              <a:srgbClr val="FF9900"/>
            </a:solidFill>
            <a:ln>
              <a:noFill/>
            </a:ln>
            <a:effectLst/>
          </c:spPr>
          <c:invertIfNegative val="0"/>
          <c:cat>
            <c:numRef>
              <c:f>'Results ReCiPe (H) - RD ship'!$AC$89:$BA$89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ship'!$AC$93:$BA$93</c:f>
              <c:numCache>
                <c:formatCode>0.00E+00</c:formatCode>
                <c:ptCount val="25"/>
                <c:pt idx="24">
                  <c:v>1.2288061080708204</c:v>
                </c:pt>
              </c:numCache>
            </c:numRef>
          </c:val>
          <c:extLst>
            <c:ext xmlns:c16="http://schemas.microsoft.com/office/drawing/2014/chart" uri="{C3380CC4-5D6E-409C-BE32-E72D297353CC}">
              <c16:uniqueId val="{00000003-3D84-402B-80FE-C72B42A4861A}"/>
            </c:ext>
          </c:extLst>
        </c:ser>
        <c:ser>
          <c:idx val="4"/>
          <c:order val="4"/>
          <c:tx>
            <c:strRef>
              <c:f>'Results ReCiPe (H) - RD ship'!$AB$94</c:f>
              <c:strCache>
                <c:ptCount val="1"/>
                <c:pt idx="0">
                  <c:v>Sorbent material</c:v>
                </c:pt>
              </c:strCache>
            </c:strRef>
          </c:tx>
          <c:spPr>
            <a:solidFill>
              <a:srgbClr val="FF8F8F"/>
            </a:solidFill>
            <a:ln>
              <a:noFill/>
            </a:ln>
            <a:effectLst/>
          </c:spPr>
          <c:invertIfNegative val="0"/>
          <c:cat>
            <c:numRef>
              <c:f>'Results ReCiPe (H) - RD ship'!$AC$89:$BA$89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ship'!$AC$94:$BA$94</c:f>
              <c:numCache>
                <c:formatCode>0.00E+00</c:formatCode>
                <c:ptCount val="25"/>
                <c:pt idx="0">
                  <c:v>114.06781731957111</c:v>
                </c:pt>
                <c:pt idx="3">
                  <c:v>112.3911675049322</c:v>
                </c:pt>
                <c:pt idx="6">
                  <c:v>112.2010947204887</c:v>
                </c:pt>
                <c:pt idx="9">
                  <c:v>113.21958271568749</c:v>
                </c:pt>
                <c:pt idx="12">
                  <c:v>113.61473943331841</c:v>
                </c:pt>
                <c:pt idx="15">
                  <c:v>113.3787859326078</c:v>
                </c:pt>
                <c:pt idx="18">
                  <c:v>112.2791950057142</c:v>
                </c:pt>
                <c:pt idx="21">
                  <c:v>111.5739444092645</c:v>
                </c:pt>
                <c:pt idx="24">
                  <c:v>111.3824079888096</c:v>
                </c:pt>
              </c:numCache>
            </c:numRef>
          </c:val>
          <c:extLst>
            <c:ext xmlns:c16="http://schemas.microsoft.com/office/drawing/2014/chart" uri="{C3380CC4-5D6E-409C-BE32-E72D297353CC}">
              <c16:uniqueId val="{00000004-3D84-402B-80FE-C72B42A4861A}"/>
            </c:ext>
          </c:extLst>
        </c:ser>
        <c:ser>
          <c:idx val="5"/>
          <c:order val="5"/>
          <c:tx>
            <c:strRef>
              <c:f>'Results ReCiPe (H) - RD ship'!$AB$95</c:f>
              <c:strCache>
                <c:ptCount val="1"/>
                <c:pt idx="0">
                  <c:v>Operation - DAC</c:v>
                </c:pt>
              </c:strCache>
            </c:strRef>
          </c:tx>
          <c:spPr>
            <a:solidFill>
              <a:schemeClr val="accent2">
                <a:lumMod val="75000"/>
              </a:schemeClr>
            </a:solidFill>
            <a:ln>
              <a:noFill/>
            </a:ln>
            <a:effectLst/>
          </c:spPr>
          <c:invertIfNegative val="0"/>
          <c:cat>
            <c:numRef>
              <c:f>'Results ReCiPe (H) - RD ship'!$AC$89:$BA$89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ship'!$AC$95:$BA$95</c:f>
              <c:numCache>
                <c:formatCode>0.00E+00</c:formatCode>
                <c:ptCount val="25"/>
                <c:pt idx="0">
                  <c:v>1455.687748477927</c:v>
                </c:pt>
                <c:pt idx="1">
                  <c:v>1339.645737547816</c:v>
                </c:pt>
                <c:pt idx="2">
                  <c:v>1222.675011660074</c:v>
                </c:pt>
                <c:pt idx="3">
                  <c:v>1099.534974399809</c:v>
                </c:pt>
                <c:pt idx="4">
                  <c:v>980.47081032114079</c:v>
                </c:pt>
                <c:pt idx="5">
                  <c:v>860.4793665866838</c:v>
                </c:pt>
                <c:pt idx="6">
                  <c:v>1005.289588531566</c:v>
                </c:pt>
                <c:pt idx="7">
                  <c:v>1149.7418175598309</c:v>
                </c:pt>
                <c:pt idx="8">
                  <c:v>1288.456695966383</c:v>
                </c:pt>
                <c:pt idx="9">
                  <c:v>1431.999072853238</c:v>
                </c:pt>
                <c:pt idx="10">
                  <c:v>1575.21075673582</c:v>
                </c:pt>
                <c:pt idx="11">
                  <c:v>1753.703160579762</c:v>
                </c:pt>
                <c:pt idx="12">
                  <c:v>1931.6196135305711</c:v>
                </c:pt>
                <c:pt idx="13">
                  <c:v>2107.76787666581</c:v>
                </c:pt>
                <c:pt idx="14">
                  <c:v>2284.5657414806878</c:v>
                </c:pt>
                <c:pt idx="15">
                  <c:v>2460.785537350293</c:v>
                </c:pt>
                <c:pt idx="16">
                  <c:v>2396.8942909969978</c:v>
                </c:pt>
                <c:pt idx="17">
                  <c:v>2333.3347117691819</c:v>
                </c:pt>
                <c:pt idx="18">
                  <c:v>2269.02736425892</c:v>
                </c:pt>
                <c:pt idx="19">
                  <c:v>2206.1493943655678</c:v>
                </c:pt>
                <c:pt idx="20">
                  <c:v>2143.5839547228379</c:v>
                </c:pt>
                <c:pt idx="21">
                  <c:v>2144.336140023961</c:v>
                </c:pt>
                <c:pt idx="22">
                  <c:v>2145.1607906176441</c:v>
                </c:pt>
                <c:pt idx="23">
                  <c:v>2145.969509880611</c:v>
                </c:pt>
                <c:pt idx="24">
                  <c:v>2146.7604743306729</c:v>
                </c:pt>
              </c:numCache>
            </c:numRef>
          </c:val>
          <c:extLst>
            <c:ext xmlns:c16="http://schemas.microsoft.com/office/drawing/2014/chart" uri="{C3380CC4-5D6E-409C-BE32-E72D297353CC}">
              <c16:uniqueId val="{00000005-3D84-402B-80FE-C72B42A4861A}"/>
            </c:ext>
          </c:extLst>
        </c:ser>
        <c:ser>
          <c:idx val="6"/>
          <c:order val="6"/>
          <c:tx>
            <c:strRef>
              <c:f>'Results ReCiPe (H) - RD ship'!$AB$96</c:f>
              <c:strCache>
                <c:ptCount val="1"/>
                <c:pt idx="0">
                  <c:v>Operation - geological storage</c:v>
                </c:pt>
              </c:strCache>
            </c:strRef>
          </c:tx>
          <c:spPr>
            <a:solidFill>
              <a:schemeClr val="accent2">
                <a:lumMod val="50000"/>
              </a:schemeClr>
            </a:solidFill>
            <a:ln>
              <a:noFill/>
            </a:ln>
            <a:effectLst/>
          </c:spPr>
          <c:invertIfNegative val="0"/>
          <c:cat>
            <c:numRef>
              <c:f>'Results ReCiPe (H) - RD ship'!$AC$89:$BA$89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ship'!$AC$96:$BA$96</c:f>
              <c:numCache>
                <c:formatCode>0.00E+00</c:formatCode>
                <c:ptCount val="25"/>
                <c:pt idx="0">
                  <c:v>128.68401908039701</c:v>
                </c:pt>
                <c:pt idx="1">
                  <c:v>119.5221661741754</c:v>
                </c:pt>
                <c:pt idx="2">
                  <c:v>110.35343288106161</c:v>
                </c:pt>
                <c:pt idx="3">
                  <c:v>100.7215182281773</c:v>
                </c:pt>
                <c:pt idx="4">
                  <c:v>91.524926758190233</c:v>
                </c:pt>
                <c:pt idx="5">
                  <c:v>82.32383877996152</c:v>
                </c:pt>
                <c:pt idx="6">
                  <c:v>93.038612238311615</c:v>
                </c:pt>
                <c:pt idx="7">
                  <c:v>103.67938855423571</c:v>
                </c:pt>
                <c:pt idx="8">
                  <c:v>113.8024674145238</c:v>
                </c:pt>
                <c:pt idx="9">
                  <c:v>124.2828023219223</c:v>
                </c:pt>
                <c:pt idx="10">
                  <c:v>134.6917389739364</c:v>
                </c:pt>
                <c:pt idx="11">
                  <c:v>147.88730688274839</c:v>
                </c:pt>
                <c:pt idx="12">
                  <c:v>161.0628829723077</c:v>
                </c:pt>
                <c:pt idx="13">
                  <c:v>174.1174858065788</c:v>
                </c:pt>
                <c:pt idx="14">
                  <c:v>187.25531929984768</c:v>
                </c:pt>
                <c:pt idx="15">
                  <c:v>200.37255741549239</c:v>
                </c:pt>
                <c:pt idx="16">
                  <c:v>196.32347547824619</c:v>
                </c:pt>
                <c:pt idx="17">
                  <c:v>192.25719066101561</c:v>
                </c:pt>
                <c:pt idx="18">
                  <c:v>188.08141295488582</c:v>
                </c:pt>
                <c:pt idx="19">
                  <c:v>183.98266935640538</c:v>
                </c:pt>
                <c:pt idx="20">
                  <c:v>179.86585576332291</c:v>
                </c:pt>
                <c:pt idx="21">
                  <c:v>179.70009713751529</c:v>
                </c:pt>
                <c:pt idx="22">
                  <c:v>179.54299604813738</c:v>
                </c:pt>
                <c:pt idx="23">
                  <c:v>179.3844806004744</c:v>
                </c:pt>
                <c:pt idx="24">
                  <c:v>179.22434128810602</c:v>
                </c:pt>
              </c:numCache>
            </c:numRef>
          </c:val>
          <c:extLst>
            <c:ext xmlns:c16="http://schemas.microsoft.com/office/drawing/2014/chart" uri="{C3380CC4-5D6E-409C-BE32-E72D297353CC}">
              <c16:uniqueId val="{00000006-3D84-402B-80FE-C72B42A4861A}"/>
            </c:ext>
          </c:extLst>
        </c:ser>
        <c:ser>
          <c:idx val="7"/>
          <c:order val="7"/>
          <c:tx>
            <c:strRef>
              <c:f>'Results ReCiPe (H) - RD ship'!$AB$97</c:f>
              <c:strCache>
                <c:ptCount val="1"/>
                <c:pt idx="0">
                  <c:v>CO2 captured and stored</c:v>
                </c:pt>
              </c:strCache>
            </c:strRef>
          </c:tx>
          <c:spPr>
            <a:solidFill>
              <a:schemeClr val="tx2">
                <a:lumMod val="20000"/>
                <a:lumOff val="80000"/>
              </a:schemeClr>
            </a:solidFill>
            <a:ln>
              <a:noFill/>
            </a:ln>
            <a:effectLst/>
          </c:spPr>
          <c:invertIfNegative val="0"/>
          <c:cat>
            <c:numRef>
              <c:f>'Results ReCiPe (H) - RD ship'!$AC$89:$BA$89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ship'!$AC$97:$BA$97</c:f>
              <c:numCache>
                <c:formatCode>0.00E+00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7-3D84-402B-80FE-C72B42A4861A}"/>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RD ship'!$AB$98</c:f>
              <c:strCache>
                <c:ptCount val="1"/>
                <c:pt idx="0">
                  <c:v>TOTAL per year</c:v>
                </c:pt>
              </c:strCache>
            </c:strRef>
          </c:tx>
          <c:spPr>
            <a:ln w="25400" cap="rnd">
              <a:noFill/>
              <a:round/>
            </a:ln>
            <a:effectLst/>
          </c:spPr>
          <c:marker>
            <c:symbol val="circle"/>
            <c:size val="5"/>
            <c:spPr>
              <a:solidFill>
                <a:schemeClr val="tx1"/>
              </a:solidFill>
              <a:ln w="9525">
                <a:solidFill>
                  <a:schemeClr val="tx1"/>
                </a:solidFill>
              </a:ln>
              <a:effectLst/>
            </c:spPr>
          </c:marker>
          <c:cat>
            <c:numRef>
              <c:f>'Results ReCiPe (H) - RD ship'!$AC$89:$BA$89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ship'!$AC$98:$BA$98</c:f>
              <c:numCache>
                <c:formatCode>0.00E+00</c:formatCode>
                <c:ptCount val="25"/>
                <c:pt idx="0">
                  <c:v>4639.2573234634474</c:v>
                </c:pt>
                <c:pt idx="1">
                  <c:v>1459.1679037219915</c:v>
                </c:pt>
                <c:pt idx="2">
                  <c:v>1333.0284445411355</c:v>
                </c:pt>
                <c:pt idx="3">
                  <c:v>1312.6476601329184</c:v>
                </c:pt>
                <c:pt idx="4">
                  <c:v>1071.9957370793311</c:v>
                </c:pt>
                <c:pt idx="5">
                  <c:v>942.80320536664533</c:v>
                </c:pt>
                <c:pt idx="6">
                  <c:v>1210.5292954903662</c:v>
                </c:pt>
                <c:pt idx="7">
                  <c:v>1253.4212061140665</c:v>
                </c:pt>
                <c:pt idx="8">
                  <c:v>1402.2591633809068</c:v>
                </c:pt>
                <c:pt idx="9">
                  <c:v>1669.5014578908476</c:v>
                </c:pt>
                <c:pt idx="10">
                  <c:v>1709.9024957097565</c:v>
                </c:pt>
                <c:pt idx="11">
                  <c:v>1901.5904674625103</c:v>
                </c:pt>
                <c:pt idx="12">
                  <c:v>2206.297235936197</c:v>
                </c:pt>
                <c:pt idx="13">
                  <c:v>2281.8853624723888</c:v>
                </c:pt>
                <c:pt idx="14">
                  <c:v>2471.8210607805354</c:v>
                </c:pt>
                <c:pt idx="15">
                  <c:v>2774.5368806983934</c:v>
                </c:pt>
                <c:pt idx="16">
                  <c:v>2593.2177664752439</c:v>
                </c:pt>
                <c:pt idx="17">
                  <c:v>2525.5919024301975</c:v>
                </c:pt>
                <c:pt idx="18">
                  <c:v>2569.3879722195202</c:v>
                </c:pt>
                <c:pt idx="19">
                  <c:v>2390.1320637219733</c:v>
                </c:pt>
                <c:pt idx="20">
                  <c:v>2323.4498104861609</c:v>
                </c:pt>
                <c:pt idx="21">
                  <c:v>2435.6101815707407</c:v>
                </c:pt>
                <c:pt idx="22">
                  <c:v>2324.7037866657815</c:v>
                </c:pt>
                <c:pt idx="23">
                  <c:v>2325.3539904810855</c:v>
                </c:pt>
                <c:pt idx="24">
                  <c:v>2477.3856510342407</c:v>
                </c:pt>
              </c:numCache>
            </c:numRef>
          </c:val>
          <c:smooth val="0"/>
          <c:extLst>
            <c:ext xmlns:c16="http://schemas.microsoft.com/office/drawing/2014/chart" uri="{C3380CC4-5D6E-409C-BE32-E72D297353CC}">
              <c16:uniqueId val="{00000008-3D84-402B-80FE-C72B42A4861A}"/>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Resource damage</a:t>
                </a:r>
              </a:p>
              <a:p>
                <a:pPr algn="ctr" rtl="0">
                  <a:defRPr/>
                </a:pPr>
                <a:r>
                  <a:rPr lang="nl-NL"/>
                  <a:t>[USD2013/ton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RD ship'!$AB$132</c:f>
              <c:strCache>
                <c:ptCount val="1"/>
                <c:pt idx="0">
                  <c:v>Construction - DAC</c:v>
                </c:pt>
              </c:strCache>
            </c:strRef>
          </c:tx>
          <c:spPr>
            <a:solidFill>
              <a:schemeClr val="accent4">
                <a:lumMod val="75000"/>
              </a:schemeClr>
            </a:solidFill>
            <a:ln>
              <a:noFill/>
            </a:ln>
            <a:effectLst/>
          </c:spPr>
          <c:invertIfNegative val="0"/>
          <c:cat>
            <c:numRef>
              <c:f>'Results ReCiPe (H) - RD ship'!$AC$131:$BA$131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ship'!$AC$132:$BA$132</c:f>
              <c:numCache>
                <c:formatCode>0.00E+00</c:formatCode>
                <c:ptCount val="25"/>
                <c:pt idx="0">
                  <c:v>2893.1840673783981</c:v>
                </c:pt>
              </c:numCache>
            </c:numRef>
          </c:val>
          <c:extLst>
            <c:ext xmlns:c16="http://schemas.microsoft.com/office/drawing/2014/chart" uri="{C3380CC4-5D6E-409C-BE32-E72D297353CC}">
              <c16:uniqueId val="{00000000-119A-459B-BD0A-B3426D23F9CF}"/>
            </c:ext>
          </c:extLst>
        </c:ser>
        <c:ser>
          <c:idx val="1"/>
          <c:order val="1"/>
          <c:tx>
            <c:strRef>
              <c:f>'Results ReCiPe (H) - RD ship'!$AB$133</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(H) - RD ship'!$AC$131:$BA$131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ship'!$AC$133:$BA$133</c:f>
              <c:numCache>
                <c:formatCode>0.00E+00</c:formatCode>
                <c:ptCount val="25"/>
                <c:pt idx="0">
                  <c:v>269.67676540478124</c:v>
                </c:pt>
              </c:numCache>
            </c:numRef>
          </c:val>
          <c:extLst>
            <c:ext xmlns:c16="http://schemas.microsoft.com/office/drawing/2014/chart" uri="{C3380CC4-5D6E-409C-BE32-E72D297353CC}">
              <c16:uniqueId val="{00000001-119A-459B-BD0A-B3426D23F9CF}"/>
            </c:ext>
          </c:extLst>
        </c:ser>
        <c:ser>
          <c:idx val="2"/>
          <c:order val="2"/>
          <c:tx>
            <c:strRef>
              <c:f>'Results ReCiPe (H) - RD ship'!$AB$134</c:f>
              <c:strCache>
                <c:ptCount val="1"/>
                <c:pt idx="0">
                  <c:v>Deconstruction - DAC</c:v>
                </c:pt>
              </c:strCache>
            </c:strRef>
          </c:tx>
          <c:spPr>
            <a:solidFill>
              <a:schemeClr val="accent2">
                <a:lumMod val="40000"/>
                <a:lumOff val="60000"/>
              </a:schemeClr>
            </a:solidFill>
            <a:ln>
              <a:noFill/>
            </a:ln>
            <a:effectLst/>
          </c:spPr>
          <c:invertIfNegative val="0"/>
          <c:cat>
            <c:numRef>
              <c:f>'Results ReCiPe (H) - RD ship'!$AC$131:$BA$131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ship'!$AC$134:$BA$134</c:f>
              <c:numCache>
                <c:formatCode>0.00E+00</c:formatCode>
                <c:ptCount val="25"/>
                <c:pt idx="24">
                  <c:v>45.635874346592793</c:v>
                </c:pt>
              </c:numCache>
            </c:numRef>
          </c:val>
          <c:extLst>
            <c:ext xmlns:c16="http://schemas.microsoft.com/office/drawing/2014/chart" uri="{C3380CC4-5D6E-409C-BE32-E72D297353CC}">
              <c16:uniqueId val="{00000002-119A-459B-BD0A-B3426D23F9CF}"/>
            </c:ext>
          </c:extLst>
        </c:ser>
        <c:ser>
          <c:idx val="3"/>
          <c:order val="3"/>
          <c:tx>
            <c:strRef>
              <c:f>'Results ReCiPe (H) - RD ship'!$AB$135</c:f>
              <c:strCache>
                <c:ptCount val="1"/>
                <c:pt idx="0">
                  <c:v>Deconstruction - geological storage</c:v>
                </c:pt>
              </c:strCache>
            </c:strRef>
          </c:tx>
          <c:spPr>
            <a:solidFill>
              <a:srgbClr val="FF9900"/>
            </a:solidFill>
            <a:ln>
              <a:noFill/>
            </a:ln>
            <a:effectLst/>
          </c:spPr>
          <c:invertIfNegative val="0"/>
          <c:cat>
            <c:numRef>
              <c:f>'Results ReCiPe (H) - RD ship'!$AC$131:$BA$131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ship'!$AC$135:$BA$135</c:f>
              <c:numCache>
                <c:formatCode>0.00E+00</c:formatCode>
                <c:ptCount val="25"/>
                <c:pt idx="24">
                  <c:v>1.3426574437184902</c:v>
                </c:pt>
              </c:numCache>
            </c:numRef>
          </c:val>
          <c:extLst>
            <c:ext xmlns:c16="http://schemas.microsoft.com/office/drawing/2014/chart" uri="{C3380CC4-5D6E-409C-BE32-E72D297353CC}">
              <c16:uniqueId val="{00000003-119A-459B-BD0A-B3426D23F9CF}"/>
            </c:ext>
          </c:extLst>
        </c:ser>
        <c:ser>
          <c:idx val="4"/>
          <c:order val="4"/>
          <c:tx>
            <c:strRef>
              <c:f>'Results ReCiPe (H) - RD ship'!$AB$136</c:f>
              <c:strCache>
                <c:ptCount val="1"/>
                <c:pt idx="0">
                  <c:v>Sorbent material</c:v>
                </c:pt>
              </c:strCache>
            </c:strRef>
          </c:tx>
          <c:spPr>
            <a:solidFill>
              <a:srgbClr val="FF8F8F"/>
            </a:solidFill>
            <a:ln>
              <a:noFill/>
            </a:ln>
            <a:effectLst/>
          </c:spPr>
          <c:invertIfNegative val="0"/>
          <c:cat>
            <c:numRef>
              <c:f>'Results ReCiPe (H) - RD ship'!$AC$131:$BA$131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ship'!$AC$136:$BA$136</c:f>
              <c:numCache>
                <c:formatCode>0.00E+00</c:formatCode>
                <c:ptCount val="25"/>
                <c:pt idx="0">
                  <c:v>118.1930543229993</c:v>
                </c:pt>
                <c:pt idx="3">
                  <c:v>117.3708968791351</c:v>
                </c:pt>
                <c:pt idx="6">
                  <c:v>117.2479070799383</c:v>
                </c:pt>
                <c:pt idx="9">
                  <c:v>116.65080958776529</c:v>
                </c:pt>
                <c:pt idx="12">
                  <c:v>116.5694194979278</c:v>
                </c:pt>
                <c:pt idx="15">
                  <c:v>116.3562974875733</c:v>
                </c:pt>
                <c:pt idx="18">
                  <c:v>116.0610845903859</c:v>
                </c:pt>
                <c:pt idx="21">
                  <c:v>115.9379738654637</c:v>
                </c:pt>
                <c:pt idx="24">
                  <c:v>115.8757111011497</c:v>
                </c:pt>
              </c:numCache>
            </c:numRef>
          </c:val>
          <c:extLst>
            <c:ext xmlns:c16="http://schemas.microsoft.com/office/drawing/2014/chart" uri="{C3380CC4-5D6E-409C-BE32-E72D297353CC}">
              <c16:uniqueId val="{00000004-119A-459B-BD0A-B3426D23F9CF}"/>
            </c:ext>
          </c:extLst>
        </c:ser>
        <c:ser>
          <c:idx val="5"/>
          <c:order val="5"/>
          <c:tx>
            <c:strRef>
              <c:f>'Results ReCiPe (H) - RD ship'!$AB$137</c:f>
              <c:strCache>
                <c:ptCount val="1"/>
                <c:pt idx="0">
                  <c:v>Operation - DAC</c:v>
                </c:pt>
              </c:strCache>
            </c:strRef>
          </c:tx>
          <c:spPr>
            <a:solidFill>
              <a:schemeClr val="accent2">
                <a:lumMod val="75000"/>
              </a:schemeClr>
            </a:solidFill>
            <a:ln>
              <a:noFill/>
            </a:ln>
            <a:effectLst/>
          </c:spPr>
          <c:invertIfNegative val="0"/>
          <c:cat>
            <c:numRef>
              <c:f>'Results ReCiPe (H) - RD ship'!$AC$131:$BA$131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ship'!$AC$137:$BA$137</c:f>
              <c:numCache>
                <c:formatCode>0.00E+00</c:formatCode>
                <c:ptCount val="25"/>
                <c:pt idx="0">
                  <c:v>1839.3449357343477</c:v>
                </c:pt>
                <c:pt idx="1">
                  <c:v>1847.3513936994136</c:v>
                </c:pt>
                <c:pt idx="2">
                  <c:v>1855.4295959568169</c:v>
                </c:pt>
                <c:pt idx="3">
                  <c:v>1859.703558427419</c:v>
                </c:pt>
                <c:pt idx="4">
                  <c:v>1867.9709163799405</c:v>
                </c:pt>
                <c:pt idx="5">
                  <c:v>1876.306514134126</c:v>
                </c:pt>
                <c:pt idx="6">
                  <c:v>1907.948299444816</c:v>
                </c:pt>
                <c:pt idx="7">
                  <c:v>1939.5544371942856</c:v>
                </c:pt>
                <c:pt idx="8">
                  <c:v>1968.282277329135</c:v>
                </c:pt>
                <c:pt idx="9">
                  <c:v>1999.9319314688889</c:v>
                </c:pt>
                <c:pt idx="10">
                  <c:v>2031.5627063350501</c:v>
                </c:pt>
                <c:pt idx="11">
                  <c:v>2035.2554294482479</c:v>
                </c:pt>
                <c:pt idx="12">
                  <c:v>2038.8616388868502</c:v>
                </c:pt>
                <c:pt idx="13">
                  <c:v>2041.6999854561732</c:v>
                </c:pt>
                <c:pt idx="14">
                  <c:v>2045.1258920077817</c:v>
                </c:pt>
                <c:pt idx="15">
                  <c:v>2048.4529491289159</c:v>
                </c:pt>
                <c:pt idx="16">
                  <c:v>2120.9738547707802</c:v>
                </c:pt>
                <c:pt idx="17">
                  <c:v>2193.5292893363185</c:v>
                </c:pt>
                <c:pt idx="18">
                  <c:v>2265.5241417441844</c:v>
                </c:pt>
                <c:pt idx="19">
                  <c:v>2338.1968350458656</c:v>
                </c:pt>
                <c:pt idx="20">
                  <c:v>2410.9335818739069</c:v>
                </c:pt>
                <c:pt idx="21">
                  <c:v>2425.9539149219522</c:v>
                </c:pt>
                <c:pt idx="22">
                  <c:v>2441.1153330716429</c:v>
                </c:pt>
                <c:pt idx="23">
                  <c:v>2456.378620962304</c:v>
                </c:pt>
                <c:pt idx="24">
                  <c:v>2471.7432703896347</c:v>
                </c:pt>
              </c:numCache>
            </c:numRef>
          </c:val>
          <c:extLst>
            <c:ext xmlns:c16="http://schemas.microsoft.com/office/drawing/2014/chart" uri="{C3380CC4-5D6E-409C-BE32-E72D297353CC}">
              <c16:uniqueId val="{00000005-119A-459B-BD0A-B3426D23F9CF}"/>
            </c:ext>
          </c:extLst>
        </c:ser>
        <c:ser>
          <c:idx val="6"/>
          <c:order val="6"/>
          <c:tx>
            <c:strRef>
              <c:f>'Results ReCiPe (H) - RD ship'!$AB$138</c:f>
              <c:strCache>
                <c:ptCount val="1"/>
                <c:pt idx="0">
                  <c:v>Operation - geological storage</c:v>
                </c:pt>
              </c:strCache>
            </c:strRef>
          </c:tx>
          <c:spPr>
            <a:solidFill>
              <a:schemeClr val="accent2">
                <a:lumMod val="50000"/>
              </a:schemeClr>
            </a:solidFill>
            <a:ln>
              <a:noFill/>
            </a:ln>
            <a:effectLst/>
          </c:spPr>
          <c:invertIfNegative val="0"/>
          <c:cat>
            <c:numRef>
              <c:f>'Results ReCiPe (H) - RD ship'!$AC$131:$BA$131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ship'!$AC$138:$BA$138</c:f>
              <c:numCache>
                <c:formatCode>0.00E+00</c:formatCode>
                <c:ptCount val="25"/>
                <c:pt idx="0">
                  <c:v>195.76172255046851</c:v>
                </c:pt>
                <c:pt idx="1">
                  <c:v>196.30148589353811</c:v>
                </c:pt>
                <c:pt idx="2">
                  <c:v>196.84487569979018</c:v>
                </c:pt>
                <c:pt idx="3">
                  <c:v>197.01108349836508</c:v>
                </c:pt>
                <c:pt idx="4">
                  <c:v>197.56637214637439</c:v>
                </c:pt>
                <c:pt idx="5">
                  <c:v>198.1248505113056</c:v>
                </c:pt>
                <c:pt idx="6">
                  <c:v>201.0336327118896</c:v>
                </c:pt>
                <c:pt idx="7">
                  <c:v>203.9293270335265</c:v>
                </c:pt>
                <c:pt idx="8">
                  <c:v>206.53164214593019</c:v>
                </c:pt>
                <c:pt idx="9">
                  <c:v>209.41288864898362</c:v>
                </c:pt>
                <c:pt idx="10">
                  <c:v>212.2828472532</c:v>
                </c:pt>
                <c:pt idx="11">
                  <c:v>212.45450292244698</c:v>
                </c:pt>
                <c:pt idx="12">
                  <c:v>212.61635025047849</c:v>
                </c:pt>
                <c:pt idx="13">
                  <c:v>212.70125871557372</c:v>
                </c:pt>
                <c:pt idx="14">
                  <c:v>212.84301969916569</c:v>
                </c:pt>
                <c:pt idx="15">
                  <c:v>212.97372093898539</c:v>
                </c:pt>
                <c:pt idx="16">
                  <c:v>219.89336175473932</c:v>
                </c:pt>
                <c:pt idx="17">
                  <c:v>226.8026118924702</c:v>
                </c:pt>
                <c:pt idx="18">
                  <c:v>233.64305368362221</c:v>
                </c:pt>
                <c:pt idx="19">
                  <c:v>240.53623405225241</c:v>
                </c:pt>
                <c:pt idx="20">
                  <c:v>247.42187369609371</c:v>
                </c:pt>
                <c:pt idx="21">
                  <c:v>248.45751871708993</c:v>
                </c:pt>
                <c:pt idx="22">
                  <c:v>249.50527150164211</c:v>
                </c:pt>
                <c:pt idx="23">
                  <c:v>250.55677353235589</c:v>
                </c:pt>
                <c:pt idx="24">
                  <c:v>251.61182169995388</c:v>
                </c:pt>
              </c:numCache>
            </c:numRef>
          </c:val>
          <c:extLst>
            <c:ext xmlns:c16="http://schemas.microsoft.com/office/drawing/2014/chart" uri="{C3380CC4-5D6E-409C-BE32-E72D297353CC}">
              <c16:uniqueId val="{00000006-119A-459B-BD0A-B3426D23F9CF}"/>
            </c:ext>
          </c:extLst>
        </c:ser>
        <c:ser>
          <c:idx val="7"/>
          <c:order val="7"/>
          <c:tx>
            <c:strRef>
              <c:f>'Results ReCiPe (H) - RD ship'!$AB$139</c:f>
              <c:strCache>
                <c:ptCount val="1"/>
                <c:pt idx="0">
                  <c:v>CO2 captured and stored</c:v>
                </c:pt>
              </c:strCache>
            </c:strRef>
          </c:tx>
          <c:spPr>
            <a:solidFill>
              <a:schemeClr val="tx2">
                <a:lumMod val="20000"/>
                <a:lumOff val="80000"/>
              </a:schemeClr>
            </a:solidFill>
            <a:ln>
              <a:noFill/>
            </a:ln>
            <a:effectLst/>
          </c:spPr>
          <c:invertIfNegative val="0"/>
          <c:cat>
            <c:numRef>
              <c:f>'Results ReCiPe (H) - RD ship'!$AC$131:$BA$131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ship'!$AC$139:$BA$139</c:f>
              <c:numCache>
                <c:formatCode>0.00E+00</c:formatCode>
                <c:ptCount val="25"/>
              </c:numCache>
            </c:numRef>
          </c:val>
          <c:extLst>
            <c:ext xmlns:c16="http://schemas.microsoft.com/office/drawing/2014/chart" uri="{C3380CC4-5D6E-409C-BE32-E72D297353CC}">
              <c16:uniqueId val="{00000007-119A-459B-BD0A-B3426D23F9CF}"/>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RD ship'!$AB$140</c:f>
              <c:strCache>
                <c:ptCount val="1"/>
                <c:pt idx="0">
                  <c:v>TOTAL per year</c:v>
                </c:pt>
              </c:strCache>
            </c:strRef>
          </c:tx>
          <c:spPr>
            <a:ln w="28575" cap="rnd">
              <a:noFill/>
              <a:round/>
            </a:ln>
            <a:effectLst/>
          </c:spPr>
          <c:marker>
            <c:symbol val="circle"/>
            <c:size val="5"/>
            <c:spPr>
              <a:solidFill>
                <a:schemeClr val="tx1"/>
              </a:solidFill>
              <a:ln w="9525">
                <a:solidFill>
                  <a:schemeClr val="accent3">
                    <a:lumMod val="60000"/>
                  </a:schemeClr>
                </a:solidFill>
              </a:ln>
              <a:effectLst/>
            </c:spPr>
          </c:marker>
          <c:cat>
            <c:numRef>
              <c:f>'Results ReCiPe (H) - RD ship'!$AC$131:$BA$131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ship'!$AC$140:$BA$140</c:f>
              <c:numCache>
                <c:formatCode>0.00E+00</c:formatCode>
                <c:ptCount val="25"/>
                <c:pt idx="0">
                  <c:v>5316.1605453909942</c:v>
                </c:pt>
                <c:pt idx="1">
                  <c:v>2043.6528795929516</c:v>
                </c:pt>
                <c:pt idx="2">
                  <c:v>2052.2744716566071</c:v>
                </c:pt>
                <c:pt idx="3">
                  <c:v>2174.0855388049195</c:v>
                </c:pt>
                <c:pt idx="4">
                  <c:v>2065.537288526315</c:v>
                </c:pt>
                <c:pt idx="5">
                  <c:v>2074.4313646454316</c:v>
                </c:pt>
                <c:pt idx="6">
                  <c:v>2226.2298392366438</c:v>
                </c:pt>
                <c:pt idx="7">
                  <c:v>2143.4837642278121</c:v>
                </c:pt>
                <c:pt idx="8">
                  <c:v>2174.8139194750652</c:v>
                </c:pt>
                <c:pt idx="9">
                  <c:v>2325.9956297056378</c:v>
                </c:pt>
                <c:pt idx="10">
                  <c:v>2243.8455535882499</c:v>
                </c:pt>
                <c:pt idx="11">
                  <c:v>2247.7099323706948</c:v>
                </c:pt>
                <c:pt idx="12">
                  <c:v>2368.047408635256</c:v>
                </c:pt>
                <c:pt idx="13">
                  <c:v>2254.4012441717468</c:v>
                </c:pt>
                <c:pt idx="14">
                  <c:v>2257.9689117069474</c:v>
                </c:pt>
                <c:pt idx="15">
                  <c:v>2377.7829675554744</c:v>
                </c:pt>
                <c:pt idx="16">
                  <c:v>2340.8672165255193</c:v>
                </c:pt>
                <c:pt idx="17">
                  <c:v>2420.3319012287889</c:v>
                </c:pt>
                <c:pt idx="18">
                  <c:v>2615.2282800181924</c:v>
                </c:pt>
                <c:pt idx="19">
                  <c:v>2578.733069098118</c:v>
                </c:pt>
                <c:pt idx="20">
                  <c:v>2658.3554555700007</c:v>
                </c:pt>
                <c:pt idx="21">
                  <c:v>2790.349407504506</c:v>
                </c:pt>
                <c:pt idx="22">
                  <c:v>2690.6206045732852</c:v>
                </c:pt>
                <c:pt idx="23">
                  <c:v>2706.9353944946597</c:v>
                </c:pt>
                <c:pt idx="24">
                  <c:v>2886.2093349810498</c:v>
                </c:pt>
              </c:numCache>
            </c:numRef>
          </c:val>
          <c:smooth val="0"/>
          <c:extLst>
            <c:ext xmlns:c16="http://schemas.microsoft.com/office/drawing/2014/chart" uri="{C3380CC4-5D6E-409C-BE32-E72D297353CC}">
              <c16:uniqueId val="{00000008-119A-459B-BD0A-B3426D23F9CF}"/>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Resource damage</a:t>
                </a:r>
              </a:p>
              <a:p>
                <a:pPr algn="ctr" rtl="0">
                  <a:defRPr/>
                </a:pPr>
                <a:r>
                  <a:rPr lang="nl-NL"/>
                  <a:t>[USD2013/ton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RD ship'!$AB$173</c:f>
              <c:strCache>
                <c:ptCount val="1"/>
                <c:pt idx="0">
                  <c:v>Construction - DAC</c:v>
                </c:pt>
              </c:strCache>
            </c:strRef>
          </c:tx>
          <c:spPr>
            <a:solidFill>
              <a:schemeClr val="accent4">
                <a:lumMod val="75000"/>
              </a:schemeClr>
            </a:solidFill>
            <a:ln>
              <a:noFill/>
            </a:ln>
            <a:effectLst/>
          </c:spPr>
          <c:invertIfNegative val="0"/>
          <c:cat>
            <c:numRef>
              <c:f>'Results ReCiPe (H) - RD ship'!$AC$172:$BA$172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ship'!$AC$173:$BA$173</c:f>
              <c:numCache>
                <c:formatCode>0.00E+00</c:formatCode>
                <c:ptCount val="25"/>
                <c:pt idx="0">
                  <c:v>2837.5515154411646</c:v>
                </c:pt>
              </c:numCache>
            </c:numRef>
          </c:val>
          <c:extLst>
            <c:ext xmlns:c16="http://schemas.microsoft.com/office/drawing/2014/chart" uri="{C3380CC4-5D6E-409C-BE32-E72D297353CC}">
              <c16:uniqueId val="{00000000-7DED-4FCA-B781-CEAD4110B016}"/>
            </c:ext>
          </c:extLst>
        </c:ser>
        <c:ser>
          <c:idx val="1"/>
          <c:order val="1"/>
          <c:tx>
            <c:strRef>
              <c:f>'Results ReCiPe (H) - RD ship'!$AB$174</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(H) - RD ship'!$AC$172:$BA$172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ship'!$AC$174:$BA$174</c:f>
              <c:numCache>
                <c:formatCode>0.00E+00</c:formatCode>
                <c:ptCount val="25"/>
                <c:pt idx="0">
                  <c:v>266.94496473340826</c:v>
                </c:pt>
              </c:numCache>
            </c:numRef>
          </c:val>
          <c:extLst>
            <c:ext xmlns:c16="http://schemas.microsoft.com/office/drawing/2014/chart" uri="{C3380CC4-5D6E-409C-BE32-E72D297353CC}">
              <c16:uniqueId val="{00000001-7DED-4FCA-B781-CEAD4110B016}"/>
            </c:ext>
          </c:extLst>
        </c:ser>
        <c:ser>
          <c:idx val="2"/>
          <c:order val="2"/>
          <c:tx>
            <c:strRef>
              <c:f>'Results ReCiPe (H) - RD ship'!$AB$175</c:f>
              <c:strCache>
                <c:ptCount val="1"/>
                <c:pt idx="0">
                  <c:v>Deconstruction - DAC</c:v>
                </c:pt>
              </c:strCache>
            </c:strRef>
          </c:tx>
          <c:spPr>
            <a:solidFill>
              <a:schemeClr val="accent2">
                <a:lumMod val="40000"/>
                <a:lumOff val="60000"/>
              </a:schemeClr>
            </a:solidFill>
            <a:ln>
              <a:noFill/>
            </a:ln>
            <a:effectLst/>
          </c:spPr>
          <c:invertIfNegative val="0"/>
          <c:cat>
            <c:numRef>
              <c:f>'Results ReCiPe (H) - RD ship'!$AC$172:$BA$172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ship'!$AC$175:$BA$175</c:f>
              <c:numCache>
                <c:formatCode>0.00E+00</c:formatCode>
                <c:ptCount val="25"/>
                <c:pt idx="24">
                  <c:v>41.794125692809452</c:v>
                </c:pt>
              </c:numCache>
            </c:numRef>
          </c:val>
          <c:extLst>
            <c:ext xmlns:c16="http://schemas.microsoft.com/office/drawing/2014/chart" uri="{C3380CC4-5D6E-409C-BE32-E72D297353CC}">
              <c16:uniqueId val="{00000002-7DED-4FCA-B781-CEAD4110B016}"/>
            </c:ext>
          </c:extLst>
        </c:ser>
        <c:ser>
          <c:idx val="3"/>
          <c:order val="3"/>
          <c:tx>
            <c:strRef>
              <c:f>'Results ReCiPe (H) - RD ship'!$AB$176</c:f>
              <c:strCache>
                <c:ptCount val="1"/>
                <c:pt idx="0">
                  <c:v>Deconstruction - geological storage</c:v>
                </c:pt>
              </c:strCache>
            </c:strRef>
          </c:tx>
          <c:spPr>
            <a:solidFill>
              <a:srgbClr val="FF9900"/>
            </a:solidFill>
            <a:ln>
              <a:noFill/>
            </a:ln>
            <a:effectLst/>
          </c:spPr>
          <c:invertIfNegative val="0"/>
          <c:cat>
            <c:numRef>
              <c:f>'Results ReCiPe (H) - RD ship'!$AC$172:$BA$172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ship'!$AC$176:$BA$176</c:f>
              <c:numCache>
                <c:formatCode>0.00E+00</c:formatCode>
                <c:ptCount val="25"/>
                <c:pt idx="24">
                  <c:v>1.2962860497828945</c:v>
                </c:pt>
              </c:numCache>
            </c:numRef>
          </c:val>
          <c:extLst>
            <c:ext xmlns:c16="http://schemas.microsoft.com/office/drawing/2014/chart" uri="{C3380CC4-5D6E-409C-BE32-E72D297353CC}">
              <c16:uniqueId val="{00000003-7DED-4FCA-B781-CEAD4110B016}"/>
            </c:ext>
          </c:extLst>
        </c:ser>
        <c:ser>
          <c:idx val="4"/>
          <c:order val="4"/>
          <c:tx>
            <c:strRef>
              <c:f>'Results ReCiPe (H) - RD ship'!$AB$177</c:f>
              <c:strCache>
                <c:ptCount val="1"/>
                <c:pt idx="0">
                  <c:v>Sorbent material</c:v>
                </c:pt>
              </c:strCache>
            </c:strRef>
          </c:tx>
          <c:spPr>
            <a:solidFill>
              <a:srgbClr val="FF8F8F"/>
            </a:solidFill>
            <a:ln>
              <a:noFill/>
            </a:ln>
            <a:effectLst/>
          </c:spPr>
          <c:invertIfNegative val="0"/>
          <c:cat>
            <c:numRef>
              <c:f>'Results ReCiPe (H) - RD ship'!$AC$172:$BA$172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ship'!$AC$177:$BA$177</c:f>
              <c:numCache>
                <c:formatCode>0.00E+00</c:formatCode>
                <c:ptCount val="25"/>
                <c:pt idx="0">
                  <c:v>117.4164153447413</c:v>
                </c:pt>
                <c:pt idx="3">
                  <c:v>116.14482404943</c:v>
                </c:pt>
                <c:pt idx="6">
                  <c:v>115.85431461269189</c:v>
                </c:pt>
                <c:pt idx="9">
                  <c:v>115.7060268138878</c:v>
                </c:pt>
                <c:pt idx="12">
                  <c:v>115.22430296168601</c:v>
                </c:pt>
                <c:pt idx="15">
                  <c:v>114.21787004973891</c:v>
                </c:pt>
                <c:pt idx="18">
                  <c:v>113.3881732416237</c:v>
                </c:pt>
                <c:pt idx="21">
                  <c:v>112.8508899058024</c:v>
                </c:pt>
                <c:pt idx="24">
                  <c:v>112.6235531268987</c:v>
                </c:pt>
              </c:numCache>
            </c:numRef>
          </c:val>
          <c:extLst>
            <c:ext xmlns:c16="http://schemas.microsoft.com/office/drawing/2014/chart" uri="{C3380CC4-5D6E-409C-BE32-E72D297353CC}">
              <c16:uniqueId val="{00000004-7DED-4FCA-B781-CEAD4110B016}"/>
            </c:ext>
          </c:extLst>
        </c:ser>
        <c:ser>
          <c:idx val="5"/>
          <c:order val="5"/>
          <c:tx>
            <c:strRef>
              <c:f>'Results ReCiPe (H) - RD ship'!$AB$178</c:f>
              <c:strCache>
                <c:ptCount val="1"/>
                <c:pt idx="0">
                  <c:v>Operation - DAC</c:v>
                </c:pt>
              </c:strCache>
            </c:strRef>
          </c:tx>
          <c:spPr>
            <a:solidFill>
              <a:schemeClr val="accent2">
                <a:lumMod val="75000"/>
              </a:schemeClr>
            </a:solidFill>
            <a:ln>
              <a:noFill/>
            </a:ln>
            <a:effectLst/>
          </c:spPr>
          <c:invertIfNegative val="0"/>
          <c:cat>
            <c:numRef>
              <c:f>'Results ReCiPe (H) - RD ship'!$AC$172:$BA$172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ship'!$AC$178:$BA$178</c:f>
              <c:numCache>
                <c:formatCode>0.00E+00</c:formatCode>
                <c:ptCount val="25"/>
                <c:pt idx="0">
                  <c:v>1896.4731859753776</c:v>
                </c:pt>
                <c:pt idx="1">
                  <c:v>1883.0280045309073</c:v>
                </c:pt>
                <c:pt idx="2">
                  <c:v>1869.5947872097088</c:v>
                </c:pt>
                <c:pt idx="3">
                  <c:v>1852.0556255314921</c:v>
                </c:pt>
                <c:pt idx="4">
                  <c:v>1838.6596783462332</c:v>
                </c:pt>
                <c:pt idx="5">
                  <c:v>1825.2704563907971</c:v>
                </c:pt>
                <c:pt idx="6">
                  <c:v>1821.4805795570646</c:v>
                </c:pt>
                <c:pt idx="7">
                  <c:v>1817.6236908543658</c:v>
                </c:pt>
                <c:pt idx="8">
                  <c:v>1810.183649328512</c:v>
                </c:pt>
                <c:pt idx="9">
                  <c:v>1806.0149675403545</c:v>
                </c:pt>
                <c:pt idx="10">
                  <c:v>1801.6963338431206</c:v>
                </c:pt>
                <c:pt idx="11">
                  <c:v>1790.0305919538512</c:v>
                </c:pt>
                <c:pt idx="12">
                  <c:v>1778.1616071811923</c:v>
                </c:pt>
                <c:pt idx="13">
                  <c:v>1765.2538378409279</c:v>
                </c:pt>
                <c:pt idx="14">
                  <c:v>1752.9904831156948</c:v>
                </c:pt>
                <c:pt idx="15">
                  <c:v>1740.5260527134133</c:v>
                </c:pt>
                <c:pt idx="16">
                  <c:v>1750.6190305006162</c:v>
                </c:pt>
                <c:pt idx="17">
                  <c:v>1760.5135391731683</c:v>
                </c:pt>
                <c:pt idx="18">
                  <c:v>1769.3936271178084</c:v>
                </c:pt>
                <c:pt idx="19">
                  <c:v>1778.9029692110787</c:v>
                </c:pt>
                <c:pt idx="20">
                  <c:v>1788.2181978358021</c:v>
                </c:pt>
                <c:pt idx="21">
                  <c:v>1771.8327195018851</c:v>
                </c:pt>
                <c:pt idx="22">
                  <c:v>1755.4500545425747</c:v>
                </c:pt>
                <c:pt idx="23">
                  <c:v>1739.0002212587565</c:v>
                </c:pt>
                <c:pt idx="24">
                  <c:v>1722.4806429923171</c:v>
                </c:pt>
              </c:numCache>
            </c:numRef>
          </c:val>
          <c:extLst>
            <c:ext xmlns:c16="http://schemas.microsoft.com/office/drawing/2014/chart" uri="{C3380CC4-5D6E-409C-BE32-E72D297353CC}">
              <c16:uniqueId val="{00000005-7DED-4FCA-B781-CEAD4110B016}"/>
            </c:ext>
          </c:extLst>
        </c:ser>
        <c:ser>
          <c:idx val="6"/>
          <c:order val="6"/>
          <c:tx>
            <c:strRef>
              <c:f>'Results ReCiPe (H) - RD ship'!$AB$179</c:f>
              <c:strCache>
                <c:ptCount val="1"/>
                <c:pt idx="0">
                  <c:v>Operation - geological storage</c:v>
                </c:pt>
              </c:strCache>
            </c:strRef>
          </c:tx>
          <c:spPr>
            <a:solidFill>
              <a:schemeClr val="accent2">
                <a:lumMod val="50000"/>
              </a:schemeClr>
            </a:solidFill>
            <a:ln>
              <a:noFill/>
            </a:ln>
            <a:effectLst/>
          </c:spPr>
          <c:invertIfNegative val="0"/>
          <c:cat>
            <c:numRef>
              <c:f>'Results ReCiPe (H) - RD ship'!$AC$172:$BA$172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ship'!$AC$179:$BA$179</c:f>
              <c:numCache>
                <c:formatCode>0.00E+00</c:formatCode>
                <c:ptCount val="25"/>
                <c:pt idx="0">
                  <c:v>200.64428013390173</c:v>
                </c:pt>
                <c:pt idx="1">
                  <c:v>198.88987102701171</c:v>
                </c:pt>
                <c:pt idx="2">
                  <c:v>197.14183434126971</c:v>
                </c:pt>
                <c:pt idx="3">
                  <c:v>194.9959183591115</c:v>
                </c:pt>
                <c:pt idx="4">
                  <c:v>193.2624144529706</c:v>
                </c:pt>
                <c:pt idx="5">
                  <c:v>191.53490018423719</c:v>
                </c:pt>
                <c:pt idx="6">
                  <c:v>190.9975749317953</c:v>
                </c:pt>
                <c:pt idx="7">
                  <c:v>190.4517415185353</c:v>
                </c:pt>
                <c:pt idx="8">
                  <c:v>189.55284221781989</c:v>
                </c:pt>
                <c:pt idx="9">
                  <c:v>188.9767026724202</c:v>
                </c:pt>
                <c:pt idx="10">
                  <c:v>188.38664248840891</c:v>
                </c:pt>
                <c:pt idx="11">
                  <c:v>187.22532996797722</c:v>
                </c:pt>
                <c:pt idx="12">
                  <c:v>186.04470531712519</c:v>
                </c:pt>
                <c:pt idx="13">
                  <c:v>184.7625314071924</c:v>
                </c:pt>
                <c:pt idx="14">
                  <c:v>183.54449771318281</c:v>
                </c:pt>
                <c:pt idx="15">
                  <c:v>182.30739946394971</c:v>
                </c:pt>
                <c:pt idx="16">
                  <c:v>183.5566604619637</c:v>
                </c:pt>
                <c:pt idx="17">
                  <c:v>184.79229458687769</c:v>
                </c:pt>
                <c:pt idx="18">
                  <c:v>185.9338856299583</c:v>
                </c:pt>
                <c:pt idx="19">
                  <c:v>187.14268841019211</c:v>
                </c:pt>
                <c:pt idx="20">
                  <c:v>188.3380573783914</c:v>
                </c:pt>
                <c:pt idx="21">
                  <c:v>186.4779317854391</c:v>
                </c:pt>
                <c:pt idx="22">
                  <c:v>184.62669982481441</c:v>
                </c:pt>
                <c:pt idx="23">
                  <c:v>182.77386974818862</c:v>
                </c:pt>
                <c:pt idx="24">
                  <c:v>180.91913840904829</c:v>
                </c:pt>
              </c:numCache>
            </c:numRef>
          </c:val>
          <c:extLst>
            <c:ext xmlns:c16="http://schemas.microsoft.com/office/drawing/2014/chart" uri="{C3380CC4-5D6E-409C-BE32-E72D297353CC}">
              <c16:uniqueId val="{00000006-7DED-4FCA-B781-CEAD4110B016}"/>
            </c:ext>
          </c:extLst>
        </c:ser>
        <c:ser>
          <c:idx val="7"/>
          <c:order val="7"/>
          <c:tx>
            <c:strRef>
              <c:f>'Results ReCiPe (H) - RD ship'!$AB$180</c:f>
              <c:strCache>
                <c:ptCount val="1"/>
                <c:pt idx="0">
                  <c:v>CO2 captured and stored</c:v>
                </c:pt>
              </c:strCache>
            </c:strRef>
          </c:tx>
          <c:spPr>
            <a:solidFill>
              <a:schemeClr val="tx2">
                <a:lumMod val="20000"/>
                <a:lumOff val="80000"/>
              </a:schemeClr>
            </a:solidFill>
            <a:ln>
              <a:noFill/>
            </a:ln>
            <a:effectLst/>
          </c:spPr>
          <c:invertIfNegative val="0"/>
          <c:cat>
            <c:numRef>
              <c:f>'Results ReCiPe (H) - RD ship'!$AC$172:$BA$172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ship'!$AC$180:$BA$180</c:f>
              <c:numCache>
                <c:formatCode>0.00E+00</c:formatCode>
                <c:ptCount val="25"/>
              </c:numCache>
            </c:numRef>
          </c:val>
          <c:extLst>
            <c:ext xmlns:c16="http://schemas.microsoft.com/office/drawing/2014/chart" uri="{C3380CC4-5D6E-409C-BE32-E72D297353CC}">
              <c16:uniqueId val="{00000007-7DED-4FCA-B781-CEAD4110B016}"/>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RD ship'!$AB$181</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cat>
            <c:numRef>
              <c:f>'Results ReCiPe (H) - RD ship'!$AC$172:$BA$172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ship'!$AC$181:$BA$181</c:f>
              <c:numCache>
                <c:formatCode>0.00E+00</c:formatCode>
                <c:ptCount val="25"/>
                <c:pt idx="0">
                  <c:v>5319.0303616285937</c:v>
                </c:pt>
                <c:pt idx="1">
                  <c:v>2081.9178755579192</c:v>
                </c:pt>
                <c:pt idx="2">
                  <c:v>2066.7366215509783</c:v>
                </c:pt>
                <c:pt idx="3">
                  <c:v>2163.1963679400337</c:v>
                </c:pt>
                <c:pt idx="4">
                  <c:v>2031.9220927992039</c:v>
                </c:pt>
                <c:pt idx="5">
                  <c:v>2016.8053565750342</c:v>
                </c:pt>
                <c:pt idx="6">
                  <c:v>2128.3324691015519</c:v>
                </c:pt>
                <c:pt idx="7">
                  <c:v>2008.0754323729011</c:v>
                </c:pt>
                <c:pt idx="8">
                  <c:v>1999.736491546332</c:v>
                </c:pt>
                <c:pt idx="9">
                  <c:v>2110.6976970266624</c:v>
                </c:pt>
                <c:pt idx="10">
                  <c:v>1990.0829763315294</c:v>
                </c:pt>
                <c:pt idx="11">
                  <c:v>1977.2559219218283</c:v>
                </c:pt>
                <c:pt idx="12">
                  <c:v>2079.4306154600035</c:v>
                </c:pt>
                <c:pt idx="13">
                  <c:v>1950.0163692481203</c:v>
                </c:pt>
                <c:pt idx="14">
                  <c:v>1936.5349808288777</c:v>
                </c:pt>
                <c:pt idx="15">
                  <c:v>2037.0513222271018</c:v>
                </c:pt>
                <c:pt idx="16">
                  <c:v>1934.1756909625799</c:v>
                </c:pt>
                <c:pt idx="17">
                  <c:v>1945.305833760046</c:v>
                </c:pt>
                <c:pt idx="18">
                  <c:v>2068.7156859893903</c:v>
                </c:pt>
                <c:pt idx="19">
                  <c:v>1966.0456576212707</c:v>
                </c:pt>
                <c:pt idx="20">
                  <c:v>1976.5562552141935</c:v>
                </c:pt>
                <c:pt idx="21">
                  <c:v>2071.1615411931266</c:v>
                </c:pt>
                <c:pt idx="22">
                  <c:v>1940.0767543673892</c:v>
                </c:pt>
                <c:pt idx="23">
                  <c:v>1921.7740910069451</c:v>
                </c:pt>
                <c:pt idx="24">
                  <c:v>2059.1137462708566</c:v>
                </c:pt>
              </c:numCache>
            </c:numRef>
          </c:val>
          <c:smooth val="0"/>
          <c:extLst>
            <c:ext xmlns:c16="http://schemas.microsoft.com/office/drawing/2014/chart" uri="{C3380CC4-5D6E-409C-BE32-E72D297353CC}">
              <c16:uniqueId val="{00000008-7DED-4FCA-B781-CEAD4110B016}"/>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Resource damage</a:t>
                </a:r>
              </a:p>
              <a:p>
                <a:pPr algn="ctr" rtl="0">
                  <a:defRPr/>
                </a:pPr>
                <a:r>
                  <a:rPr lang="nl-NL"/>
                  <a:t>[USD2013/ton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RD ship'!$AB$214</c:f>
              <c:strCache>
                <c:ptCount val="1"/>
                <c:pt idx="0">
                  <c:v>Construction - DAC</c:v>
                </c:pt>
              </c:strCache>
            </c:strRef>
          </c:tx>
          <c:spPr>
            <a:solidFill>
              <a:schemeClr val="accent4">
                <a:lumMod val="75000"/>
              </a:schemeClr>
            </a:solidFill>
            <a:ln>
              <a:noFill/>
            </a:ln>
            <a:effectLst/>
          </c:spPr>
          <c:invertIfNegative val="0"/>
          <c:cat>
            <c:numRef>
              <c:f>'Results ReCiPe (H) - RD ship'!$AC$213:$BA$213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ship'!$AC$214:$BA$214</c:f>
              <c:numCache>
                <c:formatCode>0.00E+00</c:formatCode>
                <c:ptCount val="25"/>
                <c:pt idx="0">
                  <c:v>2681.9296561792253</c:v>
                </c:pt>
              </c:numCache>
            </c:numRef>
          </c:val>
          <c:extLst>
            <c:ext xmlns:c16="http://schemas.microsoft.com/office/drawing/2014/chart" uri="{C3380CC4-5D6E-409C-BE32-E72D297353CC}">
              <c16:uniqueId val="{00000000-BA1F-4742-B69E-4085C8E3C8CF}"/>
            </c:ext>
          </c:extLst>
        </c:ser>
        <c:ser>
          <c:idx val="1"/>
          <c:order val="1"/>
          <c:tx>
            <c:strRef>
              <c:f>'Results ReCiPe (H) - RD ship'!$AB$215</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(H) - RD ship'!$AC$213:$BA$213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ship'!$AC$215:$BA$215</c:f>
              <c:numCache>
                <c:formatCode>0.00E+00</c:formatCode>
                <c:ptCount val="25"/>
                <c:pt idx="0">
                  <c:v>258.88808240632699</c:v>
                </c:pt>
              </c:numCache>
            </c:numRef>
          </c:val>
          <c:extLst>
            <c:ext xmlns:c16="http://schemas.microsoft.com/office/drawing/2014/chart" uri="{C3380CC4-5D6E-409C-BE32-E72D297353CC}">
              <c16:uniqueId val="{00000001-BA1F-4742-B69E-4085C8E3C8CF}"/>
            </c:ext>
          </c:extLst>
        </c:ser>
        <c:ser>
          <c:idx val="2"/>
          <c:order val="2"/>
          <c:tx>
            <c:strRef>
              <c:f>'Results ReCiPe (H) - RD ship'!$AB$216</c:f>
              <c:strCache>
                <c:ptCount val="1"/>
                <c:pt idx="0">
                  <c:v>Deconstruction - DAC</c:v>
                </c:pt>
              </c:strCache>
            </c:strRef>
          </c:tx>
          <c:spPr>
            <a:solidFill>
              <a:schemeClr val="accent2">
                <a:lumMod val="40000"/>
                <a:lumOff val="60000"/>
              </a:schemeClr>
            </a:solidFill>
            <a:ln>
              <a:noFill/>
            </a:ln>
            <a:effectLst/>
          </c:spPr>
          <c:invertIfNegative val="0"/>
          <c:cat>
            <c:numRef>
              <c:f>'Results ReCiPe (H) - RD ship'!$AC$213:$BA$213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ship'!$AC$216:$BA$216</c:f>
              <c:numCache>
                <c:formatCode>0.00E+00</c:formatCode>
                <c:ptCount val="25"/>
                <c:pt idx="24">
                  <c:v>38.789621318581062</c:v>
                </c:pt>
              </c:numCache>
            </c:numRef>
          </c:val>
          <c:extLst>
            <c:ext xmlns:c16="http://schemas.microsoft.com/office/drawing/2014/chart" uri="{C3380CC4-5D6E-409C-BE32-E72D297353CC}">
              <c16:uniqueId val="{00000002-BA1F-4742-B69E-4085C8E3C8CF}"/>
            </c:ext>
          </c:extLst>
        </c:ser>
        <c:ser>
          <c:idx val="3"/>
          <c:order val="3"/>
          <c:tx>
            <c:strRef>
              <c:f>'Results ReCiPe (H) - RD ship'!$AB$217</c:f>
              <c:strCache>
                <c:ptCount val="1"/>
                <c:pt idx="0">
                  <c:v>Deconstruction - geological storage</c:v>
                </c:pt>
              </c:strCache>
            </c:strRef>
          </c:tx>
          <c:spPr>
            <a:solidFill>
              <a:srgbClr val="FF9900"/>
            </a:solidFill>
            <a:ln>
              <a:noFill/>
            </a:ln>
            <a:effectLst/>
          </c:spPr>
          <c:invertIfNegative val="0"/>
          <c:cat>
            <c:numRef>
              <c:f>'Results ReCiPe (H) - RD ship'!$AC$213:$BA$213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ship'!$AC$217:$BA$217</c:f>
              <c:numCache>
                <c:formatCode>0.00E+00</c:formatCode>
                <c:ptCount val="25"/>
                <c:pt idx="24">
                  <c:v>1.2288061080708204</c:v>
                </c:pt>
              </c:numCache>
            </c:numRef>
          </c:val>
          <c:extLst>
            <c:ext xmlns:c16="http://schemas.microsoft.com/office/drawing/2014/chart" uri="{C3380CC4-5D6E-409C-BE32-E72D297353CC}">
              <c16:uniqueId val="{00000003-BA1F-4742-B69E-4085C8E3C8CF}"/>
            </c:ext>
          </c:extLst>
        </c:ser>
        <c:ser>
          <c:idx val="4"/>
          <c:order val="4"/>
          <c:tx>
            <c:strRef>
              <c:f>'Results ReCiPe (H) - RD ship'!$AB$218</c:f>
              <c:strCache>
                <c:ptCount val="1"/>
                <c:pt idx="0">
                  <c:v>Sorbent material</c:v>
                </c:pt>
              </c:strCache>
            </c:strRef>
          </c:tx>
          <c:spPr>
            <a:solidFill>
              <a:srgbClr val="FF9900"/>
            </a:solidFill>
            <a:ln>
              <a:noFill/>
            </a:ln>
            <a:effectLst/>
          </c:spPr>
          <c:invertIfNegative val="0"/>
          <c:cat>
            <c:numRef>
              <c:f>'Results ReCiPe (H) - RD ship'!$AC$213:$BA$213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ship'!$AC$218:$BA$218</c:f>
              <c:numCache>
                <c:formatCode>0.00E+00</c:formatCode>
                <c:ptCount val="25"/>
                <c:pt idx="0">
                  <c:v>114.06781731957111</c:v>
                </c:pt>
                <c:pt idx="3">
                  <c:v>112.3911675049322</c:v>
                </c:pt>
                <c:pt idx="6">
                  <c:v>112.2010947204887</c:v>
                </c:pt>
                <c:pt idx="9">
                  <c:v>113.21958271568749</c:v>
                </c:pt>
                <c:pt idx="12">
                  <c:v>113.61473943331841</c:v>
                </c:pt>
                <c:pt idx="15">
                  <c:v>113.3787859326078</c:v>
                </c:pt>
                <c:pt idx="18">
                  <c:v>112.2791950057142</c:v>
                </c:pt>
                <c:pt idx="21">
                  <c:v>111.5739444092645</c:v>
                </c:pt>
                <c:pt idx="24">
                  <c:v>111.3824079888096</c:v>
                </c:pt>
              </c:numCache>
            </c:numRef>
          </c:val>
          <c:extLst>
            <c:ext xmlns:c16="http://schemas.microsoft.com/office/drawing/2014/chart" uri="{C3380CC4-5D6E-409C-BE32-E72D297353CC}">
              <c16:uniqueId val="{00000004-BA1F-4742-B69E-4085C8E3C8CF}"/>
            </c:ext>
          </c:extLst>
        </c:ser>
        <c:ser>
          <c:idx val="5"/>
          <c:order val="5"/>
          <c:tx>
            <c:strRef>
              <c:f>'Results ReCiPe (H) - RD ship'!$AB$219</c:f>
              <c:strCache>
                <c:ptCount val="1"/>
                <c:pt idx="0">
                  <c:v>Operation - DAC</c:v>
                </c:pt>
              </c:strCache>
            </c:strRef>
          </c:tx>
          <c:spPr>
            <a:solidFill>
              <a:schemeClr val="accent2">
                <a:lumMod val="75000"/>
              </a:schemeClr>
            </a:solidFill>
            <a:ln>
              <a:noFill/>
            </a:ln>
            <a:effectLst/>
          </c:spPr>
          <c:invertIfNegative val="0"/>
          <c:cat>
            <c:numRef>
              <c:f>'Results ReCiPe (H) - RD ship'!$AC$213:$BA$213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ship'!$AC$219:$BA$219</c:f>
              <c:numCache>
                <c:formatCode>0.00E+00</c:formatCode>
                <c:ptCount val="25"/>
                <c:pt idx="0">
                  <c:v>1175.8452241785824</c:v>
                </c:pt>
                <c:pt idx="1">
                  <c:v>1087.0891072007541</c:v>
                </c:pt>
                <c:pt idx="2">
                  <c:v>997.62082450104299</c:v>
                </c:pt>
                <c:pt idx="3">
                  <c:v>902.77080385259717</c:v>
                </c:pt>
                <c:pt idx="4">
                  <c:v>811.69338552061743</c:v>
                </c:pt>
                <c:pt idx="5">
                  <c:v>719.90952411155206</c:v>
                </c:pt>
                <c:pt idx="6">
                  <c:v>830.5494196246367</c:v>
                </c:pt>
                <c:pt idx="7">
                  <c:v>940.90859230346416</c:v>
                </c:pt>
                <c:pt idx="8">
                  <c:v>1046.4356996736349</c:v>
                </c:pt>
                <c:pt idx="9">
                  <c:v>1156.0917592662138</c:v>
                </c:pt>
                <c:pt idx="10">
                  <c:v>1265.4894480400476</c:v>
                </c:pt>
                <c:pt idx="11">
                  <c:v>1401.5236823982696</c:v>
                </c:pt>
                <c:pt idx="12">
                  <c:v>1537.1204937656278</c:v>
                </c:pt>
                <c:pt idx="13">
                  <c:v>1671.2453102185493</c:v>
                </c:pt>
                <c:pt idx="14">
                  <c:v>1805.9907176359361</c:v>
                </c:pt>
                <c:pt idx="15">
                  <c:v>1940.2936655372544</c:v>
                </c:pt>
                <c:pt idx="16">
                  <c:v>1891.2598128052794</c:v>
                </c:pt>
                <c:pt idx="17">
                  <c:v>1842.4822013892767</c:v>
                </c:pt>
                <c:pt idx="18">
                  <c:v>1793.0190339898018</c:v>
                </c:pt>
                <c:pt idx="19">
                  <c:v>1744.7644437652114</c:v>
                </c:pt>
                <c:pt idx="20">
                  <c:v>1696.7334797357501</c:v>
                </c:pt>
                <c:pt idx="21">
                  <c:v>1697.2356339225128</c:v>
                </c:pt>
                <c:pt idx="22">
                  <c:v>1697.7935834059967</c:v>
                </c:pt>
                <c:pt idx="23">
                  <c:v>1698.3396815294088</c:v>
                </c:pt>
                <c:pt idx="24">
                  <c:v>1698.8725316497232</c:v>
                </c:pt>
              </c:numCache>
            </c:numRef>
          </c:val>
          <c:extLst>
            <c:ext xmlns:c16="http://schemas.microsoft.com/office/drawing/2014/chart" uri="{C3380CC4-5D6E-409C-BE32-E72D297353CC}">
              <c16:uniqueId val="{00000005-BA1F-4742-B69E-4085C8E3C8CF}"/>
            </c:ext>
          </c:extLst>
        </c:ser>
        <c:ser>
          <c:idx val="6"/>
          <c:order val="6"/>
          <c:tx>
            <c:strRef>
              <c:f>'Results ReCiPe (H) - RD ship'!$AB$220</c:f>
              <c:strCache>
                <c:ptCount val="1"/>
                <c:pt idx="0">
                  <c:v>Operation - geological storage</c:v>
                </c:pt>
              </c:strCache>
            </c:strRef>
          </c:tx>
          <c:spPr>
            <a:solidFill>
              <a:schemeClr val="accent2">
                <a:lumMod val="50000"/>
              </a:schemeClr>
            </a:solidFill>
            <a:ln>
              <a:noFill/>
            </a:ln>
            <a:effectLst/>
          </c:spPr>
          <c:invertIfNegative val="0"/>
          <c:cat>
            <c:numRef>
              <c:f>'Results ReCiPe (H) - RD ship'!$AC$213:$BA$213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ship'!$AC$220:$BA$220</c:f>
              <c:numCache>
                <c:formatCode>0.00E+00</c:formatCode>
                <c:ptCount val="25"/>
                <c:pt idx="0">
                  <c:v>128.68401908039701</c:v>
                </c:pt>
                <c:pt idx="1">
                  <c:v>119.5221661741754</c:v>
                </c:pt>
                <c:pt idx="2">
                  <c:v>110.35343288106161</c:v>
                </c:pt>
                <c:pt idx="3">
                  <c:v>100.7215182281773</c:v>
                </c:pt>
                <c:pt idx="4">
                  <c:v>91.524926758190233</c:v>
                </c:pt>
                <c:pt idx="5">
                  <c:v>82.32383877996152</c:v>
                </c:pt>
                <c:pt idx="6">
                  <c:v>93.038612238311615</c:v>
                </c:pt>
                <c:pt idx="7">
                  <c:v>103.67938855423571</c:v>
                </c:pt>
                <c:pt idx="8">
                  <c:v>113.8024674145238</c:v>
                </c:pt>
                <c:pt idx="9">
                  <c:v>124.2828023219223</c:v>
                </c:pt>
                <c:pt idx="10">
                  <c:v>134.6917389739364</c:v>
                </c:pt>
                <c:pt idx="11">
                  <c:v>147.88730688274839</c:v>
                </c:pt>
                <c:pt idx="12">
                  <c:v>161.0628829723077</c:v>
                </c:pt>
                <c:pt idx="13">
                  <c:v>174.1174858065788</c:v>
                </c:pt>
                <c:pt idx="14">
                  <c:v>187.25531929984768</c:v>
                </c:pt>
                <c:pt idx="15">
                  <c:v>200.37255741549239</c:v>
                </c:pt>
                <c:pt idx="16">
                  <c:v>196.32347547824619</c:v>
                </c:pt>
                <c:pt idx="17">
                  <c:v>192.25719066101561</c:v>
                </c:pt>
                <c:pt idx="18">
                  <c:v>188.08141295488582</c:v>
                </c:pt>
                <c:pt idx="19">
                  <c:v>183.98266935640538</c:v>
                </c:pt>
                <c:pt idx="20">
                  <c:v>179.86585576332291</c:v>
                </c:pt>
                <c:pt idx="21">
                  <c:v>179.70009713751529</c:v>
                </c:pt>
                <c:pt idx="22">
                  <c:v>179.54299604813738</c:v>
                </c:pt>
                <c:pt idx="23">
                  <c:v>179.3844806004744</c:v>
                </c:pt>
                <c:pt idx="24">
                  <c:v>179.22434128810602</c:v>
                </c:pt>
              </c:numCache>
            </c:numRef>
          </c:val>
          <c:extLst>
            <c:ext xmlns:c16="http://schemas.microsoft.com/office/drawing/2014/chart" uri="{C3380CC4-5D6E-409C-BE32-E72D297353CC}">
              <c16:uniqueId val="{00000006-BA1F-4742-B69E-4085C8E3C8CF}"/>
            </c:ext>
          </c:extLst>
        </c:ser>
        <c:ser>
          <c:idx val="7"/>
          <c:order val="7"/>
          <c:tx>
            <c:strRef>
              <c:f>'Results ReCiPe (H) - RD ship'!$AB$221</c:f>
              <c:strCache>
                <c:ptCount val="1"/>
                <c:pt idx="0">
                  <c:v>CO2 captured and stored</c:v>
                </c:pt>
              </c:strCache>
            </c:strRef>
          </c:tx>
          <c:spPr>
            <a:solidFill>
              <a:schemeClr val="tx2">
                <a:lumMod val="20000"/>
                <a:lumOff val="80000"/>
              </a:schemeClr>
            </a:solidFill>
            <a:ln>
              <a:noFill/>
            </a:ln>
            <a:effectLst/>
          </c:spPr>
          <c:invertIfNegative val="0"/>
          <c:cat>
            <c:numRef>
              <c:f>'Results ReCiPe (H) - RD ship'!$AC$213:$BA$213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ship'!$AC$221:$BA$221</c:f>
              <c:numCache>
                <c:formatCode>0.00E+00</c:formatCode>
                <c:ptCount val="25"/>
              </c:numCache>
            </c:numRef>
          </c:val>
          <c:extLst>
            <c:ext xmlns:c16="http://schemas.microsoft.com/office/drawing/2014/chart" uri="{C3380CC4-5D6E-409C-BE32-E72D297353CC}">
              <c16:uniqueId val="{00000007-BA1F-4742-B69E-4085C8E3C8CF}"/>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RD ship'!$AB$222</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cat>
            <c:numRef>
              <c:f>'Results ReCiPe (H) - RD ship'!$AC$213:$BA$213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ship'!$AC$222:$BA$222</c:f>
              <c:numCache>
                <c:formatCode>0.00E+00</c:formatCode>
                <c:ptCount val="25"/>
                <c:pt idx="0">
                  <c:v>4359.414799164103</c:v>
                </c:pt>
                <c:pt idx="1">
                  <c:v>1206.6112733749296</c:v>
                </c:pt>
                <c:pt idx="2">
                  <c:v>1107.9742573821045</c:v>
                </c:pt>
                <c:pt idx="3">
                  <c:v>1115.8834895857067</c:v>
                </c:pt>
                <c:pt idx="4">
                  <c:v>903.21831227880762</c:v>
                </c:pt>
                <c:pt idx="5">
                  <c:v>802.23336289151359</c:v>
                </c:pt>
                <c:pt idx="6">
                  <c:v>1035.7891265834369</c:v>
                </c:pt>
                <c:pt idx="7">
                  <c:v>1044.5879808576999</c:v>
                </c:pt>
                <c:pt idx="8">
                  <c:v>1160.2381670881587</c:v>
                </c:pt>
                <c:pt idx="9">
                  <c:v>1393.5941443038237</c:v>
                </c:pt>
                <c:pt idx="10">
                  <c:v>1400.1811870139841</c:v>
                </c:pt>
                <c:pt idx="11">
                  <c:v>1549.4109892810179</c:v>
                </c:pt>
                <c:pt idx="12">
                  <c:v>1811.7981161712539</c:v>
                </c:pt>
                <c:pt idx="13">
                  <c:v>1845.3627960251281</c:v>
                </c:pt>
                <c:pt idx="14">
                  <c:v>1993.2460369357839</c:v>
                </c:pt>
                <c:pt idx="15">
                  <c:v>2254.0450088853545</c:v>
                </c:pt>
                <c:pt idx="16">
                  <c:v>2087.5832882835257</c:v>
                </c:pt>
                <c:pt idx="17">
                  <c:v>2034.7393920502923</c:v>
                </c:pt>
                <c:pt idx="18">
                  <c:v>2093.3796419504019</c:v>
                </c:pt>
                <c:pt idx="19">
                  <c:v>1928.7471131216166</c:v>
                </c:pt>
                <c:pt idx="20">
                  <c:v>1876.599335499073</c:v>
                </c:pt>
                <c:pt idx="21">
                  <c:v>1988.5096754692925</c:v>
                </c:pt>
                <c:pt idx="22">
                  <c:v>1877.3365794541342</c:v>
                </c:pt>
                <c:pt idx="23">
                  <c:v>1877.7241621298833</c:v>
                </c:pt>
                <c:pt idx="24">
                  <c:v>2029.4977083532906</c:v>
                </c:pt>
              </c:numCache>
            </c:numRef>
          </c:val>
          <c:smooth val="0"/>
          <c:extLst>
            <c:ext xmlns:c16="http://schemas.microsoft.com/office/drawing/2014/chart" uri="{C3380CC4-5D6E-409C-BE32-E72D297353CC}">
              <c16:uniqueId val="{00000008-BA1F-4742-B69E-4085C8E3C8CF}"/>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Resource damage </a:t>
                </a:r>
              </a:p>
              <a:p>
                <a:pPr algn="ctr" rtl="0">
                  <a:defRPr/>
                </a:pPr>
                <a:r>
                  <a:rPr lang="nl-NL"/>
                  <a:t>[USD2013/ton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26879729621161"/>
          <c:y val="5.4106329588493672E-2"/>
          <c:w val="0.87797394606685986"/>
          <c:h val="0.75500483548693564"/>
        </c:manualLayout>
      </c:layout>
      <c:barChart>
        <c:barDir val="col"/>
        <c:grouping val="stacked"/>
        <c:varyColors val="0"/>
        <c:ser>
          <c:idx val="0"/>
          <c:order val="0"/>
          <c:tx>
            <c:strRef>
              <c:f>'Results ReCiPe (H) - RD ship'!$AB$274</c:f>
              <c:strCache>
                <c:ptCount val="1"/>
                <c:pt idx="0">
                  <c:v>Construction - DAC</c:v>
                </c:pt>
              </c:strCache>
            </c:strRef>
          </c:tx>
          <c:spPr>
            <a:solidFill>
              <a:schemeClr val="accent4">
                <a:lumMod val="75000"/>
              </a:schemeClr>
            </a:solidFill>
            <a:ln>
              <a:noFill/>
            </a:ln>
            <a:effectLst/>
          </c:spPr>
          <c:invertIfNegative val="0"/>
          <c:cat>
            <c:numRef>
              <c:f>'Results ReCiPe (H) - RD ship'!$AC$273:$BA$273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ship'!$AC$274:$BA$274</c:f>
              <c:numCache>
                <c:formatCode>0.00E+00</c:formatCode>
                <c:ptCount val="25"/>
                <c:pt idx="0">
                  <c:v>2845.7346061175544</c:v>
                </c:pt>
              </c:numCache>
            </c:numRef>
          </c:val>
          <c:extLst>
            <c:ext xmlns:c16="http://schemas.microsoft.com/office/drawing/2014/chart" uri="{C3380CC4-5D6E-409C-BE32-E72D297353CC}">
              <c16:uniqueId val="{00000000-B7B2-42DC-8AAA-979B25173567}"/>
            </c:ext>
          </c:extLst>
        </c:ser>
        <c:ser>
          <c:idx val="1"/>
          <c:order val="1"/>
          <c:tx>
            <c:strRef>
              <c:f>'Results ReCiPe (H) - RD ship'!$AB$275</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(H) - RD ship'!$AC$273:$BA$273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ship'!$AC$275:$BA$275</c:f>
              <c:numCache>
                <c:formatCode>0.00E+00</c:formatCode>
                <c:ptCount val="25"/>
                <c:pt idx="0">
                  <c:v>134.83838270239062</c:v>
                </c:pt>
              </c:numCache>
            </c:numRef>
          </c:val>
          <c:extLst>
            <c:ext xmlns:c16="http://schemas.microsoft.com/office/drawing/2014/chart" uri="{C3380CC4-5D6E-409C-BE32-E72D297353CC}">
              <c16:uniqueId val="{00000001-B7B2-42DC-8AAA-979B25173567}"/>
            </c:ext>
          </c:extLst>
        </c:ser>
        <c:ser>
          <c:idx val="2"/>
          <c:order val="2"/>
          <c:tx>
            <c:strRef>
              <c:f>'Results ReCiPe (H) - RD ship'!$AB$276</c:f>
              <c:strCache>
                <c:ptCount val="1"/>
                <c:pt idx="0">
                  <c:v>Deconstruction - DAC</c:v>
                </c:pt>
              </c:strCache>
            </c:strRef>
          </c:tx>
          <c:spPr>
            <a:solidFill>
              <a:schemeClr val="accent2">
                <a:lumMod val="40000"/>
                <a:lumOff val="60000"/>
              </a:schemeClr>
            </a:solidFill>
            <a:ln>
              <a:noFill/>
            </a:ln>
            <a:effectLst/>
          </c:spPr>
          <c:invertIfNegative val="0"/>
          <c:cat>
            <c:numRef>
              <c:f>'Results ReCiPe (H) - RD ship'!$AC$273:$BA$273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ship'!$AC$276:$BA$276</c:f>
              <c:numCache>
                <c:formatCode>0.00E+00</c:formatCode>
                <c:ptCount val="25"/>
                <c:pt idx="24">
                  <c:v>45.635874346592793</c:v>
                </c:pt>
              </c:numCache>
            </c:numRef>
          </c:val>
          <c:extLst>
            <c:ext xmlns:c16="http://schemas.microsoft.com/office/drawing/2014/chart" uri="{C3380CC4-5D6E-409C-BE32-E72D297353CC}">
              <c16:uniqueId val="{00000002-B7B2-42DC-8AAA-979B25173567}"/>
            </c:ext>
          </c:extLst>
        </c:ser>
        <c:ser>
          <c:idx val="3"/>
          <c:order val="3"/>
          <c:tx>
            <c:strRef>
              <c:f>'Results ReCiPe (H) - RD ship'!$AB$277</c:f>
              <c:strCache>
                <c:ptCount val="1"/>
                <c:pt idx="0">
                  <c:v>Deconstruction - geological storage</c:v>
                </c:pt>
              </c:strCache>
            </c:strRef>
          </c:tx>
          <c:spPr>
            <a:solidFill>
              <a:srgbClr val="FF9900"/>
            </a:solidFill>
            <a:ln>
              <a:noFill/>
            </a:ln>
            <a:effectLst/>
          </c:spPr>
          <c:invertIfNegative val="0"/>
          <c:cat>
            <c:numRef>
              <c:f>'Results ReCiPe (H) - RD ship'!$AC$273:$BA$273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ship'!$AC$277:$BA$277</c:f>
              <c:numCache>
                <c:formatCode>0.00E+00</c:formatCode>
                <c:ptCount val="25"/>
                <c:pt idx="24">
                  <c:v>2.6853148874369804E-4</c:v>
                </c:pt>
              </c:numCache>
            </c:numRef>
          </c:val>
          <c:extLst>
            <c:ext xmlns:c16="http://schemas.microsoft.com/office/drawing/2014/chart" uri="{C3380CC4-5D6E-409C-BE32-E72D297353CC}">
              <c16:uniqueId val="{00000003-B7B2-42DC-8AAA-979B25173567}"/>
            </c:ext>
          </c:extLst>
        </c:ser>
        <c:ser>
          <c:idx val="4"/>
          <c:order val="4"/>
          <c:tx>
            <c:strRef>
              <c:f>'Results ReCiPe (H) - RD ship'!$AB$278</c:f>
              <c:strCache>
                <c:ptCount val="1"/>
                <c:pt idx="0">
                  <c:v>Sorbent material</c:v>
                </c:pt>
              </c:strCache>
            </c:strRef>
          </c:tx>
          <c:spPr>
            <a:solidFill>
              <a:srgbClr val="FF8F8F"/>
            </a:solidFill>
            <a:ln>
              <a:noFill/>
            </a:ln>
            <a:effectLst/>
          </c:spPr>
          <c:invertIfNegative val="0"/>
          <c:cat>
            <c:numRef>
              <c:f>'Results ReCiPe (H) - RD ship'!$AC$273:$BA$273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ship'!$AC$278:$BA$278</c:f>
              <c:numCache>
                <c:formatCode>0.00E+00</c:formatCode>
                <c:ptCount val="25"/>
                <c:pt idx="0">
                  <c:v>118.1930543229993</c:v>
                </c:pt>
                <c:pt idx="3">
                  <c:v>117.3708968791351</c:v>
                </c:pt>
                <c:pt idx="6">
                  <c:v>117.2479070799383</c:v>
                </c:pt>
                <c:pt idx="9">
                  <c:v>116.65080958776529</c:v>
                </c:pt>
                <c:pt idx="12">
                  <c:v>116.5694194979278</c:v>
                </c:pt>
                <c:pt idx="15">
                  <c:v>116.3562974875733</c:v>
                </c:pt>
                <c:pt idx="18">
                  <c:v>116.0610845903859</c:v>
                </c:pt>
                <c:pt idx="21">
                  <c:v>115.9379738654637</c:v>
                </c:pt>
                <c:pt idx="24">
                  <c:v>115.8757111011497</c:v>
                </c:pt>
              </c:numCache>
            </c:numRef>
          </c:val>
          <c:extLst>
            <c:ext xmlns:c16="http://schemas.microsoft.com/office/drawing/2014/chart" uri="{C3380CC4-5D6E-409C-BE32-E72D297353CC}">
              <c16:uniqueId val="{00000004-B7B2-42DC-8AAA-979B25173567}"/>
            </c:ext>
          </c:extLst>
        </c:ser>
        <c:ser>
          <c:idx val="5"/>
          <c:order val="5"/>
          <c:tx>
            <c:strRef>
              <c:f>'Results ReCiPe (H) - RD ship'!$AB$279</c:f>
              <c:strCache>
                <c:ptCount val="1"/>
                <c:pt idx="0">
                  <c:v>Battery</c:v>
                </c:pt>
              </c:strCache>
            </c:strRef>
          </c:tx>
          <c:spPr>
            <a:solidFill>
              <a:schemeClr val="accent6">
                <a:lumMod val="50000"/>
              </a:schemeClr>
            </a:solidFill>
            <a:ln>
              <a:noFill/>
            </a:ln>
            <a:effectLst/>
          </c:spPr>
          <c:invertIfNegative val="0"/>
          <c:cat>
            <c:numRef>
              <c:f>'Results ReCiPe (H) - RD ship'!$AC$273:$BA$273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ship'!$AC$279:$BA$279</c:f>
              <c:numCache>
                <c:formatCode>0.00E+00</c:formatCode>
                <c:ptCount val="25"/>
                <c:pt idx="0">
                  <c:v>426.28778307629489</c:v>
                </c:pt>
                <c:pt idx="1">
                  <c:v>426.28778307629489</c:v>
                </c:pt>
                <c:pt idx="2">
                  <c:v>426.28778307629489</c:v>
                </c:pt>
                <c:pt idx="3">
                  <c:v>426.28778307629489</c:v>
                </c:pt>
                <c:pt idx="4">
                  <c:v>426.28778307629489</c:v>
                </c:pt>
                <c:pt idx="5">
                  <c:v>426.28778307629489</c:v>
                </c:pt>
                <c:pt idx="6">
                  <c:v>426.28778307629489</c:v>
                </c:pt>
                <c:pt idx="7">
                  <c:v>426.28778307629489</c:v>
                </c:pt>
                <c:pt idx="8">
                  <c:v>426.28778307629489</c:v>
                </c:pt>
                <c:pt idx="9">
                  <c:v>426.28778307629489</c:v>
                </c:pt>
                <c:pt idx="10">
                  <c:v>426.28778307629489</c:v>
                </c:pt>
                <c:pt idx="11">
                  <c:v>426.28778307629489</c:v>
                </c:pt>
                <c:pt idx="12">
                  <c:v>426.28778307629489</c:v>
                </c:pt>
                <c:pt idx="13">
                  <c:v>426.28778307629489</c:v>
                </c:pt>
                <c:pt idx="14">
                  <c:v>426.28778307629489</c:v>
                </c:pt>
                <c:pt idx="15">
                  <c:v>426.28778307629489</c:v>
                </c:pt>
                <c:pt idx="16">
                  <c:v>426.28778307629489</c:v>
                </c:pt>
                <c:pt idx="17">
                  <c:v>426.28778307629489</c:v>
                </c:pt>
                <c:pt idx="18">
                  <c:v>426.28778307629489</c:v>
                </c:pt>
                <c:pt idx="19">
                  <c:v>426.28778307629489</c:v>
                </c:pt>
                <c:pt idx="20">
                  <c:v>426.28778307629489</c:v>
                </c:pt>
                <c:pt idx="21">
                  <c:v>426.28778307629489</c:v>
                </c:pt>
                <c:pt idx="22">
                  <c:v>426.28778307629489</c:v>
                </c:pt>
                <c:pt idx="23">
                  <c:v>426.28778307629489</c:v>
                </c:pt>
                <c:pt idx="24">
                  <c:v>426.28778307629489</c:v>
                </c:pt>
              </c:numCache>
            </c:numRef>
          </c:val>
          <c:extLst>
            <c:ext xmlns:c16="http://schemas.microsoft.com/office/drawing/2014/chart" uri="{C3380CC4-5D6E-409C-BE32-E72D297353CC}">
              <c16:uniqueId val="{00000005-B7B2-42DC-8AAA-979B25173567}"/>
            </c:ext>
          </c:extLst>
        </c:ser>
        <c:ser>
          <c:idx val="6"/>
          <c:order val="6"/>
          <c:tx>
            <c:strRef>
              <c:f>'Results ReCiPe (H) - RD ship'!$AB$280</c:f>
              <c:strCache>
                <c:ptCount val="1"/>
                <c:pt idx="0">
                  <c:v>Operation - DAC</c:v>
                </c:pt>
              </c:strCache>
            </c:strRef>
          </c:tx>
          <c:spPr>
            <a:solidFill>
              <a:schemeClr val="accent2">
                <a:lumMod val="75000"/>
              </a:schemeClr>
            </a:solidFill>
            <a:ln>
              <a:noFill/>
            </a:ln>
            <a:effectLst/>
          </c:spPr>
          <c:invertIfNegative val="0"/>
          <c:cat>
            <c:numRef>
              <c:f>'Results ReCiPe (H) - RD ship'!$AC$273:$BA$273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ship'!$AC$280:$BA$280</c:f>
              <c:numCache>
                <c:formatCode>0.00E+00</c:formatCode>
                <c:ptCount val="25"/>
                <c:pt idx="0">
                  <c:v>355.06709500227214</c:v>
                </c:pt>
                <c:pt idx="1">
                  <c:v>354.19660016448358</c:v>
                </c:pt>
                <c:pt idx="2">
                  <c:v>353.34419684002478</c:v>
                </c:pt>
                <c:pt idx="3">
                  <c:v>349.0528051523429</c:v>
                </c:pt>
                <c:pt idx="4">
                  <c:v>348.24279769795908</c:v>
                </c:pt>
                <c:pt idx="5">
                  <c:v>347.44487151081171</c:v>
                </c:pt>
                <c:pt idx="6">
                  <c:v>346.58675503038023</c:v>
                </c:pt>
                <c:pt idx="7">
                  <c:v>345.75691753661886</c:v>
                </c:pt>
                <c:pt idx="8">
                  <c:v>342.55486383826599</c:v>
                </c:pt>
                <c:pt idx="9">
                  <c:v>341.79004706784241</c:v>
                </c:pt>
                <c:pt idx="10">
                  <c:v>341.04628736630411</c:v>
                </c:pt>
                <c:pt idx="11">
                  <c:v>340.52055802487507</c:v>
                </c:pt>
                <c:pt idx="12">
                  <c:v>340.01830292474386</c:v>
                </c:pt>
                <c:pt idx="13">
                  <c:v>338.85271620991568</c:v>
                </c:pt>
                <c:pt idx="14">
                  <c:v>338.39703159987977</c:v>
                </c:pt>
                <c:pt idx="15">
                  <c:v>337.97210643680307</c:v>
                </c:pt>
                <c:pt idx="16">
                  <c:v>337.57355636967867</c:v>
                </c:pt>
                <c:pt idx="17">
                  <c:v>337.17758756895904</c:v>
                </c:pt>
                <c:pt idx="18">
                  <c:v>336.12211547093705</c:v>
                </c:pt>
                <c:pt idx="19">
                  <c:v>335.7375865267951</c:v>
                </c:pt>
                <c:pt idx="20">
                  <c:v>335.35481622262466</c:v>
                </c:pt>
                <c:pt idx="21">
                  <c:v>335.15939462535141</c:v>
                </c:pt>
                <c:pt idx="22">
                  <c:v>334.97033942590645</c:v>
                </c:pt>
                <c:pt idx="23">
                  <c:v>334.78715509001483</c:v>
                </c:pt>
                <c:pt idx="24">
                  <c:v>334.60963094972175</c:v>
                </c:pt>
              </c:numCache>
            </c:numRef>
          </c:val>
          <c:extLst>
            <c:ext xmlns:c16="http://schemas.microsoft.com/office/drawing/2014/chart" uri="{C3380CC4-5D6E-409C-BE32-E72D297353CC}">
              <c16:uniqueId val="{00000006-B7B2-42DC-8AAA-979B25173567}"/>
            </c:ext>
          </c:extLst>
        </c:ser>
        <c:ser>
          <c:idx val="7"/>
          <c:order val="7"/>
          <c:tx>
            <c:strRef>
              <c:f>'Results ReCiPe (H) - RD ship'!$AB$281</c:f>
              <c:strCache>
                <c:ptCount val="1"/>
                <c:pt idx="0">
                  <c:v>Operation - geological storage</c:v>
                </c:pt>
              </c:strCache>
            </c:strRef>
          </c:tx>
          <c:spPr>
            <a:solidFill>
              <a:schemeClr val="accent2">
                <a:lumMod val="50000"/>
              </a:schemeClr>
            </a:solidFill>
            <a:ln>
              <a:noFill/>
            </a:ln>
            <a:effectLst/>
          </c:spPr>
          <c:invertIfNegative val="0"/>
          <c:cat>
            <c:numRef>
              <c:f>'Results ReCiPe (H) - RD ship'!$AC$273:$BA$273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ship'!$AC$281:$BA$281</c:f>
              <c:numCache>
                <c:formatCode>0.00E+00</c:formatCode>
                <c:ptCount val="25"/>
                <c:pt idx="0">
                  <c:v>97.880861275234253</c:v>
                </c:pt>
                <c:pt idx="1">
                  <c:v>98.150742946769057</c:v>
                </c:pt>
                <c:pt idx="2">
                  <c:v>98.42243784989509</c:v>
                </c:pt>
                <c:pt idx="3">
                  <c:v>98.505541749182541</c:v>
                </c:pt>
                <c:pt idx="4">
                  <c:v>98.783186073187196</c:v>
                </c:pt>
                <c:pt idx="5">
                  <c:v>99.062425255652798</c:v>
                </c:pt>
                <c:pt idx="6">
                  <c:v>100.5168163559448</c:v>
                </c:pt>
                <c:pt idx="7">
                  <c:v>101.96466351676325</c:v>
                </c:pt>
                <c:pt idx="8">
                  <c:v>103.2658210729651</c:v>
                </c:pt>
                <c:pt idx="9">
                  <c:v>104.70644432449181</c:v>
                </c:pt>
                <c:pt idx="10">
                  <c:v>106.1414236266</c:v>
                </c:pt>
                <c:pt idx="11">
                  <c:v>106.22725146122349</c:v>
                </c:pt>
                <c:pt idx="12">
                  <c:v>106.30817512523925</c:v>
                </c:pt>
                <c:pt idx="13">
                  <c:v>106.35062935778686</c:v>
                </c:pt>
                <c:pt idx="14">
                  <c:v>106.42150984958285</c:v>
                </c:pt>
                <c:pt idx="15">
                  <c:v>106.4868604694927</c:v>
                </c:pt>
                <c:pt idx="16">
                  <c:v>109.94668087736966</c:v>
                </c:pt>
                <c:pt idx="17">
                  <c:v>113.4013059462351</c:v>
                </c:pt>
                <c:pt idx="18">
                  <c:v>116.82152684181111</c:v>
                </c:pt>
                <c:pt idx="19">
                  <c:v>120.26811702612621</c:v>
                </c:pt>
                <c:pt idx="20">
                  <c:v>123.71093684804686</c:v>
                </c:pt>
                <c:pt idx="21">
                  <c:v>124.22875935854496</c:v>
                </c:pt>
                <c:pt idx="22">
                  <c:v>124.75263575082106</c:v>
                </c:pt>
                <c:pt idx="23">
                  <c:v>125.27838676617795</c:v>
                </c:pt>
                <c:pt idx="24">
                  <c:v>125.80591084997694</c:v>
                </c:pt>
              </c:numCache>
            </c:numRef>
          </c:val>
          <c:extLst>
            <c:ext xmlns:c16="http://schemas.microsoft.com/office/drawing/2014/chart" uri="{C3380CC4-5D6E-409C-BE32-E72D297353CC}">
              <c16:uniqueId val="{00000007-B7B2-42DC-8AAA-979B25173567}"/>
            </c:ext>
          </c:extLst>
        </c:ser>
        <c:ser>
          <c:idx val="8"/>
          <c:order val="8"/>
          <c:tx>
            <c:strRef>
              <c:f>'Results ReCiPe (H) - RD ship'!$AB$282</c:f>
              <c:strCache>
                <c:ptCount val="1"/>
                <c:pt idx="0">
                  <c:v>CO2 captured and stored</c:v>
                </c:pt>
              </c:strCache>
            </c:strRef>
          </c:tx>
          <c:spPr>
            <a:solidFill>
              <a:schemeClr val="tx2">
                <a:lumMod val="20000"/>
                <a:lumOff val="80000"/>
              </a:schemeClr>
            </a:solidFill>
            <a:ln>
              <a:noFill/>
            </a:ln>
            <a:effectLst/>
          </c:spPr>
          <c:invertIfNegative val="0"/>
          <c:cat>
            <c:numRef>
              <c:f>'Results ReCiPe (H) - RD ship'!$AC$273:$BA$273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ship'!$AC$282:$BA$282</c:f>
              <c:numCache>
                <c:formatCode>0.00E+00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8-B7B2-42DC-8AAA-979B25173567}"/>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(H) - RD ship'!$AB$283</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cat>
            <c:numRef>
              <c:f>'Results ReCiPe (H) - RD ship'!$AC$273:$BA$273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ship'!$AC$283:$BA$283</c:f>
              <c:numCache>
                <c:formatCode>0.00E+00</c:formatCode>
                <c:ptCount val="25"/>
                <c:pt idx="0">
                  <c:v>3978.0017824967454</c:v>
                </c:pt>
                <c:pt idx="1">
                  <c:v>878.63512618754748</c:v>
                </c:pt>
                <c:pt idx="2">
                  <c:v>878.05441776621478</c:v>
                </c:pt>
                <c:pt idx="3">
                  <c:v>991.21702685695539</c:v>
                </c:pt>
                <c:pt idx="4">
                  <c:v>873.31376684744112</c:v>
                </c:pt>
                <c:pt idx="5">
                  <c:v>872.79507984275938</c:v>
                </c:pt>
                <c:pt idx="6">
                  <c:v>990.63926154255819</c:v>
                </c:pt>
                <c:pt idx="7">
                  <c:v>874.00936412967701</c:v>
                </c:pt>
                <c:pt idx="8">
                  <c:v>872.10846798752596</c:v>
                </c:pt>
                <c:pt idx="9">
                  <c:v>989.43508405639443</c:v>
                </c:pt>
                <c:pt idx="10">
                  <c:v>873.47549406919904</c:v>
                </c:pt>
                <c:pt idx="11">
                  <c:v>873.0355925623935</c:v>
                </c:pt>
                <c:pt idx="12">
                  <c:v>989.18368062420575</c:v>
                </c:pt>
                <c:pt idx="13">
                  <c:v>871.4911286439974</c:v>
                </c:pt>
                <c:pt idx="14">
                  <c:v>871.1063245257576</c:v>
                </c:pt>
                <c:pt idx="15">
                  <c:v>987.10304747016403</c:v>
                </c:pt>
                <c:pt idx="16">
                  <c:v>873.80802032334316</c:v>
                </c:pt>
                <c:pt idx="17">
                  <c:v>876.86667659148895</c:v>
                </c:pt>
                <c:pt idx="18">
                  <c:v>995.29250997942893</c:v>
                </c:pt>
                <c:pt idx="19">
                  <c:v>882.2934866292162</c:v>
                </c:pt>
                <c:pt idx="20">
                  <c:v>885.35353614696646</c:v>
                </c:pt>
                <c:pt idx="21">
                  <c:v>1001.613910925655</c:v>
                </c:pt>
                <c:pt idx="22">
                  <c:v>886.01075825302235</c:v>
                </c:pt>
                <c:pt idx="23">
                  <c:v>886.35332493248768</c:v>
                </c:pt>
                <c:pt idx="24">
                  <c:v>1048.2151788552248</c:v>
                </c:pt>
              </c:numCache>
            </c:numRef>
          </c:val>
          <c:smooth val="0"/>
          <c:extLst>
            <c:ext xmlns:c16="http://schemas.microsoft.com/office/drawing/2014/chart" uri="{C3380CC4-5D6E-409C-BE32-E72D297353CC}">
              <c16:uniqueId val="{00000009-B7B2-42DC-8AAA-979B25173567}"/>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Resource damage </a:t>
                </a:r>
              </a:p>
              <a:p>
                <a:pPr algn="ctr" rtl="0">
                  <a:defRPr/>
                </a:pPr>
                <a:r>
                  <a:rPr lang="nl-NL"/>
                  <a:t>[USD2013/ton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RD ship'!$AB$334</c:f>
              <c:strCache>
                <c:ptCount val="1"/>
                <c:pt idx="0">
                  <c:v>Construction - DAC</c:v>
                </c:pt>
              </c:strCache>
            </c:strRef>
          </c:tx>
          <c:spPr>
            <a:solidFill>
              <a:schemeClr val="accent4">
                <a:lumMod val="75000"/>
              </a:schemeClr>
            </a:solidFill>
            <a:ln>
              <a:noFill/>
            </a:ln>
            <a:effectLst/>
          </c:spPr>
          <c:invertIfNegative val="0"/>
          <c:cat>
            <c:numRef>
              <c:f>'Results ReCiPe (H) - RD ship'!$AC$333:$BA$333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ship'!$AC$334:$BA$334</c:f>
              <c:numCache>
                <c:formatCode>0.00E+00</c:formatCode>
                <c:ptCount val="25"/>
                <c:pt idx="0">
                  <c:v>2790.777108402302</c:v>
                </c:pt>
              </c:numCache>
            </c:numRef>
          </c:val>
          <c:extLst>
            <c:ext xmlns:c16="http://schemas.microsoft.com/office/drawing/2014/chart" uri="{C3380CC4-5D6E-409C-BE32-E72D297353CC}">
              <c16:uniqueId val="{00000000-AD24-47B3-B1E9-2AF476ABEEB7}"/>
            </c:ext>
          </c:extLst>
        </c:ser>
        <c:ser>
          <c:idx val="1"/>
          <c:order val="1"/>
          <c:tx>
            <c:strRef>
              <c:f>'Results ReCiPe (H) - RD ship'!$AB$335</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(H) - RD ship'!$AC$333:$BA$333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ship'!$AC$335:$BA$335</c:f>
              <c:numCache>
                <c:formatCode>0.00E+00</c:formatCode>
                <c:ptCount val="25"/>
                <c:pt idx="0">
                  <c:v>133.47248236670413</c:v>
                </c:pt>
              </c:numCache>
            </c:numRef>
          </c:val>
          <c:extLst>
            <c:ext xmlns:c16="http://schemas.microsoft.com/office/drawing/2014/chart" uri="{C3380CC4-5D6E-409C-BE32-E72D297353CC}">
              <c16:uniqueId val="{00000001-AD24-47B3-B1E9-2AF476ABEEB7}"/>
            </c:ext>
          </c:extLst>
        </c:ser>
        <c:ser>
          <c:idx val="2"/>
          <c:order val="2"/>
          <c:tx>
            <c:strRef>
              <c:f>'Results ReCiPe (H) - RD ship'!$AB$336</c:f>
              <c:strCache>
                <c:ptCount val="1"/>
                <c:pt idx="0">
                  <c:v>Deconstruction - DAC</c:v>
                </c:pt>
              </c:strCache>
            </c:strRef>
          </c:tx>
          <c:spPr>
            <a:solidFill>
              <a:schemeClr val="accent2">
                <a:lumMod val="40000"/>
                <a:lumOff val="60000"/>
              </a:schemeClr>
            </a:solidFill>
            <a:ln>
              <a:noFill/>
            </a:ln>
            <a:effectLst/>
          </c:spPr>
          <c:invertIfNegative val="0"/>
          <c:cat>
            <c:numRef>
              <c:f>'Results ReCiPe (H) - RD ship'!$AC$333:$BA$333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ship'!$AC$336:$BA$336</c:f>
              <c:numCache>
                <c:formatCode>0.00E+00</c:formatCode>
                <c:ptCount val="25"/>
                <c:pt idx="24">
                  <c:v>41.794125692809452</c:v>
                </c:pt>
              </c:numCache>
            </c:numRef>
          </c:val>
          <c:extLst>
            <c:ext xmlns:c16="http://schemas.microsoft.com/office/drawing/2014/chart" uri="{C3380CC4-5D6E-409C-BE32-E72D297353CC}">
              <c16:uniqueId val="{00000002-AD24-47B3-B1E9-2AF476ABEEB7}"/>
            </c:ext>
          </c:extLst>
        </c:ser>
        <c:ser>
          <c:idx val="3"/>
          <c:order val="3"/>
          <c:tx>
            <c:strRef>
              <c:f>'Results ReCiPe (H) - RD ship'!$AB$337</c:f>
              <c:strCache>
                <c:ptCount val="1"/>
                <c:pt idx="0">
                  <c:v>Deconstruction - geological storage</c:v>
                </c:pt>
              </c:strCache>
            </c:strRef>
          </c:tx>
          <c:spPr>
            <a:solidFill>
              <a:srgbClr val="FF9900"/>
            </a:solidFill>
            <a:ln>
              <a:noFill/>
            </a:ln>
            <a:effectLst/>
          </c:spPr>
          <c:invertIfNegative val="0"/>
          <c:cat>
            <c:numRef>
              <c:f>'Results ReCiPe (H) - RD ship'!$AC$333:$BA$333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ship'!$AC$337:$BA$337</c:f>
              <c:numCache>
                <c:formatCode>0.00E+00</c:formatCode>
                <c:ptCount val="25"/>
                <c:pt idx="24">
                  <c:v>0.64814302489144726</c:v>
                </c:pt>
              </c:numCache>
            </c:numRef>
          </c:val>
          <c:extLst>
            <c:ext xmlns:c16="http://schemas.microsoft.com/office/drawing/2014/chart" uri="{C3380CC4-5D6E-409C-BE32-E72D297353CC}">
              <c16:uniqueId val="{00000003-AD24-47B3-B1E9-2AF476ABEEB7}"/>
            </c:ext>
          </c:extLst>
        </c:ser>
        <c:ser>
          <c:idx val="4"/>
          <c:order val="4"/>
          <c:tx>
            <c:strRef>
              <c:f>'Results ReCiPe (H) - RD ship'!$AB$338</c:f>
              <c:strCache>
                <c:ptCount val="1"/>
                <c:pt idx="0">
                  <c:v>Sorbent material</c:v>
                </c:pt>
              </c:strCache>
            </c:strRef>
          </c:tx>
          <c:spPr>
            <a:solidFill>
              <a:srgbClr val="FF8F8F"/>
            </a:solidFill>
            <a:ln>
              <a:noFill/>
            </a:ln>
            <a:effectLst/>
          </c:spPr>
          <c:invertIfNegative val="0"/>
          <c:cat>
            <c:numRef>
              <c:f>'Results ReCiPe (H) - RD ship'!$AC$333:$BA$333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ship'!$AC$338:$BA$338</c:f>
              <c:numCache>
                <c:formatCode>0.00E+00</c:formatCode>
                <c:ptCount val="25"/>
                <c:pt idx="0">
                  <c:v>117.4164153447413</c:v>
                </c:pt>
                <c:pt idx="3">
                  <c:v>116.14482404943</c:v>
                </c:pt>
                <c:pt idx="6">
                  <c:v>115.85431461269189</c:v>
                </c:pt>
                <c:pt idx="9">
                  <c:v>115.7060268138878</c:v>
                </c:pt>
                <c:pt idx="12">
                  <c:v>115.22430296168601</c:v>
                </c:pt>
                <c:pt idx="15">
                  <c:v>114.21787004973891</c:v>
                </c:pt>
                <c:pt idx="18">
                  <c:v>113.3881732416237</c:v>
                </c:pt>
                <c:pt idx="21">
                  <c:v>112.8508899058024</c:v>
                </c:pt>
                <c:pt idx="24">
                  <c:v>112.6235531268987</c:v>
                </c:pt>
              </c:numCache>
            </c:numRef>
          </c:val>
          <c:extLst>
            <c:ext xmlns:c16="http://schemas.microsoft.com/office/drawing/2014/chart" uri="{C3380CC4-5D6E-409C-BE32-E72D297353CC}">
              <c16:uniqueId val="{00000004-AD24-47B3-B1E9-2AF476ABEEB7}"/>
            </c:ext>
          </c:extLst>
        </c:ser>
        <c:ser>
          <c:idx val="5"/>
          <c:order val="5"/>
          <c:tx>
            <c:strRef>
              <c:f>'Results ReCiPe (H) - RD ship'!$AB$339</c:f>
              <c:strCache>
                <c:ptCount val="1"/>
                <c:pt idx="0">
                  <c:v>Battery</c:v>
                </c:pt>
              </c:strCache>
            </c:strRef>
          </c:tx>
          <c:spPr>
            <a:solidFill>
              <a:schemeClr val="accent6">
                <a:lumMod val="50000"/>
              </a:schemeClr>
            </a:solidFill>
            <a:ln>
              <a:noFill/>
            </a:ln>
            <a:effectLst/>
          </c:spPr>
          <c:invertIfNegative val="0"/>
          <c:cat>
            <c:numRef>
              <c:f>'Results ReCiPe (H) - RD ship'!$AC$333:$BA$333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ship'!$AC$339:$BA$339</c:f>
              <c:numCache>
                <c:formatCode>0.00E+00</c:formatCode>
                <c:ptCount val="25"/>
                <c:pt idx="0">
                  <c:v>417.62441233697382</c:v>
                </c:pt>
                <c:pt idx="1">
                  <c:v>417.62441233697382</c:v>
                </c:pt>
                <c:pt idx="2">
                  <c:v>417.62441233697382</c:v>
                </c:pt>
                <c:pt idx="3">
                  <c:v>417.62441233697382</c:v>
                </c:pt>
                <c:pt idx="4">
                  <c:v>417.62441233697382</c:v>
                </c:pt>
                <c:pt idx="5">
                  <c:v>417.62441233697382</c:v>
                </c:pt>
                <c:pt idx="6">
                  <c:v>417.62441233697382</c:v>
                </c:pt>
                <c:pt idx="7">
                  <c:v>417.62441233697382</c:v>
                </c:pt>
                <c:pt idx="8">
                  <c:v>417.62441233697382</c:v>
                </c:pt>
                <c:pt idx="9">
                  <c:v>417.62441233697382</c:v>
                </c:pt>
                <c:pt idx="10">
                  <c:v>417.62441233697382</c:v>
                </c:pt>
                <c:pt idx="11">
                  <c:v>417.62441233697382</c:v>
                </c:pt>
                <c:pt idx="12">
                  <c:v>417.62441233697382</c:v>
                </c:pt>
                <c:pt idx="13">
                  <c:v>417.62441233697382</c:v>
                </c:pt>
                <c:pt idx="14">
                  <c:v>417.62441233697382</c:v>
                </c:pt>
                <c:pt idx="15">
                  <c:v>417.62441233697382</c:v>
                </c:pt>
                <c:pt idx="16">
                  <c:v>417.62441233697382</c:v>
                </c:pt>
                <c:pt idx="17">
                  <c:v>417.62441233697382</c:v>
                </c:pt>
                <c:pt idx="18">
                  <c:v>417.62441233697382</c:v>
                </c:pt>
                <c:pt idx="19">
                  <c:v>417.62441233697382</c:v>
                </c:pt>
                <c:pt idx="20">
                  <c:v>417.62441233697382</c:v>
                </c:pt>
                <c:pt idx="21">
                  <c:v>417.62441233697382</c:v>
                </c:pt>
                <c:pt idx="22">
                  <c:v>417.62441233697382</c:v>
                </c:pt>
                <c:pt idx="23">
                  <c:v>417.62441233697382</c:v>
                </c:pt>
                <c:pt idx="24">
                  <c:v>417.62441233697382</c:v>
                </c:pt>
              </c:numCache>
            </c:numRef>
          </c:val>
          <c:extLst>
            <c:ext xmlns:c16="http://schemas.microsoft.com/office/drawing/2014/chart" uri="{C3380CC4-5D6E-409C-BE32-E72D297353CC}">
              <c16:uniqueId val="{00000005-AD24-47B3-B1E9-2AF476ABEEB7}"/>
            </c:ext>
          </c:extLst>
        </c:ser>
        <c:ser>
          <c:idx val="6"/>
          <c:order val="6"/>
          <c:tx>
            <c:strRef>
              <c:f>'Results ReCiPe (H) - RD ship'!$AB$340</c:f>
              <c:strCache>
                <c:ptCount val="1"/>
                <c:pt idx="0">
                  <c:v>Operation - DAC</c:v>
                </c:pt>
              </c:strCache>
            </c:strRef>
          </c:tx>
          <c:spPr>
            <a:solidFill>
              <a:schemeClr val="accent2">
                <a:lumMod val="75000"/>
              </a:schemeClr>
            </a:solidFill>
            <a:ln>
              <a:noFill/>
            </a:ln>
            <a:effectLst/>
          </c:spPr>
          <c:invertIfNegative val="0"/>
          <c:cat>
            <c:numRef>
              <c:f>'Results ReCiPe (H) - RD ship'!$AC$333:$BA$333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ship'!$AC$340:$BA$340</c:f>
              <c:numCache>
                <c:formatCode>0.00E+00</c:formatCode>
                <c:ptCount val="25"/>
                <c:pt idx="0">
                  <c:v>354.4648899632698</c:v>
                </c:pt>
                <c:pt idx="1">
                  <c:v>353.71478819889768</c:v>
                </c:pt>
                <c:pt idx="2">
                  <c:v>352.92922431729039</c:v>
                </c:pt>
                <c:pt idx="3">
                  <c:v>348.6957023841901</c:v>
                </c:pt>
                <c:pt idx="4">
                  <c:v>347.85253593847449</c:v>
                </c:pt>
                <c:pt idx="5">
                  <c:v>346.96180504320296</c:v>
                </c:pt>
                <c:pt idx="6">
                  <c:v>346.33531203737613</c:v>
                </c:pt>
                <c:pt idx="7">
                  <c:v>345.83961865755384</c:v>
                </c:pt>
                <c:pt idx="8">
                  <c:v>343.07237326169815</c:v>
                </c:pt>
                <c:pt idx="9">
                  <c:v>342.65491840642301</c:v>
                </c:pt>
                <c:pt idx="10">
                  <c:v>342.22122157552343</c:v>
                </c:pt>
                <c:pt idx="11">
                  <c:v>340.86013308007722</c:v>
                </c:pt>
                <c:pt idx="12">
                  <c:v>339.5118108226186</c:v>
                </c:pt>
                <c:pt idx="13">
                  <c:v>337.52762012279896</c:v>
                </c:pt>
                <c:pt idx="14">
                  <c:v>336.2106341944322</c:v>
                </c:pt>
                <c:pt idx="15">
                  <c:v>334.89894136242748</c:v>
                </c:pt>
                <c:pt idx="16">
                  <c:v>333.69004655307322</c:v>
                </c:pt>
                <c:pt idx="17">
                  <c:v>332.49684890940244</c:v>
                </c:pt>
                <c:pt idx="18">
                  <c:v>330.70547806044175</c:v>
                </c:pt>
                <c:pt idx="19">
                  <c:v>329.55656201289327</c:v>
                </c:pt>
                <c:pt idx="20">
                  <c:v>328.40784538291626</c:v>
                </c:pt>
                <c:pt idx="21">
                  <c:v>328.13042559222492</c:v>
                </c:pt>
                <c:pt idx="22">
                  <c:v>327.85712170631302</c:v>
                </c:pt>
                <c:pt idx="23">
                  <c:v>327.58703535119508</c:v>
                </c:pt>
                <c:pt idx="24">
                  <c:v>327.31987314210204</c:v>
                </c:pt>
              </c:numCache>
            </c:numRef>
          </c:val>
          <c:extLst>
            <c:ext xmlns:c16="http://schemas.microsoft.com/office/drawing/2014/chart" uri="{C3380CC4-5D6E-409C-BE32-E72D297353CC}">
              <c16:uniqueId val="{00000006-AD24-47B3-B1E9-2AF476ABEEB7}"/>
            </c:ext>
          </c:extLst>
        </c:ser>
        <c:ser>
          <c:idx val="7"/>
          <c:order val="7"/>
          <c:tx>
            <c:strRef>
              <c:f>'Results ReCiPe (H) - RD ship'!$AB$341</c:f>
              <c:strCache>
                <c:ptCount val="1"/>
                <c:pt idx="0">
                  <c:v>Operation - geological storage</c:v>
                </c:pt>
              </c:strCache>
            </c:strRef>
          </c:tx>
          <c:spPr>
            <a:solidFill>
              <a:schemeClr val="accent2">
                <a:lumMod val="50000"/>
              </a:schemeClr>
            </a:solidFill>
            <a:ln>
              <a:noFill/>
            </a:ln>
            <a:effectLst/>
          </c:spPr>
          <c:invertIfNegative val="0"/>
          <c:cat>
            <c:numRef>
              <c:f>'Results ReCiPe (H) - RD ship'!$AC$333:$BA$333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ship'!$AC$341:$BA$341</c:f>
              <c:numCache>
                <c:formatCode>0.00E+00</c:formatCode>
                <c:ptCount val="25"/>
                <c:pt idx="0">
                  <c:v>100.32214006695087</c:v>
                </c:pt>
                <c:pt idx="1">
                  <c:v>99.444935513505854</c:v>
                </c:pt>
                <c:pt idx="2">
                  <c:v>98.570917170634857</c:v>
                </c:pt>
                <c:pt idx="3">
                  <c:v>97.49795917955575</c:v>
                </c:pt>
                <c:pt idx="4">
                  <c:v>96.631207226485301</c:v>
                </c:pt>
                <c:pt idx="5">
                  <c:v>95.767450092118594</c:v>
                </c:pt>
                <c:pt idx="6">
                  <c:v>95.498787465897649</c:v>
                </c:pt>
                <c:pt idx="7">
                  <c:v>95.22587075926765</c:v>
                </c:pt>
                <c:pt idx="8">
                  <c:v>94.776421108909943</c:v>
                </c:pt>
                <c:pt idx="9">
                  <c:v>94.488351336210101</c:v>
                </c:pt>
                <c:pt idx="10">
                  <c:v>94.193321244204455</c:v>
                </c:pt>
                <c:pt idx="11">
                  <c:v>93.612664983988608</c:v>
                </c:pt>
                <c:pt idx="12">
                  <c:v>93.022352658562596</c:v>
                </c:pt>
                <c:pt idx="13">
                  <c:v>92.381265703596199</c:v>
                </c:pt>
                <c:pt idx="14">
                  <c:v>91.772248856591403</c:v>
                </c:pt>
                <c:pt idx="15">
                  <c:v>91.153699731974854</c:v>
                </c:pt>
                <c:pt idx="16">
                  <c:v>91.778330230981851</c:v>
                </c:pt>
                <c:pt idx="17">
                  <c:v>92.396147293438844</c:v>
                </c:pt>
                <c:pt idx="18">
                  <c:v>92.966942814979149</c:v>
                </c:pt>
                <c:pt idx="19">
                  <c:v>93.571344205096054</c:v>
                </c:pt>
                <c:pt idx="20">
                  <c:v>94.169028689195699</c:v>
                </c:pt>
                <c:pt idx="21">
                  <c:v>93.238965892719548</c:v>
                </c:pt>
                <c:pt idx="22">
                  <c:v>92.313349912407205</c:v>
                </c:pt>
                <c:pt idx="23">
                  <c:v>91.386934874094308</c:v>
                </c:pt>
                <c:pt idx="24">
                  <c:v>90.459569204524144</c:v>
                </c:pt>
              </c:numCache>
            </c:numRef>
          </c:val>
          <c:extLst>
            <c:ext xmlns:c16="http://schemas.microsoft.com/office/drawing/2014/chart" uri="{C3380CC4-5D6E-409C-BE32-E72D297353CC}">
              <c16:uniqueId val="{00000007-AD24-47B3-B1E9-2AF476ABEEB7}"/>
            </c:ext>
          </c:extLst>
        </c:ser>
        <c:ser>
          <c:idx val="8"/>
          <c:order val="8"/>
          <c:tx>
            <c:strRef>
              <c:f>'Results ReCiPe (H) - RD ship'!$AB$342</c:f>
              <c:strCache>
                <c:ptCount val="1"/>
                <c:pt idx="0">
                  <c:v>CO2 captured and stored</c:v>
                </c:pt>
              </c:strCache>
            </c:strRef>
          </c:tx>
          <c:spPr>
            <a:solidFill>
              <a:schemeClr val="tx2">
                <a:lumMod val="20000"/>
                <a:lumOff val="80000"/>
              </a:schemeClr>
            </a:solidFill>
            <a:ln>
              <a:noFill/>
            </a:ln>
            <a:effectLst/>
          </c:spPr>
          <c:invertIfNegative val="0"/>
          <c:cat>
            <c:numRef>
              <c:f>'Results ReCiPe (H) - RD ship'!$AC$333:$BA$333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ship'!$AC$342:$BA$342</c:f>
              <c:numCache>
                <c:formatCode>0.00E+00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8-AD24-47B3-B1E9-2AF476ABEEB7}"/>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(H) - RD ship'!$AB$343</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cat>
            <c:numRef>
              <c:f>'Results ReCiPe (H) - RD ship'!$AC$333:$BA$333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ship'!$AC$343:$BA$343</c:f>
              <c:numCache>
                <c:formatCode>0.00E+00</c:formatCode>
                <c:ptCount val="25"/>
                <c:pt idx="0">
                  <c:v>3914.0774484809422</c:v>
                </c:pt>
                <c:pt idx="1">
                  <c:v>870.78413604937725</c:v>
                </c:pt>
                <c:pt idx="2">
                  <c:v>869.12455382489907</c:v>
                </c:pt>
                <c:pt idx="3">
                  <c:v>979.96289795014968</c:v>
                </c:pt>
                <c:pt idx="4">
                  <c:v>862.10815550193365</c:v>
                </c:pt>
                <c:pt idx="5">
                  <c:v>860.35366747229534</c:v>
                </c:pt>
                <c:pt idx="6">
                  <c:v>975.31282645293948</c:v>
                </c:pt>
                <c:pt idx="7">
                  <c:v>858.68990175379531</c:v>
                </c:pt>
                <c:pt idx="8">
                  <c:v>855.47320670758199</c:v>
                </c:pt>
                <c:pt idx="9">
                  <c:v>970.47370889349475</c:v>
                </c:pt>
                <c:pt idx="10">
                  <c:v>854.03895515670172</c:v>
                </c:pt>
                <c:pt idx="11">
                  <c:v>852.09721040103966</c:v>
                </c:pt>
                <c:pt idx="12">
                  <c:v>965.38287877984101</c:v>
                </c:pt>
                <c:pt idx="13">
                  <c:v>847.53329816336895</c:v>
                </c:pt>
                <c:pt idx="14">
                  <c:v>845.60729538799751</c:v>
                </c:pt>
                <c:pt idx="15">
                  <c:v>957.89492348111492</c:v>
                </c:pt>
                <c:pt idx="16">
                  <c:v>843.09278912102889</c:v>
                </c:pt>
                <c:pt idx="17">
                  <c:v>842.51740853981505</c:v>
                </c:pt>
                <c:pt idx="18">
                  <c:v>954.68500645401832</c:v>
                </c:pt>
                <c:pt idx="19">
                  <c:v>840.75231855496304</c:v>
                </c:pt>
                <c:pt idx="20">
                  <c:v>840.20128640908581</c:v>
                </c:pt>
                <c:pt idx="21">
                  <c:v>951.84469372772071</c:v>
                </c:pt>
                <c:pt idx="22">
                  <c:v>837.7948839556941</c:v>
                </c:pt>
                <c:pt idx="23">
                  <c:v>836.59838256226317</c:v>
                </c:pt>
                <c:pt idx="24">
                  <c:v>990.46967652819967</c:v>
                </c:pt>
              </c:numCache>
            </c:numRef>
          </c:val>
          <c:smooth val="0"/>
          <c:extLst>
            <c:ext xmlns:c16="http://schemas.microsoft.com/office/drawing/2014/chart" uri="{C3380CC4-5D6E-409C-BE32-E72D297353CC}">
              <c16:uniqueId val="{00000009-AD24-47B3-B1E9-2AF476ABEEB7}"/>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Resource</a:t>
                </a:r>
                <a:r>
                  <a:rPr lang="nl-NL" baseline="0"/>
                  <a:t> damage</a:t>
                </a:r>
              </a:p>
              <a:p>
                <a:pPr algn="ctr" rtl="0">
                  <a:defRPr/>
                </a:pPr>
                <a:r>
                  <a:rPr lang="nl-NL" baseline="0"/>
                  <a:t>[USD2013</a:t>
                </a:r>
                <a:r>
                  <a:rPr lang="nl-NL"/>
                  <a:t>/ton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RD ship'!$AB$395</c:f>
              <c:strCache>
                <c:ptCount val="1"/>
                <c:pt idx="0">
                  <c:v>Construction - DAC</c:v>
                </c:pt>
              </c:strCache>
            </c:strRef>
          </c:tx>
          <c:spPr>
            <a:solidFill>
              <a:schemeClr val="accent4">
                <a:lumMod val="75000"/>
              </a:schemeClr>
            </a:solidFill>
            <a:ln>
              <a:noFill/>
            </a:ln>
            <a:effectLst/>
          </c:spPr>
          <c:invertIfNegative val="0"/>
          <c:cat>
            <c:numRef>
              <c:f>'Results ReCiPe (H) - RD ship'!$AC$394:$BA$394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ship'!$AC$395:$BA$395</c:f>
              <c:numCache>
                <c:formatCode>0.00E+00</c:formatCode>
                <c:ptCount val="25"/>
                <c:pt idx="0">
                  <c:v>2636.5958501448285</c:v>
                </c:pt>
              </c:numCache>
            </c:numRef>
          </c:val>
          <c:extLst>
            <c:ext xmlns:c16="http://schemas.microsoft.com/office/drawing/2014/chart" uri="{C3380CC4-5D6E-409C-BE32-E72D297353CC}">
              <c16:uniqueId val="{00000000-B686-4915-8253-8982C06AF7C6}"/>
            </c:ext>
          </c:extLst>
        </c:ser>
        <c:ser>
          <c:idx val="1"/>
          <c:order val="1"/>
          <c:tx>
            <c:strRef>
              <c:f>'Results ReCiPe (H) - RD ship'!$AB$396</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(H) - RD ship'!$AC$394:$BA$394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ship'!$AC$396:$BA$396</c:f>
              <c:numCache>
                <c:formatCode>0.00E+00</c:formatCode>
                <c:ptCount val="25"/>
                <c:pt idx="0">
                  <c:v>129.44404120316349</c:v>
                </c:pt>
              </c:numCache>
            </c:numRef>
          </c:val>
          <c:extLst>
            <c:ext xmlns:c16="http://schemas.microsoft.com/office/drawing/2014/chart" uri="{C3380CC4-5D6E-409C-BE32-E72D297353CC}">
              <c16:uniqueId val="{00000001-B686-4915-8253-8982C06AF7C6}"/>
            </c:ext>
          </c:extLst>
        </c:ser>
        <c:ser>
          <c:idx val="2"/>
          <c:order val="2"/>
          <c:tx>
            <c:strRef>
              <c:f>'Results ReCiPe (H) - RD ship'!$AB$397</c:f>
              <c:strCache>
                <c:ptCount val="1"/>
                <c:pt idx="0">
                  <c:v>Deconstruction - DAC</c:v>
                </c:pt>
              </c:strCache>
            </c:strRef>
          </c:tx>
          <c:spPr>
            <a:solidFill>
              <a:schemeClr val="accent2">
                <a:lumMod val="40000"/>
                <a:lumOff val="60000"/>
              </a:schemeClr>
            </a:solidFill>
            <a:ln>
              <a:noFill/>
            </a:ln>
            <a:effectLst/>
          </c:spPr>
          <c:invertIfNegative val="0"/>
          <c:cat>
            <c:numRef>
              <c:f>'Results ReCiPe (H) - RD ship'!$AC$394:$BA$394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ship'!$AC$397:$BA$397</c:f>
              <c:numCache>
                <c:formatCode>0.00E+00</c:formatCode>
                <c:ptCount val="25"/>
                <c:pt idx="24">
                  <c:v>38.789621318581062</c:v>
                </c:pt>
              </c:numCache>
            </c:numRef>
          </c:val>
          <c:extLst>
            <c:ext xmlns:c16="http://schemas.microsoft.com/office/drawing/2014/chart" uri="{C3380CC4-5D6E-409C-BE32-E72D297353CC}">
              <c16:uniqueId val="{00000002-B686-4915-8253-8982C06AF7C6}"/>
            </c:ext>
          </c:extLst>
        </c:ser>
        <c:ser>
          <c:idx val="3"/>
          <c:order val="3"/>
          <c:tx>
            <c:strRef>
              <c:f>'Results ReCiPe (H) - RD ship'!$AB$398</c:f>
              <c:strCache>
                <c:ptCount val="1"/>
                <c:pt idx="0">
                  <c:v>Deconstruction - geological storage</c:v>
                </c:pt>
              </c:strCache>
            </c:strRef>
          </c:tx>
          <c:spPr>
            <a:solidFill>
              <a:srgbClr val="FF9900"/>
            </a:solidFill>
            <a:ln>
              <a:noFill/>
            </a:ln>
            <a:effectLst/>
          </c:spPr>
          <c:invertIfNegative val="0"/>
          <c:cat>
            <c:numRef>
              <c:f>'Results ReCiPe (H) - RD ship'!$AC$394:$BA$394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ship'!$AC$398:$BA$398</c:f>
              <c:numCache>
                <c:formatCode>0.00E+00</c:formatCode>
                <c:ptCount val="25"/>
                <c:pt idx="24">
                  <c:v>0.61440305403541018</c:v>
                </c:pt>
              </c:numCache>
            </c:numRef>
          </c:val>
          <c:extLst>
            <c:ext xmlns:c16="http://schemas.microsoft.com/office/drawing/2014/chart" uri="{C3380CC4-5D6E-409C-BE32-E72D297353CC}">
              <c16:uniqueId val="{00000003-B686-4915-8253-8982C06AF7C6}"/>
            </c:ext>
          </c:extLst>
        </c:ser>
        <c:ser>
          <c:idx val="4"/>
          <c:order val="4"/>
          <c:tx>
            <c:strRef>
              <c:f>'Results ReCiPe (H) - RD ship'!$AB$399</c:f>
              <c:strCache>
                <c:ptCount val="1"/>
                <c:pt idx="0">
                  <c:v>Sorbent material</c:v>
                </c:pt>
              </c:strCache>
            </c:strRef>
          </c:tx>
          <c:spPr>
            <a:solidFill>
              <a:srgbClr val="FF8F8F"/>
            </a:solidFill>
            <a:ln>
              <a:noFill/>
            </a:ln>
            <a:effectLst/>
          </c:spPr>
          <c:invertIfNegative val="0"/>
          <c:cat>
            <c:numRef>
              <c:f>'Results ReCiPe (H) - RD ship'!$AC$394:$BA$394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ship'!$AC$399:$BA$399</c:f>
              <c:numCache>
                <c:formatCode>0.00E+00</c:formatCode>
                <c:ptCount val="25"/>
                <c:pt idx="0">
                  <c:v>114.06781731957111</c:v>
                </c:pt>
                <c:pt idx="3">
                  <c:v>112.3911675049322</c:v>
                </c:pt>
                <c:pt idx="6">
                  <c:v>112.2010947204887</c:v>
                </c:pt>
                <c:pt idx="9">
                  <c:v>113.21958271568749</c:v>
                </c:pt>
                <c:pt idx="12">
                  <c:v>113.61473943331841</c:v>
                </c:pt>
                <c:pt idx="15">
                  <c:v>113.3787859326078</c:v>
                </c:pt>
                <c:pt idx="18">
                  <c:v>112.2791950057142</c:v>
                </c:pt>
                <c:pt idx="21">
                  <c:v>111.5739444092645</c:v>
                </c:pt>
                <c:pt idx="24">
                  <c:v>111.3824079888096</c:v>
                </c:pt>
              </c:numCache>
            </c:numRef>
          </c:val>
          <c:extLst>
            <c:ext xmlns:c16="http://schemas.microsoft.com/office/drawing/2014/chart" uri="{C3380CC4-5D6E-409C-BE32-E72D297353CC}">
              <c16:uniqueId val="{00000004-B686-4915-8253-8982C06AF7C6}"/>
            </c:ext>
          </c:extLst>
        </c:ser>
        <c:ser>
          <c:idx val="5"/>
          <c:order val="5"/>
          <c:tx>
            <c:strRef>
              <c:f>'Results ReCiPe (H) - RD ship'!$AB$400</c:f>
              <c:strCache>
                <c:ptCount val="1"/>
                <c:pt idx="0">
                  <c:v>Battery</c:v>
                </c:pt>
              </c:strCache>
            </c:strRef>
          </c:tx>
          <c:spPr>
            <a:solidFill>
              <a:schemeClr val="accent6">
                <a:lumMod val="50000"/>
              </a:schemeClr>
            </a:solidFill>
            <a:ln>
              <a:noFill/>
            </a:ln>
            <a:effectLst/>
          </c:spPr>
          <c:invertIfNegative val="0"/>
          <c:cat>
            <c:numRef>
              <c:f>'Results ReCiPe (H) - RD ship'!$AC$394:$BA$394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ship'!$AC$400:$BA$400</c:f>
              <c:numCache>
                <c:formatCode>0.00E+00</c:formatCode>
                <c:ptCount val="25"/>
                <c:pt idx="0">
                  <c:v>391.12436279725841</c:v>
                </c:pt>
                <c:pt idx="1">
                  <c:v>391.12436279725841</c:v>
                </c:pt>
                <c:pt idx="2">
                  <c:v>391.12436279725841</c:v>
                </c:pt>
                <c:pt idx="3">
                  <c:v>391.12436279725841</c:v>
                </c:pt>
                <c:pt idx="4">
                  <c:v>391.12436279725841</c:v>
                </c:pt>
                <c:pt idx="5">
                  <c:v>391.12436279725841</c:v>
                </c:pt>
                <c:pt idx="6">
                  <c:v>391.12436279725841</c:v>
                </c:pt>
                <c:pt idx="7">
                  <c:v>391.12436279725841</c:v>
                </c:pt>
                <c:pt idx="8">
                  <c:v>391.12436279725841</c:v>
                </c:pt>
                <c:pt idx="9">
                  <c:v>391.12436279725841</c:v>
                </c:pt>
                <c:pt idx="10">
                  <c:v>391.12436279725841</c:v>
                </c:pt>
                <c:pt idx="11">
                  <c:v>391.12436279725841</c:v>
                </c:pt>
                <c:pt idx="12">
                  <c:v>391.12436279725841</c:v>
                </c:pt>
                <c:pt idx="13">
                  <c:v>391.12436279725841</c:v>
                </c:pt>
                <c:pt idx="14">
                  <c:v>391.12436279725841</c:v>
                </c:pt>
                <c:pt idx="15">
                  <c:v>391.12436279725841</c:v>
                </c:pt>
                <c:pt idx="16">
                  <c:v>391.12436279725841</c:v>
                </c:pt>
                <c:pt idx="17">
                  <c:v>391.12436279725841</c:v>
                </c:pt>
                <c:pt idx="18">
                  <c:v>391.12436279725841</c:v>
                </c:pt>
                <c:pt idx="19">
                  <c:v>391.12436279725841</c:v>
                </c:pt>
                <c:pt idx="20">
                  <c:v>391.12436279725841</c:v>
                </c:pt>
                <c:pt idx="21">
                  <c:v>391.12436279725841</c:v>
                </c:pt>
                <c:pt idx="22">
                  <c:v>391.12436279725841</c:v>
                </c:pt>
                <c:pt idx="23">
                  <c:v>391.12436279725841</c:v>
                </c:pt>
                <c:pt idx="24">
                  <c:v>391.12436279725841</c:v>
                </c:pt>
              </c:numCache>
            </c:numRef>
          </c:val>
          <c:extLst>
            <c:ext xmlns:c16="http://schemas.microsoft.com/office/drawing/2014/chart" uri="{C3380CC4-5D6E-409C-BE32-E72D297353CC}">
              <c16:uniqueId val="{00000005-B686-4915-8253-8982C06AF7C6}"/>
            </c:ext>
          </c:extLst>
        </c:ser>
        <c:ser>
          <c:idx val="6"/>
          <c:order val="6"/>
          <c:tx>
            <c:strRef>
              <c:f>'Results ReCiPe (H) - RD ship'!$AB$401</c:f>
              <c:strCache>
                <c:ptCount val="1"/>
                <c:pt idx="0">
                  <c:v>Operation - DAC</c:v>
                </c:pt>
              </c:strCache>
            </c:strRef>
          </c:tx>
          <c:spPr>
            <a:solidFill>
              <a:schemeClr val="accent2">
                <a:lumMod val="75000"/>
              </a:schemeClr>
            </a:solidFill>
            <a:ln>
              <a:noFill/>
            </a:ln>
            <a:effectLst/>
          </c:spPr>
          <c:invertIfNegative val="0"/>
          <c:cat>
            <c:numRef>
              <c:f>'Results ReCiPe (H) - RD ship'!$AC$394:$BA$394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ship'!$AC$401:$BA$401</c:f>
              <c:numCache>
                <c:formatCode>0.00E+00</c:formatCode>
                <c:ptCount val="25"/>
                <c:pt idx="0">
                  <c:v>342.06057346102455</c:v>
                </c:pt>
                <c:pt idx="1">
                  <c:v>340.79265489021151</c:v>
                </c:pt>
                <c:pt idx="2">
                  <c:v>339.50338787328121</c:v>
                </c:pt>
                <c:pt idx="3">
                  <c:v>334.90545691545429</c:v>
                </c:pt>
                <c:pt idx="4">
                  <c:v>333.55358695307848</c:v>
                </c:pt>
                <c:pt idx="5">
                  <c:v>332.20269132138816</c:v>
                </c:pt>
                <c:pt idx="6">
                  <c:v>333.06599341828917</c:v>
                </c:pt>
                <c:pt idx="7">
                  <c:v>333.89092652969049</c:v>
                </c:pt>
                <c:pt idx="8">
                  <c:v>332.48153941788775</c:v>
                </c:pt>
                <c:pt idx="9">
                  <c:v>333.26058787049283</c:v>
                </c:pt>
                <c:pt idx="10">
                  <c:v>334.00835882653439</c:v>
                </c:pt>
                <c:pt idx="11">
                  <c:v>333.38088707198386</c:v>
                </c:pt>
                <c:pt idx="12">
                  <c:v>332.76206358895985</c:v>
                </c:pt>
                <c:pt idx="13">
                  <c:v>331.53763744536172</c:v>
                </c:pt>
                <c:pt idx="14">
                  <c:v>330.92844736523415</c:v>
                </c:pt>
                <c:pt idx="15">
                  <c:v>330.31248161658857</c:v>
                </c:pt>
                <c:pt idx="16">
                  <c:v>328.83877564617239</c:v>
                </c:pt>
                <c:pt idx="17">
                  <c:v>327.38039608044772</c:v>
                </c:pt>
                <c:pt idx="18">
                  <c:v>325.35638183755327</c:v>
                </c:pt>
                <c:pt idx="19">
                  <c:v>323.9140988352205</c:v>
                </c:pt>
                <c:pt idx="20">
                  <c:v>322.40607780393708</c:v>
                </c:pt>
                <c:pt idx="21">
                  <c:v>322.05583431739825</c:v>
                </c:pt>
                <c:pt idx="22">
                  <c:v>321.70816822842056</c:v>
                </c:pt>
                <c:pt idx="23">
                  <c:v>321.36199873353911</c:v>
                </c:pt>
                <c:pt idx="24">
                  <c:v>321.01729869105526</c:v>
                </c:pt>
              </c:numCache>
            </c:numRef>
          </c:val>
          <c:extLst>
            <c:ext xmlns:c16="http://schemas.microsoft.com/office/drawing/2014/chart" uri="{C3380CC4-5D6E-409C-BE32-E72D297353CC}">
              <c16:uniqueId val="{00000006-B686-4915-8253-8982C06AF7C6}"/>
            </c:ext>
          </c:extLst>
        </c:ser>
        <c:ser>
          <c:idx val="7"/>
          <c:order val="7"/>
          <c:tx>
            <c:strRef>
              <c:f>'Results ReCiPe (H) - RD ship'!$AB$402</c:f>
              <c:strCache>
                <c:ptCount val="1"/>
                <c:pt idx="0">
                  <c:v>Operation - geological storage</c:v>
                </c:pt>
              </c:strCache>
            </c:strRef>
          </c:tx>
          <c:spPr>
            <a:solidFill>
              <a:schemeClr val="accent2">
                <a:lumMod val="50000"/>
              </a:schemeClr>
            </a:solidFill>
            <a:ln>
              <a:noFill/>
            </a:ln>
            <a:effectLst/>
          </c:spPr>
          <c:invertIfNegative val="0"/>
          <c:cat>
            <c:numRef>
              <c:f>'Results ReCiPe (H) - RD ship'!$AC$394:$BA$394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ship'!$AC$402:$BA$402</c:f>
              <c:numCache>
                <c:formatCode>0.00E+00</c:formatCode>
                <c:ptCount val="25"/>
                <c:pt idx="0">
                  <c:v>64.342009540198504</c:v>
                </c:pt>
                <c:pt idx="1">
                  <c:v>59.761083087087698</c:v>
                </c:pt>
                <c:pt idx="2">
                  <c:v>55.176716440530804</c:v>
                </c:pt>
                <c:pt idx="3">
                  <c:v>50.360759114088651</c:v>
                </c:pt>
                <c:pt idx="4">
                  <c:v>45.762463379095117</c:v>
                </c:pt>
                <c:pt idx="5">
                  <c:v>41.16191938998076</c:v>
                </c:pt>
                <c:pt idx="6">
                  <c:v>46.519306119155807</c:v>
                </c:pt>
                <c:pt idx="7">
                  <c:v>51.839694277117857</c:v>
                </c:pt>
                <c:pt idx="8">
                  <c:v>56.901233707261902</c:v>
                </c:pt>
                <c:pt idx="9">
                  <c:v>62.141401160961152</c:v>
                </c:pt>
                <c:pt idx="10">
                  <c:v>67.345869486968198</c:v>
                </c:pt>
                <c:pt idx="11">
                  <c:v>73.943653441374195</c:v>
                </c:pt>
                <c:pt idx="12">
                  <c:v>80.531441486153852</c:v>
                </c:pt>
                <c:pt idx="13">
                  <c:v>87.058742903289399</c:v>
                </c:pt>
                <c:pt idx="14">
                  <c:v>93.627659649923842</c:v>
                </c:pt>
                <c:pt idx="15">
                  <c:v>100.1862787077462</c:v>
                </c:pt>
                <c:pt idx="16">
                  <c:v>98.161737739123097</c:v>
                </c:pt>
                <c:pt idx="17">
                  <c:v>96.128595330507807</c:v>
                </c:pt>
                <c:pt idx="18">
                  <c:v>94.04070647744291</c:v>
                </c:pt>
                <c:pt idx="19">
                  <c:v>91.991334678202691</c:v>
                </c:pt>
                <c:pt idx="20">
                  <c:v>89.932927881661456</c:v>
                </c:pt>
                <c:pt idx="21">
                  <c:v>89.850048568757643</c:v>
                </c:pt>
                <c:pt idx="22">
                  <c:v>89.771498024068691</c:v>
                </c:pt>
                <c:pt idx="23">
                  <c:v>89.692240300237202</c:v>
                </c:pt>
                <c:pt idx="24">
                  <c:v>89.612170644053009</c:v>
                </c:pt>
              </c:numCache>
            </c:numRef>
          </c:val>
          <c:extLst>
            <c:ext xmlns:c16="http://schemas.microsoft.com/office/drawing/2014/chart" uri="{C3380CC4-5D6E-409C-BE32-E72D297353CC}">
              <c16:uniqueId val="{00000007-B686-4915-8253-8982C06AF7C6}"/>
            </c:ext>
          </c:extLst>
        </c:ser>
        <c:ser>
          <c:idx val="8"/>
          <c:order val="8"/>
          <c:tx>
            <c:strRef>
              <c:f>'Results ReCiPe (H) - RD ship'!$AB$403</c:f>
              <c:strCache>
                <c:ptCount val="1"/>
                <c:pt idx="0">
                  <c:v>CO2 captured and stored</c:v>
                </c:pt>
              </c:strCache>
            </c:strRef>
          </c:tx>
          <c:spPr>
            <a:solidFill>
              <a:schemeClr val="tx2">
                <a:lumMod val="20000"/>
                <a:lumOff val="80000"/>
              </a:schemeClr>
            </a:solidFill>
            <a:ln>
              <a:noFill/>
            </a:ln>
            <a:effectLst/>
          </c:spPr>
          <c:invertIfNegative val="0"/>
          <c:cat>
            <c:numRef>
              <c:f>'Results ReCiPe (H) - RD ship'!$AC$394:$BA$394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ship'!$AC$403:$BA$403</c:f>
              <c:numCache>
                <c:formatCode>0.00E+00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8-B686-4915-8253-8982C06AF7C6}"/>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(H) - RD ship'!$AB$404</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cat>
            <c:numRef>
              <c:f>'Results ReCiPe (H) - RD ship'!$AC$394:$BA$394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 ship'!$AC$404:$BA$404</c:f>
              <c:numCache>
                <c:formatCode>0.00E+00</c:formatCode>
                <c:ptCount val="25"/>
                <c:pt idx="0">
                  <c:v>3677.6346544660446</c:v>
                </c:pt>
                <c:pt idx="1">
                  <c:v>791.67810077455772</c:v>
                </c:pt>
                <c:pt idx="2">
                  <c:v>785.80446711107038</c:v>
                </c:pt>
                <c:pt idx="3">
                  <c:v>888.78174633173353</c:v>
                </c:pt>
                <c:pt idx="4">
                  <c:v>770.44041312943205</c:v>
                </c:pt>
                <c:pt idx="5">
                  <c:v>764.4889735086274</c:v>
                </c:pt>
                <c:pt idx="6">
                  <c:v>882.91075705519211</c:v>
                </c:pt>
                <c:pt idx="7">
                  <c:v>776.85498360406677</c:v>
                </c:pt>
                <c:pt idx="8">
                  <c:v>780.50713592240811</c:v>
                </c:pt>
                <c:pt idx="9">
                  <c:v>899.74593454439992</c:v>
                </c:pt>
                <c:pt idx="10">
                  <c:v>792.47859111076104</c:v>
                </c:pt>
                <c:pt idx="11">
                  <c:v>798.44890331061652</c:v>
                </c:pt>
                <c:pt idx="12">
                  <c:v>918.03260730569059</c:v>
                </c:pt>
                <c:pt idx="13">
                  <c:v>809.72074314590952</c:v>
                </c:pt>
                <c:pt idx="14">
                  <c:v>815.68046981241639</c:v>
                </c:pt>
                <c:pt idx="15">
                  <c:v>935.00190905420095</c:v>
                </c:pt>
                <c:pt idx="16">
                  <c:v>818.12487618255386</c:v>
                </c:pt>
                <c:pt idx="17">
                  <c:v>814.63335420821386</c:v>
                </c:pt>
                <c:pt idx="18">
                  <c:v>922.80064611796877</c:v>
                </c:pt>
                <c:pt idx="19">
                  <c:v>807.0297963106816</c:v>
                </c:pt>
                <c:pt idx="20">
                  <c:v>803.46336848285705</c:v>
                </c:pt>
                <c:pt idx="21">
                  <c:v>914.60419009267878</c:v>
                </c:pt>
                <c:pt idx="22">
                  <c:v>802.60402904974762</c:v>
                </c:pt>
                <c:pt idx="23">
                  <c:v>802.17860183103471</c:v>
                </c:pt>
                <c:pt idx="24">
                  <c:v>952.54026449379273</c:v>
                </c:pt>
              </c:numCache>
            </c:numRef>
          </c:val>
          <c:smooth val="0"/>
          <c:extLst>
            <c:ext xmlns:c16="http://schemas.microsoft.com/office/drawing/2014/chart" uri="{C3380CC4-5D6E-409C-BE32-E72D297353CC}">
              <c16:uniqueId val="{00000009-B686-4915-8253-8982C06AF7C6}"/>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Resource damage</a:t>
                </a:r>
              </a:p>
              <a:p>
                <a:pPr algn="ctr" rtl="0">
                  <a:defRPr/>
                </a:pPr>
                <a:r>
                  <a:rPr lang="nl-NL"/>
                  <a:t>[USD2013/ton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CC ship'!$AB$10</c:f>
              <c:strCache>
                <c:ptCount val="1"/>
                <c:pt idx="0">
                  <c:v>Construction - DAC</c:v>
                </c:pt>
              </c:strCache>
            </c:strRef>
          </c:tx>
          <c:spPr>
            <a:solidFill>
              <a:schemeClr val="accent4">
                <a:lumMod val="75000"/>
              </a:schemeClr>
            </a:solidFill>
            <a:ln>
              <a:noFill/>
            </a:ln>
            <a:effectLst/>
          </c:spPr>
          <c:invertIfNegative val="0"/>
          <c:val>
            <c:numRef>
              <c:f>'Results ReCiPe (H) - CC ship'!$AC$10:$BA$10</c:f>
              <c:numCache>
                <c:formatCode>0.00E+00</c:formatCode>
                <c:ptCount val="25"/>
                <c:pt idx="0">
                  <c:v>38347.290835764303</c:v>
                </c:pt>
              </c:numCache>
            </c:numRef>
          </c:val>
          <c:extLst>
            <c:ext xmlns:c15="http://schemas.microsoft.com/office/drawing/2012/chart" uri="{02D57815-91ED-43cb-92C2-25804820EDAC}">
              <c15:filteredCategoryTitle>
                <c15:cat>
                  <c:numRef>
                    <c:extLst>
                      <c:ext uri="{02D57815-91ED-43cb-92C2-25804820EDAC}">
                        <c15:formulaRef>
                          <c15:sqref>'Results ReCiPe (H) - CC ship'!$AC$9:$BA$9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0-E58A-4450-ADA1-9ECE52214C47}"/>
            </c:ext>
          </c:extLst>
        </c:ser>
        <c:ser>
          <c:idx val="1"/>
          <c:order val="1"/>
          <c:tx>
            <c:strRef>
              <c:f>'Results ReCiPe (H) - CC ship'!$AB$11</c:f>
              <c:strCache>
                <c:ptCount val="1"/>
                <c:pt idx="0">
                  <c:v>Construction - geological storage</c:v>
                </c:pt>
              </c:strCache>
            </c:strRef>
          </c:tx>
          <c:spPr>
            <a:solidFill>
              <a:schemeClr val="accent4">
                <a:lumMod val="60000"/>
                <a:lumOff val="40000"/>
              </a:schemeClr>
            </a:solidFill>
            <a:ln>
              <a:noFill/>
            </a:ln>
            <a:effectLst/>
          </c:spPr>
          <c:invertIfNegative val="0"/>
          <c:val>
            <c:numRef>
              <c:f>'Results ReCiPe (H) - CC ship'!$AC$11:$BA$11</c:f>
              <c:numCache>
                <c:formatCode>0.00E+00</c:formatCode>
                <c:ptCount val="25"/>
                <c:pt idx="0">
                  <c:v>2481.0563584021374</c:v>
                </c:pt>
              </c:numCache>
            </c:numRef>
          </c:val>
          <c:extLst>
            <c:ext xmlns:c15="http://schemas.microsoft.com/office/drawing/2012/chart" uri="{02D57815-91ED-43cb-92C2-25804820EDAC}">
              <c15:filteredCategoryTitle>
                <c15:cat>
                  <c:numRef>
                    <c:extLst>
                      <c:ext uri="{02D57815-91ED-43cb-92C2-25804820EDAC}">
                        <c15:formulaRef>
                          <c15:sqref>'Results ReCiPe (H) - CC ship'!$AC$9:$BA$9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1-E58A-4450-ADA1-9ECE52214C47}"/>
            </c:ext>
          </c:extLst>
        </c:ser>
        <c:ser>
          <c:idx val="2"/>
          <c:order val="2"/>
          <c:tx>
            <c:strRef>
              <c:f>'Results ReCiPe (H) - CC ship'!$AB$12</c:f>
              <c:strCache>
                <c:ptCount val="1"/>
                <c:pt idx="0">
                  <c:v>Deconstruction - DAC</c:v>
                </c:pt>
              </c:strCache>
            </c:strRef>
          </c:tx>
          <c:spPr>
            <a:solidFill>
              <a:schemeClr val="accent2">
                <a:lumMod val="40000"/>
                <a:lumOff val="60000"/>
              </a:schemeClr>
            </a:solidFill>
            <a:ln>
              <a:noFill/>
            </a:ln>
            <a:effectLst/>
          </c:spPr>
          <c:invertIfNegative val="0"/>
          <c:val>
            <c:numRef>
              <c:f>'Results ReCiPe (H) - CC ship'!$AC$12:$BA$12</c:f>
              <c:numCache>
                <c:formatCode>0.00E+00</c:formatCode>
                <c:ptCount val="25"/>
                <c:pt idx="24">
                  <c:v>691.18373370688425</c:v>
                </c:pt>
              </c:numCache>
            </c:numRef>
          </c:val>
          <c:extLst>
            <c:ext xmlns:c15="http://schemas.microsoft.com/office/drawing/2012/chart" uri="{02D57815-91ED-43cb-92C2-25804820EDAC}">
              <c15:filteredCategoryTitle>
                <c15:cat>
                  <c:numRef>
                    <c:extLst>
                      <c:ext uri="{02D57815-91ED-43cb-92C2-25804820EDAC}">
                        <c15:formulaRef>
                          <c15:sqref>'Results ReCiPe (H) - CC ship'!$AC$9:$BA$9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2-E58A-4450-ADA1-9ECE52214C47}"/>
            </c:ext>
          </c:extLst>
        </c:ser>
        <c:ser>
          <c:idx val="3"/>
          <c:order val="3"/>
          <c:tx>
            <c:strRef>
              <c:f>'Results ReCiPe (H) - CC ship'!$AB$13</c:f>
              <c:strCache>
                <c:ptCount val="1"/>
                <c:pt idx="0">
                  <c:v>Deconstruction - geological storage</c:v>
                </c:pt>
              </c:strCache>
            </c:strRef>
          </c:tx>
          <c:spPr>
            <a:solidFill>
              <a:srgbClr val="FF9900"/>
            </a:solidFill>
            <a:ln>
              <a:noFill/>
            </a:ln>
            <a:effectLst/>
          </c:spPr>
          <c:invertIfNegative val="0"/>
          <c:val>
            <c:numRef>
              <c:f>'Results ReCiPe (H) - CC ship'!$AC$13:$BA$13</c:f>
              <c:numCache>
                <c:formatCode>0.00E+00</c:formatCode>
                <c:ptCount val="25"/>
                <c:pt idx="24">
                  <c:v>22.494520912096178</c:v>
                </c:pt>
              </c:numCache>
            </c:numRef>
          </c:val>
          <c:extLst>
            <c:ext xmlns:c15="http://schemas.microsoft.com/office/drawing/2012/chart" uri="{02D57815-91ED-43cb-92C2-25804820EDAC}">
              <c15:filteredCategoryTitle>
                <c15:cat>
                  <c:numRef>
                    <c:extLst>
                      <c:ext uri="{02D57815-91ED-43cb-92C2-25804820EDAC}">
                        <c15:formulaRef>
                          <c15:sqref>'Results ReCiPe (H) - CC ship'!$AC$9:$BA$9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3-E58A-4450-ADA1-9ECE52214C47}"/>
            </c:ext>
          </c:extLst>
        </c:ser>
        <c:ser>
          <c:idx val="4"/>
          <c:order val="4"/>
          <c:tx>
            <c:strRef>
              <c:f>'Results ReCiPe (H) - CC ship'!$AB$14</c:f>
              <c:strCache>
                <c:ptCount val="1"/>
                <c:pt idx="0">
                  <c:v>Sorbent material</c:v>
                </c:pt>
              </c:strCache>
            </c:strRef>
          </c:tx>
          <c:spPr>
            <a:solidFill>
              <a:srgbClr val="FF8F8F"/>
            </a:solidFill>
            <a:ln>
              <a:noFill/>
            </a:ln>
            <a:effectLst/>
          </c:spPr>
          <c:invertIfNegative val="0"/>
          <c:val>
            <c:numRef>
              <c:f>'Results ReCiPe (H) - CC ship'!$AC$14:$BA$14</c:f>
              <c:numCache>
                <c:formatCode>0.00E+00</c:formatCode>
                <c:ptCount val="25"/>
                <c:pt idx="0">
                  <c:v>1186.4815932558031</c:v>
                </c:pt>
                <c:pt idx="3">
                  <c:v>1175.2724845293581</c:v>
                </c:pt>
                <c:pt idx="6">
                  <c:v>1172.0887619145631</c:v>
                </c:pt>
                <c:pt idx="9">
                  <c:v>1171.5419235181971</c:v>
                </c:pt>
                <c:pt idx="12">
                  <c:v>1176.0346869666</c:v>
                </c:pt>
                <c:pt idx="15">
                  <c:v>1180.8592879535349</c:v>
                </c:pt>
                <c:pt idx="18">
                  <c:v>1165.597336992987</c:v>
                </c:pt>
                <c:pt idx="21">
                  <c:v>1149.242533712596</c:v>
                </c:pt>
                <c:pt idx="24">
                  <c:v>1126.377758844686</c:v>
                </c:pt>
              </c:numCache>
            </c:numRef>
          </c:val>
          <c:extLst>
            <c:ext xmlns:c15="http://schemas.microsoft.com/office/drawing/2012/chart" uri="{02D57815-91ED-43cb-92C2-25804820EDAC}">
              <c15:filteredCategoryTitle>
                <c15:cat>
                  <c:numRef>
                    <c:extLst>
                      <c:ext uri="{02D57815-91ED-43cb-92C2-25804820EDAC}">
                        <c15:formulaRef>
                          <c15:sqref>'Results ReCiPe (H) - CC ship'!$AC$9:$BA$9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4-E58A-4450-ADA1-9ECE52214C47}"/>
            </c:ext>
          </c:extLst>
        </c:ser>
        <c:ser>
          <c:idx val="5"/>
          <c:order val="5"/>
          <c:tx>
            <c:strRef>
              <c:f>'Results ReCiPe (H) - CC ship'!$AB$15</c:f>
              <c:strCache>
                <c:ptCount val="1"/>
                <c:pt idx="0">
                  <c:v>Operation - DAC</c:v>
                </c:pt>
              </c:strCache>
            </c:strRef>
          </c:tx>
          <c:spPr>
            <a:solidFill>
              <a:schemeClr val="accent2">
                <a:lumMod val="75000"/>
              </a:schemeClr>
            </a:solidFill>
            <a:ln>
              <a:noFill/>
            </a:ln>
            <a:effectLst/>
          </c:spPr>
          <c:invertIfNegative val="0"/>
          <c:val>
            <c:numRef>
              <c:f>'Results ReCiPe (H) - CC ship'!$AC$15:$BA$15</c:f>
              <c:numCache>
                <c:formatCode>0.00E+00</c:formatCode>
                <c:ptCount val="25"/>
                <c:pt idx="0">
                  <c:v>36734.495656845553</c:v>
                </c:pt>
                <c:pt idx="1">
                  <c:v>36705.802152032702</c:v>
                </c:pt>
                <c:pt idx="2">
                  <c:v>36677.329936227477</c:v>
                </c:pt>
                <c:pt idx="3">
                  <c:v>36618.99229773604</c:v>
                </c:pt>
                <c:pt idx="4">
                  <c:v>36591.105469856782</c:v>
                </c:pt>
                <c:pt idx="5">
                  <c:v>36563.265309828312</c:v>
                </c:pt>
                <c:pt idx="6">
                  <c:v>39240.319498199191</c:v>
                </c:pt>
                <c:pt idx="7">
                  <c:v>41911.667239019072</c:v>
                </c:pt>
                <c:pt idx="8">
                  <c:v>44557.764024419906</c:v>
                </c:pt>
                <c:pt idx="9">
                  <c:v>47220.629336551283</c:v>
                </c:pt>
                <c:pt idx="10">
                  <c:v>49875.089223622163</c:v>
                </c:pt>
                <c:pt idx="11">
                  <c:v>54558.265422112207</c:v>
                </c:pt>
                <c:pt idx="12">
                  <c:v>59242.823156922459</c:v>
                </c:pt>
                <c:pt idx="13">
                  <c:v>63925.13543891225</c:v>
                </c:pt>
                <c:pt idx="14">
                  <c:v>68612.132681845673</c:v>
                </c:pt>
                <c:pt idx="15">
                  <c:v>73300.410775560464</c:v>
                </c:pt>
                <c:pt idx="16">
                  <c:v>74130.070039558923</c:v>
                </c:pt>
                <c:pt idx="17">
                  <c:v>74959.304908222664</c:v>
                </c:pt>
                <c:pt idx="18">
                  <c:v>75785.007711992759</c:v>
                </c:pt>
                <c:pt idx="19">
                  <c:v>76613.765501983973</c:v>
                </c:pt>
                <c:pt idx="20">
                  <c:v>77442.351857305272</c:v>
                </c:pt>
                <c:pt idx="21">
                  <c:v>76929.198465091424</c:v>
                </c:pt>
                <c:pt idx="22">
                  <c:v>75047.062913840171</c:v>
                </c:pt>
                <c:pt idx="23">
                  <c:v>73158.834712232681</c:v>
                </c:pt>
                <c:pt idx="24">
                  <c:v>71264.45297187168</c:v>
                </c:pt>
              </c:numCache>
            </c:numRef>
          </c:val>
          <c:extLst>
            <c:ext xmlns:c15="http://schemas.microsoft.com/office/drawing/2012/chart" uri="{02D57815-91ED-43cb-92C2-25804820EDAC}">
              <c15:filteredCategoryTitle>
                <c15:cat>
                  <c:numRef>
                    <c:extLst>
                      <c:ext uri="{02D57815-91ED-43cb-92C2-25804820EDAC}">
                        <c15:formulaRef>
                          <c15:sqref>'Results ReCiPe (H) - CC ship'!$AC$9:$BA$9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5-E58A-4450-ADA1-9ECE52214C47}"/>
            </c:ext>
          </c:extLst>
        </c:ser>
        <c:ser>
          <c:idx val="6"/>
          <c:order val="6"/>
          <c:tx>
            <c:strRef>
              <c:f>'Results ReCiPe (H) - CC ship'!$AB$16</c:f>
              <c:strCache>
                <c:ptCount val="1"/>
                <c:pt idx="0">
                  <c:v>Operation - geological storage</c:v>
                </c:pt>
              </c:strCache>
            </c:strRef>
          </c:tx>
          <c:spPr>
            <a:solidFill>
              <a:schemeClr val="accent2">
                <a:lumMod val="50000"/>
              </a:schemeClr>
            </a:solidFill>
            <a:ln>
              <a:noFill/>
            </a:ln>
            <a:effectLst/>
          </c:spPr>
          <c:invertIfNegative val="0"/>
          <c:val>
            <c:numRef>
              <c:f>'Results ReCiPe (H) - CC ship'!$AC$16:$BA$16</c:f>
              <c:numCache>
                <c:formatCode>0.00E+00</c:formatCode>
                <c:ptCount val="25"/>
                <c:pt idx="0">
                  <c:v>5483.7210782034726</c:v>
                </c:pt>
                <c:pt idx="1">
                  <c:v>5477.0008491218232</c:v>
                </c:pt>
                <c:pt idx="2">
                  <c:v>5470.3030160691023</c:v>
                </c:pt>
                <c:pt idx="3">
                  <c:v>5460.8631800234189</c:v>
                </c:pt>
                <c:pt idx="4">
                  <c:v>5454.2158814037175</c:v>
                </c:pt>
                <c:pt idx="5">
                  <c:v>5447.5729914958647</c:v>
                </c:pt>
                <c:pt idx="6">
                  <c:v>5646.3269571408127</c:v>
                </c:pt>
                <c:pt idx="7">
                  <c:v>5844.0888349853431</c:v>
                </c:pt>
                <c:pt idx="8">
                  <c:v>6039.0716185524834</c:v>
                </c:pt>
                <c:pt idx="9">
                  <c:v>6235.0783155182125</c:v>
                </c:pt>
                <c:pt idx="10">
                  <c:v>6429.8927408336185</c:v>
                </c:pt>
                <c:pt idx="11">
                  <c:v>6777.5581203392067</c:v>
                </c:pt>
                <c:pt idx="12">
                  <c:v>7124.5398692324425</c:v>
                </c:pt>
                <c:pt idx="13">
                  <c:v>7470.4952093228812</c:v>
                </c:pt>
                <c:pt idx="14">
                  <c:v>7816.0842543556073</c:v>
                </c:pt>
                <c:pt idx="15">
                  <c:v>8160.9809130108788</c:v>
                </c:pt>
                <c:pt idx="16">
                  <c:v>8217.1017755550274</c:v>
                </c:pt>
                <c:pt idx="17">
                  <c:v>8273.0692702046581</c:v>
                </c:pt>
                <c:pt idx="18">
                  <c:v>8328.5800540018809</c:v>
                </c:pt>
                <c:pt idx="19">
                  <c:v>8384.2661632540076</c:v>
                </c:pt>
                <c:pt idx="20">
                  <c:v>8439.8154966497877</c:v>
                </c:pt>
                <c:pt idx="21">
                  <c:v>8389.6999391174741</c:v>
                </c:pt>
                <c:pt idx="22">
                  <c:v>8238.2761311693775</c:v>
                </c:pt>
                <c:pt idx="23">
                  <c:v>8086.9554059166458</c:v>
                </c:pt>
                <c:pt idx="24">
                  <c:v>7935.7342288324799</c:v>
                </c:pt>
              </c:numCache>
            </c:numRef>
          </c:val>
          <c:extLst>
            <c:ext xmlns:c15="http://schemas.microsoft.com/office/drawing/2012/chart" uri="{02D57815-91ED-43cb-92C2-25804820EDAC}">
              <c15:filteredCategoryTitle>
                <c15:cat>
                  <c:numRef>
                    <c:extLst>
                      <c:ext uri="{02D57815-91ED-43cb-92C2-25804820EDAC}">
                        <c15:formulaRef>
                          <c15:sqref>'Results ReCiPe (H) - CC ship'!$AC$9:$BA$9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6-E58A-4450-ADA1-9ECE52214C47}"/>
            </c:ext>
          </c:extLst>
        </c:ser>
        <c:ser>
          <c:idx val="7"/>
          <c:order val="7"/>
          <c:tx>
            <c:strRef>
              <c:f>'Results ReCiPe (H) - CC ship'!$AB$17</c:f>
              <c:strCache>
                <c:ptCount val="1"/>
                <c:pt idx="0">
                  <c:v>CO2 captured and stored</c:v>
                </c:pt>
              </c:strCache>
            </c:strRef>
          </c:tx>
          <c:spPr>
            <a:solidFill>
              <a:schemeClr val="tx2">
                <a:lumMod val="20000"/>
                <a:lumOff val="80000"/>
              </a:schemeClr>
            </a:solidFill>
            <a:ln>
              <a:noFill/>
            </a:ln>
            <a:effectLst/>
          </c:spPr>
          <c:invertIfNegative val="0"/>
          <c:val>
            <c:numRef>
              <c:f>'Results ReCiPe (H) - CC ship'!$AC$17:$BA$17</c:f>
              <c:numCache>
                <c:formatCode>0.00E+00</c:formatCode>
                <c:ptCount val="25"/>
                <c:pt idx="0">
                  <c:v>-100000</c:v>
                </c:pt>
                <c:pt idx="1">
                  <c:v>-100000</c:v>
                </c:pt>
                <c:pt idx="2">
                  <c:v>-100000</c:v>
                </c:pt>
                <c:pt idx="3">
                  <c:v>-100000</c:v>
                </c:pt>
                <c:pt idx="4">
                  <c:v>-100000</c:v>
                </c:pt>
                <c:pt idx="5">
                  <c:v>-100000</c:v>
                </c:pt>
                <c:pt idx="6">
                  <c:v>-100000</c:v>
                </c:pt>
                <c:pt idx="7">
                  <c:v>-100000</c:v>
                </c:pt>
                <c:pt idx="8">
                  <c:v>-100000</c:v>
                </c:pt>
                <c:pt idx="9">
                  <c:v>-100000</c:v>
                </c:pt>
                <c:pt idx="10">
                  <c:v>-100000</c:v>
                </c:pt>
                <c:pt idx="11">
                  <c:v>-100000</c:v>
                </c:pt>
                <c:pt idx="12">
                  <c:v>-100000</c:v>
                </c:pt>
                <c:pt idx="13">
                  <c:v>-100000</c:v>
                </c:pt>
                <c:pt idx="14">
                  <c:v>-100000</c:v>
                </c:pt>
                <c:pt idx="15">
                  <c:v>-100000</c:v>
                </c:pt>
                <c:pt idx="16">
                  <c:v>-100000</c:v>
                </c:pt>
                <c:pt idx="17">
                  <c:v>-100000</c:v>
                </c:pt>
                <c:pt idx="18">
                  <c:v>-100000</c:v>
                </c:pt>
                <c:pt idx="19">
                  <c:v>-100000</c:v>
                </c:pt>
                <c:pt idx="20">
                  <c:v>-100000</c:v>
                </c:pt>
                <c:pt idx="21">
                  <c:v>-100000</c:v>
                </c:pt>
                <c:pt idx="22">
                  <c:v>-100000</c:v>
                </c:pt>
                <c:pt idx="23">
                  <c:v>-100000</c:v>
                </c:pt>
                <c:pt idx="24">
                  <c:v>-100000</c:v>
                </c:pt>
              </c:numCache>
            </c:numRef>
          </c:val>
          <c:extLst>
            <c:ext xmlns:c15="http://schemas.microsoft.com/office/drawing/2012/chart" uri="{02D57815-91ED-43cb-92C2-25804820EDAC}">
              <c15:filteredCategoryTitle>
                <c15:cat>
                  <c:numRef>
                    <c:extLst>
                      <c:ext uri="{02D57815-91ED-43cb-92C2-25804820EDAC}">
                        <c15:formulaRef>
                          <c15:sqref>'Results ReCiPe (H) - CC ship'!$AC$9:$BA$9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7-E58A-4450-ADA1-9ECE52214C47}"/>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CC ship'!$AB$18</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val>
            <c:numRef>
              <c:f>'Results ReCiPe (H) - CC ship'!$AC$18:$BA$18</c:f>
              <c:numCache>
                <c:formatCode>0.00E+00</c:formatCode>
                <c:ptCount val="25"/>
                <c:pt idx="0">
                  <c:v>-15766.954477528736</c:v>
                </c:pt>
                <c:pt idx="1">
                  <c:v>-57817.196998845473</c:v>
                </c:pt>
                <c:pt idx="2">
                  <c:v>-57852.367047703417</c:v>
                </c:pt>
                <c:pt idx="3">
                  <c:v>-56744.872037711182</c:v>
                </c:pt>
                <c:pt idx="4">
                  <c:v>-57954.6786487395</c:v>
                </c:pt>
                <c:pt idx="5">
                  <c:v>-57989.161698675824</c:v>
                </c:pt>
                <c:pt idx="6">
                  <c:v>-53941.264782745435</c:v>
                </c:pt>
                <c:pt idx="7">
                  <c:v>-52244.243925995586</c:v>
                </c:pt>
                <c:pt idx="8">
                  <c:v>-49403.164357027606</c:v>
                </c:pt>
                <c:pt idx="9">
                  <c:v>-45372.750424412305</c:v>
                </c:pt>
                <c:pt idx="10">
                  <c:v>-43695.018035544221</c:v>
                </c:pt>
                <c:pt idx="11">
                  <c:v>-38664.176457548587</c:v>
                </c:pt>
                <c:pt idx="12">
                  <c:v>-32456.602286878493</c:v>
                </c:pt>
                <c:pt idx="13">
                  <c:v>-28604.369351764864</c:v>
                </c:pt>
                <c:pt idx="14">
                  <c:v>-23571.783063798721</c:v>
                </c:pt>
                <c:pt idx="15">
                  <c:v>-17357.749023475131</c:v>
                </c:pt>
                <c:pt idx="16">
                  <c:v>-17652.82818488605</c:v>
                </c:pt>
                <c:pt idx="17">
                  <c:v>-16767.62582157267</c:v>
                </c:pt>
                <c:pt idx="18">
                  <c:v>-14720.814897012373</c:v>
                </c:pt>
                <c:pt idx="19">
                  <c:v>-15001.968334762016</c:v>
                </c:pt>
                <c:pt idx="20">
                  <c:v>-14117.832646044946</c:v>
                </c:pt>
                <c:pt idx="21">
                  <c:v>-13531.859062078511</c:v>
                </c:pt>
                <c:pt idx="22">
                  <c:v>-16714.660954990453</c:v>
                </c:pt>
                <c:pt idx="23">
                  <c:v>-18754.209881850678</c:v>
                </c:pt>
                <c:pt idx="24">
                  <c:v>-18959.756785832171</c:v>
                </c:pt>
              </c:numCache>
            </c:numRef>
          </c:val>
          <c:smooth val="0"/>
          <c:extLst>
            <c:ext xmlns:c15="http://schemas.microsoft.com/office/drawing/2012/chart" uri="{02D57815-91ED-43cb-92C2-25804820EDAC}">
              <c15:filteredCategoryTitle>
                <c15:cat>
                  <c:numRef>
                    <c:extLst>
                      <c:ext uri="{02D57815-91ED-43cb-92C2-25804820EDAC}">
                        <c15:formulaRef>
                          <c15:sqref>'Results ReCiPe (H) - CC ship'!$AC$9:$BA$9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8-E58A-4450-ADA1-9ECE52214C47}"/>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mn-ea"/>
                    <a:cs typeface="+mn-cs"/>
                  </a:defRPr>
                </a:pPr>
                <a:r>
                  <a:rPr lang="nl-NL"/>
                  <a:t>years</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mn-ea"/>
                  <a:cs typeface="+mn-cs"/>
                </a:defRPr>
              </a:pPr>
              <a:endParaRPr lang="en-NL"/>
            </a:p>
          </c:txPr>
        </c:title>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Verdana Pro" panose="020B0604030504040204" pitchFamily="34" charset="0"/>
                    <a:ea typeface="+mn-ea"/>
                    <a:cs typeface="+mn-cs"/>
                  </a:defRPr>
                </a:pPr>
                <a:r>
                  <a:rPr lang="nl-NL"/>
                  <a:t>Climate change</a:t>
                </a:r>
              </a:p>
              <a:p>
                <a:pPr algn="ctr" rtl="0">
                  <a:defRPr/>
                </a:pPr>
                <a:r>
                  <a:rPr lang="nl-NL"/>
                  <a:t>(kg CO2-eq/ton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Verdana Pro" panose="020B0604030504040204" pitchFamily="34" charset="0"/>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Verdana Pro" panose="020B0604030504040204" pitchFamily="34" charset="0"/>
        </a:defRPr>
      </a:pPr>
      <a:endParaRPr lang="en-NL"/>
    </a:p>
  </c:txPr>
  <c:printSettings>
    <c:headerFooter/>
    <c:pageMargins b="0.75" l="0.7" r="0.7" t="0.75" header="0.3" footer="0.3"/>
    <c:pageSetup/>
  </c:printSettings>
</c:chartSpace>
</file>

<file path=xl/charts/chart1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CC ship'!$AB$50</c:f>
              <c:strCache>
                <c:ptCount val="1"/>
                <c:pt idx="0">
                  <c:v>Construction - DAC</c:v>
                </c:pt>
              </c:strCache>
            </c:strRef>
          </c:tx>
          <c:spPr>
            <a:solidFill>
              <a:schemeClr val="accent4">
                <a:lumMod val="75000"/>
              </a:schemeClr>
            </a:solidFill>
            <a:ln>
              <a:noFill/>
            </a:ln>
            <a:effectLst/>
          </c:spPr>
          <c:invertIfNegative val="0"/>
          <c:val>
            <c:numRef>
              <c:f>'Results ReCiPe (H) - CC ship'!$AC$50:$BA$50</c:f>
              <c:numCache>
                <c:formatCode>0.00E+00</c:formatCode>
                <c:ptCount val="25"/>
                <c:pt idx="0">
                  <c:v>35571.801809533943</c:v>
                </c:pt>
              </c:numCache>
            </c:numRef>
          </c:val>
          <c:extLst>
            <c:ext xmlns:c15="http://schemas.microsoft.com/office/drawing/2012/chart" uri="{02D57815-91ED-43cb-92C2-25804820EDAC}">
              <c15:filteredCategoryTitle>
                <c15:cat>
                  <c:numRef>
                    <c:extLst>
                      <c:ext uri="{02D57815-91ED-43cb-92C2-25804820EDAC}">
                        <c15:formulaRef>
                          <c15:sqref>'Results ReCiPe (H) - CC ship'!$AC$49:$BA$49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0-86D4-4508-985C-D95F9662257D}"/>
            </c:ext>
          </c:extLst>
        </c:ser>
        <c:ser>
          <c:idx val="1"/>
          <c:order val="1"/>
          <c:tx>
            <c:strRef>
              <c:f>'Results ReCiPe (H) - CC ship'!$AB$51</c:f>
              <c:strCache>
                <c:ptCount val="1"/>
                <c:pt idx="0">
                  <c:v>Construction - geological storage</c:v>
                </c:pt>
              </c:strCache>
            </c:strRef>
          </c:tx>
          <c:spPr>
            <a:solidFill>
              <a:schemeClr val="accent4">
                <a:lumMod val="60000"/>
                <a:lumOff val="40000"/>
              </a:schemeClr>
            </a:solidFill>
            <a:ln>
              <a:noFill/>
            </a:ln>
            <a:effectLst/>
          </c:spPr>
          <c:invertIfNegative val="0"/>
          <c:val>
            <c:numRef>
              <c:f>'Results ReCiPe (H) - CC ship'!$AC$51:$BA$51</c:f>
              <c:numCache>
                <c:formatCode>0.00E+00</c:formatCode>
                <c:ptCount val="25"/>
                <c:pt idx="0">
                  <c:v>2321.3557239996653</c:v>
                </c:pt>
              </c:numCache>
            </c:numRef>
          </c:val>
          <c:extLst>
            <c:ext xmlns:c15="http://schemas.microsoft.com/office/drawing/2012/chart" uri="{02D57815-91ED-43cb-92C2-25804820EDAC}">
              <c15:filteredCategoryTitle>
                <c15:cat>
                  <c:numRef>
                    <c:extLst>
                      <c:ext uri="{02D57815-91ED-43cb-92C2-25804820EDAC}">
                        <c15:formulaRef>
                          <c15:sqref>'Results ReCiPe (H) - CC ship'!$AC$49:$BA$49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1-86D4-4508-985C-D95F9662257D}"/>
            </c:ext>
          </c:extLst>
        </c:ser>
        <c:ser>
          <c:idx val="2"/>
          <c:order val="2"/>
          <c:tx>
            <c:strRef>
              <c:f>'Results ReCiPe (H) - CC ship'!$AB$52</c:f>
              <c:strCache>
                <c:ptCount val="1"/>
                <c:pt idx="0">
                  <c:v>Deconstruction - DAC</c:v>
                </c:pt>
              </c:strCache>
            </c:strRef>
          </c:tx>
          <c:spPr>
            <a:solidFill>
              <a:schemeClr val="accent2">
                <a:lumMod val="40000"/>
                <a:lumOff val="60000"/>
              </a:schemeClr>
            </a:solidFill>
            <a:ln>
              <a:noFill/>
            </a:ln>
            <a:effectLst/>
          </c:spPr>
          <c:invertIfNegative val="0"/>
          <c:val>
            <c:numRef>
              <c:f>'Results ReCiPe (H) - CC ship'!$AC$52:$BA$52</c:f>
              <c:numCache>
                <c:formatCode>0.00E+00</c:formatCode>
                <c:ptCount val="25"/>
                <c:pt idx="24">
                  <c:v>578.38595176265494</c:v>
                </c:pt>
              </c:numCache>
            </c:numRef>
          </c:val>
          <c:extLst>
            <c:ext xmlns:c15="http://schemas.microsoft.com/office/drawing/2012/chart" uri="{02D57815-91ED-43cb-92C2-25804820EDAC}">
              <c15:filteredCategoryTitle>
                <c15:cat>
                  <c:numRef>
                    <c:extLst>
                      <c:ext uri="{02D57815-91ED-43cb-92C2-25804820EDAC}">
                        <c15:formulaRef>
                          <c15:sqref>'Results ReCiPe (H) - CC ship'!$AC$49:$BA$49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2-86D4-4508-985C-D95F9662257D}"/>
            </c:ext>
          </c:extLst>
        </c:ser>
        <c:ser>
          <c:idx val="3"/>
          <c:order val="3"/>
          <c:tx>
            <c:strRef>
              <c:f>'Results ReCiPe (H) - CC ship'!$AB$53</c:f>
              <c:strCache>
                <c:ptCount val="1"/>
                <c:pt idx="0">
                  <c:v>Deconstruction - geological storage</c:v>
                </c:pt>
              </c:strCache>
            </c:strRef>
          </c:tx>
          <c:spPr>
            <a:solidFill>
              <a:srgbClr val="FF9900"/>
            </a:solidFill>
            <a:ln>
              <a:noFill/>
            </a:ln>
            <a:effectLst/>
          </c:spPr>
          <c:invertIfNegative val="0"/>
          <c:val>
            <c:numRef>
              <c:f>'Results ReCiPe (H) - CC ship'!$AC$53:$BA$53</c:f>
              <c:numCache>
                <c:formatCode>0.00E+00</c:formatCode>
                <c:ptCount val="25"/>
                <c:pt idx="24">
                  <c:v>20.958999559062121</c:v>
                </c:pt>
              </c:numCache>
            </c:numRef>
          </c:val>
          <c:extLst>
            <c:ext xmlns:c15="http://schemas.microsoft.com/office/drawing/2012/chart" uri="{02D57815-91ED-43cb-92C2-25804820EDAC}">
              <c15:filteredCategoryTitle>
                <c15:cat>
                  <c:numRef>
                    <c:extLst>
                      <c:ext uri="{02D57815-91ED-43cb-92C2-25804820EDAC}">
                        <c15:formulaRef>
                          <c15:sqref>'Results ReCiPe (H) - CC ship'!$AC$49:$BA$49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3-86D4-4508-985C-D95F9662257D}"/>
            </c:ext>
          </c:extLst>
        </c:ser>
        <c:ser>
          <c:idx val="4"/>
          <c:order val="4"/>
          <c:tx>
            <c:strRef>
              <c:f>'Results ReCiPe (H) - CC ship'!$AB$54</c:f>
              <c:strCache>
                <c:ptCount val="1"/>
                <c:pt idx="0">
                  <c:v>Sorbent material</c:v>
                </c:pt>
              </c:strCache>
            </c:strRef>
          </c:tx>
          <c:spPr>
            <a:solidFill>
              <a:srgbClr val="FF8F8F"/>
            </a:solidFill>
            <a:ln>
              <a:noFill/>
            </a:ln>
            <a:effectLst/>
          </c:spPr>
          <c:invertIfNegative val="0"/>
          <c:val>
            <c:numRef>
              <c:f>'Results ReCiPe (H) - CC ship'!$AC$54:$BA$54</c:f>
              <c:numCache>
                <c:formatCode>0.00E+00</c:formatCode>
                <c:ptCount val="25"/>
                <c:pt idx="0">
                  <c:v>1148.3409729516229</c:v>
                </c:pt>
                <c:pt idx="3">
                  <c:v>1112.2182425813739</c:v>
                </c:pt>
                <c:pt idx="6">
                  <c:v>1076.9191461281321</c:v>
                </c:pt>
                <c:pt idx="9">
                  <c:v>1031.286216035297</c:v>
                </c:pt>
                <c:pt idx="12">
                  <c:v>977.44851845379105</c:v>
                </c:pt>
                <c:pt idx="15">
                  <c:v>917.987027187487</c:v>
                </c:pt>
                <c:pt idx="18">
                  <c:v>875.86379727760391</c:v>
                </c:pt>
                <c:pt idx="21">
                  <c:v>846.3879160889735</c:v>
                </c:pt>
                <c:pt idx="24">
                  <c:v>839.0363303143256</c:v>
                </c:pt>
              </c:numCache>
            </c:numRef>
          </c:val>
          <c:extLst>
            <c:ext xmlns:c15="http://schemas.microsoft.com/office/drawing/2012/chart" uri="{02D57815-91ED-43cb-92C2-25804820EDAC}">
              <c15:filteredCategoryTitle>
                <c15:cat>
                  <c:numRef>
                    <c:extLst>
                      <c:ext uri="{02D57815-91ED-43cb-92C2-25804820EDAC}">
                        <c15:formulaRef>
                          <c15:sqref>'Results ReCiPe (H) - CC ship'!$AC$49:$BA$49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4-86D4-4508-985C-D95F9662257D}"/>
            </c:ext>
          </c:extLst>
        </c:ser>
        <c:ser>
          <c:idx val="5"/>
          <c:order val="5"/>
          <c:tx>
            <c:strRef>
              <c:f>'Results ReCiPe (H) - CC ship'!$AB$55</c:f>
              <c:strCache>
                <c:ptCount val="1"/>
                <c:pt idx="0">
                  <c:v>Operation - DAC</c:v>
                </c:pt>
              </c:strCache>
            </c:strRef>
          </c:tx>
          <c:spPr>
            <a:solidFill>
              <a:schemeClr val="accent2">
                <a:lumMod val="75000"/>
              </a:schemeClr>
            </a:solidFill>
            <a:ln>
              <a:noFill/>
            </a:ln>
            <a:effectLst/>
          </c:spPr>
          <c:invertIfNegative val="0"/>
          <c:val>
            <c:numRef>
              <c:f>'Results ReCiPe (H) - CC ship'!$AC$55:$BA$55</c:f>
              <c:numCache>
                <c:formatCode>0.00E+00</c:formatCode>
                <c:ptCount val="25"/>
                <c:pt idx="0">
                  <c:v>31719.42420891019</c:v>
                </c:pt>
                <c:pt idx="1">
                  <c:v>29615.067212715021</c:v>
                </c:pt>
                <c:pt idx="2">
                  <c:v>27511.55424373363</c:v>
                </c:pt>
                <c:pt idx="3">
                  <c:v>25376.522327277871</c:v>
                </c:pt>
                <c:pt idx="4">
                  <c:v>23274.096743693699</c:v>
                </c:pt>
                <c:pt idx="5">
                  <c:v>21171.9224630998</c:v>
                </c:pt>
                <c:pt idx="6">
                  <c:v>19494.08719520552</c:v>
                </c:pt>
                <c:pt idx="7">
                  <c:v>17819.456292159281</c:v>
                </c:pt>
                <c:pt idx="8">
                  <c:v>16120.37980492665</c:v>
                </c:pt>
                <c:pt idx="9">
                  <c:v>14447.550212391679</c:v>
                </c:pt>
                <c:pt idx="10">
                  <c:v>12774.972356630589</c:v>
                </c:pt>
                <c:pt idx="11">
                  <c:v>11430.748925640561</c:v>
                </c:pt>
                <c:pt idx="12">
                  <c:v>10081.27410312286</c:v>
                </c:pt>
                <c:pt idx="13">
                  <c:v>8721.1894502593204</c:v>
                </c:pt>
                <c:pt idx="14">
                  <c:v>7361.43824243366</c:v>
                </c:pt>
                <c:pt idx="15">
                  <c:v>5996.6556679204514</c:v>
                </c:pt>
                <c:pt idx="16">
                  <c:v>5258.5143779775881</c:v>
                </c:pt>
                <c:pt idx="17">
                  <c:v>4520.3310015196421</c:v>
                </c:pt>
                <c:pt idx="18">
                  <c:v>3777.4875783923999</c:v>
                </c:pt>
                <c:pt idx="19">
                  <c:v>3039.441726812468</c:v>
                </c:pt>
                <c:pt idx="20">
                  <c:v>2301.7728813207682</c:v>
                </c:pt>
                <c:pt idx="21">
                  <c:v>2034.41682845842</c:v>
                </c:pt>
                <c:pt idx="22">
                  <c:v>1744.3514068857951</c:v>
                </c:pt>
                <c:pt idx="23">
                  <c:v>1453.308202973933</c:v>
                </c:pt>
                <c:pt idx="24">
                  <c:v>1161.2637139228491</c:v>
                </c:pt>
              </c:numCache>
            </c:numRef>
          </c:val>
          <c:extLst>
            <c:ext xmlns:c15="http://schemas.microsoft.com/office/drawing/2012/chart" uri="{02D57815-91ED-43cb-92C2-25804820EDAC}">
              <c15:filteredCategoryTitle>
                <c15:cat>
                  <c:numRef>
                    <c:extLst>
                      <c:ext uri="{02D57815-91ED-43cb-92C2-25804820EDAC}">
                        <c15:formulaRef>
                          <c15:sqref>'Results ReCiPe (H) - CC ship'!$AC$49:$BA$49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5-86D4-4508-985C-D95F9662257D}"/>
            </c:ext>
          </c:extLst>
        </c:ser>
        <c:ser>
          <c:idx val="6"/>
          <c:order val="6"/>
          <c:tx>
            <c:strRef>
              <c:f>'Results ReCiPe (H) - CC ship'!$AB$56</c:f>
              <c:strCache>
                <c:ptCount val="1"/>
                <c:pt idx="0">
                  <c:v>Operation - geological storage</c:v>
                </c:pt>
              </c:strCache>
            </c:strRef>
          </c:tx>
          <c:spPr>
            <a:solidFill>
              <a:schemeClr val="accent2">
                <a:lumMod val="50000"/>
              </a:schemeClr>
            </a:solidFill>
            <a:ln>
              <a:noFill/>
            </a:ln>
            <a:effectLst/>
          </c:spPr>
          <c:invertIfNegative val="0"/>
          <c:val>
            <c:numRef>
              <c:f>'Results ReCiPe (H) - CC ship'!$AC$56:$BA$56</c:f>
              <c:numCache>
                <c:formatCode>0.00E+00</c:formatCode>
                <c:ptCount val="25"/>
                <c:pt idx="0">
                  <c:v>5082.9496481032038</c:v>
                </c:pt>
                <c:pt idx="1">
                  <c:v>4916.3224841084248</c:v>
                </c:pt>
                <c:pt idx="2">
                  <c:v>4750.4855801159019</c:v>
                </c:pt>
                <c:pt idx="3">
                  <c:v>4582.5142413266831</c:v>
                </c:pt>
                <c:pt idx="4">
                  <c:v>4418.2090014380865</c:v>
                </c:pt>
                <c:pt idx="5">
                  <c:v>4254.6419253980548</c:v>
                </c:pt>
                <c:pt idx="6">
                  <c:v>4124.9368954637075</c:v>
                </c:pt>
                <c:pt idx="7">
                  <c:v>3995.7626131788752</c:v>
                </c:pt>
                <c:pt idx="8">
                  <c:v>3864.7196395613578</c:v>
                </c:pt>
                <c:pt idx="9">
                  <c:v>3736.2279447897663</c:v>
                </c:pt>
                <c:pt idx="10">
                  <c:v>3608.0175571905152</c:v>
                </c:pt>
                <c:pt idx="11">
                  <c:v>3504.7300074799091</c:v>
                </c:pt>
                <c:pt idx="12">
                  <c:v>3401.0888160982026</c:v>
                </c:pt>
                <c:pt idx="13">
                  <c:v>3296.6088200139266</c:v>
                </c:pt>
                <c:pt idx="14">
                  <c:v>3192.272981002468</c:v>
                </c:pt>
                <c:pt idx="15">
                  <c:v>3087.5943796480919</c:v>
                </c:pt>
                <c:pt idx="16">
                  <c:v>3030.646381777407</c:v>
                </c:pt>
                <c:pt idx="17">
                  <c:v>2973.5461646753311</c:v>
                </c:pt>
                <c:pt idx="18">
                  <c:v>2915.8794826243302</c:v>
                </c:pt>
                <c:pt idx="19">
                  <c:v>2858.4847086516688</c:v>
                </c:pt>
                <c:pt idx="20">
                  <c:v>2800.9628894299917</c:v>
                </c:pt>
                <c:pt idx="21">
                  <c:v>2780.5539312864921</c:v>
                </c:pt>
                <c:pt idx="22">
                  <c:v>2758.466432513691</c:v>
                </c:pt>
                <c:pt idx="23">
                  <c:v>2736.3737558613993</c:v>
                </c:pt>
                <c:pt idx="24">
                  <c:v>2714.2739781852852</c:v>
                </c:pt>
              </c:numCache>
            </c:numRef>
          </c:val>
          <c:extLst>
            <c:ext xmlns:c15="http://schemas.microsoft.com/office/drawing/2012/chart" uri="{02D57815-91ED-43cb-92C2-25804820EDAC}">
              <c15:filteredCategoryTitle>
                <c15:cat>
                  <c:numRef>
                    <c:extLst>
                      <c:ext uri="{02D57815-91ED-43cb-92C2-25804820EDAC}">
                        <c15:formulaRef>
                          <c15:sqref>'Results ReCiPe (H) - CC ship'!$AC$49:$BA$49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6-86D4-4508-985C-D95F9662257D}"/>
            </c:ext>
          </c:extLst>
        </c:ser>
        <c:ser>
          <c:idx val="7"/>
          <c:order val="7"/>
          <c:tx>
            <c:strRef>
              <c:f>'Results ReCiPe (H) - CC ship'!$AB$57</c:f>
              <c:strCache>
                <c:ptCount val="1"/>
                <c:pt idx="0">
                  <c:v>CO2 captured and stored</c:v>
                </c:pt>
              </c:strCache>
            </c:strRef>
          </c:tx>
          <c:spPr>
            <a:solidFill>
              <a:schemeClr val="tx2">
                <a:lumMod val="20000"/>
                <a:lumOff val="80000"/>
              </a:schemeClr>
            </a:solidFill>
            <a:ln>
              <a:noFill/>
            </a:ln>
            <a:effectLst/>
          </c:spPr>
          <c:invertIfNegative val="0"/>
          <c:val>
            <c:numRef>
              <c:f>'Results ReCiPe (H) - CC ship'!$AC$57:$BA$57</c:f>
              <c:numCache>
                <c:formatCode>0.00E+00</c:formatCode>
                <c:ptCount val="25"/>
                <c:pt idx="0">
                  <c:v>-100000</c:v>
                </c:pt>
                <c:pt idx="1">
                  <c:v>-100000</c:v>
                </c:pt>
                <c:pt idx="2">
                  <c:v>-100000</c:v>
                </c:pt>
                <c:pt idx="3">
                  <c:v>-100000</c:v>
                </c:pt>
                <c:pt idx="4">
                  <c:v>-100000</c:v>
                </c:pt>
                <c:pt idx="5">
                  <c:v>-100000</c:v>
                </c:pt>
                <c:pt idx="6">
                  <c:v>-100000</c:v>
                </c:pt>
                <c:pt idx="7">
                  <c:v>-100000</c:v>
                </c:pt>
                <c:pt idx="8">
                  <c:v>-100000</c:v>
                </c:pt>
                <c:pt idx="9">
                  <c:v>-100000</c:v>
                </c:pt>
                <c:pt idx="10">
                  <c:v>-100000</c:v>
                </c:pt>
                <c:pt idx="11">
                  <c:v>-100000</c:v>
                </c:pt>
                <c:pt idx="12">
                  <c:v>-100000</c:v>
                </c:pt>
                <c:pt idx="13">
                  <c:v>-100000</c:v>
                </c:pt>
                <c:pt idx="14">
                  <c:v>-100000</c:v>
                </c:pt>
                <c:pt idx="15">
                  <c:v>-100000</c:v>
                </c:pt>
                <c:pt idx="16">
                  <c:v>-100000</c:v>
                </c:pt>
                <c:pt idx="17">
                  <c:v>-100000</c:v>
                </c:pt>
                <c:pt idx="18">
                  <c:v>-100000</c:v>
                </c:pt>
                <c:pt idx="19">
                  <c:v>-100000</c:v>
                </c:pt>
                <c:pt idx="20">
                  <c:v>-100000</c:v>
                </c:pt>
                <c:pt idx="21">
                  <c:v>-100000</c:v>
                </c:pt>
                <c:pt idx="22">
                  <c:v>-100000</c:v>
                </c:pt>
                <c:pt idx="23">
                  <c:v>-100000</c:v>
                </c:pt>
                <c:pt idx="24">
                  <c:v>-100000</c:v>
                </c:pt>
              </c:numCache>
            </c:numRef>
          </c:val>
          <c:extLst>
            <c:ext xmlns:c15="http://schemas.microsoft.com/office/drawing/2012/chart" uri="{02D57815-91ED-43cb-92C2-25804820EDAC}">
              <c15:filteredCategoryTitle>
                <c15:cat>
                  <c:numRef>
                    <c:extLst>
                      <c:ext uri="{02D57815-91ED-43cb-92C2-25804820EDAC}">
                        <c15:formulaRef>
                          <c15:sqref>'Results ReCiPe (H) - CC ship'!$AC$49:$BA$49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7-86D4-4508-985C-D95F9662257D}"/>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CC ship'!$AB$58</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val>
            <c:numRef>
              <c:f>'Results ReCiPe (H) - CC ship'!$AC$58:$BA$58</c:f>
              <c:numCache>
                <c:formatCode>0.00E+00</c:formatCode>
                <c:ptCount val="25"/>
                <c:pt idx="0">
                  <c:v>-24156.127636501362</c:v>
                </c:pt>
                <c:pt idx="1">
                  <c:v>-65468.610303176552</c:v>
                </c:pt>
                <c:pt idx="2">
                  <c:v>-67737.96017615046</c:v>
                </c:pt>
                <c:pt idx="3">
                  <c:v>-68928.745188814064</c:v>
                </c:pt>
                <c:pt idx="4">
                  <c:v>-72307.694254868213</c:v>
                </c:pt>
                <c:pt idx="5">
                  <c:v>-74573.435611502151</c:v>
                </c:pt>
                <c:pt idx="6">
                  <c:v>-75304.056763202636</c:v>
                </c:pt>
                <c:pt idx="7">
                  <c:v>-78184.781094661841</c:v>
                </c:pt>
                <c:pt idx="8">
                  <c:v>-80014.900555511995</c:v>
                </c:pt>
                <c:pt idx="9">
                  <c:v>-80784.935626783263</c:v>
                </c:pt>
                <c:pt idx="10">
                  <c:v>-83617.010086178896</c:v>
                </c:pt>
                <c:pt idx="11">
                  <c:v>-85064.521066879533</c:v>
                </c:pt>
                <c:pt idx="12">
                  <c:v>-85540.188562325144</c:v>
                </c:pt>
                <c:pt idx="13">
                  <c:v>-87982.201729726745</c:v>
                </c:pt>
                <c:pt idx="14">
                  <c:v>-89446.288776563873</c:v>
                </c:pt>
                <c:pt idx="15">
                  <c:v>-89997.762925243966</c:v>
                </c:pt>
                <c:pt idx="16">
                  <c:v>-91710.839240244997</c:v>
                </c:pt>
                <c:pt idx="17">
                  <c:v>-92506.122833805028</c:v>
                </c:pt>
                <c:pt idx="18">
                  <c:v>-92430.769141705663</c:v>
                </c:pt>
                <c:pt idx="19">
                  <c:v>-94102.073564535865</c:v>
                </c:pt>
                <c:pt idx="20">
                  <c:v>-94897.264229249238</c:v>
                </c:pt>
                <c:pt idx="21">
                  <c:v>-94338.641324166121</c:v>
                </c:pt>
                <c:pt idx="22">
                  <c:v>-95497.182160600511</c:v>
                </c:pt>
                <c:pt idx="23">
                  <c:v>-95810.318041164661</c:v>
                </c:pt>
                <c:pt idx="24">
                  <c:v>-94686.081026255823</c:v>
                </c:pt>
              </c:numCache>
            </c:numRef>
          </c:val>
          <c:smooth val="0"/>
          <c:extLst>
            <c:ext xmlns:c15="http://schemas.microsoft.com/office/drawing/2012/chart" uri="{02D57815-91ED-43cb-92C2-25804820EDAC}">
              <c15:filteredCategoryTitle>
                <c15:cat>
                  <c:numRef>
                    <c:extLst>
                      <c:ext uri="{02D57815-91ED-43cb-92C2-25804820EDAC}">
                        <c15:formulaRef>
                          <c15:sqref>'Results ReCiPe (H) - CC ship'!$AC$49:$BA$49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8-86D4-4508-985C-D95F9662257D}"/>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mn-ea"/>
                    <a:cs typeface="Times New Roman" panose="02020603050405020304" pitchFamily="18" charset="0"/>
                  </a:defRPr>
                </a:pPr>
                <a:r>
                  <a:rPr lang="nl-NL"/>
                  <a:t>years</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mn-ea"/>
                  <a:cs typeface="Times New Roman" panose="02020603050405020304" pitchFamily="18" charset="0"/>
                </a:defRPr>
              </a:pPr>
              <a:endParaRPr lang="en-NL"/>
            </a:p>
          </c:txPr>
        </c:title>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mn-ea"/>
                <a:cs typeface="Times New Roman" panose="02020603050405020304" pitchFamily="18" charset="0"/>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Verdana Pro" panose="020B0604030504040204" pitchFamily="34" charset="0"/>
                    <a:ea typeface="+mn-ea"/>
                    <a:cs typeface="Times New Roman" panose="02020603050405020304" pitchFamily="18" charset="0"/>
                  </a:defRPr>
                </a:pPr>
                <a:r>
                  <a:rPr lang="nl-NL"/>
                  <a:t>Climate change</a:t>
                </a:r>
              </a:p>
              <a:p>
                <a:pPr algn="ctr" rtl="0">
                  <a:defRPr/>
                </a:pPr>
                <a:r>
                  <a:rPr lang="nl-NL"/>
                  <a:t>(kg CO2-eq/ton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Verdana Pro" panose="020B0604030504040204" pitchFamily="34" charset="0"/>
                  <a:ea typeface="+mn-ea"/>
                  <a:cs typeface="Times New Roman" panose="02020603050405020304" pitchFamily="18" charset="0"/>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mn-ea"/>
                <a:cs typeface="Times New Roman" panose="02020603050405020304" pitchFamily="18" charset="0"/>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mn-ea"/>
              <a:cs typeface="Times New Roman" panose="02020603050405020304" pitchFamily="18" charset="0"/>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Verdana Pro" panose="020B0604030504040204" pitchFamily="34" charset="0"/>
          <a:cs typeface="Times New Roman" panose="02020603050405020304" pitchFamily="18" charset="0"/>
        </a:defRPr>
      </a:pPr>
      <a:endParaRPr lang="en-N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09639531099222"/>
          <c:y val="7.47783341432324E-2"/>
          <c:w val="0.72032706571577043"/>
          <c:h val="0.90236490531223368"/>
        </c:manualLayout>
      </c:layout>
      <c:scatterChart>
        <c:scatterStyle val="lineMarker"/>
        <c:varyColors val="0"/>
        <c:ser>
          <c:idx val="0"/>
          <c:order val="0"/>
          <c:tx>
            <c:strRef>
              <c:f>'Sensitivity analysis - HHD'!$A$464</c:f>
              <c:strCache>
                <c:ptCount val="1"/>
                <c:pt idx="0">
                  <c:v>Material use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'Sensitivity analysis - HHD'!$F$463:$G$463</c:f>
              <c:numCache>
                <c:formatCode>0%</c:formatCode>
                <c:ptCount val="2"/>
                <c:pt idx="0">
                  <c:v>0.8</c:v>
                </c:pt>
                <c:pt idx="1">
                  <c:v>1</c:v>
                </c:pt>
              </c:numCache>
            </c:numRef>
          </c:xVal>
          <c:yVal>
            <c:numRef>
              <c:f>'Sensitivity analysis - HHD'!$R$464:$T$464</c:f>
              <c:numCache>
                <c:formatCode>0.00E+00</c:formatCode>
                <c:ptCount val="3"/>
                <c:pt idx="0">
                  <c:v>4.265119986660268E-4</c:v>
                </c:pt>
                <c:pt idx="1">
                  <c:v>4.5191652365878887E-4</c:v>
                </c:pt>
                <c:pt idx="2">
                  <c:v>4.7732104865155116E-4</c:v>
                </c:pt>
              </c:numCache>
            </c:numRef>
          </c:yVal>
          <c:smooth val="0"/>
          <c:extLst>
            <c:ext xmlns:c16="http://schemas.microsoft.com/office/drawing/2014/chart" uri="{C3380CC4-5D6E-409C-BE32-E72D297353CC}">
              <c16:uniqueId val="{00000000-E61A-404D-A984-30170F03E9BA}"/>
            </c:ext>
          </c:extLst>
        </c:ser>
        <c:ser>
          <c:idx val="1"/>
          <c:order val="1"/>
          <c:tx>
            <c:strRef>
              <c:f>'Sensitivity analysis - HHD'!$A$465</c:f>
              <c:strCache>
                <c:ptCount val="1"/>
                <c:pt idx="0">
                  <c:v>Energy use</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('Sensitivity analysis - HHD'!$E$463,'Sensitivity analysis - HHD'!$G$463,'Sensitivity analysis - HHD'!$J$463)</c:f>
              <c:numCache>
                <c:formatCode>0%</c:formatCode>
                <c:ptCount val="3"/>
                <c:pt idx="0">
                  <c:v>0.67</c:v>
                </c:pt>
                <c:pt idx="1">
                  <c:v>1</c:v>
                </c:pt>
                <c:pt idx="2">
                  <c:v>1.67</c:v>
                </c:pt>
              </c:numCache>
            </c:numRef>
          </c:xVal>
          <c:yVal>
            <c:numRef>
              <c:f>('Sensitivity analysis - HHD'!$Q$465,'Sensitivity analysis - HHD'!$S$465,'Sensitivity analysis - HHD'!$V$465)</c:f>
              <c:numCache>
                <c:formatCode>0.00E+00</c:formatCode>
                <c:ptCount val="3"/>
                <c:pt idx="0">
                  <c:v>2.9608585870616116E-4</c:v>
                </c:pt>
                <c:pt idx="1">
                  <c:v>4.5191652365878887E-4</c:v>
                </c:pt>
                <c:pt idx="2">
                  <c:v>7.6357785356404452E-4</c:v>
                </c:pt>
              </c:numCache>
            </c:numRef>
          </c:yVal>
          <c:smooth val="0"/>
          <c:extLst>
            <c:ext xmlns:c16="http://schemas.microsoft.com/office/drawing/2014/chart" uri="{C3380CC4-5D6E-409C-BE32-E72D297353CC}">
              <c16:uniqueId val="{00000001-E61A-404D-A984-30170F03E9BA}"/>
            </c:ext>
          </c:extLst>
        </c:ser>
        <c:ser>
          <c:idx val="2"/>
          <c:order val="2"/>
          <c:tx>
            <c:strRef>
              <c:f>'Sensitivity analysis - HHD'!$A$466</c:f>
              <c:strCache>
                <c:ptCount val="1"/>
                <c:pt idx="0">
                  <c:v>Lifetime DAC system</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'Sensitivity analysis - HHD'!$F$463:$G$463</c:f>
              <c:numCache>
                <c:formatCode>0%</c:formatCode>
                <c:ptCount val="2"/>
                <c:pt idx="0">
                  <c:v>0.8</c:v>
                </c:pt>
                <c:pt idx="1">
                  <c:v>1</c:v>
                </c:pt>
              </c:numCache>
            </c:numRef>
          </c:xVal>
          <c:yVal>
            <c:numRef>
              <c:f>'Sensitivity analysis - HHD'!$R$466:$S$466</c:f>
              <c:numCache>
                <c:formatCode>0.00E+00</c:formatCode>
                <c:ptCount val="2"/>
                <c:pt idx="0">
                  <c:v>7.9689565457348606E-4</c:v>
                </c:pt>
                <c:pt idx="1">
                  <c:v>4.5191652365878909E-4</c:v>
                </c:pt>
              </c:numCache>
            </c:numRef>
          </c:yVal>
          <c:smooth val="0"/>
          <c:extLst>
            <c:ext xmlns:c16="http://schemas.microsoft.com/office/drawing/2014/chart" uri="{C3380CC4-5D6E-409C-BE32-E72D297353CC}">
              <c16:uniqueId val="{00000002-E61A-404D-A984-30170F03E9BA}"/>
            </c:ext>
          </c:extLst>
        </c:ser>
        <c:ser>
          <c:idx val="3"/>
          <c:order val="3"/>
          <c:tx>
            <c:strRef>
              <c:f>'Sensitivity analysis - HHD'!$A$467</c:f>
              <c:strCache>
                <c:ptCount val="1"/>
                <c:pt idx="0">
                  <c:v>Lifetime sorbent material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('Sensitivity analysis - HHD'!$C$463,'Sensitivity analysis - HHD'!$G$463,'Sensitivity analysis - HHD'!$J$463)</c:f>
              <c:numCache>
                <c:formatCode>0%</c:formatCode>
                <c:ptCount val="3"/>
                <c:pt idx="0">
                  <c:v>0.33</c:v>
                </c:pt>
                <c:pt idx="1">
                  <c:v>1</c:v>
                </c:pt>
                <c:pt idx="2">
                  <c:v>1.67</c:v>
                </c:pt>
              </c:numCache>
            </c:numRef>
          </c:xVal>
          <c:yVal>
            <c:numRef>
              <c:f>('Sensitivity analysis - HHD'!$O$467,'Sensitivity analysis - HHD'!$S$467,'Sensitivity analysis - HHD'!$V$467)</c:f>
              <c:numCache>
                <c:formatCode>0.00E+00</c:formatCode>
                <c:ptCount val="3"/>
                <c:pt idx="0">
                  <c:v>4.5756209831553497E-4</c:v>
                </c:pt>
                <c:pt idx="1">
                  <c:v>4.5191652365878887E-4</c:v>
                </c:pt>
                <c:pt idx="2">
                  <c:v>4.4144289848284315E-4</c:v>
                </c:pt>
              </c:numCache>
            </c:numRef>
          </c:yVal>
          <c:smooth val="0"/>
          <c:extLst>
            <c:ext xmlns:c16="http://schemas.microsoft.com/office/drawing/2014/chart" uri="{C3380CC4-5D6E-409C-BE32-E72D297353CC}">
              <c16:uniqueId val="{00000003-E61A-404D-A984-30170F03E9BA}"/>
            </c:ext>
          </c:extLst>
        </c:ser>
        <c:ser>
          <c:idx val="4"/>
          <c:order val="4"/>
          <c:tx>
            <c:strRef>
              <c:f>'Sensitivity analysis - HHD'!$A$468</c:f>
              <c:strCache>
                <c:ptCount val="1"/>
                <c:pt idx="0">
                  <c:v>Capacity DAC unit</c:v>
                </c:pt>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numRef>
              <c:f>('Sensitivity analysis - HHD'!$D$463,'Sensitivity analysis - HHD'!$G$463,'Sensitivity analysis - HHD'!$I$463)</c:f>
              <c:numCache>
                <c:formatCode>0%</c:formatCode>
                <c:ptCount val="3"/>
                <c:pt idx="0">
                  <c:v>0.5</c:v>
                </c:pt>
                <c:pt idx="1">
                  <c:v>1</c:v>
                </c:pt>
                <c:pt idx="2">
                  <c:v>1.5</c:v>
                </c:pt>
              </c:numCache>
            </c:numRef>
          </c:xVal>
          <c:yVal>
            <c:numRef>
              <c:f>('Sensitivity analysis - HHD'!$P$468,'Sensitivity analysis - HHD'!$S$468,'Sensitivity analysis - HHD'!$U$468)</c:f>
              <c:numCache>
                <c:formatCode>0.00E+00</c:formatCode>
                <c:ptCount val="3"/>
                <c:pt idx="0">
                  <c:v>1.831833047317578E-3</c:v>
                </c:pt>
                <c:pt idx="1">
                  <c:v>4.5191652365878909E-4</c:v>
                </c:pt>
                <c:pt idx="2">
                  <c:v>-8.0556508941408622E-6</c:v>
                </c:pt>
              </c:numCache>
            </c:numRef>
          </c:yVal>
          <c:smooth val="0"/>
          <c:extLst>
            <c:ext xmlns:c16="http://schemas.microsoft.com/office/drawing/2014/chart" uri="{C3380CC4-5D6E-409C-BE32-E72D297353CC}">
              <c16:uniqueId val="{00000004-E61A-404D-A984-30170F03E9BA}"/>
            </c:ext>
          </c:extLst>
        </c:ser>
        <c:ser>
          <c:idx val="5"/>
          <c:order val="5"/>
          <c:tx>
            <c:strRef>
              <c:f>'Sensitivity analysis - HHD'!$A$469</c:f>
              <c:strCache>
                <c:ptCount val="1"/>
                <c:pt idx="0">
                  <c:v>Curtailment factor</c:v>
                </c:pt>
              </c:strCache>
            </c:strRef>
          </c:tx>
          <c:spPr>
            <a:ln w="19050"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xVal>
            <c:numRef>
              <c:f>('Sensitivity analysis - HHD'!$B$463,'Sensitivity analysis - HHD'!$D$463,'Sensitivity analysis - HHD'!$G$463,'Sensitivity analysis - HHD'!$I$463)</c:f>
              <c:numCache>
                <c:formatCode>0%</c:formatCode>
                <c:ptCount val="4"/>
                <c:pt idx="0">
                  <c:v>0</c:v>
                </c:pt>
                <c:pt idx="1">
                  <c:v>0.5</c:v>
                </c:pt>
                <c:pt idx="2">
                  <c:v>1</c:v>
                </c:pt>
                <c:pt idx="3">
                  <c:v>1.5</c:v>
                </c:pt>
              </c:numCache>
            </c:numRef>
          </c:xVal>
          <c:yVal>
            <c:numRef>
              <c:f>('Sensitivity analysis - HHD'!$N$469,'Sensitivity analysis - HHD'!$P$469,'Sensitivity analysis - HHD'!$S$469,'Sensitivity analysis - HHD'!$U$469)</c:f>
              <c:numCache>
                <c:formatCode>0.00</c:formatCode>
                <c:ptCount val="4"/>
                <c:pt idx="0">
                  <c:v>2.1817052622984733E-4</c:v>
                </c:pt>
                <c:pt idx="1">
                  <c:v>2.960858587061611E-4</c:v>
                </c:pt>
                <c:pt idx="2" formatCode="0.00E+00">
                  <c:v>4.5191652365878887E-4</c:v>
                </c:pt>
                <c:pt idx="3" formatCode="0.00E+00">
                  <c:v>9.194085185166719E-4</c:v>
                </c:pt>
              </c:numCache>
            </c:numRef>
          </c:yVal>
          <c:smooth val="0"/>
          <c:extLst>
            <c:ext xmlns:c16="http://schemas.microsoft.com/office/drawing/2014/chart" uri="{C3380CC4-5D6E-409C-BE32-E72D297353CC}">
              <c16:uniqueId val="{00000005-E61A-404D-A984-30170F03E9BA}"/>
            </c:ext>
          </c:extLst>
        </c:ser>
        <c:ser>
          <c:idx val="8"/>
          <c:order val="6"/>
          <c:tx>
            <c:strRef>
              <c:f>'Sensitivity analysis - HHD'!$A$470</c:f>
              <c:strCache>
                <c:ptCount val="1"/>
                <c:pt idx="0">
                  <c:v>Battery capacity</c:v>
                </c:pt>
              </c:strCache>
            </c:strRef>
          </c:tx>
          <c:spPr>
            <a:ln w="19050" cap="rnd">
              <a:solidFill>
                <a:srgbClr val="FF4F4F"/>
              </a:solidFill>
              <a:round/>
            </a:ln>
            <a:effectLst/>
          </c:spPr>
          <c:marker>
            <c:symbol val="circle"/>
            <c:size val="5"/>
            <c:spPr>
              <a:solidFill>
                <a:srgbClr val="FF4F4F"/>
              </a:solidFill>
              <a:ln w="9525">
                <a:solidFill>
                  <a:srgbClr val="FF4F4F"/>
                </a:solidFill>
              </a:ln>
              <a:effectLst/>
            </c:spPr>
          </c:marker>
          <c:xVal>
            <c:numRef>
              <c:f>('Sensitivity analysis - HHD'!$D$463,'Sensitivity analysis - HHD'!$G$463,'Sensitivity analysis - HHD'!$K$463)</c:f>
              <c:numCache>
                <c:formatCode>0%</c:formatCode>
                <c:ptCount val="3"/>
                <c:pt idx="0">
                  <c:v>0.5</c:v>
                </c:pt>
                <c:pt idx="1">
                  <c:v>1</c:v>
                </c:pt>
                <c:pt idx="2">
                  <c:v>2</c:v>
                </c:pt>
              </c:numCache>
            </c:numRef>
          </c:xVal>
          <c:yVal>
            <c:numRef>
              <c:f>('Sensitivity analysis - HHD'!$P$470,'Sensitivity analysis - HHD'!$S$470,'Sensitivity analysis - HHD'!$W$470)</c:f>
              <c:numCache>
                <c:formatCode>0.00</c:formatCode>
                <c:ptCount val="3"/>
                <c:pt idx="0">
                  <c:v>-7.7293496072148034E-5</c:v>
                </c:pt>
                <c:pt idx="1">
                  <c:v>4.5191652365878887E-4</c:v>
                </c:pt>
                <c:pt idx="2" formatCode="0.0">
                  <c:v>2.4836704628616855E-3</c:v>
                </c:pt>
              </c:numCache>
            </c:numRef>
          </c:yVal>
          <c:smooth val="0"/>
          <c:extLst>
            <c:ext xmlns:c16="http://schemas.microsoft.com/office/drawing/2014/chart" uri="{C3380CC4-5D6E-409C-BE32-E72D297353CC}">
              <c16:uniqueId val="{00000006-E61A-404D-A984-30170F03E9BA}"/>
            </c:ext>
          </c:extLst>
        </c:ser>
        <c:ser>
          <c:idx val="9"/>
          <c:order val="7"/>
          <c:tx>
            <c:strRef>
              <c:f>'Sensitivity analysis - HHD'!$A$471</c:f>
              <c:strCache>
                <c:ptCount val="1"/>
                <c:pt idx="0">
                  <c:v>Battery share factor</c:v>
                </c:pt>
              </c:strCache>
            </c:strRef>
          </c:tx>
          <c:spPr>
            <a:ln w="19050" cap="rnd">
              <a:solidFill>
                <a:srgbClr val="A4D3EA"/>
              </a:solidFill>
              <a:round/>
            </a:ln>
            <a:effectLst/>
          </c:spPr>
          <c:marker>
            <c:symbol val="circle"/>
            <c:size val="5"/>
            <c:spPr>
              <a:solidFill>
                <a:srgbClr val="A4D3EA"/>
              </a:solidFill>
              <a:ln w="9525">
                <a:solidFill>
                  <a:srgbClr val="A4D3EA"/>
                </a:solidFill>
              </a:ln>
              <a:effectLst/>
            </c:spPr>
          </c:marker>
          <c:xVal>
            <c:numRef>
              <c:f>('Sensitivity analysis - HHD'!$D$463,'Sensitivity analysis - HHD'!$G$463,'Sensitivity analysis - HHD'!$I$463)</c:f>
              <c:numCache>
                <c:formatCode>0%</c:formatCode>
                <c:ptCount val="3"/>
                <c:pt idx="0">
                  <c:v>0.5</c:v>
                </c:pt>
                <c:pt idx="1">
                  <c:v>1</c:v>
                </c:pt>
                <c:pt idx="2">
                  <c:v>1.5</c:v>
                </c:pt>
              </c:numCache>
            </c:numRef>
          </c:xVal>
          <c:yVal>
            <c:numRef>
              <c:f>('Sensitivity analysis - HHD'!$P$471,'Sensitivity analysis - HHD'!$S$471,'Sensitivity analysis - HHD'!$W$471)</c:f>
              <c:numCache>
                <c:formatCode>0.00</c:formatCode>
                <c:ptCount val="3"/>
                <c:pt idx="0">
                  <c:v>4.4534636589321867E-4</c:v>
                </c:pt>
                <c:pt idx="1">
                  <c:v>4.5191652365878887E-4</c:v>
                </c:pt>
                <c:pt idx="2" formatCode="0.0">
                  <c:v>4.6455144243873171E-4</c:v>
                </c:pt>
              </c:numCache>
            </c:numRef>
          </c:yVal>
          <c:smooth val="0"/>
          <c:extLst>
            <c:ext xmlns:c16="http://schemas.microsoft.com/office/drawing/2014/chart" uri="{C3380CC4-5D6E-409C-BE32-E72D297353CC}">
              <c16:uniqueId val="{00000007-E61A-404D-A984-30170F03E9BA}"/>
            </c:ext>
          </c:extLst>
        </c:ser>
        <c:ser>
          <c:idx val="7"/>
          <c:order val="8"/>
          <c:tx>
            <c:strRef>
              <c:f>'Sensitivity analysis - HHD'!$A$472</c:f>
              <c:strCache>
                <c:ptCount val="1"/>
                <c:pt idx="0">
                  <c:v>Sorbent type - amine on silica</c:v>
                </c:pt>
              </c:strCache>
            </c:strRef>
          </c:tx>
          <c:spPr>
            <a:ln w="19050" cap="rnd">
              <a:noFill/>
              <a:round/>
            </a:ln>
            <a:effectLst/>
          </c:spPr>
          <c:marker>
            <c:symbol val="square"/>
            <c:size val="5"/>
            <c:spPr>
              <a:solidFill>
                <a:srgbClr val="C00000"/>
              </a:solidFill>
              <a:ln w="9525">
                <a:solidFill>
                  <a:srgbClr val="C00000"/>
                </a:solidFill>
              </a:ln>
              <a:effectLst/>
            </c:spPr>
          </c:marker>
          <c:xVal>
            <c:numRef>
              <c:f>'Sensitivity analysis - HHD'!$G$463</c:f>
              <c:numCache>
                <c:formatCode>0%</c:formatCode>
                <c:ptCount val="1"/>
                <c:pt idx="0">
                  <c:v>1</c:v>
                </c:pt>
              </c:numCache>
            </c:numRef>
          </c:xVal>
          <c:yVal>
            <c:numRef>
              <c:f>'Sensitivity analysis - HHD'!$S$472</c:f>
              <c:numCache>
                <c:formatCode>0.00E+00</c:formatCode>
                <c:ptCount val="1"/>
                <c:pt idx="0">
                  <c:v>4.8067328901071806E-4</c:v>
                </c:pt>
              </c:numCache>
            </c:numRef>
          </c:yVal>
          <c:smooth val="0"/>
          <c:extLst>
            <c:ext xmlns:c16="http://schemas.microsoft.com/office/drawing/2014/chart" uri="{C3380CC4-5D6E-409C-BE32-E72D297353CC}">
              <c16:uniqueId val="{00000009-E61A-404D-A984-30170F03E9BA}"/>
            </c:ext>
          </c:extLst>
        </c:ser>
        <c:dLbls>
          <c:showLegendKey val="0"/>
          <c:showVal val="0"/>
          <c:showCatName val="0"/>
          <c:showSerName val="0"/>
          <c:showPercent val="0"/>
          <c:showBubbleSize val="0"/>
        </c:dLbls>
        <c:axId val="894438607"/>
        <c:axId val="1119274239"/>
      </c:scatterChart>
      <c:valAx>
        <c:axId val="894438607"/>
        <c:scaling>
          <c:orientation val="minMax"/>
          <c:max val="2.5"/>
          <c:min val="0"/>
        </c:scaling>
        <c:delete val="0"/>
        <c:axPos val="b"/>
        <c:majorGridlines>
          <c:spPr>
            <a:ln w="9525" cap="flat" cmpd="sng" algn="ctr">
              <a:solidFill>
                <a:schemeClr val="tx1">
                  <a:lumMod val="50000"/>
                  <a:lumOff val="50000"/>
                </a:schemeClr>
              </a:solidFill>
              <a:round/>
            </a:ln>
            <a:effectLst/>
          </c:spPr>
        </c:majorGridlines>
        <c:numFmt formatCode="0%" sourceLinked="1"/>
        <c:majorTickMark val="none"/>
        <c:minorTickMark val="none"/>
        <c:tickLblPos val="high"/>
        <c:spPr>
          <a:noFill/>
          <a:ln w="190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1119274239"/>
        <c:crosses val="autoZero"/>
        <c:crossBetween val="midCat"/>
      </c:valAx>
      <c:valAx>
        <c:axId val="1119274239"/>
        <c:scaling>
          <c:orientation val="minMax"/>
        </c:scaling>
        <c:delete val="0"/>
        <c:axPos val="l"/>
        <c:majorGridlines>
          <c:spPr>
            <a:ln w="9525" cap="flat" cmpd="sng" algn="ctr">
              <a:solidFill>
                <a:schemeClr val="tx1">
                  <a:lumMod val="50000"/>
                  <a:lumOff val="50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r>
                  <a:rPr lang="nl-NL"/>
                  <a:t>Human health damage</a:t>
                </a:r>
              </a:p>
              <a:p>
                <a:pPr>
                  <a:defRPr/>
                </a:pPr>
                <a:r>
                  <a:rPr lang="nl-NL"/>
                  <a:t>[DALY/ton CO</a:t>
                </a:r>
                <a:r>
                  <a:rPr lang="nl-NL" baseline="-25000"/>
                  <a:t>2</a:t>
                </a:r>
                <a:r>
                  <a:rPr lang="nl-NL"/>
                  <a:t> captured and stored]</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title>
        <c:numFmt formatCode="0.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894438607"/>
        <c:crosses val="autoZero"/>
        <c:crossBetween val="midCat"/>
      </c:valAx>
      <c:spPr>
        <a:noFill/>
        <a:ln w="19050">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printSettings>
    <c:headerFooter/>
    <c:pageMargins b="0.75" l="0.7" r="0.7" t="0.75" header="0.3" footer="0.3"/>
    <c:pageSetup/>
  </c:printSettings>
</c:chartSpace>
</file>

<file path=xl/charts/chart1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CC ship'!$AB$90</c:f>
              <c:strCache>
                <c:ptCount val="1"/>
                <c:pt idx="0">
                  <c:v>Construction - DAC</c:v>
                </c:pt>
              </c:strCache>
            </c:strRef>
          </c:tx>
          <c:spPr>
            <a:solidFill>
              <a:schemeClr val="accent4">
                <a:lumMod val="75000"/>
              </a:schemeClr>
            </a:solidFill>
            <a:ln>
              <a:noFill/>
            </a:ln>
            <a:effectLst/>
          </c:spPr>
          <c:invertIfNegative val="0"/>
          <c:val>
            <c:numRef>
              <c:f>'Results ReCiPe (H) - CC ship'!$AC$90:$BA$90</c:f>
              <c:numCache>
                <c:formatCode>0.00E+00</c:formatCode>
                <c:ptCount val="25"/>
                <c:pt idx="0">
                  <c:v>27769.199509564176</c:v>
                </c:pt>
              </c:numCache>
            </c:numRef>
          </c:val>
          <c:extLst>
            <c:ext xmlns:c15="http://schemas.microsoft.com/office/drawing/2012/chart" uri="{02D57815-91ED-43cb-92C2-25804820EDAC}">
              <c15:filteredCategoryTitle>
                <c15:cat>
                  <c:numRef>
                    <c:extLst>
                      <c:ext uri="{02D57815-91ED-43cb-92C2-25804820EDAC}">
                        <c15:formulaRef>
                          <c15:sqref>'Results ReCiPe (H) - CC ship'!$AC$89:$BA$89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0-C5F2-4137-9858-A66FD1D6144A}"/>
            </c:ext>
          </c:extLst>
        </c:ser>
        <c:ser>
          <c:idx val="1"/>
          <c:order val="1"/>
          <c:tx>
            <c:strRef>
              <c:f>'Results ReCiPe (H) - CC ship'!$AB$91</c:f>
              <c:strCache>
                <c:ptCount val="1"/>
                <c:pt idx="0">
                  <c:v>Construction - geological storage</c:v>
                </c:pt>
              </c:strCache>
            </c:strRef>
          </c:tx>
          <c:spPr>
            <a:solidFill>
              <a:schemeClr val="accent4">
                <a:lumMod val="60000"/>
                <a:lumOff val="40000"/>
              </a:schemeClr>
            </a:solidFill>
            <a:ln>
              <a:noFill/>
            </a:ln>
            <a:effectLst/>
          </c:spPr>
          <c:invertIfNegative val="0"/>
          <c:val>
            <c:numRef>
              <c:f>'Results ReCiPe (H) - CC ship'!$AC$91:$BA$91</c:f>
              <c:numCache>
                <c:formatCode>0.00E+00</c:formatCode>
                <c:ptCount val="25"/>
                <c:pt idx="0">
                  <c:v>2030.6156444302903</c:v>
                </c:pt>
              </c:numCache>
            </c:numRef>
          </c:val>
          <c:extLst>
            <c:ext xmlns:c15="http://schemas.microsoft.com/office/drawing/2012/chart" uri="{02D57815-91ED-43cb-92C2-25804820EDAC}">
              <c15:filteredCategoryTitle>
                <c15:cat>
                  <c:numRef>
                    <c:extLst>
                      <c:ext uri="{02D57815-91ED-43cb-92C2-25804820EDAC}">
                        <c15:formulaRef>
                          <c15:sqref>'Results ReCiPe (H) - CC ship'!$AC$89:$BA$89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1-C5F2-4137-9858-A66FD1D6144A}"/>
            </c:ext>
          </c:extLst>
        </c:ser>
        <c:ser>
          <c:idx val="2"/>
          <c:order val="2"/>
          <c:tx>
            <c:strRef>
              <c:f>'Results ReCiPe (H) - CC ship'!$AB$92</c:f>
              <c:strCache>
                <c:ptCount val="1"/>
                <c:pt idx="0">
                  <c:v>Deconstruction - DAC</c:v>
                </c:pt>
              </c:strCache>
            </c:strRef>
          </c:tx>
          <c:spPr>
            <a:solidFill>
              <a:schemeClr val="accent2">
                <a:lumMod val="40000"/>
                <a:lumOff val="60000"/>
              </a:schemeClr>
            </a:solidFill>
            <a:ln>
              <a:noFill/>
            </a:ln>
            <a:effectLst/>
          </c:spPr>
          <c:invertIfNegative val="0"/>
          <c:val>
            <c:numRef>
              <c:f>'Results ReCiPe (H) - CC ship'!$AC$92:$BA$92</c:f>
              <c:numCache>
                <c:formatCode>0.00E+00</c:formatCode>
                <c:ptCount val="25"/>
                <c:pt idx="24">
                  <c:v>506.10170544819584</c:v>
                </c:pt>
              </c:numCache>
            </c:numRef>
          </c:val>
          <c:extLst>
            <c:ext xmlns:c15="http://schemas.microsoft.com/office/drawing/2012/chart" uri="{02D57815-91ED-43cb-92C2-25804820EDAC}">
              <c15:filteredCategoryTitle>
                <c15:cat>
                  <c:numRef>
                    <c:extLst>
                      <c:ext uri="{02D57815-91ED-43cb-92C2-25804820EDAC}">
                        <c15:formulaRef>
                          <c15:sqref>'Results ReCiPe (H) - CC ship'!$AC$89:$BA$89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2-C5F2-4137-9858-A66FD1D6144A}"/>
            </c:ext>
          </c:extLst>
        </c:ser>
        <c:ser>
          <c:idx val="3"/>
          <c:order val="3"/>
          <c:tx>
            <c:strRef>
              <c:f>'Results ReCiPe (H) - CC ship'!$AB$93</c:f>
              <c:strCache>
                <c:ptCount val="1"/>
                <c:pt idx="0">
                  <c:v>Deconstruction - geological storage</c:v>
                </c:pt>
              </c:strCache>
            </c:strRef>
          </c:tx>
          <c:spPr>
            <a:solidFill>
              <a:srgbClr val="FF9900"/>
            </a:solidFill>
            <a:ln>
              <a:noFill/>
            </a:ln>
            <a:effectLst/>
          </c:spPr>
          <c:invertIfNegative val="0"/>
          <c:val>
            <c:numRef>
              <c:f>'Results ReCiPe (H) - CC ship'!$AC$93:$BA$93</c:f>
              <c:numCache>
                <c:formatCode>0.00E+00</c:formatCode>
                <c:ptCount val="25"/>
                <c:pt idx="24">
                  <c:v>19.710037603247073</c:v>
                </c:pt>
              </c:numCache>
            </c:numRef>
          </c:val>
          <c:extLst>
            <c:ext xmlns:c15="http://schemas.microsoft.com/office/drawing/2012/chart" uri="{02D57815-91ED-43cb-92C2-25804820EDAC}">
              <c15:filteredCategoryTitle>
                <c15:cat>
                  <c:numRef>
                    <c:extLst>
                      <c:ext uri="{02D57815-91ED-43cb-92C2-25804820EDAC}">
                        <c15:formulaRef>
                          <c15:sqref>'Results ReCiPe (H) - CC ship'!$AC$89:$BA$89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3-C5F2-4137-9858-A66FD1D6144A}"/>
            </c:ext>
          </c:extLst>
        </c:ser>
        <c:ser>
          <c:idx val="4"/>
          <c:order val="4"/>
          <c:tx>
            <c:strRef>
              <c:f>'Results ReCiPe (H) - CC ship'!$AB$94</c:f>
              <c:strCache>
                <c:ptCount val="1"/>
                <c:pt idx="0">
                  <c:v>Sorbent material</c:v>
                </c:pt>
              </c:strCache>
            </c:strRef>
          </c:tx>
          <c:spPr>
            <a:solidFill>
              <a:srgbClr val="FF8F8F"/>
            </a:solidFill>
            <a:ln>
              <a:noFill/>
            </a:ln>
            <a:effectLst/>
          </c:spPr>
          <c:invertIfNegative val="0"/>
          <c:val>
            <c:numRef>
              <c:f>'Results ReCiPe (H) - CC ship'!$AC$94:$BA$94</c:f>
              <c:numCache>
                <c:formatCode>0.00E+00</c:formatCode>
                <c:ptCount val="25"/>
                <c:pt idx="0">
                  <c:v>960.18627888201729</c:v>
                </c:pt>
                <c:pt idx="3">
                  <c:v>894.9053469828998</c:v>
                </c:pt>
                <c:pt idx="6">
                  <c:v>847.74542197239737</c:v>
                </c:pt>
                <c:pt idx="9">
                  <c:v>829.74040861154253</c:v>
                </c:pt>
                <c:pt idx="12">
                  <c:v>821.41329377436136</c:v>
                </c:pt>
                <c:pt idx="15">
                  <c:v>815.75248373031479</c:v>
                </c:pt>
                <c:pt idx="18">
                  <c:v>808.99669973300752</c:v>
                </c:pt>
                <c:pt idx="21">
                  <c:v>803.6131276705886</c:v>
                </c:pt>
                <c:pt idx="24">
                  <c:v>799.02195316520056</c:v>
                </c:pt>
              </c:numCache>
            </c:numRef>
          </c:val>
          <c:extLst>
            <c:ext xmlns:c15="http://schemas.microsoft.com/office/drawing/2012/chart" uri="{02D57815-91ED-43cb-92C2-25804820EDAC}">
              <c15:filteredCategoryTitle>
                <c15:cat>
                  <c:numRef>
                    <c:extLst>
                      <c:ext uri="{02D57815-91ED-43cb-92C2-25804820EDAC}">
                        <c15:formulaRef>
                          <c15:sqref>'Results ReCiPe (H) - CC ship'!$AC$89:$BA$89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4-C5F2-4137-9858-A66FD1D6144A}"/>
            </c:ext>
          </c:extLst>
        </c:ser>
        <c:ser>
          <c:idx val="5"/>
          <c:order val="5"/>
          <c:tx>
            <c:strRef>
              <c:f>'Results ReCiPe (H) - CC ship'!$AB$95</c:f>
              <c:strCache>
                <c:ptCount val="1"/>
                <c:pt idx="0">
                  <c:v>Operation - DAC</c:v>
                </c:pt>
              </c:strCache>
            </c:strRef>
          </c:tx>
          <c:spPr>
            <a:solidFill>
              <a:schemeClr val="accent2">
                <a:lumMod val="75000"/>
              </a:schemeClr>
            </a:solidFill>
            <a:ln>
              <a:noFill/>
            </a:ln>
            <a:effectLst/>
          </c:spPr>
          <c:invertIfNegative val="0"/>
          <c:val>
            <c:numRef>
              <c:f>'Results ReCiPe (H) - CC ship'!$AC$95:$BA$95</c:f>
              <c:numCache>
                <c:formatCode>0.00E+00</c:formatCode>
                <c:ptCount val="25"/>
                <c:pt idx="0">
                  <c:v>14058.151241733231</c:v>
                </c:pt>
                <c:pt idx="1">
                  <c:v>11676.388562983941</c:v>
                </c:pt>
                <c:pt idx="2">
                  <c:v>9292.1219783832294</c:v>
                </c:pt>
                <c:pt idx="3">
                  <c:v>6869.3139490106896</c:v>
                </c:pt>
                <c:pt idx="4">
                  <c:v>4476.9179466587984</c:v>
                </c:pt>
                <c:pt idx="5">
                  <c:v>2080.6598667221319</c:v>
                </c:pt>
                <c:pt idx="6">
                  <c:v>1508.785692189296</c:v>
                </c:pt>
                <c:pt idx="7">
                  <c:v>933.81585913307208</c:v>
                </c:pt>
                <c:pt idx="8">
                  <c:v>323.7764311484641</c:v>
                </c:pt>
                <c:pt idx="9">
                  <c:v>-258.54024816438982</c:v>
                </c:pt>
                <c:pt idx="10">
                  <c:v>-844.05884908758617</c:v>
                </c:pt>
                <c:pt idx="11">
                  <c:v>-1130.399070685854</c:v>
                </c:pt>
                <c:pt idx="12">
                  <c:v>-1416.030637130893</c:v>
                </c:pt>
                <c:pt idx="13">
                  <c:v>-1706.88274508276</c:v>
                </c:pt>
                <c:pt idx="14">
                  <c:v>-1991.0542411399681</c:v>
                </c:pt>
                <c:pt idx="15">
                  <c:v>-2274.6784292096272</c:v>
                </c:pt>
                <c:pt idx="16">
                  <c:v>-2855.499764819207</c:v>
                </c:pt>
                <c:pt idx="17">
                  <c:v>-3431.837072750604</c:v>
                </c:pt>
                <c:pt idx="18">
                  <c:v>-4007.8147292090771</c:v>
                </c:pt>
                <c:pt idx="19">
                  <c:v>-4574.9912372336912</c:v>
                </c:pt>
                <c:pt idx="20">
                  <c:v>-5137.4611042113993</c:v>
                </c:pt>
                <c:pt idx="21">
                  <c:v>-5657.6340595571864</c:v>
                </c:pt>
                <c:pt idx="22">
                  <c:v>-6192.4213061538921</c:v>
                </c:pt>
                <c:pt idx="23">
                  <c:v>-6728.6682576076137</c:v>
                </c:pt>
                <c:pt idx="24">
                  <c:v>-7266.3962600142286</c:v>
                </c:pt>
              </c:numCache>
            </c:numRef>
          </c:val>
          <c:extLst>
            <c:ext xmlns:c15="http://schemas.microsoft.com/office/drawing/2012/chart" uri="{02D57815-91ED-43cb-92C2-25804820EDAC}">
              <c15:filteredCategoryTitle>
                <c15:cat>
                  <c:numRef>
                    <c:extLst>
                      <c:ext uri="{02D57815-91ED-43cb-92C2-25804820EDAC}">
                        <c15:formulaRef>
                          <c15:sqref>'Results ReCiPe (H) - CC ship'!$AC$89:$BA$89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5-C5F2-4137-9858-A66FD1D6144A}"/>
            </c:ext>
          </c:extLst>
        </c:ser>
        <c:ser>
          <c:idx val="6"/>
          <c:order val="6"/>
          <c:tx>
            <c:strRef>
              <c:f>'Results ReCiPe (H) - CC ship'!$AB$96</c:f>
              <c:strCache>
                <c:ptCount val="1"/>
                <c:pt idx="0">
                  <c:v>Operation - geological storage</c:v>
                </c:pt>
              </c:strCache>
            </c:strRef>
          </c:tx>
          <c:spPr>
            <a:solidFill>
              <a:schemeClr val="accent2">
                <a:lumMod val="50000"/>
              </a:schemeClr>
            </a:solidFill>
            <a:ln>
              <a:noFill/>
            </a:ln>
            <a:effectLst/>
          </c:spPr>
          <c:invertIfNegative val="0"/>
          <c:val>
            <c:numRef>
              <c:f>'Results ReCiPe (H) - CC ship'!$AC$96:$BA$96</c:f>
              <c:numCache>
                <c:formatCode>0.00E+00</c:formatCode>
                <c:ptCount val="25"/>
                <c:pt idx="0">
                  <c:v>3712.408439443378</c:v>
                </c:pt>
                <c:pt idx="1">
                  <c:v>3526.2773559158936</c:v>
                </c:pt>
                <c:pt idx="2">
                  <c:v>3341.18191860057</c:v>
                </c:pt>
                <c:pt idx="3">
                  <c:v>3153.966657982236</c:v>
                </c:pt>
                <c:pt idx="4">
                  <c:v>2970.690267430004</c:v>
                </c:pt>
                <c:pt idx="5">
                  <c:v>2788.3271780459909</c:v>
                </c:pt>
                <c:pt idx="6">
                  <c:v>2744.853495960997</c:v>
                </c:pt>
                <c:pt idx="7">
                  <c:v>2701.3326372481342</c:v>
                </c:pt>
                <c:pt idx="8">
                  <c:v>2655.1288900553741</c:v>
                </c:pt>
                <c:pt idx="9">
                  <c:v>2611.4422845987428</c:v>
                </c:pt>
                <c:pt idx="10">
                  <c:v>2567.704765903844</c:v>
                </c:pt>
                <c:pt idx="11">
                  <c:v>2545.8775717711228</c:v>
                </c:pt>
                <c:pt idx="12">
                  <c:v>2524.0774887505668</c:v>
                </c:pt>
                <c:pt idx="13">
                  <c:v>2501.7966036621151</c:v>
                </c:pt>
                <c:pt idx="14">
                  <c:v>2480.053928005203</c:v>
                </c:pt>
                <c:pt idx="15">
                  <c:v>2458.3247864058731</c:v>
                </c:pt>
                <c:pt idx="16">
                  <c:v>2412.9285481637648</c:v>
                </c:pt>
                <c:pt idx="17">
                  <c:v>2367.4717232131161</c:v>
                </c:pt>
                <c:pt idx="18">
                  <c:v>2321.6018302930979</c:v>
                </c:pt>
                <c:pt idx="19">
                  <c:v>2276.0516793893294</c:v>
                </c:pt>
                <c:pt idx="20">
                  <c:v>2230.4710923836169</c:v>
                </c:pt>
                <c:pt idx="21">
                  <c:v>2191.7926589342869</c:v>
                </c:pt>
                <c:pt idx="22">
                  <c:v>2152.0925156001367</c:v>
                </c:pt>
                <c:pt idx="23">
                  <c:v>2112.4032924654739</c:v>
                </c:pt>
                <c:pt idx="24">
                  <c:v>2072.7234532648681</c:v>
                </c:pt>
              </c:numCache>
            </c:numRef>
          </c:val>
          <c:extLst>
            <c:ext xmlns:c15="http://schemas.microsoft.com/office/drawing/2012/chart" uri="{02D57815-91ED-43cb-92C2-25804820EDAC}">
              <c15:filteredCategoryTitle>
                <c15:cat>
                  <c:numRef>
                    <c:extLst>
                      <c:ext uri="{02D57815-91ED-43cb-92C2-25804820EDAC}">
                        <c15:formulaRef>
                          <c15:sqref>'Results ReCiPe (H) - CC ship'!$AC$89:$BA$89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6-C5F2-4137-9858-A66FD1D6144A}"/>
            </c:ext>
          </c:extLst>
        </c:ser>
        <c:ser>
          <c:idx val="7"/>
          <c:order val="7"/>
          <c:tx>
            <c:strRef>
              <c:f>'Results ReCiPe (H) - CC ship'!$AB$97</c:f>
              <c:strCache>
                <c:ptCount val="1"/>
                <c:pt idx="0">
                  <c:v>CO2 captured and stored</c:v>
                </c:pt>
              </c:strCache>
            </c:strRef>
          </c:tx>
          <c:spPr>
            <a:solidFill>
              <a:schemeClr val="tx2">
                <a:lumMod val="20000"/>
                <a:lumOff val="80000"/>
              </a:schemeClr>
            </a:solidFill>
            <a:ln>
              <a:noFill/>
            </a:ln>
            <a:effectLst/>
          </c:spPr>
          <c:invertIfNegative val="0"/>
          <c:val>
            <c:numRef>
              <c:f>'Results ReCiPe (H) - CC ship'!$AC$97:$BA$97</c:f>
              <c:numCache>
                <c:formatCode>0.00E+00</c:formatCode>
                <c:ptCount val="25"/>
                <c:pt idx="0">
                  <c:v>-100000</c:v>
                </c:pt>
                <c:pt idx="1">
                  <c:v>-100000</c:v>
                </c:pt>
                <c:pt idx="2">
                  <c:v>-100000</c:v>
                </c:pt>
                <c:pt idx="3">
                  <c:v>-100000</c:v>
                </c:pt>
                <c:pt idx="4">
                  <c:v>-100000</c:v>
                </c:pt>
                <c:pt idx="5">
                  <c:v>-100000</c:v>
                </c:pt>
                <c:pt idx="6">
                  <c:v>-100000</c:v>
                </c:pt>
                <c:pt idx="7">
                  <c:v>-100000</c:v>
                </c:pt>
                <c:pt idx="8">
                  <c:v>-100000</c:v>
                </c:pt>
                <c:pt idx="9">
                  <c:v>-100000</c:v>
                </c:pt>
                <c:pt idx="10">
                  <c:v>-100000</c:v>
                </c:pt>
                <c:pt idx="11">
                  <c:v>-100000</c:v>
                </c:pt>
                <c:pt idx="12">
                  <c:v>-100000</c:v>
                </c:pt>
                <c:pt idx="13">
                  <c:v>-100000</c:v>
                </c:pt>
                <c:pt idx="14">
                  <c:v>-100000</c:v>
                </c:pt>
                <c:pt idx="15">
                  <c:v>-100000</c:v>
                </c:pt>
                <c:pt idx="16">
                  <c:v>-100000</c:v>
                </c:pt>
                <c:pt idx="17">
                  <c:v>-100000</c:v>
                </c:pt>
                <c:pt idx="18">
                  <c:v>-100000</c:v>
                </c:pt>
                <c:pt idx="19">
                  <c:v>-100000</c:v>
                </c:pt>
                <c:pt idx="20">
                  <c:v>-100000</c:v>
                </c:pt>
                <c:pt idx="21">
                  <c:v>-100000</c:v>
                </c:pt>
                <c:pt idx="22">
                  <c:v>-100000</c:v>
                </c:pt>
                <c:pt idx="23">
                  <c:v>-100000</c:v>
                </c:pt>
                <c:pt idx="24">
                  <c:v>-100000</c:v>
                </c:pt>
              </c:numCache>
            </c:numRef>
          </c:val>
          <c:extLst>
            <c:ext xmlns:c15="http://schemas.microsoft.com/office/drawing/2012/chart" uri="{02D57815-91ED-43cb-92C2-25804820EDAC}">
              <c15:filteredCategoryTitle>
                <c15:cat>
                  <c:numRef>
                    <c:extLst>
                      <c:ext uri="{02D57815-91ED-43cb-92C2-25804820EDAC}">
                        <c15:formulaRef>
                          <c15:sqref>'Results ReCiPe (H) - CC ship'!$AC$89:$BA$89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7-C5F2-4137-9858-A66FD1D6144A}"/>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CC ship'!$AB$98</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val>
            <c:numRef>
              <c:f>'Results ReCiPe (H) - CC ship'!$AC$98:$BA$98</c:f>
              <c:numCache>
                <c:formatCode>0.00E+00</c:formatCode>
                <c:ptCount val="25"/>
                <c:pt idx="0">
                  <c:v>-51469.438885946904</c:v>
                </c:pt>
                <c:pt idx="1">
                  <c:v>-84797.334081100169</c:v>
                </c:pt>
                <c:pt idx="2">
                  <c:v>-87366.696103016206</c:v>
                </c:pt>
                <c:pt idx="3">
                  <c:v>-89081.81404602417</c:v>
                </c:pt>
                <c:pt idx="4">
                  <c:v>-92552.391785911197</c:v>
                </c:pt>
                <c:pt idx="5">
                  <c:v>-95131.012955231883</c:v>
                </c:pt>
                <c:pt idx="6">
                  <c:v>-94898.615389877305</c:v>
                </c:pt>
                <c:pt idx="7">
                  <c:v>-96364.851503618789</c:v>
                </c:pt>
                <c:pt idx="8">
                  <c:v>-97021.094678796158</c:v>
                </c:pt>
                <c:pt idx="9">
                  <c:v>-96817.357554954098</c:v>
                </c:pt>
                <c:pt idx="10">
                  <c:v>-98276.354083183745</c:v>
                </c:pt>
                <c:pt idx="11">
                  <c:v>-98584.521498914735</c:v>
                </c:pt>
                <c:pt idx="12">
                  <c:v>-98070.539854605959</c:v>
                </c:pt>
                <c:pt idx="13">
                  <c:v>-99205.086141420645</c:v>
                </c:pt>
                <c:pt idx="14">
                  <c:v>-99511.000313134762</c:v>
                </c:pt>
                <c:pt idx="15">
                  <c:v>-99000.601159073442</c:v>
                </c:pt>
                <c:pt idx="16">
                  <c:v>-100442.57121665544</c:v>
                </c:pt>
                <c:pt idx="17">
                  <c:v>-101064.36534953749</c:v>
                </c:pt>
                <c:pt idx="18">
                  <c:v>-100877.21619918298</c:v>
                </c:pt>
                <c:pt idx="19">
                  <c:v>-102298.93955784437</c:v>
                </c:pt>
                <c:pt idx="20">
                  <c:v>-102906.99001182779</c:v>
                </c:pt>
                <c:pt idx="21">
                  <c:v>-102662.22827295231</c:v>
                </c:pt>
                <c:pt idx="22">
                  <c:v>-104040.32879055376</c:v>
                </c:pt>
                <c:pt idx="23">
                  <c:v>-104616.26496514214</c:v>
                </c:pt>
                <c:pt idx="24">
                  <c:v>-103868.83911053272</c:v>
                </c:pt>
              </c:numCache>
            </c:numRef>
          </c:val>
          <c:smooth val="0"/>
          <c:extLst>
            <c:ext xmlns:c15="http://schemas.microsoft.com/office/drawing/2012/chart" uri="{02D57815-91ED-43cb-92C2-25804820EDAC}">
              <c15:filteredCategoryTitle>
                <c15:cat>
                  <c:numRef>
                    <c:extLst>
                      <c:ext uri="{02D57815-91ED-43cb-92C2-25804820EDAC}">
                        <c15:formulaRef>
                          <c15:sqref>'Results ReCiPe (H) - CC ship'!$AC$89:$BA$89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8-C5F2-4137-9858-A66FD1D6144A}"/>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mn-ea"/>
                    <a:cs typeface="+mn-cs"/>
                  </a:defRPr>
                </a:pPr>
                <a:r>
                  <a:rPr lang="nl-NL"/>
                  <a:t>years</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mn-ea"/>
                  <a:cs typeface="+mn-cs"/>
                </a:defRPr>
              </a:pPr>
              <a:endParaRPr lang="en-NL"/>
            </a:p>
          </c:txPr>
        </c:title>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Verdana Pro" panose="020B0604030504040204" pitchFamily="34" charset="0"/>
                    <a:ea typeface="+mn-ea"/>
                    <a:cs typeface="+mn-cs"/>
                  </a:defRPr>
                </a:pPr>
                <a:r>
                  <a:rPr lang="nl-NL"/>
                  <a:t>Climate change</a:t>
                </a:r>
              </a:p>
              <a:p>
                <a:pPr algn="ctr" rtl="0">
                  <a:defRPr/>
                </a:pPr>
                <a:r>
                  <a:rPr lang="nl-NL"/>
                  <a:t>(kg CO2-eq/ton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Verdana Pro" panose="020B0604030504040204" pitchFamily="34" charset="0"/>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Verdana Pro" panose="020B0604030504040204" pitchFamily="34" charset="0"/>
        </a:defRPr>
      </a:pPr>
      <a:endParaRPr lang="en-NL"/>
    </a:p>
  </c:txPr>
  <c:printSettings>
    <c:headerFooter/>
    <c:pageMargins b="0.75" l="0.7" r="0.7" t="0.75" header="0.3" footer="0.3"/>
    <c:pageSetup/>
  </c:printSettings>
</c:chartSpace>
</file>

<file path=xl/charts/chart1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CC ship'!$AB$132</c:f>
              <c:strCache>
                <c:ptCount val="1"/>
                <c:pt idx="0">
                  <c:v>Construction - DAC</c:v>
                </c:pt>
              </c:strCache>
            </c:strRef>
          </c:tx>
          <c:spPr>
            <a:solidFill>
              <a:schemeClr val="accent4">
                <a:lumMod val="75000"/>
              </a:schemeClr>
            </a:solidFill>
            <a:ln>
              <a:noFill/>
            </a:ln>
            <a:effectLst/>
          </c:spPr>
          <c:invertIfNegative val="0"/>
          <c:cat>
            <c:numRef>
              <c:f>'Results ReCiPe (H) - CC ship'!$AC$131:$BA$131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 ship'!$AC$132:$BA$132</c:f>
              <c:numCache>
                <c:formatCode>0.00E+00</c:formatCode>
                <c:ptCount val="25"/>
                <c:pt idx="0">
                  <c:v>38347.290835764303</c:v>
                </c:pt>
              </c:numCache>
            </c:numRef>
          </c:val>
          <c:extLst>
            <c:ext xmlns:c16="http://schemas.microsoft.com/office/drawing/2014/chart" uri="{C3380CC4-5D6E-409C-BE32-E72D297353CC}">
              <c16:uniqueId val="{00000000-0550-4F5A-BF64-54493B3DF64A}"/>
            </c:ext>
          </c:extLst>
        </c:ser>
        <c:ser>
          <c:idx val="1"/>
          <c:order val="1"/>
          <c:tx>
            <c:strRef>
              <c:f>'Results ReCiPe (H) - CC ship'!$AB$133</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(H) - CC ship'!$AC$131:$BA$131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 ship'!$AC$133:$BA$133</c:f>
              <c:numCache>
                <c:formatCode>0.00E+00</c:formatCode>
                <c:ptCount val="25"/>
                <c:pt idx="0">
                  <c:v>2481.0563584021374</c:v>
                </c:pt>
              </c:numCache>
            </c:numRef>
          </c:val>
          <c:extLst>
            <c:ext xmlns:c16="http://schemas.microsoft.com/office/drawing/2014/chart" uri="{C3380CC4-5D6E-409C-BE32-E72D297353CC}">
              <c16:uniqueId val="{00000001-0550-4F5A-BF64-54493B3DF64A}"/>
            </c:ext>
          </c:extLst>
        </c:ser>
        <c:ser>
          <c:idx val="2"/>
          <c:order val="2"/>
          <c:tx>
            <c:strRef>
              <c:f>'Results ReCiPe (H) - CC ship'!$AB$134</c:f>
              <c:strCache>
                <c:ptCount val="1"/>
                <c:pt idx="0">
                  <c:v>Deconstruction - DAC</c:v>
                </c:pt>
              </c:strCache>
            </c:strRef>
          </c:tx>
          <c:spPr>
            <a:solidFill>
              <a:schemeClr val="accent2">
                <a:lumMod val="40000"/>
                <a:lumOff val="60000"/>
              </a:schemeClr>
            </a:solidFill>
            <a:ln>
              <a:noFill/>
            </a:ln>
            <a:effectLst/>
          </c:spPr>
          <c:invertIfNegative val="0"/>
          <c:cat>
            <c:numRef>
              <c:f>'Results ReCiPe (H) - CC ship'!$AC$131:$BA$131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 ship'!$AC$134:$BA$134</c:f>
              <c:numCache>
                <c:formatCode>0.00E+00</c:formatCode>
                <c:ptCount val="25"/>
                <c:pt idx="24">
                  <c:v>691.18373370688425</c:v>
                </c:pt>
              </c:numCache>
            </c:numRef>
          </c:val>
          <c:extLst>
            <c:ext xmlns:c16="http://schemas.microsoft.com/office/drawing/2014/chart" uri="{C3380CC4-5D6E-409C-BE32-E72D297353CC}">
              <c16:uniqueId val="{00000002-0550-4F5A-BF64-54493B3DF64A}"/>
            </c:ext>
          </c:extLst>
        </c:ser>
        <c:ser>
          <c:idx val="3"/>
          <c:order val="3"/>
          <c:tx>
            <c:strRef>
              <c:f>'Results ReCiPe (H) - CC ship'!$AB$135</c:f>
              <c:strCache>
                <c:ptCount val="1"/>
                <c:pt idx="0">
                  <c:v>Deconstruction - geological storage</c:v>
                </c:pt>
              </c:strCache>
            </c:strRef>
          </c:tx>
          <c:spPr>
            <a:solidFill>
              <a:srgbClr val="FF9900"/>
            </a:solidFill>
            <a:ln>
              <a:noFill/>
            </a:ln>
            <a:effectLst/>
          </c:spPr>
          <c:invertIfNegative val="0"/>
          <c:cat>
            <c:numRef>
              <c:f>'Results ReCiPe (H) - CC ship'!$AC$131:$BA$131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 ship'!$AC$135:$BA$135</c:f>
              <c:numCache>
                <c:formatCode>0.00E+00</c:formatCode>
                <c:ptCount val="25"/>
                <c:pt idx="24">
                  <c:v>22.494520912096178</c:v>
                </c:pt>
              </c:numCache>
            </c:numRef>
          </c:val>
          <c:extLst>
            <c:ext xmlns:c16="http://schemas.microsoft.com/office/drawing/2014/chart" uri="{C3380CC4-5D6E-409C-BE32-E72D297353CC}">
              <c16:uniqueId val="{00000003-0550-4F5A-BF64-54493B3DF64A}"/>
            </c:ext>
          </c:extLst>
        </c:ser>
        <c:ser>
          <c:idx val="4"/>
          <c:order val="4"/>
          <c:tx>
            <c:strRef>
              <c:f>'Results ReCiPe (H) - CC ship'!$AB$136</c:f>
              <c:strCache>
                <c:ptCount val="1"/>
                <c:pt idx="0">
                  <c:v>Sorbent material</c:v>
                </c:pt>
              </c:strCache>
            </c:strRef>
          </c:tx>
          <c:spPr>
            <a:solidFill>
              <a:srgbClr val="FF8F8F"/>
            </a:solidFill>
            <a:ln>
              <a:noFill/>
            </a:ln>
            <a:effectLst/>
          </c:spPr>
          <c:invertIfNegative val="0"/>
          <c:cat>
            <c:numRef>
              <c:f>'Results ReCiPe (H) - CC ship'!$AC$131:$BA$131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 ship'!$AC$136:$BA$136</c:f>
              <c:numCache>
                <c:formatCode>0.00E+00</c:formatCode>
                <c:ptCount val="25"/>
                <c:pt idx="0">
                  <c:v>1186.4815932558031</c:v>
                </c:pt>
                <c:pt idx="3">
                  <c:v>1175.2724845293581</c:v>
                </c:pt>
                <c:pt idx="6">
                  <c:v>1172.0887619145631</c:v>
                </c:pt>
                <c:pt idx="9">
                  <c:v>1171.5419235181971</c:v>
                </c:pt>
                <c:pt idx="12">
                  <c:v>1176.0346869666</c:v>
                </c:pt>
                <c:pt idx="15">
                  <c:v>1180.8592879535349</c:v>
                </c:pt>
                <c:pt idx="18">
                  <c:v>1165.597336992987</c:v>
                </c:pt>
                <c:pt idx="21">
                  <c:v>1149.242533712596</c:v>
                </c:pt>
                <c:pt idx="24">
                  <c:v>1126.377758844686</c:v>
                </c:pt>
              </c:numCache>
            </c:numRef>
          </c:val>
          <c:extLst>
            <c:ext xmlns:c16="http://schemas.microsoft.com/office/drawing/2014/chart" uri="{C3380CC4-5D6E-409C-BE32-E72D297353CC}">
              <c16:uniqueId val="{00000004-0550-4F5A-BF64-54493B3DF64A}"/>
            </c:ext>
          </c:extLst>
        </c:ser>
        <c:ser>
          <c:idx val="5"/>
          <c:order val="5"/>
          <c:tx>
            <c:strRef>
              <c:f>'Results ReCiPe (H) - CC ship'!$AB$137</c:f>
              <c:strCache>
                <c:ptCount val="1"/>
                <c:pt idx="0">
                  <c:v>Operation - DAC</c:v>
                </c:pt>
              </c:strCache>
            </c:strRef>
          </c:tx>
          <c:spPr>
            <a:solidFill>
              <a:schemeClr val="accent2">
                <a:lumMod val="75000"/>
              </a:schemeClr>
            </a:solidFill>
            <a:ln>
              <a:noFill/>
            </a:ln>
            <a:effectLst/>
          </c:spPr>
          <c:invertIfNegative val="0"/>
          <c:cat>
            <c:numRef>
              <c:f>'Results ReCiPe (H) - CC ship'!$AC$131:$BA$131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 ship'!$AC$137:$BA$137</c:f>
              <c:numCache>
                <c:formatCode>0.00E+00</c:formatCode>
                <c:ptCount val="25"/>
                <c:pt idx="0">
                  <c:v>28531.349319324079</c:v>
                </c:pt>
                <c:pt idx="1">
                  <c:v>28506.995685263922</c:v>
                </c:pt>
                <c:pt idx="2">
                  <c:v>28482.901475237042</c:v>
                </c:pt>
                <c:pt idx="3">
                  <c:v>28430.865012883762</c:v>
                </c:pt>
                <c:pt idx="4">
                  <c:v>28407.4088652508</c:v>
                </c:pt>
                <c:pt idx="5">
                  <c:v>28384.042112015875</c:v>
                </c:pt>
                <c:pt idx="6">
                  <c:v>30424.177244495266</c:v>
                </c:pt>
                <c:pt idx="7">
                  <c:v>32460.195246589479</c:v>
                </c:pt>
                <c:pt idx="8">
                  <c:v>34473.950782978718</c:v>
                </c:pt>
                <c:pt idx="9">
                  <c:v>36503.927780663369</c:v>
                </c:pt>
                <c:pt idx="10">
                  <c:v>38527.656098677326</c:v>
                </c:pt>
                <c:pt idx="11">
                  <c:v>42099.945078060722</c:v>
                </c:pt>
                <c:pt idx="12">
                  <c:v>45673.470681205581</c:v>
                </c:pt>
                <c:pt idx="13">
                  <c:v>49244.80916022259</c:v>
                </c:pt>
                <c:pt idx="14">
                  <c:v>52820.531686011316</c:v>
                </c:pt>
                <c:pt idx="15">
                  <c:v>56397.47818301693</c:v>
                </c:pt>
                <c:pt idx="16">
                  <c:v>57027.199122352409</c:v>
                </c:pt>
                <c:pt idx="17">
                  <c:v>57656.610622852109</c:v>
                </c:pt>
                <c:pt idx="18">
                  <c:v>58282.680978138909</c:v>
                </c:pt>
                <c:pt idx="19">
                  <c:v>58911.741062602756</c:v>
                </c:pt>
                <c:pt idx="20">
                  <c:v>59540.667752487025</c:v>
                </c:pt>
                <c:pt idx="21">
                  <c:v>59145.583527843606</c:v>
                </c:pt>
                <c:pt idx="22">
                  <c:v>57705.077483114423</c:v>
                </c:pt>
                <c:pt idx="23">
                  <c:v>56259.922235753504</c:v>
                </c:pt>
                <c:pt idx="24">
                  <c:v>54810.069670257966</c:v>
                </c:pt>
              </c:numCache>
            </c:numRef>
          </c:val>
          <c:extLst>
            <c:ext xmlns:c16="http://schemas.microsoft.com/office/drawing/2014/chart" uri="{C3380CC4-5D6E-409C-BE32-E72D297353CC}">
              <c16:uniqueId val="{00000005-0550-4F5A-BF64-54493B3DF64A}"/>
            </c:ext>
          </c:extLst>
        </c:ser>
        <c:ser>
          <c:idx val="6"/>
          <c:order val="6"/>
          <c:tx>
            <c:strRef>
              <c:f>'Results ReCiPe (H) - CC ship'!$AB$138</c:f>
              <c:strCache>
                <c:ptCount val="1"/>
                <c:pt idx="0">
                  <c:v>Operation - geological storage</c:v>
                </c:pt>
              </c:strCache>
            </c:strRef>
          </c:tx>
          <c:spPr>
            <a:solidFill>
              <a:schemeClr val="accent2">
                <a:lumMod val="50000"/>
              </a:schemeClr>
            </a:solidFill>
            <a:ln>
              <a:noFill/>
            </a:ln>
            <a:effectLst/>
          </c:spPr>
          <c:invertIfNegative val="0"/>
          <c:cat>
            <c:numRef>
              <c:f>'Results ReCiPe (H) - CC ship'!$AC$131:$BA$131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 ship'!$AC$138:$BA$138</c:f>
              <c:numCache>
                <c:formatCode>0.00E+00</c:formatCode>
                <c:ptCount val="25"/>
                <c:pt idx="0">
                  <c:v>5483.7210782034726</c:v>
                </c:pt>
                <c:pt idx="1">
                  <c:v>5477.0008491218232</c:v>
                </c:pt>
                <c:pt idx="2">
                  <c:v>5470.3030160691023</c:v>
                </c:pt>
                <c:pt idx="3">
                  <c:v>5460.8631800234189</c:v>
                </c:pt>
                <c:pt idx="4">
                  <c:v>5454.2158814037175</c:v>
                </c:pt>
                <c:pt idx="5">
                  <c:v>5447.5729914958647</c:v>
                </c:pt>
                <c:pt idx="6">
                  <c:v>5646.3269571408127</c:v>
                </c:pt>
                <c:pt idx="7">
                  <c:v>5844.0888349853431</c:v>
                </c:pt>
                <c:pt idx="8">
                  <c:v>6039.0716185524834</c:v>
                </c:pt>
                <c:pt idx="9">
                  <c:v>6235.0783155182125</c:v>
                </c:pt>
                <c:pt idx="10">
                  <c:v>6429.8927408336185</c:v>
                </c:pt>
                <c:pt idx="11">
                  <c:v>6777.5581203392067</c:v>
                </c:pt>
                <c:pt idx="12">
                  <c:v>7124.5398692324425</c:v>
                </c:pt>
                <c:pt idx="13">
                  <c:v>7470.4952093228812</c:v>
                </c:pt>
                <c:pt idx="14">
                  <c:v>7816.0842543556073</c:v>
                </c:pt>
                <c:pt idx="15">
                  <c:v>8160.9809130108788</c:v>
                </c:pt>
                <c:pt idx="16">
                  <c:v>8217.1017755550274</c:v>
                </c:pt>
                <c:pt idx="17">
                  <c:v>8273.0692702046581</c:v>
                </c:pt>
                <c:pt idx="18">
                  <c:v>8328.5800540018809</c:v>
                </c:pt>
                <c:pt idx="19">
                  <c:v>8384.2661632540076</c:v>
                </c:pt>
                <c:pt idx="20">
                  <c:v>8439.8154966497877</c:v>
                </c:pt>
                <c:pt idx="21">
                  <c:v>8389.6999391174741</c:v>
                </c:pt>
                <c:pt idx="22">
                  <c:v>8238.2761311693775</c:v>
                </c:pt>
                <c:pt idx="23">
                  <c:v>8086.9554059166458</c:v>
                </c:pt>
                <c:pt idx="24">
                  <c:v>7935.7342288324799</c:v>
                </c:pt>
              </c:numCache>
            </c:numRef>
          </c:val>
          <c:extLst>
            <c:ext xmlns:c16="http://schemas.microsoft.com/office/drawing/2014/chart" uri="{C3380CC4-5D6E-409C-BE32-E72D297353CC}">
              <c16:uniqueId val="{00000006-0550-4F5A-BF64-54493B3DF64A}"/>
            </c:ext>
          </c:extLst>
        </c:ser>
        <c:ser>
          <c:idx val="7"/>
          <c:order val="7"/>
          <c:tx>
            <c:strRef>
              <c:f>'Results ReCiPe (H) - CC ship'!$AB$139</c:f>
              <c:strCache>
                <c:ptCount val="1"/>
                <c:pt idx="0">
                  <c:v>CO2 captured and stored</c:v>
                </c:pt>
              </c:strCache>
            </c:strRef>
          </c:tx>
          <c:spPr>
            <a:solidFill>
              <a:schemeClr val="tx2">
                <a:lumMod val="20000"/>
                <a:lumOff val="80000"/>
              </a:schemeClr>
            </a:solidFill>
            <a:ln>
              <a:noFill/>
            </a:ln>
            <a:effectLst/>
          </c:spPr>
          <c:invertIfNegative val="0"/>
          <c:cat>
            <c:numRef>
              <c:f>'Results ReCiPe (H) - CC ship'!$AC$131:$BA$131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 ship'!$AC$139:$BA$139</c:f>
              <c:numCache>
                <c:formatCode>0.00E+00</c:formatCode>
                <c:ptCount val="25"/>
                <c:pt idx="0">
                  <c:v>-100000</c:v>
                </c:pt>
                <c:pt idx="1">
                  <c:v>-100000</c:v>
                </c:pt>
                <c:pt idx="2">
                  <c:v>-100000</c:v>
                </c:pt>
                <c:pt idx="3">
                  <c:v>-100000</c:v>
                </c:pt>
                <c:pt idx="4">
                  <c:v>-100000</c:v>
                </c:pt>
                <c:pt idx="5">
                  <c:v>-100000</c:v>
                </c:pt>
                <c:pt idx="6">
                  <c:v>-100000</c:v>
                </c:pt>
                <c:pt idx="7">
                  <c:v>-100000</c:v>
                </c:pt>
                <c:pt idx="8">
                  <c:v>-100000</c:v>
                </c:pt>
                <c:pt idx="9">
                  <c:v>-100000</c:v>
                </c:pt>
                <c:pt idx="10">
                  <c:v>-100000</c:v>
                </c:pt>
                <c:pt idx="11">
                  <c:v>-100000</c:v>
                </c:pt>
                <c:pt idx="12">
                  <c:v>-100000</c:v>
                </c:pt>
                <c:pt idx="13">
                  <c:v>-100000</c:v>
                </c:pt>
                <c:pt idx="14">
                  <c:v>-100000</c:v>
                </c:pt>
                <c:pt idx="15">
                  <c:v>-100000</c:v>
                </c:pt>
                <c:pt idx="16">
                  <c:v>-100000</c:v>
                </c:pt>
                <c:pt idx="17">
                  <c:v>-100000</c:v>
                </c:pt>
                <c:pt idx="18">
                  <c:v>-100000</c:v>
                </c:pt>
                <c:pt idx="19">
                  <c:v>-100000</c:v>
                </c:pt>
                <c:pt idx="20">
                  <c:v>-100000</c:v>
                </c:pt>
                <c:pt idx="21">
                  <c:v>-100000</c:v>
                </c:pt>
                <c:pt idx="22">
                  <c:v>-100000</c:v>
                </c:pt>
                <c:pt idx="23">
                  <c:v>-100000</c:v>
                </c:pt>
                <c:pt idx="24">
                  <c:v>-100000</c:v>
                </c:pt>
              </c:numCache>
            </c:numRef>
          </c:val>
          <c:extLst>
            <c:ext xmlns:c16="http://schemas.microsoft.com/office/drawing/2014/chart" uri="{C3380CC4-5D6E-409C-BE32-E72D297353CC}">
              <c16:uniqueId val="{00000007-0550-4F5A-BF64-54493B3DF64A}"/>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CC ship'!$AB$140</c:f>
              <c:strCache>
                <c:ptCount val="1"/>
                <c:pt idx="0">
                  <c:v>TOTAL per year</c:v>
                </c:pt>
              </c:strCache>
            </c:strRef>
          </c:tx>
          <c:spPr>
            <a:ln w="28575" cap="rnd">
              <a:noFill/>
              <a:round/>
            </a:ln>
            <a:effectLst/>
          </c:spPr>
          <c:marker>
            <c:symbol val="circle"/>
            <c:size val="5"/>
            <c:spPr>
              <a:solidFill>
                <a:schemeClr val="tx1"/>
              </a:solidFill>
              <a:ln w="9525">
                <a:solidFill>
                  <a:schemeClr val="accent3">
                    <a:lumMod val="60000"/>
                  </a:schemeClr>
                </a:solidFill>
              </a:ln>
              <a:effectLst/>
            </c:spPr>
          </c:marker>
          <c:cat>
            <c:numRef>
              <c:f>'Results ReCiPe (H) - CC ship'!$AC$131:$BA$131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 ship'!$AC$140:$BA$140</c:f>
              <c:numCache>
                <c:formatCode>0.00E+00</c:formatCode>
                <c:ptCount val="25"/>
                <c:pt idx="0">
                  <c:v>-23970.100815050217</c:v>
                </c:pt>
                <c:pt idx="1">
                  <c:v>-66016.003465614252</c:v>
                </c:pt>
                <c:pt idx="2">
                  <c:v>-66046.795508693845</c:v>
                </c:pt>
                <c:pt idx="3">
                  <c:v>-64932.999322563461</c:v>
                </c:pt>
                <c:pt idx="4">
                  <c:v>-66138.375253345483</c:v>
                </c:pt>
                <c:pt idx="5">
                  <c:v>-66168.384896488264</c:v>
                </c:pt>
                <c:pt idx="6">
                  <c:v>-62757.40703644936</c:v>
                </c:pt>
                <c:pt idx="7">
                  <c:v>-61695.71591842518</c:v>
                </c:pt>
                <c:pt idx="8">
                  <c:v>-59486.977598468802</c:v>
                </c:pt>
                <c:pt idx="9">
                  <c:v>-56089.451980300219</c:v>
                </c:pt>
                <c:pt idx="10">
                  <c:v>-55042.451160489058</c:v>
                </c:pt>
                <c:pt idx="11">
                  <c:v>-51122.496801600071</c:v>
                </c:pt>
                <c:pt idx="12">
                  <c:v>-46025.954762595371</c:v>
                </c:pt>
                <c:pt idx="13">
                  <c:v>-43284.695630454531</c:v>
                </c:pt>
                <c:pt idx="14">
                  <c:v>-39363.384059633077</c:v>
                </c:pt>
                <c:pt idx="15">
                  <c:v>-34260.681616018657</c:v>
                </c:pt>
                <c:pt idx="16">
                  <c:v>-34755.699102092563</c:v>
                </c:pt>
                <c:pt idx="17">
                  <c:v>-34070.320106943225</c:v>
                </c:pt>
                <c:pt idx="18">
                  <c:v>-32223.14163086623</c:v>
                </c:pt>
                <c:pt idx="19">
                  <c:v>-32703.992774143233</c:v>
                </c:pt>
                <c:pt idx="20">
                  <c:v>-32019.516750863186</c:v>
                </c:pt>
                <c:pt idx="21">
                  <c:v>-31315.473999326321</c:v>
                </c:pt>
                <c:pt idx="22">
                  <c:v>-34056.646385716202</c:v>
                </c:pt>
                <c:pt idx="23">
                  <c:v>-35653.122358329849</c:v>
                </c:pt>
                <c:pt idx="24">
                  <c:v>-35414.140087445885</c:v>
                </c:pt>
              </c:numCache>
            </c:numRef>
          </c:val>
          <c:smooth val="0"/>
          <c:extLst>
            <c:ext xmlns:c16="http://schemas.microsoft.com/office/drawing/2014/chart" uri="{C3380CC4-5D6E-409C-BE32-E72D297353CC}">
              <c16:uniqueId val="{00000008-0550-4F5A-BF64-54493B3DF64A}"/>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Verdana Pro" panose="020B0604030504040204" pitchFamily="34" charset="0"/>
                    <a:ea typeface="+mn-ea"/>
                    <a:cs typeface="+mn-cs"/>
                  </a:defRPr>
                </a:pPr>
                <a:r>
                  <a:rPr lang="nl-NL"/>
                  <a:t>Climate</a:t>
                </a:r>
                <a:r>
                  <a:rPr lang="nl-NL" baseline="0"/>
                  <a:t> change </a:t>
                </a:r>
              </a:p>
              <a:p>
                <a:pPr algn="ctr" rtl="0">
                  <a:defRPr/>
                </a:pPr>
                <a:r>
                  <a:rPr lang="nl-NL" baseline="0"/>
                  <a:t>[kg CO2-eq</a:t>
                </a:r>
                <a:r>
                  <a:rPr lang="nl-NL"/>
                  <a:t>/ton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Verdana Pro" panose="020B0604030504040204" pitchFamily="34" charset="0"/>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Verdana Pro" panose="020B0604030504040204" pitchFamily="34" charset="0"/>
        </a:defRPr>
      </a:pPr>
      <a:endParaRPr lang="en-NL"/>
    </a:p>
  </c:txPr>
  <c:printSettings>
    <c:headerFooter/>
    <c:pageMargins b="0.75" l="0.7" r="0.7" t="0.75" header="0.3" footer="0.3"/>
    <c:pageSetup/>
  </c:printSettings>
</c:chartSpace>
</file>

<file path=xl/charts/chart1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CC ship'!$AB$173</c:f>
              <c:strCache>
                <c:ptCount val="1"/>
                <c:pt idx="0">
                  <c:v>Construction - DAC</c:v>
                </c:pt>
              </c:strCache>
            </c:strRef>
          </c:tx>
          <c:spPr>
            <a:solidFill>
              <a:schemeClr val="accent4">
                <a:lumMod val="75000"/>
              </a:schemeClr>
            </a:solidFill>
            <a:ln>
              <a:noFill/>
            </a:ln>
            <a:effectLst/>
          </c:spPr>
          <c:invertIfNegative val="0"/>
          <c:cat>
            <c:numRef>
              <c:f>'Results ReCiPe (H) - CC ship'!$AC$172:$BA$172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 ship'!$AC$173:$BA$173</c:f>
              <c:numCache>
                <c:formatCode>0.00E+00</c:formatCode>
                <c:ptCount val="25"/>
                <c:pt idx="0">
                  <c:v>35571.801809533943</c:v>
                </c:pt>
              </c:numCache>
            </c:numRef>
          </c:val>
          <c:extLst>
            <c:ext xmlns:c16="http://schemas.microsoft.com/office/drawing/2014/chart" uri="{C3380CC4-5D6E-409C-BE32-E72D297353CC}">
              <c16:uniqueId val="{00000000-F3DD-4498-B17D-51793B459A06}"/>
            </c:ext>
          </c:extLst>
        </c:ser>
        <c:ser>
          <c:idx val="1"/>
          <c:order val="1"/>
          <c:tx>
            <c:strRef>
              <c:f>'Results ReCiPe (H) - CC ship'!$AB$174</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(H) - CC ship'!$AC$172:$BA$172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 ship'!$AC$174:$BA$174</c:f>
              <c:numCache>
                <c:formatCode>0.00E+00</c:formatCode>
                <c:ptCount val="25"/>
                <c:pt idx="0">
                  <c:v>2321.3557239996653</c:v>
                </c:pt>
              </c:numCache>
            </c:numRef>
          </c:val>
          <c:extLst>
            <c:ext xmlns:c16="http://schemas.microsoft.com/office/drawing/2014/chart" uri="{C3380CC4-5D6E-409C-BE32-E72D297353CC}">
              <c16:uniqueId val="{00000001-F3DD-4498-B17D-51793B459A06}"/>
            </c:ext>
          </c:extLst>
        </c:ser>
        <c:ser>
          <c:idx val="2"/>
          <c:order val="2"/>
          <c:tx>
            <c:strRef>
              <c:f>'Results ReCiPe (H) - CC ship'!$AB$175</c:f>
              <c:strCache>
                <c:ptCount val="1"/>
                <c:pt idx="0">
                  <c:v>Deconstruction - DAC</c:v>
                </c:pt>
              </c:strCache>
            </c:strRef>
          </c:tx>
          <c:spPr>
            <a:solidFill>
              <a:schemeClr val="accent2">
                <a:lumMod val="40000"/>
                <a:lumOff val="60000"/>
              </a:schemeClr>
            </a:solidFill>
            <a:ln>
              <a:noFill/>
            </a:ln>
            <a:effectLst/>
          </c:spPr>
          <c:invertIfNegative val="0"/>
          <c:cat>
            <c:numRef>
              <c:f>'Results ReCiPe (H) - CC ship'!$AC$172:$BA$172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 ship'!$AC$175:$BA$175</c:f>
              <c:numCache>
                <c:formatCode>0.00E+00</c:formatCode>
                <c:ptCount val="25"/>
                <c:pt idx="24">
                  <c:v>578.38595176265494</c:v>
                </c:pt>
              </c:numCache>
            </c:numRef>
          </c:val>
          <c:extLst>
            <c:ext xmlns:c16="http://schemas.microsoft.com/office/drawing/2014/chart" uri="{C3380CC4-5D6E-409C-BE32-E72D297353CC}">
              <c16:uniqueId val="{00000002-F3DD-4498-B17D-51793B459A06}"/>
            </c:ext>
          </c:extLst>
        </c:ser>
        <c:ser>
          <c:idx val="3"/>
          <c:order val="3"/>
          <c:tx>
            <c:strRef>
              <c:f>'Results ReCiPe (H) - CC ship'!$AB$176</c:f>
              <c:strCache>
                <c:ptCount val="1"/>
                <c:pt idx="0">
                  <c:v>Deconstruction - geological storage</c:v>
                </c:pt>
              </c:strCache>
            </c:strRef>
          </c:tx>
          <c:spPr>
            <a:solidFill>
              <a:srgbClr val="FF9900"/>
            </a:solidFill>
            <a:ln>
              <a:noFill/>
            </a:ln>
            <a:effectLst/>
          </c:spPr>
          <c:invertIfNegative val="0"/>
          <c:cat>
            <c:numRef>
              <c:f>'Results ReCiPe (H) - CC ship'!$AC$172:$BA$172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 ship'!$AC$176:$BA$176</c:f>
              <c:numCache>
                <c:formatCode>0.00E+00</c:formatCode>
                <c:ptCount val="25"/>
                <c:pt idx="24">
                  <c:v>20.958999559062121</c:v>
                </c:pt>
              </c:numCache>
            </c:numRef>
          </c:val>
          <c:extLst>
            <c:ext xmlns:c16="http://schemas.microsoft.com/office/drawing/2014/chart" uri="{C3380CC4-5D6E-409C-BE32-E72D297353CC}">
              <c16:uniqueId val="{00000003-F3DD-4498-B17D-51793B459A06}"/>
            </c:ext>
          </c:extLst>
        </c:ser>
        <c:ser>
          <c:idx val="4"/>
          <c:order val="4"/>
          <c:tx>
            <c:strRef>
              <c:f>'Results ReCiPe (H) - CC ship'!$AB$177</c:f>
              <c:strCache>
                <c:ptCount val="1"/>
                <c:pt idx="0">
                  <c:v>Sorbent material</c:v>
                </c:pt>
              </c:strCache>
            </c:strRef>
          </c:tx>
          <c:spPr>
            <a:solidFill>
              <a:srgbClr val="FF8F8F"/>
            </a:solidFill>
            <a:ln>
              <a:noFill/>
            </a:ln>
            <a:effectLst/>
          </c:spPr>
          <c:invertIfNegative val="0"/>
          <c:cat>
            <c:numRef>
              <c:f>'Results ReCiPe (H) - CC ship'!$AC$172:$BA$172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 ship'!$AC$177:$BA$177</c:f>
              <c:numCache>
                <c:formatCode>0.00E+00</c:formatCode>
                <c:ptCount val="25"/>
                <c:pt idx="0">
                  <c:v>1148.3409729516229</c:v>
                </c:pt>
                <c:pt idx="3">
                  <c:v>1112.2182425813739</c:v>
                </c:pt>
                <c:pt idx="6">
                  <c:v>1076.9191461281321</c:v>
                </c:pt>
                <c:pt idx="9">
                  <c:v>1031.286216035297</c:v>
                </c:pt>
                <c:pt idx="12">
                  <c:v>977.44851845379105</c:v>
                </c:pt>
                <c:pt idx="15">
                  <c:v>917.987027187487</c:v>
                </c:pt>
                <c:pt idx="18">
                  <c:v>875.86379727760391</c:v>
                </c:pt>
                <c:pt idx="21">
                  <c:v>846.3879160889735</c:v>
                </c:pt>
                <c:pt idx="24">
                  <c:v>839.0363303143256</c:v>
                </c:pt>
              </c:numCache>
            </c:numRef>
          </c:val>
          <c:extLst>
            <c:ext xmlns:c16="http://schemas.microsoft.com/office/drawing/2014/chart" uri="{C3380CC4-5D6E-409C-BE32-E72D297353CC}">
              <c16:uniqueId val="{00000004-F3DD-4498-B17D-51793B459A06}"/>
            </c:ext>
          </c:extLst>
        </c:ser>
        <c:ser>
          <c:idx val="5"/>
          <c:order val="5"/>
          <c:tx>
            <c:strRef>
              <c:f>'Results ReCiPe (H) - CC ship'!$AB$178</c:f>
              <c:strCache>
                <c:ptCount val="1"/>
                <c:pt idx="0">
                  <c:v>Operation - DAC</c:v>
                </c:pt>
              </c:strCache>
            </c:strRef>
          </c:tx>
          <c:spPr>
            <a:solidFill>
              <a:schemeClr val="accent2">
                <a:lumMod val="75000"/>
              </a:schemeClr>
            </a:solidFill>
            <a:ln>
              <a:noFill/>
            </a:ln>
            <a:effectLst/>
          </c:spPr>
          <c:invertIfNegative val="0"/>
          <c:cat>
            <c:numRef>
              <c:f>'Results ReCiPe (H) - CC ship'!$AC$172:$BA$172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 ship'!$AC$178:$BA$178</c:f>
              <c:numCache>
                <c:formatCode>0.00E+00</c:formatCode>
                <c:ptCount val="25"/>
                <c:pt idx="0">
                  <c:v>24627.814808356317</c:v>
                </c:pt>
                <c:pt idx="1">
                  <c:v>23007.574703896466</c:v>
                </c:pt>
                <c:pt idx="2">
                  <c:v>21387.85072454179</c:v>
                </c:pt>
                <c:pt idx="3">
                  <c:v>19738.878919805309</c:v>
                </c:pt>
                <c:pt idx="4">
                  <c:v>18119.795331705423</c:v>
                </c:pt>
                <c:pt idx="5">
                  <c:v>16500.781925507643</c:v>
                </c:pt>
                <c:pt idx="6">
                  <c:v>15206.746184268166</c:v>
                </c:pt>
                <c:pt idx="7">
                  <c:v>13916.397148752201</c:v>
                </c:pt>
                <c:pt idx="8">
                  <c:v>12604.873895513982</c:v>
                </c:pt>
                <c:pt idx="9">
                  <c:v>11316.529406602853</c:v>
                </c:pt>
                <c:pt idx="10">
                  <c:v>10028.310983538013</c:v>
                </c:pt>
                <c:pt idx="11">
                  <c:v>8990.5088123138648</c:v>
                </c:pt>
                <c:pt idx="12">
                  <c:v>7948.861731494726</c:v>
                </c:pt>
                <c:pt idx="13">
                  <c:v>6898.4647369356317</c:v>
                </c:pt>
                <c:pt idx="14">
                  <c:v>5849.3154489777635</c:v>
                </c:pt>
                <c:pt idx="15">
                  <c:v>4796.5068628817398</c:v>
                </c:pt>
                <c:pt idx="16">
                  <c:v>4225.1533278487022</c:v>
                </c:pt>
                <c:pt idx="17">
                  <c:v>3653.9692003727459</c:v>
                </c:pt>
                <c:pt idx="18">
                  <c:v>3078.7515053568495</c:v>
                </c:pt>
                <c:pt idx="19">
                  <c:v>2508.1437076971797</c:v>
                </c:pt>
                <c:pt idx="20">
                  <c:v>1938.210334315145</c:v>
                </c:pt>
                <c:pt idx="21">
                  <c:v>1732.6538356380768</c:v>
                </c:pt>
                <c:pt idx="22">
                  <c:v>1509.3500111451742</c:v>
                </c:pt>
                <c:pt idx="23">
                  <c:v>1285.3212344800988</c:v>
                </c:pt>
                <c:pt idx="24">
                  <c:v>1060.5511180190729</c:v>
                </c:pt>
              </c:numCache>
            </c:numRef>
          </c:val>
          <c:extLst>
            <c:ext xmlns:c16="http://schemas.microsoft.com/office/drawing/2014/chart" uri="{C3380CC4-5D6E-409C-BE32-E72D297353CC}">
              <c16:uniqueId val="{00000005-F3DD-4498-B17D-51793B459A06}"/>
            </c:ext>
          </c:extLst>
        </c:ser>
        <c:ser>
          <c:idx val="6"/>
          <c:order val="6"/>
          <c:tx>
            <c:strRef>
              <c:f>'Results ReCiPe (H) - CC ship'!$AB$179</c:f>
              <c:strCache>
                <c:ptCount val="1"/>
                <c:pt idx="0">
                  <c:v>Operation - geological storage</c:v>
                </c:pt>
              </c:strCache>
            </c:strRef>
          </c:tx>
          <c:spPr>
            <a:solidFill>
              <a:schemeClr val="accent2">
                <a:lumMod val="50000"/>
              </a:schemeClr>
            </a:solidFill>
            <a:ln>
              <a:noFill/>
            </a:ln>
            <a:effectLst/>
          </c:spPr>
          <c:invertIfNegative val="0"/>
          <c:cat>
            <c:numRef>
              <c:f>'Results ReCiPe (H) - CC ship'!$AC$172:$BA$172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 ship'!$AC$179:$BA$179</c:f>
              <c:numCache>
                <c:formatCode>0.00E+00</c:formatCode>
                <c:ptCount val="25"/>
                <c:pt idx="0">
                  <c:v>5082.9496481032038</c:v>
                </c:pt>
                <c:pt idx="1">
                  <c:v>4916.3224841084248</c:v>
                </c:pt>
                <c:pt idx="2">
                  <c:v>4750.4855801159019</c:v>
                </c:pt>
                <c:pt idx="3">
                  <c:v>4582.5142413266831</c:v>
                </c:pt>
                <c:pt idx="4">
                  <c:v>4418.2090014380865</c:v>
                </c:pt>
                <c:pt idx="5">
                  <c:v>4254.6419253980548</c:v>
                </c:pt>
                <c:pt idx="6">
                  <c:v>4124.9368954637075</c:v>
                </c:pt>
                <c:pt idx="7">
                  <c:v>3995.7626131788752</c:v>
                </c:pt>
                <c:pt idx="8">
                  <c:v>3864.7196395613578</c:v>
                </c:pt>
                <c:pt idx="9">
                  <c:v>3736.2279447897663</c:v>
                </c:pt>
                <c:pt idx="10">
                  <c:v>3608.0175571905152</c:v>
                </c:pt>
                <c:pt idx="11">
                  <c:v>3504.7300074799091</c:v>
                </c:pt>
                <c:pt idx="12">
                  <c:v>3401.0888160982026</c:v>
                </c:pt>
                <c:pt idx="13">
                  <c:v>3296.6088200139266</c:v>
                </c:pt>
                <c:pt idx="14">
                  <c:v>3192.272981002468</c:v>
                </c:pt>
                <c:pt idx="15">
                  <c:v>3087.5943796480919</c:v>
                </c:pt>
                <c:pt idx="16">
                  <c:v>3030.646381777407</c:v>
                </c:pt>
                <c:pt idx="17">
                  <c:v>2973.5461646753311</c:v>
                </c:pt>
                <c:pt idx="18">
                  <c:v>2915.8794826243302</c:v>
                </c:pt>
                <c:pt idx="19">
                  <c:v>2858.4847086516688</c:v>
                </c:pt>
                <c:pt idx="20">
                  <c:v>2800.9628894299917</c:v>
                </c:pt>
                <c:pt idx="21">
                  <c:v>2780.5539312864921</c:v>
                </c:pt>
                <c:pt idx="22">
                  <c:v>2758.466432513691</c:v>
                </c:pt>
                <c:pt idx="23">
                  <c:v>2736.3737558613993</c:v>
                </c:pt>
                <c:pt idx="24">
                  <c:v>2714.2739781852852</c:v>
                </c:pt>
              </c:numCache>
            </c:numRef>
          </c:val>
          <c:extLst>
            <c:ext xmlns:c16="http://schemas.microsoft.com/office/drawing/2014/chart" uri="{C3380CC4-5D6E-409C-BE32-E72D297353CC}">
              <c16:uniqueId val="{00000006-F3DD-4498-B17D-51793B459A06}"/>
            </c:ext>
          </c:extLst>
        </c:ser>
        <c:ser>
          <c:idx val="7"/>
          <c:order val="7"/>
          <c:tx>
            <c:strRef>
              <c:f>'Results ReCiPe (H) - CC ship'!$AB$180</c:f>
              <c:strCache>
                <c:ptCount val="1"/>
                <c:pt idx="0">
                  <c:v>CO2 captured and stored</c:v>
                </c:pt>
              </c:strCache>
            </c:strRef>
          </c:tx>
          <c:spPr>
            <a:solidFill>
              <a:schemeClr val="tx2">
                <a:lumMod val="20000"/>
                <a:lumOff val="80000"/>
              </a:schemeClr>
            </a:solidFill>
            <a:ln>
              <a:noFill/>
            </a:ln>
            <a:effectLst/>
          </c:spPr>
          <c:invertIfNegative val="0"/>
          <c:cat>
            <c:numRef>
              <c:f>'Results ReCiPe (H) - CC ship'!$AC$172:$BA$172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 ship'!$AC$180:$BA$180</c:f>
              <c:numCache>
                <c:formatCode>0.00E+00</c:formatCode>
                <c:ptCount val="25"/>
                <c:pt idx="0">
                  <c:v>-100000</c:v>
                </c:pt>
                <c:pt idx="1">
                  <c:v>-100000</c:v>
                </c:pt>
                <c:pt idx="2">
                  <c:v>-100000</c:v>
                </c:pt>
                <c:pt idx="3">
                  <c:v>-100000</c:v>
                </c:pt>
                <c:pt idx="4">
                  <c:v>-100000</c:v>
                </c:pt>
                <c:pt idx="5">
                  <c:v>-100000</c:v>
                </c:pt>
                <c:pt idx="6">
                  <c:v>-100000</c:v>
                </c:pt>
                <c:pt idx="7">
                  <c:v>-100000</c:v>
                </c:pt>
                <c:pt idx="8">
                  <c:v>-100000</c:v>
                </c:pt>
                <c:pt idx="9">
                  <c:v>-100000</c:v>
                </c:pt>
                <c:pt idx="10">
                  <c:v>-100000</c:v>
                </c:pt>
                <c:pt idx="11">
                  <c:v>-100000</c:v>
                </c:pt>
                <c:pt idx="12">
                  <c:v>-100000</c:v>
                </c:pt>
                <c:pt idx="13">
                  <c:v>-100000</c:v>
                </c:pt>
                <c:pt idx="14">
                  <c:v>-100000</c:v>
                </c:pt>
                <c:pt idx="15">
                  <c:v>-100000</c:v>
                </c:pt>
                <c:pt idx="16">
                  <c:v>-100000</c:v>
                </c:pt>
                <c:pt idx="17">
                  <c:v>-100000</c:v>
                </c:pt>
                <c:pt idx="18">
                  <c:v>-100000</c:v>
                </c:pt>
                <c:pt idx="19">
                  <c:v>-100000</c:v>
                </c:pt>
                <c:pt idx="20">
                  <c:v>-100000</c:v>
                </c:pt>
                <c:pt idx="21">
                  <c:v>-100000</c:v>
                </c:pt>
                <c:pt idx="22">
                  <c:v>-100000</c:v>
                </c:pt>
                <c:pt idx="23">
                  <c:v>-100000</c:v>
                </c:pt>
                <c:pt idx="24">
                  <c:v>-100000</c:v>
                </c:pt>
              </c:numCache>
            </c:numRef>
          </c:val>
          <c:extLst>
            <c:ext xmlns:c16="http://schemas.microsoft.com/office/drawing/2014/chart" uri="{C3380CC4-5D6E-409C-BE32-E72D297353CC}">
              <c16:uniqueId val="{00000007-F3DD-4498-B17D-51793B459A06}"/>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CC ship'!$AB$181</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cat>
            <c:numRef>
              <c:f>'Results ReCiPe (H) - CC ship'!$AC$172:$BA$172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 ship'!$AC$181:$BA$181</c:f>
              <c:numCache>
                <c:formatCode>0.00E+00</c:formatCode>
                <c:ptCount val="25"/>
                <c:pt idx="0">
                  <c:v>-31247.737037055253</c:v>
                </c:pt>
                <c:pt idx="1">
                  <c:v>-72076.102811995108</c:v>
                </c:pt>
                <c:pt idx="2">
                  <c:v>-73861.663695342315</c:v>
                </c:pt>
                <c:pt idx="3">
                  <c:v>-74566.388596286633</c:v>
                </c:pt>
                <c:pt idx="4">
                  <c:v>-77461.995666856499</c:v>
                </c:pt>
                <c:pt idx="5">
                  <c:v>-79244.576149094297</c:v>
                </c:pt>
                <c:pt idx="6">
                  <c:v>-79591.397774140001</c:v>
                </c:pt>
                <c:pt idx="7">
                  <c:v>-82087.840238068922</c:v>
                </c:pt>
                <c:pt idx="8">
                  <c:v>-83530.406464924657</c:v>
                </c:pt>
                <c:pt idx="9">
                  <c:v>-83915.956432572086</c:v>
                </c:pt>
                <c:pt idx="10">
                  <c:v>-86363.671459271471</c:v>
                </c:pt>
                <c:pt idx="11">
                  <c:v>-87504.761180206231</c:v>
                </c:pt>
                <c:pt idx="12">
                  <c:v>-87672.600933953276</c:v>
                </c:pt>
                <c:pt idx="13">
                  <c:v>-89804.926443050441</c:v>
                </c:pt>
                <c:pt idx="14">
                  <c:v>-90958.411570019773</c:v>
                </c:pt>
                <c:pt idx="15">
                  <c:v>-91197.911730282678</c:v>
                </c:pt>
                <c:pt idx="16">
                  <c:v>-92744.20029037389</c:v>
                </c:pt>
                <c:pt idx="17">
                  <c:v>-93372.484634951921</c:v>
                </c:pt>
                <c:pt idx="18">
                  <c:v>-93129.505214741221</c:v>
                </c:pt>
                <c:pt idx="19">
                  <c:v>-94633.371583651155</c:v>
                </c:pt>
                <c:pt idx="20">
                  <c:v>-95260.826776254864</c:v>
                </c:pt>
                <c:pt idx="21">
                  <c:v>-94640.40431698646</c:v>
                </c:pt>
                <c:pt idx="22">
                  <c:v>-95732.18355634113</c:v>
                </c:pt>
                <c:pt idx="23">
                  <c:v>-95978.305009658507</c:v>
                </c:pt>
                <c:pt idx="24">
                  <c:v>-94786.793622159603</c:v>
                </c:pt>
              </c:numCache>
            </c:numRef>
          </c:val>
          <c:smooth val="0"/>
          <c:extLst>
            <c:ext xmlns:c16="http://schemas.microsoft.com/office/drawing/2014/chart" uri="{C3380CC4-5D6E-409C-BE32-E72D297353CC}">
              <c16:uniqueId val="{00000008-F3DD-4498-B17D-51793B459A06}"/>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Verdana Pro" panose="020B0604030504040204" pitchFamily="34" charset="0"/>
                    <a:ea typeface="+mn-ea"/>
                    <a:cs typeface="+mn-cs"/>
                  </a:defRPr>
                </a:pPr>
                <a:r>
                  <a:rPr lang="nl-NL"/>
                  <a:t>Climate change </a:t>
                </a:r>
              </a:p>
              <a:p>
                <a:pPr algn="ctr" rtl="0">
                  <a:defRPr/>
                </a:pPr>
                <a:r>
                  <a:rPr lang="nl-NL"/>
                  <a:t>[kg</a:t>
                </a:r>
                <a:r>
                  <a:rPr lang="nl-NL" baseline="0"/>
                  <a:t> CO2-eq</a:t>
                </a:r>
                <a:r>
                  <a:rPr lang="nl-NL"/>
                  <a:t>/ton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Verdana Pro" panose="020B0604030504040204" pitchFamily="34" charset="0"/>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Verdana Pro" panose="020B0604030504040204" pitchFamily="34" charset="0"/>
        </a:defRPr>
      </a:pPr>
      <a:endParaRPr lang="en-NL"/>
    </a:p>
  </c:txPr>
  <c:printSettings>
    <c:headerFooter/>
    <c:pageMargins b="0.75" l="0.7" r="0.7" t="0.75" header="0.3" footer="0.3"/>
    <c:pageSetup/>
  </c:printSettings>
</c:chartSpace>
</file>

<file path=xl/charts/chart1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CC ship'!$AB$214</c:f>
              <c:strCache>
                <c:ptCount val="1"/>
                <c:pt idx="0">
                  <c:v>Construction - DAC</c:v>
                </c:pt>
              </c:strCache>
            </c:strRef>
          </c:tx>
          <c:spPr>
            <a:solidFill>
              <a:schemeClr val="accent4">
                <a:lumMod val="75000"/>
              </a:schemeClr>
            </a:solidFill>
            <a:ln>
              <a:noFill/>
            </a:ln>
            <a:effectLst/>
          </c:spPr>
          <c:invertIfNegative val="0"/>
          <c:cat>
            <c:numRef>
              <c:f>'Results ReCiPe (H) - CC ship'!$AC$213:$BA$213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 ship'!$AC$214:$BA$214</c:f>
              <c:numCache>
                <c:formatCode>0.00E+00</c:formatCode>
                <c:ptCount val="25"/>
                <c:pt idx="0">
                  <c:v>27769.199509564176</c:v>
                </c:pt>
              </c:numCache>
            </c:numRef>
          </c:val>
          <c:extLst>
            <c:ext xmlns:c16="http://schemas.microsoft.com/office/drawing/2014/chart" uri="{C3380CC4-5D6E-409C-BE32-E72D297353CC}">
              <c16:uniqueId val="{00000000-BFAA-4E3C-89C3-C0AE655AE250}"/>
            </c:ext>
          </c:extLst>
        </c:ser>
        <c:ser>
          <c:idx val="1"/>
          <c:order val="1"/>
          <c:tx>
            <c:strRef>
              <c:f>'Results ReCiPe (H) - CC ship'!$AB$215</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(H) - CC ship'!$AC$213:$BA$213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 ship'!$AC$215:$BA$215</c:f>
              <c:numCache>
                <c:formatCode>0.00E+00</c:formatCode>
                <c:ptCount val="25"/>
                <c:pt idx="0">
                  <c:v>2030.6156444302903</c:v>
                </c:pt>
              </c:numCache>
            </c:numRef>
          </c:val>
          <c:extLst>
            <c:ext xmlns:c16="http://schemas.microsoft.com/office/drawing/2014/chart" uri="{C3380CC4-5D6E-409C-BE32-E72D297353CC}">
              <c16:uniqueId val="{00000001-BFAA-4E3C-89C3-C0AE655AE250}"/>
            </c:ext>
          </c:extLst>
        </c:ser>
        <c:ser>
          <c:idx val="2"/>
          <c:order val="2"/>
          <c:tx>
            <c:strRef>
              <c:f>'Results ReCiPe (H) - CC ship'!$AB$216</c:f>
              <c:strCache>
                <c:ptCount val="1"/>
                <c:pt idx="0">
                  <c:v>Deconstruction - DAC</c:v>
                </c:pt>
              </c:strCache>
            </c:strRef>
          </c:tx>
          <c:spPr>
            <a:solidFill>
              <a:schemeClr val="accent2">
                <a:lumMod val="40000"/>
                <a:lumOff val="60000"/>
              </a:schemeClr>
            </a:solidFill>
            <a:ln>
              <a:noFill/>
            </a:ln>
            <a:effectLst/>
          </c:spPr>
          <c:invertIfNegative val="0"/>
          <c:cat>
            <c:numRef>
              <c:f>'Results ReCiPe (H) - CC ship'!$AC$213:$BA$213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 ship'!$AC$216:$BA$216</c:f>
              <c:numCache>
                <c:formatCode>0.00E+00</c:formatCode>
                <c:ptCount val="25"/>
                <c:pt idx="24">
                  <c:v>506.10170544819584</c:v>
                </c:pt>
              </c:numCache>
            </c:numRef>
          </c:val>
          <c:extLst>
            <c:ext xmlns:c16="http://schemas.microsoft.com/office/drawing/2014/chart" uri="{C3380CC4-5D6E-409C-BE32-E72D297353CC}">
              <c16:uniqueId val="{00000002-BFAA-4E3C-89C3-C0AE655AE250}"/>
            </c:ext>
          </c:extLst>
        </c:ser>
        <c:ser>
          <c:idx val="3"/>
          <c:order val="3"/>
          <c:tx>
            <c:strRef>
              <c:f>'Results ReCiPe (H) - CC ship'!$AB$217</c:f>
              <c:strCache>
                <c:ptCount val="1"/>
                <c:pt idx="0">
                  <c:v>Deconstruction - geological storage</c:v>
                </c:pt>
              </c:strCache>
            </c:strRef>
          </c:tx>
          <c:spPr>
            <a:solidFill>
              <a:srgbClr val="FF9900"/>
            </a:solidFill>
            <a:ln>
              <a:noFill/>
            </a:ln>
            <a:effectLst/>
          </c:spPr>
          <c:invertIfNegative val="0"/>
          <c:cat>
            <c:numRef>
              <c:f>'Results ReCiPe (H) - CC ship'!$AC$213:$BA$213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 ship'!$AC$217:$BA$217</c:f>
              <c:numCache>
                <c:formatCode>0.00E+00</c:formatCode>
                <c:ptCount val="25"/>
                <c:pt idx="24">
                  <c:v>19.710037603247073</c:v>
                </c:pt>
              </c:numCache>
            </c:numRef>
          </c:val>
          <c:extLst>
            <c:ext xmlns:c16="http://schemas.microsoft.com/office/drawing/2014/chart" uri="{C3380CC4-5D6E-409C-BE32-E72D297353CC}">
              <c16:uniqueId val="{00000003-BFAA-4E3C-89C3-C0AE655AE250}"/>
            </c:ext>
          </c:extLst>
        </c:ser>
        <c:ser>
          <c:idx val="4"/>
          <c:order val="4"/>
          <c:tx>
            <c:strRef>
              <c:f>'Results ReCiPe (H) - CC ship'!$AB$218</c:f>
              <c:strCache>
                <c:ptCount val="1"/>
                <c:pt idx="0">
                  <c:v>Sorbent material</c:v>
                </c:pt>
              </c:strCache>
            </c:strRef>
          </c:tx>
          <c:spPr>
            <a:solidFill>
              <a:srgbClr val="FF8F8F"/>
            </a:solidFill>
            <a:ln>
              <a:noFill/>
            </a:ln>
            <a:effectLst/>
          </c:spPr>
          <c:invertIfNegative val="0"/>
          <c:cat>
            <c:numRef>
              <c:f>'Results ReCiPe (H) - CC ship'!$AC$213:$BA$213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 ship'!$AC$218:$BA$218</c:f>
              <c:numCache>
                <c:formatCode>0.00E+00</c:formatCode>
                <c:ptCount val="25"/>
                <c:pt idx="0">
                  <c:v>960.18627888201729</c:v>
                </c:pt>
                <c:pt idx="3">
                  <c:v>894.9053469828998</c:v>
                </c:pt>
                <c:pt idx="6">
                  <c:v>847.74542197239737</c:v>
                </c:pt>
                <c:pt idx="9">
                  <c:v>829.74040861154253</c:v>
                </c:pt>
                <c:pt idx="12">
                  <c:v>821.41329377436136</c:v>
                </c:pt>
                <c:pt idx="15">
                  <c:v>815.75248373031479</c:v>
                </c:pt>
                <c:pt idx="18">
                  <c:v>808.99669973300752</c:v>
                </c:pt>
                <c:pt idx="21">
                  <c:v>803.6131276705886</c:v>
                </c:pt>
                <c:pt idx="24">
                  <c:v>799.02195316520056</c:v>
                </c:pt>
              </c:numCache>
            </c:numRef>
          </c:val>
          <c:extLst>
            <c:ext xmlns:c16="http://schemas.microsoft.com/office/drawing/2014/chart" uri="{C3380CC4-5D6E-409C-BE32-E72D297353CC}">
              <c16:uniqueId val="{00000004-BFAA-4E3C-89C3-C0AE655AE250}"/>
            </c:ext>
          </c:extLst>
        </c:ser>
        <c:ser>
          <c:idx val="5"/>
          <c:order val="5"/>
          <c:tx>
            <c:strRef>
              <c:f>'Results ReCiPe (H) - CC ship'!$AB$219</c:f>
              <c:strCache>
                <c:ptCount val="1"/>
                <c:pt idx="0">
                  <c:v>Operation - DAC</c:v>
                </c:pt>
              </c:strCache>
            </c:strRef>
          </c:tx>
          <c:spPr>
            <a:solidFill>
              <a:schemeClr val="accent2">
                <a:lumMod val="75000"/>
              </a:schemeClr>
            </a:solidFill>
            <a:ln>
              <a:noFill/>
            </a:ln>
            <a:effectLst/>
          </c:spPr>
          <c:invertIfNegative val="0"/>
          <c:cat>
            <c:numRef>
              <c:f>'Results ReCiPe (H) - CC ship'!$AC$213:$BA$213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 ship'!$AC$219:$BA$219</c:f>
              <c:numCache>
                <c:formatCode>0.00E+00</c:formatCode>
                <c:ptCount val="25"/>
                <c:pt idx="0">
                  <c:v>11024.857156526728</c:v>
                </c:pt>
                <c:pt idx="1">
                  <c:v>9185.8782755909288</c:v>
                </c:pt>
                <c:pt idx="2">
                  <c:v>7344.9844773557661</c:v>
                </c:pt>
                <c:pt idx="3">
                  <c:v>5469.8500489065809</c:v>
                </c:pt>
                <c:pt idx="4">
                  <c:v>3622.4073211066702</c:v>
                </c:pt>
                <c:pt idx="5">
                  <c:v>1771.980395382936</c:v>
                </c:pt>
                <c:pt idx="6">
                  <c:v>1327.699050118043</c:v>
                </c:pt>
                <c:pt idx="7">
                  <c:v>881.14390050608438</c:v>
                </c:pt>
                <c:pt idx="8">
                  <c:v>405.27841188045232</c:v>
                </c:pt>
                <c:pt idx="9">
                  <c:v>-46.667982551286791</c:v>
                </c:pt>
                <c:pt idx="10">
                  <c:v>-500.9368146306947</c:v>
                </c:pt>
                <c:pt idx="11">
                  <c:v>-723.35272473267014</c:v>
                </c:pt>
                <c:pt idx="12">
                  <c:v>-945.12137292297871</c:v>
                </c:pt>
                <c:pt idx="13">
                  <c:v>-1171.4854932803871</c:v>
                </c:pt>
                <c:pt idx="14">
                  <c:v>-1392.0118316093128</c:v>
                </c:pt>
                <c:pt idx="15">
                  <c:v>-1612.0752359330575</c:v>
                </c:pt>
                <c:pt idx="16">
                  <c:v>-2058.2850638112991</c:v>
                </c:pt>
                <c:pt idx="17">
                  <c:v>-2501.0095170393915</c:v>
                </c:pt>
                <c:pt idx="18">
                  <c:v>-2943.8993456864819</c:v>
                </c:pt>
                <c:pt idx="19">
                  <c:v>-3379.513237691961</c:v>
                </c:pt>
                <c:pt idx="20">
                  <c:v>-3811.3481027277517</c:v>
                </c:pt>
                <c:pt idx="21">
                  <c:v>-4209.4254679884725</c:v>
                </c:pt>
                <c:pt idx="22">
                  <c:v>-4618.9651469212013</c:v>
                </c:pt>
                <c:pt idx="23">
                  <c:v>-5029.5958992950982</c:v>
                </c:pt>
                <c:pt idx="24">
                  <c:v>-5441.3343575957424</c:v>
                </c:pt>
              </c:numCache>
            </c:numRef>
          </c:val>
          <c:extLst>
            <c:ext xmlns:c16="http://schemas.microsoft.com/office/drawing/2014/chart" uri="{C3380CC4-5D6E-409C-BE32-E72D297353CC}">
              <c16:uniqueId val="{00000005-BFAA-4E3C-89C3-C0AE655AE250}"/>
            </c:ext>
          </c:extLst>
        </c:ser>
        <c:ser>
          <c:idx val="6"/>
          <c:order val="6"/>
          <c:tx>
            <c:strRef>
              <c:f>'Results ReCiPe (H) - CC ship'!$AB$220</c:f>
              <c:strCache>
                <c:ptCount val="1"/>
                <c:pt idx="0">
                  <c:v>Operation - geological storage</c:v>
                </c:pt>
              </c:strCache>
            </c:strRef>
          </c:tx>
          <c:spPr>
            <a:solidFill>
              <a:schemeClr val="accent2">
                <a:lumMod val="50000"/>
              </a:schemeClr>
            </a:solidFill>
            <a:ln>
              <a:noFill/>
            </a:ln>
            <a:effectLst/>
          </c:spPr>
          <c:invertIfNegative val="0"/>
          <c:cat>
            <c:numRef>
              <c:f>'Results ReCiPe (H) - CC ship'!$AC$213:$BA$213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 ship'!$AC$220:$BA$220</c:f>
              <c:numCache>
                <c:formatCode>0.00E+00</c:formatCode>
                <c:ptCount val="25"/>
                <c:pt idx="0">
                  <c:v>3712.408439443378</c:v>
                </c:pt>
                <c:pt idx="1">
                  <c:v>3526.2773559158936</c:v>
                </c:pt>
                <c:pt idx="2">
                  <c:v>3341.18191860057</c:v>
                </c:pt>
                <c:pt idx="3">
                  <c:v>3153.966657982236</c:v>
                </c:pt>
                <c:pt idx="4">
                  <c:v>2970.690267430004</c:v>
                </c:pt>
                <c:pt idx="5">
                  <c:v>2788.3271780459909</c:v>
                </c:pt>
                <c:pt idx="6">
                  <c:v>2744.853495960997</c:v>
                </c:pt>
                <c:pt idx="7">
                  <c:v>2701.3326372481342</c:v>
                </c:pt>
                <c:pt idx="8">
                  <c:v>2655.1288900553741</c:v>
                </c:pt>
                <c:pt idx="9">
                  <c:v>2611.4422845987428</c:v>
                </c:pt>
                <c:pt idx="10">
                  <c:v>2567.704765903844</c:v>
                </c:pt>
                <c:pt idx="11">
                  <c:v>2545.8775717711228</c:v>
                </c:pt>
                <c:pt idx="12">
                  <c:v>2524.0774887505668</c:v>
                </c:pt>
                <c:pt idx="13">
                  <c:v>2501.7966036621151</c:v>
                </c:pt>
                <c:pt idx="14">
                  <c:v>2480.053928005203</c:v>
                </c:pt>
                <c:pt idx="15">
                  <c:v>2458.3247864058731</c:v>
                </c:pt>
                <c:pt idx="16">
                  <c:v>2412.9285481637648</c:v>
                </c:pt>
                <c:pt idx="17">
                  <c:v>2367.4717232131161</c:v>
                </c:pt>
                <c:pt idx="18">
                  <c:v>2321.6018302930979</c:v>
                </c:pt>
                <c:pt idx="19">
                  <c:v>2276.0516793893294</c:v>
                </c:pt>
                <c:pt idx="20">
                  <c:v>2230.4710923836169</c:v>
                </c:pt>
                <c:pt idx="21">
                  <c:v>2191.7926589342869</c:v>
                </c:pt>
                <c:pt idx="22">
                  <c:v>2152.0925156001367</c:v>
                </c:pt>
                <c:pt idx="23">
                  <c:v>2112.4032924654739</c:v>
                </c:pt>
                <c:pt idx="24">
                  <c:v>2072.7234532648681</c:v>
                </c:pt>
              </c:numCache>
            </c:numRef>
          </c:val>
          <c:extLst>
            <c:ext xmlns:c16="http://schemas.microsoft.com/office/drawing/2014/chart" uri="{C3380CC4-5D6E-409C-BE32-E72D297353CC}">
              <c16:uniqueId val="{00000006-BFAA-4E3C-89C3-C0AE655AE250}"/>
            </c:ext>
          </c:extLst>
        </c:ser>
        <c:ser>
          <c:idx val="7"/>
          <c:order val="7"/>
          <c:tx>
            <c:strRef>
              <c:f>'Results ReCiPe (H) - CC ship'!$AB$221</c:f>
              <c:strCache>
                <c:ptCount val="1"/>
                <c:pt idx="0">
                  <c:v>CO2 captured and stored</c:v>
                </c:pt>
              </c:strCache>
            </c:strRef>
          </c:tx>
          <c:spPr>
            <a:solidFill>
              <a:schemeClr val="tx2">
                <a:lumMod val="20000"/>
                <a:lumOff val="80000"/>
              </a:schemeClr>
            </a:solidFill>
            <a:ln>
              <a:noFill/>
            </a:ln>
            <a:effectLst/>
          </c:spPr>
          <c:invertIfNegative val="0"/>
          <c:cat>
            <c:numRef>
              <c:f>'Results ReCiPe (H) - CC ship'!$AC$213:$BA$213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 ship'!$AC$221:$BA$221</c:f>
              <c:numCache>
                <c:formatCode>0.00E+00</c:formatCode>
                <c:ptCount val="25"/>
                <c:pt idx="0">
                  <c:v>-100000</c:v>
                </c:pt>
                <c:pt idx="1">
                  <c:v>-100000</c:v>
                </c:pt>
                <c:pt idx="2">
                  <c:v>-100000</c:v>
                </c:pt>
                <c:pt idx="3">
                  <c:v>-100000</c:v>
                </c:pt>
                <c:pt idx="4">
                  <c:v>-100000</c:v>
                </c:pt>
                <c:pt idx="5">
                  <c:v>-100000</c:v>
                </c:pt>
                <c:pt idx="6">
                  <c:v>-100000</c:v>
                </c:pt>
                <c:pt idx="7">
                  <c:v>-100000</c:v>
                </c:pt>
                <c:pt idx="8">
                  <c:v>-100000</c:v>
                </c:pt>
                <c:pt idx="9">
                  <c:v>-100000</c:v>
                </c:pt>
                <c:pt idx="10">
                  <c:v>-100000</c:v>
                </c:pt>
                <c:pt idx="11">
                  <c:v>-100000</c:v>
                </c:pt>
                <c:pt idx="12">
                  <c:v>-100000</c:v>
                </c:pt>
                <c:pt idx="13">
                  <c:v>-100000</c:v>
                </c:pt>
                <c:pt idx="14">
                  <c:v>-100000</c:v>
                </c:pt>
                <c:pt idx="15">
                  <c:v>-100000</c:v>
                </c:pt>
                <c:pt idx="16">
                  <c:v>-100000</c:v>
                </c:pt>
                <c:pt idx="17">
                  <c:v>-100000</c:v>
                </c:pt>
                <c:pt idx="18">
                  <c:v>-100000</c:v>
                </c:pt>
                <c:pt idx="19">
                  <c:v>-100000</c:v>
                </c:pt>
                <c:pt idx="20">
                  <c:v>-100000</c:v>
                </c:pt>
                <c:pt idx="21">
                  <c:v>-100000</c:v>
                </c:pt>
                <c:pt idx="22">
                  <c:v>-100000</c:v>
                </c:pt>
                <c:pt idx="23">
                  <c:v>-100000</c:v>
                </c:pt>
                <c:pt idx="24">
                  <c:v>-100000</c:v>
                </c:pt>
              </c:numCache>
            </c:numRef>
          </c:val>
          <c:extLst>
            <c:ext xmlns:c16="http://schemas.microsoft.com/office/drawing/2014/chart" uri="{C3380CC4-5D6E-409C-BE32-E72D297353CC}">
              <c16:uniqueId val="{00000007-BFAA-4E3C-89C3-C0AE655AE250}"/>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CC ship'!$AB$222</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cat>
            <c:numRef>
              <c:f>'Results ReCiPe (H) - CC ship'!$AC$213:$BA$213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 ship'!$AC$222:$BA$222</c:f>
              <c:numCache>
                <c:formatCode>0.00E+00</c:formatCode>
                <c:ptCount val="25"/>
                <c:pt idx="0">
                  <c:v>-54502.732971153404</c:v>
                </c:pt>
                <c:pt idx="1">
                  <c:v>-87287.844368493184</c:v>
                </c:pt>
                <c:pt idx="2">
                  <c:v>-89313.83360404367</c:v>
                </c:pt>
                <c:pt idx="3">
                  <c:v>-90481.277946128277</c:v>
                </c:pt>
                <c:pt idx="4">
                  <c:v>-93406.902411463321</c:v>
                </c:pt>
                <c:pt idx="5">
                  <c:v>-95439.69242657107</c:v>
                </c:pt>
                <c:pt idx="6">
                  <c:v>-95079.70203194856</c:v>
                </c:pt>
                <c:pt idx="7">
                  <c:v>-96417.523462245779</c:v>
                </c:pt>
                <c:pt idx="8">
                  <c:v>-96939.592698064167</c:v>
                </c:pt>
                <c:pt idx="9">
                  <c:v>-96605.485289340999</c:v>
                </c:pt>
                <c:pt idx="10">
                  <c:v>-97933.232048726844</c:v>
                </c:pt>
                <c:pt idx="11">
                  <c:v>-98177.475152961546</c:v>
                </c:pt>
                <c:pt idx="12">
                  <c:v>-97599.630590398054</c:v>
                </c:pt>
                <c:pt idx="13">
                  <c:v>-98669.688889618279</c:v>
                </c:pt>
                <c:pt idx="14">
                  <c:v>-98911.95790360411</c:v>
                </c:pt>
                <c:pt idx="15">
                  <c:v>-98337.997965796865</c:v>
                </c:pt>
                <c:pt idx="16">
                  <c:v>-99645.356515647538</c:v>
                </c:pt>
                <c:pt idx="17">
                  <c:v>-100133.53779382628</c:v>
                </c:pt>
                <c:pt idx="18">
                  <c:v>-99813.300815660376</c:v>
                </c:pt>
                <c:pt idx="19">
                  <c:v>-101103.46155830263</c:v>
                </c:pt>
                <c:pt idx="20">
                  <c:v>-101580.87701034413</c:v>
                </c:pt>
                <c:pt idx="21">
                  <c:v>-101214.01968138359</c:v>
                </c:pt>
                <c:pt idx="22">
                  <c:v>-102466.87263132106</c:v>
                </c:pt>
                <c:pt idx="23">
                  <c:v>-102917.19260682963</c:v>
                </c:pt>
                <c:pt idx="24">
                  <c:v>-102043.77720811423</c:v>
                </c:pt>
              </c:numCache>
            </c:numRef>
          </c:val>
          <c:smooth val="0"/>
          <c:extLst>
            <c:ext xmlns:c16="http://schemas.microsoft.com/office/drawing/2014/chart" uri="{C3380CC4-5D6E-409C-BE32-E72D297353CC}">
              <c16:uniqueId val="{00000008-BFAA-4E3C-89C3-C0AE655AE250}"/>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Climate change</a:t>
                </a:r>
              </a:p>
              <a:p>
                <a:pPr algn="ctr" rtl="0">
                  <a:defRPr/>
                </a:pPr>
                <a:r>
                  <a:rPr lang="nl-NL"/>
                  <a:t>[kg CO@-eq/ton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26879729621161"/>
          <c:y val="5.4106329588493672E-2"/>
          <c:w val="0.87797394606685986"/>
          <c:h val="0.7097653982896005"/>
        </c:manualLayout>
      </c:layout>
      <c:barChart>
        <c:barDir val="col"/>
        <c:grouping val="stacked"/>
        <c:varyColors val="0"/>
        <c:ser>
          <c:idx val="0"/>
          <c:order val="0"/>
          <c:tx>
            <c:strRef>
              <c:f>'Results ReCiPe (H) - CC ship'!$AB$274</c:f>
              <c:strCache>
                <c:ptCount val="1"/>
                <c:pt idx="0">
                  <c:v>Construction - DAC</c:v>
                </c:pt>
              </c:strCache>
            </c:strRef>
          </c:tx>
          <c:spPr>
            <a:solidFill>
              <a:schemeClr val="accent4">
                <a:lumMod val="75000"/>
              </a:schemeClr>
            </a:solidFill>
            <a:ln>
              <a:noFill/>
            </a:ln>
            <a:effectLst/>
          </c:spPr>
          <c:invertIfNegative val="0"/>
          <c:cat>
            <c:numRef>
              <c:f>'Results ReCiPe (H) - CC ship'!$AC$273:$BA$273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 ship'!$AC$274:$BA$274</c:f>
              <c:numCache>
                <c:formatCode>0.00E+00</c:formatCode>
                <c:ptCount val="25"/>
                <c:pt idx="0">
                  <c:v>34126.372886235426</c:v>
                </c:pt>
              </c:numCache>
            </c:numRef>
          </c:val>
          <c:extLst>
            <c:ext xmlns:c16="http://schemas.microsoft.com/office/drawing/2014/chart" uri="{C3380CC4-5D6E-409C-BE32-E72D297353CC}">
              <c16:uniqueId val="{00000000-F279-4F2E-BCA9-11C8488DBA5A}"/>
            </c:ext>
          </c:extLst>
        </c:ser>
        <c:ser>
          <c:idx val="1"/>
          <c:order val="1"/>
          <c:tx>
            <c:strRef>
              <c:f>'Results ReCiPe (H) - CC ship'!$AB$275</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(H) - CC ship'!$AC$273:$BA$273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 ship'!$AC$275:$BA$275</c:f>
              <c:numCache>
                <c:formatCode>0.00E+00</c:formatCode>
                <c:ptCount val="25"/>
                <c:pt idx="0">
                  <c:v>1240.5281792010687</c:v>
                </c:pt>
              </c:numCache>
            </c:numRef>
          </c:val>
          <c:extLst>
            <c:ext xmlns:c16="http://schemas.microsoft.com/office/drawing/2014/chart" uri="{C3380CC4-5D6E-409C-BE32-E72D297353CC}">
              <c16:uniqueId val="{00000001-F279-4F2E-BCA9-11C8488DBA5A}"/>
            </c:ext>
          </c:extLst>
        </c:ser>
        <c:ser>
          <c:idx val="2"/>
          <c:order val="2"/>
          <c:tx>
            <c:strRef>
              <c:f>'Results ReCiPe (H) - CC ship'!$AB$276</c:f>
              <c:strCache>
                <c:ptCount val="1"/>
                <c:pt idx="0">
                  <c:v>Deconstruction - DAC</c:v>
                </c:pt>
              </c:strCache>
            </c:strRef>
          </c:tx>
          <c:spPr>
            <a:solidFill>
              <a:schemeClr val="accent2">
                <a:lumMod val="40000"/>
                <a:lumOff val="60000"/>
              </a:schemeClr>
            </a:solidFill>
            <a:ln>
              <a:noFill/>
            </a:ln>
            <a:effectLst/>
          </c:spPr>
          <c:invertIfNegative val="0"/>
          <c:cat>
            <c:numRef>
              <c:f>'Results ReCiPe (H) - CC ship'!$AC$273:$BA$273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 ship'!$AC$276:$BA$276</c:f>
              <c:numCache>
                <c:formatCode>0.00E+00</c:formatCode>
                <c:ptCount val="25"/>
                <c:pt idx="24">
                  <c:v>691.18373370688425</c:v>
                </c:pt>
              </c:numCache>
            </c:numRef>
          </c:val>
          <c:extLst>
            <c:ext xmlns:c16="http://schemas.microsoft.com/office/drawing/2014/chart" uri="{C3380CC4-5D6E-409C-BE32-E72D297353CC}">
              <c16:uniqueId val="{00000002-F279-4F2E-BCA9-11C8488DBA5A}"/>
            </c:ext>
          </c:extLst>
        </c:ser>
        <c:ser>
          <c:idx val="3"/>
          <c:order val="3"/>
          <c:tx>
            <c:strRef>
              <c:f>'Results ReCiPe (H) - CC ship'!$AB$277</c:f>
              <c:strCache>
                <c:ptCount val="1"/>
                <c:pt idx="0">
                  <c:v>Deconstruction - geological storage</c:v>
                </c:pt>
              </c:strCache>
            </c:strRef>
          </c:tx>
          <c:spPr>
            <a:solidFill>
              <a:srgbClr val="FF9900"/>
            </a:solidFill>
            <a:ln>
              <a:noFill/>
            </a:ln>
            <a:effectLst/>
          </c:spPr>
          <c:invertIfNegative val="0"/>
          <c:cat>
            <c:numRef>
              <c:f>'Results ReCiPe (H) - CC ship'!$AC$273:$BA$273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 ship'!$AC$277:$BA$277</c:f>
              <c:numCache>
                <c:formatCode>0.00E+00</c:formatCode>
                <c:ptCount val="25"/>
                <c:pt idx="24">
                  <c:v>11.247260456048089</c:v>
                </c:pt>
              </c:numCache>
            </c:numRef>
          </c:val>
          <c:extLst>
            <c:ext xmlns:c16="http://schemas.microsoft.com/office/drawing/2014/chart" uri="{C3380CC4-5D6E-409C-BE32-E72D297353CC}">
              <c16:uniqueId val="{00000003-F279-4F2E-BCA9-11C8488DBA5A}"/>
            </c:ext>
          </c:extLst>
        </c:ser>
        <c:ser>
          <c:idx val="4"/>
          <c:order val="4"/>
          <c:tx>
            <c:strRef>
              <c:f>'Results ReCiPe (H) - CC ship'!$AB$278</c:f>
              <c:strCache>
                <c:ptCount val="1"/>
                <c:pt idx="0">
                  <c:v>Sorbent material</c:v>
                </c:pt>
              </c:strCache>
            </c:strRef>
          </c:tx>
          <c:spPr>
            <a:solidFill>
              <a:srgbClr val="FF8F8F"/>
            </a:solidFill>
            <a:ln>
              <a:noFill/>
            </a:ln>
            <a:effectLst/>
          </c:spPr>
          <c:invertIfNegative val="0"/>
          <c:cat>
            <c:numRef>
              <c:f>'Results ReCiPe (H) - CC ship'!$AC$273:$BA$273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 ship'!$AC$278:$BA$278</c:f>
              <c:numCache>
                <c:formatCode>0.00E+00</c:formatCode>
                <c:ptCount val="25"/>
                <c:pt idx="0">
                  <c:v>1186.4815932558031</c:v>
                </c:pt>
                <c:pt idx="3">
                  <c:v>1175.2724845293581</c:v>
                </c:pt>
                <c:pt idx="6">
                  <c:v>1172.0887619145631</c:v>
                </c:pt>
                <c:pt idx="9">
                  <c:v>1171.5419235181971</c:v>
                </c:pt>
                <c:pt idx="12">
                  <c:v>1176.0346869666</c:v>
                </c:pt>
                <c:pt idx="15">
                  <c:v>1180.8592879535349</c:v>
                </c:pt>
                <c:pt idx="18">
                  <c:v>1165.597336992987</c:v>
                </c:pt>
                <c:pt idx="21">
                  <c:v>1149.242533712596</c:v>
                </c:pt>
                <c:pt idx="24">
                  <c:v>1126.377758844686</c:v>
                </c:pt>
              </c:numCache>
            </c:numRef>
          </c:val>
          <c:extLst>
            <c:ext xmlns:c16="http://schemas.microsoft.com/office/drawing/2014/chart" uri="{C3380CC4-5D6E-409C-BE32-E72D297353CC}">
              <c16:uniqueId val="{00000004-F279-4F2E-BCA9-11C8488DBA5A}"/>
            </c:ext>
          </c:extLst>
        </c:ser>
        <c:ser>
          <c:idx val="5"/>
          <c:order val="5"/>
          <c:tx>
            <c:strRef>
              <c:f>'Results ReCiPe (H) - CC ship'!$AB$279</c:f>
              <c:strCache>
                <c:ptCount val="1"/>
                <c:pt idx="0">
                  <c:v>Battery</c:v>
                </c:pt>
              </c:strCache>
            </c:strRef>
          </c:tx>
          <c:spPr>
            <a:solidFill>
              <a:schemeClr val="accent6">
                <a:lumMod val="50000"/>
              </a:schemeClr>
            </a:solidFill>
            <a:ln>
              <a:noFill/>
            </a:ln>
            <a:effectLst/>
          </c:spPr>
          <c:invertIfNegative val="0"/>
          <c:cat>
            <c:numRef>
              <c:f>'Results ReCiPe (H) - CC ship'!$AC$273:$BA$273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 ship'!$AC$279:$BA$279</c:f>
              <c:numCache>
                <c:formatCode>0.00E+00</c:formatCode>
                <c:ptCount val="25"/>
                <c:pt idx="0">
                  <c:v>4515.9392966314808</c:v>
                </c:pt>
                <c:pt idx="1">
                  <c:v>4515.9392966314808</c:v>
                </c:pt>
                <c:pt idx="2">
                  <c:v>4515.9392966314808</c:v>
                </c:pt>
                <c:pt idx="3">
                  <c:v>4515.9392966314808</c:v>
                </c:pt>
                <c:pt idx="4">
                  <c:v>4515.9392966314808</c:v>
                </c:pt>
                <c:pt idx="5">
                  <c:v>4515.9392966314808</c:v>
                </c:pt>
                <c:pt idx="6">
                  <c:v>4515.9392966314808</c:v>
                </c:pt>
                <c:pt idx="7">
                  <c:v>4515.9392966314808</c:v>
                </c:pt>
                <c:pt idx="8">
                  <c:v>4515.9392966314808</c:v>
                </c:pt>
                <c:pt idx="9">
                  <c:v>4515.9392966314808</c:v>
                </c:pt>
                <c:pt idx="10">
                  <c:v>4515.9392966314808</c:v>
                </c:pt>
                <c:pt idx="11">
                  <c:v>4515.9392966314808</c:v>
                </c:pt>
                <c:pt idx="12">
                  <c:v>4515.9392966314808</c:v>
                </c:pt>
                <c:pt idx="13">
                  <c:v>4515.9392966314808</c:v>
                </c:pt>
                <c:pt idx="14">
                  <c:v>4515.9392966314808</c:v>
                </c:pt>
                <c:pt idx="15">
                  <c:v>4515.9392966314808</c:v>
                </c:pt>
                <c:pt idx="16">
                  <c:v>4515.9392966314808</c:v>
                </c:pt>
                <c:pt idx="17">
                  <c:v>4515.9392966314808</c:v>
                </c:pt>
                <c:pt idx="18">
                  <c:v>4515.9392966314808</c:v>
                </c:pt>
                <c:pt idx="19">
                  <c:v>4515.9392966314808</c:v>
                </c:pt>
                <c:pt idx="20">
                  <c:v>4515.9392966314808</c:v>
                </c:pt>
                <c:pt idx="21">
                  <c:v>4515.9392966314808</c:v>
                </c:pt>
                <c:pt idx="22">
                  <c:v>4515.9392966314808</c:v>
                </c:pt>
                <c:pt idx="23">
                  <c:v>4515.9392966314808</c:v>
                </c:pt>
                <c:pt idx="24">
                  <c:v>4515.9392966314808</c:v>
                </c:pt>
              </c:numCache>
            </c:numRef>
          </c:val>
          <c:extLst>
            <c:ext xmlns:c16="http://schemas.microsoft.com/office/drawing/2014/chart" uri="{C3380CC4-5D6E-409C-BE32-E72D297353CC}">
              <c16:uniqueId val="{00000005-F279-4F2E-BCA9-11C8488DBA5A}"/>
            </c:ext>
          </c:extLst>
        </c:ser>
        <c:ser>
          <c:idx val="6"/>
          <c:order val="6"/>
          <c:tx>
            <c:strRef>
              <c:f>'Results ReCiPe (H) - CC ship'!$AB$280</c:f>
              <c:strCache>
                <c:ptCount val="1"/>
                <c:pt idx="0">
                  <c:v>Operation - DAC</c:v>
                </c:pt>
              </c:strCache>
            </c:strRef>
          </c:tx>
          <c:spPr>
            <a:solidFill>
              <a:schemeClr val="accent2">
                <a:lumMod val="75000"/>
              </a:schemeClr>
            </a:solidFill>
            <a:ln>
              <a:noFill/>
            </a:ln>
            <a:effectLst/>
          </c:spPr>
          <c:invertIfNegative val="0"/>
          <c:cat>
            <c:numRef>
              <c:f>'Results ReCiPe (H) - CC ship'!$AC$273:$BA$273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 ship'!$AC$280:$BA$280</c:f>
              <c:numCache>
                <c:formatCode>0.00E+00</c:formatCode>
                <c:ptCount val="25"/>
                <c:pt idx="0">
                  <c:v>3688.2452017680725</c:v>
                </c:pt>
                <c:pt idx="1">
                  <c:v>3675.8205937827111</c:v>
                </c:pt>
                <c:pt idx="2">
                  <c:v>3663.8310480628961</c:v>
                </c:pt>
                <c:pt idx="3">
                  <c:v>3626.593906818468</c:v>
                </c:pt>
                <c:pt idx="4">
                  <c:v>3615.4772000801463</c:v>
                </c:pt>
                <c:pt idx="5">
                  <c:v>3604.6067784165925</c:v>
                </c:pt>
                <c:pt idx="6">
                  <c:v>3594.7608071511313</c:v>
                </c:pt>
                <c:pt idx="7">
                  <c:v>3585.9837734558346</c:v>
                </c:pt>
                <c:pt idx="8">
                  <c:v>3562.4173921213983</c:v>
                </c:pt>
                <c:pt idx="9">
                  <c:v>3555.5994251745328</c:v>
                </c:pt>
                <c:pt idx="10">
                  <c:v>3549.519813279031</c:v>
                </c:pt>
                <c:pt idx="11">
                  <c:v>3548.6130655427942</c:v>
                </c:pt>
                <c:pt idx="12">
                  <c:v>3548.535688171366</c:v>
                </c:pt>
                <c:pt idx="13">
                  <c:v>3546.0463840654647</c:v>
                </c:pt>
                <c:pt idx="14">
                  <c:v>3547.5016394068757</c:v>
                </c:pt>
                <c:pt idx="15">
                  <c:v>3550.0707945772447</c:v>
                </c:pt>
                <c:pt idx="16">
                  <c:v>3533.6910608556559</c:v>
                </c:pt>
                <c:pt idx="17">
                  <c:v>3517.3717389818739</c:v>
                </c:pt>
                <c:pt idx="18">
                  <c:v>3497.8489227098994</c:v>
                </c:pt>
                <c:pt idx="19">
                  <c:v>3481.573852388558</c:v>
                </c:pt>
                <c:pt idx="20">
                  <c:v>3465.2779136270888</c:v>
                </c:pt>
                <c:pt idx="21">
                  <c:v>3446.7871999109675</c:v>
                </c:pt>
                <c:pt idx="22">
                  <c:v>3422.8707819419415</c:v>
                </c:pt>
                <c:pt idx="23">
                  <c:v>3398.9424407258107</c:v>
                </c:pt>
                <c:pt idx="24">
                  <c:v>3374.994199095675</c:v>
                </c:pt>
              </c:numCache>
            </c:numRef>
          </c:val>
          <c:extLst>
            <c:ext xmlns:c16="http://schemas.microsoft.com/office/drawing/2014/chart" uri="{C3380CC4-5D6E-409C-BE32-E72D297353CC}">
              <c16:uniqueId val="{00000006-F279-4F2E-BCA9-11C8488DBA5A}"/>
            </c:ext>
          </c:extLst>
        </c:ser>
        <c:ser>
          <c:idx val="7"/>
          <c:order val="7"/>
          <c:tx>
            <c:strRef>
              <c:f>'Results ReCiPe (H) - CC ship'!$AB$281</c:f>
              <c:strCache>
                <c:ptCount val="1"/>
                <c:pt idx="0">
                  <c:v>Operation - geological storage</c:v>
                </c:pt>
              </c:strCache>
            </c:strRef>
          </c:tx>
          <c:spPr>
            <a:solidFill>
              <a:schemeClr val="accent2">
                <a:lumMod val="50000"/>
              </a:schemeClr>
            </a:solidFill>
            <a:ln>
              <a:noFill/>
            </a:ln>
            <a:effectLst/>
          </c:spPr>
          <c:invertIfNegative val="0"/>
          <c:cat>
            <c:numRef>
              <c:f>'Results ReCiPe (H) - CC ship'!$AC$273:$BA$273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 ship'!$AC$281:$BA$281</c:f>
              <c:numCache>
                <c:formatCode>0.00E+00</c:formatCode>
                <c:ptCount val="25"/>
                <c:pt idx="0">
                  <c:v>2741.8605391017363</c:v>
                </c:pt>
                <c:pt idx="1">
                  <c:v>2738.5004245609116</c:v>
                </c:pt>
                <c:pt idx="2">
                  <c:v>2735.1515080345512</c:v>
                </c:pt>
                <c:pt idx="3">
                  <c:v>2730.4315900117094</c:v>
                </c:pt>
                <c:pt idx="4">
                  <c:v>2727.1079407018588</c:v>
                </c:pt>
                <c:pt idx="5">
                  <c:v>2723.7864957479323</c:v>
                </c:pt>
                <c:pt idx="6">
                  <c:v>2823.1634785704064</c:v>
                </c:pt>
                <c:pt idx="7">
                  <c:v>2922.0444174926715</c:v>
                </c:pt>
                <c:pt idx="8">
                  <c:v>3019.5358092762417</c:v>
                </c:pt>
                <c:pt idx="9">
                  <c:v>3117.5391577591063</c:v>
                </c:pt>
                <c:pt idx="10">
                  <c:v>3214.9463704168093</c:v>
                </c:pt>
                <c:pt idx="11">
                  <c:v>3388.7790601696033</c:v>
                </c:pt>
                <c:pt idx="12">
                  <c:v>3562.2699346162212</c:v>
                </c:pt>
                <c:pt idx="13">
                  <c:v>3735.2476046614406</c:v>
                </c:pt>
                <c:pt idx="14">
                  <c:v>3908.0421271778036</c:v>
                </c:pt>
                <c:pt idx="15">
                  <c:v>4080.4904565054394</c:v>
                </c:pt>
                <c:pt idx="16">
                  <c:v>4108.5508877775137</c:v>
                </c:pt>
                <c:pt idx="17">
                  <c:v>4136.534635102329</c:v>
                </c:pt>
                <c:pt idx="18">
                  <c:v>4164.2900270009404</c:v>
                </c:pt>
                <c:pt idx="19">
                  <c:v>4192.1330816270038</c:v>
                </c:pt>
                <c:pt idx="20">
                  <c:v>4219.9077483248939</c:v>
                </c:pt>
                <c:pt idx="21">
                  <c:v>4194.849969558737</c:v>
                </c:pt>
                <c:pt idx="22">
                  <c:v>4119.1380655846888</c:v>
                </c:pt>
                <c:pt idx="23">
                  <c:v>4043.4777029583229</c:v>
                </c:pt>
                <c:pt idx="24">
                  <c:v>3967.8671144162399</c:v>
                </c:pt>
              </c:numCache>
            </c:numRef>
          </c:val>
          <c:extLst>
            <c:ext xmlns:c16="http://schemas.microsoft.com/office/drawing/2014/chart" uri="{C3380CC4-5D6E-409C-BE32-E72D297353CC}">
              <c16:uniqueId val="{00000007-F279-4F2E-BCA9-11C8488DBA5A}"/>
            </c:ext>
          </c:extLst>
        </c:ser>
        <c:ser>
          <c:idx val="8"/>
          <c:order val="8"/>
          <c:tx>
            <c:strRef>
              <c:f>'Results ReCiPe (H) - CC ship'!$AB$282</c:f>
              <c:strCache>
                <c:ptCount val="1"/>
                <c:pt idx="0">
                  <c:v>CO2 captured and stored</c:v>
                </c:pt>
              </c:strCache>
            </c:strRef>
          </c:tx>
          <c:spPr>
            <a:solidFill>
              <a:schemeClr val="tx2">
                <a:lumMod val="20000"/>
                <a:lumOff val="80000"/>
              </a:schemeClr>
            </a:solidFill>
            <a:ln>
              <a:noFill/>
            </a:ln>
            <a:effectLst/>
          </c:spPr>
          <c:invertIfNegative val="0"/>
          <c:cat>
            <c:numRef>
              <c:f>'Results ReCiPe (H) - CC ship'!$AC$273:$BA$273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 ship'!$AC$282:$BA$282</c:f>
              <c:numCache>
                <c:formatCode>0.00E+00</c:formatCode>
                <c:ptCount val="25"/>
                <c:pt idx="0">
                  <c:v>-50000</c:v>
                </c:pt>
                <c:pt idx="1">
                  <c:v>-50000</c:v>
                </c:pt>
                <c:pt idx="2">
                  <c:v>-50000</c:v>
                </c:pt>
                <c:pt idx="3">
                  <c:v>-50000</c:v>
                </c:pt>
                <c:pt idx="4">
                  <c:v>-50000</c:v>
                </c:pt>
                <c:pt idx="5">
                  <c:v>-50000</c:v>
                </c:pt>
                <c:pt idx="6">
                  <c:v>-50000</c:v>
                </c:pt>
                <c:pt idx="7">
                  <c:v>-50000</c:v>
                </c:pt>
                <c:pt idx="8">
                  <c:v>-50000</c:v>
                </c:pt>
                <c:pt idx="9">
                  <c:v>-50000</c:v>
                </c:pt>
                <c:pt idx="10">
                  <c:v>-50000</c:v>
                </c:pt>
                <c:pt idx="11">
                  <c:v>-50000</c:v>
                </c:pt>
                <c:pt idx="12">
                  <c:v>-50000</c:v>
                </c:pt>
                <c:pt idx="13">
                  <c:v>-50000</c:v>
                </c:pt>
                <c:pt idx="14">
                  <c:v>-50000</c:v>
                </c:pt>
                <c:pt idx="15">
                  <c:v>-50000</c:v>
                </c:pt>
                <c:pt idx="16">
                  <c:v>-50000</c:v>
                </c:pt>
                <c:pt idx="17">
                  <c:v>-50000</c:v>
                </c:pt>
                <c:pt idx="18">
                  <c:v>-50000</c:v>
                </c:pt>
                <c:pt idx="19">
                  <c:v>-50000</c:v>
                </c:pt>
                <c:pt idx="20">
                  <c:v>-50000</c:v>
                </c:pt>
                <c:pt idx="21">
                  <c:v>-50000</c:v>
                </c:pt>
                <c:pt idx="22">
                  <c:v>-50000</c:v>
                </c:pt>
                <c:pt idx="23">
                  <c:v>-50000</c:v>
                </c:pt>
                <c:pt idx="24">
                  <c:v>-50000</c:v>
                </c:pt>
              </c:numCache>
            </c:numRef>
          </c:val>
          <c:extLst>
            <c:ext xmlns:c16="http://schemas.microsoft.com/office/drawing/2014/chart" uri="{C3380CC4-5D6E-409C-BE32-E72D297353CC}">
              <c16:uniqueId val="{00000008-F279-4F2E-BCA9-11C8488DBA5A}"/>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(H) - CC ship'!$AB$283</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cat>
            <c:numRef>
              <c:f>'Results ReCiPe (H) - CC ship'!$AC$273:$BA$273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 ship'!$AC$283:$BA$283</c:f>
              <c:numCache>
                <c:formatCode>0.00E+00</c:formatCode>
                <c:ptCount val="25"/>
                <c:pt idx="0">
                  <c:v>-2500.5723038064098</c:v>
                </c:pt>
                <c:pt idx="1">
                  <c:v>-39069.739685024892</c:v>
                </c:pt>
                <c:pt idx="2">
                  <c:v>-39085.078147271073</c:v>
                </c:pt>
                <c:pt idx="3">
                  <c:v>-37951.762722008985</c:v>
                </c:pt>
                <c:pt idx="4">
                  <c:v>-39141.475562586515</c:v>
                </c:pt>
                <c:pt idx="5">
                  <c:v>-39155.667429203997</c:v>
                </c:pt>
                <c:pt idx="6">
                  <c:v>-37894.047655732415</c:v>
                </c:pt>
                <c:pt idx="7">
                  <c:v>-38976.032512420017</c:v>
                </c:pt>
                <c:pt idx="8">
                  <c:v>-38902.107501970881</c:v>
                </c:pt>
                <c:pt idx="9">
                  <c:v>-37639.380196916682</c:v>
                </c:pt>
                <c:pt idx="10">
                  <c:v>-38719.594519672683</c:v>
                </c:pt>
                <c:pt idx="11">
                  <c:v>-38546.668577656121</c:v>
                </c:pt>
                <c:pt idx="12">
                  <c:v>-37197.220393614334</c:v>
                </c:pt>
                <c:pt idx="13">
                  <c:v>-38202.766714641613</c:v>
                </c:pt>
                <c:pt idx="14">
                  <c:v>-38028.516936783839</c:v>
                </c:pt>
                <c:pt idx="15">
                  <c:v>-36672.640164332304</c:v>
                </c:pt>
                <c:pt idx="16">
                  <c:v>-37841.818754735352</c:v>
                </c:pt>
                <c:pt idx="17">
                  <c:v>-37830.154329284313</c:v>
                </c:pt>
                <c:pt idx="18">
                  <c:v>-36656.324416664691</c:v>
                </c:pt>
                <c:pt idx="19">
                  <c:v>-37810.353769352958</c:v>
                </c:pt>
                <c:pt idx="20">
                  <c:v>-37798.875041416541</c:v>
                </c:pt>
                <c:pt idx="21">
                  <c:v>-36693.181000186218</c:v>
                </c:pt>
                <c:pt idx="22">
                  <c:v>-37942.051855841884</c:v>
                </c:pt>
                <c:pt idx="23">
                  <c:v>-38041.640559684383</c:v>
                </c:pt>
                <c:pt idx="24">
                  <c:v>-36312.390636848984</c:v>
                </c:pt>
              </c:numCache>
            </c:numRef>
          </c:val>
          <c:smooth val="0"/>
          <c:extLst>
            <c:ext xmlns:c16="http://schemas.microsoft.com/office/drawing/2014/chart" uri="{C3380CC4-5D6E-409C-BE32-E72D297353CC}">
              <c16:uniqueId val="{00000009-F279-4F2E-BCA9-11C8488DBA5A}"/>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Climate change</a:t>
                </a:r>
              </a:p>
              <a:p>
                <a:pPr algn="ctr" rtl="0">
                  <a:defRPr/>
                </a:pPr>
                <a:r>
                  <a:rPr lang="nl-NL"/>
                  <a:t>[kg CO2-eq/ton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CC ship'!$AB$334</c:f>
              <c:strCache>
                <c:ptCount val="1"/>
                <c:pt idx="0">
                  <c:v>Construction - DAC</c:v>
                </c:pt>
              </c:strCache>
            </c:strRef>
          </c:tx>
          <c:spPr>
            <a:solidFill>
              <a:schemeClr val="accent4">
                <a:lumMod val="75000"/>
              </a:schemeClr>
            </a:solidFill>
            <a:ln>
              <a:noFill/>
            </a:ln>
            <a:effectLst/>
          </c:spPr>
          <c:invertIfNegative val="0"/>
          <c:val>
            <c:numRef>
              <c:f>'Results ReCiPe (H) - CC ship'!$AC$334:$BA$334</c:f>
              <c:numCache>
                <c:formatCode>0.00E+00</c:formatCode>
                <c:ptCount val="25"/>
                <c:pt idx="0">
                  <c:v>31378.879876764171</c:v>
                </c:pt>
              </c:numCache>
            </c:numRef>
          </c:val>
          <c:extLst>
            <c:ext xmlns:c15="http://schemas.microsoft.com/office/drawing/2012/chart" uri="{02D57815-91ED-43cb-92C2-25804820EDAC}">
              <c15:filteredCategoryTitle>
                <c15:cat>
                  <c:numRef>
                    <c:extLst>
                      <c:ext uri="{02D57815-91ED-43cb-92C2-25804820EDAC}">
                        <c15:formulaRef>
                          <c15:sqref>'Results ReCiPe (H) - CC ship'!$AC$333:$BA$333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0-7F24-4F8E-BEB5-E7BB0902A7AB}"/>
            </c:ext>
          </c:extLst>
        </c:ser>
        <c:ser>
          <c:idx val="1"/>
          <c:order val="1"/>
          <c:tx>
            <c:strRef>
              <c:f>'Results ReCiPe (H) - CC ship'!$AB$335</c:f>
              <c:strCache>
                <c:ptCount val="1"/>
                <c:pt idx="0">
                  <c:v>Construction - geological storage</c:v>
                </c:pt>
              </c:strCache>
            </c:strRef>
          </c:tx>
          <c:spPr>
            <a:solidFill>
              <a:schemeClr val="accent4">
                <a:lumMod val="60000"/>
                <a:lumOff val="40000"/>
              </a:schemeClr>
            </a:solidFill>
            <a:ln>
              <a:noFill/>
            </a:ln>
            <a:effectLst/>
          </c:spPr>
          <c:invertIfNegative val="0"/>
          <c:val>
            <c:numRef>
              <c:f>'Results ReCiPe (H) - CC ship'!$AC$335:$BA$335</c:f>
              <c:numCache>
                <c:formatCode>0.00E+00</c:formatCode>
                <c:ptCount val="25"/>
                <c:pt idx="0">
                  <c:v>1160.6778619998327</c:v>
                </c:pt>
              </c:numCache>
            </c:numRef>
          </c:val>
          <c:extLst>
            <c:ext xmlns:c15="http://schemas.microsoft.com/office/drawing/2012/chart" uri="{02D57815-91ED-43cb-92C2-25804820EDAC}">
              <c15:filteredCategoryTitle>
                <c15:cat>
                  <c:numRef>
                    <c:extLst>
                      <c:ext uri="{02D57815-91ED-43cb-92C2-25804820EDAC}">
                        <c15:formulaRef>
                          <c15:sqref>'Results ReCiPe (H) - CC ship'!$AC$333:$BA$333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1-7F24-4F8E-BEB5-E7BB0902A7AB}"/>
            </c:ext>
          </c:extLst>
        </c:ser>
        <c:ser>
          <c:idx val="2"/>
          <c:order val="2"/>
          <c:tx>
            <c:strRef>
              <c:f>'Results ReCiPe (H) - CC ship'!$AB$336</c:f>
              <c:strCache>
                <c:ptCount val="1"/>
                <c:pt idx="0">
                  <c:v>Deconstruction - DAC</c:v>
                </c:pt>
              </c:strCache>
            </c:strRef>
          </c:tx>
          <c:spPr>
            <a:solidFill>
              <a:schemeClr val="accent2">
                <a:lumMod val="40000"/>
                <a:lumOff val="60000"/>
              </a:schemeClr>
            </a:solidFill>
            <a:ln>
              <a:noFill/>
            </a:ln>
            <a:effectLst/>
          </c:spPr>
          <c:invertIfNegative val="0"/>
          <c:val>
            <c:numRef>
              <c:f>'Results ReCiPe (H) - CC ship'!$AC$336:$BA$336</c:f>
              <c:numCache>
                <c:formatCode>0.00E+00</c:formatCode>
                <c:ptCount val="25"/>
                <c:pt idx="24">
                  <c:v>578.38595176265494</c:v>
                </c:pt>
              </c:numCache>
            </c:numRef>
          </c:val>
          <c:extLst>
            <c:ext xmlns:c15="http://schemas.microsoft.com/office/drawing/2012/chart" uri="{02D57815-91ED-43cb-92C2-25804820EDAC}">
              <c15:filteredCategoryTitle>
                <c15:cat>
                  <c:numRef>
                    <c:extLst>
                      <c:ext uri="{02D57815-91ED-43cb-92C2-25804820EDAC}">
                        <c15:formulaRef>
                          <c15:sqref>'Results ReCiPe (H) - CC ship'!$AC$333:$BA$333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2-7F24-4F8E-BEB5-E7BB0902A7AB}"/>
            </c:ext>
          </c:extLst>
        </c:ser>
        <c:ser>
          <c:idx val="3"/>
          <c:order val="3"/>
          <c:tx>
            <c:strRef>
              <c:f>'Results ReCiPe (H) - CC ship'!$AB$337</c:f>
              <c:strCache>
                <c:ptCount val="1"/>
                <c:pt idx="0">
                  <c:v>Deconstruction - geological storage</c:v>
                </c:pt>
              </c:strCache>
            </c:strRef>
          </c:tx>
          <c:spPr>
            <a:solidFill>
              <a:srgbClr val="FF9900"/>
            </a:solidFill>
            <a:ln>
              <a:noFill/>
            </a:ln>
            <a:effectLst/>
          </c:spPr>
          <c:invertIfNegative val="0"/>
          <c:val>
            <c:numRef>
              <c:f>'Results ReCiPe (H) - CC ship'!$AC$337:$BA$337</c:f>
              <c:numCache>
                <c:formatCode>0.00E+00</c:formatCode>
                <c:ptCount val="25"/>
                <c:pt idx="24">
                  <c:v>10.479499779531061</c:v>
                </c:pt>
              </c:numCache>
            </c:numRef>
          </c:val>
          <c:extLst>
            <c:ext xmlns:c15="http://schemas.microsoft.com/office/drawing/2012/chart" uri="{02D57815-91ED-43cb-92C2-25804820EDAC}">
              <c15:filteredCategoryTitle>
                <c15:cat>
                  <c:numRef>
                    <c:extLst>
                      <c:ext uri="{02D57815-91ED-43cb-92C2-25804820EDAC}">
                        <c15:formulaRef>
                          <c15:sqref>'Results ReCiPe (H) - CC ship'!$AC$333:$BA$333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3-7F24-4F8E-BEB5-E7BB0902A7AB}"/>
            </c:ext>
          </c:extLst>
        </c:ser>
        <c:ser>
          <c:idx val="4"/>
          <c:order val="4"/>
          <c:tx>
            <c:strRef>
              <c:f>'Results ReCiPe (H) - CC ship'!$AB$338</c:f>
              <c:strCache>
                <c:ptCount val="1"/>
                <c:pt idx="0">
                  <c:v>Sorbent material</c:v>
                </c:pt>
              </c:strCache>
            </c:strRef>
          </c:tx>
          <c:spPr>
            <a:solidFill>
              <a:srgbClr val="FF8F8F"/>
            </a:solidFill>
            <a:ln>
              <a:noFill/>
            </a:ln>
            <a:effectLst/>
          </c:spPr>
          <c:invertIfNegative val="0"/>
          <c:val>
            <c:numRef>
              <c:f>'Results ReCiPe (H) - CC ship'!$AC$338:$BA$338</c:f>
              <c:numCache>
                <c:formatCode>0.00E+00</c:formatCode>
                <c:ptCount val="25"/>
                <c:pt idx="0">
                  <c:v>1148.3409729516229</c:v>
                </c:pt>
                <c:pt idx="3">
                  <c:v>1112.2182425813739</c:v>
                </c:pt>
                <c:pt idx="6">
                  <c:v>1076.9191461281321</c:v>
                </c:pt>
                <c:pt idx="9">
                  <c:v>1031.286216035297</c:v>
                </c:pt>
                <c:pt idx="12">
                  <c:v>977.44851845379105</c:v>
                </c:pt>
                <c:pt idx="15">
                  <c:v>917.987027187487</c:v>
                </c:pt>
                <c:pt idx="18">
                  <c:v>875.86379727760391</c:v>
                </c:pt>
                <c:pt idx="21">
                  <c:v>846.3879160889735</c:v>
                </c:pt>
                <c:pt idx="24">
                  <c:v>839.0363303143256</c:v>
                </c:pt>
              </c:numCache>
            </c:numRef>
          </c:val>
          <c:extLst>
            <c:ext xmlns:c15="http://schemas.microsoft.com/office/drawing/2012/chart" uri="{02D57815-91ED-43cb-92C2-25804820EDAC}">
              <c15:filteredCategoryTitle>
                <c15:cat>
                  <c:numRef>
                    <c:extLst>
                      <c:ext uri="{02D57815-91ED-43cb-92C2-25804820EDAC}">
                        <c15:formulaRef>
                          <c15:sqref>'Results ReCiPe (H) - CC ship'!$AC$333:$BA$333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4-7F24-4F8E-BEB5-E7BB0902A7AB}"/>
            </c:ext>
          </c:extLst>
        </c:ser>
        <c:ser>
          <c:idx val="5"/>
          <c:order val="5"/>
          <c:tx>
            <c:strRef>
              <c:f>'Results ReCiPe (H) - CC ship'!$AB$339</c:f>
              <c:strCache>
                <c:ptCount val="1"/>
                <c:pt idx="0">
                  <c:v>Battery</c:v>
                </c:pt>
              </c:strCache>
            </c:strRef>
          </c:tx>
          <c:spPr>
            <a:solidFill>
              <a:schemeClr val="accent6">
                <a:lumMod val="50000"/>
              </a:schemeClr>
            </a:solidFill>
            <a:ln>
              <a:noFill/>
            </a:ln>
            <a:effectLst/>
          </c:spPr>
          <c:invertIfNegative val="0"/>
          <c:val>
            <c:numRef>
              <c:f>'Results ReCiPe (H) - CC ship'!$AC$339:$BA$339</c:f>
              <c:numCache>
                <c:formatCode>0.00E+00</c:formatCode>
                <c:ptCount val="25"/>
                <c:pt idx="0">
                  <c:v>4114.5057284244558</c:v>
                </c:pt>
                <c:pt idx="1">
                  <c:v>4114.5057284244558</c:v>
                </c:pt>
                <c:pt idx="2">
                  <c:v>4114.5057284244558</c:v>
                </c:pt>
                <c:pt idx="3">
                  <c:v>4114.5057284244558</c:v>
                </c:pt>
                <c:pt idx="4">
                  <c:v>4114.5057284244558</c:v>
                </c:pt>
                <c:pt idx="5">
                  <c:v>4114.5057284244558</c:v>
                </c:pt>
                <c:pt idx="6">
                  <c:v>4114.5057284244558</c:v>
                </c:pt>
                <c:pt idx="7">
                  <c:v>4114.5057284244558</c:v>
                </c:pt>
                <c:pt idx="8">
                  <c:v>4114.5057284244558</c:v>
                </c:pt>
                <c:pt idx="9">
                  <c:v>4114.5057284244558</c:v>
                </c:pt>
                <c:pt idx="10">
                  <c:v>4114.5057284244558</c:v>
                </c:pt>
                <c:pt idx="11">
                  <c:v>4114.5057284244558</c:v>
                </c:pt>
                <c:pt idx="12">
                  <c:v>4114.5057284244558</c:v>
                </c:pt>
                <c:pt idx="13">
                  <c:v>4114.5057284244558</c:v>
                </c:pt>
                <c:pt idx="14">
                  <c:v>4114.5057284244558</c:v>
                </c:pt>
                <c:pt idx="15">
                  <c:v>4114.5057284244558</c:v>
                </c:pt>
                <c:pt idx="16">
                  <c:v>4114.5057284244558</c:v>
                </c:pt>
                <c:pt idx="17">
                  <c:v>4114.5057284244558</c:v>
                </c:pt>
                <c:pt idx="18">
                  <c:v>4114.5057284244558</c:v>
                </c:pt>
                <c:pt idx="19">
                  <c:v>4114.5057284244558</c:v>
                </c:pt>
                <c:pt idx="20">
                  <c:v>4114.5057284244558</c:v>
                </c:pt>
                <c:pt idx="21">
                  <c:v>4114.5057284244558</c:v>
                </c:pt>
                <c:pt idx="22">
                  <c:v>4114.5057284244558</c:v>
                </c:pt>
                <c:pt idx="23">
                  <c:v>4114.5057284244558</c:v>
                </c:pt>
                <c:pt idx="24">
                  <c:v>4114.5057284244558</c:v>
                </c:pt>
              </c:numCache>
            </c:numRef>
          </c:val>
          <c:extLst>
            <c:ext xmlns:c15="http://schemas.microsoft.com/office/drawing/2012/chart" uri="{02D57815-91ED-43cb-92C2-25804820EDAC}">
              <c15:filteredCategoryTitle>
                <c15:cat>
                  <c:numRef>
                    <c:extLst>
                      <c:ext uri="{02D57815-91ED-43cb-92C2-25804820EDAC}">
                        <c15:formulaRef>
                          <c15:sqref>'Results ReCiPe (H) - CC ship'!$AC$333:$BA$333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5-7F24-4F8E-BEB5-E7BB0902A7AB}"/>
            </c:ext>
          </c:extLst>
        </c:ser>
        <c:ser>
          <c:idx val="6"/>
          <c:order val="6"/>
          <c:tx>
            <c:strRef>
              <c:f>'Results ReCiPe (H) - CC ship'!$AB$340</c:f>
              <c:strCache>
                <c:ptCount val="1"/>
                <c:pt idx="0">
                  <c:v>Operation - DAC</c:v>
                </c:pt>
              </c:strCache>
            </c:strRef>
          </c:tx>
          <c:spPr>
            <a:solidFill>
              <a:schemeClr val="accent2">
                <a:lumMod val="75000"/>
              </a:schemeClr>
            </a:solidFill>
            <a:ln>
              <a:noFill/>
            </a:ln>
            <a:effectLst/>
          </c:spPr>
          <c:invertIfNegative val="0"/>
          <c:val>
            <c:numRef>
              <c:f>'Results ReCiPe (H) - CC ship'!$AC$340:$BA$340</c:f>
              <c:numCache>
                <c:formatCode>0.00E+00</c:formatCode>
                <c:ptCount val="25"/>
                <c:pt idx="0">
                  <c:v>3313.2534927617353</c:v>
                </c:pt>
                <c:pt idx="1">
                  <c:v>3239.2026947697987</c:v>
                </c:pt>
                <c:pt idx="2">
                  <c:v>3164.5240281555916</c:v>
                </c:pt>
                <c:pt idx="3">
                  <c:v>3064.341512418373</c:v>
                </c:pt>
                <c:pt idx="4">
                  <c:v>2988.6838258902621</c:v>
                </c:pt>
                <c:pt idx="5">
                  <c:v>2912.405223199416</c:v>
                </c:pt>
                <c:pt idx="6">
                  <c:v>2842.0069077299704</c:v>
                </c:pt>
                <c:pt idx="7">
                  <c:v>2777.195727888542</c:v>
                </c:pt>
                <c:pt idx="8">
                  <c:v>2699.7264849987537</c:v>
                </c:pt>
                <c:pt idx="9">
                  <c:v>2637.7492458362362</c:v>
                </c:pt>
                <c:pt idx="10">
                  <c:v>2575.4588627098487</c:v>
                </c:pt>
                <c:pt idx="11">
                  <c:v>2512.7013701418518</c:v>
                </c:pt>
                <c:pt idx="12">
                  <c:v>2450.7214607923779</c:v>
                </c:pt>
                <c:pt idx="13">
                  <c:v>2385.4975303762108</c:v>
                </c:pt>
                <c:pt idx="14">
                  <c:v>2325.1444141701259</c:v>
                </c:pt>
                <c:pt idx="15">
                  <c:v>2265.6454568774971</c:v>
                </c:pt>
                <c:pt idx="16">
                  <c:v>2223.2871447864327</c:v>
                </c:pt>
                <c:pt idx="17">
                  <c:v>2181.872516864637</c:v>
                </c:pt>
                <c:pt idx="18">
                  <c:v>2138.0676515326049</c:v>
                </c:pt>
                <c:pt idx="19">
                  <c:v>2098.8526181997881</c:v>
                </c:pt>
                <c:pt idx="20">
                  <c:v>2061.4120163942912</c:v>
                </c:pt>
                <c:pt idx="21">
                  <c:v>2053.4092350889641</c:v>
                </c:pt>
                <c:pt idx="22">
                  <c:v>2043.2361129798248</c:v>
                </c:pt>
                <c:pt idx="23">
                  <c:v>2033.1659809171524</c:v>
                </c:pt>
                <c:pt idx="24">
                  <c:v>2023.2055707318491</c:v>
                </c:pt>
              </c:numCache>
            </c:numRef>
          </c:val>
          <c:extLst>
            <c:ext xmlns:c15="http://schemas.microsoft.com/office/drawing/2012/chart" uri="{02D57815-91ED-43cb-92C2-25804820EDAC}">
              <c15:filteredCategoryTitle>
                <c15:cat>
                  <c:numRef>
                    <c:extLst>
                      <c:ext uri="{02D57815-91ED-43cb-92C2-25804820EDAC}">
                        <c15:formulaRef>
                          <c15:sqref>'Results ReCiPe (H) - CC ship'!$AC$333:$BA$333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6-7F24-4F8E-BEB5-E7BB0902A7AB}"/>
            </c:ext>
          </c:extLst>
        </c:ser>
        <c:ser>
          <c:idx val="7"/>
          <c:order val="7"/>
          <c:tx>
            <c:strRef>
              <c:f>'Results ReCiPe (H) - CC ship'!$AB$341</c:f>
              <c:strCache>
                <c:ptCount val="1"/>
                <c:pt idx="0">
                  <c:v>Operation - geological storage</c:v>
                </c:pt>
              </c:strCache>
            </c:strRef>
          </c:tx>
          <c:spPr>
            <a:solidFill>
              <a:schemeClr val="accent2">
                <a:lumMod val="50000"/>
              </a:schemeClr>
            </a:solidFill>
            <a:ln>
              <a:noFill/>
            </a:ln>
            <a:effectLst/>
          </c:spPr>
          <c:invertIfNegative val="0"/>
          <c:val>
            <c:numRef>
              <c:f>'Results ReCiPe (H) - CC ship'!$AC$341:$BA$341</c:f>
              <c:numCache>
                <c:formatCode>0.00E+00</c:formatCode>
                <c:ptCount val="25"/>
                <c:pt idx="0">
                  <c:v>2541.4748240516019</c:v>
                </c:pt>
                <c:pt idx="1">
                  <c:v>2458.1612420542124</c:v>
                </c:pt>
                <c:pt idx="2">
                  <c:v>2375.242790057951</c:v>
                </c:pt>
                <c:pt idx="3">
                  <c:v>2291.2571206633415</c:v>
                </c:pt>
                <c:pt idx="4">
                  <c:v>2209.1045007190432</c:v>
                </c:pt>
                <c:pt idx="5">
                  <c:v>2127.3209626990274</c:v>
                </c:pt>
                <c:pt idx="6">
                  <c:v>2062.4684477318538</c:v>
                </c:pt>
                <c:pt idx="7">
                  <c:v>1997.8813065894376</c:v>
                </c:pt>
                <c:pt idx="8">
                  <c:v>1932.3598197806789</c:v>
                </c:pt>
                <c:pt idx="9">
                  <c:v>1868.1139723948831</c:v>
                </c:pt>
                <c:pt idx="10">
                  <c:v>1804.0087785952576</c:v>
                </c:pt>
                <c:pt idx="11">
                  <c:v>1752.3650037399545</c:v>
                </c:pt>
                <c:pt idx="12">
                  <c:v>1700.5444080491013</c:v>
                </c:pt>
                <c:pt idx="13">
                  <c:v>1648.3044100069633</c:v>
                </c:pt>
                <c:pt idx="14">
                  <c:v>1596.136490501234</c:v>
                </c:pt>
                <c:pt idx="15">
                  <c:v>1543.797189824046</c:v>
                </c:pt>
                <c:pt idx="16">
                  <c:v>1515.3231908887035</c:v>
                </c:pt>
                <c:pt idx="17">
                  <c:v>1486.7730823376655</c:v>
                </c:pt>
                <c:pt idx="18">
                  <c:v>1457.9397413121651</c:v>
                </c:pt>
                <c:pt idx="19">
                  <c:v>1429.2423543258344</c:v>
                </c:pt>
                <c:pt idx="20">
                  <c:v>1400.4814447149959</c:v>
                </c:pt>
                <c:pt idx="21">
                  <c:v>1390.2769656432461</c:v>
                </c:pt>
                <c:pt idx="22">
                  <c:v>1379.2332162568455</c:v>
                </c:pt>
                <c:pt idx="23">
                  <c:v>1368.1868779306997</c:v>
                </c:pt>
                <c:pt idx="24">
                  <c:v>1357.1369890926426</c:v>
                </c:pt>
              </c:numCache>
            </c:numRef>
          </c:val>
          <c:extLst>
            <c:ext xmlns:c15="http://schemas.microsoft.com/office/drawing/2012/chart" uri="{02D57815-91ED-43cb-92C2-25804820EDAC}">
              <c15:filteredCategoryTitle>
                <c15:cat>
                  <c:numRef>
                    <c:extLst>
                      <c:ext uri="{02D57815-91ED-43cb-92C2-25804820EDAC}">
                        <c15:formulaRef>
                          <c15:sqref>'Results ReCiPe (H) - CC ship'!$AC$333:$BA$333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7-7F24-4F8E-BEB5-E7BB0902A7AB}"/>
            </c:ext>
          </c:extLst>
        </c:ser>
        <c:ser>
          <c:idx val="8"/>
          <c:order val="8"/>
          <c:tx>
            <c:strRef>
              <c:f>'Results ReCiPe (H) - CC ship'!$AB$342</c:f>
              <c:strCache>
                <c:ptCount val="1"/>
                <c:pt idx="0">
                  <c:v>CO2 captured and stored</c:v>
                </c:pt>
              </c:strCache>
            </c:strRef>
          </c:tx>
          <c:spPr>
            <a:solidFill>
              <a:schemeClr val="tx2">
                <a:lumMod val="20000"/>
                <a:lumOff val="80000"/>
              </a:schemeClr>
            </a:solidFill>
            <a:ln>
              <a:noFill/>
            </a:ln>
            <a:effectLst/>
          </c:spPr>
          <c:invertIfNegative val="0"/>
          <c:val>
            <c:numRef>
              <c:f>'Results ReCiPe (H) - CC ship'!$AC$342:$BA$342</c:f>
              <c:numCache>
                <c:formatCode>0.00E+00</c:formatCode>
                <c:ptCount val="25"/>
                <c:pt idx="0">
                  <c:v>-50000</c:v>
                </c:pt>
                <c:pt idx="1">
                  <c:v>-50000</c:v>
                </c:pt>
                <c:pt idx="2">
                  <c:v>-50000</c:v>
                </c:pt>
                <c:pt idx="3">
                  <c:v>-50000</c:v>
                </c:pt>
                <c:pt idx="4">
                  <c:v>-50000</c:v>
                </c:pt>
                <c:pt idx="5">
                  <c:v>-50000</c:v>
                </c:pt>
                <c:pt idx="6">
                  <c:v>-50000</c:v>
                </c:pt>
                <c:pt idx="7">
                  <c:v>-50000</c:v>
                </c:pt>
                <c:pt idx="8">
                  <c:v>-50000</c:v>
                </c:pt>
                <c:pt idx="9">
                  <c:v>-50000</c:v>
                </c:pt>
                <c:pt idx="10">
                  <c:v>-50000</c:v>
                </c:pt>
                <c:pt idx="11">
                  <c:v>-50000</c:v>
                </c:pt>
                <c:pt idx="12">
                  <c:v>-50000</c:v>
                </c:pt>
                <c:pt idx="13">
                  <c:v>-50000</c:v>
                </c:pt>
                <c:pt idx="14">
                  <c:v>-50000</c:v>
                </c:pt>
                <c:pt idx="15">
                  <c:v>-50000</c:v>
                </c:pt>
                <c:pt idx="16">
                  <c:v>-50000</c:v>
                </c:pt>
                <c:pt idx="17">
                  <c:v>-50000</c:v>
                </c:pt>
                <c:pt idx="18">
                  <c:v>-50000</c:v>
                </c:pt>
                <c:pt idx="19">
                  <c:v>-50000</c:v>
                </c:pt>
                <c:pt idx="20">
                  <c:v>-50000</c:v>
                </c:pt>
                <c:pt idx="21">
                  <c:v>-50000</c:v>
                </c:pt>
                <c:pt idx="22">
                  <c:v>-50000</c:v>
                </c:pt>
                <c:pt idx="23">
                  <c:v>-50000</c:v>
                </c:pt>
                <c:pt idx="24">
                  <c:v>-50000</c:v>
                </c:pt>
              </c:numCache>
            </c:numRef>
          </c:val>
          <c:extLst>
            <c:ext xmlns:c15="http://schemas.microsoft.com/office/drawing/2012/chart" uri="{02D57815-91ED-43cb-92C2-25804820EDAC}">
              <c15:filteredCategoryTitle>
                <c15:cat>
                  <c:numRef>
                    <c:extLst>
                      <c:ext uri="{02D57815-91ED-43cb-92C2-25804820EDAC}">
                        <c15:formulaRef>
                          <c15:sqref>'Results ReCiPe (H) - CC ship'!$AC$333:$BA$333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8-7F24-4F8E-BEB5-E7BB0902A7AB}"/>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(H) - CC ship'!$AB$343</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val>
            <c:numRef>
              <c:f>'Results ReCiPe (H) - CC ship'!$AC$343:$BA$343</c:f>
              <c:numCache>
                <c:formatCode>0.00E+00</c:formatCode>
                <c:ptCount val="25"/>
                <c:pt idx="0">
                  <c:v>-6342.8672430465813</c:v>
                </c:pt>
                <c:pt idx="1">
                  <c:v>-40188.130334751535</c:v>
                </c:pt>
                <c:pt idx="2">
                  <c:v>-40345.727453362</c:v>
                </c:pt>
                <c:pt idx="3">
                  <c:v>-39417.677395912455</c:v>
                </c:pt>
                <c:pt idx="4">
                  <c:v>-40687.705944966234</c:v>
                </c:pt>
                <c:pt idx="5">
                  <c:v>-40845.768085677104</c:v>
                </c:pt>
                <c:pt idx="6">
                  <c:v>-39904.099769985587</c:v>
                </c:pt>
                <c:pt idx="7">
                  <c:v>-41110.417237097565</c:v>
                </c:pt>
                <c:pt idx="8">
                  <c:v>-41253.407966796112</c:v>
                </c:pt>
                <c:pt idx="9">
                  <c:v>-40348.344837309123</c:v>
                </c:pt>
                <c:pt idx="10">
                  <c:v>-41506.02663027044</c:v>
                </c:pt>
                <c:pt idx="11">
                  <c:v>-41620.427897693735</c:v>
                </c:pt>
                <c:pt idx="12">
                  <c:v>-40756.779884280273</c:v>
                </c:pt>
                <c:pt idx="13">
                  <c:v>-41851.692331192367</c:v>
                </c:pt>
                <c:pt idx="14">
                  <c:v>-41964.213366904187</c:v>
                </c:pt>
                <c:pt idx="15">
                  <c:v>-41158.064597686513</c:v>
                </c:pt>
                <c:pt idx="16">
                  <c:v>-42146.883935900405</c:v>
                </c:pt>
                <c:pt idx="17">
                  <c:v>-42216.848672373242</c:v>
                </c:pt>
                <c:pt idx="18">
                  <c:v>-41413.623081453174</c:v>
                </c:pt>
                <c:pt idx="19">
                  <c:v>-42357.399299049925</c:v>
                </c:pt>
                <c:pt idx="20">
                  <c:v>-42423.600810466254</c:v>
                </c:pt>
                <c:pt idx="21">
                  <c:v>-41595.420154754363</c:v>
                </c:pt>
                <c:pt idx="22">
                  <c:v>-42463.024942338874</c:v>
                </c:pt>
                <c:pt idx="23">
                  <c:v>-42484.141412727695</c:v>
                </c:pt>
                <c:pt idx="24">
                  <c:v>-41077.24992989454</c:v>
                </c:pt>
              </c:numCache>
            </c:numRef>
          </c:val>
          <c:smooth val="0"/>
          <c:extLst>
            <c:ext xmlns:c15="http://schemas.microsoft.com/office/drawing/2012/chart" uri="{02D57815-91ED-43cb-92C2-25804820EDAC}">
              <c15:filteredCategoryTitle>
                <c15:cat>
                  <c:numRef>
                    <c:extLst>
                      <c:ext uri="{02D57815-91ED-43cb-92C2-25804820EDAC}">
                        <c15:formulaRef>
                          <c15:sqref>'Results ReCiPe (H) - CC ship'!$AC$333:$BA$333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9-7F24-4F8E-BEB5-E7BB0902A7AB}"/>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nl-NL"/>
                  <a:t>years</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NL"/>
            </a:p>
          </c:txPr>
        </c:title>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Climate change</a:t>
                </a:r>
              </a:p>
              <a:p>
                <a:pPr algn="ctr" rtl="0">
                  <a:defRPr/>
                </a:pPr>
                <a:r>
                  <a:rPr lang="nl-NL"/>
                  <a:t>[kg CO2-eq/ton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1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CC ship'!$AB$395</c:f>
              <c:strCache>
                <c:ptCount val="1"/>
                <c:pt idx="0">
                  <c:v>Construction - DAC</c:v>
                </c:pt>
              </c:strCache>
            </c:strRef>
          </c:tx>
          <c:spPr>
            <a:solidFill>
              <a:schemeClr val="accent4">
                <a:lumMod val="75000"/>
              </a:schemeClr>
            </a:solidFill>
            <a:ln>
              <a:noFill/>
            </a:ln>
            <a:effectLst/>
          </c:spPr>
          <c:invertIfNegative val="0"/>
          <c:val>
            <c:numRef>
              <c:f>'Results ReCiPe (H) - CC ship'!$AC$395:$BA$395</c:f>
              <c:numCache>
                <c:formatCode>0.00E+00</c:formatCode>
                <c:ptCount val="25"/>
                <c:pt idx="0">
                  <c:v>23659.708947237723</c:v>
                </c:pt>
              </c:numCache>
            </c:numRef>
          </c:val>
          <c:extLst>
            <c:ext xmlns:c15="http://schemas.microsoft.com/office/drawing/2012/chart" uri="{02D57815-91ED-43cb-92C2-25804820EDAC}">
              <c15:filteredCategoryTitle>
                <c15:cat>
                  <c:numRef>
                    <c:extLst>
                      <c:ext uri="{02D57815-91ED-43cb-92C2-25804820EDAC}">
                        <c15:formulaRef>
                          <c15:sqref>'Results ReCiPe (H) - CC ship'!$AC$394:$BA$394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0-3858-49F8-BE2E-2A8A704A9B0F}"/>
            </c:ext>
          </c:extLst>
        </c:ser>
        <c:ser>
          <c:idx val="1"/>
          <c:order val="1"/>
          <c:tx>
            <c:strRef>
              <c:f>'Results ReCiPe (H) - CC ship'!$AB$396</c:f>
              <c:strCache>
                <c:ptCount val="1"/>
                <c:pt idx="0">
                  <c:v>Construction - geological storage</c:v>
                </c:pt>
              </c:strCache>
            </c:strRef>
          </c:tx>
          <c:spPr>
            <a:solidFill>
              <a:schemeClr val="accent4">
                <a:lumMod val="60000"/>
                <a:lumOff val="40000"/>
              </a:schemeClr>
            </a:solidFill>
            <a:ln>
              <a:noFill/>
            </a:ln>
            <a:effectLst/>
          </c:spPr>
          <c:invertIfNegative val="0"/>
          <c:val>
            <c:numRef>
              <c:f>'Results ReCiPe (H) - CC ship'!$AC$396:$BA$396</c:f>
              <c:numCache>
                <c:formatCode>0.00E+00</c:formatCode>
                <c:ptCount val="25"/>
                <c:pt idx="0">
                  <c:v>1015.3078222151452</c:v>
                </c:pt>
              </c:numCache>
            </c:numRef>
          </c:val>
          <c:extLst>
            <c:ext xmlns:c15="http://schemas.microsoft.com/office/drawing/2012/chart" uri="{02D57815-91ED-43cb-92C2-25804820EDAC}">
              <c15:filteredCategoryTitle>
                <c15:cat>
                  <c:numRef>
                    <c:extLst>
                      <c:ext uri="{02D57815-91ED-43cb-92C2-25804820EDAC}">
                        <c15:formulaRef>
                          <c15:sqref>'Results ReCiPe (H) - CC ship'!$AC$394:$BA$394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1-3858-49F8-BE2E-2A8A704A9B0F}"/>
            </c:ext>
          </c:extLst>
        </c:ser>
        <c:ser>
          <c:idx val="2"/>
          <c:order val="2"/>
          <c:tx>
            <c:strRef>
              <c:f>'Results ReCiPe (H) - CC ship'!$AB$397</c:f>
              <c:strCache>
                <c:ptCount val="1"/>
                <c:pt idx="0">
                  <c:v>Deconstruction - DAC</c:v>
                </c:pt>
              </c:strCache>
            </c:strRef>
          </c:tx>
          <c:spPr>
            <a:solidFill>
              <a:schemeClr val="accent2">
                <a:lumMod val="40000"/>
                <a:lumOff val="60000"/>
              </a:schemeClr>
            </a:solidFill>
            <a:ln>
              <a:noFill/>
            </a:ln>
            <a:effectLst/>
          </c:spPr>
          <c:invertIfNegative val="0"/>
          <c:val>
            <c:numRef>
              <c:f>'Results ReCiPe (H) - CC ship'!$AC$397:$BA$397</c:f>
              <c:numCache>
                <c:formatCode>0.00E+00</c:formatCode>
                <c:ptCount val="25"/>
                <c:pt idx="24">
                  <c:v>506.10170544819584</c:v>
                </c:pt>
              </c:numCache>
            </c:numRef>
          </c:val>
          <c:extLst>
            <c:ext xmlns:c15="http://schemas.microsoft.com/office/drawing/2012/chart" uri="{02D57815-91ED-43cb-92C2-25804820EDAC}">
              <c15:filteredCategoryTitle>
                <c15:cat>
                  <c:numRef>
                    <c:extLst>
                      <c:ext uri="{02D57815-91ED-43cb-92C2-25804820EDAC}">
                        <c15:formulaRef>
                          <c15:sqref>'Results ReCiPe (H) - CC ship'!$AC$394:$BA$394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2-3858-49F8-BE2E-2A8A704A9B0F}"/>
            </c:ext>
          </c:extLst>
        </c:ser>
        <c:ser>
          <c:idx val="3"/>
          <c:order val="3"/>
          <c:tx>
            <c:strRef>
              <c:f>'Results ReCiPe (H) - CC ship'!$AB$398</c:f>
              <c:strCache>
                <c:ptCount val="1"/>
                <c:pt idx="0">
                  <c:v>Deconstruction - geological storage</c:v>
                </c:pt>
              </c:strCache>
            </c:strRef>
          </c:tx>
          <c:spPr>
            <a:solidFill>
              <a:srgbClr val="FF9900"/>
            </a:solidFill>
            <a:ln>
              <a:noFill/>
            </a:ln>
            <a:effectLst/>
          </c:spPr>
          <c:invertIfNegative val="0"/>
          <c:val>
            <c:numRef>
              <c:f>'Results ReCiPe (H) - CC ship'!$AC$398:$BA$398</c:f>
              <c:numCache>
                <c:formatCode>0.00E+00</c:formatCode>
                <c:ptCount val="25"/>
                <c:pt idx="24">
                  <c:v>9.8550188016235367</c:v>
                </c:pt>
              </c:numCache>
            </c:numRef>
          </c:val>
          <c:extLst>
            <c:ext xmlns:c15="http://schemas.microsoft.com/office/drawing/2012/chart" uri="{02D57815-91ED-43cb-92C2-25804820EDAC}">
              <c15:filteredCategoryTitle>
                <c15:cat>
                  <c:numRef>
                    <c:extLst>
                      <c:ext uri="{02D57815-91ED-43cb-92C2-25804820EDAC}">
                        <c15:formulaRef>
                          <c15:sqref>'Results ReCiPe (H) - CC ship'!$AC$394:$BA$394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3-3858-49F8-BE2E-2A8A704A9B0F}"/>
            </c:ext>
          </c:extLst>
        </c:ser>
        <c:ser>
          <c:idx val="4"/>
          <c:order val="4"/>
          <c:tx>
            <c:strRef>
              <c:f>'Results ReCiPe (H) - CC ship'!$AB$399</c:f>
              <c:strCache>
                <c:ptCount val="1"/>
                <c:pt idx="0">
                  <c:v>Sorbent material</c:v>
                </c:pt>
              </c:strCache>
            </c:strRef>
          </c:tx>
          <c:spPr>
            <a:solidFill>
              <a:srgbClr val="FF8F8F"/>
            </a:solidFill>
            <a:ln>
              <a:noFill/>
            </a:ln>
            <a:effectLst/>
          </c:spPr>
          <c:invertIfNegative val="0"/>
          <c:val>
            <c:numRef>
              <c:f>'Results ReCiPe (H) - CC ship'!$AC$399:$BA$399</c:f>
              <c:numCache>
                <c:formatCode>0.00E+00</c:formatCode>
                <c:ptCount val="25"/>
                <c:pt idx="0">
                  <c:v>960.18627888201729</c:v>
                </c:pt>
                <c:pt idx="3">
                  <c:v>894.9053469828998</c:v>
                </c:pt>
                <c:pt idx="6">
                  <c:v>847.74542197239737</c:v>
                </c:pt>
                <c:pt idx="9">
                  <c:v>829.74040861154253</c:v>
                </c:pt>
                <c:pt idx="12">
                  <c:v>821.41329377436136</c:v>
                </c:pt>
                <c:pt idx="15">
                  <c:v>815.75248373031479</c:v>
                </c:pt>
                <c:pt idx="18">
                  <c:v>808.99669973300752</c:v>
                </c:pt>
                <c:pt idx="21">
                  <c:v>803.6131276705886</c:v>
                </c:pt>
                <c:pt idx="24">
                  <c:v>799.02195316520056</c:v>
                </c:pt>
              </c:numCache>
            </c:numRef>
          </c:val>
          <c:extLst>
            <c:ext xmlns:c15="http://schemas.microsoft.com/office/drawing/2012/chart" uri="{02D57815-91ED-43cb-92C2-25804820EDAC}">
              <c15:filteredCategoryTitle>
                <c15:cat>
                  <c:numRef>
                    <c:extLst>
                      <c:ext uri="{02D57815-91ED-43cb-92C2-25804820EDAC}">
                        <c15:formulaRef>
                          <c15:sqref>'Results ReCiPe (H) - CC ship'!$AC$394:$BA$394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4-3858-49F8-BE2E-2A8A704A9B0F}"/>
            </c:ext>
          </c:extLst>
        </c:ser>
        <c:ser>
          <c:idx val="5"/>
          <c:order val="5"/>
          <c:tx>
            <c:strRef>
              <c:f>'Results ReCiPe (H) - CC ship'!$AB$400</c:f>
              <c:strCache>
                <c:ptCount val="1"/>
                <c:pt idx="0">
                  <c:v>Battery</c:v>
                </c:pt>
              </c:strCache>
            </c:strRef>
          </c:tx>
          <c:spPr>
            <a:solidFill>
              <a:schemeClr val="accent6">
                <a:lumMod val="50000"/>
              </a:schemeClr>
            </a:solidFill>
            <a:ln>
              <a:noFill/>
            </a:ln>
            <a:effectLst/>
          </c:spPr>
          <c:invertIfNegative val="0"/>
          <c:val>
            <c:numRef>
              <c:f>'Results ReCiPe (H) - CC ship'!$AC$400:$BA$400</c:f>
              <c:numCache>
                <c:formatCode>0.00E+00</c:formatCode>
                <c:ptCount val="25"/>
                <c:pt idx="0">
                  <c:v>2748.4212418876773</c:v>
                </c:pt>
                <c:pt idx="1">
                  <c:v>2748.4212418876773</c:v>
                </c:pt>
                <c:pt idx="2">
                  <c:v>2748.4212418876773</c:v>
                </c:pt>
                <c:pt idx="3">
                  <c:v>2748.4212418876773</c:v>
                </c:pt>
                <c:pt idx="4">
                  <c:v>2748.4212418876773</c:v>
                </c:pt>
                <c:pt idx="5">
                  <c:v>2748.4212418876773</c:v>
                </c:pt>
                <c:pt idx="6">
                  <c:v>2748.4212418876773</c:v>
                </c:pt>
                <c:pt idx="7">
                  <c:v>2748.4212418876773</c:v>
                </c:pt>
                <c:pt idx="8">
                  <c:v>2748.4212418876773</c:v>
                </c:pt>
                <c:pt idx="9">
                  <c:v>2748.4212418876773</c:v>
                </c:pt>
                <c:pt idx="10">
                  <c:v>2748.4212418876773</c:v>
                </c:pt>
                <c:pt idx="11">
                  <c:v>2748.4212418876773</c:v>
                </c:pt>
                <c:pt idx="12">
                  <c:v>2748.4212418876773</c:v>
                </c:pt>
                <c:pt idx="13">
                  <c:v>2748.4212418876773</c:v>
                </c:pt>
                <c:pt idx="14">
                  <c:v>2748.4212418876773</c:v>
                </c:pt>
                <c:pt idx="15">
                  <c:v>2748.4212418876773</c:v>
                </c:pt>
                <c:pt idx="16">
                  <c:v>2748.4212418876773</c:v>
                </c:pt>
                <c:pt idx="17">
                  <c:v>2748.4212418876773</c:v>
                </c:pt>
                <c:pt idx="18">
                  <c:v>2748.4212418876773</c:v>
                </c:pt>
                <c:pt idx="19">
                  <c:v>2748.4212418876773</c:v>
                </c:pt>
                <c:pt idx="20">
                  <c:v>2748.4212418876773</c:v>
                </c:pt>
                <c:pt idx="21">
                  <c:v>2748.4212418876773</c:v>
                </c:pt>
                <c:pt idx="22">
                  <c:v>2748.4212418876773</c:v>
                </c:pt>
                <c:pt idx="23">
                  <c:v>2748.4212418876773</c:v>
                </c:pt>
                <c:pt idx="24">
                  <c:v>2748.4212418876773</c:v>
                </c:pt>
              </c:numCache>
            </c:numRef>
          </c:val>
          <c:extLst>
            <c:ext xmlns:c15="http://schemas.microsoft.com/office/drawing/2012/chart" uri="{02D57815-91ED-43cb-92C2-25804820EDAC}">
              <c15:filteredCategoryTitle>
                <c15:cat>
                  <c:numRef>
                    <c:extLst>
                      <c:ext uri="{02D57815-91ED-43cb-92C2-25804820EDAC}">
                        <c15:formulaRef>
                          <c15:sqref>'Results ReCiPe (H) - CC ship'!$AC$394:$BA$394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5-3858-49F8-BE2E-2A8A704A9B0F}"/>
            </c:ext>
          </c:extLst>
        </c:ser>
        <c:ser>
          <c:idx val="6"/>
          <c:order val="6"/>
          <c:tx>
            <c:strRef>
              <c:f>'Results ReCiPe (H) - CC ship'!$AB$401</c:f>
              <c:strCache>
                <c:ptCount val="1"/>
                <c:pt idx="0">
                  <c:v>Operation - DAC</c:v>
                </c:pt>
              </c:strCache>
            </c:strRef>
          </c:tx>
          <c:spPr>
            <a:solidFill>
              <a:schemeClr val="accent2">
                <a:lumMod val="75000"/>
              </a:schemeClr>
            </a:solidFill>
            <a:ln>
              <a:noFill/>
            </a:ln>
            <a:effectLst/>
          </c:spPr>
          <c:invertIfNegative val="0"/>
          <c:val>
            <c:numRef>
              <c:f>'Results ReCiPe (H) - CC ship'!$AC$401:$BA$401</c:f>
              <c:numCache>
                <c:formatCode>0.00E+00</c:formatCode>
                <c:ptCount val="25"/>
                <c:pt idx="0">
                  <c:v>2650.0793843002111</c:v>
                </c:pt>
                <c:pt idx="1">
                  <c:v>2541.6073626931889</c:v>
                </c:pt>
                <c:pt idx="2">
                  <c:v>2433.0071283679886</c:v>
                </c:pt>
                <c:pt idx="3">
                  <c:v>2300.6668687623819</c:v>
                </c:pt>
                <c:pt idx="4">
                  <c:v>2190.2202785139721</c:v>
                </c:pt>
                <c:pt idx="5">
                  <c:v>2079.4641618918836</c:v>
                </c:pt>
                <c:pt idx="6">
                  <c:v>2039.8273464279516</c:v>
                </c:pt>
                <c:pt idx="7">
                  <c:v>2000.6150725035884</c:v>
                </c:pt>
                <c:pt idx="8">
                  <c:v>1948.8507496717691</c:v>
                </c:pt>
                <c:pt idx="9">
                  <c:v>1910.6794202964779</c:v>
                </c:pt>
                <c:pt idx="10">
                  <c:v>1873.072372753915</c:v>
                </c:pt>
                <c:pt idx="11">
                  <c:v>1853.7417970471508</c:v>
                </c:pt>
                <c:pt idx="12">
                  <c:v>1834.896888825285</c:v>
                </c:pt>
                <c:pt idx="13">
                  <c:v>1813.0185761161483</c:v>
                </c:pt>
                <c:pt idx="14">
                  <c:v>1794.7734566282738</c:v>
                </c:pt>
                <c:pt idx="15">
                  <c:v>1776.73743982105</c:v>
                </c:pt>
                <c:pt idx="16">
                  <c:v>1761.4690216885651</c:v>
                </c:pt>
                <c:pt idx="17">
                  <c:v>1746.5052342453239</c:v>
                </c:pt>
                <c:pt idx="18">
                  <c:v>1729.3772380843191</c:v>
                </c:pt>
                <c:pt idx="19">
                  <c:v>1714.9999937436305</c:v>
                </c:pt>
                <c:pt idx="20">
                  <c:v>1701.4844871720695</c:v>
                </c:pt>
                <c:pt idx="21">
                  <c:v>1695.2635433426133</c:v>
                </c:pt>
                <c:pt idx="22">
                  <c:v>1687.3846102100827</c:v>
                </c:pt>
                <c:pt idx="23">
                  <c:v>1679.6135338524884</c:v>
                </c:pt>
                <c:pt idx="24">
                  <c:v>1671.9487029706991</c:v>
                </c:pt>
              </c:numCache>
            </c:numRef>
          </c:val>
          <c:extLst>
            <c:ext xmlns:c15="http://schemas.microsoft.com/office/drawing/2012/chart" uri="{02D57815-91ED-43cb-92C2-25804820EDAC}">
              <c15:filteredCategoryTitle>
                <c15:cat>
                  <c:numRef>
                    <c:extLst>
                      <c:ext uri="{02D57815-91ED-43cb-92C2-25804820EDAC}">
                        <c15:formulaRef>
                          <c15:sqref>'Results ReCiPe (H) - CC ship'!$AC$394:$BA$394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6-3858-49F8-BE2E-2A8A704A9B0F}"/>
            </c:ext>
          </c:extLst>
        </c:ser>
        <c:ser>
          <c:idx val="7"/>
          <c:order val="7"/>
          <c:tx>
            <c:strRef>
              <c:f>'Results ReCiPe (H) - CC ship'!$AB$402</c:f>
              <c:strCache>
                <c:ptCount val="1"/>
                <c:pt idx="0">
                  <c:v>Operation - geological storage</c:v>
                </c:pt>
              </c:strCache>
            </c:strRef>
          </c:tx>
          <c:spPr>
            <a:solidFill>
              <a:schemeClr val="accent2">
                <a:lumMod val="50000"/>
              </a:schemeClr>
            </a:solidFill>
            <a:ln>
              <a:noFill/>
            </a:ln>
            <a:effectLst/>
          </c:spPr>
          <c:invertIfNegative val="0"/>
          <c:val>
            <c:numRef>
              <c:f>'Results ReCiPe (H) - CC ship'!$AC$402:$BA$402</c:f>
              <c:numCache>
                <c:formatCode>0.00E+00</c:formatCode>
                <c:ptCount val="25"/>
                <c:pt idx="0">
                  <c:v>1856.204219721689</c:v>
                </c:pt>
                <c:pt idx="1">
                  <c:v>1763.1386779579468</c:v>
                </c:pt>
                <c:pt idx="2">
                  <c:v>1670.590959300285</c:v>
                </c:pt>
                <c:pt idx="3">
                  <c:v>1576.983328991118</c:v>
                </c:pt>
                <c:pt idx="4">
                  <c:v>1485.345133715002</c:v>
                </c:pt>
                <c:pt idx="5">
                  <c:v>1394.1635890229954</c:v>
                </c:pt>
                <c:pt idx="6">
                  <c:v>1372.4267479804985</c:v>
                </c:pt>
                <c:pt idx="7">
                  <c:v>1350.6663186240671</c:v>
                </c:pt>
                <c:pt idx="8">
                  <c:v>1327.564445027687</c:v>
                </c:pt>
                <c:pt idx="9">
                  <c:v>1305.7211422993714</c:v>
                </c:pt>
                <c:pt idx="10">
                  <c:v>1283.852382951922</c:v>
                </c:pt>
                <c:pt idx="11">
                  <c:v>1272.9387858855614</c:v>
                </c:pt>
                <c:pt idx="12">
                  <c:v>1262.0387443752834</c:v>
                </c:pt>
                <c:pt idx="13">
                  <c:v>1250.8983018310576</c:v>
                </c:pt>
                <c:pt idx="14">
                  <c:v>1240.0269640026015</c:v>
                </c:pt>
                <c:pt idx="15">
                  <c:v>1229.1623932029365</c:v>
                </c:pt>
                <c:pt idx="16">
                  <c:v>1206.4642740818824</c:v>
                </c:pt>
                <c:pt idx="17">
                  <c:v>1183.735861606558</c:v>
                </c:pt>
                <c:pt idx="18">
                  <c:v>1160.800915146549</c:v>
                </c:pt>
                <c:pt idx="19">
                  <c:v>1138.0258396946647</c:v>
                </c:pt>
                <c:pt idx="20">
                  <c:v>1115.2355461918085</c:v>
                </c:pt>
                <c:pt idx="21">
                  <c:v>1095.8963294671435</c:v>
                </c:pt>
                <c:pt idx="22">
                  <c:v>1076.0462578000684</c:v>
                </c:pt>
                <c:pt idx="23">
                  <c:v>1056.2016462327369</c:v>
                </c:pt>
                <c:pt idx="24">
                  <c:v>1036.3617266324341</c:v>
                </c:pt>
              </c:numCache>
            </c:numRef>
          </c:val>
          <c:extLst>
            <c:ext xmlns:c15="http://schemas.microsoft.com/office/drawing/2012/chart" uri="{02D57815-91ED-43cb-92C2-25804820EDAC}">
              <c15:filteredCategoryTitle>
                <c15:cat>
                  <c:numRef>
                    <c:extLst>
                      <c:ext uri="{02D57815-91ED-43cb-92C2-25804820EDAC}">
                        <c15:formulaRef>
                          <c15:sqref>'Results ReCiPe (H) - CC ship'!$AC$394:$BA$394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7-3858-49F8-BE2E-2A8A704A9B0F}"/>
            </c:ext>
          </c:extLst>
        </c:ser>
        <c:ser>
          <c:idx val="8"/>
          <c:order val="8"/>
          <c:tx>
            <c:strRef>
              <c:f>'Results ReCiPe (H) - CC ship'!$AB$403</c:f>
              <c:strCache>
                <c:ptCount val="1"/>
                <c:pt idx="0">
                  <c:v>CO2 captured and stored</c:v>
                </c:pt>
              </c:strCache>
            </c:strRef>
          </c:tx>
          <c:spPr>
            <a:solidFill>
              <a:schemeClr val="tx2">
                <a:lumMod val="20000"/>
                <a:lumOff val="80000"/>
              </a:schemeClr>
            </a:solidFill>
            <a:ln>
              <a:noFill/>
            </a:ln>
            <a:effectLst/>
          </c:spPr>
          <c:invertIfNegative val="0"/>
          <c:val>
            <c:numRef>
              <c:f>'Results ReCiPe (H) - CC ship'!$AC$403:$BA$403</c:f>
              <c:numCache>
                <c:formatCode>0.00E+00</c:formatCode>
                <c:ptCount val="25"/>
                <c:pt idx="0">
                  <c:v>-50000</c:v>
                </c:pt>
                <c:pt idx="1">
                  <c:v>-50000</c:v>
                </c:pt>
                <c:pt idx="2">
                  <c:v>-50000</c:v>
                </c:pt>
                <c:pt idx="3">
                  <c:v>-50000</c:v>
                </c:pt>
                <c:pt idx="4">
                  <c:v>-50000</c:v>
                </c:pt>
                <c:pt idx="5">
                  <c:v>-50000</c:v>
                </c:pt>
                <c:pt idx="6">
                  <c:v>-50000</c:v>
                </c:pt>
                <c:pt idx="7">
                  <c:v>-50000</c:v>
                </c:pt>
                <c:pt idx="8">
                  <c:v>-50000</c:v>
                </c:pt>
                <c:pt idx="9">
                  <c:v>-50000</c:v>
                </c:pt>
                <c:pt idx="10">
                  <c:v>-50000</c:v>
                </c:pt>
                <c:pt idx="11">
                  <c:v>-50000</c:v>
                </c:pt>
                <c:pt idx="12">
                  <c:v>-50000</c:v>
                </c:pt>
                <c:pt idx="13">
                  <c:v>-50000</c:v>
                </c:pt>
                <c:pt idx="14">
                  <c:v>-50000</c:v>
                </c:pt>
                <c:pt idx="15">
                  <c:v>-50000</c:v>
                </c:pt>
                <c:pt idx="16">
                  <c:v>-50000</c:v>
                </c:pt>
                <c:pt idx="17">
                  <c:v>-50000</c:v>
                </c:pt>
                <c:pt idx="18">
                  <c:v>-50000</c:v>
                </c:pt>
                <c:pt idx="19">
                  <c:v>-50000</c:v>
                </c:pt>
                <c:pt idx="20">
                  <c:v>-50000</c:v>
                </c:pt>
                <c:pt idx="21">
                  <c:v>-50000</c:v>
                </c:pt>
                <c:pt idx="22">
                  <c:v>-50000</c:v>
                </c:pt>
                <c:pt idx="23">
                  <c:v>-50000</c:v>
                </c:pt>
                <c:pt idx="24">
                  <c:v>-50000</c:v>
                </c:pt>
              </c:numCache>
            </c:numRef>
          </c:val>
          <c:extLst>
            <c:ext xmlns:c15="http://schemas.microsoft.com/office/drawing/2012/chart" uri="{02D57815-91ED-43cb-92C2-25804820EDAC}">
              <c15:filteredCategoryTitle>
                <c15:cat>
                  <c:numRef>
                    <c:extLst>
                      <c:ext uri="{02D57815-91ED-43cb-92C2-25804820EDAC}">
                        <c15:formulaRef>
                          <c15:sqref>'Results ReCiPe (H) - CC ship'!$AC$394:$BA$394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8-3858-49F8-BE2E-2A8A704A9B0F}"/>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(H) - CC ship'!$AB$404</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val>
            <c:numRef>
              <c:f>'Results ReCiPe (H) - CC ship'!$AC$404:$BA$404</c:f>
              <c:numCache>
                <c:formatCode>0.00E+00</c:formatCode>
                <c:ptCount val="25"/>
                <c:pt idx="0">
                  <c:v>-17110.092105755539</c:v>
                </c:pt>
                <c:pt idx="1">
                  <c:v>-42946.832717461184</c:v>
                </c:pt>
                <c:pt idx="2">
                  <c:v>-43147.980670444049</c:v>
                </c:pt>
                <c:pt idx="3">
                  <c:v>-42479.02321337592</c:v>
                </c:pt>
                <c:pt idx="4">
                  <c:v>-43576.013345883352</c:v>
                </c:pt>
                <c:pt idx="5">
                  <c:v>-43777.951007197444</c:v>
                </c:pt>
                <c:pt idx="6">
                  <c:v>-42991.579241731473</c:v>
                </c:pt>
                <c:pt idx="7">
                  <c:v>-43900.297366984669</c:v>
                </c:pt>
                <c:pt idx="8">
                  <c:v>-43975.163563412869</c:v>
                </c:pt>
                <c:pt idx="9">
                  <c:v>-43205.437786904935</c:v>
                </c:pt>
                <c:pt idx="10">
                  <c:v>-44094.654002406489</c:v>
                </c:pt>
                <c:pt idx="11">
                  <c:v>-44124.898175179609</c:v>
                </c:pt>
                <c:pt idx="12">
                  <c:v>-43333.229831137396</c:v>
                </c:pt>
                <c:pt idx="13">
                  <c:v>-44187.66188016512</c:v>
                </c:pt>
                <c:pt idx="14">
                  <c:v>-44216.778337481446</c:v>
                </c:pt>
                <c:pt idx="15">
                  <c:v>-43429.926441358024</c:v>
                </c:pt>
                <c:pt idx="16">
                  <c:v>-44283.645462341876</c:v>
                </c:pt>
                <c:pt idx="17">
                  <c:v>-44321.337662260441</c:v>
                </c:pt>
                <c:pt idx="18">
                  <c:v>-43552.403905148443</c:v>
                </c:pt>
                <c:pt idx="19">
                  <c:v>-44398.552924674026</c:v>
                </c:pt>
                <c:pt idx="20">
                  <c:v>-44434.858724748447</c:v>
                </c:pt>
                <c:pt idx="21">
                  <c:v>-43656.805757631977</c:v>
                </c:pt>
                <c:pt idx="22">
                  <c:v>-44488.147890102169</c:v>
                </c:pt>
                <c:pt idx="23">
                  <c:v>-44515.763578027094</c:v>
                </c:pt>
                <c:pt idx="24">
                  <c:v>-43228.289651094172</c:v>
                </c:pt>
              </c:numCache>
            </c:numRef>
          </c:val>
          <c:smooth val="0"/>
          <c:extLst>
            <c:ext xmlns:c15="http://schemas.microsoft.com/office/drawing/2012/chart" uri="{02D57815-91ED-43cb-92C2-25804820EDAC}">
              <c15:filteredCategoryTitle>
                <c15:cat>
                  <c:numRef>
                    <c:extLst>
                      <c:ext uri="{02D57815-91ED-43cb-92C2-25804820EDAC}">
                        <c15:formulaRef>
                          <c15:sqref>'Results ReCiPe (H) - CC ship'!$AC$394:$BA$394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9-3858-49F8-BE2E-2A8A704A9B0F}"/>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nl-NL"/>
                  <a:t>years</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NL"/>
            </a:p>
          </c:txPr>
        </c:title>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Climate</a:t>
                </a:r>
                <a:r>
                  <a:rPr lang="nl-NL" baseline="0"/>
                  <a:t> change </a:t>
                </a:r>
              </a:p>
              <a:p>
                <a:pPr algn="ctr" rtl="0">
                  <a:defRPr/>
                </a:pPr>
                <a:r>
                  <a:rPr lang="nl-NL" baseline="0"/>
                  <a:t>[kgCO2-eq</a:t>
                </a:r>
                <a:r>
                  <a:rPr lang="nl-NL"/>
                  <a:t>/ton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baseline="0">
                <a:solidFill>
                  <a:schemeClr val="tx1"/>
                </a:solidFill>
                <a:latin typeface="Verdana Pro" panose="020B0604030504040204" pitchFamily="34" charset="0"/>
                <a:ea typeface="+mn-ea"/>
                <a:cs typeface="Times New Roman" panose="02020603050405020304" pitchFamily="18" charset="0"/>
              </a:defRPr>
            </a:pPr>
            <a:r>
              <a:rPr lang="en-GB" b="0" i="1"/>
              <a:t>Benefits 		Burdens</a:t>
            </a:r>
          </a:p>
        </c:rich>
      </c:tx>
      <c:layout>
        <c:manualLayout>
          <c:xMode val="edge"/>
          <c:yMode val="edge"/>
          <c:x val="0.41612055886789057"/>
          <c:y val="3.6010695580724049E-4"/>
        </c:manualLayout>
      </c:layout>
      <c:overlay val="0"/>
      <c:spPr>
        <a:noFill/>
        <a:ln>
          <a:noFill/>
        </a:ln>
        <a:effectLst/>
      </c:spPr>
      <c:txPr>
        <a:bodyPr rot="0" spcFirstLastPara="1" vertOverflow="ellipsis" vert="horz" wrap="square" anchor="ctr" anchorCtr="1"/>
        <a:lstStyle/>
        <a:p>
          <a:pPr>
            <a:defRPr sz="1440" b="1"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title>
    <c:autoTitleDeleted val="0"/>
    <c:plotArea>
      <c:layout>
        <c:manualLayout>
          <c:layoutTarget val="inner"/>
          <c:xMode val="edge"/>
          <c:yMode val="edge"/>
          <c:x val="0.10872056492635196"/>
          <c:y val="0.11409636871261428"/>
          <c:w val="0.86761107490211198"/>
          <c:h val="0.57683998234902512"/>
        </c:manualLayout>
      </c:layout>
      <c:barChart>
        <c:barDir val="bar"/>
        <c:grouping val="stacked"/>
        <c:varyColors val="0"/>
        <c:ser>
          <c:idx val="0"/>
          <c:order val="0"/>
          <c:tx>
            <c:strRef>
              <c:f>'Figure Results ReCiPe (H)'!$C$5</c:f>
              <c:strCache>
                <c:ptCount val="1"/>
                <c:pt idx="0">
                  <c:v>Construction - DAC</c:v>
                </c:pt>
              </c:strCache>
            </c:strRef>
          </c:tx>
          <c:spPr>
            <a:solidFill>
              <a:schemeClr val="accent4">
                <a:lumMod val="75000"/>
              </a:schemeClr>
            </a:solidFill>
            <a:ln>
              <a:noFill/>
            </a:ln>
            <a:effectLst/>
          </c:spPr>
          <c:invertIfNegative val="0"/>
          <c:cat>
            <c:multiLvlStrRef>
              <c:f>'Figure Results ReCiPe (H)'!$A$20:$B$28</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(H)'!$C$20:$C$28</c:f>
              <c:numCache>
                <c:formatCode>0</c:formatCode>
                <c:ptCount val="9"/>
                <c:pt idx="0">
                  <c:v>77.870133042031398</c:v>
                </c:pt>
                <c:pt idx="1">
                  <c:v>73.386107686037221</c:v>
                </c:pt>
                <c:pt idx="2">
                  <c:v>60.907644566846109</c:v>
                </c:pt>
                <c:pt idx="3">
                  <c:v>77.870133042031398</c:v>
                </c:pt>
                <c:pt idx="4">
                  <c:v>73.386107686037221</c:v>
                </c:pt>
                <c:pt idx="5">
                  <c:v>60.907644566846109</c:v>
                </c:pt>
                <c:pt idx="6">
                  <c:v>143.97366517620688</c:v>
                </c:pt>
                <c:pt idx="7">
                  <c:v>135.09196445407892</c:v>
                </c:pt>
                <c:pt idx="8">
                  <c:v>110.3843051814174</c:v>
                </c:pt>
              </c:numCache>
            </c:numRef>
          </c:val>
          <c:extLst>
            <c:ext xmlns:c16="http://schemas.microsoft.com/office/drawing/2014/chart" uri="{C3380CC4-5D6E-409C-BE32-E72D297353CC}">
              <c16:uniqueId val="{00000000-ED5E-42F8-B3D3-881EBE068A06}"/>
            </c:ext>
          </c:extLst>
        </c:ser>
        <c:ser>
          <c:idx val="1"/>
          <c:order val="1"/>
          <c:tx>
            <c:strRef>
              <c:f>'Figure Results ReCiPe (H)'!$D$5</c:f>
              <c:strCache>
                <c:ptCount val="1"/>
                <c:pt idx="0">
                  <c:v>Construction - geological storage</c:v>
                </c:pt>
              </c:strCache>
            </c:strRef>
          </c:tx>
          <c:spPr>
            <a:solidFill>
              <a:schemeClr val="accent4">
                <a:lumMod val="60000"/>
                <a:lumOff val="40000"/>
              </a:schemeClr>
            </a:solidFill>
            <a:ln>
              <a:noFill/>
            </a:ln>
            <a:effectLst/>
          </c:spPr>
          <c:invertIfNegative val="0"/>
          <c:cat>
            <c:multiLvlStrRef>
              <c:f>'Figure Results ReCiPe (H)'!$A$20:$B$28</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(H)'!$D$20:$D$28</c:f>
              <c:numCache>
                <c:formatCode>0</c:formatCode>
                <c:ptCount val="9"/>
                <c:pt idx="0">
                  <c:v>4.5448293492357026</c:v>
                </c:pt>
                <c:pt idx="1">
                  <c:v>4.306319075831663</c:v>
                </c:pt>
                <c:pt idx="2">
                  <c:v>3.9146385309138401</c:v>
                </c:pt>
                <c:pt idx="3">
                  <c:v>4.5448293492357026</c:v>
                </c:pt>
                <c:pt idx="4">
                  <c:v>4.306319075831663</c:v>
                </c:pt>
                <c:pt idx="5">
                  <c:v>3.9146385309138401</c:v>
                </c:pt>
                <c:pt idx="6">
                  <c:v>4.5448293492357026</c:v>
                </c:pt>
                <c:pt idx="7">
                  <c:v>4.306319075831663</c:v>
                </c:pt>
                <c:pt idx="8">
                  <c:v>3.9146385309138401</c:v>
                </c:pt>
              </c:numCache>
            </c:numRef>
          </c:val>
          <c:extLst>
            <c:ext xmlns:c16="http://schemas.microsoft.com/office/drawing/2014/chart" uri="{C3380CC4-5D6E-409C-BE32-E72D297353CC}">
              <c16:uniqueId val="{00000001-ED5E-42F8-B3D3-881EBE068A06}"/>
            </c:ext>
          </c:extLst>
        </c:ser>
        <c:ser>
          <c:idx val="3"/>
          <c:order val="3"/>
          <c:tx>
            <c:strRef>
              <c:f>'Figure Results ReCiPe (H)'!$E$5</c:f>
              <c:strCache>
                <c:ptCount val="1"/>
                <c:pt idx="0">
                  <c:v>Deconstruction - DAC</c:v>
                </c:pt>
              </c:strCache>
            </c:strRef>
          </c:tx>
          <c:spPr>
            <a:solidFill>
              <a:schemeClr val="accent2">
                <a:lumMod val="40000"/>
                <a:lumOff val="60000"/>
              </a:schemeClr>
            </a:solidFill>
            <a:ln>
              <a:noFill/>
            </a:ln>
            <a:effectLst/>
          </c:spPr>
          <c:invertIfNegative val="0"/>
          <c:cat>
            <c:multiLvlStrRef>
              <c:f>'Figure Results ReCiPe (H)'!$A$20:$B$28</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(H)'!$E$20:$E$28</c:f>
              <c:numCache>
                <c:formatCode>0</c:formatCode>
                <c:ptCount val="9"/>
                <c:pt idx="0">
                  <c:v>1.133100649886742</c:v>
                </c:pt>
                <c:pt idx="1">
                  <c:v>1.03257477561019</c:v>
                </c:pt>
                <c:pt idx="2">
                  <c:v>0.99919091331168175</c:v>
                </c:pt>
                <c:pt idx="3">
                  <c:v>1.133100649886742</c:v>
                </c:pt>
                <c:pt idx="4">
                  <c:v>1.03257477561019</c:v>
                </c:pt>
                <c:pt idx="5">
                  <c:v>0.99919091331168175</c:v>
                </c:pt>
                <c:pt idx="6">
                  <c:v>2.2662012997734839</c:v>
                </c:pt>
                <c:pt idx="7">
                  <c:v>2.0651495512203799</c:v>
                </c:pt>
                <c:pt idx="8">
                  <c:v>1.9983818266233635</c:v>
                </c:pt>
              </c:numCache>
            </c:numRef>
          </c:val>
          <c:extLst>
            <c:ext xmlns:c16="http://schemas.microsoft.com/office/drawing/2014/chart" uri="{C3380CC4-5D6E-409C-BE32-E72D297353CC}">
              <c16:uniqueId val="{00000002-ED5E-42F8-B3D3-881EBE068A06}"/>
            </c:ext>
          </c:extLst>
        </c:ser>
        <c:ser>
          <c:idx val="4"/>
          <c:order val="4"/>
          <c:tx>
            <c:strRef>
              <c:f>'Figure Results ReCiPe (H)'!$F$5</c:f>
              <c:strCache>
                <c:ptCount val="1"/>
                <c:pt idx="0">
                  <c:v>Deconstruction - geological storage</c:v>
                </c:pt>
              </c:strCache>
            </c:strRef>
          </c:tx>
          <c:spPr>
            <a:solidFill>
              <a:srgbClr val="FF9900"/>
            </a:solidFill>
            <a:ln>
              <a:noFill/>
            </a:ln>
            <a:effectLst/>
          </c:spPr>
          <c:invertIfNegative val="0"/>
          <c:cat>
            <c:multiLvlStrRef>
              <c:f>'Figure Results ReCiPe (H)'!$A$20:$B$28</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(H)'!$F$20:$F$28</c:f>
              <c:numCache>
                <c:formatCode>0</c:formatCode>
                <c:ptCount val="9"/>
                <c:pt idx="0">
                  <c:v>3.7046222513391854E-2</c:v>
                </c:pt>
                <c:pt idx="1">
                  <c:v>3.567106289384251E-2</c:v>
                </c:pt>
                <c:pt idx="2">
                  <c:v>3.5716564968595085E-2</c:v>
                </c:pt>
                <c:pt idx="3">
                  <c:v>3.7046222513391854E-2</c:v>
                </c:pt>
                <c:pt idx="4">
                  <c:v>3.567106289384251E-2</c:v>
                </c:pt>
                <c:pt idx="5">
                  <c:v>3.5716564968595085E-2</c:v>
                </c:pt>
                <c:pt idx="6">
                  <c:v>3.7046222513391854E-2</c:v>
                </c:pt>
                <c:pt idx="7">
                  <c:v>3.567106289384251E-2</c:v>
                </c:pt>
                <c:pt idx="8">
                  <c:v>3.5716564968595085E-2</c:v>
                </c:pt>
              </c:numCache>
            </c:numRef>
          </c:val>
          <c:extLst>
            <c:ext xmlns:c16="http://schemas.microsoft.com/office/drawing/2014/chart" uri="{C3380CC4-5D6E-409C-BE32-E72D297353CC}">
              <c16:uniqueId val="{00000003-ED5E-42F8-B3D3-881EBE068A06}"/>
            </c:ext>
          </c:extLst>
        </c:ser>
        <c:ser>
          <c:idx val="5"/>
          <c:order val="5"/>
          <c:tx>
            <c:strRef>
              <c:f>'Figure Results ReCiPe (H)'!$G$5</c:f>
              <c:strCache>
                <c:ptCount val="1"/>
                <c:pt idx="0">
                  <c:v>Sorbent material</c:v>
                </c:pt>
              </c:strCache>
            </c:strRef>
          </c:tx>
          <c:spPr>
            <a:solidFill>
              <a:srgbClr val="FF8F8F"/>
            </a:solidFill>
            <a:ln>
              <a:noFill/>
            </a:ln>
            <a:effectLst/>
          </c:spPr>
          <c:invertIfNegative val="0"/>
          <c:cat>
            <c:multiLvlStrRef>
              <c:f>'Figure Results ReCiPe (H)'!$A$20:$B$28</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(H)'!$G$20:$G$28</c:f>
              <c:numCache>
                <c:formatCode>0</c:formatCode>
                <c:ptCount val="9"/>
                <c:pt idx="0">
                  <c:v>16.163480748994424</c:v>
                </c:pt>
                <c:pt idx="1">
                  <c:v>13.708771072106343</c:v>
                </c:pt>
                <c:pt idx="2">
                  <c:v>12.138868282946129</c:v>
                </c:pt>
                <c:pt idx="3">
                  <c:v>16.163480748994424</c:v>
                </c:pt>
                <c:pt idx="4">
                  <c:v>13.708771072106343</c:v>
                </c:pt>
                <c:pt idx="5">
                  <c:v>12.138868282946129</c:v>
                </c:pt>
                <c:pt idx="6">
                  <c:v>32.326961497988847</c:v>
                </c:pt>
                <c:pt idx="7">
                  <c:v>27.417542144212685</c:v>
                </c:pt>
                <c:pt idx="8">
                  <c:v>24.277736565892258</c:v>
                </c:pt>
              </c:numCache>
            </c:numRef>
          </c:val>
          <c:extLst>
            <c:ext xmlns:c16="http://schemas.microsoft.com/office/drawing/2014/chart" uri="{C3380CC4-5D6E-409C-BE32-E72D297353CC}">
              <c16:uniqueId val="{00000004-ED5E-42F8-B3D3-881EBE068A06}"/>
            </c:ext>
          </c:extLst>
        </c:ser>
        <c:ser>
          <c:idx val="7"/>
          <c:order val="6"/>
          <c:tx>
            <c:strRef>
              <c:f>'Figure Results ReCiPe (H)'!$I$5</c:f>
              <c:strCache>
                <c:ptCount val="1"/>
                <c:pt idx="0">
                  <c:v>Operation - DAC</c:v>
                </c:pt>
              </c:strCache>
            </c:strRef>
          </c:tx>
          <c:spPr>
            <a:solidFill>
              <a:schemeClr val="accent2">
                <a:lumMod val="75000"/>
              </a:schemeClr>
            </a:solidFill>
            <a:ln>
              <a:noFill/>
            </a:ln>
            <a:effectLst/>
          </c:spPr>
          <c:invertIfNegative val="0"/>
          <c:cat>
            <c:multiLvlStrRef>
              <c:f>'Figure Results ReCiPe (H)'!$A$20:$B$28</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(H)'!$I$20:$I$28</c:f>
              <c:numCache>
                <c:formatCode>0</c:formatCode>
                <c:ptCount val="9"/>
                <c:pt idx="0">
                  <c:v>2445.5257434687041</c:v>
                </c:pt>
                <c:pt idx="1">
                  <c:v>604.22203435546999</c:v>
                </c:pt>
                <c:pt idx="2">
                  <c:v>234.59087286849137</c:v>
                </c:pt>
                <c:pt idx="3">
                  <c:v>1911.2296251610999</c:v>
                </c:pt>
                <c:pt idx="4">
                  <c:v>498.91284917080645</c:v>
                </c:pt>
                <c:pt idx="5">
                  <c:v>213.87876523837102</c:v>
                </c:pt>
                <c:pt idx="6">
                  <c:v>628.76254522439751</c:v>
                </c:pt>
                <c:pt idx="7">
                  <c:v>555.93609370857826</c:v>
                </c:pt>
                <c:pt idx="8">
                  <c:v>521.55097946725118</c:v>
                </c:pt>
              </c:numCache>
            </c:numRef>
          </c:val>
          <c:extLst>
            <c:ext xmlns:c16="http://schemas.microsoft.com/office/drawing/2014/chart" uri="{C3380CC4-5D6E-409C-BE32-E72D297353CC}">
              <c16:uniqueId val="{00000001-A8A0-4259-92C3-DCF6FEB2278D}"/>
            </c:ext>
          </c:extLst>
        </c:ser>
        <c:ser>
          <c:idx val="6"/>
          <c:order val="7"/>
          <c:tx>
            <c:strRef>
              <c:f>'Figure Results ReCiPe (H)'!$J$5</c:f>
              <c:strCache>
                <c:ptCount val="1"/>
                <c:pt idx="0">
                  <c:v>Operation - geological storage</c:v>
                </c:pt>
              </c:strCache>
            </c:strRef>
          </c:tx>
          <c:spPr>
            <a:solidFill>
              <a:schemeClr val="accent2">
                <a:lumMod val="50000"/>
              </a:schemeClr>
            </a:solidFill>
            <a:ln w="19050">
              <a:noFill/>
            </a:ln>
            <a:effectLst/>
          </c:spPr>
          <c:invertIfNegative val="0"/>
          <c:cat>
            <c:multiLvlStrRef>
              <c:f>'Figure Results ReCiPe (H)'!$A$20:$B$28</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(H)'!$J$20:$J$28</c:f>
              <c:numCache>
                <c:formatCode>0</c:formatCode>
                <c:ptCount val="9"/>
                <c:pt idx="0">
                  <c:v>200.12222822249669</c:v>
                </c:pt>
                <c:pt idx="1">
                  <c:v>61.093319563827713</c:v>
                </c:pt>
                <c:pt idx="2">
                  <c:v>32.647215503458973</c:v>
                </c:pt>
                <c:pt idx="3">
                  <c:v>0.46028112491174245</c:v>
                </c:pt>
                <c:pt idx="4">
                  <c:v>0.14051463499680369</c:v>
                </c:pt>
                <c:pt idx="5">
                  <c:v>7.508859565795567E-2</c:v>
                </c:pt>
                <c:pt idx="6">
                  <c:v>200.12222822249669</c:v>
                </c:pt>
                <c:pt idx="7">
                  <c:v>61.093319563827713</c:v>
                </c:pt>
                <c:pt idx="8">
                  <c:v>32.647215503458973</c:v>
                </c:pt>
              </c:numCache>
            </c:numRef>
          </c:val>
          <c:extLst>
            <c:ext xmlns:c16="http://schemas.microsoft.com/office/drawing/2014/chart" uri="{C3380CC4-5D6E-409C-BE32-E72D297353CC}">
              <c16:uniqueId val="{00000005-ED5E-42F8-B3D3-881EBE068A06}"/>
            </c:ext>
          </c:extLst>
        </c:ser>
        <c:ser>
          <c:idx val="8"/>
          <c:order val="8"/>
          <c:tx>
            <c:strRef>
              <c:f>'Figure Results ReCiPe (H)'!$K$5</c:f>
              <c:strCache>
                <c:ptCount val="1"/>
                <c:pt idx="0">
                  <c:v>CO2 captured and stored</c:v>
                </c:pt>
              </c:strCache>
            </c:strRef>
          </c:tx>
          <c:spPr>
            <a:solidFill>
              <a:schemeClr val="tx2">
                <a:lumMod val="20000"/>
                <a:lumOff val="80000"/>
              </a:schemeClr>
            </a:solidFill>
            <a:ln>
              <a:noFill/>
            </a:ln>
            <a:effectLst/>
          </c:spPr>
          <c:invertIfNegative val="0"/>
          <c:cat>
            <c:multiLvlStrRef>
              <c:f>'Figure Results ReCiPe (H)'!$A$20:$B$28</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(H)'!$K$20:$K$28</c:f>
              <c:numCache>
                <c:formatCode>0</c:formatCode>
                <c:ptCount val="9"/>
                <c:pt idx="0">
                  <c:v>-2800.0764999999988</c:v>
                </c:pt>
                <c:pt idx="1">
                  <c:v>-2800.0764999999988</c:v>
                </c:pt>
                <c:pt idx="2">
                  <c:v>-2800.0764999999988</c:v>
                </c:pt>
                <c:pt idx="3">
                  <c:v>-2800.0764999999988</c:v>
                </c:pt>
                <c:pt idx="4">
                  <c:v>-2800.0764999999988</c:v>
                </c:pt>
                <c:pt idx="5">
                  <c:v>-2800.0764999999988</c:v>
                </c:pt>
                <c:pt idx="6">
                  <c:v>-2800.0764999999988</c:v>
                </c:pt>
                <c:pt idx="7">
                  <c:v>-2800.0764999999988</c:v>
                </c:pt>
                <c:pt idx="8">
                  <c:v>-2800.0764999999988</c:v>
                </c:pt>
              </c:numCache>
            </c:numRef>
          </c:val>
          <c:extLst>
            <c:ext xmlns:c16="http://schemas.microsoft.com/office/drawing/2014/chart" uri="{C3380CC4-5D6E-409C-BE32-E72D297353CC}">
              <c16:uniqueId val="{00000000-A8A0-4259-92C3-DCF6FEB2278D}"/>
            </c:ext>
          </c:extLst>
        </c:ser>
        <c:ser>
          <c:idx val="9"/>
          <c:order val="9"/>
          <c:tx>
            <c:strRef>
              <c:f>'Figure Results ReCiPe (H)'!$H$19</c:f>
              <c:strCache>
                <c:ptCount val="1"/>
                <c:pt idx="0">
                  <c:v>Battery</c:v>
                </c:pt>
              </c:strCache>
            </c:strRef>
          </c:tx>
          <c:spPr>
            <a:solidFill>
              <a:schemeClr val="accent6">
                <a:lumMod val="75000"/>
              </a:schemeClr>
            </a:solidFill>
            <a:ln w="19050">
              <a:noFill/>
            </a:ln>
            <a:effectLst/>
          </c:spPr>
          <c:invertIfNegative val="0"/>
          <c:cat>
            <c:multiLvlStrRef>
              <c:f>'Figure Results ReCiPe (H)'!$A$20:$B$28</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(H)'!$H$20:$H$28</c:f>
              <c:numCache>
                <c:formatCode>0</c:formatCode>
                <c:ptCount val="9"/>
                <c:pt idx="0">
                  <c:v>0</c:v>
                </c:pt>
                <c:pt idx="1">
                  <c:v>0</c:v>
                </c:pt>
                <c:pt idx="2">
                  <c:v>0</c:v>
                </c:pt>
                <c:pt idx="3">
                  <c:v>0</c:v>
                </c:pt>
                <c:pt idx="4">
                  <c:v>0</c:v>
                </c:pt>
                <c:pt idx="5">
                  <c:v>0</c:v>
                </c:pt>
                <c:pt idx="6">
                  <c:v>849.87672123381003</c:v>
                </c:pt>
                <c:pt idx="7">
                  <c:v>817.43523167004275</c:v>
                </c:pt>
                <c:pt idx="8">
                  <c:v>707.83676707877942</c:v>
                </c:pt>
              </c:numCache>
            </c:numRef>
          </c:val>
          <c:extLst>
            <c:ext xmlns:c16="http://schemas.microsoft.com/office/drawing/2014/chart" uri="{C3380CC4-5D6E-409C-BE32-E72D297353CC}">
              <c16:uniqueId val="{00000000-1546-4906-B4F9-F2FB6AB7A772}"/>
            </c:ext>
          </c:extLst>
        </c:ser>
        <c:dLbls>
          <c:showLegendKey val="0"/>
          <c:showVal val="0"/>
          <c:showCatName val="0"/>
          <c:showSerName val="0"/>
          <c:showPercent val="0"/>
          <c:showBubbleSize val="0"/>
        </c:dLbls>
        <c:gapWidth val="150"/>
        <c:overlap val="100"/>
        <c:axId val="134262272"/>
        <c:axId val="135299072"/>
      </c:barChart>
      <c:scatterChart>
        <c:scatterStyle val="lineMarker"/>
        <c:varyColors val="0"/>
        <c:ser>
          <c:idx val="2"/>
          <c:order val="2"/>
          <c:tx>
            <c:strRef>
              <c:f>'Figure Results ReCiPe (H)'!$L$19</c:f>
              <c:strCache>
                <c:ptCount val="1"/>
                <c:pt idx="0">
                  <c:v>Total</c:v>
                </c:pt>
              </c:strCache>
            </c:strRef>
          </c:tx>
          <c:spPr>
            <a:ln w="19050" cap="rnd" cmpd="sng" algn="ctr">
              <a:noFill/>
              <a:prstDash val="solid"/>
              <a:round/>
            </a:ln>
            <a:effectLst/>
          </c:spPr>
          <c:marker>
            <c:symbol val="circle"/>
            <c:size val="7"/>
            <c:spPr>
              <a:solidFill>
                <a:schemeClr val="tx1"/>
              </a:solidFill>
              <a:ln w="6350" cap="flat" cmpd="sng" algn="ctr">
                <a:noFill/>
                <a:prstDash val="solid"/>
                <a:round/>
              </a:ln>
              <a:effectLst/>
            </c:spPr>
          </c:marker>
          <c:dLbls>
            <c:numFmt formatCode="0" sourceLinked="0"/>
            <c:spPr>
              <a:noFill/>
              <a:ln>
                <a:noFill/>
              </a:ln>
              <a:effectLst/>
            </c:spPr>
            <c:txPr>
              <a:bodyPr rot="0" spcFirstLastPara="1" vertOverflow="ellipsis" vert="horz" wrap="square" lIns="0" tIns="0" rIns="0" bIns="0" anchor="ctr" anchorCtr="1"/>
              <a:lstStyle/>
              <a:p>
                <a:pPr>
                  <a:defRPr sz="1200" b="0"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dLblPos val="t"/>
            <c:showLegendKey val="0"/>
            <c:showVal val="0"/>
            <c:showCatName val="1"/>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LeaderLines val="1"/>
                <c15:leaderLines>
                  <c:spPr>
                    <a:ln w="6350" cap="flat" cmpd="sng" algn="ctr">
                      <a:solidFill>
                        <a:schemeClr val="tx1"/>
                      </a:solidFill>
                      <a:prstDash val="solid"/>
                      <a:round/>
                    </a:ln>
                    <a:effectLst/>
                  </c:spPr>
                </c15:leaderLines>
              </c:ext>
            </c:extLst>
          </c:dLbls>
          <c:xVal>
            <c:numRef>
              <c:f>'Figure Results ReCiPe (H)'!$L$20:$L$28</c:f>
              <c:numCache>
                <c:formatCode>0</c:formatCode>
                <c:ptCount val="9"/>
                <c:pt idx="0">
                  <c:v>-54.67993829613772</c:v>
                </c:pt>
                <c:pt idx="1">
                  <c:v>-2042.291702408223</c:v>
                </c:pt>
                <c:pt idx="2">
                  <c:v>-2454.8423527690634</c:v>
                </c:pt>
                <c:pt idx="3">
                  <c:v>-788.63800370132617</c:v>
                </c:pt>
                <c:pt idx="4">
                  <c:v>-2208.5536925217175</c:v>
                </c:pt>
                <c:pt idx="5">
                  <c:v>-2508.1265873069842</c:v>
                </c:pt>
                <c:pt idx="6">
                  <c:v>-938.16630177357661</c:v>
                </c:pt>
                <c:pt idx="7">
                  <c:v>-1196.6952087693137</c:v>
                </c:pt>
                <c:pt idx="8">
                  <c:v>-1397.4307592806945</c:v>
                </c:pt>
              </c:numCache>
            </c:numRef>
          </c:xVal>
          <c:yVal>
            <c:numRef>
              <c:f>'Figure Results ReCiPe (H)'!$M$20:$M$28</c:f>
              <c:numCache>
                <c:formatCode>General</c:formatCode>
                <c:ptCount val="9"/>
                <c:pt idx="0">
                  <c:v>8.5</c:v>
                </c:pt>
                <c:pt idx="1">
                  <c:v>7.5</c:v>
                </c:pt>
                <c:pt idx="2">
                  <c:v>6.5</c:v>
                </c:pt>
                <c:pt idx="3">
                  <c:v>5.5</c:v>
                </c:pt>
                <c:pt idx="4">
                  <c:v>4.5</c:v>
                </c:pt>
                <c:pt idx="5">
                  <c:v>3.5</c:v>
                </c:pt>
                <c:pt idx="6">
                  <c:v>2.5</c:v>
                </c:pt>
                <c:pt idx="7">
                  <c:v>1.5</c:v>
                </c:pt>
                <c:pt idx="8">
                  <c:v>0.5</c:v>
                </c:pt>
              </c:numCache>
            </c:numRef>
          </c:yVal>
          <c:smooth val="0"/>
          <c:extLst>
            <c:ext xmlns:c16="http://schemas.microsoft.com/office/drawing/2014/chart" uri="{C3380CC4-5D6E-409C-BE32-E72D297353CC}">
              <c16:uniqueId val="{00000007-ED5E-42F8-B3D3-881EBE068A06}"/>
            </c:ext>
          </c:extLst>
        </c:ser>
        <c:dLbls>
          <c:showLegendKey val="0"/>
          <c:showVal val="0"/>
          <c:showCatName val="0"/>
          <c:showSerName val="0"/>
          <c:showPercent val="0"/>
          <c:showBubbleSize val="0"/>
        </c:dLbls>
        <c:axId val="620675072"/>
        <c:axId val="620677376"/>
      </c:scatterChart>
      <c:catAx>
        <c:axId val="134262272"/>
        <c:scaling>
          <c:orientation val="maxMin"/>
        </c:scaling>
        <c:delete val="0"/>
        <c:axPos val="l"/>
        <c:numFmt formatCode="@" sourceLinked="0"/>
        <c:majorTickMark val="none"/>
        <c:minorTickMark val="none"/>
        <c:tickLblPos val="low"/>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200" b="1"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crossAx val="135299072"/>
        <c:crossesAt val="0"/>
        <c:auto val="1"/>
        <c:lblAlgn val="ctr"/>
        <c:lblOffset val="100"/>
        <c:noMultiLvlLbl val="0"/>
      </c:catAx>
      <c:valAx>
        <c:axId val="135299072"/>
        <c:scaling>
          <c:orientation val="minMax"/>
          <c:max val="3000"/>
          <c:min val="-3000"/>
        </c:scaling>
        <c:delete val="0"/>
        <c:axPos val="b"/>
        <c:title>
          <c:tx>
            <c:rich>
              <a:bodyPr rot="0" spcFirstLastPara="1" vertOverflow="ellipsis" vert="horz" wrap="square" anchor="ctr" anchorCtr="1"/>
              <a:lstStyle/>
              <a:p>
                <a:pPr>
                  <a:defRPr sz="1200" b="1" i="0" u="none" strike="noStrike" kern="1200" baseline="0">
                    <a:solidFill>
                      <a:schemeClr val="tx1"/>
                    </a:solidFill>
                    <a:latin typeface="Verdana Pro" panose="020B0604030504040204" pitchFamily="34" charset="0"/>
                    <a:ea typeface="+mn-ea"/>
                    <a:cs typeface="Times New Roman" panose="02020603050405020304" pitchFamily="18" charset="0"/>
                  </a:defRPr>
                </a:pPr>
                <a:r>
                  <a:rPr lang="en-GB"/>
                  <a:t>Ecosystem damage [10</a:t>
                </a:r>
                <a:r>
                  <a:rPr lang="en-GB" baseline="30000"/>
                  <a:t>-9</a:t>
                </a:r>
                <a:r>
                  <a:rPr lang="en-GB"/>
                  <a:t> species.year/ton CO</a:t>
                </a:r>
                <a:r>
                  <a:rPr lang="en-GB" baseline="-25000"/>
                  <a:t>2</a:t>
                </a:r>
                <a:r>
                  <a:rPr lang="en-GB"/>
                  <a:t> captured and stored]</a:t>
                </a:r>
              </a:p>
            </c:rich>
          </c:tx>
          <c:layout>
            <c:manualLayout>
              <c:xMode val="edge"/>
              <c:yMode val="edge"/>
              <c:x val="0.28699738748382636"/>
              <c:y val="0.77718768784982051"/>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title>
        <c:numFmt formatCode="0" sourceLinked="0"/>
        <c:majorTickMark val="out"/>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200" b="0"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crossAx val="134262272"/>
        <c:crosses val="max"/>
        <c:crossBetween val="between"/>
      </c:valAx>
      <c:valAx>
        <c:axId val="620677376"/>
        <c:scaling>
          <c:orientation val="minMax"/>
        </c:scaling>
        <c:delete val="1"/>
        <c:axPos val="r"/>
        <c:numFmt formatCode="General" sourceLinked="1"/>
        <c:majorTickMark val="out"/>
        <c:minorTickMark val="none"/>
        <c:tickLblPos val="nextTo"/>
        <c:crossAx val="620675072"/>
        <c:crosses val="max"/>
        <c:crossBetween val="midCat"/>
      </c:valAx>
      <c:valAx>
        <c:axId val="620675072"/>
        <c:scaling>
          <c:orientation val="minMax"/>
        </c:scaling>
        <c:delete val="1"/>
        <c:axPos val="b"/>
        <c:numFmt formatCode="0" sourceLinked="1"/>
        <c:majorTickMark val="out"/>
        <c:minorTickMark val="none"/>
        <c:tickLblPos val="nextTo"/>
        <c:crossAx val="620677376"/>
        <c:crossesAt val="0"/>
        <c:crossBetween val="midCat"/>
      </c:valAx>
      <c:spPr>
        <a:solidFill>
          <a:schemeClr val="bg1"/>
        </a:solidFill>
        <a:ln>
          <a:noFill/>
        </a:ln>
        <a:effectLst/>
      </c:spPr>
    </c:plotArea>
    <c:plotVisOnly val="1"/>
    <c:dispBlanksAs val="gap"/>
    <c:showDLblsOverMax val="0"/>
  </c:chart>
  <c:spPr>
    <a:noFill/>
    <a:ln w="6350" cap="flat" cmpd="sng" algn="ctr">
      <a:noFill/>
      <a:prstDash val="solid"/>
      <a:round/>
    </a:ln>
    <a:effectLst/>
  </c:spPr>
  <c:txPr>
    <a:bodyPr/>
    <a:lstStyle/>
    <a:p>
      <a:pPr>
        <a:defRPr sz="1200">
          <a:solidFill>
            <a:schemeClr val="tx1"/>
          </a:solidFill>
          <a:latin typeface="Verdana Pro" panose="020B0604030504040204" pitchFamily="34" charset="0"/>
          <a:cs typeface="Times New Roman" panose="02020603050405020304" pitchFamily="18" charset="0"/>
        </a:defRPr>
      </a:pPr>
      <a:endParaRPr lang="en-N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440350358354238"/>
          <c:y val="7.3598813469449673E-2"/>
          <c:w val="0.4165781277953638"/>
          <c:h val="0.90079367086536155"/>
        </c:manualLayout>
      </c:layout>
      <c:scatterChart>
        <c:scatterStyle val="lineMarker"/>
        <c:varyColors val="0"/>
        <c:ser>
          <c:idx val="0"/>
          <c:order val="0"/>
          <c:tx>
            <c:strRef>
              <c:f>'Sensitivity analysis - HHD'!$A$464</c:f>
              <c:strCache>
                <c:ptCount val="1"/>
                <c:pt idx="0">
                  <c:v>Material use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'Sensitivity analysis - HHD'!$F$463:$G$463</c:f>
              <c:numCache>
                <c:formatCode>0%</c:formatCode>
                <c:ptCount val="2"/>
                <c:pt idx="0">
                  <c:v>0.8</c:v>
                </c:pt>
                <c:pt idx="1">
                  <c:v>1</c:v>
                </c:pt>
              </c:numCache>
            </c:numRef>
          </c:xVal>
          <c:yVal>
            <c:numRef>
              <c:f>'Sensitivity analysis - HHD'!$AD$464:$AE$464</c:f>
              <c:numCache>
                <c:formatCode>0.00E+00</c:formatCode>
                <c:ptCount val="2"/>
                <c:pt idx="0">
                  <c:v>3.3341077907400845E-4</c:v>
                </c:pt>
                <c:pt idx="1">
                  <c:v>3.5635339086070183E-4</c:v>
                </c:pt>
              </c:numCache>
            </c:numRef>
          </c:yVal>
          <c:smooth val="0"/>
          <c:extLst>
            <c:ext xmlns:c16="http://schemas.microsoft.com/office/drawing/2014/chart" uri="{C3380CC4-5D6E-409C-BE32-E72D297353CC}">
              <c16:uniqueId val="{00000000-DC88-4EA3-AE36-FC0CD160B36B}"/>
            </c:ext>
          </c:extLst>
        </c:ser>
        <c:ser>
          <c:idx val="1"/>
          <c:order val="1"/>
          <c:tx>
            <c:strRef>
              <c:f>'Sensitivity analysis - HHD'!$A$465</c:f>
              <c:strCache>
                <c:ptCount val="1"/>
                <c:pt idx="0">
                  <c:v>Energy use</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('Sensitivity analysis - HHD'!$E$463,'Sensitivity analysis - HHD'!$G$463,'Sensitivity analysis - HHD'!$J$463)</c:f>
              <c:numCache>
                <c:formatCode>0%</c:formatCode>
                <c:ptCount val="3"/>
                <c:pt idx="0">
                  <c:v>0.67</c:v>
                </c:pt>
                <c:pt idx="1">
                  <c:v>1</c:v>
                </c:pt>
                <c:pt idx="2">
                  <c:v>1.67</c:v>
                </c:pt>
              </c:numCache>
            </c:numRef>
          </c:xVal>
          <c:yVal>
            <c:numRef>
              <c:f>('Sensitivity analysis - HHD'!$AC$465,'Sensitivity analysis - HHD'!$AE$465,'Sensitivity analysis - HHD'!$AH$465)</c:f>
              <c:numCache>
                <c:formatCode>0.00E+00</c:formatCode>
                <c:ptCount val="3"/>
                <c:pt idx="0">
                  <c:v>2.0681134324324437E-4</c:v>
                </c:pt>
                <c:pt idx="1">
                  <c:v>3.5635339086070183E-4</c:v>
                </c:pt>
                <c:pt idx="2">
                  <c:v>6.5543748609561681E-4</c:v>
                </c:pt>
              </c:numCache>
            </c:numRef>
          </c:yVal>
          <c:smooth val="0"/>
          <c:extLst>
            <c:ext xmlns:c16="http://schemas.microsoft.com/office/drawing/2014/chart" uri="{C3380CC4-5D6E-409C-BE32-E72D297353CC}">
              <c16:uniqueId val="{00000001-DC88-4EA3-AE36-FC0CD160B36B}"/>
            </c:ext>
          </c:extLst>
        </c:ser>
        <c:ser>
          <c:idx val="2"/>
          <c:order val="2"/>
          <c:tx>
            <c:strRef>
              <c:f>'Sensitivity analysis - HHD'!$A$466</c:f>
              <c:strCache>
                <c:ptCount val="1"/>
                <c:pt idx="0">
                  <c:v>Lifetime DAC system</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'Sensitivity analysis - HHD'!$F$463:$G$463</c:f>
              <c:numCache>
                <c:formatCode>0%</c:formatCode>
                <c:ptCount val="2"/>
                <c:pt idx="0">
                  <c:v>0.8</c:v>
                </c:pt>
                <c:pt idx="1">
                  <c:v>1</c:v>
                </c:pt>
              </c:numCache>
            </c:numRef>
          </c:xVal>
          <c:yVal>
            <c:numRef>
              <c:f>'Sensitivity analysis - HHD'!$AD$466:$AE$466</c:f>
              <c:numCache>
                <c:formatCode>0.00E+00</c:formatCode>
                <c:ptCount val="2"/>
                <c:pt idx="0">
                  <c:v>6.7744173857587687E-4</c:v>
                </c:pt>
                <c:pt idx="1">
                  <c:v>3.5635339086070178E-4</c:v>
                </c:pt>
              </c:numCache>
            </c:numRef>
          </c:yVal>
          <c:smooth val="0"/>
          <c:extLst>
            <c:ext xmlns:c16="http://schemas.microsoft.com/office/drawing/2014/chart" uri="{C3380CC4-5D6E-409C-BE32-E72D297353CC}">
              <c16:uniqueId val="{00000002-DC88-4EA3-AE36-FC0CD160B36B}"/>
            </c:ext>
          </c:extLst>
        </c:ser>
        <c:ser>
          <c:idx val="3"/>
          <c:order val="3"/>
          <c:tx>
            <c:strRef>
              <c:f>'Sensitivity analysis - HHD'!$A$467</c:f>
              <c:strCache>
                <c:ptCount val="1"/>
                <c:pt idx="0">
                  <c:v>Lifetime sorbent material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('Sensitivity analysis - HHD'!$C$463,'Sensitivity analysis - HHD'!$G$463,'Sensitivity analysis - HHD'!$J$463)</c:f>
              <c:numCache>
                <c:formatCode>0%</c:formatCode>
                <c:ptCount val="3"/>
                <c:pt idx="0">
                  <c:v>0.33</c:v>
                </c:pt>
                <c:pt idx="1">
                  <c:v>1</c:v>
                </c:pt>
                <c:pt idx="2">
                  <c:v>1.67</c:v>
                </c:pt>
              </c:numCache>
            </c:numRef>
          </c:xVal>
          <c:yVal>
            <c:numRef>
              <c:f>('Sensitivity analysis - HHD'!$AA$467,'Sensitivity analysis - HHD'!$AE$467,'Sensitivity analysis - HHD'!$AH$467)</c:f>
              <c:numCache>
                <c:formatCode>0.00E+00</c:formatCode>
                <c:ptCount val="3"/>
                <c:pt idx="0">
                  <c:v>3.6141747089896766E-4</c:v>
                </c:pt>
                <c:pt idx="1">
                  <c:v>3.5635339086070183E-4</c:v>
                </c:pt>
                <c:pt idx="2">
                  <c:v>3.4685888796776173E-4</c:v>
                </c:pt>
              </c:numCache>
            </c:numRef>
          </c:yVal>
          <c:smooth val="0"/>
          <c:extLst>
            <c:ext xmlns:c16="http://schemas.microsoft.com/office/drawing/2014/chart" uri="{C3380CC4-5D6E-409C-BE32-E72D297353CC}">
              <c16:uniqueId val="{00000003-DC88-4EA3-AE36-FC0CD160B36B}"/>
            </c:ext>
          </c:extLst>
        </c:ser>
        <c:ser>
          <c:idx val="4"/>
          <c:order val="4"/>
          <c:tx>
            <c:strRef>
              <c:f>'Sensitivity analysis - HHD'!$A$468</c:f>
              <c:strCache>
                <c:ptCount val="1"/>
                <c:pt idx="0">
                  <c:v>Capacity DAC unit</c:v>
                </c:pt>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numRef>
              <c:f>('Sensitivity analysis - HHD'!$D$463,'Sensitivity analysis - HHD'!$G$463,'Sensitivity analysis - HHD'!$I$463)</c:f>
              <c:numCache>
                <c:formatCode>0%</c:formatCode>
                <c:ptCount val="3"/>
                <c:pt idx="0">
                  <c:v>0.5</c:v>
                </c:pt>
                <c:pt idx="1">
                  <c:v>1</c:v>
                </c:pt>
                <c:pt idx="2">
                  <c:v>1.5</c:v>
                </c:pt>
              </c:numCache>
            </c:numRef>
          </c:xVal>
          <c:yVal>
            <c:numRef>
              <c:f>('Sensitivity analysis - HHD'!$AB$468,'Sensitivity analysis - HHD'!$AE$468,'Sensitivity analysis - HHD'!$AG$468)</c:f>
              <c:numCache>
                <c:formatCode>0.00E+00</c:formatCode>
                <c:ptCount val="3"/>
                <c:pt idx="0">
                  <c:v>1.6407067817214033E-3</c:v>
                </c:pt>
                <c:pt idx="1">
                  <c:v>3.5635339086070178E-4</c:v>
                </c:pt>
                <c:pt idx="2">
                  <c:v>-7.1764406092865484E-5</c:v>
                </c:pt>
              </c:numCache>
            </c:numRef>
          </c:yVal>
          <c:smooth val="0"/>
          <c:extLst>
            <c:ext xmlns:c16="http://schemas.microsoft.com/office/drawing/2014/chart" uri="{C3380CC4-5D6E-409C-BE32-E72D297353CC}">
              <c16:uniqueId val="{00000004-DC88-4EA3-AE36-FC0CD160B36B}"/>
            </c:ext>
          </c:extLst>
        </c:ser>
        <c:ser>
          <c:idx val="5"/>
          <c:order val="5"/>
          <c:tx>
            <c:strRef>
              <c:f>'Sensitivity analysis - HHD'!$A$469</c:f>
              <c:strCache>
                <c:ptCount val="1"/>
                <c:pt idx="0">
                  <c:v>Curtailment factor</c:v>
                </c:pt>
              </c:strCache>
            </c:strRef>
          </c:tx>
          <c:spPr>
            <a:ln w="19050"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xVal>
            <c:numRef>
              <c:f>('Sensitivity analysis - HHD'!$B$463,'Sensitivity analysis - HHD'!$D$463,'Sensitivity analysis - HHD'!$G$463,'Sensitivity analysis - HHD'!$I$463)</c:f>
              <c:numCache>
                <c:formatCode>0%</c:formatCode>
                <c:ptCount val="4"/>
                <c:pt idx="0">
                  <c:v>0</c:v>
                </c:pt>
                <c:pt idx="1">
                  <c:v>0.5</c:v>
                </c:pt>
                <c:pt idx="2">
                  <c:v>1</c:v>
                </c:pt>
                <c:pt idx="3">
                  <c:v>1.5</c:v>
                </c:pt>
              </c:numCache>
            </c:numRef>
          </c:xVal>
          <c:yVal>
            <c:numRef>
              <c:f>('Sensitivity analysis - HHD'!$Z$469,'Sensitivity analysis - HHD'!$AB$469,'Sensitivity analysis - HHD'!$AE$469,'Sensitivity analysis - HHD'!$AG$469)</c:f>
              <c:numCache>
                <c:formatCode>0.00</c:formatCode>
                <c:ptCount val="4"/>
                <c:pt idx="0">
                  <c:v>1.320403194345155E-4</c:v>
                </c:pt>
                <c:pt idx="1">
                  <c:v>2.0681134324324421E-4</c:v>
                </c:pt>
                <c:pt idx="2" formatCode="0.00E+00">
                  <c:v>3.5635339086070183E-4</c:v>
                </c:pt>
                <c:pt idx="3" formatCode="0.00E+00">
                  <c:v>8.0497953371307422E-4</c:v>
                </c:pt>
              </c:numCache>
            </c:numRef>
          </c:yVal>
          <c:smooth val="0"/>
          <c:extLst>
            <c:ext xmlns:c16="http://schemas.microsoft.com/office/drawing/2014/chart" uri="{C3380CC4-5D6E-409C-BE32-E72D297353CC}">
              <c16:uniqueId val="{00000005-DC88-4EA3-AE36-FC0CD160B36B}"/>
            </c:ext>
          </c:extLst>
        </c:ser>
        <c:ser>
          <c:idx val="8"/>
          <c:order val="6"/>
          <c:tx>
            <c:strRef>
              <c:f>'Sensitivity analysis - HHD'!$A$470</c:f>
              <c:strCache>
                <c:ptCount val="1"/>
                <c:pt idx="0">
                  <c:v>Battery capacity</c:v>
                </c:pt>
              </c:strCache>
            </c:strRef>
          </c:tx>
          <c:spPr>
            <a:ln w="19050" cap="rnd">
              <a:solidFill>
                <a:srgbClr val="FF4F4F"/>
              </a:solidFill>
              <a:round/>
            </a:ln>
            <a:effectLst/>
          </c:spPr>
          <c:marker>
            <c:symbol val="circle"/>
            <c:size val="5"/>
            <c:spPr>
              <a:solidFill>
                <a:srgbClr val="FF4F4F"/>
              </a:solidFill>
              <a:ln w="9525">
                <a:solidFill>
                  <a:srgbClr val="FF4F4F"/>
                </a:solidFill>
              </a:ln>
              <a:effectLst/>
            </c:spPr>
          </c:marker>
          <c:xVal>
            <c:numRef>
              <c:f>('Sensitivity analysis - HHD'!$D$463,'Sensitivity analysis - HHD'!$G$463,'Sensitivity analysis - HHD'!$K$463)</c:f>
              <c:numCache>
                <c:formatCode>0%</c:formatCode>
                <c:ptCount val="3"/>
                <c:pt idx="0">
                  <c:v>0.5</c:v>
                </c:pt>
                <c:pt idx="1">
                  <c:v>1</c:v>
                </c:pt>
                <c:pt idx="2">
                  <c:v>2</c:v>
                </c:pt>
              </c:numCache>
            </c:numRef>
          </c:xVal>
          <c:yVal>
            <c:numRef>
              <c:f>('Sensitivity analysis - HHD'!$AB$470,'Sensitivity analysis - HHD'!$AE$470,'Sensitivity analysis - HHD'!$AI$470)</c:f>
              <c:numCache>
                <c:formatCode>0.00</c:formatCode>
                <c:ptCount val="3"/>
                <c:pt idx="0">
                  <c:v>-1.3516345366354013E-4</c:v>
                </c:pt>
                <c:pt idx="1">
                  <c:v>3.5635339086070183E-4</c:v>
                </c:pt>
                <c:pt idx="2" formatCode="0.0">
                  <c:v>2.2428531844522329E-3</c:v>
                </c:pt>
              </c:numCache>
            </c:numRef>
          </c:yVal>
          <c:smooth val="0"/>
          <c:extLst>
            <c:ext xmlns:c16="http://schemas.microsoft.com/office/drawing/2014/chart" uri="{C3380CC4-5D6E-409C-BE32-E72D297353CC}">
              <c16:uniqueId val="{00000006-DC88-4EA3-AE36-FC0CD160B36B}"/>
            </c:ext>
          </c:extLst>
        </c:ser>
        <c:ser>
          <c:idx val="9"/>
          <c:order val="7"/>
          <c:tx>
            <c:strRef>
              <c:f>'Sensitivity analysis - HHD'!$A$471</c:f>
              <c:strCache>
                <c:ptCount val="1"/>
                <c:pt idx="0">
                  <c:v>Battery share factor</c:v>
                </c:pt>
              </c:strCache>
            </c:strRef>
          </c:tx>
          <c:spPr>
            <a:ln w="19050" cap="rnd">
              <a:solidFill>
                <a:srgbClr val="A4D3EA"/>
              </a:solidFill>
              <a:round/>
            </a:ln>
            <a:effectLst/>
          </c:spPr>
          <c:marker>
            <c:symbol val="circle"/>
            <c:size val="5"/>
            <c:spPr>
              <a:solidFill>
                <a:srgbClr val="A4D3EA"/>
              </a:solidFill>
              <a:ln w="9525">
                <a:solidFill>
                  <a:srgbClr val="A4D3EA"/>
                </a:solidFill>
              </a:ln>
              <a:effectLst/>
            </c:spPr>
          </c:marker>
          <c:xVal>
            <c:numRef>
              <c:f>('Sensitivity analysis - HHD'!$D$463,'Sensitivity analysis - HHD'!$G$463,'Sensitivity analysis - HHD'!$I$463)</c:f>
              <c:numCache>
                <c:formatCode>0%</c:formatCode>
                <c:ptCount val="3"/>
                <c:pt idx="0">
                  <c:v>0.5</c:v>
                </c:pt>
                <c:pt idx="1">
                  <c:v>1</c:v>
                </c:pt>
                <c:pt idx="2">
                  <c:v>1.5</c:v>
                </c:pt>
              </c:numCache>
            </c:numRef>
          </c:xVal>
          <c:yVal>
            <c:numRef>
              <c:f>('Sensitivity analysis - HHD'!$AB$471,'Sensitivity analysis - HHD'!$AE$471,'Sensitivity analysis - HHD'!$AI$471)</c:f>
              <c:numCache>
                <c:formatCode>0.00</c:formatCode>
                <c:ptCount val="3"/>
                <c:pt idx="0">
                  <c:v>3.5004837479899278E-4</c:v>
                </c:pt>
                <c:pt idx="1">
                  <c:v>3.5635339086070183E-4</c:v>
                </c:pt>
                <c:pt idx="2" formatCode="0.0">
                  <c:v>3.6847842174860391E-4</c:v>
                </c:pt>
              </c:numCache>
            </c:numRef>
          </c:yVal>
          <c:smooth val="0"/>
          <c:extLst>
            <c:ext xmlns:c16="http://schemas.microsoft.com/office/drawing/2014/chart" uri="{C3380CC4-5D6E-409C-BE32-E72D297353CC}">
              <c16:uniqueId val="{00000007-DC88-4EA3-AE36-FC0CD160B36B}"/>
            </c:ext>
          </c:extLst>
        </c:ser>
        <c:ser>
          <c:idx val="7"/>
          <c:order val="8"/>
          <c:tx>
            <c:strRef>
              <c:f>'Sensitivity analysis - HHD'!$A$472</c:f>
              <c:strCache>
                <c:ptCount val="1"/>
                <c:pt idx="0">
                  <c:v>Sorbent type - amine on silica</c:v>
                </c:pt>
              </c:strCache>
            </c:strRef>
          </c:tx>
          <c:spPr>
            <a:ln w="19050" cap="rnd">
              <a:noFill/>
              <a:round/>
            </a:ln>
            <a:effectLst/>
          </c:spPr>
          <c:marker>
            <c:symbol val="square"/>
            <c:size val="5"/>
            <c:spPr>
              <a:solidFill>
                <a:srgbClr val="C00000"/>
              </a:solidFill>
              <a:ln w="9525">
                <a:solidFill>
                  <a:srgbClr val="C00000"/>
                </a:solidFill>
              </a:ln>
              <a:effectLst/>
            </c:spPr>
          </c:marker>
          <c:xVal>
            <c:numRef>
              <c:f>'Sensitivity analysis - HHD'!$G$463</c:f>
              <c:numCache>
                <c:formatCode>0%</c:formatCode>
                <c:ptCount val="1"/>
                <c:pt idx="0">
                  <c:v>1</c:v>
                </c:pt>
              </c:numCache>
            </c:numRef>
          </c:xVal>
          <c:yVal>
            <c:numRef>
              <c:f>'Sensitivity analysis - HHD'!$AE$472</c:f>
              <c:numCache>
                <c:formatCode>0.00E+00</c:formatCode>
                <c:ptCount val="1"/>
                <c:pt idx="0">
                  <c:v>3.8257093467660428E-4</c:v>
                </c:pt>
              </c:numCache>
            </c:numRef>
          </c:yVal>
          <c:smooth val="0"/>
          <c:extLst>
            <c:ext xmlns:c16="http://schemas.microsoft.com/office/drawing/2014/chart" uri="{C3380CC4-5D6E-409C-BE32-E72D297353CC}">
              <c16:uniqueId val="{00000009-DC88-4EA3-AE36-FC0CD160B36B}"/>
            </c:ext>
          </c:extLst>
        </c:ser>
        <c:dLbls>
          <c:showLegendKey val="0"/>
          <c:showVal val="0"/>
          <c:showCatName val="0"/>
          <c:showSerName val="0"/>
          <c:showPercent val="0"/>
          <c:showBubbleSize val="0"/>
        </c:dLbls>
        <c:axId val="894438607"/>
        <c:axId val="1119274239"/>
      </c:scatterChart>
      <c:valAx>
        <c:axId val="894438607"/>
        <c:scaling>
          <c:orientation val="minMax"/>
          <c:max val="2.5"/>
          <c:min val="0"/>
        </c:scaling>
        <c:delete val="0"/>
        <c:axPos val="b"/>
        <c:majorGridlines>
          <c:spPr>
            <a:ln w="9525" cap="flat" cmpd="sng" algn="ctr">
              <a:solidFill>
                <a:schemeClr val="tx1">
                  <a:lumMod val="50000"/>
                  <a:lumOff val="50000"/>
                </a:schemeClr>
              </a:solidFill>
              <a:round/>
            </a:ln>
            <a:effectLst/>
          </c:spPr>
        </c:majorGridlines>
        <c:numFmt formatCode="0%" sourceLinked="1"/>
        <c:majorTickMark val="none"/>
        <c:minorTickMark val="none"/>
        <c:tickLblPos val="high"/>
        <c:spPr>
          <a:noFill/>
          <a:ln w="190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1119274239"/>
        <c:crosses val="autoZero"/>
        <c:crossBetween val="midCat"/>
      </c:valAx>
      <c:valAx>
        <c:axId val="1119274239"/>
        <c:scaling>
          <c:orientation val="minMax"/>
        </c:scaling>
        <c:delete val="0"/>
        <c:axPos val="l"/>
        <c:majorGridlines>
          <c:spPr>
            <a:ln w="9525" cap="flat" cmpd="sng" algn="ctr">
              <a:solidFill>
                <a:schemeClr val="tx1">
                  <a:lumMod val="50000"/>
                  <a:lumOff val="50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r>
                  <a:rPr lang="nl-NL"/>
                  <a:t>Human health damage</a:t>
                </a:r>
              </a:p>
              <a:p>
                <a:pPr>
                  <a:defRPr/>
                </a:pPr>
                <a:r>
                  <a:rPr lang="nl-NL"/>
                  <a:t>[DALY/ton CO</a:t>
                </a:r>
                <a:r>
                  <a:rPr lang="nl-NL" baseline="-25000"/>
                  <a:t>2</a:t>
                </a:r>
                <a:r>
                  <a:rPr lang="nl-NL"/>
                  <a:t> captured and stored]</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title>
        <c:numFmt formatCode="0.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894438607"/>
        <c:crosses val="autoZero"/>
        <c:crossBetween val="midCat"/>
      </c:valAx>
      <c:spPr>
        <a:noFill/>
        <a:ln w="19050">
          <a:solidFill>
            <a:schemeClr val="tx1"/>
          </a:solidFill>
        </a:ln>
        <a:effectLst/>
      </c:spPr>
    </c:plotArea>
    <c:legend>
      <c:legendPos val="r"/>
      <c:layout>
        <c:manualLayout>
          <c:xMode val="edge"/>
          <c:yMode val="edge"/>
          <c:x val="0.54710541784870625"/>
          <c:y val="7.6716289733345891E-2"/>
          <c:w val="0.2856286269263687"/>
          <c:h val="0.87329741919023873"/>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068474900507286"/>
          <c:y val="6.9337941462360927E-2"/>
          <c:w val="0.73010811826395883"/>
          <c:h val="0.90794330476547458"/>
        </c:manualLayout>
      </c:layout>
      <c:scatterChart>
        <c:scatterStyle val="lineMarker"/>
        <c:varyColors val="0"/>
        <c:ser>
          <c:idx val="0"/>
          <c:order val="0"/>
          <c:tx>
            <c:strRef>
              <c:f>'Sensitivity analysis - HHD'!$M$453</c:f>
              <c:strCache>
                <c:ptCount val="1"/>
                <c:pt idx="0">
                  <c:v>Material use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'Sensitivity analysis - HHD'!$R$452:$T$452</c:f>
              <c:numCache>
                <c:formatCode>0%</c:formatCode>
                <c:ptCount val="3"/>
                <c:pt idx="0">
                  <c:v>0.8</c:v>
                </c:pt>
                <c:pt idx="1">
                  <c:v>1</c:v>
                </c:pt>
                <c:pt idx="2">
                  <c:v>1.2</c:v>
                </c:pt>
              </c:numCache>
            </c:numRef>
          </c:xVal>
          <c:yVal>
            <c:numRef>
              <c:f>'Sensitivity analysis - HHD'!$R$453:$T$453</c:f>
              <c:numCache>
                <c:formatCode>0.00E+00</c:formatCode>
                <c:ptCount val="3"/>
                <c:pt idx="0">
                  <c:v>-5.5789831494892895E-4</c:v>
                </c:pt>
                <c:pt idx="1">
                  <c:v>-5.4423322385370421E-4</c:v>
                </c:pt>
                <c:pt idx="2">
                  <c:v>-5.3056813275847927E-4</c:v>
                </c:pt>
              </c:numCache>
            </c:numRef>
          </c:yVal>
          <c:smooth val="0"/>
          <c:extLst>
            <c:ext xmlns:c16="http://schemas.microsoft.com/office/drawing/2014/chart" uri="{C3380CC4-5D6E-409C-BE32-E72D297353CC}">
              <c16:uniqueId val="{00000000-E68A-4747-8BC3-793D7201EACB}"/>
            </c:ext>
          </c:extLst>
        </c:ser>
        <c:ser>
          <c:idx val="1"/>
          <c:order val="1"/>
          <c:tx>
            <c:strRef>
              <c:f>'Sensitivity analysis - HHD'!$M$454</c:f>
              <c:strCache>
                <c:ptCount val="1"/>
                <c:pt idx="0">
                  <c:v>Energy use</c:v>
                </c:pt>
              </c:strCache>
            </c:strRef>
          </c:tx>
          <c:spPr>
            <a:ln w="31750" cap="rnd">
              <a:solidFill>
                <a:schemeClr val="accent4"/>
              </a:solidFill>
              <a:round/>
            </a:ln>
            <a:effectLst/>
          </c:spPr>
          <c:marker>
            <c:symbol val="circle"/>
            <c:size val="5"/>
            <c:spPr>
              <a:solidFill>
                <a:schemeClr val="accent4"/>
              </a:solidFill>
              <a:ln w="9525">
                <a:solidFill>
                  <a:schemeClr val="accent4"/>
                </a:solidFill>
              </a:ln>
              <a:effectLst/>
            </c:spPr>
          </c:marker>
          <c:xVal>
            <c:numRef>
              <c:f>('Sensitivity analysis - HHD'!$Q$452,'Sensitivity analysis - HHD'!$S$452,'Sensitivity analysis - HHD'!$V$452)</c:f>
              <c:numCache>
                <c:formatCode>0%</c:formatCode>
                <c:ptCount val="3"/>
                <c:pt idx="0">
                  <c:v>0.67</c:v>
                </c:pt>
                <c:pt idx="1">
                  <c:v>1</c:v>
                </c:pt>
                <c:pt idx="2">
                  <c:v>1.67</c:v>
                </c:pt>
              </c:numCache>
            </c:numRef>
          </c:xVal>
          <c:yVal>
            <c:numRef>
              <c:f>('Sensitivity analysis - HHD'!$Q$454,'Sensitivity analysis - HHD'!$S$454,'Sensitivity analysis - HHD'!$V$454)</c:f>
              <c:numCache>
                <c:formatCode>0.00E+00</c:formatCode>
                <c:ptCount val="3"/>
                <c:pt idx="0">
                  <c:v>-6.3467030697262911E-4</c:v>
                </c:pt>
                <c:pt idx="1">
                  <c:v>-5.4423322385370421E-4</c:v>
                </c:pt>
                <c:pt idx="2">
                  <c:v>-3.6335905761585377E-4</c:v>
                </c:pt>
              </c:numCache>
            </c:numRef>
          </c:yVal>
          <c:smooth val="0"/>
          <c:extLst>
            <c:ext xmlns:c16="http://schemas.microsoft.com/office/drawing/2014/chart" uri="{C3380CC4-5D6E-409C-BE32-E72D297353CC}">
              <c16:uniqueId val="{00000001-E68A-4747-8BC3-793D7201EACB}"/>
            </c:ext>
          </c:extLst>
        </c:ser>
        <c:ser>
          <c:idx val="2"/>
          <c:order val="2"/>
          <c:tx>
            <c:strRef>
              <c:f>'Sensitivity analysis - HHD'!$M$455</c:f>
              <c:strCache>
                <c:ptCount val="1"/>
                <c:pt idx="0">
                  <c:v>Lifetime DAC system</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'Sensitivity analysis - HHD'!$R$452:$S$452</c:f>
              <c:numCache>
                <c:formatCode>0%</c:formatCode>
                <c:ptCount val="2"/>
                <c:pt idx="0">
                  <c:v>0.8</c:v>
                </c:pt>
                <c:pt idx="1">
                  <c:v>1</c:v>
                </c:pt>
              </c:numCache>
            </c:numRef>
          </c:xVal>
          <c:yVal>
            <c:numRef>
              <c:f>'Sensitivity analysis - HHD'!$R$455:$S$455</c:f>
              <c:numCache>
                <c:formatCode>0.00E+00</c:formatCode>
                <c:ptCount val="2"/>
                <c:pt idx="0">
                  <c:v>-4.4829152981713024E-4</c:v>
                </c:pt>
                <c:pt idx="1">
                  <c:v>-5.4423322385370411E-4</c:v>
                </c:pt>
              </c:numCache>
            </c:numRef>
          </c:yVal>
          <c:smooth val="0"/>
          <c:extLst>
            <c:ext xmlns:c16="http://schemas.microsoft.com/office/drawing/2014/chart" uri="{C3380CC4-5D6E-409C-BE32-E72D297353CC}">
              <c16:uniqueId val="{00000002-E68A-4747-8BC3-793D7201EACB}"/>
            </c:ext>
          </c:extLst>
        </c:ser>
        <c:ser>
          <c:idx val="3"/>
          <c:order val="3"/>
          <c:tx>
            <c:strRef>
              <c:f>'Sensitivity analysis - HHD'!$M$456</c:f>
              <c:strCache>
                <c:ptCount val="1"/>
                <c:pt idx="0">
                  <c:v>Lifetime sorbent material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('Sensitivity analysis - HHD'!$O$452,'Sensitivity analysis - HHD'!$S$452,'Sensitivity analysis - HHD'!$V$452)</c:f>
              <c:numCache>
                <c:formatCode>0%</c:formatCode>
                <c:ptCount val="3"/>
                <c:pt idx="0">
                  <c:v>0.33</c:v>
                </c:pt>
                <c:pt idx="1">
                  <c:v>1</c:v>
                </c:pt>
                <c:pt idx="2">
                  <c:v>1.67</c:v>
                </c:pt>
              </c:numCache>
            </c:numRef>
          </c:xVal>
          <c:yVal>
            <c:numRef>
              <c:f>('Sensitivity analysis - HHD'!$O$456,'Sensitivity analysis - HHD'!$S$456,'Sensitivity analysis - HHD'!$V$456)</c:f>
              <c:numCache>
                <c:formatCode>0.00E+00</c:formatCode>
                <c:ptCount val="3"/>
                <c:pt idx="0">
                  <c:v>-5.3129122288812596E-4</c:v>
                </c:pt>
                <c:pt idx="1">
                  <c:v>-5.4423322385370421E-4</c:v>
                </c:pt>
                <c:pt idx="2">
                  <c:v>-5.4741042272081768E-4</c:v>
                </c:pt>
              </c:numCache>
            </c:numRef>
          </c:yVal>
          <c:smooth val="0"/>
          <c:extLst>
            <c:ext xmlns:c16="http://schemas.microsoft.com/office/drawing/2014/chart" uri="{C3380CC4-5D6E-409C-BE32-E72D297353CC}">
              <c16:uniqueId val="{00000003-E68A-4747-8BC3-793D7201EACB}"/>
            </c:ext>
          </c:extLst>
        </c:ser>
        <c:ser>
          <c:idx val="4"/>
          <c:order val="4"/>
          <c:tx>
            <c:strRef>
              <c:f>'Sensitivity analysis - HHD'!$M$457</c:f>
              <c:strCache>
                <c:ptCount val="1"/>
                <c:pt idx="0">
                  <c:v>Capacity DAC unit</c:v>
                </c:pt>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numRef>
              <c:f>('Sensitivity analysis - HHD'!$P$452,'Sensitivity analysis - HHD'!$S$452,'Sensitivity analysis - HHD'!$U$452)</c:f>
              <c:numCache>
                <c:formatCode>0%</c:formatCode>
                <c:ptCount val="3"/>
                <c:pt idx="0">
                  <c:v>0.5</c:v>
                </c:pt>
                <c:pt idx="1">
                  <c:v>1</c:v>
                </c:pt>
                <c:pt idx="2">
                  <c:v>1.5</c:v>
                </c:pt>
              </c:numCache>
            </c:numRef>
          </c:xVal>
          <c:yVal>
            <c:numRef>
              <c:f>('Sensitivity analysis - HHD'!$P$457,'Sensitivity analysis - HHD'!$S$457,'Sensitivity analysis - HHD'!$U$457)</c:f>
              <c:numCache>
                <c:formatCode>0.00E+00</c:formatCode>
                <c:ptCount val="3"/>
                <c:pt idx="0">
                  <c:v>-1.6046644770740831E-4</c:v>
                </c:pt>
                <c:pt idx="1">
                  <c:v>-5.4423322385370411E-4</c:v>
                </c:pt>
                <c:pt idx="2">
                  <c:v>-6.7215548256913614E-4</c:v>
                </c:pt>
              </c:numCache>
            </c:numRef>
          </c:yVal>
          <c:smooth val="0"/>
          <c:extLst>
            <c:ext xmlns:c16="http://schemas.microsoft.com/office/drawing/2014/chart" uri="{C3380CC4-5D6E-409C-BE32-E72D297353CC}">
              <c16:uniqueId val="{00000004-E68A-4747-8BC3-793D7201EACB}"/>
            </c:ext>
          </c:extLst>
        </c:ser>
        <c:ser>
          <c:idx val="7"/>
          <c:order val="5"/>
          <c:tx>
            <c:strRef>
              <c:f>'Sensitivity analysis - HHD'!$M$458</c:f>
              <c:strCache>
                <c:ptCount val="1"/>
                <c:pt idx="0">
                  <c:v>Capacity factor</c:v>
                </c:pt>
              </c:strCache>
            </c:strRef>
          </c:tx>
          <c:spPr>
            <a:ln w="19050" cap="rnd">
              <a:solidFill>
                <a:schemeClr val="accent6">
                  <a:lumMod val="50000"/>
                </a:schemeClr>
              </a:solidFill>
              <a:round/>
            </a:ln>
            <a:effectLst/>
          </c:spPr>
          <c:marker>
            <c:symbol val="circle"/>
            <c:size val="5"/>
            <c:spPr>
              <a:solidFill>
                <a:schemeClr val="accent6">
                  <a:lumMod val="50000"/>
                </a:schemeClr>
              </a:solidFill>
              <a:ln w="9525">
                <a:solidFill>
                  <a:schemeClr val="accent6">
                    <a:lumMod val="50000"/>
                  </a:schemeClr>
                </a:solidFill>
              </a:ln>
              <a:effectLst/>
            </c:spPr>
          </c:marker>
          <c:xVal>
            <c:numRef>
              <c:f>('Sensitivity analysis - HHD'!$S$452,'Sensitivity analysis - HHD'!$U$452,'Sensitivity analysis - HHD'!$W$452)</c:f>
              <c:numCache>
                <c:formatCode>0%</c:formatCode>
                <c:ptCount val="3"/>
                <c:pt idx="0">
                  <c:v>1</c:v>
                </c:pt>
                <c:pt idx="1">
                  <c:v>1.5</c:v>
                </c:pt>
                <c:pt idx="2">
                  <c:v>2</c:v>
                </c:pt>
              </c:numCache>
            </c:numRef>
          </c:xVal>
          <c:yVal>
            <c:numRef>
              <c:f>('Sensitivity analysis - HHD'!$S$458,'Sensitivity analysis - HHD'!$U$458,'Sensitivity analysis - HHD'!$W$458)</c:f>
              <c:numCache>
                <c:formatCode>0.00E+00</c:formatCode>
                <c:ptCount val="3"/>
                <c:pt idx="0">
                  <c:v>-5.4423322385370411E-4</c:v>
                </c:pt>
                <c:pt idx="1">
                  <c:v>-5.5107208795518014E-4</c:v>
                </c:pt>
                <c:pt idx="2">
                  <c:v>-5.5677114137307683E-4</c:v>
                </c:pt>
              </c:numCache>
            </c:numRef>
          </c:yVal>
          <c:smooth val="0"/>
          <c:extLst>
            <c:ext xmlns:c16="http://schemas.microsoft.com/office/drawing/2014/chart" uri="{C3380CC4-5D6E-409C-BE32-E72D297353CC}">
              <c16:uniqueId val="{00000005-E68A-4747-8BC3-793D7201EACB}"/>
            </c:ext>
          </c:extLst>
        </c:ser>
        <c:ser>
          <c:idx val="6"/>
          <c:order val="6"/>
          <c:tx>
            <c:strRef>
              <c:f>'Sensitivity analysis - HHD'!$M$459</c:f>
              <c:strCache>
                <c:ptCount val="1"/>
                <c:pt idx="0">
                  <c:v>Sorbent type - amine on silica</c:v>
                </c:pt>
              </c:strCache>
            </c:strRef>
          </c:tx>
          <c:spPr>
            <a:ln w="19050" cap="rnd">
              <a:noFill/>
              <a:round/>
            </a:ln>
            <a:effectLst/>
          </c:spPr>
          <c:marker>
            <c:symbol val="square"/>
            <c:size val="5"/>
            <c:spPr>
              <a:solidFill>
                <a:srgbClr val="C00000"/>
              </a:solidFill>
              <a:ln w="9525">
                <a:solidFill>
                  <a:srgbClr val="C00000"/>
                </a:solidFill>
              </a:ln>
              <a:effectLst/>
            </c:spPr>
          </c:marker>
          <c:xVal>
            <c:numRef>
              <c:f>'Sensitivity analysis - HHD'!$S$452</c:f>
              <c:numCache>
                <c:formatCode>0%</c:formatCode>
                <c:ptCount val="1"/>
                <c:pt idx="0">
                  <c:v>1</c:v>
                </c:pt>
              </c:numCache>
            </c:numRef>
          </c:xVal>
          <c:yVal>
            <c:numRef>
              <c:f>'Sensitivity analysis - HHD'!$S$459</c:f>
              <c:numCache>
                <c:formatCode>0.00E+00</c:formatCode>
                <c:ptCount val="1"/>
                <c:pt idx="0">
                  <c:v>-5.2985484117773962E-4</c:v>
                </c:pt>
              </c:numCache>
            </c:numRef>
          </c:yVal>
          <c:smooth val="0"/>
          <c:extLst>
            <c:ext xmlns:c16="http://schemas.microsoft.com/office/drawing/2014/chart" uri="{C3380CC4-5D6E-409C-BE32-E72D297353CC}">
              <c16:uniqueId val="{00000007-E68A-4747-8BC3-793D7201EACB}"/>
            </c:ext>
          </c:extLst>
        </c:ser>
        <c:dLbls>
          <c:showLegendKey val="0"/>
          <c:showVal val="0"/>
          <c:showCatName val="0"/>
          <c:showSerName val="0"/>
          <c:showPercent val="0"/>
          <c:showBubbleSize val="0"/>
        </c:dLbls>
        <c:axId val="894438607"/>
        <c:axId val="1119274239"/>
      </c:scatterChart>
      <c:valAx>
        <c:axId val="894438607"/>
        <c:scaling>
          <c:orientation val="minMax"/>
          <c:max val="2.5"/>
          <c:min val="0"/>
        </c:scaling>
        <c:delete val="0"/>
        <c:axPos val="b"/>
        <c:majorGridlines>
          <c:spPr>
            <a:ln w="9525" cap="flat" cmpd="sng" algn="ctr">
              <a:solidFill>
                <a:schemeClr val="tx1">
                  <a:lumMod val="50000"/>
                  <a:lumOff val="50000"/>
                </a:schemeClr>
              </a:solidFill>
              <a:round/>
            </a:ln>
            <a:effectLst/>
          </c:spPr>
        </c:majorGridlines>
        <c:numFmt formatCode="0%" sourceLinked="1"/>
        <c:majorTickMark val="none"/>
        <c:minorTickMark val="none"/>
        <c:tickLblPos val="high"/>
        <c:spPr>
          <a:noFill/>
          <a:ln w="190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1119274239"/>
        <c:crosses val="autoZero"/>
        <c:crossBetween val="midCat"/>
      </c:valAx>
      <c:valAx>
        <c:axId val="1119274239"/>
        <c:scaling>
          <c:orientation val="minMax"/>
        </c:scaling>
        <c:delete val="0"/>
        <c:axPos val="l"/>
        <c:majorGridlines>
          <c:spPr>
            <a:ln w="9525" cap="flat" cmpd="sng" algn="ctr">
              <a:solidFill>
                <a:schemeClr val="tx1">
                  <a:lumMod val="50000"/>
                  <a:lumOff val="50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r>
                  <a:rPr lang="nl-NL"/>
                  <a:t>Human health damage</a:t>
                </a:r>
              </a:p>
              <a:p>
                <a:pPr>
                  <a:defRPr/>
                </a:pPr>
                <a:r>
                  <a:rPr lang="nl-NL"/>
                  <a:t>[DALY/ton CO</a:t>
                </a:r>
                <a:r>
                  <a:rPr lang="nl-NL" baseline="-25000"/>
                  <a:t>2</a:t>
                </a:r>
                <a:r>
                  <a:rPr lang="nl-NL"/>
                  <a:t> captured and stored]</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title>
        <c:numFmt formatCode="0.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894438607"/>
        <c:crosses val="autoZero"/>
        <c:crossBetween val="midCat"/>
      </c:valAx>
      <c:spPr>
        <a:noFill/>
        <a:ln w="19050">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751930529226253"/>
          <c:y val="7.9170851895793926E-2"/>
          <c:w val="0.72729079469433822"/>
          <c:h val="0.89481576129050766"/>
        </c:manualLayout>
      </c:layout>
      <c:scatterChart>
        <c:scatterStyle val="lineMarker"/>
        <c:varyColors val="0"/>
        <c:ser>
          <c:idx val="0"/>
          <c:order val="0"/>
          <c:tx>
            <c:strRef>
              <c:f>'Sensitivity analysis - ESD'!$A$443</c:f>
              <c:strCache>
                <c:ptCount val="1"/>
                <c:pt idx="0">
                  <c:v>Material use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'Sensitivity analysis - ESD'!$F$442:$H$442</c:f>
              <c:numCache>
                <c:formatCode>0%</c:formatCode>
                <c:ptCount val="3"/>
                <c:pt idx="0">
                  <c:v>0.8</c:v>
                </c:pt>
                <c:pt idx="1">
                  <c:v>1</c:v>
                </c:pt>
                <c:pt idx="2">
                  <c:v>1.2</c:v>
                </c:pt>
              </c:numCache>
            </c:numRef>
          </c:xVal>
          <c:yVal>
            <c:numRef>
              <c:f>'Sensitivity analysis - ESD'!$F$443:$H$443</c:f>
              <c:numCache>
                <c:formatCode>0.00</c:formatCode>
                <c:ptCount val="3"/>
                <c:pt idx="0">
                  <c:v>-7.1396960148869694E-8</c:v>
                </c:pt>
                <c:pt idx="1">
                  <c:v>-5.4679938296137717E-8</c:v>
                </c:pt>
                <c:pt idx="2">
                  <c:v>-3.7962916443402736E-8</c:v>
                </c:pt>
              </c:numCache>
            </c:numRef>
          </c:yVal>
          <c:smooth val="0"/>
          <c:extLst>
            <c:ext xmlns:c16="http://schemas.microsoft.com/office/drawing/2014/chart" uri="{C3380CC4-5D6E-409C-BE32-E72D297353CC}">
              <c16:uniqueId val="{00000000-DF81-4825-9FF0-384A7DE6ED20}"/>
            </c:ext>
          </c:extLst>
        </c:ser>
        <c:ser>
          <c:idx val="1"/>
          <c:order val="1"/>
          <c:tx>
            <c:strRef>
              <c:f>'Sensitivity analysis - ESD'!$A$444</c:f>
              <c:strCache>
                <c:ptCount val="1"/>
                <c:pt idx="0">
                  <c:v>Energy use</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('Sensitivity analysis - ESD'!$E$442,'Sensitivity analysis - ESD'!$G$442,'Sensitivity analysis - ESD'!$J$442,'Sensitivity analysis - ESD'!$K$442)</c:f>
              <c:numCache>
                <c:formatCode>0%</c:formatCode>
                <c:ptCount val="4"/>
                <c:pt idx="0">
                  <c:v>0.67</c:v>
                </c:pt>
                <c:pt idx="1">
                  <c:v>1</c:v>
                </c:pt>
                <c:pt idx="2">
                  <c:v>1.67</c:v>
                </c:pt>
                <c:pt idx="3">
                  <c:v>2</c:v>
                </c:pt>
              </c:numCache>
            </c:numRef>
          </c:xVal>
          <c:yVal>
            <c:numRef>
              <c:f>('Sensitivity analysis - ESD'!$E$444,'Sensitivity analysis - ESD'!$G$444,'Sensitivity analysis - ESD'!$J$444,'Sensitivity analysis - ESD'!$K$444)</c:f>
              <c:numCache>
                <c:formatCode>0.00</c:formatCode>
                <c:ptCount val="4"/>
                <c:pt idx="0">
                  <c:v>-8.6985518611903755E-7</c:v>
                </c:pt>
                <c:pt idx="1">
                  <c:v>-5.4679938296137717E-8</c:v>
                </c:pt>
                <c:pt idx="2">
                  <c:v>1.575670557349666E-6</c:v>
                </c:pt>
              </c:numCache>
            </c:numRef>
          </c:yVal>
          <c:smooth val="0"/>
          <c:extLst>
            <c:ext xmlns:c16="http://schemas.microsoft.com/office/drawing/2014/chart" uri="{C3380CC4-5D6E-409C-BE32-E72D297353CC}">
              <c16:uniqueId val="{00000001-DF81-4825-9FF0-384A7DE6ED20}"/>
            </c:ext>
          </c:extLst>
        </c:ser>
        <c:ser>
          <c:idx val="2"/>
          <c:order val="2"/>
          <c:tx>
            <c:strRef>
              <c:f>'Sensitivity analysis - ESD'!$A$445</c:f>
              <c:strCache>
                <c:ptCount val="1"/>
                <c:pt idx="0">
                  <c:v>Lifetime DAC system</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'Sensitivity analysis - ESD'!$F$442:$G$442</c:f>
              <c:numCache>
                <c:formatCode>0%</c:formatCode>
                <c:ptCount val="2"/>
                <c:pt idx="0">
                  <c:v>0.8</c:v>
                </c:pt>
                <c:pt idx="1">
                  <c:v>1</c:v>
                </c:pt>
              </c:numCache>
            </c:numRef>
          </c:xVal>
          <c:yVal>
            <c:numRef>
              <c:f>'Sensitivity analysis - ESD'!$F$445:$G$445</c:f>
              <c:numCache>
                <c:formatCode>0.00</c:formatCode>
                <c:ptCount val="2"/>
                <c:pt idx="0">
                  <c:v>6.3166920212982782E-7</c:v>
                </c:pt>
                <c:pt idx="1">
                  <c:v>-5.4679938296136215E-8</c:v>
                </c:pt>
              </c:numCache>
            </c:numRef>
          </c:yVal>
          <c:smooth val="0"/>
          <c:extLst>
            <c:ext xmlns:c16="http://schemas.microsoft.com/office/drawing/2014/chart" uri="{C3380CC4-5D6E-409C-BE32-E72D297353CC}">
              <c16:uniqueId val="{00000002-DF81-4825-9FF0-384A7DE6ED20}"/>
            </c:ext>
          </c:extLst>
        </c:ser>
        <c:ser>
          <c:idx val="3"/>
          <c:order val="3"/>
          <c:tx>
            <c:strRef>
              <c:f>'Sensitivity analysis - ESD'!$A$446</c:f>
              <c:strCache>
                <c:ptCount val="1"/>
                <c:pt idx="0">
                  <c:v>Lifetime sorbent material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('Sensitivity analysis - ESD'!$C$442,'Sensitivity analysis - ESD'!$G$442,'Sensitivity analysis - ESD'!$J$442)</c:f>
              <c:numCache>
                <c:formatCode>0%</c:formatCode>
                <c:ptCount val="3"/>
                <c:pt idx="0">
                  <c:v>0.33</c:v>
                </c:pt>
                <c:pt idx="1">
                  <c:v>1</c:v>
                </c:pt>
                <c:pt idx="2">
                  <c:v>1.67</c:v>
                </c:pt>
              </c:numCache>
            </c:numRef>
          </c:xVal>
          <c:yVal>
            <c:numRef>
              <c:f>('Sensitivity analysis - ESD'!$C$446,'Sensitivity analysis - ESD'!$G$446,'Sensitivity analysis - ESD'!$J$446)</c:f>
              <c:numCache>
                <c:formatCode>0.00</c:formatCode>
                <c:ptCount val="3"/>
                <c:pt idx="0">
                  <c:v>-2.591559746955671E-8</c:v>
                </c:pt>
                <c:pt idx="1">
                  <c:v>-5.4679938296137717E-8</c:v>
                </c:pt>
                <c:pt idx="2">
                  <c:v>-6.1827200403755591E-8</c:v>
                </c:pt>
              </c:numCache>
            </c:numRef>
          </c:yVal>
          <c:smooth val="0"/>
          <c:extLst>
            <c:ext xmlns:c16="http://schemas.microsoft.com/office/drawing/2014/chart" uri="{C3380CC4-5D6E-409C-BE32-E72D297353CC}">
              <c16:uniqueId val="{00000003-DF81-4825-9FF0-384A7DE6ED20}"/>
            </c:ext>
          </c:extLst>
        </c:ser>
        <c:ser>
          <c:idx val="4"/>
          <c:order val="4"/>
          <c:tx>
            <c:strRef>
              <c:f>'Sensitivity analysis - ESD'!$A$447</c:f>
              <c:strCache>
                <c:ptCount val="1"/>
                <c:pt idx="0">
                  <c:v>Capacity DAC unit</c:v>
                </c:pt>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numRef>
              <c:f>('Sensitivity analysis - ESD'!$D$442,'Sensitivity analysis - ESD'!$G$442,'Sensitivity analysis - ESD'!$I$442)</c:f>
              <c:numCache>
                <c:formatCode>0%</c:formatCode>
                <c:ptCount val="3"/>
                <c:pt idx="0">
                  <c:v>0.5</c:v>
                </c:pt>
                <c:pt idx="1">
                  <c:v>1</c:v>
                </c:pt>
                <c:pt idx="2">
                  <c:v>1.5</c:v>
                </c:pt>
              </c:numCache>
            </c:numRef>
          </c:xVal>
          <c:yVal>
            <c:numRef>
              <c:f>('Sensitivity analysis - ESD'!$D$447,'Sensitivity analysis - ESD'!$G$447,'Sensitivity analysis - ESD'!$I$447)</c:f>
              <c:numCache>
                <c:formatCode>0.00</c:formatCode>
                <c:ptCount val="3"/>
                <c:pt idx="0">
                  <c:v>2.690716623407725E-6</c:v>
                </c:pt>
                <c:pt idx="1">
                  <c:v>-5.4679938296136215E-8</c:v>
                </c:pt>
                <c:pt idx="2">
                  <c:v>-9.6981212553075832E-7</c:v>
                </c:pt>
              </c:numCache>
            </c:numRef>
          </c:yVal>
          <c:smooth val="0"/>
          <c:extLst>
            <c:ext xmlns:c16="http://schemas.microsoft.com/office/drawing/2014/chart" uri="{C3380CC4-5D6E-409C-BE32-E72D297353CC}">
              <c16:uniqueId val="{00000004-DF81-4825-9FF0-384A7DE6ED20}"/>
            </c:ext>
          </c:extLst>
        </c:ser>
        <c:ser>
          <c:idx val="6"/>
          <c:order val="5"/>
          <c:tx>
            <c:strRef>
              <c:f>'Sensitivity analysis - ESD'!$A$448</c:f>
              <c:strCache>
                <c:ptCount val="1"/>
                <c:pt idx="0">
                  <c:v>Sorbent type - amine on silica</c:v>
                </c:pt>
              </c:strCache>
            </c:strRef>
          </c:tx>
          <c:spPr>
            <a:ln w="19050" cap="rnd">
              <a:noFill/>
              <a:round/>
            </a:ln>
            <a:effectLst/>
          </c:spPr>
          <c:marker>
            <c:symbol val="square"/>
            <c:size val="5"/>
            <c:spPr>
              <a:solidFill>
                <a:srgbClr val="C00000"/>
              </a:solidFill>
              <a:ln w="9525">
                <a:solidFill>
                  <a:srgbClr val="C00000"/>
                </a:solidFill>
              </a:ln>
              <a:effectLst/>
            </c:spPr>
          </c:marker>
          <c:xVal>
            <c:numRef>
              <c:f>'Sensitivity analysis - ESD'!$G$442</c:f>
              <c:numCache>
                <c:formatCode>0%</c:formatCode>
                <c:ptCount val="1"/>
                <c:pt idx="0">
                  <c:v>1</c:v>
                </c:pt>
              </c:numCache>
            </c:numRef>
          </c:xVal>
          <c:yVal>
            <c:numRef>
              <c:f>'Sensitivity analysis - ESD'!$G$448</c:f>
              <c:numCache>
                <c:formatCode>0.00</c:formatCode>
                <c:ptCount val="1"/>
                <c:pt idx="0">
                  <c:v>-2.5121074190191488E-8</c:v>
                </c:pt>
              </c:numCache>
            </c:numRef>
          </c:yVal>
          <c:smooth val="0"/>
          <c:extLst>
            <c:ext xmlns:c16="http://schemas.microsoft.com/office/drawing/2014/chart" uri="{C3380CC4-5D6E-409C-BE32-E72D297353CC}">
              <c16:uniqueId val="{00000006-DF81-4825-9FF0-384A7DE6ED20}"/>
            </c:ext>
          </c:extLst>
        </c:ser>
        <c:dLbls>
          <c:showLegendKey val="0"/>
          <c:showVal val="0"/>
          <c:showCatName val="0"/>
          <c:showSerName val="0"/>
          <c:showPercent val="0"/>
          <c:showBubbleSize val="0"/>
        </c:dLbls>
        <c:axId val="894438607"/>
        <c:axId val="1119274239"/>
      </c:scatterChart>
      <c:valAx>
        <c:axId val="894438607"/>
        <c:scaling>
          <c:orientation val="minMax"/>
          <c:max val="2.5"/>
          <c:min val="0"/>
        </c:scaling>
        <c:delete val="0"/>
        <c:axPos val="b"/>
        <c:majorGridlines>
          <c:spPr>
            <a:ln w="9525" cap="flat" cmpd="sng" algn="ctr">
              <a:solidFill>
                <a:schemeClr val="tx1">
                  <a:lumMod val="50000"/>
                  <a:lumOff val="50000"/>
                </a:schemeClr>
              </a:solidFill>
              <a:round/>
            </a:ln>
            <a:effectLst/>
          </c:spPr>
        </c:majorGridlines>
        <c:numFmt formatCode="0%" sourceLinked="1"/>
        <c:majorTickMark val="none"/>
        <c:minorTickMark val="none"/>
        <c:tickLblPos val="high"/>
        <c:spPr>
          <a:noFill/>
          <a:ln w="190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1119274239"/>
        <c:crosses val="autoZero"/>
        <c:crossBetween val="midCat"/>
      </c:valAx>
      <c:valAx>
        <c:axId val="1119274239"/>
        <c:scaling>
          <c:orientation val="minMax"/>
        </c:scaling>
        <c:delete val="0"/>
        <c:axPos val="l"/>
        <c:majorGridlines>
          <c:spPr>
            <a:ln w="9525" cap="flat" cmpd="sng" algn="ctr">
              <a:solidFill>
                <a:schemeClr val="tx1">
                  <a:lumMod val="50000"/>
                  <a:lumOff val="50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r>
                  <a:rPr lang="nl-NL"/>
                  <a:t>Ecosystem damage</a:t>
                </a:r>
              </a:p>
              <a:p>
                <a:pPr>
                  <a:defRPr/>
                </a:pPr>
                <a:r>
                  <a:rPr lang="nl-NL"/>
                  <a:t>[species*year/ton CO</a:t>
                </a:r>
                <a:r>
                  <a:rPr lang="nl-NL" baseline="-25000"/>
                  <a:t>2</a:t>
                </a:r>
                <a:r>
                  <a:rPr lang="nl-NL"/>
                  <a:t> captured and stored]</a:t>
                </a:r>
              </a:p>
            </c:rich>
          </c:tx>
          <c:layout>
            <c:manualLayout>
              <c:xMode val="edge"/>
              <c:yMode val="edge"/>
              <c:x val="9.6235856809711307E-3"/>
              <c:y val="0.1179903470103940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title>
        <c:numFmt formatCode="0.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894438607"/>
        <c:crosses val="autoZero"/>
        <c:crossBetween val="midCat"/>
      </c:valAx>
      <c:spPr>
        <a:noFill/>
        <a:ln w="19050">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005819924683327"/>
          <c:y val="7.1046091620382001E-2"/>
          <c:w val="0.74364464224580618"/>
          <c:h val="0.90253588806088181"/>
        </c:manualLayout>
      </c:layout>
      <c:scatterChart>
        <c:scatterStyle val="lineMarker"/>
        <c:varyColors val="0"/>
        <c:ser>
          <c:idx val="0"/>
          <c:order val="0"/>
          <c:tx>
            <c:strRef>
              <c:f>'Sensitivity analysis - ESD'!$M$443</c:f>
              <c:strCache>
                <c:ptCount val="1"/>
                <c:pt idx="0">
                  <c:v>Material use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'Sensitivity analysis - ESD'!$R$442:$T$442</c:f>
              <c:numCache>
                <c:formatCode>0%</c:formatCode>
                <c:ptCount val="3"/>
                <c:pt idx="0">
                  <c:v>0.8</c:v>
                </c:pt>
                <c:pt idx="1">
                  <c:v>1</c:v>
                </c:pt>
                <c:pt idx="2">
                  <c:v>1.2</c:v>
                </c:pt>
              </c:numCache>
            </c:numRef>
          </c:xVal>
          <c:yVal>
            <c:numRef>
              <c:f>'Sensitivity analysis - ESD'!$R$443:$T$443</c:f>
              <c:numCache>
                <c:formatCode>0.00E+00</c:formatCode>
                <c:ptCount val="3"/>
                <c:pt idx="0">
                  <c:v>-2.0580438369282962E-6</c:v>
                </c:pt>
                <c:pt idx="1">
                  <c:v>-2.042291702408223E-6</c:v>
                </c:pt>
                <c:pt idx="2">
                  <c:v>-2.0265395678881471E-6</c:v>
                </c:pt>
              </c:numCache>
            </c:numRef>
          </c:yVal>
          <c:smooth val="0"/>
          <c:extLst>
            <c:ext xmlns:c16="http://schemas.microsoft.com/office/drawing/2014/chart" uri="{C3380CC4-5D6E-409C-BE32-E72D297353CC}">
              <c16:uniqueId val="{00000000-F48B-4BBA-AC65-26370914B928}"/>
            </c:ext>
          </c:extLst>
        </c:ser>
        <c:ser>
          <c:idx val="1"/>
          <c:order val="1"/>
          <c:tx>
            <c:strRef>
              <c:f>'Sensitivity analysis - ESD'!$M$444</c:f>
              <c:strCache>
                <c:ptCount val="1"/>
                <c:pt idx="0">
                  <c:v>Energy use</c:v>
                </c:pt>
              </c:strCache>
            </c:strRef>
          </c:tx>
          <c:spPr>
            <a:ln w="31750" cap="rnd">
              <a:solidFill>
                <a:schemeClr val="accent4"/>
              </a:solidFill>
              <a:round/>
            </a:ln>
            <a:effectLst/>
          </c:spPr>
          <c:marker>
            <c:symbol val="circle"/>
            <c:size val="5"/>
            <c:spPr>
              <a:solidFill>
                <a:schemeClr val="accent4"/>
              </a:solidFill>
              <a:ln w="9525">
                <a:solidFill>
                  <a:schemeClr val="accent4"/>
                </a:solidFill>
              </a:ln>
              <a:effectLst/>
            </c:spPr>
          </c:marker>
          <c:xVal>
            <c:numRef>
              <c:f>('Sensitivity analysis - ESD'!$Q$442,'Sensitivity analysis - ESD'!$S$442,'Sensitivity analysis - ESD'!$V$442,'Sensitivity analysis - ESD'!$W$442)</c:f>
              <c:numCache>
                <c:formatCode>0%</c:formatCode>
                <c:ptCount val="4"/>
                <c:pt idx="0">
                  <c:v>0.67</c:v>
                </c:pt>
                <c:pt idx="1">
                  <c:v>1</c:v>
                </c:pt>
                <c:pt idx="2">
                  <c:v>1.67</c:v>
                </c:pt>
                <c:pt idx="3">
                  <c:v>2</c:v>
                </c:pt>
              </c:numCache>
            </c:numRef>
          </c:xVal>
          <c:yVal>
            <c:numRef>
              <c:f>('Sensitivity analysis - ESD'!$Q$444,'Sensitivity analysis - ESD'!$S$444,'Sensitivity analysis - ESD'!$V$444,'Sensitivity analysis - ESD'!$W$444)</c:f>
              <c:numCache>
                <c:formatCode>0.00E+00</c:formatCode>
                <c:ptCount val="4"/>
                <c:pt idx="0">
                  <c:v>-2.2436990471933783E-6</c:v>
                </c:pt>
                <c:pt idx="1">
                  <c:v>-2.042291702408223E-6</c:v>
                </c:pt>
                <c:pt idx="2">
                  <c:v>-1.6394770128379085E-6</c:v>
                </c:pt>
              </c:numCache>
            </c:numRef>
          </c:yVal>
          <c:smooth val="0"/>
          <c:extLst>
            <c:ext xmlns:c16="http://schemas.microsoft.com/office/drawing/2014/chart" uri="{C3380CC4-5D6E-409C-BE32-E72D297353CC}">
              <c16:uniqueId val="{00000001-F48B-4BBA-AC65-26370914B928}"/>
            </c:ext>
          </c:extLst>
        </c:ser>
        <c:ser>
          <c:idx val="2"/>
          <c:order val="2"/>
          <c:tx>
            <c:strRef>
              <c:f>'Sensitivity analysis - ESD'!$M$445</c:f>
              <c:strCache>
                <c:ptCount val="1"/>
                <c:pt idx="0">
                  <c:v>Lifetime DAC system</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'Sensitivity analysis - ESD'!$R$442:$S$442</c:f>
              <c:numCache>
                <c:formatCode>0%</c:formatCode>
                <c:ptCount val="2"/>
                <c:pt idx="0">
                  <c:v>0.8</c:v>
                </c:pt>
                <c:pt idx="1">
                  <c:v>1</c:v>
                </c:pt>
              </c:numCache>
            </c:numRef>
          </c:xVal>
          <c:yVal>
            <c:numRef>
              <c:f>'Sensitivity analysis - ESD'!$R$445:$S$445</c:f>
              <c:numCache>
                <c:formatCode>0.00E+00</c:formatCode>
                <c:ptCount val="2"/>
                <c:pt idx="0">
                  <c:v>-1.8528455030102788E-6</c:v>
                </c:pt>
                <c:pt idx="1">
                  <c:v>-2.0422917024082217E-6</c:v>
                </c:pt>
              </c:numCache>
            </c:numRef>
          </c:yVal>
          <c:smooth val="0"/>
          <c:extLst>
            <c:ext xmlns:c16="http://schemas.microsoft.com/office/drawing/2014/chart" uri="{C3380CC4-5D6E-409C-BE32-E72D297353CC}">
              <c16:uniqueId val="{00000002-F48B-4BBA-AC65-26370914B928}"/>
            </c:ext>
          </c:extLst>
        </c:ser>
        <c:ser>
          <c:idx val="3"/>
          <c:order val="3"/>
          <c:tx>
            <c:strRef>
              <c:f>'Sensitivity analysis - ESD'!$M$446</c:f>
              <c:strCache>
                <c:ptCount val="1"/>
                <c:pt idx="0">
                  <c:v>Lifetime sorbent material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('Sensitivity analysis - ESD'!$O$442,'Sensitivity analysis - ESD'!$S$442,'Sensitivity analysis - ESD'!$V$442)</c:f>
              <c:numCache>
                <c:formatCode>0%</c:formatCode>
                <c:ptCount val="3"/>
                <c:pt idx="0">
                  <c:v>0.33</c:v>
                </c:pt>
                <c:pt idx="1">
                  <c:v>1</c:v>
                </c:pt>
                <c:pt idx="2">
                  <c:v>1.67</c:v>
                </c:pt>
              </c:numCache>
            </c:numRef>
          </c:xVal>
          <c:yVal>
            <c:numRef>
              <c:f>('Sensitivity analysis - ESD'!$O$446,'Sensitivity analysis - ESD'!$S$446,'Sensitivity analysis - ESD'!$V$446)</c:f>
              <c:numCache>
                <c:formatCode>0.00E+00</c:formatCode>
                <c:ptCount val="3"/>
                <c:pt idx="0">
                  <c:v>-2.0179754978502126E-6</c:v>
                </c:pt>
                <c:pt idx="1">
                  <c:v>-2.0422917024082217E-6</c:v>
                </c:pt>
                <c:pt idx="2">
                  <c:v>-2.0482310908422905E-6</c:v>
                </c:pt>
              </c:numCache>
            </c:numRef>
          </c:yVal>
          <c:smooth val="0"/>
          <c:extLst>
            <c:ext xmlns:c16="http://schemas.microsoft.com/office/drawing/2014/chart" uri="{C3380CC4-5D6E-409C-BE32-E72D297353CC}">
              <c16:uniqueId val="{00000003-F48B-4BBA-AC65-26370914B928}"/>
            </c:ext>
          </c:extLst>
        </c:ser>
        <c:ser>
          <c:idx val="4"/>
          <c:order val="4"/>
          <c:tx>
            <c:strRef>
              <c:f>'Sensitivity analysis - ESD'!$M$447</c:f>
              <c:strCache>
                <c:ptCount val="1"/>
                <c:pt idx="0">
                  <c:v>Capacity DAC unit</c:v>
                </c:pt>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numRef>
              <c:f>('Sensitivity analysis - ESD'!$P$442,'Sensitivity analysis - ESD'!$S$442,'Sensitivity analysis - ESD'!$U$442)</c:f>
              <c:numCache>
                <c:formatCode>0%</c:formatCode>
                <c:ptCount val="3"/>
                <c:pt idx="0">
                  <c:v>0.5</c:v>
                </c:pt>
                <c:pt idx="1">
                  <c:v>1</c:v>
                </c:pt>
                <c:pt idx="2">
                  <c:v>1.5</c:v>
                </c:pt>
              </c:numCache>
            </c:numRef>
          </c:xVal>
          <c:yVal>
            <c:numRef>
              <c:f>('Sensitivity analysis - ESD'!$P$447,'Sensitivity analysis - ESD'!$S$447,'Sensitivity analysis - ESD'!$U$447)</c:f>
              <c:numCache>
                <c:formatCode>0.00E+00</c:formatCode>
                <c:ptCount val="3"/>
                <c:pt idx="0">
                  <c:v>-1.2845069048164462E-6</c:v>
                </c:pt>
                <c:pt idx="1">
                  <c:v>-2.0422917024082217E-6</c:v>
                </c:pt>
                <c:pt idx="2">
                  <c:v>-2.2948866349388152E-6</c:v>
                </c:pt>
              </c:numCache>
            </c:numRef>
          </c:yVal>
          <c:smooth val="0"/>
          <c:extLst>
            <c:ext xmlns:c16="http://schemas.microsoft.com/office/drawing/2014/chart" uri="{C3380CC4-5D6E-409C-BE32-E72D297353CC}">
              <c16:uniqueId val="{00000004-F48B-4BBA-AC65-26370914B928}"/>
            </c:ext>
          </c:extLst>
        </c:ser>
        <c:ser>
          <c:idx val="6"/>
          <c:order val="5"/>
          <c:tx>
            <c:strRef>
              <c:f>'Sensitivity analysis - ESD'!$M$448</c:f>
              <c:strCache>
                <c:ptCount val="1"/>
                <c:pt idx="0">
                  <c:v>Sorbent type - amine on silica</c:v>
                </c:pt>
              </c:strCache>
            </c:strRef>
          </c:tx>
          <c:spPr>
            <a:ln w="19050" cap="rnd">
              <a:noFill/>
              <a:round/>
            </a:ln>
            <a:effectLst/>
          </c:spPr>
          <c:marker>
            <c:symbol val="square"/>
            <c:size val="5"/>
            <c:spPr>
              <a:solidFill>
                <a:srgbClr val="C00000"/>
              </a:solidFill>
              <a:ln w="9525">
                <a:solidFill>
                  <a:srgbClr val="C00000"/>
                </a:solidFill>
              </a:ln>
              <a:effectLst/>
            </c:spPr>
          </c:marker>
          <c:xVal>
            <c:numRef>
              <c:f>'Sensitivity analysis - ESD'!$S$442</c:f>
              <c:numCache>
                <c:formatCode>0%</c:formatCode>
                <c:ptCount val="1"/>
                <c:pt idx="0">
                  <c:v>1</c:v>
                </c:pt>
              </c:numCache>
            </c:numRef>
          </c:xVal>
          <c:yVal>
            <c:numRef>
              <c:f>'Sensitivity analysis - ESD'!$S$448</c:f>
              <c:numCache>
                <c:formatCode>0.00E+00</c:formatCode>
                <c:ptCount val="1"/>
                <c:pt idx="0">
                  <c:v>-2.0171990036837871E-6</c:v>
                </c:pt>
              </c:numCache>
            </c:numRef>
          </c:yVal>
          <c:smooth val="0"/>
          <c:extLst>
            <c:ext xmlns:c16="http://schemas.microsoft.com/office/drawing/2014/chart" uri="{C3380CC4-5D6E-409C-BE32-E72D297353CC}">
              <c16:uniqueId val="{00000006-F48B-4BBA-AC65-26370914B928}"/>
            </c:ext>
          </c:extLst>
        </c:ser>
        <c:dLbls>
          <c:showLegendKey val="0"/>
          <c:showVal val="0"/>
          <c:showCatName val="0"/>
          <c:showSerName val="0"/>
          <c:showPercent val="0"/>
          <c:showBubbleSize val="0"/>
        </c:dLbls>
        <c:axId val="894438607"/>
        <c:axId val="1119274239"/>
      </c:scatterChart>
      <c:valAx>
        <c:axId val="894438607"/>
        <c:scaling>
          <c:orientation val="minMax"/>
          <c:max val="2.5"/>
          <c:min val="0"/>
        </c:scaling>
        <c:delete val="0"/>
        <c:axPos val="b"/>
        <c:majorGridlines>
          <c:spPr>
            <a:ln w="9525" cap="flat" cmpd="sng" algn="ctr">
              <a:solidFill>
                <a:schemeClr val="tx1">
                  <a:lumMod val="50000"/>
                  <a:lumOff val="50000"/>
                </a:schemeClr>
              </a:solidFill>
              <a:round/>
            </a:ln>
            <a:effectLst/>
          </c:spPr>
        </c:majorGridlines>
        <c:numFmt formatCode="0%" sourceLinked="1"/>
        <c:majorTickMark val="none"/>
        <c:minorTickMark val="none"/>
        <c:tickLblPos val="high"/>
        <c:spPr>
          <a:noFill/>
          <a:ln w="190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1119274239"/>
        <c:crosses val="autoZero"/>
        <c:crossBetween val="midCat"/>
      </c:valAx>
      <c:valAx>
        <c:axId val="1119274239"/>
        <c:scaling>
          <c:orientation val="minMax"/>
        </c:scaling>
        <c:delete val="0"/>
        <c:axPos val="l"/>
        <c:majorGridlines>
          <c:spPr>
            <a:ln w="9525" cap="flat" cmpd="sng" algn="ctr">
              <a:solidFill>
                <a:schemeClr val="tx1">
                  <a:lumMod val="50000"/>
                  <a:lumOff val="50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r>
                  <a:rPr lang="nl-NL"/>
                  <a:t>Ecosystem damage</a:t>
                </a:r>
              </a:p>
              <a:p>
                <a:pPr>
                  <a:defRPr/>
                </a:pPr>
                <a:r>
                  <a:rPr lang="nl-NL"/>
                  <a:t>[species*year/ton CO</a:t>
                </a:r>
                <a:r>
                  <a:rPr lang="nl-NL" baseline="-25000"/>
                  <a:t>2</a:t>
                </a:r>
                <a:r>
                  <a:rPr lang="nl-NL"/>
                  <a:t> captured and stored]</a:t>
                </a:r>
              </a:p>
            </c:rich>
          </c:tx>
          <c:layout>
            <c:manualLayout>
              <c:xMode val="edge"/>
              <c:yMode val="edge"/>
              <c:x val="7.1838411502909965E-3"/>
              <c:y val="0.1357018755756510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title>
        <c:numFmt formatCode="0.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894438607"/>
        <c:crosses val="autoZero"/>
        <c:crossBetween val="midCat"/>
      </c:valAx>
      <c:spPr>
        <a:noFill/>
        <a:ln w="19050">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19692808062577"/>
          <c:y val="7.8345072223025738E-2"/>
          <c:w val="0.41748456318118088"/>
          <c:h val="0.89554846506848518"/>
        </c:manualLayout>
      </c:layout>
      <c:scatterChart>
        <c:scatterStyle val="lineMarker"/>
        <c:varyColors val="0"/>
        <c:ser>
          <c:idx val="0"/>
          <c:order val="0"/>
          <c:tx>
            <c:strRef>
              <c:f>'Sensitivity analysis - ESD'!$Y$443</c:f>
              <c:strCache>
                <c:ptCount val="1"/>
                <c:pt idx="0">
                  <c:v>Material use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'Sensitivity analysis - ESD'!$AD$442:$AF$442</c:f>
              <c:numCache>
                <c:formatCode>0%</c:formatCode>
                <c:ptCount val="3"/>
                <c:pt idx="0">
                  <c:v>0.8</c:v>
                </c:pt>
                <c:pt idx="1">
                  <c:v>1</c:v>
                </c:pt>
                <c:pt idx="2">
                  <c:v>1.2</c:v>
                </c:pt>
              </c:numCache>
            </c:numRef>
          </c:xVal>
          <c:yVal>
            <c:numRef>
              <c:f>'Sensitivity analysis - ESD'!$AD$443:$AF$443</c:f>
              <c:numCache>
                <c:formatCode>0.00E+00</c:formatCode>
                <c:ptCount val="3"/>
                <c:pt idx="0">
                  <c:v>-2.46801379088427E-6</c:v>
                </c:pt>
                <c:pt idx="1">
                  <c:v>-2.4548423527690632E-6</c:v>
                </c:pt>
                <c:pt idx="2">
                  <c:v>-2.441670914653854E-6</c:v>
                </c:pt>
              </c:numCache>
            </c:numRef>
          </c:yVal>
          <c:smooth val="0"/>
          <c:extLst>
            <c:ext xmlns:c16="http://schemas.microsoft.com/office/drawing/2014/chart" uri="{C3380CC4-5D6E-409C-BE32-E72D297353CC}">
              <c16:uniqueId val="{00000000-CCF7-41B5-9F5D-DE8B58ADD7E5}"/>
            </c:ext>
          </c:extLst>
        </c:ser>
        <c:ser>
          <c:idx val="1"/>
          <c:order val="1"/>
          <c:tx>
            <c:strRef>
              <c:f>'Sensitivity analysis - ESD'!$Y$444</c:f>
              <c:strCache>
                <c:ptCount val="1"/>
                <c:pt idx="0">
                  <c:v>Energy use</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('Sensitivity analysis - ESD'!$AC$442,'Sensitivity analysis - ESD'!$AE$442,'Sensitivity analysis - ESD'!$AH$442,'Sensitivity analysis - ESD'!$AI$442)</c:f>
              <c:numCache>
                <c:formatCode>0%</c:formatCode>
                <c:ptCount val="4"/>
                <c:pt idx="0">
                  <c:v>0.67</c:v>
                </c:pt>
                <c:pt idx="1">
                  <c:v>1</c:v>
                </c:pt>
                <c:pt idx="2">
                  <c:v>1.67</c:v>
                </c:pt>
              </c:numCache>
            </c:numRef>
          </c:xVal>
          <c:yVal>
            <c:numRef>
              <c:f>('Sensitivity analysis - ESD'!$AC$444,'Sensitivity analysis - ESD'!$AE$444,'Sensitivity analysis - ESD'!$AH$444,'Sensitivity analysis - ESD'!$AI$444)</c:f>
              <c:numCache>
                <c:formatCode>0.00E+00</c:formatCode>
                <c:ptCount val="4"/>
                <c:pt idx="0">
                  <c:v>-2.5330393103918923E-6</c:v>
                </c:pt>
                <c:pt idx="1">
                  <c:v>-2.4548423527690632E-6</c:v>
                </c:pt>
                <c:pt idx="2">
                  <c:v>-2.2984484375234013E-6</c:v>
                </c:pt>
              </c:numCache>
            </c:numRef>
          </c:yVal>
          <c:smooth val="0"/>
          <c:extLst>
            <c:ext xmlns:c16="http://schemas.microsoft.com/office/drawing/2014/chart" uri="{C3380CC4-5D6E-409C-BE32-E72D297353CC}">
              <c16:uniqueId val="{00000001-CCF7-41B5-9F5D-DE8B58ADD7E5}"/>
            </c:ext>
          </c:extLst>
        </c:ser>
        <c:ser>
          <c:idx val="2"/>
          <c:order val="2"/>
          <c:tx>
            <c:strRef>
              <c:f>'Sensitivity analysis - ESD'!$Y$445</c:f>
              <c:strCache>
                <c:ptCount val="1"/>
                <c:pt idx="0">
                  <c:v>Lifetime DAC system</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'Sensitivity analysis - ESD'!$AD$442:$AE$442</c:f>
              <c:numCache>
                <c:formatCode>0%</c:formatCode>
                <c:ptCount val="2"/>
                <c:pt idx="0">
                  <c:v>0.8</c:v>
                </c:pt>
                <c:pt idx="1">
                  <c:v>1</c:v>
                </c:pt>
              </c:numCache>
            </c:numRef>
          </c:xVal>
          <c:yVal>
            <c:numRef>
              <c:f>'Sensitivity analysis - ESD'!$AD$445:$AE$445</c:f>
              <c:numCache>
                <c:formatCode>0.00E+00</c:formatCode>
                <c:ptCount val="2"/>
                <c:pt idx="0">
                  <c:v>-2.3685338159613288E-6</c:v>
                </c:pt>
                <c:pt idx="1">
                  <c:v>-2.454842352769062E-6</c:v>
                </c:pt>
              </c:numCache>
            </c:numRef>
          </c:yVal>
          <c:smooth val="0"/>
          <c:extLst>
            <c:ext xmlns:c16="http://schemas.microsoft.com/office/drawing/2014/chart" uri="{C3380CC4-5D6E-409C-BE32-E72D297353CC}">
              <c16:uniqueId val="{00000002-CCF7-41B5-9F5D-DE8B58ADD7E5}"/>
            </c:ext>
          </c:extLst>
        </c:ser>
        <c:ser>
          <c:idx val="3"/>
          <c:order val="3"/>
          <c:tx>
            <c:strRef>
              <c:f>'Sensitivity analysis - ESD'!$Y$446</c:f>
              <c:strCache>
                <c:ptCount val="1"/>
                <c:pt idx="0">
                  <c:v>Lifetime sorbent material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('Sensitivity analysis - ESD'!$AA$442,'Sensitivity analysis - ESD'!$AE$442,'Sensitivity analysis - ESD'!$AH$442)</c:f>
              <c:numCache>
                <c:formatCode>0%</c:formatCode>
                <c:ptCount val="3"/>
                <c:pt idx="0">
                  <c:v>0.33</c:v>
                </c:pt>
                <c:pt idx="1">
                  <c:v>1</c:v>
                </c:pt>
                <c:pt idx="2">
                  <c:v>1.67</c:v>
                </c:pt>
              </c:numCache>
            </c:numRef>
          </c:xVal>
          <c:yVal>
            <c:numRef>
              <c:f>('Sensitivity analysis - ESD'!$AA$446,'Sensitivity analysis - ESD'!$AE$446,'Sensitivity analysis - ESD'!$AH$446)</c:f>
              <c:numCache>
                <c:formatCode>0.00E+00</c:formatCode>
                <c:ptCount val="3"/>
                <c:pt idx="0">
                  <c:v>-2.4333848913942936E-6</c:v>
                </c:pt>
                <c:pt idx="1">
                  <c:v>-2.4548423527690632E-6</c:v>
                </c:pt>
                <c:pt idx="2">
                  <c:v>-2.4601955522035261E-6</c:v>
                </c:pt>
              </c:numCache>
            </c:numRef>
          </c:yVal>
          <c:smooth val="0"/>
          <c:extLst>
            <c:ext xmlns:c16="http://schemas.microsoft.com/office/drawing/2014/chart" uri="{C3380CC4-5D6E-409C-BE32-E72D297353CC}">
              <c16:uniqueId val="{00000003-CCF7-41B5-9F5D-DE8B58ADD7E5}"/>
            </c:ext>
          </c:extLst>
        </c:ser>
        <c:ser>
          <c:idx val="4"/>
          <c:order val="4"/>
          <c:tx>
            <c:strRef>
              <c:f>'Sensitivity analysis - ESD'!$Y$447</c:f>
              <c:strCache>
                <c:ptCount val="1"/>
                <c:pt idx="0">
                  <c:v>Capacity DAC unit</c:v>
                </c:pt>
              </c:strCache>
            </c:strRef>
          </c:tx>
          <c:spPr>
            <a:ln w="19050" cap="rnd">
              <a:solidFill>
                <a:srgbClr val="996633"/>
              </a:solidFill>
              <a:round/>
            </a:ln>
            <a:effectLst/>
          </c:spPr>
          <c:marker>
            <c:symbol val="circle"/>
            <c:size val="5"/>
            <c:spPr>
              <a:solidFill>
                <a:srgbClr val="996633"/>
              </a:solidFill>
              <a:ln w="9525">
                <a:solidFill>
                  <a:srgbClr val="996633"/>
                </a:solidFill>
              </a:ln>
              <a:effectLst/>
            </c:spPr>
          </c:marker>
          <c:xVal>
            <c:numRef>
              <c:f>('Sensitivity analysis - ESD'!$AB$442,'Sensitivity analysis - ESD'!$AE$442,'Sensitivity analysis - ESD'!$AG$442)</c:f>
              <c:numCache>
                <c:formatCode>0%</c:formatCode>
                <c:ptCount val="3"/>
                <c:pt idx="0">
                  <c:v>0.5</c:v>
                </c:pt>
                <c:pt idx="1">
                  <c:v>1</c:v>
                </c:pt>
                <c:pt idx="2">
                  <c:v>1.5</c:v>
                </c:pt>
              </c:numCache>
            </c:numRef>
          </c:xVal>
          <c:yVal>
            <c:numRef>
              <c:f>('Sensitivity analysis - ESD'!$AB$447,'Sensitivity analysis - ESD'!$AE$447,'Sensitivity analysis - ESD'!$AG$447)</c:f>
              <c:numCache>
                <c:formatCode>0.00E+00</c:formatCode>
                <c:ptCount val="3"/>
                <c:pt idx="0">
                  <c:v>-2.1096082055381265E-6</c:v>
                </c:pt>
                <c:pt idx="1">
                  <c:v>-2.454842352769062E-6</c:v>
                </c:pt>
                <c:pt idx="2">
                  <c:v>-2.5699204018460423E-6</c:v>
                </c:pt>
              </c:numCache>
            </c:numRef>
          </c:yVal>
          <c:smooth val="0"/>
          <c:extLst>
            <c:ext xmlns:c16="http://schemas.microsoft.com/office/drawing/2014/chart" uri="{C3380CC4-5D6E-409C-BE32-E72D297353CC}">
              <c16:uniqueId val="{00000004-CCF7-41B5-9F5D-DE8B58ADD7E5}"/>
            </c:ext>
          </c:extLst>
        </c:ser>
        <c:ser>
          <c:idx val="6"/>
          <c:order val="5"/>
          <c:tx>
            <c:strRef>
              <c:f>'Sensitivity analysis - ESD'!$Y$448</c:f>
              <c:strCache>
                <c:ptCount val="1"/>
                <c:pt idx="0">
                  <c:v>Sorbent type - amine on silica</c:v>
                </c:pt>
              </c:strCache>
            </c:strRef>
          </c:tx>
          <c:spPr>
            <a:ln w="19050" cap="rnd">
              <a:noFill/>
              <a:round/>
            </a:ln>
            <a:effectLst/>
          </c:spPr>
          <c:marker>
            <c:symbol val="square"/>
            <c:size val="5"/>
            <c:spPr>
              <a:solidFill>
                <a:srgbClr val="C00000"/>
              </a:solidFill>
              <a:ln w="9525">
                <a:solidFill>
                  <a:srgbClr val="C00000"/>
                </a:solidFill>
              </a:ln>
              <a:effectLst/>
            </c:spPr>
          </c:marker>
          <c:xVal>
            <c:numRef>
              <c:f>'Sensitivity analysis - ESD'!$AE$442</c:f>
              <c:numCache>
                <c:formatCode>0%</c:formatCode>
                <c:ptCount val="1"/>
                <c:pt idx="0">
                  <c:v>1</c:v>
                </c:pt>
              </c:numCache>
            </c:numRef>
          </c:xVal>
          <c:yVal>
            <c:numRef>
              <c:f>'Sensitivity analysis - ESD'!$AE$448</c:f>
              <c:numCache>
                <c:formatCode>0.00E+00</c:formatCode>
                <c:ptCount val="1"/>
                <c:pt idx="0">
                  <c:v>-2.4325925960522738E-6</c:v>
                </c:pt>
              </c:numCache>
            </c:numRef>
          </c:yVal>
          <c:smooth val="0"/>
          <c:extLst>
            <c:ext xmlns:c16="http://schemas.microsoft.com/office/drawing/2014/chart" uri="{C3380CC4-5D6E-409C-BE32-E72D297353CC}">
              <c16:uniqueId val="{00000006-CCF7-41B5-9F5D-DE8B58ADD7E5}"/>
            </c:ext>
          </c:extLst>
        </c:ser>
        <c:dLbls>
          <c:showLegendKey val="0"/>
          <c:showVal val="0"/>
          <c:showCatName val="0"/>
          <c:showSerName val="0"/>
          <c:showPercent val="0"/>
          <c:showBubbleSize val="0"/>
        </c:dLbls>
        <c:axId val="894438607"/>
        <c:axId val="1119274239"/>
      </c:scatterChart>
      <c:valAx>
        <c:axId val="894438607"/>
        <c:scaling>
          <c:orientation val="minMax"/>
          <c:max val="2.5"/>
          <c:min val="0"/>
        </c:scaling>
        <c:delete val="0"/>
        <c:axPos val="b"/>
        <c:majorGridlines>
          <c:spPr>
            <a:ln w="9525" cap="flat" cmpd="sng" algn="ctr">
              <a:solidFill>
                <a:schemeClr val="tx1">
                  <a:lumMod val="50000"/>
                  <a:lumOff val="50000"/>
                </a:schemeClr>
              </a:solidFill>
              <a:round/>
            </a:ln>
            <a:effectLst/>
          </c:spPr>
        </c:majorGridlines>
        <c:numFmt formatCode="0%" sourceLinked="1"/>
        <c:majorTickMark val="none"/>
        <c:minorTickMark val="none"/>
        <c:tickLblPos val="high"/>
        <c:spPr>
          <a:noFill/>
          <a:ln w="190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1119274239"/>
        <c:crosses val="autoZero"/>
        <c:crossBetween val="midCat"/>
      </c:valAx>
      <c:valAx>
        <c:axId val="1119274239"/>
        <c:scaling>
          <c:orientation val="minMax"/>
        </c:scaling>
        <c:delete val="0"/>
        <c:axPos val="l"/>
        <c:majorGridlines>
          <c:spPr>
            <a:ln w="9525" cap="flat" cmpd="sng" algn="ctr">
              <a:solidFill>
                <a:schemeClr val="tx1">
                  <a:lumMod val="50000"/>
                  <a:lumOff val="50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r>
                  <a:rPr lang="nl-NL"/>
                  <a:t>Ecosystem damage</a:t>
                </a:r>
              </a:p>
              <a:p>
                <a:pPr>
                  <a:defRPr/>
                </a:pPr>
                <a:r>
                  <a:rPr lang="nl-NL"/>
                  <a:t>[species*year/ton CO</a:t>
                </a:r>
                <a:r>
                  <a:rPr lang="nl-NL" baseline="-25000"/>
                  <a:t>2</a:t>
                </a:r>
                <a:r>
                  <a:rPr lang="nl-NL"/>
                  <a:t> captured and stored]</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title>
        <c:numFmt formatCode="0.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894438607"/>
        <c:crosses val="autoZero"/>
        <c:crossBetween val="midCat"/>
      </c:valAx>
      <c:spPr>
        <a:noFill/>
        <a:ln w="19050">
          <a:solidFill>
            <a:schemeClr val="tx1"/>
          </a:solidFill>
        </a:ln>
        <a:effectLst/>
      </c:spPr>
    </c:plotArea>
    <c:legend>
      <c:legendPos val="r"/>
      <c:layout>
        <c:manualLayout>
          <c:xMode val="edge"/>
          <c:yMode val="edge"/>
          <c:x val="0.53169294736491457"/>
          <c:y val="7.4172479218749934E-2"/>
          <c:w val="0.24828804709021357"/>
          <c:h val="0.899178674081772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580891821470707"/>
          <c:y val="7.1230981607336832E-2"/>
          <c:w val="0.71896793074763388"/>
          <c:h val="0.90807451676883488"/>
        </c:manualLayout>
      </c:layout>
      <c:scatterChart>
        <c:scatterStyle val="lineMarker"/>
        <c:varyColors val="0"/>
        <c:ser>
          <c:idx val="0"/>
          <c:order val="0"/>
          <c:tx>
            <c:strRef>
              <c:f>'Sensitivity analysis - ESD'!$A$453</c:f>
              <c:strCache>
                <c:ptCount val="1"/>
                <c:pt idx="0">
                  <c:v>Material use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'Sensitivity analysis - ESD'!$F$452:$H$452</c:f>
              <c:numCache>
                <c:formatCode>0%</c:formatCode>
                <c:ptCount val="3"/>
                <c:pt idx="0">
                  <c:v>0.8</c:v>
                </c:pt>
                <c:pt idx="1">
                  <c:v>1</c:v>
                </c:pt>
                <c:pt idx="2">
                  <c:v>1.2</c:v>
                </c:pt>
              </c:numCache>
            </c:numRef>
          </c:xVal>
          <c:yVal>
            <c:numRef>
              <c:f>'Sensitivity analysis - ESD'!$F$453:$H$453</c:f>
              <c:numCache>
                <c:formatCode>0.00E+00</c:formatCode>
                <c:ptCount val="3"/>
                <c:pt idx="0">
                  <c:v>-8.0535502555405882E-7</c:v>
                </c:pt>
                <c:pt idx="1">
                  <c:v>-7.8863800370132619E-7</c:v>
                </c:pt>
                <c:pt idx="2">
                  <c:v>-7.7192098184859186E-7</c:v>
                </c:pt>
              </c:numCache>
            </c:numRef>
          </c:yVal>
          <c:smooth val="0"/>
          <c:extLst>
            <c:ext xmlns:c16="http://schemas.microsoft.com/office/drawing/2014/chart" uri="{C3380CC4-5D6E-409C-BE32-E72D297353CC}">
              <c16:uniqueId val="{00000000-508B-48E4-B2D4-E703A27AE12E}"/>
            </c:ext>
          </c:extLst>
        </c:ser>
        <c:ser>
          <c:idx val="1"/>
          <c:order val="1"/>
          <c:tx>
            <c:strRef>
              <c:f>'Sensitivity analysis - ESD'!$A$454</c:f>
              <c:strCache>
                <c:ptCount val="1"/>
                <c:pt idx="0">
                  <c:v>Energy use</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('Sensitivity analysis - ESD'!$E$452,'Sensitivity analysis - ESD'!$G$452,'Sensitivity analysis - ESD'!$J$452,'Sensitivity analysis - ESD'!$K$452)</c:f>
              <c:numCache>
                <c:formatCode>0%</c:formatCode>
                <c:ptCount val="4"/>
                <c:pt idx="0">
                  <c:v>0.67</c:v>
                </c:pt>
                <c:pt idx="1">
                  <c:v>1</c:v>
                </c:pt>
                <c:pt idx="2">
                  <c:v>1.67</c:v>
                </c:pt>
                <c:pt idx="3">
                  <c:v>2</c:v>
                </c:pt>
              </c:numCache>
            </c:numRef>
          </c:xVal>
          <c:yVal>
            <c:numRef>
              <c:f>('Sensitivity analysis - ESD'!$E$454,'Sensitivity analysis - ESD'!$G$454,'Sensitivity analysis - ESD'!$J$454,'Sensitivity analysis - ESD'!$K$454)</c:f>
              <c:numCache>
                <c:formatCode>0.00E+00</c:formatCode>
                <c:ptCount val="4"/>
                <c:pt idx="0">
                  <c:v>-1.4257145454216919E-6</c:v>
                </c:pt>
                <c:pt idx="1">
                  <c:v>-7.8863800370132619E-7</c:v>
                </c:pt>
                <c:pt idx="2">
                  <c:v>4.8551507973940811E-7</c:v>
                </c:pt>
              </c:numCache>
            </c:numRef>
          </c:yVal>
          <c:smooth val="0"/>
          <c:extLst>
            <c:ext xmlns:c16="http://schemas.microsoft.com/office/drawing/2014/chart" uri="{C3380CC4-5D6E-409C-BE32-E72D297353CC}">
              <c16:uniqueId val="{00000001-508B-48E4-B2D4-E703A27AE12E}"/>
            </c:ext>
          </c:extLst>
        </c:ser>
        <c:ser>
          <c:idx val="2"/>
          <c:order val="2"/>
          <c:tx>
            <c:strRef>
              <c:f>'Sensitivity analysis - ESD'!$A$455</c:f>
              <c:strCache>
                <c:ptCount val="1"/>
                <c:pt idx="0">
                  <c:v>Lifetime DAC system</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('Sensitivity analysis - ESD'!$F$452,'Sensitivity analysis - ESD'!$G$452)</c:f>
              <c:numCache>
                <c:formatCode>0%</c:formatCode>
                <c:ptCount val="2"/>
                <c:pt idx="0">
                  <c:v>0.8</c:v>
                </c:pt>
                <c:pt idx="1">
                  <c:v>1</c:v>
                </c:pt>
              </c:numCache>
            </c:numRef>
          </c:xVal>
          <c:yVal>
            <c:numRef>
              <c:f>'Sensitivity analysis - ESD'!$F$455:$G$455</c:f>
              <c:numCache>
                <c:formatCode>0.00E+00</c:formatCode>
                <c:ptCount val="2"/>
                <c:pt idx="0">
                  <c:v>-2.8577837962665817E-7</c:v>
                </c:pt>
                <c:pt idx="1">
                  <c:v>-7.8863800370132534E-7</c:v>
                </c:pt>
              </c:numCache>
            </c:numRef>
          </c:yVal>
          <c:smooth val="0"/>
          <c:extLst>
            <c:ext xmlns:c16="http://schemas.microsoft.com/office/drawing/2014/chart" uri="{C3380CC4-5D6E-409C-BE32-E72D297353CC}">
              <c16:uniqueId val="{00000002-508B-48E4-B2D4-E703A27AE12E}"/>
            </c:ext>
          </c:extLst>
        </c:ser>
        <c:ser>
          <c:idx val="3"/>
          <c:order val="3"/>
          <c:tx>
            <c:strRef>
              <c:f>'Sensitivity analysis - ESD'!$A$456</c:f>
              <c:strCache>
                <c:ptCount val="1"/>
                <c:pt idx="0">
                  <c:v>Lifetime sorbent material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('Sensitivity analysis - ESD'!$C$452,'Sensitivity analysis - ESD'!$G$452,'Sensitivity analysis - ESD'!$J$452)</c:f>
              <c:numCache>
                <c:formatCode>0%</c:formatCode>
                <c:ptCount val="3"/>
                <c:pt idx="0">
                  <c:v>0.33</c:v>
                </c:pt>
                <c:pt idx="1">
                  <c:v>1</c:v>
                </c:pt>
                <c:pt idx="2">
                  <c:v>1.67</c:v>
                </c:pt>
              </c:numCache>
            </c:numRef>
          </c:xVal>
          <c:yVal>
            <c:numRef>
              <c:f>('Sensitivity analysis - ESD'!$C$456,'Sensitivity analysis - ESD'!$G$456,'Sensitivity analysis - ESD'!$J$456)</c:f>
              <c:numCache>
                <c:formatCode>0.00E+00</c:formatCode>
                <c:ptCount val="3"/>
                <c:pt idx="0">
                  <c:v>-7.5987366287474584E-7</c:v>
                </c:pt>
                <c:pt idx="1">
                  <c:v>-7.8863800370132619E-7</c:v>
                </c:pt>
                <c:pt idx="2">
                  <c:v>-7.9578526580894472E-7</c:v>
                </c:pt>
              </c:numCache>
            </c:numRef>
          </c:yVal>
          <c:smooth val="0"/>
          <c:extLst>
            <c:ext xmlns:c16="http://schemas.microsoft.com/office/drawing/2014/chart" uri="{C3380CC4-5D6E-409C-BE32-E72D297353CC}">
              <c16:uniqueId val="{00000003-508B-48E4-B2D4-E703A27AE12E}"/>
            </c:ext>
          </c:extLst>
        </c:ser>
        <c:ser>
          <c:idx val="4"/>
          <c:order val="4"/>
          <c:tx>
            <c:strRef>
              <c:f>'Sensitivity analysis - ESD'!$A$457</c:f>
              <c:strCache>
                <c:ptCount val="1"/>
                <c:pt idx="0">
                  <c:v>Capacity DAC unit</c:v>
                </c:pt>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numRef>
              <c:f>('Sensitivity analysis - ESD'!$D$452,'Sensitivity analysis - ESD'!$G$452,'Sensitivity analysis - ESD'!$I$452)</c:f>
              <c:numCache>
                <c:formatCode>0%</c:formatCode>
                <c:ptCount val="3"/>
                <c:pt idx="0">
                  <c:v>0.5</c:v>
                </c:pt>
                <c:pt idx="1">
                  <c:v>1</c:v>
                </c:pt>
                <c:pt idx="2">
                  <c:v>1.5</c:v>
                </c:pt>
              </c:numCache>
            </c:numRef>
          </c:xVal>
          <c:yVal>
            <c:numRef>
              <c:f>('Sensitivity analysis - ESD'!$D$457,'Sensitivity analysis - ESD'!$G$457,'Sensitivity analysis - ESD'!$I$457)</c:f>
              <c:numCache>
                <c:formatCode>0.00E+00</c:formatCode>
                <c:ptCount val="3"/>
                <c:pt idx="0">
                  <c:v>1.2228004925973467E-6</c:v>
                </c:pt>
                <c:pt idx="1">
                  <c:v>-7.8863800370132534E-7</c:v>
                </c:pt>
                <c:pt idx="2">
                  <c:v>-1.4591175024675509E-6</c:v>
                </c:pt>
              </c:numCache>
            </c:numRef>
          </c:yVal>
          <c:smooth val="0"/>
          <c:extLst>
            <c:ext xmlns:c16="http://schemas.microsoft.com/office/drawing/2014/chart" uri="{C3380CC4-5D6E-409C-BE32-E72D297353CC}">
              <c16:uniqueId val="{00000004-508B-48E4-B2D4-E703A27AE12E}"/>
            </c:ext>
          </c:extLst>
        </c:ser>
        <c:ser>
          <c:idx val="5"/>
          <c:order val="5"/>
          <c:tx>
            <c:strRef>
              <c:f>'Sensitivity analysis - ESD'!$A$458</c:f>
              <c:strCache>
                <c:ptCount val="1"/>
                <c:pt idx="0">
                  <c:v>Capacity factor</c:v>
                </c:pt>
              </c:strCache>
            </c:strRef>
          </c:tx>
          <c:spPr>
            <a:ln w="19050"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xVal>
            <c:numRef>
              <c:f>('Sensitivity analysis - ESD'!$G$452,'Sensitivity analysis - ESD'!$I$452,'Sensitivity analysis - ESD'!$K$452)</c:f>
              <c:numCache>
                <c:formatCode>0%</c:formatCode>
                <c:ptCount val="3"/>
                <c:pt idx="0">
                  <c:v>1</c:v>
                </c:pt>
                <c:pt idx="1">
                  <c:v>1.5</c:v>
                </c:pt>
                <c:pt idx="2">
                  <c:v>2</c:v>
                </c:pt>
              </c:numCache>
            </c:numRef>
          </c:xVal>
          <c:yVal>
            <c:numRef>
              <c:f>('Sensitivity analysis - ESD'!$G$458,'Sensitivity analysis - ESD'!$I$458,'Sensitivity analysis - ESD'!$K$458)</c:f>
              <c:numCache>
                <c:formatCode>0.00E+00</c:formatCode>
                <c:ptCount val="3"/>
                <c:pt idx="0">
                  <c:v>-7.8863800370132534E-7</c:v>
                </c:pt>
                <c:pt idx="1">
                  <c:v>-1.0407293162602152E-6</c:v>
                </c:pt>
                <c:pt idx="2">
                  <c:v>-1.2490774100347388E-6</c:v>
                </c:pt>
              </c:numCache>
            </c:numRef>
          </c:yVal>
          <c:smooth val="0"/>
          <c:extLst>
            <c:ext xmlns:c16="http://schemas.microsoft.com/office/drawing/2014/chart" uri="{C3380CC4-5D6E-409C-BE32-E72D297353CC}">
              <c16:uniqueId val="{00000005-508B-48E4-B2D4-E703A27AE12E}"/>
            </c:ext>
          </c:extLst>
        </c:ser>
        <c:ser>
          <c:idx val="7"/>
          <c:order val="6"/>
          <c:tx>
            <c:strRef>
              <c:f>'Sensitivity analysis - ESD'!$A$459</c:f>
              <c:strCache>
                <c:ptCount val="1"/>
                <c:pt idx="0">
                  <c:v>Sorbent type - amine on silica</c:v>
                </c:pt>
              </c:strCache>
            </c:strRef>
          </c:tx>
          <c:spPr>
            <a:ln w="19050" cap="rnd">
              <a:noFill/>
              <a:round/>
            </a:ln>
            <a:effectLst/>
          </c:spPr>
          <c:marker>
            <c:symbol val="square"/>
            <c:size val="5"/>
            <c:spPr>
              <a:solidFill>
                <a:srgbClr val="C00000"/>
              </a:solidFill>
              <a:ln w="9525">
                <a:solidFill>
                  <a:srgbClr val="C00000"/>
                </a:solidFill>
              </a:ln>
              <a:effectLst/>
            </c:spPr>
          </c:marker>
          <c:xVal>
            <c:numRef>
              <c:f>'Sensitivity analysis - ESD'!$G$452</c:f>
              <c:numCache>
                <c:formatCode>0%</c:formatCode>
                <c:ptCount val="1"/>
                <c:pt idx="0">
                  <c:v>1</c:v>
                </c:pt>
              </c:numCache>
            </c:numRef>
          </c:xVal>
          <c:yVal>
            <c:numRef>
              <c:f>'Sensitivity analysis - ESD'!$G$459</c:f>
              <c:numCache>
                <c:formatCode>0.00E+00</c:formatCode>
                <c:ptCount val="1"/>
                <c:pt idx="0">
                  <c:v>-7.5907913959538062E-7</c:v>
                </c:pt>
              </c:numCache>
            </c:numRef>
          </c:yVal>
          <c:smooth val="0"/>
          <c:extLst>
            <c:ext xmlns:c16="http://schemas.microsoft.com/office/drawing/2014/chart" uri="{C3380CC4-5D6E-409C-BE32-E72D297353CC}">
              <c16:uniqueId val="{00000007-508B-48E4-B2D4-E703A27AE12E}"/>
            </c:ext>
          </c:extLst>
        </c:ser>
        <c:dLbls>
          <c:showLegendKey val="0"/>
          <c:showVal val="0"/>
          <c:showCatName val="0"/>
          <c:showSerName val="0"/>
          <c:showPercent val="0"/>
          <c:showBubbleSize val="0"/>
        </c:dLbls>
        <c:axId val="894438607"/>
        <c:axId val="1119274239"/>
      </c:scatterChart>
      <c:valAx>
        <c:axId val="894438607"/>
        <c:scaling>
          <c:orientation val="minMax"/>
          <c:max val="2.5"/>
          <c:min val="0"/>
        </c:scaling>
        <c:delete val="0"/>
        <c:axPos val="b"/>
        <c:majorGridlines>
          <c:spPr>
            <a:ln w="9525" cap="flat" cmpd="sng" algn="ctr">
              <a:solidFill>
                <a:schemeClr val="tx1">
                  <a:lumMod val="50000"/>
                  <a:lumOff val="50000"/>
                </a:schemeClr>
              </a:solidFill>
              <a:round/>
            </a:ln>
            <a:effectLst/>
          </c:spPr>
        </c:majorGridlines>
        <c:numFmt formatCode="0%" sourceLinked="1"/>
        <c:majorTickMark val="none"/>
        <c:minorTickMark val="none"/>
        <c:tickLblPos val="high"/>
        <c:spPr>
          <a:noFill/>
          <a:ln w="190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1119274239"/>
        <c:crosses val="autoZero"/>
        <c:crossBetween val="midCat"/>
      </c:valAx>
      <c:valAx>
        <c:axId val="1119274239"/>
        <c:scaling>
          <c:orientation val="minMax"/>
        </c:scaling>
        <c:delete val="0"/>
        <c:axPos val="l"/>
        <c:majorGridlines>
          <c:spPr>
            <a:ln w="9525" cap="flat" cmpd="sng" algn="ctr">
              <a:solidFill>
                <a:schemeClr val="tx1">
                  <a:lumMod val="50000"/>
                  <a:lumOff val="50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r>
                  <a:rPr lang="nl-NL"/>
                  <a:t>Ecosystem damage</a:t>
                </a:r>
              </a:p>
              <a:p>
                <a:pPr>
                  <a:defRPr/>
                </a:pPr>
                <a:r>
                  <a:rPr lang="nl-NL"/>
                  <a:t>[species*year/ton CO</a:t>
                </a:r>
                <a:r>
                  <a:rPr lang="nl-NL" baseline="-25000"/>
                  <a:t>2</a:t>
                </a:r>
                <a:r>
                  <a:rPr lang="nl-NL"/>
                  <a:t> captured and stored]</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title>
        <c:numFmt formatCode="0.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894438607"/>
        <c:crosses val="autoZero"/>
        <c:crossBetween val="midCat"/>
      </c:valAx>
      <c:spPr>
        <a:noFill/>
        <a:ln w="19050">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2254393319634"/>
          <c:y val="6.9740429383197355E-2"/>
          <c:w val="0.42336028977008383"/>
          <c:h val="0.885736824710606"/>
        </c:manualLayout>
      </c:layout>
      <c:scatterChart>
        <c:scatterStyle val="lineMarker"/>
        <c:varyColors val="0"/>
        <c:ser>
          <c:idx val="0"/>
          <c:order val="0"/>
          <c:tx>
            <c:strRef>
              <c:f>'Sensitivity analysis - ESD'!$Y$453</c:f>
              <c:strCache>
                <c:ptCount val="1"/>
                <c:pt idx="0">
                  <c:v>Material use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'Sensitivity analysis - ESD'!$AD$452:$AF$452</c:f>
              <c:numCache>
                <c:formatCode>0%</c:formatCode>
                <c:ptCount val="3"/>
                <c:pt idx="0">
                  <c:v>0.8</c:v>
                </c:pt>
                <c:pt idx="1">
                  <c:v>1</c:v>
                </c:pt>
                <c:pt idx="2">
                  <c:v>1.2</c:v>
                </c:pt>
              </c:numCache>
            </c:numRef>
          </c:xVal>
          <c:yVal>
            <c:numRef>
              <c:f>'Sensitivity analysis - ESD'!$AD$453:$AF$453</c:f>
              <c:numCache>
                <c:formatCode>0.00E+00</c:formatCode>
                <c:ptCount val="3"/>
                <c:pt idx="0">
                  <c:v>-2.5212980254221915E-6</c:v>
                </c:pt>
                <c:pt idx="1">
                  <c:v>-2.5081265873069844E-6</c:v>
                </c:pt>
                <c:pt idx="2">
                  <c:v>-2.4949551491917755E-6</c:v>
                </c:pt>
              </c:numCache>
            </c:numRef>
          </c:yVal>
          <c:smooth val="0"/>
          <c:extLst>
            <c:ext xmlns:c16="http://schemas.microsoft.com/office/drawing/2014/chart" uri="{C3380CC4-5D6E-409C-BE32-E72D297353CC}">
              <c16:uniqueId val="{00000000-0CB7-4DAA-96EE-8B444A9713B1}"/>
            </c:ext>
          </c:extLst>
        </c:ser>
        <c:ser>
          <c:idx val="1"/>
          <c:order val="1"/>
          <c:tx>
            <c:strRef>
              <c:f>'Sensitivity analysis - ESD'!$Y$454</c:f>
              <c:strCache>
                <c:ptCount val="1"/>
                <c:pt idx="0">
                  <c:v>Energy use</c:v>
                </c:pt>
              </c:strCache>
            </c:strRef>
          </c:tx>
          <c:spPr>
            <a:ln w="31750" cap="rnd">
              <a:solidFill>
                <a:schemeClr val="accent4"/>
              </a:solidFill>
              <a:round/>
            </a:ln>
            <a:effectLst/>
          </c:spPr>
          <c:marker>
            <c:symbol val="circle"/>
            <c:size val="5"/>
            <c:spPr>
              <a:solidFill>
                <a:schemeClr val="accent4"/>
              </a:solidFill>
              <a:ln w="9525">
                <a:solidFill>
                  <a:schemeClr val="accent4"/>
                </a:solidFill>
              </a:ln>
              <a:effectLst/>
            </c:spPr>
          </c:marker>
          <c:xVal>
            <c:numRef>
              <c:f>('Sensitivity analysis - ESD'!$AC$452,'Sensitivity analysis - ESD'!$AE$452,'Sensitivity analysis - ESD'!$AH$452)</c:f>
              <c:numCache>
                <c:formatCode>0%</c:formatCode>
                <c:ptCount val="3"/>
                <c:pt idx="0">
                  <c:v>0.67</c:v>
                </c:pt>
                <c:pt idx="1">
                  <c:v>1</c:v>
                </c:pt>
                <c:pt idx="2">
                  <c:v>1.67</c:v>
                </c:pt>
              </c:numCache>
            </c:numRef>
          </c:xVal>
          <c:yVal>
            <c:numRef>
              <c:f>('Sensitivity analysis - ESD'!$AC$454,'Sensitivity analysis - ESD'!$AE$454,'Sensitivity analysis - ESD'!$AH$454)</c:f>
              <c:numCache>
                <c:formatCode>0.00E+00</c:formatCode>
                <c:ptCount val="3"/>
                <c:pt idx="0">
                  <c:v>-2.579419509053107E-6</c:v>
                </c:pt>
                <c:pt idx="1">
                  <c:v>-2.5081265873069844E-6</c:v>
                </c:pt>
                <c:pt idx="2">
                  <c:v>-2.3655407438147362E-6</c:v>
                </c:pt>
              </c:numCache>
            </c:numRef>
          </c:yVal>
          <c:smooth val="0"/>
          <c:extLst>
            <c:ext xmlns:c16="http://schemas.microsoft.com/office/drawing/2014/chart" uri="{C3380CC4-5D6E-409C-BE32-E72D297353CC}">
              <c16:uniqueId val="{00000001-0CB7-4DAA-96EE-8B444A9713B1}"/>
            </c:ext>
          </c:extLst>
        </c:ser>
        <c:ser>
          <c:idx val="2"/>
          <c:order val="2"/>
          <c:tx>
            <c:strRef>
              <c:f>'Sensitivity analysis - ESD'!$Y$455</c:f>
              <c:strCache>
                <c:ptCount val="1"/>
                <c:pt idx="0">
                  <c:v>Lifetime DAC system</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'Sensitivity analysis - ESD'!$AD$452:$AE$452</c:f>
              <c:numCache>
                <c:formatCode>0%</c:formatCode>
                <c:ptCount val="2"/>
                <c:pt idx="0">
                  <c:v>0.8</c:v>
                </c:pt>
                <c:pt idx="1">
                  <c:v>1</c:v>
                </c:pt>
              </c:numCache>
            </c:numRef>
          </c:xVal>
          <c:yVal>
            <c:numRef>
              <c:f>'Sensitivity analysis - ESD'!$AD$455:$AE$455</c:f>
              <c:numCache>
                <c:formatCode>0.00E+00</c:formatCode>
                <c:ptCount val="2"/>
                <c:pt idx="0">
                  <c:v>-2.4351391091337309E-6</c:v>
                </c:pt>
                <c:pt idx="1">
                  <c:v>-2.5081265873069835E-6</c:v>
                </c:pt>
              </c:numCache>
            </c:numRef>
          </c:yVal>
          <c:smooth val="0"/>
          <c:extLst>
            <c:ext xmlns:c16="http://schemas.microsoft.com/office/drawing/2014/chart" uri="{C3380CC4-5D6E-409C-BE32-E72D297353CC}">
              <c16:uniqueId val="{00000002-0CB7-4DAA-96EE-8B444A9713B1}"/>
            </c:ext>
          </c:extLst>
        </c:ser>
        <c:ser>
          <c:idx val="3"/>
          <c:order val="3"/>
          <c:tx>
            <c:strRef>
              <c:f>'Sensitivity analysis - ESD'!$Y$456</c:f>
              <c:strCache>
                <c:ptCount val="1"/>
                <c:pt idx="0">
                  <c:v>Lifetime sorbent material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('Sensitivity analysis - ESD'!$AA$452,'Sensitivity analysis - ESD'!$AE$452,'Sensitivity analysis - ESD'!$AH$452)</c:f>
              <c:numCache>
                <c:formatCode>0%</c:formatCode>
                <c:ptCount val="3"/>
                <c:pt idx="0">
                  <c:v>0.33</c:v>
                </c:pt>
                <c:pt idx="1">
                  <c:v>1</c:v>
                </c:pt>
                <c:pt idx="2">
                  <c:v>1.67</c:v>
                </c:pt>
              </c:numCache>
            </c:numRef>
          </c:xVal>
          <c:yVal>
            <c:numRef>
              <c:f>('Sensitivity analysis - ESD'!$AA$456,'Sensitivity analysis - ESD'!$AE$456,'Sensitivity analysis - ESD'!$AH$456)</c:f>
              <c:numCache>
                <c:formatCode>0.00E+00</c:formatCode>
                <c:ptCount val="3"/>
                <c:pt idx="0">
                  <c:v>-2.4866691259322148E-6</c:v>
                </c:pt>
                <c:pt idx="1">
                  <c:v>-2.5081265873069844E-6</c:v>
                </c:pt>
                <c:pt idx="2">
                  <c:v>-2.5134797867414476E-6</c:v>
                </c:pt>
              </c:numCache>
            </c:numRef>
          </c:yVal>
          <c:smooth val="0"/>
          <c:extLst>
            <c:ext xmlns:c16="http://schemas.microsoft.com/office/drawing/2014/chart" uri="{C3380CC4-5D6E-409C-BE32-E72D297353CC}">
              <c16:uniqueId val="{00000003-0CB7-4DAA-96EE-8B444A9713B1}"/>
            </c:ext>
          </c:extLst>
        </c:ser>
        <c:ser>
          <c:idx val="4"/>
          <c:order val="4"/>
          <c:tx>
            <c:strRef>
              <c:f>'Sensitivity analysis - ESD'!$Y$457</c:f>
              <c:strCache>
                <c:ptCount val="1"/>
                <c:pt idx="0">
                  <c:v>Capacity DAC unit</c:v>
                </c:pt>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numRef>
              <c:f>('Sensitivity analysis - ESD'!$AB$452,'Sensitivity analysis - ESD'!$AE$452,'Sensitivity analysis - ESD'!$AG$452)</c:f>
              <c:numCache>
                <c:formatCode>0%</c:formatCode>
                <c:ptCount val="3"/>
                <c:pt idx="0">
                  <c:v>0.5</c:v>
                </c:pt>
                <c:pt idx="1">
                  <c:v>1</c:v>
                </c:pt>
                <c:pt idx="2">
                  <c:v>1.5</c:v>
                </c:pt>
              </c:numCache>
            </c:numRef>
          </c:xVal>
          <c:yVal>
            <c:numRef>
              <c:f>('Sensitivity analysis - ESD'!$AB$457,'Sensitivity analysis - ESD'!$AE$457,'Sensitivity analysis - ESD'!$AG$457)</c:f>
              <c:numCache>
                <c:formatCode>0.00E+00</c:formatCode>
                <c:ptCount val="3"/>
                <c:pt idx="0">
                  <c:v>-2.2161766746139692E-6</c:v>
                </c:pt>
                <c:pt idx="1">
                  <c:v>-2.5081265873069835E-6</c:v>
                </c:pt>
                <c:pt idx="2">
                  <c:v>-2.6054432248713231E-6</c:v>
                </c:pt>
              </c:numCache>
            </c:numRef>
          </c:yVal>
          <c:smooth val="0"/>
          <c:extLst>
            <c:ext xmlns:c16="http://schemas.microsoft.com/office/drawing/2014/chart" uri="{C3380CC4-5D6E-409C-BE32-E72D297353CC}">
              <c16:uniqueId val="{00000004-0CB7-4DAA-96EE-8B444A9713B1}"/>
            </c:ext>
          </c:extLst>
        </c:ser>
        <c:ser>
          <c:idx val="7"/>
          <c:order val="5"/>
          <c:tx>
            <c:strRef>
              <c:f>'Sensitivity analysis - ESD'!$Y$458</c:f>
              <c:strCache>
                <c:ptCount val="1"/>
                <c:pt idx="0">
                  <c:v>Capacity factor</c:v>
                </c:pt>
              </c:strCache>
            </c:strRef>
          </c:tx>
          <c:spPr>
            <a:ln w="19050" cap="rnd">
              <a:solidFill>
                <a:schemeClr val="accent6">
                  <a:lumMod val="50000"/>
                </a:schemeClr>
              </a:solidFill>
              <a:round/>
            </a:ln>
            <a:effectLst/>
          </c:spPr>
          <c:marker>
            <c:symbol val="circle"/>
            <c:size val="5"/>
            <c:spPr>
              <a:solidFill>
                <a:schemeClr val="accent6">
                  <a:lumMod val="50000"/>
                </a:schemeClr>
              </a:solidFill>
              <a:ln w="9525">
                <a:solidFill>
                  <a:schemeClr val="accent6">
                    <a:lumMod val="50000"/>
                  </a:schemeClr>
                </a:solidFill>
              </a:ln>
              <a:effectLst/>
            </c:spPr>
          </c:marker>
          <c:xVal>
            <c:numRef>
              <c:f>('Sensitivity analysis - ESD'!$AE$452,'Sensitivity analysis - ESD'!$AG$452,'Sensitivity analysis - ESD'!$AI$452)</c:f>
              <c:numCache>
                <c:formatCode>0%</c:formatCode>
                <c:ptCount val="3"/>
                <c:pt idx="0">
                  <c:v>1</c:v>
                </c:pt>
                <c:pt idx="1">
                  <c:v>1.5</c:v>
                </c:pt>
                <c:pt idx="2">
                  <c:v>2</c:v>
                </c:pt>
              </c:numCache>
            </c:numRef>
          </c:xVal>
          <c:yVal>
            <c:numRef>
              <c:f>('Sensitivity analysis - ESD'!$AE$458,'Sensitivity analysis - ESD'!$AG$458,'Sensitivity analysis - ESD'!$AI$458)</c:f>
              <c:numCache>
                <c:formatCode>0.00E+00</c:formatCode>
                <c:ptCount val="3"/>
                <c:pt idx="0">
                  <c:v>-2.5081265873069835E-6</c:v>
                </c:pt>
                <c:pt idx="1">
                  <c:v>-2.5038240481276678E-6</c:v>
                </c:pt>
                <c:pt idx="2">
                  <c:v>-2.4985105987870198E-6</c:v>
                </c:pt>
              </c:numCache>
            </c:numRef>
          </c:yVal>
          <c:smooth val="0"/>
          <c:extLst>
            <c:ext xmlns:c16="http://schemas.microsoft.com/office/drawing/2014/chart" uri="{C3380CC4-5D6E-409C-BE32-E72D297353CC}">
              <c16:uniqueId val="{00000005-0CB7-4DAA-96EE-8B444A9713B1}"/>
            </c:ext>
          </c:extLst>
        </c:ser>
        <c:ser>
          <c:idx val="6"/>
          <c:order val="6"/>
          <c:tx>
            <c:strRef>
              <c:f>'Sensitivity analysis - ESD'!$Y$459</c:f>
              <c:strCache>
                <c:ptCount val="1"/>
                <c:pt idx="0">
                  <c:v>Sorbent type - amine on silica</c:v>
                </c:pt>
              </c:strCache>
            </c:strRef>
          </c:tx>
          <c:spPr>
            <a:ln w="19050" cap="rnd">
              <a:noFill/>
              <a:round/>
            </a:ln>
            <a:effectLst/>
          </c:spPr>
          <c:marker>
            <c:symbol val="square"/>
            <c:size val="5"/>
            <c:spPr>
              <a:solidFill>
                <a:srgbClr val="C00000"/>
              </a:solidFill>
              <a:ln w="9525">
                <a:solidFill>
                  <a:srgbClr val="C00000"/>
                </a:solidFill>
              </a:ln>
              <a:effectLst/>
            </c:spPr>
          </c:marker>
          <c:xVal>
            <c:numRef>
              <c:f>'Sensitivity analysis - ESD'!$AE$452</c:f>
              <c:numCache>
                <c:formatCode>0%</c:formatCode>
                <c:ptCount val="1"/>
                <c:pt idx="0">
                  <c:v>1</c:v>
                </c:pt>
              </c:numCache>
            </c:numRef>
          </c:xVal>
          <c:yVal>
            <c:numRef>
              <c:f>'Sensitivity analysis - ESD'!$AE$459</c:f>
              <c:numCache>
                <c:formatCode>0.00E+00</c:formatCode>
                <c:ptCount val="1"/>
                <c:pt idx="0">
                  <c:v>-2.485876830590195E-6</c:v>
                </c:pt>
              </c:numCache>
            </c:numRef>
          </c:yVal>
          <c:smooth val="0"/>
          <c:extLst>
            <c:ext xmlns:c16="http://schemas.microsoft.com/office/drawing/2014/chart" uri="{C3380CC4-5D6E-409C-BE32-E72D297353CC}">
              <c16:uniqueId val="{00000007-0CB7-4DAA-96EE-8B444A9713B1}"/>
            </c:ext>
          </c:extLst>
        </c:ser>
        <c:dLbls>
          <c:showLegendKey val="0"/>
          <c:showVal val="0"/>
          <c:showCatName val="0"/>
          <c:showSerName val="0"/>
          <c:showPercent val="0"/>
          <c:showBubbleSize val="0"/>
        </c:dLbls>
        <c:axId val="894438607"/>
        <c:axId val="1119274239"/>
      </c:scatterChart>
      <c:valAx>
        <c:axId val="894438607"/>
        <c:scaling>
          <c:orientation val="minMax"/>
          <c:max val="2.5"/>
          <c:min val="0"/>
        </c:scaling>
        <c:delete val="0"/>
        <c:axPos val="b"/>
        <c:majorGridlines>
          <c:spPr>
            <a:ln w="9525" cap="flat" cmpd="sng" algn="ctr">
              <a:solidFill>
                <a:schemeClr val="tx1">
                  <a:lumMod val="50000"/>
                  <a:lumOff val="50000"/>
                </a:schemeClr>
              </a:solidFill>
              <a:round/>
            </a:ln>
            <a:effectLst/>
          </c:spPr>
        </c:majorGridlines>
        <c:numFmt formatCode="0%" sourceLinked="1"/>
        <c:majorTickMark val="none"/>
        <c:minorTickMark val="none"/>
        <c:tickLblPos val="high"/>
        <c:spPr>
          <a:noFill/>
          <a:ln w="190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1119274239"/>
        <c:crosses val="autoZero"/>
        <c:crossBetween val="midCat"/>
      </c:valAx>
      <c:valAx>
        <c:axId val="1119274239"/>
        <c:scaling>
          <c:orientation val="minMax"/>
        </c:scaling>
        <c:delete val="0"/>
        <c:axPos val="l"/>
        <c:majorGridlines>
          <c:spPr>
            <a:ln w="9525" cap="flat" cmpd="sng" algn="ctr">
              <a:solidFill>
                <a:schemeClr val="tx1">
                  <a:lumMod val="50000"/>
                  <a:lumOff val="50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r>
                  <a:rPr lang="nl-NL"/>
                  <a:t>Ecosystem damage</a:t>
                </a:r>
              </a:p>
              <a:p>
                <a:pPr>
                  <a:defRPr/>
                </a:pPr>
                <a:r>
                  <a:rPr lang="nl-NL"/>
                  <a:t>[species*year/ton CO</a:t>
                </a:r>
                <a:r>
                  <a:rPr lang="nl-NL" baseline="-25000"/>
                  <a:t>2</a:t>
                </a:r>
                <a:r>
                  <a:rPr lang="nl-NL"/>
                  <a:t> captured and stored]</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title>
        <c:numFmt formatCode="0.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894438607"/>
        <c:crosses val="autoZero"/>
        <c:crossBetween val="midCat"/>
      </c:valAx>
      <c:spPr>
        <a:noFill/>
        <a:ln w="19050">
          <a:solidFill>
            <a:schemeClr val="tx1"/>
          </a:solidFill>
        </a:ln>
        <a:effectLst/>
      </c:spPr>
    </c:plotArea>
    <c:legend>
      <c:legendPos val="r"/>
      <c:layout>
        <c:manualLayout>
          <c:xMode val="edge"/>
          <c:yMode val="edge"/>
          <c:x val="0.53718116324829401"/>
          <c:y val="6.9177319256384068E-2"/>
          <c:w val="0.27954164711576512"/>
          <c:h val="0.87651563750530548"/>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535209944394535"/>
          <c:y val="7.845160620140787E-2"/>
          <c:w val="0.71503138979994152"/>
          <c:h val="0.8960265999776722"/>
        </c:manualLayout>
      </c:layout>
      <c:scatterChart>
        <c:scatterStyle val="lineMarker"/>
        <c:varyColors val="0"/>
        <c:ser>
          <c:idx val="0"/>
          <c:order val="0"/>
          <c:tx>
            <c:strRef>
              <c:f>'Sensitivity analysis - ESD'!$A$464</c:f>
              <c:strCache>
                <c:ptCount val="1"/>
                <c:pt idx="0">
                  <c:v>Material use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'Sensitivity analysis - ESD'!$F$463:$G$463</c:f>
              <c:numCache>
                <c:formatCode>0%</c:formatCode>
                <c:ptCount val="2"/>
                <c:pt idx="0">
                  <c:v>0.8</c:v>
                </c:pt>
                <c:pt idx="1">
                  <c:v>1</c:v>
                </c:pt>
              </c:numCache>
            </c:numRef>
          </c:xVal>
          <c:yVal>
            <c:numRef>
              <c:f>'Sensitivity analysis - ESD'!$F$464:$G$464</c:f>
              <c:numCache>
                <c:formatCode>0.00E+00</c:formatCode>
                <c:ptCount val="2"/>
                <c:pt idx="0">
                  <c:v>-9.6833065018312187E-7</c:v>
                </c:pt>
                <c:pt idx="1">
                  <c:v>-9.3816630177357657E-7</c:v>
                </c:pt>
              </c:numCache>
            </c:numRef>
          </c:yVal>
          <c:smooth val="0"/>
          <c:extLst>
            <c:ext xmlns:c16="http://schemas.microsoft.com/office/drawing/2014/chart" uri="{C3380CC4-5D6E-409C-BE32-E72D297353CC}">
              <c16:uniqueId val="{00000000-F2DE-47AF-A525-94D23793B6B4}"/>
            </c:ext>
          </c:extLst>
        </c:ser>
        <c:ser>
          <c:idx val="1"/>
          <c:order val="1"/>
          <c:tx>
            <c:strRef>
              <c:f>'Sensitivity analysis - ESD'!$A$465</c:f>
              <c:strCache>
                <c:ptCount val="1"/>
                <c:pt idx="0">
                  <c:v>Energy use</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('Sensitivity analysis - ESD'!$E$463,'Sensitivity analysis - ESD'!$G$463,'Sensitivity analysis - ESD'!$J$463)</c:f>
              <c:numCache>
                <c:formatCode>0%</c:formatCode>
                <c:ptCount val="3"/>
                <c:pt idx="0">
                  <c:v>0.67</c:v>
                </c:pt>
                <c:pt idx="1">
                  <c:v>1</c:v>
                </c:pt>
                <c:pt idx="2">
                  <c:v>1.67</c:v>
                </c:pt>
              </c:numCache>
            </c:numRef>
          </c:xVal>
          <c:yVal>
            <c:numRef>
              <c:f>('Sensitivity analysis - ESD'!$E$465,'Sensitivity analysis - ESD'!$G$465,'Sensitivity analysis - ESD'!$J$465)</c:f>
              <c:numCache>
                <c:formatCode>0.00E+00</c:formatCode>
                <c:ptCount val="3"/>
                <c:pt idx="0">
                  <c:v>-1.1477538168483755E-6</c:v>
                </c:pt>
                <c:pt idx="1">
                  <c:v>-9.3816630177357657E-7</c:v>
                </c:pt>
                <c:pt idx="2">
                  <c:v>-5.1899127162397764E-7</c:v>
                </c:pt>
              </c:numCache>
            </c:numRef>
          </c:yVal>
          <c:smooth val="0"/>
          <c:extLst>
            <c:ext xmlns:c16="http://schemas.microsoft.com/office/drawing/2014/chart" uri="{C3380CC4-5D6E-409C-BE32-E72D297353CC}">
              <c16:uniqueId val="{00000001-F2DE-47AF-A525-94D23793B6B4}"/>
            </c:ext>
          </c:extLst>
        </c:ser>
        <c:ser>
          <c:idx val="2"/>
          <c:order val="2"/>
          <c:tx>
            <c:strRef>
              <c:f>'Sensitivity analysis - ESD'!$A$466</c:f>
              <c:strCache>
                <c:ptCount val="1"/>
                <c:pt idx="0">
                  <c:v>Lifetime DAC system</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'Sensitivity analysis - ESD'!$F$463:$G$463</c:f>
              <c:numCache>
                <c:formatCode>0%</c:formatCode>
                <c:ptCount val="2"/>
                <c:pt idx="0">
                  <c:v>0.8</c:v>
                </c:pt>
                <c:pt idx="1">
                  <c:v>1</c:v>
                </c:pt>
              </c:numCache>
            </c:numRef>
          </c:xVal>
          <c:yVal>
            <c:numRef>
              <c:f>'Sensitivity analysis - ESD'!$F$466:$G$466</c:f>
              <c:numCache>
                <c:formatCode>0.00E+00</c:formatCode>
                <c:ptCount val="2"/>
                <c:pt idx="0">
                  <c:v>-4.7268875221697173E-7</c:v>
                </c:pt>
                <c:pt idx="1">
                  <c:v>-9.3816630177357636E-7</c:v>
                </c:pt>
              </c:numCache>
            </c:numRef>
          </c:yVal>
          <c:smooth val="0"/>
          <c:extLst>
            <c:ext xmlns:c16="http://schemas.microsoft.com/office/drawing/2014/chart" uri="{C3380CC4-5D6E-409C-BE32-E72D297353CC}">
              <c16:uniqueId val="{00000002-F2DE-47AF-A525-94D23793B6B4}"/>
            </c:ext>
          </c:extLst>
        </c:ser>
        <c:ser>
          <c:idx val="3"/>
          <c:order val="3"/>
          <c:tx>
            <c:strRef>
              <c:f>'Sensitivity analysis - ESD'!$A$467</c:f>
              <c:strCache>
                <c:ptCount val="1"/>
                <c:pt idx="0">
                  <c:v>Lifetime sorbent material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('Sensitivity analysis - ESD'!$C$463,'Sensitivity analysis - ESD'!$G$463,'Sensitivity analysis - ESD'!$J$463)</c:f>
              <c:numCache>
                <c:formatCode>0%</c:formatCode>
                <c:ptCount val="3"/>
                <c:pt idx="0">
                  <c:v>0.33</c:v>
                </c:pt>
                <c:pt idx="1">
                  <c:v>1</c:v>
                </c:pt>
                <c:pt idx="2">
                  <c:v>1.67</c:v>
                </c:pt>
              </c:numCache>
            </c:numRef>
          </c:xVal>
          <c:yVal>
            <c:numRef>
              <c:f>('Sensitivity analysis - ESD'!$C$467,'Sensitivity analysis - ESD'!$G$467,'Sensitivity analysis - ESD'!$J$467)</c:f>
              <c:numCache>
                <c:formatCode>0.00E+00</c:formatCode>
                <c:ptCount val="3"/>
                <c:pt idx="0">
                  <c:v>-9.2556544169599085E-7</c:v>
                </c:pt>
                <c:pt idx="1">
                  <c:v>-9.3816630177357657E-7</c:v>
                </c:pt>
                <c:pt idx="2">
                  <c:v>-9.6147704463019016E-7</c:v>
                </c:pt>
              </c:numCache>
            </c:numRef>
          </c:yVal>
          <c:smooth val="0"/>
          <c:extLst>
            <c:ext xmlns:c16="http://schemas.microsoft.com/office/drawing/2014/chart" uri="{C3380CC4-5D6E-409C-BE32-E72D297353CC}">
              <c16:uniqueId val="{00000003-F2DE-47AF-A525-94D23793B6B4}"/>
            </c:ext>
          </c:extLst>
        </c:ser>
        <c:ser>
          <c:idx val="4"/>
          <c:order val="4"/>
          <c:tx>
            <c:strRef>
              <c:f>'Sensitivity analysis - ESD'!$A$468</c:f>
              <c:strCache>
                <c:ptCount val="1"/>
                <c:pt idx="0">
                  <c:v>Capacity DAC unit</c:v>
                </c:pt>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numRef>
              <c:f>('Sensitivity analysis - ESD'!$D$463,'Sensitivity analysis - ESD'!$G$463,'Sensitivity analysis - ESD'!$I$463)</c:f>
              <c:numCache>
                <c:formatCode>0%</c:formatCode>
                <c:ptCount val="3"/>
                <c:pt idx="0">
                  <c:v>0.5</c:v>
                </c:pt>
                <c:pt idx="1">
                  <c:v>1</c:v>
                </c:pt>
                <c:pt idx="2">
                  <c:v>1.5</c:v>
                </c:pt>
              </c:numCache>
            </c:numRef>
          </c:xVal>
          <c:yVal>
            <c:numRef>
              <c:f>('Sensitivity analysis - ESD'!$D$468,'Sensitivity analysis - ESD'!$G$468,'Sensitivity analysis - ESD'!$I$468)</c:f>
              <c:numCache>
                <c:formatCode>0.00E+00</c:formatCode>
                <c:ptCount val="3"/>
                <c:pt idx="0">
                  <c:v>9.2374389645284471E-7</c:v>
                </c:pt>
                <c:pt idx="1">
                  <c:v>-9.3816630177357636E-7</c:v>
                </c:pt>
                <c:pt idx="2">
                  <c:v>-1.5588030345157181E-6</c:v>
                </c:pt>
              </c:numCache>
            </c:numRef>
          </c:yVal>
          <c:smooth val="0"/>
          <c:extLst>
            <c:ext xmlns:c16="http://schemas.microsoft.com/office/drawing/2014/chart" uri="{C3380CC4-5D6E-409C-BE32-E72D297353CC}">
              <c16:uniqueId val="{00000004-F2DE-47AF-A525-94D23793B6B4}"/>
            </c:ext>
          </c:extLst>
        </c:ser>
        <c:ser>
          <c:idx val="5"/>
          <c:order val="5"/>
          <c:tx>
            <c:strRef>
              <c:f>'Sensitivity analysis - ESD'!$A$469</c:f>
              <c:strCache>
                <c:ptCount val="1"/>
                <c:pt idx="0">
                  <c:v>Curtailment factor</c:v>
                </c:pt>
              </c:strCache>
            </c:strRef>
          </c:tx>
          <c:spPr>
            <a:ln w="19050"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xVal>
            <c:numRef>
              <c:f>('Sensitivity analysis - ESD'!$B$463,'Sensitivity analysis - ESD'!$D$463,'Sensitivity analysis - ESD'!$G$463,'Sensitivity analysis - ESD'!$I$463)</c:f>
              <c:numCache>
                <c:formatCode>0%</c:formatCode>
                <c:ptCount val="4"/>
                <c:pt idx="0">
                  <c:v>0</c:v>
                </c:pt>
                <c:pt idx="1">
                  <c:v>0.5</c:v>
                </c:pt>
                <c:pt idx="2">
                  <c:v>1</c:v>
                </c:pt>
                <c:pt idx="3">
                  <c:v>1.5</c:v>
                </c:pt>
              </c:numCache>
            </c:numRef>
          </c:xVal>
          <c:yVal>
            <c:numRef>
              <c:f>('Sensitivity analysis - ESD'!$B$469,'Sensitivity analysis - ESD'!$D$469,'Sensitivity analysis - ESD'!$G$469,'Sensitivity analysis - ESD'!$I$469)</c:f>
              <c:numCache>
                <c:formatCode>0.00</c:formatCode>
                <c:ptCount val="4"/>
                <c:pt idx="0">
                  <c:v>-1.2430420048413834E-6</c:v>
                </c:pt>
                <c:pt idx="1">
                  <c:v>-1.1357709241323404E-6</c:v>
                </c:pt>
                <c:pt idx="2" formatCode="0.00E+00">
                  <c:v>-9.2122876271425387E-7</c:v>
                </c:pt>
                <c:pt idx="3" formatCode="0.00E+00">
                  <c:v>-2.7760227845999586E-7</c:v>
                </c:pt>
              </c:numCache>
            </c:numRef>
          </c:yVal>
          <c:smooth val="0"/>
          <c:extLst>
            <c:ext xmlns:c16="http://schemas.microsoft.com/office/drawing/2014/chart" uri="{C3380CC4-5D6E-409C-BE32-E72D297353CC}">
              <c16:uniqueId val="{00000005-F2DE-47AF-A525-94D23793B6B4}"/>
            </c:ext>
          </c:extLst>
        </c:ser>
        <c:ser>
          <c:idx val="8"/>
          <c:order val="6"/>
          <c:tx>
            <c:strRef>
              <c:f>'Sensitivity analysis - ESD'!$A$470</c:f>
              <c:strCache>
                <c:ptCount val="1"/>
                <c:pt idx="0">
                  <c:v>Battery capacity</c:v>
                </c:pt>
              </c:strCache>
            </c:strRef>
          </c:tx>
          <c:spPr>
            <a:ln w="19050" cap="rnd">
              <a:solidFill>
                <a:srgbClr val="FF4F4F"/>
              </a:solidFill>
              <a:round/>
            </a:ln>
            <a:effectLst/>
          </c:spPr>
          <c:marker>
            <c:symbol val="circle"/>
            <c:size val="5"/>
            <c:spPr>
              <a:solidFill>
                <a:srgbClr val="FF4F4F"/>
              </a:solidFill>
              <a:ln w="9525">
                <a:solidFill>
                  <a:srgbClr val="FF4F4F"/>
                </a:solidFill>
              </a:ln>
              <a:effectLst/>
            </c:spPr>
          </c:marker>
          <c:xVal>
            <c:numRef>
              <c:f>('Sensitivity analysis - ESD'!$D$463,'Sensitivity analysis - ESD'!$G$463,'Sensitivity analysis - ESD'!$K$463)</c:f>
              <c:numCache>
                <c:formatCode>0%</c:formatCode>
                <c:ptCount val="3"/>
                <c:pt idx="0">
                  <c:v>0.5</c:v>
                </c:pt>
                <c:pt idx="1">
                  <c:v>1</c:v>
                </c:pt>
                <c:pt idx="2">
                  <c:v>2</c:v>
                </c:pt>
              </c:numCache>
            </c:numRef>
          </c:xVal>
          <c:yVal>
            <c:numRef>
              <c:f>('Sensitivity analysis - ESD'!$D$470,'Sensitivity analysis - ESD'!$G$470,'Sensitivity analysis - ESD'!$K$470)</c:f>
              <c:numCache>
                <c:formatCode>0.00</c:formatCode>
                <c:ptCount val="3"/>
                <c:pt idx="0">
                  <c:v>-1.531063494592545E-6</c:v>
                </c:pt>
                <c:pt idx="1">
                  <c:v>-9.2122876271425387E-7</c:v>
                </c:pt>
                <c:pt idx="2" formatCode="0.0">
                  <c:v>1.4078189286106417E-6</c:v>
                </c:pt>
              </c:numCache>
            </c:numRef>
          </c:yVal>
          <c:smooth val="0"/>
          <c:extLst>
            <c:ext xmlns:c16="http://schemas.microsoft.com/office/drawing/2014/chart" uri="{C3380CC4-5D6E-409C-BE32-E72D297353CC}">
              <c16:uniqueId val="{00000006-F2DE-47AF-A525-94D23793B6B4}"/>
            </c:ext>
          </c:extLst>
        </c:ser>
        <c:ser>
          <c:idx val="9"/>
          <c:order val="7"/>
          <c:tx>
            <c:strRef>
              <c:f>'Sensitivity analysis - ESD'!$A$471</c:f>
              <c:strCache>
                <c:ptCount val="1"/>
                <c:pt idx="0">
                  <c:v>Battery share factor</c:v>
                </c:pt>
              </c:strCache>
            </c:strRef>
          </c:tx>
          <c:spPr>
            <a:ln w="19050" cap="rnd">
              <a:solidFill>
                <a:srgbClr val="A4D3EA"/>
              </a:solidFill>
              <a:round/>
            </a:ln>
            <a:effectLst/>
          </c:spPr>
          <c:marker>
            <c:symbol val="circle"/>
            <c:size val="5"/>
            <c:spPr>
              <a:solidFill>
                <a:srgbClr val="A4D3EA"/>
              </a:solidFill>
              <a:ln w="9525">
                <a:solidFill>
                  <a:srgbClr val="A4D3EA"/>
                </a:solidFill>
              </a:ln>
              <a:effectLst/>
            </c:spPr>
          </c:marker>
          <c:xVal>
            <c:numRef>
              <c:f>('Sensitivity analysis - ESD'!$D$463,'Sensitivity analysis - ESD'!$G$463,'Sensitivity analysis - ESD'!$I$463)</c:f>
              <c:numCache>
                <c:formatCode>0%</c:formatCode>
                <c:ptCount val="3"/>
                <c:pt idx="0">
                  <c:v>0.5</c:v>
                </c:pt>
                <c:pt idx="1">
                  <c:v>1</c:v>
                </c:pt>
                <c:pt idx="2">
                  <c:v>1.5</c:v>
                </c:pt>
              </c:numCache>
            </c:numRef>
          </c:xVal>
          <c:yVal>
            <c:numRef>
              <c:f>('Sensitivity analysis - ESD'!$D$471,'Sensitivity analysis - ESD'!$G$471,'Sensitivity analysis - ESD'!$K$471)</c:f>
              <c:numCache>
                <c:formatCode>0.00</c:formatCode>
                <c:ptCount val="3"/>
                <c:pt idx="0">
                  <c:v>-9.2122876271425387E-7</c:v>
                </c:pt>
                <c:pt idx="1">
                  <c:v>-9.2122876271425387E-7</c:v>
                </c:pt>
                <c:pt idx="2" formatCode="0.0">
                  <c:v>-9.2122876271425387E-7</c:v>
                </c:pt>
              </c:numCache>
            </c:numRef>
          </c:yVal>
          <c:smooth val="0"/>
          <c:extLst>
            <c:ext xmlns:c16="http://schemas.microsoft.com/office/drawing/2014/chart" uri="{C3380CC4-5D6E-409C-BE32-E72D297353CC}">
              <c16:uniqueId val="{00000007-F2DE-47AF-A525-94D23793B6B4}"/>
            </c:ext>
          </c:extLst>
        </c:ser>
        <c:ser>
          <c:idx val="7"/>
          <c:order val="8"/>
          <c:tx>
            <c:strRef>
              <c:f>'Sensitivity analysis - ESD'!$A$472</c:f>
              <c:strCache>
                <c:ptCount val="1"/>
                <c:pt idx="0">
                  <c:v>Sorbent type - amine on silica</c:v>
                </c:pt>
              </c:strCache>
            </c:strRef>
          </c:tx>
          <c:spPr>
            <a:ln w="19050" cap="rnd">
              <a:noFill/>
              <a:round/>
            </a:ln>
            <a:effectLst/>
          </c:spPr>
          <c:marker>
            <c:symbol val="square"/>
            <c:size val="5"/>
            <c:spPr>
              <a:solidFill>
                <a:srgbClr val="C00000"/>
              </a:solidFill>
              <a:ln w="9525">
                <a:solidFill>
                  <a:srgbClr val="C00000"/>
                </a:solidFill>
              </a:ln>
              <a:effectLst/>
            </c:spPr>
          </c:marker>
          <c:xVal>
            <c:numRef>
              <c:f>'Sensitivity analysis - ESD'!$G$463</c:f>
              <c:numCache>
                <c:formatCode>0%</c:formatCode>
                <c:ptCount val="1"/>
                <c:pt idx="0">
                  <c:v>1</c:v>
                </c:pt>
              </c:numCache>
            </c:numRef>
          </c:xVal>
          <c:yVal>
            <c:numRef>
              <c:f>'Sensitivity analysis - ESD'!$G$472</c:f>
              <c:numCache>
                <c:formatCode>0.00E+00</c:formatCode>
                <c:ptCount val="1"/>
                <c:pt idx="0">
                  <c:v>-8.7904857356168606E-7</c:v>
                </c:pt>
              </c:numCache>
            </c:numRef>
          </c:yVal>
          <c:smooth val="0"/>
          <c:extLst>
            <c:ext xmlns:c16="http://schemas.microsoft.com/office/drawing/2014/chart" uri="{C3380CC4-5D6E-409C-BE32-E72D297353CC}">
              <c16:uniqueId val="{00000009-F2DE-47AF-A525-94D23793B6B4}"/>
            </c:ext>
          </c:extLst>
        </c:ser>
        <c:dLbls>
          <c:showLegendKey val="0"/>
          <c:showVal val="0"/>
          <c:showCatName val="0"/>
          <c:showSerName val="0"/>
          <c:showPercent val="0"/>
          <c:showBubbleSize val="0"/>
        </c:dLbls>
        <c:axId val="894438607"/>
        <c:axId val="1119274239"/>
      </c:scatterChart>
      <c:valAx>
        <c:axId val="894438607"/>
        <c:scaling>
          <c:orientation val="minMax"/>
          <c:max val="2.5"/>
          <c:min val="0"/>
        </c:scaling>
        <c:delete val="0"/>
        <c:axPos val="b"/>
        <c:majorGridlines>
          <c:spPr>
            <a:ln w="9525" cap="flat" cmpd="sng" algn="ctr">
              <a:solidFill>
                <a:schemeClr val="tx1">
                  <a:lumMod val="50000"/>
                  <a:lumOff val="50000"/>
                </a:schemeClr>
              </a:solidFill>
              <a:round/>
            </a:ln>
            <a:effectLst/>
          </c:spPr>
        </c:majorGridlines>
        <c:numFmt formatCode="0%" sourceLinked="1"/>
        <c:majorTickMark val="none"/>
        <c:minorTickMark val="none"/>
        <c:tickLblPos val="high"/>
        <c:spPr>
          <a:noFill/>
          <a:ln w="190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1119274239"/>
        <c:crosses val="autoZero"/>
        <c:crossBetween val="midCat"/>
      </c:valAx>
      <c:valAx>
        <c:axId val="1119274239"/>
        <c:scaling>
          <c:orientation val="minMax"/>
        </c:scaling>
        <c:delete val="0"/>
        <c:axPos val="l"/>
        <c:majorGridlines>
          <c:spPr>
            <a:ln w="9525" cap="flat" cmpd="sng" algn="ctr">
              <a:solidFill>
                <a:schemeClr val="tx1">
                  <a:lumMod val="50000"/>
                  <a:lumOff val="50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r>
                  <a:rPr lang="nl-NL"/>
                  <a:t>Ecosystem damage</a:t>
                </a:r>
              </a:p>
              <a:p>
                <a:pPr>
                  <a:defRPr/>
                </a:pPr>
                <a:r>
                  <a:rPr lang="nl-NL"/>
                  <a:t>[species*year/ton CO</a:t>
                </a:r>
                <a:r>
                  <a:rPr lang="nl-NL" baseline="-25000"/>
                  <a:t>2</a:t>
                </a:r>
                <a:r>
                  <a:rPr lang="nl-NL"/>
                  <a:t> captured and stored]</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title>
        <c:numFmt formatCode="0.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894438607"/>
        <c:crosses val="autoZero"/>
        <c:crossBetween val="midCat"/>
      </c:valAx>
      <c:spPr>
        <a:noFill/>
        <a:ln w="19050">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09639531099222"/>
          <c:y val="7.47783341432324E-2"/>
          <c:w val="0.72032706571577043"/>
          <c:h val="0.90236490531223368"/>
        </c:manualLayout>
      </c:layout>
      <c:scatterChart>
        <c:scatterStyle val="lineMarker"/>
        <c:varyColors val="0"/>
        <c:ser>
          <c:idx val="0"/>
          <c:order val="0"/>
          <c:tx>
            <c:strRef>
              <c:f>'Sensitivity analysis - ESD'!$A$464</c:f>
              <c:strCache>
                <c:ptCount val="1"/>
                <c:pt idx="0">
                  <c:v>Material use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'Sensitivity analysis - ESD'!$F$463:$G$463</c:f>
              <c:numCache>
                <c:formatCode>0%</c:formatCode>
                <c:ptCount val="2"/>
                <c:pt idx="0">
                  <c:v>0.8</c:v>
                </c:pt>
                <c:pt idx="1">
                  <c:v>1</c:v>
                </c:pt>
              </c:numCache>
            </c:numRef>
          </c:xVal>
          <c:yVal>
            <c:numRef>
              <c:f>'Sensitivity analysis - ESD'!$R$464:$T$464</c:f>
              <c:numCache>
                <c:formatCode>0.00E+00</c:formatCode>
                <c:ptCount val="3"/>
                <c:pt idx="0">
                  <c:v>-1.2249950295981175E-6</c:v>
                </c:pt>
                <c:pt idx="1">
                  <c:v>-1.1966952087693138E-6</c:v>
                </c:pt>
                <c:pt idx="2">
                  <c:v>-1.1683953879405077E-6</c:v>
                </c:pt>
              </c:numCache>
            </c:numRef>
          </c:yVal>
          <c:smooth val="0"/>
          <c:extLst>
            <c:ext xmlns:c16="http://schemas.microsoft.com/office/drawing/2014/chart" uri="{C3380CC4-5D6E-409C-BE32-E72D297353CC}">
              <c16:uniqueId val="{00000000-4578-445C-A1C5-E0B3FBEAF673}"/>
            </c:ext>
          </c:extLst>
        </c:ser>
        <c:ser>
          <c:idx val="1"/>
          <c:order val="1"/>
          <c:tx>
            <c:strRef>
              <c:f>'Sensitivity analysis - ESD'!$A$465</c:f>
              <c:strCache>
                <c:ptCount val="1"/>
                <c:pt idx="0">
                  <c:v>Energy use</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('Sensitivity analysis - ESD'!$E$463,'Sensitivity analysis - ESD'!$G$463,'Sensitivity analysis - ESD'!$J$463)</c:f>
              <c:numCache>
                <c:formatCode>0%</c:formatCode>
                <c:ptCount val="3"/>
                <c:pt idx="0">
                  <c:v>0.67</c:v>
                </c:pt>
                <c:pt idx="1">
                  <c:v>1</c:v>
                </c:pt>
                <c:pt idx="2">
                  <c:v>1.67</c:v>
                </c:pt>
              </c:numCache>
            </c:numRef>
          </c:xVal>
          <c:yVal>
            <c:numRef>
              <c:f>('Sensitivity analysis - ESD'!$Q$465,'Sensitivity analysis - ESD'!$S$465,'Sensitivity analysis - ESD'!$V$465)</c:f>
              <c:numCache>
                <c:formatCode>0.00E+00</c:formatCode>
                <c:ptCount val="3"/>
                <c:pt idx="0">
                  <c:v>-1.3820072400055054E-6</c:v>
                </c:pt>
                <c:pt idx="1">
                  <c:v>-1.1966952087693138E-6</c:v>
                </c:pt>
                <c:pt idx="2">
                  <c:v>-8.2607114629692715E-7</c:v>
                </c:pt>
              </c:numCache>
            </c:numRef>
          </c:yVal>
          <c:smooth val="0"/>
          <c:extLst>
            <c:ext xmlns:c16="http://schemas.microsoft.com/office/drawing/2014/chart" uri="{C3380CC4-5D6E-409C-BE32-E72D297353CC}">
              <c16:uniqueId val="{00000001-4578-445C-A1C5-E0B3FBEAF673}"/>
            </c:ext>
          </c:extLst>
        </c:ser>
        <c:ser>
          <c:idx val="2"/>
          <c:order val="2"/>
          <c:tx>
            <c:strRef>
              <c:f>'Sensitivity analysis - ESD'!$A$466</c:f>
              <c:strCache>
                <c:ptCount val="1"/>
                <c:pt idx="0">
                  <c:v>Lifetime DAC system</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'Sensitivity analysis - ESD'!$F$463:$G$463</c:f>
              <c:numCache>
                <c:formatCode>0%</c:formatCode>
                <c:ptCount val="2"/>
                <c:pt idx="0">
                  <c:v>0.8</c:v>
                </c:pt>
                <c:pt idx="1">
                  <c:v>1</c:v>
                </c:pt>
              </c:numCache>
            </c:numRef>
          </c:xVal>
          <c:yVal>
            <c:numRef>
              <c:f>'Sensitivity analysis - ESD'!$R$466:$S$466</c:f>
              <c:numCache>
                <c:formatCode>0.00E+00</c:formatCode>
                <c:ptCount val="2"/>
                <c:pt idx="0">
                  <c:v>-7.9584988596164209E-7</c:v>
                </c:pt>
                <c:pt idx="1">
                  <c:v>-1.1966952087693127E-6</c:v>
                </c:pt>
              </c:numCache>
            </c:numRef>
          </c:yVal>
          <c:smooth val="0"/>
          <c:extLst>
            <c:ext xmlns:c16="http://schemas.microsoft.com/office/drawing/2014/chart" uri="{C3380CC4-5D6E-409C-BE32-E72D297353CC}">
              <c16:uniqueId val="{00000002-4578-445C-A1C5-E0B3FBEAF673}"/>
            </c:ext>
          </c:extLst>
        </c:ser>
        <c:ser>
          <c:idx val="3"/>
          <c:order val="3"/>
          <c:tx>
            <c:strRef>
              <c:f>'Sensitivity analysis - ESD'!$A$467</c:f>
              <c:strCache>
                <c:ptCount val="1"/>
                <c:pt idx="0">
                  <c:v>Lifetime sorbent material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('Sensitivity analysis - ESD'!$C$463,'Sensitivity analysis - ESD'!$G$463,'Sensitivity analysis - ESD'!$J$463)</c:f>
              <c:numCache>
                <c:formatCode>0%</c:formatCode>
                <c:ptCount val="3"/>
                <c:pt idx="0">
                  <c:v>0.33</c:v>
                </c:pt>
                <c:pt idx="1">
                  <c:v>1</c:v>
                </c:pt>
                <c:pt idx="2">
                  <c:v>1.67</c:v>
                </c:pt>
              </c:numCache>
            </c:numRef>
          </c:xVal>
          <c:yVal>
            <c:numRef>
              <c:f>('Sensitivity analysis - ESD'!$O$467,'Sensitivity analysis - ESD'!$S$467,'Sensitivity analysis - ESD'!$V$467)</c:f>
              <c:numCache>
                <c:formatCode>0.00E+00</c:formatCode>
                <c:ptCount val="3"/>
                <c:pt idx="0">
                  <c:v>-1.1860877752834098E-6</c:v>
                </c:pt>
                <c:pt idx="1">
                  <c:v>-1.1966952087693138E-6</c:v>
                </c:pt>
                <c:pt idx="2">
                  <c:v>-1.2163433682754878E-6</c:v>
                </c:pt>
              </c:numCache>
            </c:numRef>
          </c:yVal>
          <c:smooth val="0"/>
          <c:extLst>
            <c:ext xmlns:c16="http://schemas.microsoft.com/office/drawing/2014/chart" uri="{C3380CC4-5D6E-409C-BE32-E72D297353CC}">
              <c16:uniqueId val="{00000003-4578-445C-A1C5-E0B3FBEAF673}"/>
            </c:ext>
          </c:extLst>
        </c:ser>
        <c:ser>
          <c:idx val="4"/>
          <c:order val="4"/>
          <c:tx>
            <c:strRef>
              <c:f>'Sensitivity analysis - ESD'!$A$468</c:f>
              <c:strCache>
                <c:ptCount val="1"/>
                <c:pt idx="0">
                  <c:v>Capacity DAC unit</c:v>
                </c:pt>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numRef>
              <c:f>('Sensitivity analysis - ESD'!$D$463,'Sensitivity analysis - ESD'!$G$463,'Sensitivity analysis - ESD'!$I$463)</c:f>
              <c:numCache>
                <c:formatCode>0%</c:formatCode>
                <c:ptCount val="3"/>
                <c:pt idx="0">
                  <c:v>0.5</c:v>
                </c:pt>
                <c:pt idx="1">
                  <c:v>1</c:v>
                </c:pt>
                <c:pt idx="2">
                  <c:v>1.5</c:v>
                </c:pt>
              </c:numCache>
            </c:numRef>
          </c:xVal>
          <c:yVal>
            <c:numRef>
              <c:f>('Sensitivity analysis - ESD'!$P$468,'Sensitivity analysis - ESD'!$S$468,'Sensitivity analysis - ESD'!$U$468)</c:f>
              <c:numCache>
                <c:formatCode>0.00E+00</c:formatCode>
                <c:ptCount val="3"/>
                <c:pt idx="0">
                  <c:v>4.0668608246137204E-7</c:v>
                </c:pt>
                <c:pt idx="1">
                  <c:v>-1.1966952087693127E-6</c:v>
                </c:pt>
                <c:pt idx="2">
                  <c:v>-1.7311556391795426E-6</c:v>
                </c:pt>
              </c:numCache>
            </c:numRef>
          </c:yVal>
          <c:smooth val="0"/>
          <c:extLst>
            <c:ext xmlns:c16="http://schemas.microsoft.com/office/drawing/2014/chart" uri="{C3380CC4-5D6E-409C-BE32-E72D297353CC}">
              <c16:uniqueId val="{00000004-4578-445C-A1C5-E0B3FBEAF673}"/>
            </c:ext>
          </c:extLst>
        </c:ser>
        <c:ser>
          <c:idx val="5"/>
          <c:order val="5"/>
          <c:tx>
            <c:strRef>
              <c:f>'Sensitivity analysis - ESD'!$A$469</c:f>
              <c:strCache>
                <c:ptCount val="1"/>
                <c:pt idx="0">
                  <c:v>Curtailment factor</c:v>
                </c:pt>
              </c:strCache>
            </c:strRef>
          </c:tx>
          <c:spPr>
            <a:ln w="19050"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xVal>
            <c:numRef>
              <c:f>('Sensitivity analysis - ESD'!$B$463,'Sensitivity analysis - ESD'!$D$463,'Sensitivity analysis - ESD'!$G$463,'Sensitivity analysis - ESD'!$I$463)</c:f>
              <c:numCache>
                <c:formatCode>0%</c:formatCode>
                <c:ptCount val="4"/>
                <c:pt idx="0">
                  <c:v>0</c:v>
                </c:pt>
                <c:pt idx="1">
                  <c:v>0.5</c:v>
                </c:pt>
                <c:pt idx="2">
                  <c:v>1</c:v>
                </c:pt>
                <c:pt idx="3">
                  <c:v>1.5</c:v>
                </c:pt>
              </c:numCache>
            </c:numRef>
          </c:xVal>
          <c:yVal>
            <c:numRef>
              <c:f>('Sensitivity analysis - ESD'!$N$469,'Sensitivity analysis - ESD'!$P$469,'Sensitivity analysis - ESD'!$S$469,'Sensitivity analysis - ESD'!$U$469)</c:f>
              <c:numCache>
                <c:formatCode>0.00</c:formatCode>
                <c:ptCount val="4"/>
                <c:pt idx="0">
                  <c:v>-1.4663435829944533E-6</c:v>
                </c:pt>
                <c:pt idx="1">
                  <c:v>-1.3714673031744968E-6</c:v>
                </c:pt>
                <c:pt idx="2" formatCode="0.00E+00">
                  <c:v>-1.1817147435345837E-6</c:v>
                </c:pt>
                <c:pt idx="3" formatCode="0.00E+00">
                  <c:v>-6.1245706461484487E-7</c:v>
                </c:pt>
              </c:numCache>
            </c:numRef>
          </c:yVal>
          <c:smooth val="0"/>
          <c:extLst>
            <c:ext xmlns:c16="http://schemas.microsoft.com/office/drawing/2014/chart" uri="{C3380CC4-5D6E-409C-BE32-E72D297353CC}">
              <c16:uniqueId val="{00000005-4578-445C-A1C5-E0B3FBEAF673}"/>
            </c:ext>
          </c:extLst>
        </c:ser>
        <c:ser>
          <c:idx val="8"/>
          <c:order val="6"/>
          <c:tx>
            <c:strRef>
              <c:f>'Sensitivity analysis - ESD'!$A$470</c:f>
              <c:strCache>
                <c:ptCount val="1"/>
                <c:pt idx="0">
                  <c:v>Battery capacity</c:v>
                </c:pt>
              </c:strCache>
            </c:strRef>
          </c:tx>
          <c:spPr>
            <a:ln w="19050" cap="rnd">
              <a:solidFill>
                <a:srgbClr val="FF4F4F"/>
              </a:solidFill>
              <a:round/>
            </a:ln>
            <a:effectLst/>
          </c:spPr>
          <c:marker>
            <c:symbol val="circle"/>
            <c:size val="5"/>
            <c:spPr>
              <a:solidFill>
                <a:srgbClr val="FF4F4F"/>
              </a:solidFill>
              <a:ln w="9525">
                <a:solidFill>
                  <a:srgbClr val="FF4F4F"/>
                </a:solidFill>
              </a:ln>
              <a:effectLst/>
            </c:spPr>
          </c:marker>
          <c:xVal>
            <c:numRef>
              <c:f>('Sensitivity analysis - ESD'!$D$463,'Sensitivity analysis - ESD'!$G$463,'Sensitivity analysis - ESD'!$K$463)</c:f>
              <c:numCache>
                <c:formatCode>0%</c:formatCode>
                <c:ptCount val="3"/>
                <c:pt idx="0">
                  <c:v>0.5</c:v>
                </c:pt>
                <c:pt idx="1">
                  <c:v>1</c:v>
                </c:pt>
                <c:pt idx="2">
                  <c:v>2</c:v>
                </c:pt>
              </c:numCache>
            </c:numRef>
          </c:xVal>
          <c:yVal>
            <c:numRef>
              <c:f>('Sensitivity analysis - ESD'!$P$470,'Sensitivity analysis - ESD'!$S$470,'Sensitivity analysis - ESD'!$W$470)</c:f>
              <c:numCache>
                <c:formatCode>0.00</c:formatCode>
                <c:ptCount val="3"/>
                <c:pt idx="0">
                  <c:v>-1.7683041290733331E-6</c:v>
                </c:pt>
                <c:pt idx="1">
                  <c:v>-1.1817147435345837E-6</c:v>
                </c:pt>
                <c:pt idx="2" formatCode="0.0">
                  <c:v>1.0586946457652867E-6</c:v>
                </c:pt>
              </c:numCache>
            </c:numRef>
          </c:yVal>
          <c:smooth val="0"/>
          <c:extLst>
            <c:ext xmlns:c16="http://schemas.microsoft.com/office/drawing/2014/chart" uri="{C3380CC4-5D6E-409C-BE32-E72D297353CC}">
              <c16:uniqueId val="{00000006-4578-445C-A1C5-E0B3FBEAF673}"/>
            </c:ext>
          </c:extLst>
        </c:ser>
        <c:ser>
          <c:idx val="9"/>
          <c:order val="7"/>
          <c:tx>
            <c:strRef>
              <c:f>'Sensitivity analysis - ESD'!$A$471</c:f>
              <c:strCache>
                <c:ptCount val="1"/>
                <c:pt idx="0">
                  <c:v>Battery share factor</c:v>
                </c:pt>
              </c:strCache>
            </c:strRef>
          </c:tx>
          <c:spPr>
            <a:ln w="19050" cap="rnd">
              <a:solidFill>
                <a:srgbClr val="A4D3EA"/>
              </a:solidFill>
              <a:round/>
            </a:ln>
            <a:effectLst/>
          </c:spPr>
          <c:marker>
            <c:symbol val="circle"/>
            <c:size val="5"/>
            <c:spPr>
              <a:solidFill>
                <a:srgbClr val="A4D3EA"/>
              </a:solidFill>
              <a:ln w="9525">
                <a:solidFill>
                  <a:srgbClr val="A4D3EA"/>
                </a:solidFill>
              </a:ln>
              <a:effectLst/>
            </c:spPr>
          </c:marker>
          <c:xVal>
            <c:numRef>
              <c:f>('Sensitivity analysis - ESD'!$D$463,'Sensitivity analysis - ESD'!$G$463,'Sensitivity analysis - ESD'!$I$463)</c:f>
              <c:numCache>
                <c:formatCode>0%</c:formatCode>
                <c:ptCount val="3"/>
                <c:pt idx="0">
                  <c:v>0.5</c:v>
                </c:pt>
                <c:pt idx="1">
                  <c:v>1</c:v>
                </c:pt>
                <c:pt idx="2">
                  <c:v>1.5</c:v>
                </c:pt>
              </c:numCache>
            </c:numRef>
          </c:xVal>
          <c:yVal>
            <c:numRef>
              <c:f>('Sensitivity analysis - ESD'!$P$471,'Sensitivity analysis - ESD'!$S$471,'Sensitivity analysis - ESD'!$W$471)</c:f>
              <c:numCache>
                <c:formatCode>0.00</c:formatCode>
                <c:ptCount val="3"/>
                <c:pt idx="0">
                  <c:v>-1.1817147435345837E-6</c:v>
                </c:pt>
                <c:pt idx="1">
                  <c:v>-1.1817147435345837E-6</c:v>
                </c:pt>
                <c:pt idx="2" formatCode="0.0">
                  <c:v>-1.1817147435345837E-6</c:v>
                </c:pt>
              </c:numCache>
            </c:numRef>
          </c:yVal>
          <c:smooth val="0"/>
          <c:extLst>
            <c:ext xmlns:c16="http://schemas.microsoft.com/office/drawing/2014/chart" uri="{C3380CC4-5D6E-409C-BE32-E72D297353CC}">
              <c16:uniqueId val="{00000007-4578-445C-A1C5-E0B3FBEAF673}"/>
            </c:ext>
          </c:extLst>
        </c:ser>
        <c:ser>
          <c:idx val="7"/>
          <c:order val="8"/>
          <c:tx>
            <c:strRef>
              <c:f>'Sensitivity analysis - ESD'!$A$472</c:f>
              <c:strCache>
                <c:ptCount val="1"/>
                <c:pt idx="0">
                  <c:v>Sorbent type - amine on silica</c:v>
                </c:pt>
              </c:strCache>
            </c:strRef>
          </c:tx>
          <c:spPr>
            <a:ln w="19050" cap="rnd">
              <a:noFill/>
              <a:round/>
            </a:ln>
            <a:effectLst/>
          </c:spPr>
          <c:marker>
            <c:symbol val="square"/>
            <c:size val="5"/>
            <c:spPr>
              <a:solidFill>
                <a:srgbClr val="C00000"/>
              </a:solidFill>
              <a:ln w="9525">
                <a:solidFill>
                  <a:srgbClr val="C00000"/>
                </a:solidFill>
              </a:ln>
              <a:effectLst/>
            </c:spPr>
          </c:marker>
          <c:xVal>
            <c:numRef>
              <c:f>'Sensitivity analysis - ESD'!$G$463</c:f>
              <c:numCache>
                <c:formatCode>0%</c:formatCode>
                <c:ptCount val="1"/>
                <c:pt idx="0">
                  <c:v>1</c:v>
                </c:pt>
              </c:numCache>
            </c:numRef>
          </c:xVal>
          <c:yVal>
            <c:numRef>
              <c:f>'Sensitivity analysis - ESD'!$S$472</c:f>
              <c:numCache>
                <c:formatCode>0.00E+00</c:formatCode>
                <c:ptCount val="1"/>
                <c:pt idx="0">
                  <c:v>-1.1465098113204434E-6</c:v>
                </c:pt>
              </c:numCache>
            </c:numRef>
          </c:yVal>
          <c:smooth val="0"/>
          <c:extLst>
            <c:ext xmlns:c16="http://schemas.microsoft.com/office/drawing/2014/chart" uri="{C3380CC4-5D6E-409C-BE32-E72D297353CC}">
              <c16:uniqueId val="{00000009-4578-445C-A1C5-E0B3FBEAF673}"/>
            </c:ext>
          </c:extLst>
        </c:ser>
        <c:dLbls>
          <c:showLegendKey val="0"/>
          <c:showVal val="0"/>
          <c:showCatName val="0"/>
          <c:showSerName val="0"/>
          <c:showPercent val="0"/>
          <c:showBubbleSize val="0"/>
        </c:dLbls>
        <c:axId val="894438607"/>
        <c:axId val="1119274239"/>
      </c:scatterChart>
      <c:valAx>
        <c:axId val="894438607"/>
        <c:scaling>
          <c:orientation val="minMax"/>
          <c:max val="2.5"/>
          <c:min val="0"/>
        </c:scaling>
        <c:delete val="0"/>
        <c:axPos val="b"/>
        <c:majorGridlines>
          <c:spPr>
            <a:ln w="9525" cap="flat" cmpd="sng" algn="ctr">
              <a:solidFill>
                <a:schemeClr val="tx1">
                  <a:lumMod val="50000"/>
                  <a:lumOff val="50000"/>
                </a:schemeClr>
              </a:solidFill>
              <a:round/>
            </a:ln>
            <a:effectLst/>
          </c:spPr>
        </c:majorGridlines>
        <c:numFmt formatCode="0%" sourceLinked="1"/>
        <c:majorTickMark val="none"/>
        <c:minorTickMark val="none"/>
        <c:tickLblPos val="high"/>
        <c:spPr>
          <a:noFill/>
          <a:ln w="190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1119274239"/>
        <c:crosses val="autoZero"/>
        <c:crossBetween val="midCat"/>
      </c:valAx>
      <c:valAx>
        <c:axId val="1119274239"/>
        <c:scaling>
          <c:orientation val="minMax"/>
        </c:scaling>
        <c:delete val="0"/>
        <c:axPos val="l"/>
        <c:majorGridlines>
          <c:spPr>
            <a:ln w="9525" cap="flat" cmpd="sng" algn="ctr">
              <a:solidFill>
                <a:schemeClr val="tx1">
                  <a:lumMod val="50000"/>
                  <a:lumOff val="50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r>
                  <a:rPr lang="nl-NL"/>
                  <a:t>Ecosystem damage</a:t>
                </a:r>
              </a:p>
              <a:p>
                <a:pPr>
                  <a:defRPr/>
                </a:pPr>
                <a:r>
                  <a:rPr lang="nl-NL"/>
                  <a:t>[species*year/ton CO</a:t>
                </a:r>
                <a:r>
                  <a:rPr lang="nl-NL" baseline="-25000"/>
                  <a:t>2</a:t>
                </a:r>
                <a:r>
                  <a:rPr lang="nl-NL"/>
                  <a:t> captured and stored]</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title>
        <c:numFmt formatCode="0.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894438607"/>
        <c:crosses val="autoZero"/>
        <c:crossBetween val="midCat"/>
      </c:valAx>
      <c:spPr>
        <a:noFill/>
        <a:ln w="19050">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440350358354238"/>
          <c:y val="7.3598813469449673E-2"/>
          <c:w val="0.4165781277953638"/>
          <c:h val="0.90079367086536155"/>
        </c:manualLayout>
      </c:layout>
      <c:scatterChart>
        <c:scatterStyle val="lineMarker"/>
        <c:varyColors val="0"/>
        <c:ser>
          <c:idx val="0"/>
          <c:order val="0"/>
          <c:tx>
            <c:strRef>
              <c:f>'Sensitivity analysis - ESD'!$A$464</c:f>
              <c:strCache>
                <c:ptCount val="1"/>
                <c:pt idx="0">
                  <c:v>Material use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'Sensitivity analysis - ESD'!$F$463:$G$463</c:f>
              <c:numCache>
                <c:formatCode>0%</c:formatCode>
                <c:ptCount val="2"/>
                <c:pt idx="0">
                  <c:v>0.8</c:v>
                </c:pt>
                <c:pt idx="1">
                  <c:v>1</c:v>
                </c:pt>
              </c:numCache>
            </c:numRef>
          </c:xVal>
          <c:yVal>
            <c:numRef>
              <c:f>'Sensitivity analysis - ESD'!$AD$464:$AE$464</c:f>
              <c:numCache>
                <c:formatCode>0.00E+00</c:formatCode>
                <c:ptCount val="2"/>
                <c:pt idx="0">
                  <c:v>-1.4206973677014783E-6</c:v>
                </c:pt>
                <c:pt idx="1">
                  <c:v>-1.3974307592806945E-6</c:v>
                </c:pt>
              </c:numCache>
            </c:numRef>
          </c:yVal>
          <c:smooth val="0"/>
          <c:extLst>
            <c:ext xmlns:c16="http://schemas.microsoft.com/office/drawing/2014/chart" uri="{C3380CC4-5D6E-409C-BE32-E72D297353CC}">
              <c16:uniqueId val="{00000000-D48A-44BB-B61D-C76EED314961}"/>
            </c:ext>
          </c:extLst>
        </c:ser>
        <c:ser>
          <c:idx val="1"/>
          <c:order val="1"/>
          <c:tx>
            <c:strRef>
              <c:f>'Sensitivity analysis - ESD'!$A$465</c:f>
              <c:strCache>
                <c:ptCount val="1"/>
                <c:pt idx="0">
                  <c:v>Energy use</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('Sensitivity analysis - ESD'!$E$463,'Sensitivity analysis - ESD'!$G$463,'Sensitivity analysis - ESD'!$J$463)</c:f>
              <c:numCache>
                <c:formatCode>0%</c:formatCode>
                <c:ptCount val="3"/>
                <c:pt idx="0">
                  <c:v>0.67</c:v>
                </c:pt>
                <c:pt idx="1">
                  <c:v>1</c:v>
                </c:pt>
                <c:pt idx="2">
                  <c:v>1.67</c:v>
                </c:pt>
              </c:numCache>
            </c:numRef>
          </c:xVal>
          <c:yVal>
            <c:numRef>
              <c:f>('Sensitivity analysis - ESD'!$AC$465,'Sensitivity analysis - ESD'!$AE$465,'Sensitivity analysis - ESD'!$AH$465)</c:f>
              <c:numCache>
                <c:formatCode>0.00E+00</c:formatCode>
                <c:ptCount val="3"/>
                <c:pt idx="0">
                  <c:v>-1.5712810857697774E-6</c:v>
                </c:pt>
                <c:pt idx="1">
                  <c:v>-1.3974307592806945E-6</c:v>
                </c:pt>
                <c:pt idx="2">
                  <c:v>-1.0497301063025261E-6</c:v>
                </c:pt>
              </c:numCache>
            </c:numRef>
          </c:yVal>
          <c:smooth val="0"/>
          <c:extLst>
            <c:ext xmlns:c16="http://schemas.microsoft.com/office/drawing/2014/chart" uri="{C3380CC4-5D6E-409C-BE32-E72D297353CC}">
              <c16:uniqueId val="{00000001-D48A-44BB-B61D-C76EED314961}"/>
            </c:ext>
          </c:extLst>
        </c:ser>
        <c:ser>
          <c:idx val="2"/>
          <c:order val="2"/>
          <c:tx>
            <c:strRef>
              <c:f>'Sensitivity analysis - ESD'!$A$466</c:f>
              <c:strCache>
                <c:ptCount val="1"/>
                <c:pt idx="0">
                  <c:v>Lifetime DAC system</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'Sensitivity analysis - ESD'!$F$463:$G$463</c:f>
              <c:numCache>
                <c:formatCode>0%</c:formatCode>
                <c:ptCount val="2"/>
                <c:pt idx="0">
                  <c:v>0.8</c:v>
                </c:pt>
                <c:pt idx="1">
                  <c:v>1</c:v>
                </c:pt>
              </c:numCache>
            </c:numRef>
          </c:xVal>
          <c:yVal>
            <c:numRef>
              <c:f>'Sensitivity analysis - ESD'!$AD$466:$AE$466</c:f>
              <c:numCache>
                <c:formatCode>0.00E+00</c:formatCode>
                <c:ptCount val="2"/>
                <c:pt idx="0">
                  <c:v>-1.0467693241008685E-6</c:v>
                </c:pt>
                <c:pt idx="1">
                  <c:v>-1.3974307592806936E-6</c:v>
                </c:pt>
              </c:numCache>
            </c:numRef>
          </c:yVal>
          <c:smooth val="0"/>
          <c:extLst>
            <c:ext xmlns:c16="http://schemas.microsoft.com/office/drawing/2014/chart" uri="{C3380CC4-5D6E-409C-BE32-E72D297353CC}">
              <c16:uniqueId val="{00000002-D48A-44BB-B61D-C76EED314961}"/>
            </c:ext>
          </c:extLst>
        </c:ser>
        <c:ser>
          <c:idx val="3"/>
          <c:order val="3"/>
          <c:tx>
            <c:strRef>
              <c:f>'Sensitivity analysis - ESD'!$A$467</c:f>
              <c:strCache>
                <c:ptCount val="1"/>
                <c:pt idx="0">
                  <c:v>Lifetime sorbent material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('Sensitivity analysis - ESD'!$C$463,'Sensitivity analysis - ESD'!$G$463,'Sensitivity analysis - ESD'!$J$463)</c:f>
              <c:numCache>
                <c:formatCode>0%</c:formatCode>
                <c:ptCount val="3"/>
                <c:pt idx="0">
                  <c:v>0.33</c:v>
                </c:pt>
                <c:pt idx="1">
                  <c:v>1</c:v>
                </c:pt>
                <c:pt idx="2">
                  <c:v>1.67</c:v>
                </c:pt>
              </c:numCache>
            </c:numRef>
          </c:xVal>
          <c:yVal>
            <c:numRef>
              <c:f>('Sensitivity analysis - ESD'!$AA$467,'Sensitivity analysis - ESD'!$AE$467,'Sensitivity analysis - ESD'!$AH$467)</c:f>
              <c:numCache>
                <c:formatCode>0.00E+00</c:formatCode>
                <c:ptCount val="3"/>
                <c:pt idx="0">
                  <c:v>-1.3881121661888714E-6</c:v>
                </c:pt>
                <c:pt idx="1">
                  <c:v>-1.3974307592806945E-6</c:v>
                </c:pt>
                <c:pt idx="2">
                  <c:v>-1.4149228269981038E-6</c:v>
                </c:pt>
              </c:numCache>
            </c:numRef>
          </c:yVal>
          <c:smooth val="0"/>
          <c:extLst>
            <c:ext xmlns:c16="http://schemas.microsoft.com/office/drawing/2014/chart" uri="{C3380CC4-5D6E-409C-BE32-E72D297353CC}">
              <c16:uniqueId val="{00000003-D48A-44BB-B61D-C76EED314961}"/>
            </c:ext>
          </c:extLst>
        </c:ser>
        <c:ser>
          <c:idx val="4"/>
          <c:order val="4"/>
          <c:tx>
            <c:strRef>
              <c:f>'Sensitivity analysis - ESD'!$A$468</c:f>
              <c:strCache>
                <c:ptCount val="1"/>
                <c:pt idx="0">
                  <c:v>Capacity DAC unit</c:v>
                </c:pt>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numRef>
              <c:f>('Sensitivity analysis - ESD'!$D$463,'Sensitivity analysis - ESD'!$G$463,'Sensitivity analysis - ESD'!$I$463)</c:f>
              <c:numCache>
                <c:formatCode>0%</c:formatCode>
                <c:ptCount val="3"/>
                <c:pt idx="0">
                  <c:v>0.5</c:v>
                </c:pt>
                <c:pt idx="1">
                  <c:v>1</c:v>
                </c:pt>
                <c:pt idx="2">
                  <c:v>1.5</c:v>
                </c:pt>
              </c:numCache>
            </c:numRef>
          </c:xVal>
          <c:yVal>
            <c:numRef>
              <c:f>('Sensitivity analysis - ESD'!$AB$468,'Sensitivity analysis - ESD'!$AE$468,'Sensitivity analysis - ESD'!$AG$468)</c:f>
              <c:numCache>
                <c:formatCode>0.00E+00</c:formatCode>
                <c:ptCount val="3"/>
                <c:pt idx="0">
                  <c:v>5.2149814386101719E-9</c:v>
                </c:pt>
                <c:pt idx="1">
                  <c:v>-1.3974307592806936E-6</c:v>
                </c:pt>
                <c:pt idx="2">
                  <c:v>-1.8649793395204633E-6</c:v>
                </c:pt>
              </c:numCache>
            </c:numRef>
          </c:yVal>
          <c:smooth val="0"/>
          <c:extLst>
            <c:ext xmlns:c16="http://schemas.microsoft.com/office/drawing/2014/chart" uri="{C3380CC4-5D6E-409C-BE32-E72D297353CC}">
              <c16:uniqueId val="{00000004-D48A-44BB-B61D-C76EED314961}"/>
            </c:ext>
          </c:extLst>
        </c:ser>
        <c:ser>
          <c:idx val="5"/>
          <c:order val="5"/>
          <c:tx>
            <c:strRef>
              <c:f>'Sensitivity analysis - ESD'!$A$469</c:f>
              <c:strCache>
                <c:ptCount val="1"/>
                <c:pt idx="0">
                  <c:v>Curtailment factor</c:v>
                </c:pt>
              </c:strCache>
            </c:strRef>
          </c:tx>
          <c:spPr>
            <a:ln w="19050"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xVal>
            <c:numRef>
              <c:f>('Sensitivity analysis - ESD'!$B$463,'Sensitivity analysis - ESD'!$D$463,'Sensitivity analysis - ESD'!$G$463,'Sensitivity analysis - ESD'!$I$463)</c:f>
              <c:numCache>
                <c:formatCode>0%</c:formatCode>
                <c:ptCount val="4"/>
                <c:pt idx="0">
                  <c:v>0</c:v>
                </c:pt>
                <c:pt idx="1">
                  <c:v>0.5</c:v>
                </c:pt>
                <c:pt idx="2">
                  <c:v>1</c:v>
                </c:pt>
                <c:pt idx="3">
                  <c:v>1.5</c:v>
                </c:pt>
              </c:numCache>
            </c:numRef>
          </c:xVal>
          <c:yVal>
            <c:numRef>
              <c:f>('Sensitivity analysis - ESD'!$Z$469,'Sensitivity analysis - ESD'!$AB$469,'Sensitivity analysis - ESD'!$AE$469,'Sensitivity analysis - ESD'!$AG$469)</c:f>
              <c:numCache>
                <c:formatCode>0.00</c:formatCode>
                <c:ptCount val="4"/>
                <c:pt idx="0">
                  <c:v>-1.6501494844125919E-6</c:v>
                </c:pt>
                <c:pt idx="1">
                  <c:v>-1.5612299329772947E-6</c:v>
                </c:pt>
                <c:pt idx="2" formatCode="0.00E+00">
                  <c:v>-1.3833908301066996E-6</c:v>
                </c:pt>
                <c:pt idx="3" formatCode="0.00E+00">
                  <c:v>-8.4987352149491636E-7</c:v>
                </c:pt>
              </c:numCache>
            </c:numRef>
          </c:yVal>
          <c:smooth val="0"/>
          <c:extLst>
            <c:ext xmlns:c16="http://schemas.microsoft.com/office/drawing/2014/chart" uri="{C3380CC4-5D6E-409C-BE32-E72D297353CC}">
              <c16:uniqueId val="{00000005-D48A-44BB-B61D-C76EED314961}"/>
            </c:ext>
          </c:extLst>
        </c:ser>
        <c:ser>
          <c:idx val="8"/>
          <c:order val="6"/>
          <c:tx>
            <c:strRef>
              <c:f>'Sensitivity analysis - ESD'!$A$470</c:f>
              <c:strCache>
                <c:ptCount val="1"/>
                <c:pt idx="0">
                  <c:v>Battery capacity</c:v>
                </c:pt>
              </c:strCache>
            </c:strRef>
          </c:tx>
          <c:spPr>
            <a:ln w="19050" cap="rnd">
              <a:solidFill>
                <a:srgbClr val="FF4F4F"/>
              </a:solidFill>
              <a:round/>
            </a:ln>
            <a:effectLst/>
          </c:spPr>
          <c:marker>
            <c:symbol val="circle"/>
            <c:size val="5"/>
            <c:spPr>
              <a:solidFill>
                <a:srgbClr val="FF4F4F"/>
              </a:solidFill>
              <a:ln w="9525">
                <a:solidFill>
                  <a:srgbClr val="FF4F4F"/>
                </a:solidFill>
              </a:ln>
              <a:effectLst/>
            </c:spPr>
          </c:marker>
          <c:xVal>
            <c:numRef>
              <c:f>('Sensitivity analysis - ESD'!$D$463,'Sensitivity analysis - ESD'!$G$463,'Sensitivity analysis - ESD'!$K$463)</c:f>
              <c:numCache>
                <c:formatCode>0%</c:formatCode>
                <c:ptCount val="3"/>
                <c:pt idx="0">
                  <c:v>0.5</c:v>
                </c:pt>
                <c:pt idx="1">
                  <c:v>1</c:v>
                </c:pt>
                <c:pt idx="2">
                  <c:v>2</c:v>
                </c:pt>
              </c:numCache>
            </c:numRef>
          </c:xVal>
          <c:yVal>
            <c:numRef>
              <c:f>('Sensitivity analysis - ESD'!$AB$470,'Sensitivity analysis - ESD'!$AE$470,'Sensitivity analysis - ESD'!$AI$470)</c:f>
              <c:numCache>
                <c:formatCode>0.00</c:formatCode>
                <c:ptCount val="3"/>
                <c:pt idx="0">
                  <c:v>-1.8908084867173783E-6</c:v>
                </c:pt>
                <c:pt idx="1">
                  <c:v>-1.3833908301066996E-6</c:v>
                </c:pt>
                <c:pt idx="2" formatCode="0.0">
                  <c:v>5.5244012154238553E-7</c:v>
                </c:pt>
              </c:numCache>
            </c:numRef>
          </c:yVal>
          <c:smooth val="0"/>
          <c:extLst>
            <c:ext xmlns:c16="http://schemas.microsoft.com/office/drawing/2014/chart" uri="{C3380CC4-5D6E-409C-BE32-E72D297353CC}">
              <c16:uniqueId val="{00000006-D48A-44BB-B61D-C76EED314961}"/>
            </c:ext>
          </c:extLst>
        </c:ser>
        <c:ser>
          <c:idx val="9"/>
          <c:order val="7"/>
          <c:tx>
            <c:strRef>
              <c:f>'Sensitivity analysis - ESD'!$A$471</c:f>
              <c:strCache>
                <c:ptCount val="1"/>
                <c:pt idx="0">
                  <c:v>Battery share factor</c:v>
                </c:pt>
              </c:strCache>
            </c:strRef>
          </c:tx>
          <c:spPr>
            <a:ln w="19050" cap="rnd">
              <a:solidFill>
                <a:srgbClr val="A4D3EA"/>
              </a:solidFill>
              <a:round/>
            </a:ln>
            <a:effectLst/>
          </c:spPr>
          <c:marker>
            <c:symbol val="circle"/>
            <c:size val="5"/>
            <c:spPr>
              <a:solidFill>
                <a:srgbClr val="A4D3EA"/>
              </a:solidFill>
              <a:ln w="9525">
                <a:solidFill>
                  <a:srgbClr val="A4D3EA"/>
                </a:solidFill>
              </a:ln>
              <a:effectLst/>
            </c:spPr>
          </c:marker>
          <c:xVal>
            <c:numRef>
              <c:f>('Sensitivity analysis - ESD'!$D$463,'Sensitivity analysis - ESD'!$G$463,'Sensitivity analysis - ESD'!$I$463)</c:f>
              <c:numCache>
                <c:formatCode>0%</c:formatCode>
                <c:ptCount val="3"/>
                <c:pt idx="0">
                  <c:v>0.5</c:v>
                </c:pt>
                <c:pt idx="1">
                  <c:v>1</c:v>
                </c:pt>
                <c:pt idx="2">
                  <c:v>1.5</c:v>
                </c:pt>
              </c:numCache>
            </c:numRef>
          </c:xVal>
          <c:yVal>
            <c:numRef>
              <c:f>('Sensitivity analysis - ESD'!$AB$471,'Sensitivity analysis - ESD'!$AE$471,'Sensitivity analysis - ESD'!$AI$471)</c:f>
              <c:numCache>
                <c:formatCode>0.00</c:formatCode>
                <c:ptCount val="3"/>
                <c:pt idx="0">
                  <c:v>-1.3833908301066996E-6</c:v>
                </c:pt>
                <c:pt idx="1">
                  <c:v>-1.3833908301066996E-6</c:v>
                </c:pt>
                <c:pt idx="2" formatCode="0.0">
                  <c:v>-1.3833908301066996E-6</c:v>
                </c:pt>
              </c:numCache>
            </c:numRef>
          </c:yVal>
          <c:smooth val="0"/>
          <c:extLst>
            <c:ext xmlns:c16="http://schemas.microsoft.com/office/drawing/2014/chart" uri="{C3380CC4-5D6E-409C-BE32-E72D297353CC}">
              <c16:uniqueId val="{00000007-D48A-44BB-B61D-C76EED314961}"/>
            </c:ext>
          </c:extLst>
        </c:ser>
        <c:ser>
          <c:idx val="7"/>
          <c:order val="8"/>
          <c:tx>
            <c:strRef>
              <c:f>'Sensitivity analysis - ESD'!$A$472</c:f>
              <c:strCache>
                <c:ptCount val="1"/>
                <c:pt idx="0">
                  <c:v>Sorbent type - amine on silica</c:v>
                </c:pt>
              </c:strCache>
            </c:strRef>
          </c:tx>
          <c:spPr>
            <a:ln w="19050" cap="rnd">
              <a:noFill/>
              <a:round/>
            </a:ln>
            <a:effectLst/>
          </c:spPr>
          <c:marker>
            <c:symbol val="square"/>
            <c:size val="5"/>
            <c:spPr>
              <a:solidFill>
                <a:srgbClr val="C00000"/>
              </a:solidFill>
              <a:ln w="9525">
                <a:solidFill>
                  <a:srgbClr val="C00000"/>
                </a:solidFill>
              </a:ln>
              <a:effectLst/>
            </c:spPr>
          </c:marker>
          <c:xVal>
            <c:numRef>
              <c:f>'Sensitivity analysis - ESD'!$G$463</c:f>
              <c:numCache>
                <c:formatCode>0%</c:formatCode>
                <c:ptCount val="1"/>
                <c:pt idx="0">
                  <c:v>1</c:v>
                </c:pt>
              </c:numCache>
            </c:numRef>
          </c:xVal>
          <c:yVal>
            <c:numRef>
              <c:f>'Sensitivity analysis - ESD'!$AE$472</c:f>
              <c:numCache>
                <c:formatCode>0.00E+00</c:formatCode>
                <c:ptCount val="1"/>
                <c:pt idx="0">
                  <c:v>-1.3529312458471174E-6</c:v>
                </c:pt>
              </c:numCache>
            </c:numRef>
          </c:yVal>
          <c:smooth val="0"/>
          <c:extLst>
            <c:ext xmlns:c16="http://schemas.microsoft.com/office/drawing/2014/chart" uri="{C3380CC4-5D6E-409C-BE32-E72D297353CC}">
              <c16:uniqueId val="{00000009-D48A-44BB-B61D-C76EED314961}"/>
            </c:ext>
          </c:extLst>
        </c:ser>
        <c:dLbls>
          <c:showLegendKey val="0"/>
          <c:showVal val="0"/>
          <c:showCatName val="0"/>
          <c:showSerName val="0"/>
          <c:showPercent val="0"/>
          <c:showBubbleSize val="0"/>
        </c:dLbls>
        <c:axId val="894438607"/>
        <c:axId val="1119274239"/>
      </c:scatterChart>
      <c:valAx>
        <c:axId val="894438607"/>
        <c:scaling>
          <c:orientation val="minMax"/>
          <c:max val="2.5"/>
          <c:min val="0"/>
        </c:scaling>
        <c:delete val="0"/>
        <c:axPos val="b"/>
        <c:majorGridlines>
          <c:spPr>
            <a:ln w="9525" cap="flat" cmpd="sng" algn="ctr">
              <a:solidFill>
                <a:schemeClr val="tx1">
                  <a:lumMod val="50000"/>
                  <a:lumOff val="50000"/>
                </a:schemeClr>
              </a:solidFill>
              <a:round/>
            </a:ln>
            <a:effectLst/>
          </c:spPr>
        </c:majorGridlines>
        <c:numFmt formatCode="0%" sourceLinked="1"/>
        <c:majorTickMark val="none"/>
        <c:minorTickMark val="none"/>
        <c:tickLblPos val="high"/>
        <c:spPr>
          <a:noFill/>
          <a:ln w="190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1119274239"/>
        <c:crosses val="autoZero"/>
        <c:crossBetween val="midCat"/>
      </c:valAx>
      <c:valAx>
        <c:axId val="1119274239"/>
        <c:scaling>
          <c:orientation val="minMax"/>
        </c:scaling>
        <c:delete val="0"/>
        <c:axPos val="l"/>
        <c:majorGridlines>
          <c:spPr>
            <a:ln w="9525" cap="flat" cmpd="sng" algn="ctr">
              <a:solidFill>
                <a:schemeClr val="tx1">
                  <a:lumMod val="50000"/>
                  <a:lumOff val="50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r>
                  <a:rPr lang="nl-NL"/>
                  <a:t>Ecosystem damage</a:t>
                </a:r>
              </a:p>
              <a:p>
                <a:pPr>
                  <a:defRPr/>
                </a:pPr>
                <a:r>
                  <a:rPr lang="nl-NL"/>
                  <a:t>[species*year/ton CO</a:t>
                </a:r>
                <a:r>
                  <a:rPr lang="nl-NL" baseline="-25000"/>
                  <a:t>2</a:t>
                </a:r>
                <a:r>
                  <a:rPr lang="nl-NL"/>
                  <a:t> captured and stored]</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title>
        <c:numFmt formatCode="0.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894438607"/>
        <c:crosses val="autoZero"/>
        <c:crossBetween val="midCat"/>
      </c:valAx>
      <c:spPr>
        <a:noFill/>
        <a:ln w="19050">
          <a:solidFill>
            <a:schemeClr val="tx1"/>
          </a:solidFill>
        </a:ln>
        <a:effectLst/>
      </c:spPr>
    </c:plotArea>
    <c:legend>
      <c:legendPos val="r"/>
      <c:layout>
        <c:manualLayout>
          <c:xMode val="edge"/>
          <c:yMode val="edge"/>
          <c:x val="0.54710541784870625"/>
          <c:y val="7.6716289733345891E-2"/>
          <c:w val="0.2856286269263687"/>
          <c:h val="0.87329741919023873"/>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baseline="0">
                <a:solidFill>
                  <a:schemeClr val="tx1"/>
                </a:solidFill>
                <a:latin typeface="Verdana Pro" panose="020B0604030504040204" pitchFamily="34" charset="0"/>
                <a:ea typeface="+mn-ea"/>
                <a:cs typeface="Times New Roman" panose="02020603050405020304" pitchFamily="18" charset="0"/>
              </a:defRPr>
            </a:pPr>
            <a:r>
              <a:rPr lang="en-GB" b="0" i="1"/>
              <a:t>Benefits 		Burdens</a:t>
            </a:r>
          </a:p>
        </c:rich>
      </c:tx>
      <c:layout>
        <c:manualLayout>
          <c:xMode val="edge"/>
          <c:yMode val="edge"/>
          <c:x val="0.41617777436685638"/>
          <c:y val="4.1461155214611465E-3"/>
        </c:manualLayout>
      </c:layout>
      <c:overlay val="0"/>
      <c:spPr>
        <a:noFill/>
        <a:ln>
          <a:noFill/>
        </a:ln>
        <a:effectLst/>
      </c:spPr>
      <c:txPr>
        <a:bodyPr rot="0" spcFirstLastPara="1" vertOverflow="ellipsis" vert="horz" wrap="square" anchor="ctr" anchorCtr="1"/>
        <a:lstStyle/>
        <a:p>
          <a:pPr>
            <a:defRPr sz="1440" b="1"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title>
    <c:autoTitleDeleted val="0"/>
    <c:plotArea>
      <c:layout>
        <c:manualLayout>
          <c:layoutTarget val="inner"/>
          <c:xMode val="edge"/>
          <c:yMode val="edge"/>
          <c:x val="0.1062528150229942"/>
          <c:y val="0.11409636871261428"/>
          <c:w val="0.87030657315031501"/>
          <c:h val="0.58068260610820854"/>
        </c:manualLayout>
      </c:layout>
      <c:barChart>
        <c:barDir val="bar"/>
        <c:grouping val="stacked"/>
        <c:varyColors val="0"/>
        <c:ser>
          <c:idx val="0"/>
          <c:order val="0"/>
          <c:tx>
            <c:strRef>
              <c:f>'Figure Results ReCiPe (H)'!$C$5</c:f>
              <c:strCache>
                <c:ptCount val="1"/>
                <c:pt idx="0">
                  <c:v>Construction - DAC</c:v>
                </c:pt>
              </c:strCache>
            </c:strRef>
          </c:tx>
          <c:spPr>
            <a:solidFill>
              <a:schemeClr val="accent4">
                <a:lumMod val="75000"/>
              </a:schemeClr>
            </a:solidFill>
            <a:ln>
              <a:noFill/>
            </a:ln>
            <a:effectLst/>
          </c:spPr>
          <c:invertIfNegative val="0"/>
          <c:cat>
            <c:multiLvlStrRef>
              <c:f>'Figure Results ReCiPe (H)'!$A$34:$B$42</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(H)'!$C$34:$C$42</c:f>
              <c:numCache>
                <c:formatCode>0</c:formatCode>
                <c:ptCount val="9"/>
                <c:pt idx="0">
                  <c:v>66.853280384452631</c:v>
                </c:pt>
                <c:pt idx="1">
                  <c:v>64.027258518085389</c:v>
                </c:pt>
                <c:pt idx="2">
                  <c:v>57.945712680558493</c:v>
                </c:pt>
                <c:pt idx="3">
                  <c:v>66.853280384452631</c:v>
                </c:pt>
                <c:pt idx="4">
                  <c:v>64.027258518085389</c:v>
                </c:pt>
                <c:pt idx="5">
                  <c:v>57.945712680558493</c:v>
                </c:pt>
                <c:pt idx="6">
                  <c:v>127.83620330818223</c:v>
                </c:pt>
                <c:pt idx="7">
                  <c:v>122.24287529591125</c:v>
                </c:pt>
                <c:pt idx="8">
                  <c:v>110.19930815134711</c:v>
                </c:pt>
              </c:numCache>
            </c:numRef>
          </c:val>
          <c:extLst>
            <c:ext xmlns:c16="http://schemas.microsoft.com/office/drawing/2014/chart" uri="{C3380CC4-5D6E-409C-BE32-E72D297353CC}">
              <c16:uniqueId val="{00000000-CBF4-41F1-B949-C2A059C14091}"/>
            </c:ext>
          </c:extLst>
        </c:ser>
        <c:ser>
          <c:idx val="1"/>
          <c:order val="1"/>
          <c:tx>
            <c:strRef>
              <c:f>'Figure Results ReCiPe (H)'!$D$5</c:f>
              <c:strCache>
                <c:ptCount val="1"/>
                <c:pt idx="0">
                  <c:v>Construction - geological storage</c:v>
                </c:pt>
              </c:strCache>
            </c:strRef>
          </c:tx>
          <c:spPr>
            <a:solidFill>
              <a:schemeClr val="accent4">
                <a:lumMod val="60000"/>
                <a:lumOff val="40000"/>
              </a:schemeClr>
            </a:solidFill>
            <a:ln>
              <a:noFill/>
            </a:ln>
            <a:effectLst/>
          </c:spPr>
          <c:invertIfNegative val="0"/>
          <c:cat>
            <c:multiLvlStrRef>
              <c:f>'Figure Results ReCiPe (H)'!$A$34:$B$42</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(H)'!$D$34:$D$42</c:f>
              <c:numCache>
                <c:formatCode>0</c:formatCode>
                <c:ptCount val="9"/>
                <c:pt idx="0">
                  <c:v>4.0040114297033504</c:v>
                </c:pt>
                <c:pt idx="1">
                  <c:v>3.8025533906393125</c:v>
                </c:pt>
                <c:pt idx="2">
                  <c:v>3.5909746967405103</c:v>
                </c:pt>
                <c:pt idx="3">
                  <c:v>4.0040114297033504</c:v>
                </c:pt>
                <c:pt idx="4">
                  <c:v>3.8025533906393125</c:v>
                </c:pt>
                <c:pt idx="5">
                  <c:v>3.5909746967405103</c:v>
                </c:pt>
                <c:pt idx="6">
                  <c:v>4.0040114297033504</c:v>
                </c:pt>
                <c:pt idx="7">
                  <c:v>3.8025533906393125</c:v>
                </c:pt>
                <c:pt idx="8">
                  <c:v>3.5909746967405103</c:v>
                </c:pt>
              </c:numCache>
            </c:numRef>
          </c:val>
          <c:extLst>
            <c:ext xmlns:c16="http://schemas.microsoft.com/office/drawing/2014/chart" uri="{C3380CC4-5D6E-409C-BE32-E72D297353CC}">
              <c16:uniqueId val="{00000001-CBF4-41F1-B949-C2A059C14091}"/>
            </c:ext>
          </c:extLst>
        </c:ser>
        <c:ser>
          <c:idx val="3"/>
          <c:order val="2"/>
          <c:tx>
            <c:strRef>
              <c:f>'Figure Results ReCiPe (H)'!$E$5</c:f>
              <c:strCache>
                <c:ptCount val="1"/>
                <c:pt idx="0">
                  <c:v>Deconstruction - DAC</c:v>
                </c:pt>
              </c:strCache>
            </c:strRef>
          </c:tx>
          <c:spPr>
            <a:solidFill>
              <a:schemeClr val="accent2">
                <a:lumMod val="40000"/>
                <a:lumOff val="60000"/>
              </a:schemeClr>
            </a:solidFill>
            <a:ln>
              <a:noFill/>
            </a:ln>
            <a:effectLst/>
          </c:spPr>
          <c:invertIfNegative val="0"/>
          <c:cat>
            <c:multiLvlStrRef>
              <c:f>'Figure Results ReCiPe (H)'!$A$34:$B$42</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(H)'!$E$34:$E$42</c:f>
              <c:numCache>
                <c:formatCode>0</c:formatCode>
                <c:ptCount val="9"/>
                <c:pt idx="0">
                  <c:v>0.53842860968435535</c:v>
                </c:pt>
                <c:pt idx="1">
                  <c:v>0.48155270986090665</c:v>
                </c:pt>
                <c:pt idx="2">
                  <c:v>0.45457967317424136</c:v>
                </c:pt>
                <c:pt idx="3">
                  <c:v>0.53842860968435535</c:v>
                </c:pt>
                <c:pt idx="4">
                  <c:v>0.48155270986090665</c:v>
                </c:pt>
                <c:pt idx="5">
                  <c:v>0.45457967317424136</c:v>
                </c:pt>
                <c:pt idx="6">
                  <c:v>1.0768572193687107</c:v>
                </c:pt>
                <c:pt idx="7">
                  <c:v>0.96310541972181329</c:v>
                </c:pt>
                <c:pt idx="8">
                  <c:v>0.90915934634848272</c:v>
                </c:pt>
              </c:numCache>
            </c:numRef>
          </c:val>
          <c:extLst>
            <c:ext xmlns:c16="http://schemas.microsoft.com/office/drawing/2014/chart" uri="{C3380CC4-5D6E-409C-BE32-E72D297353CC}">
              <c16:uniqueId val="{00000002-CBF4-41F1-B949-C2A059C14091}"/>
            </c:ext>
          </c:extLst>
        </c:ser>
        <c:ser>
          <c:idx val="4"/>
          <c:order val="3"/>
          <c:tx>
            <c:strRef>
              <c:f>'Figure Results ReCiPe (H)'!$F$5</c:f>
              <c:strCache>
                <c:ptCount val="1"/>
                <c:pt idx="0">
                  <c:v>Deconstruction - geological storage</c:v>
                </c:pt>
              </c:strCache>
            </c:strRef>
          </c:tx>
          <c:spPr>
            <a:solidFill>
              <a:srgbClr val="FF9900"/>
            </a:solidFill>
            <a:ln>
              <a:noFill/>
            </a:ln>
            <a:effectLst/>
          </c:spPr>
          <c:invertIfNegative val="0"/>
          <c:cat>
            <c:multiLvlStrRef>
              <c:f>'Figure Results ReCiPe (H)'!$A$34:$B$42</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(H)'!$F$34:$F$42</c:f>
              <c:numCache>
                <c:formatCode>0</c:formatCode>
                <c:ptCount val="9"/>
                <c:pt idx="0">
                  <c:v>1.4907496099019132E-2</c:v>
                </c:pt>
                <c:pt idx="1">
                  <c:v>1.4090857538857629E-2</c:v>
                </c:pt>
                <c:pt idx="2">
                  <c:v>1.3616739030439631E-2</c:v>
                </c:pt>
                <c:pt idx="3">
                  <c:v>1.4907496099019132E-2</c:v>
                </c:pt>
                <c:pt idx="4">
                  <c:v>1.4090857538857629E-2</c:v>
                </c:pt>
                <c:pt idx="5">
                  <c:v>1.3616739030439631E-2</c:v>
                </c:pt>
                <c:pt idx="6">
                  <c:v>1.4907496099019132E-2</c:v>
                </c:pt>
                <c:pt idx="7">
                  <c:v>1.4090857538857629E-2</c:v>
                </c:pt>
                <c:pt idx="8">
                  <c:v>1.3616739030439631E-2</c:v>
                </c:pt>
              </c:numCache>
            </c:numRef>
          </c:val>
          <c:extLst>
            <c:ext xmlns:c16="http://schemas.microsoft.com/office/drawing/2014/chart" uri="{C3380CC4-5D6E-409C-BE32-E72D297353CC}">
              <c16:uniqueId val="{00000003-CBF4-41F1-B949-C2A059C14091}"/>
            </c:ext>
          </c:extLst>
        </c:ser>
        <c:ser>
          <c:idx val="5"/>
          <c:order val="4"/>
          <c:tx>
            <c:strRef>
              <c:f>'Figure Results ReCiPe (H)'!$G$5</c:f>
              <c:strCache>
                <c:ptCount val="1"/>
                <c:pt idx="0">
                  <c:v>Sorbent material</c:v>
                </c:pt>
              </c:strCache>
            </c:strRef>
          </c:tx>
          <c:spPr>
            <a:solidFill>
              <a:srgbClr val="FF8F8F"/>
            </a:solidFill>
            <a:ln>
              <a:noFill/>
            </a:ln>
            <a:effectLst/>
          </c:spPr>
          <c:invertIfNegative val="0"/>
          <c:cat>
            <c:multiLvlStrRef>
              <c:f>'Figure Results ReCiPe (H)'!$A$34:$B$42</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(H)'!$G$34:$G$42</c:f>
              <c:numCache>
                <c:formatCode>0</c:formatCode>
                <c:ptCount val="9"/>
                <c:pt idx="0">
                  <c:v>8.399216926836214</c:v>
                </c:pt>
                <c:pt idx="1">
                  <c:v>7.2964263088321886</c:v>
                </c:pt>
                <c:pt idx="2">
                  <c:v>6.5857117699468777</c:v>
                </c:pt>
                <c:pt idx="3">
                  <c:v>8.399216926836214</c:v>
                </c:pt>
                <c:pt idx="4">
                  <c:v>7.2964263088321886</c:v>
                </c:pt>
                <c:pt idx="5">
                  <c:v>6.5857117699468777</c:v>
                </c:pt>
                <c:pt idx="6">
                  <c:v>16.798433853672428</c:v>
                </c:pt>
                <c:pt idx="7">
                  <c:v>14.592852617664377</c:v>
                </c:pt>
                <c:pt idx="8">
                  <c:v>13.171423539893755</c:v>
                </c:pt>
              </c:numCache>
            </c:numRef>
          </c:val>
          <c:extLst>
            <c:ext xmlns:c16="http://schemas.microsoft.com/office/drawing/2014/chart" uri="{C3380CC4-5D6E-409C-BE32-E72D297353CC}">
              <c16:uniqueId val="{00000004-CBF4-41F1-B949-C2A059C14091}"/>
            </c:ext>
          </c:extLst>
        </c:ser>
        <c:ser>
          <c:idx val="6"/>
          <c:order val="5"/>
          <c:tx>
            <c:strRef>
              <c:f>'Figure Results ReCiPe (H)'!$I$5</c:f>
              <c:strCache>
                <c:ptCount val="1"/>
                <c:pt idx="0">
                  <c:v>Operation - DAC</c:v>
                </c:pt>
              </c:strCache>
            </c:strRef>
          </c:tx>
          <c:spPr>
            <a:solidFill>
              <a:schemeClr val="accent2">
                <a:lumMod val="75000"/>
              </a:schemeClr>
            </a:solidFill>
            <a:ln>
              <a:noFill/>
            </a:ln>
            <a:effectLst/>
          </c:spPr>
          <c:invertIfNegative val="0"/>
          <c:cat>
            <c:multiLvlStrRef>
              <c:f>'Figure Results ReCiPe (H)'!$A$34:$B$42</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(H)'!$I$34:$I$42</c:f>
              <c:numCache>
                <c:formatCode>0</c:formatCode>
                <c:ptCount val="9"/>
                <c:pt idx="0">
                  <c:v>1086.4615132376189</c:v>
                </c:pt>
                <c:pt idx="1">
                  <c:v>310.60149197345743</c:v>
                </c:pt>
                <c:pt idx="2">
                  <c:v>169.93610666151969</c:v>
                </c:pt>
                <c:pt idx="3">
                  <c:v>866.89461788745371</c:v>
                </c:pt>
                <c:pt idx="4">
                  <c:v>271.31124935677536</c:v>
                </c:pt>
                <c:pt idx="5">
                  <c:v>162.1030264653883</c:v>
                </c:pt>
                <c:pt idx="6">
                  <c:v>504.29260636688298</c:v>
                </c:pt>
                <c:pt idx="7">
                  <c:v>467.49199485788324</c:v>
                </c:pt>
                <c:pt idx="8">
                  <c:v>448.6261428523726</c:v>
                </c:pt>
              </c:numCache>
            </c:numRef>
          </c:val>
          <c:extLst>
            <c:ext xmlns:c16="http://schemas.microsoft.com/office/drawing/2014/chart" uri="{C3380CC4-5D6E-409C-BE32-E72D297353CC}">
              <c16:uniqueId val="{00000005-CBF4-41F1-B949-C2A059C14091}"/>
            </c:ext>
          </c:extLst>
        </c:ser>
        <c:ser>
          <c:idx val="7"/>
          <c:order val="6"/>
          <c:tx>
            <c:strRef>
              <c:f>'Figure Results ReCiPe (H)'!$J$5</c:f>
              <c:strCache>
                <c:ptCount val="1"/>
                <c:pt idx="0">
                  <c:v>Operation - geological storage</c:v>
                </c:pt>
              </c:strCache>
            </c:strRef>
          </c:tx>
          <c:spPr>
            <a:solidFill>
              <a:schemeClr val="accent2">
                <a:lumMod val="50000"/>
              </a:schemeClr>
            </a:solidFill>
            <a:ln>
              <a:noFill/>
            </a:ln>
            <a:effectLst/>
          </c:spPr>
          <c:invertIfNegative val="0"/>
          <c:cat>
            <c:multiLvlStrRef>
              <c:f>'Figure Results ReCiPe (H)'!$A$34:$B$42</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(H)'!$J$34:$J$42</c:f>
              <c:numCache>
                <c:formatCode>0</c:formatCode>
                <c:ptCount val="9"/>
                <c:pt idx="0">
                  <c:v>95.45750922402604</c:v>
                </c:pt>
                <c:pt idx="1">
                  <c:v>36.833645004563827</c:v>
                </c:pt>
                <c:pt idx="2">
                  <c:v>25.96444466750032</c:v>
                </c:pt>
                <c:pt idx="3">
                  <c:v>95.45750922402604</c:v>
                </c:pt>
                <c:pt idx="4">
                  <c:v>36.833645004563827</c:v>
                </c:pt>
                <c:pt idx="5">
                  <c:v>25.96444466750032</c:v>
                </c:pt>
                <c:pt idx="6">
                  <c:v>95.45750922402604</c:v>
                </c:pt>
                <c:pt idx="7">
                  <c:v>36.833645004563827</c:v>
                </c:pt>
                <c:pt idx="8">
                  <c:v>25.96444466750032</c:v>
                </c:pt>
              </c:numCache>
            </c:numRef>
          </c:val>
          <c:extLst>
            <c:ext xmlns:c16="http://schemas.microsoft.com/office/drawing/2014/chart" uri="{C3380CC4-5D6E-409C-BE32-E72D297353CC}">
              <c16:uniqueId val="{00000006-CBF4-41F1-B949-C2A059C14091}"/>
            </c:ext>
          </c:extLst>
        </c:ser>
        <c:ser>
          <c:idx val="2"/>
          <c:order val="7"/>
          <c:tx>
            <c:strRef>
              <c:f>'Figure Results ReCiPe (H)'!$K$5</c:f>
              <c:strCache>
                <c:ptCount val="1"/>
                <c:pt idx="0">
                  <c:v>CO2 captured and stored</c:v>
                </c:pt>
              </c:strCache>
            </c:strRef>
          </c:tx>
          <c:spPr>
            <a:solidFill>
              <a:schemeClr val="tx2">
                <a:lumMod val="20000"/>
                <a:lumOff val="80000"/>
              </a:schemeClr>
            </a:solidFill>
            <a:ln w="19050">
              <a:noFill/>
            </a:ln>
            <a:effectLst/>
          </c:spPr>
          <c:invertIfNegative val="0"/>
          <c:cat>
            <c:multiLvlStrRef>
              <c:f>'Figure Results ReCiPe (H)'!$A$34:$B$42</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(H)'!$K$34:$K$42</c:f>
              <c:numCache>
                <c:formatCode>0</c:formatCode>
                <c:ptCount val="9"/>
                <c:pt idx="0">
                  <c:v>-927.99999999999989</c:v>
                </c:pt>
                <c:pt idx="1">
                  <c:v>-927.99999999999989</c:v>
                </c:pt>
                <c:pt idx="2">
                  <c:v>-927.99999999999989</c:v>
                </c:pt>
                <c:pt idx="3">
                  <c:v>-927.99999999999989</c:v>
                </c:pt>
                <c:pt idx="4">
                  <c:v>-927.99999999999989</c:v>
                </c:pt>
                <c:pt idx="5">
                  <c:v>-927.99999999999989</c:v>
                </c:pt>
                <c:pt idx="6">
                  <c:v>-927.99999999999989</c:v>
                </c:pt>
                <c:pt idx="7">
                  <c:v>-927.99999999999989</c:v>
                </c:pt>
                <c:pt idx="8">
                  <c:v>-927.99999999999989</c:v>
                </c:pt>
              </c:numCache>
            </c:numRef>
          </c:val>
          <c:extLst>
            <c:ext xmlns:c16="http://schemas.microsoft.com/office/drawing/2014/chart" uri="{C3380CC4-5D6E-409C-BE32-E72D297353CC}">
              <c16:uniqueId val="{00000007-CBF4-41F1-B949-C2A059C14091}"/>
            </c:ext>
          </c:extLst>
        </c:ser>
        <c:ser>
          <c:idx val="9"/>
          <c:order val="9"/>
          <c:tx>
            <c:strRef>
              <c:f>'Figure Results ReCiPe (H)'!$H$33</c:f>
              <c:strCache>
                <c:ptCount val="1"/>
                <c:pt idx="0">
                  <c:v>Battery</c:v>
                </c:pt>
              </c:strCache>
            </c:strRef>
          </c:tx>
          <c:spPr>
            <a:solidFill>
              <a:schemeClr val="accent6">
                <a:lumMod val="75000"/>
              </a:schemeClr>
            </a:solidFill>
            <a:ln w="19050">
              <a:noFill/>
            </a:ln>
            <a:effectLst/>
          </c:spPr>
          <c:invertIfNegative val="0"/>
          <c:cat>
            <c:multiLvlStrRef>
              <c:f>'Figure Results ReCiPe (H)'!$A$34:$B$42</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(H)'!$H$34:$H$42</c:f>
              <c:numCache>
                <c:formatCode>0</c:formatCode>
                <c:ptCount val="9"/>
                <c:pt idx="0">
                  <c:v>0</c:v>
                </c:pt>
                <c:pt idx="1">
                  <c:v>0</c:v>
                </c:pt>
                <c:pt idx="2">
                  <c:v>0</c:v>
                </c:pt>
                <c:pt idx="3">
                  <c:v>0</c:v>
                </c:pt>
                <c:pt idx="4">
                  <c:v>0</c:v>
                </c:pt>
                <c:pt idx="5">
                  <c:v>0</c:v>
                </c:pt>
                <c:pt idx="6">
                  <c:v>752.13768695686201</c:v>
                </c:pt>
                <c:pt idx="7">
                  <c:v>733.97540621486621</c:v>
                </c:pt>
                <c:pt idx="8">
                  <c:v>681.87832086746846</c:v>
                </c:pt>
              </c:numCache>
            </c:numRef>
          </c:val>
          <c:extLst>
            <c:ext xmlns:c16="http://schemas.microsoft.com/office/drawing/2014/chart" uri="{C3380CC4-5D6E-409C-BE32-E72D297353CC}">
              <c16:uniqueId val="{00000000-4AD6-4CA5-AB59-04A6668B4620}"/>
            </c:ext>
          </c:extLst>
        </c:ser>
        <c:dLbls>
          <c:showLegendKey val="0"/>
          <c:showVal val="0"/>
          <c:showCatName val="0"/>
          <c:showSerName val="0"/>
          <c:showPercent val="0"/>
          <c:showBubbleSize val="0"/>
        </c:dLbls>
        <c:gapWidth val="150"/>
        <c:overlap val="100"/>
        <c:axId val="134262272"/>
        <c:axId val="135299072"/>
      </c:barChart>
      <c:scatterChart>
        <c:scatterStyle val="lineMarker"/>
        <c:varyColors val="0"/>
        <c:ser>
          <c:idx val="8"/>
          <c:order val="8"/>
          <c:tx>
            <c:strRef>
              <c:f>'Figure Results ReCiPe (H)'!$L$33</c:f>
              <c:strCache>
                <c:ptCount val="1"/>
                <c:pt idx="0">
                  <c:v>Total</c:v>
                </c:pt>
              </c:strCache>
            </c:strRef>
          </c:tx>
          <c:spPr>
            <a:ln w="19050" cap="rnd" cmpd="sng" algn="ctr">
              <a:noFill/>
              <a:prstDash val="solid"/>
              <a:round/>
            </a:ln>
            <a:effectLst/>
          </c:spPr>
          <c:marker>
            <c:symbol val="circle"/>
            <c:size val="7"/>
            <c:spPr>
              <a:solidFill>
                <a:schemeClr val="tx1"/>
              </a:solidFill>
              <a:ln w="6350" cap="flat" cmpd="sng" algn="ctr">
                <a:noFill/>
                <a:prstDash val="solid"/>
                <a:round/>
              </a:ln>
              <a:effectLst/>
            </c:spPr>
          </c:marker>
          <c:dLbls>
            <c:spPr>
              <a:noFill/>
              <a:ln>
                <a:noFill/>
              </a:ln>
              <a:effectLst/>
            </c:spPr>
            <c:txPr>
              <a:bodyPr rot="0" spcFirstLastPara="1" vertOverflow="ellipsis" vert="horz" wrap="square" lIns="0" tIns="0" rIns="0" bIns="0" anchor="ctr" anchorCtr="1"/>
              <a:lstStyle/>
              <a:p>
                <a:pPr>
                  <a:defRPr sz="1200" b="0"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dLblPos val="t"/>
            <c:showLegendKey val="0"/>
            <c:showVal val="0"/>
            <c:showCatName val="1"/>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LeaderLines val="1"/>
                <c15:leaderLines>
                  <c:spPr>
                    <a:ln w="6350" cap="flat" cmpd="sng" algn="ctr">
                      <a:solidFill>
                        <a:schemeClr val="tx1"/>
                      </a:solidFill>
                      <a:prstDash val="solid"/>
                      <a:round/>
                    </a:ln>
                    <a:effectLst/>
                  </c:spPr>
                </c15:leaderLines>
              </c:ext>
            </c:extLst>
          </c:dLbls>
          <c:xVal>
            <c:numRef>
              <c:f>'Figure Results ReCiPe (H)'!$L$34:$L$42</c:f>
              <c:numCache>
                <c:formatCode>0</c:formatCode>
                <c:ptCount val="9"/>
                <c:pt idx="0">
                  <c:v>333.7288673084206</c:v>
                </c:pt>
                <c:pt idx="1">
                  <c:v>-504.94298123702208</c:v>
                </c:pt>
                <c:pt idx="2">
                  <c:v>-663.50885311152933</c:v>
                </c:pt>
                <c:pt idx="3">
                  <c:v>114.16197195825549</c:v>
                </c:pt>
                <c:pt idx="4">
                  <c:v>-544.2332238537042</c:v>
                </c:pt>
                <c:pt idx="5">
                  <c:v>-671.34193330766072</c:v>
                </c:pt>
                <c:pt idx="6">
                  <c:v>573.61821585479697</c:v>
                </c:pt>
                <c:pt idx="7">
                  <c:v>451.91652365878889</c:v>
                </c:pt>
                <c:pt idx="8">
                  <c:v>356.35339086070184</c:v>
                </c:pt>
              </c:numCache>
            </c:numRef>
          </c:xVal>
          <c:yVal>
            <c:numRef>
              <c:f>'Figure Results ReCiPe (H)'!$M$34:$M$42</c:f>
              <c:numCache>
                <c:formatCode>General</c:formatCode>
                <c:ptCount val="9"/>
                <c:pt idx="0" formatCode="0.0">
                  <c:v>8.5</c:v>
                </c:pt>
                <c:pt idx="1">
                  <c:v>7.5</c:v>
                </c:pt>
                <c:pt idx="2">
                  <c:v>6.5</c:v>
                </c:pt>
                <c:pt idx="3">
                  <c:v>5.5</c:v>
                </c:pt>
                <c:pt idx="4">
                  <c:v>4.5</c:v>
                </c:pt>
                <c:pt idx="5">
                  <c:v>3.5</c:v>
                </c:pt>
                <c:pt idx="6">
                  <c:v>2.5</c:v>
                </c:pt>
                <c:pt idx="7">
                  <c:v>1.5</c:v>
                </c:pt>
                <c:pt idx="8">
                  <c:v>0.5</c:v>
                </c:pt>
              </c:numCache>
            </c:numRef>
          </c:yVal>
          <c:smooth val="0"/>
          <c:extLst>
            <c:ext xmlns:c16="http://schemas.microsoft.com/office/drawing/2014/chart" uri="{C3380CC4-5D6E-409C-BE32-E72D297353CC}">
              <c16:uniqueId val="{00000009-0554-478B-92B6-F305BC4CBBDC}"/>
            </c:ext>
          </c:extLst>
        </c:ser>
        <c:dLbls>
          <c:showLegendKey val="0"/>
          <c:showVal val="0"/>
          <c:showCatName val="0"/>
          <c:showSerName val="0"/>
          <c:showPercent val="0"/>
          <c:showBubbleSize val="0"/>
        </c:dLbls>
        <c:axId val="620675072"/>
        <c:axId val="620677376"/>
      </c:scatterChart>
      <c:catAx>
        <c:axId val="134262272"/>
        <c:scaling>
          <c:orientation val="maxMin"/>
        </c:scaling>
        <c:delete val="0"/>
        <c:axPos val="l"/>
        <c:numFmt formatCode="@" sourceLinked="0"/>
        <c:majorTickMark val="none"/>
        <c:minorTickMark val="none"/>
        <c:tickLblPos val="low"/>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200" b="1"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crossAx val="135299072"/>
        <c:crossesAt val="0"/>
        <c:auto val="1"/>
        <c:lblAlgn val="ctr"/>
        <c:lblOffset val="100"/>
        <c:noMultiLvlLbl val="0"/>
      </c:catAx>
      <c:valAx>
        <c:axId val="135299072"/>
        <c:scaling>
          <c:orientation val="minMax"/>
          <c:max val="1500"/>
          <c:min val="-1500"/>
        </c:scaling>
        <c:delete val="0"/>
        <c:axPos val="b"/>
        <c:title>
          <c:tx>
            <c:rich>
              <a:bodyPr rot="0" spcFirstLastPara="1" vertOverflow="ellipsis" vert="horz" wrap="square" anchor="ctr" anchorCtr="1"/>
              <a:lstStyle/>
              <a:p>
                <a:pPr>
                  <a:defRPr sz="1200" b="1" i="0" u="none" strike="noStrike" kern="1200" baseline="0">
                    <a:solidFill>
                      <a:schemeClr val="tx1"/>
                    </a:solidFill>
                    <a:latin typeface="Verdana Pro" panose="020B0604030504040204" pitchFamily="34" charset="0"/>
                    <a:ea typeface="+mn-ea"/>
                    <a:cs typeface="Times New Roman" panose="02020603050405020304" pitchFamily="18" charset="0"/>
                  </a:defRPr>
                </a:pPr>
                <a:r>
                  <a:rPr lang="en-GB"/>
                  <a:t>Human health damage [10</a:t>
                </a:r>
                <a:r>
                  <a:rPr lang="en-GB" baseline="30000"/>
                  <a:t>-6</a:t>
                </a:r>
                <a:r>
                  <a:rPr lang="en-GB"/>
                  <a:t> DALY/ton CO</a:t>
                </a:r>
                <a:r>
                  <a:rPr lang="en-GB" baseline="-25000"/>
                  <a:t>2</a:t>
                </a:r>
                <a:r>
                  <a:rPr lang="en-GB"/>
                  <a:t> captured and stored]</a:t>
                </a:r>
              </a:p>
            </c:rich>
          </c:tx>
          <c:layout>
            <c:manualLayout>
              <c:xMode val="edge"/>
              <c:yMode val="edge"/>
              <c:x val="0.27594482503754775"/>
              <c:y val="0.78871841109294127"/>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title>
        <c:numFmt formatCode="0" sourceLinked="0"/>
        <c:majorTickMark val="out"/>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200" b="0"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crossAx val="134262272"/>
        <c:crosses val="max"/>
        <c:crossBetween val="between"/>
      </c:valAx>
      <c:valAx>
        <c:axId val="620677376"/>
        <c:scaling>
          <c:orientation val="minMax"/>
        </c:scaling>
        <c:delete val="1"/>
        <c:axPos val="r"/>
        <c:numFmt formatCode="0.0" sourceLinked="1"/>
        <c:majorTickMark val="out"/>
        <c:minorTickMark val="none"/>
        <c:tickLblPos val="nextTo"/>
        <c:crossAx val="620675072"/>
        <c:crosses val="max"/>
        <c:crossBetween val="midCat"/>
      </c:valAx>
      <c:valAx>
        <c:axId val="620675072"/>
        <c:scaling>
          <c:orientation val="minMax"/>
        </c:scaling>
        <c:delete val="1"/>
        <c:axPos val="b"/>
        <c:numFmt formatCode="0" sourceLinked="1"/>
        <c:majorTickMark val="out"/>
        <c:minorTickMark val="none"/>
        <c:tickLblPos val="nextTo"/>
        <c:crossAx val="620677376"/>
        <c:crossesAt val="0"/>
        <c:crossBetween val="midCat"/>
      </c:valAx>
      <c:spPr>
        <a:solidFill>
          <a:schemeClr val="bg1"/>
        </a:solidFill>
        <a:ln>
          <a:noFill/>
        </a:ln>
        <a:effectLst/>
      </c:spPr>
    </c:plotArea>
    <c:plotVisOnly val="1"/>
    <c:dispBlanksAs val="gap"/>
    <c:showDLblsOverMax val="0"/>
  </c:chart>
  <c:spPr>
    <a:noFill/>
    <a:ln w="6350" cap="flat" cmpd="sng" algn="ctr">
      <a:noFill/>
      <a:prstDash val="solid"/>
      <a:round/>
    </a:ln>
    <a:effectLst/>
  </c:spPr>
  <c:txPr>
    <a:bodyPr/>
    <a:lstStyle/>
    <a:p>
      <a:pPr>
        <a:defRPr sz="1200">
          <a:solidFill>
            <a:schemeClr val="tx1"/>
          </a:solidFill>
          <a:latin typeface="Verdana Pro" panose="020B0604030504040204" pitchFamily="34" charset="0"/>
          <a:cs typeface="Times New Roman" panose="02020603050405020304" pitchFamily="18" charset="0"/>
        </a:defRPr>
      </a:pPr>
      <a:endParaRPr lang="en-NL"/>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068474900507286"/>
          <c:y val="6.9337941462360927E-2"/>
          <c:w val="0.73010811826395883"/>
          <c:h val="0.90794330476547458"/>
        </c:manualLayout>
      </c:layout>
      <c:scatterChart>
        <c:scatterStyle val="lineMarker"/>
        <c:varyColors val="0"/>
        <c:ser>
          <c:idx val="0"/>
          <c:order val="0"/>
          <c:tx>
            <c:strRef>
              <c:f>'Sensitivity analysis - ESD'!$M$453</c:f>
              <c:strCache>
                <c:ptCount val="1"/>
                <c:pt idx="0">
                  <c:v>Material use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'Sensitivity analysis - ESD'!$R$452:$T$452</c:f>
              <c:numCache>
                <c:formatCode>0%</c:formatCode>
                <c:ptCount val="3"/>
                <c:pt idx="0">
                  <c:v>0.8</c:v>
                </c:pt>
                <c:pt idx="1">
                  <c:v>1</c:v>
                </c:pt>
                <c:pt idx="2">
                  <c:v>1.2</c:v>
                </c:pt>
              </c:numCache>
            </c:numRef>
          </c:xVal>
          <c:yVal>
            <c:numRef>
              <c:f>'Sensitivity analysis - ESD'!$R$453:$T$453</c:f>
              <c:numCache>
                <c:formatCode>0.00E+00</c:formatCode>
                <c:ptCount val="3"/>
                <c:pt idx="0">
                  <c:v>-2.224305827041791E-6</c:v>
                </c:pt>
                <c:pt idx="1">
                  <c:v>-2.2085536925217173E-6</c:v>
                </c:pt>
                <c:pt idx="2">
                  <c:v>-2.1928015580016415E-6</c:v>
                </c:pt>
              </c:numCache>
            </c:numRef>
          </c:yVal>
          <c:smooth val="0"/>
          <c:extLst>
            <c:ext xmlns:c16="http://schemas.microsoft.com/office/drawing/2014/chart" uri="{C3380CC4-5D6E-409C-BE32-E72D297353CC}">
              <c16:uniqueId val="{00000000-FF66-499B-B3B6-13BF21F9BA9E}"/>
            </c:ext>
          </c:extLst>
        </c:ser>
        <c:ser>
          <c:idx val="1"/>
          <c:order val="1"/>
          <c:tx>
            <c:strRef>
              <c:f>'Sensitivity analysis - ESD'!$M$454</c:f>
              <c:strCache>
                <c:ptCount val="1"/>
                <c:pt idx="0">
                  <c:v>Energy use</c:v>
                </c:pt>
              </c:strCache>
            </c:strRef>
          </c:tx>
          <c:spPr>
            <a:ln w="31750" cap="rnd">
              <a:solidFill>
                <a:schemeClr val="accent4"/>
              </a:solidFill>
              <a:round/>
            </a:ln>
            <a:effectLst/>
          </c:spPr>
          <c:marker>
            <c:symbol val="circle"/>
            <c:size val="5"/>
            <c:spPr>
              <a:solidFill>
                <a:schemeClr val="accent4"/>
              </a:solidFill>
              <a:ln w="9525">
                <a:solidFill>
                  <a:schemeClr val="accent4"/>
                </a:solidFill>
              </a:ln>
              <a:effectLst/>
            </c:spPr>
          </c:marker>
          <c:xVal>
            <c:numRef>
              <c:f>('Sensitivity analysis - ESD'!$Q$452,'Sensitivity analysis - ESD'!$S$452,'Sensitivity analysis - ESD'!$V$452)</c:f>
              <c:numCache>
                <c:formatCode>0%</c:formatCode>
                <c:ptCount val="3"/>
                <c:pt idx="0">
                  <c:v>0.67</c:v>
                </c:pt>
                <c:pt idx="1">
                  <c:v>1</c:v>
                </c:pt>
                <c:pt idx="2">
                  <c:v>1.67</c:v>
                </c:pt>
              </c:numCache>
            </c:numRef>
          </c:xVal>
          <c:yVal>
            <c:numRef>
              <c:f>('Sensitivity analysis - ESD'!$Q$454,'Sensitivity analysis - ESD'!$S$454,'Sensitivity analysis - ESD'!$V$454)</c:f>
              <c:numCache>
                <c:formatCode>0.00E+00</c:formatCode>
                <c:ptCount val="3"/>
                <c:pt idx="0">
                  <c:v>-2.3748579755786519E-6</c:v>
                </c:pt>
                <c:pt idx="1">
                  <c:v>-2.2085536925217173E-6</c:v>
                </c:pt>
                <c:pt idx="2">
                  <c:v>-1.8759451264078452E-6</c:v>
                </c:pt>
              </c:numCache>
            </c:numRef>
          </c:yVal>
          <c:smooth val="0"/>
          <c:extLst>
            <c:ext xmlns:c16="http://schemas.microsoft.com/office/drawing/2014/chart" uri="{C3380CC4-5D6E-409C-BE32-E72D297353CC}">
              <c16:uniqueId val="{00000001-FF66-499B-B3B6-13BF21F9BA9E}"/>
            </c:ext>
          </c:extLst>
        </c:ser>
        <c:ser>
          <c:idx val="2"/>
          <c:order val="2"/>
          <c:tx>
            <c:strRef>
              <c:f>'Sensitivity analysis - ESD'!$M$455</c:f>
              <c:strCache>
                <c:ptCount val="1"/>
                <c:pt idx="0">
                  <c:v>Lifetime DAC system</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'Sensitivity analysis - ESD'!$R$452:$S$452</c:f>
              <c:numCache>
                <c:formatCode>0%</c:formatCode>
                <c:ptCount val="2"/>
                <c:pt idx="0">
                  <c:v>0.8</c:v>
                </c:pt>
                <c:pt idx="1">
                  <c:v>1</c:v>
                </c:pt>
              </c:numCache>
            </c:numRef>
          </c:xVal>
          <c:yVal>
            <c:numRef>
              <c:f>'Sensitivity analysis - ESD'!$R$455:$S$455</c:f>
              <c:numCache>
                <c:formatCode>0.00E+00</c:formatCode>
                <c:ptCount val="2"/>
                <c:pt idx="0">
                  <c:v>-2.0606729906521468E-6</c:v>
                </c:pt>
                <c:pt idx="1">
                  <c:v>-2.208553692521716E-6</c:v>
                </c:pt>
              </c:numCache>
            </c:numRef>
          </c:yVal>
          <c:smooth val="0"/>
          <c:extLst>
            <c:ext xmlns:c16="http://schemas.microsoft.com/office/drawing/2014/chart" uri="{C3380CC4-5D6E-409C-BE32-E72D297353CC}">
              <c16:uniqueId val="{00000002-FF66-499B-B3B6-13BF21F9BA9E}"/>
            </c:ext>
          </c:extLst>
        </c:ser>
        <c:ser>
          <c:idx val="3"/>
          <c:order val="3"/>
          <c:tx>
            <c:strRef>
              <c:f>'Sensitivity analysis - ESD'!$M$456</c:f>
              <c:strCache>
                <c:ptCount val="1"/>
                <c:pt idx="0">
                  <c:v>Lifetime sorbent material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('Sensitivity analysis - ESD'!$O$452,'Sensitivity analysis - ESD'!$S$452,'Sensitivity analysis - ESD'!$V$452)</c:f>
              <c:numCache>
                <c:formatCode>0%</c:formatCode>
                <c:ptCount val="3"/>
                <c:pt idx="0">
                  <c:v>0.33</c:v>
                </c:pt>
                <c:pt idx="1">
                  <c:v>1</c:v>
                </c:pt>
                <c:pt idx="2">
                  <c:v>1.67</c:v>
                </c:pt>
              </c:numCache>
            </c:numRef>
          </c:xVal>
          <c:yVal>
            <c:numRef>
              <c:f>('Sensitivity analysis - ESD'!$O$456,'Sensitivity analysis - ESD'!$S$456,'Sensitivity analysis - ESD'!$V$456)</c:f>
              <c:numCache>
                <c:formatCode>0.00E+00</c:formatCode>
                <c:ptCount val="3"/>
                <c:pt idx="0">
                  <c:v>-2.184237487963707E-6</c:v>
                </c:pt>
                <c:pt idx="1">
                  <c:v>-2.2085536925217173E-6</c:v>
                </c:pt>
                <c:pt idx="2">
                  <c:v>-2.2144930809557852E-6</c:v>
                </c:pt>
              </c:numCache>
            </c:numRef>
          </c:yVal>
          <c:smooth val="0"/>
          <c:extLst>
            <c:ext xmlns:c16="http://schemas.microsoft.com/office/drawing/2014/chart" uri="{C3380CC4-5D6E-409C-BE32-E72D297353CC}">
              <c16:uniqueId val="{00000003-FF66-499B-B3B6-13BF21F9BA9E}"/>
            </c:ext>
          </c:extLst>
        </c:ser>
        <c:ser>
          <c:idx val="4"/>
          <c:order val="4"/>
          <c:tx>
            <c:strRef>
              <c:f>'Sensitivity analysis - ESD'!$M$457</c:f>
              <c:strCache>
                <c:ptCount val="1"/>
                <c:pt idx="0">
                  <c:v>Capacity DAC unit</c:v>
                </c:pt>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numRef>
              <c:f>('Sensitivity analysis - ESD'!$P$452,'Sensitivity analysis - ESD'!$S$452,'Sensitivity analysis - ESD'!$U$452)</c:f>
              <c:numCache>
                <c:formatCode>0%</c:formatCode>
                <c:ptCount val="3"/>
                <c:pt idx="0">
                  <c:v>0.5</c:v>
                </c:pt>
                <c:pt idx="1">
                  <c:v>1</c:v>
                </c:pt>
                <c:pt idx="2">
                  <c:v>1.5</c:v>
                </c:pt>
              </c:numCache>
            </c:numRef>
          </c:xVal>
          <c:yVal>
            <c:numRef>
              <c:f>('Sensitivity analysis - ESD'!$P$457,'Sensitivity analysis - ESD'!$S$457,'Sensitivity analysis - ESD'!$U$457)</c:f>
              <c:numCache>
                <c:formatCode>0.00E+00</c:formatCode>
                <c:ptCount val="3"/>
                <c:pt idx="0">
                  <c:v>-1.6170308850434351E-6</c:v>
                </c:pt>
                <c:pt idx="1">
                  <c:v>-2.208553692521716E-6</c:v>
                </c:pt>
                <c:pt idx="2">
                  <c:v>-2.4057279616811447E-6</c:v>
                </c:pt>
              </c:numCache>
            </c:numRef>
          </c:yVal>
          <c:smooth val="0"/>
          <c:extLst>
            <c:ext xmlns:c16="http://schemas.microsoft.com/office/drawing/2014/chart" uri="{C3380CC4-5D6E-409C-BE32-E72D297353CC}">
              <c16:uniqueId val="{00000004-FF66-499B-B3B6-13BF21F9BA9E}"/>
            </c:ext>
          </c:extLst>
        </c:ser>
        <c:ser>
          <c:idx val="7"/>
          <c:order val="5"/>
          <c:tx>
            <c:strRef>
              <c:f>'Sensitivity analysis - ESD'!$M$458</c:f>
              <c:strCache>
                <c:ptCount val="1"/>
                <c:pt idx="0">
                  <c:v>Capacity factor</c:v>
                </c:pt>
              </c:strCache>
            </c:strRef>
          </c:tx>
          <c:spPr>
            <a:ln w="19050" cap="rnd">
              <a:solidFill>
                <a:schemeClr val="accent6">
                  <a:lumMod val="50000"/>
                </a:schemeClr>
              </a:solidFill>
              <a:round/>
            </a:ln>
            <a:effectLst/>
          </c:spPr>
          <c:marker>
            <c:symbol val="circle"/>
            <c:size val="5"/>
            <c:spPr>
              <a:solidFill>
                <a:schemeClr val="accent6">
                  <a:lumMod val="50000"/>
                </a:schemeClr>
              </a:solidFill>
              <a:ln w="9525">
                <a:solidFill>
                  <a:schemeClr val="accent6">
                    <a:lumMod val="50000"/>
                  </a:schemeClr>
                </a:solidFill>
              </a:ln>
              <a:effectLst/>
            </c:spPr>
          </c:marker>
          <c:xVal>
            <c:numRef>
              <c:f>('Sensitivity analysis - ESD'!$S$452,'Sensitivity analysis - ESD'!$U$452,'Sensitivity analysis - ESD'!$W$452)</c:f>
              <c:numCache>
                <c:formatCode>0%</c:formatCode>
                <c:ptCount val="3"/>
                <c:pt idx="0">
                  <c:v>1</c:v>
                </c:pt>
                <c:pt idx="1">
                  <c:v>1.5</c:v>
                </c:pt>
                <c:pt idx="2">
                  <c:v>2</c:v>
                </c:pt>
              </c:numCache>
            </c:numRef>
          </c:xVal>
          <c:yVal>
            <c:numRef>
              <c:f>('Sensitivity analysis - ESD'!$S$458,'Sensitivity analysis - ESD'!$U$458,'Sensitivity analysis - ESD'!$W$458)</c:f>
              <c:numCache>
                <c:formatCode>0.00E+00</c:formatCode>
                <c:ptCount val="3"/>
                <c:pt idx="0">
                  <c:v>-2.208553692521716E-6</c:v>
                </c:pt>
                <c:pt idx="1">
                  <c:v>-2.2456835743513267E-6</c:v>
                </c:pt>
                <c:pt idx="2">
                  <c:v>-2.2752427425230277E-6</c:v>
                </c:pt>
              </c:numCache>
            </c:numRef>
          </c:yVal>
          <c:smooth val="0"/>
          <c:extLst>
            <c:ext xmlns:c16="http://schemas.microsoft.com/office/drawing/2014/chart" uri="{C3380CC4-5D6E-409C-BE32-E72D297353CC}">
              <c16:uniqueId val="{00000005-FF66-499B-B3B6-13BF21F9BA9E}"/>
            </c:ext>
          </c:extLst>
        </c:ser>
        <c:ser>
          <c:idx val="6"/>
          <c:order val="6"/>
          <c:tx>
            <c:strRef>
              <c:f>'Sensitivity analysis - ESD'!$M$459</c:f>
              <c:strCache>
                <c:ptCount val="1"/>
                <c:pt idx="0">
                  <c:v>Sorbent type - amine on silica</c:v>
                </c:pt>
              </c:strCache>
            </c:strRef>
          </c:tx>
          <c:spPr>
            <a:ln w="19050" cap="rnd">
              <a:noFill/>
              <a:round/>
            </a:ln>
            <a:effectLst/>
          </c:spPr>
          <c:marker>
            <c:symbol val="square"/>
            <c:size val="5"/>
            <c:spPr>
              <a:solidFill>
                <a:srgbClr val="C00000"/>
              </a:solidFill>
              <a:ln w="9525">
                <a:solidFill>
                  <a:srgbClr val="C00000"/>
                </a:solidFill>
              </a:ln>
              <a:effectLst/>
            </c:spPr>
          </c:marker>
          <c:xVal>
            <c:numRef>
              <c:f>'Sensitivity analysis - ESD'!$S$452</c:f>
              <c:numCache>
                <c:formatCode>0%</c:formatCode>
                <c:ptCount val="1"/>
                <c:pt idx="0">
                  <c:v>1</c:v>
                </c:pt>
              </c:numCache>
            </c:numRef>
          </c:xVal>
          <c:yVal>
            <c:numRef>
              <c:f>'Sensitivity analysis - ESD'!$S$459</c:f>
              <c:numCache>
                <c:formatCode>0.00E+00</c:formatCode>
                <c:ptCount val="1"/>
                <c:pt idx="0">
                  <c:v>-2.1834609937972814E-6</c:v>
                </c:pt>
              </c:numCache>
            </c:numRef>
          </c:yVal>
          <c:smooth val="0"/>
          <c:extLst>
            <c:ext xmlns:c16="http://schemas.microsoft.com/office/drawing/2014/chart" uri="{C3380CC4-5D6E-409C-BE32-E72D297353CC}">
              <c16:uniqueId val="{00000007-FF66-499B-B3B6-13BF21F9BA9E}"/>
            </c:ext>
          </c:extLst>
        </c:ser>
        <c:dLbls>
          <c:showLegendKey val="0"/>
          <c:showVal val="0"/>
          <c:showCatName val="0"/>
          <c:showSerName val="0"/>
          <c:showPercent val="0"/>
          <c:showBubbleSize val="0"/>
        </c:dLbls>
        <c:axId val="894438607"/>
        <c:axId val="1119274239"/>
      </c:scatterChart>
      <c:valAx>
        <c:axId val="894438607"/>
        <c:scaling>
          <c:orientation val="minMax"/>
          <c:max val="2.5"/>
          <c:min val="0"/>
        </c:scaling>
        <c:delete val="0"/>
        <c:axPos val="b"/>
        <c:majorGridlines>
          <c:spPr>
            <a:ln w="9525" cap="flat" cmpd="sng" algn="ctr">
              <a:solidFill>
                <a:schemeClr val="tx1">
                  <a:lumMod val="50000"/>
                  <a:lumOff val="50000"/>
                </a:schemeClr>
              </a:solidFill>
              <a:round/>
            </a:ln>
            <a:effectLst/>
          </c:spPr>
        </c:majorGridlines>
        <c:numFmt formatCode="0%" sourceLinked="1"/>
        <c:majorTickMark val="none"/>
        <c:minorTickMark val="none"/>
        <c:tickLblPos val="high"/>
        <c:spPr>
          <a:noFill/>
          <a:ln w="190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1119274239"/>
        <c:crosses val="autoZero"/>
        <c:crossBetween val="midCat"/>
      </c:valAx>
      <c:valAx>
        <c:axId val="1119274239"/>
        <c:scaling>
          <c:orientation val="minMax"/>
        </c:scaling>
        <c:delete val="0"/>
        <c:axPos val="l"/>
        <c:majorGridlines>
          <c:spPr>
            <a:ln w="9525" cap="flat" cmpd="sng" algn="ctr">
              <a:solidFill>
                <a:schemeClr val="tx1">
                  <a:lumMod val="50000"/>
                  <a:lumOff val="50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r>
                  <a:rPr lang="nl-NL"/>
                  <a:t>Ecosystem damage </a:t>
                </a:r>
              </a:p>
              <a:p>
                <a:pPr>
                  <a:defRPr/>
                </a:pPr>
                <a:r>
                  <a:rPr lang="nl-NL"/>
                  <a:t>[species*year/ton CO</a:t>
                </a:r>
                <a:r>
                  <a:rPr lang="nl-NL" baseline="-25000"/>
                  <a:t>2</a:t>
                </a:r>
                <a:r>
                  <a:rPr lang="nl-NL"/>
                  <a:t> captured and stored]</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title>
        <c:numFmt formatCode="0.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894438607"/>
        <c:crosses val="autoZero"/>
        <c:crossBetween val="midCat"/>
      </c:valAx>
      <c:spPr>
        <a:noFill/>
        <a:ln w="19050">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751930529226253"/>
          <c:y val="7.9170851895793926E-2"/>
          <c:w val="0.72729079469433822"/>
          <c:h val="0.89481576129050766"/>
        </c:manualLayout>
      </c:layout>
      <c:scatterChart>
        <c:scatterStyle val="lineMarker"/>
        <c:varyColors val="0"/>
        <c:ser>
          <c:idx val="0"/>
          <c:order val="0"/>
          <c:tx>
            <c:strRef>
              <c:f>'Sensitivity analysis - CC'!$A$479</c:f>
              <c:strCache>
                <c:ptCount val="1"/>
                <c:pt idx="0">
                  <c:v>Material use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'Sensitivity analysis - CC'!$F$478:$H$478</c:f>
              <c:numCache>
                <c:formatCode>0%</c:formatCode>
                <c:ptCount val="3"/>
                <c:pt idx="0">
                  <c:v>0.8</c:v>
                </c:pt>
                <c:pt idx="1">
                  <c:v>1</c:v>
                </c:pt>
                <c:pt idx="2">
                  <c:v>1.2</c:v>
                </c:pt>
              </c:numCache>
            </c:numRef>
          </c:xVal>
          <c:yVal>
            <c:numRef>
              <c:f>'Sensitivity analysis - CC'!$F$479:$H$479</c:f>
              <c:numCache>
                <c:formatCode>0.00</c:formatCode>
                <c:ptCount val="3"/>
                <c:pt idx="0">
                  <c:v>-362.95728807912394</c:v>
                </c:pt>
                <c:pt idx="1">
                  <c:v>-359.63392604322115</c:v>
                </c:pt>
                <c:pt idx="2">
                  <c:v>-356.31056400731836</c:v>
                </c:pt>
              </c:numCache>
            </c:numRef>
          </c:yVal>
          <c:smooth val="0"/>
          <c:extLst>
            <c:ext xmlns:c16="http://schemas.microsoft.com/office/drawing/2014/chart" uri="{C3380CC4-5D6E-409C-BE32-E72D297353CC}">
              <c16:uniqueId val="{00000000-0669-4395-8125-BCCFF88A7060}"/>
            </c:ext>
          </c:extLst>
        </c:ser>
        <c:ser>
          <c:idx val="1"/>
          <c:order val="1"/>
          <c:tx>
            <c:strRef>
              <c:f>'Sensitivity analysis - CC'!$A$480</c:f>
              <c:strCache>
                <c:ptCount val="1"/>
                <c:pt idx="0">
                  <c:v>Energy use</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('Sensitivity analysis - CC'!$E$478,'Sensitivity analysis - CC'!$G$478,'Sensitivity analysis - CC'!$J$478,'Sensitivity analysis - CC'!$K$478)</c:f>
              <c:numCache>
                <c:formatCode>0%</c:formatCode>
                <c:ptCount val="4"/>
                <c:pt idx="0">
                  <c:v>0.67</c:v>
                </c:pt>
                <c:pt idx="1">
                  <c:v>1</c:v>
                </c:pt>
                <c:pt idx="2">
                  <c:v>1.67</c:v>
                </c:pt>
                <c:pt idx="3">
                  <c:v>2</c:v>
                </c:pt>
              </c:numCache>
            </c:numRef>
          </c:xVal>
          <c:yVal>
            <c:numRef>
              <c:f>('Sensitivity analysis - CC'!$E$480,'Sensitivity analysis - CC'!$G$480,'Sensitivity analysis - CC'!$J$480,'Sensitivity analysis - CC'!$K$480)</c:f>
              <c:numCache>
                <c:formatCode>0.00</c:formatCode>
                <c:ptCount val="4"/>
                <c:pt idx="0">
                  <c:v>-551.32262960345997</c:v>
                </c:pt>
                <c:pt idx="1">
                  <c:v>-359.63392604322115</c:v>
                </c:pt>
                <c:pt idx="2">
                  <c:v>23.743481077256433</c:v>
                </c:pt>
              </c:numCache>
            </c:numRef>
          </c:yVal>
          <c:smooth val="0"/>
          <c:extLst>
            <c:ext xmlns:c16="http://schemas.microsoft.com/office/drawing/2014/chart" uri="{C3380CC4-5D6E-409C-BE32-E72D297353CC}">
              <c16:uniqueId val="{00000001-0669-4395-8125-BCCFF88A7060}"/>
            </c:ext>
          </c:extLst>
        </c:ser>
        <c:ser>
          <c:idx val="2"/>
          <c:order val="2"/>
          <c:tx>
            <c:strRef>
              <c:f>'Sensitivity analysis - CC'!$A$481</c:f>
              <c:strCache>
                <c:ptCount val="1"/>
                <c:pt idx="0">
                  <c:v>Lifetime DAC system</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'Sensitivity analysis - CC'!$F$478:$G$478</c:f>
              <c:numCache>
                <c:formatCode>0%</c:formatCode>
                <c:ptCount val="2"/>
                <c:pt idx="0">
                  <c:v>0.8</c:v>
                </c:pt>
                <c:pt idx="1">
                  <c:v>1</c:v>
                </c:pt>
              </c:numCache>
            </c:numRef>
          </c:xVal>
          <c:yVal>
            <c:numRef>
              <c:f>'Sensitivity analysis - CC'!$F$481:$G$481</c:f>
              <c:numCache>
                <c:formatCode>0.00</c:formatCode>
                <c:ptCount val="2"/>
                <c:pt idx="0">
                  <c:v>-199.54240755402645</c:v>
                </c:pt>
                <c:pt idx="1">
                  <c:v>-359.63392604322109</c:v>
                </c:pt>
              </c:numCache>
            </c:numRef>
          </c:yVal>
          <c:smooth val="0"/>
          <c:extLst>
            <c:ext xmlns:c16="http://schemas.microsoft.com/office/drawing/2014/chart" uri="{C3380CC4-5D6E-409C-BE32-E72D297353CC}">
              <c16:uniqueId val="{00000002-0669-4395-8125-BCCFF88A7060}"/>
            </c:ext>
          </c:extLst>
        </c:ser>
        <c:ser>
          <c:idx val="3"/>
          <c:order val="3"/>
          <c:tx>
            <c:strRef>
              <c:f>'Sensitivity analysis - CC'!$A$482</c:f>
              <c:strCache>
                <c:ptCount val="1"/>
                <c:pt idx="0">
                  <c:v>Lifetime sorbent material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('Sensitivity analysis - CC'!$C$478,'Sensitivity analysis - CC'!$G$478,'Sensitivity analysis - CC'!$J$478)</c:f>
              <c:numCache>
                <c:formatCode>0%</c:formatCode>
                <c:ptCount val="3"/>
                <c:pt idx="0">
                  <c:v>0.33</c:v>
                </c:pt>
                <c:pt idx="1">
                  <c:v>1</c:v>
                </c:pt>
                <c:pt idx="2">
                  <c:v>1.67</c:v>
                </c:pt>
              </c:numCache>
            </c:numRef>
          </c:xVal>
          <c:yVal>
            <c:numRef>
              <c:f>('Sensitivity analysis - CC'!$C$482,'Sensitivity analysis - CC'!$G$482,'Sensitivity analysis - CC'!$J$482)</c:f>
              <c:numCache>
                <c:formatCode>0.00</c:formatCode>
                <c:ptCount val="3"/>
                <c:pt idx="0">
                  <c:v>-352.15506380247223</c:v>
                </c:pt>
                <c:pt idx="1">
                  <c:v>-359.63392604322115</c:v>
                </c:pt>
                <c:pt idx="2">
                  <c:v>-361.48858245001088</c:v>
                </c:pt>
              </c:numCache>
            </c:numRef>
          </c:yVal>
          <c:smooth val="0"/>
          <c:extLst>
            <c:ext xmlns:c16="http://schemas.microsoft.com/office/drawing/2014/chart" uri="{C3380CC4-5D6E-409C-BE32-E72D297353CC}">
              <c16:uniqueId val="{00000003-0669-4395-8125-BCCFF88A7060}"/>
            </c:ext>
          </c:extLst>
        </c:ser>
        <c:ser>
          <c:idx val="4"/>
          <c:order val="4"/>
          <c:tx>
            <c:strRef>
              <c:f>'Sensitivity analysis - CC'!$A$483</c:f>
              <c:strCache>
                <c:ptCount val="1"/>
                <c:pt idx="0">
                  <c:v>Capacity DAC unit</c:v>
                </c:pt>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numRef>
              <c:f>('Sensitivity analysis - CC'!$D$478,'Sensitivity analysis - CC'!$G$478,'Sensitivity analysis - CC'!$I$478)</c:f>
              <c:numCache>
                <c:formatCode>0%</c:formatCode>
                <c:ptCount val="3"/>
                <c:pt idx="0">
                  <c:v>0.5</c:v>
                </c:pt>
                <c:pt idx="1">
                  <c:v>1</c:v>
                </c:pt>
                <c:pt idx="2">
                  <c:v>1.5</c:v>
                </c:pt>
              </c:numCache>
            </c:numRef>
          </c:xVal>
          <c:yVal>
            <c:numRef>
              <c:f>('Sensitivity analysis - CC'!$D$483,'Sensitivity analysis - CC'!$G$483,'Sensitivity analysis - CC'!$I$483)</c:f>
              <c:numCache>
                <c:formatCode>0.00</c:formatCode>
                <c:ptCount val="3"/>
                <c:pt idx="0">
                  <c:v>280.73214791355781</c:v>
                </c:pt>
                <c:pt idx="1">
                  <c:v>-359.63392604322109</c:v>
                </c:pt>
                <c:pt idx="2">
                  <c:v>-573.08928402881406</c:v>
                </c:pt>
              </c:numCache>
            </c:numRef>
          </c:yVal>
          <c:smooth val="0"/>
          <c:extLst>
            <c:ext xmlns:c16="http://schemas.microsoft.com/office/drawing/2014/chart" uri="{C3380CC4-5D6E-409C-BE32-E72D297353CC}">
              <c16:uniqueId val="{00000004-0669-4395-8125-BCCFF88A7060}"/>
            </c:ext>
          </c:extLst>
        </c:ser>
        <c:ser>
          <c:idx val="6"/>
          <c:order val="5"/>
          <c:tx>
            <c:strRef>
              <c:f>'Sensitivity analysis - CC'!$A$484</c:f>
              <c:strCache>
                <c:ptCount val="1"/>
                <c:pt idx="0">
                  <c:v>Sorbent type - amine on silica</c:v>
                </c:pt>
              </c:strCache>
            </c:strRef>
          </c:tx>
          <c:spPr>
            <a:ln w="19050" cap="rnd">
              <a:noFill/>
              <a:round/>
            </a:ln>
            <a:effectLst/>
          </c:spPr>
          <c:marker>
            <c:symbol val="square"/>
            <c:size val="5"/>
            <c:spPr>
              <a:solidFill>
                <a:srgbClr val="C00000"/>
              </a:solidFill>
              <a:ln w="9525">
                <a:solidFill>
                  <a:srgbClr val="C00000"/>
                </a:solidFill>
              </a:ln>
              <a:effectLst/>
            </c:spPr>
          </c:marker>
          <c:xVal>
            <c:numRef>
              <c:f>'Sensitivity analysis - CC'!$G$478</c:f>
              <c:numCache>
                <c:formatCode>0%</c:formatCode>
                <c:ptCount val="1"/>
                <c:pt idx="0">
                  <c:v>1</c:v>
                </c:pt>
              </c:numCache>
            </c:numRef>
          </c:xVal>
          <c:yVal>
            <c:numRef>
              <c:f>'Sensitivity analysis - CC'!$G$484</c:f>
              <c:numCache>
                <c:formatCode>0.00</c:formatCode>
                <c:ptCount val="1"/>
                <c:pt idx="0">
                  <c:v>-354.77458020307336</c:v>
                </c:pt>
              </c:numCache>
            </c:numRef>
          </c:yVal>
          <c:smooth val="0"/>
          <c:extLst>
            <c:ext xmlns:c16="http://schemas.microsoft.com/office/drawing/2014/chart" uri="{C3380CC4-5D6E-409C-BE32-E72D297353CC}">
              <c16:uniqueId val="{00000006-0669-4395-8125-BCCFF88A7060}"/>
            </c:ext>
          </c:extLst>
        </c:ser>
        <c:dLbls>
          <c:showLegendKey val="0"/>
          <c:showVal val="0"/>
          <c:showCatName val="0"/>
          <c:showSerName val="0"/>
          <c:showPercent val="0"/>
          <c:showBubbleSize val="0"/>
        </c:dLbls>
        <c:axId val="894438607"/>
        <c:axId val="1119274239"/>
      </c:scatterChart>
      <c:valAx>
        <c:axId val="894438607"/>
        <c:scaling>
          <c:orientation val="minMax"/>
          <c:max val="2.5"/>
          <c:min val="0"/>
        </c:scaling>
        <c:delete val="0"/>
        <c:axPos val="b"/>
        <c:majorGridlines>
          <c:spPr>
            <a:ln w="9525" cap="flat" cmpd="sng" algn="ctr">
              <a:solidFill>
                <a:schemeClr val="tx1">
                  <a:lumMod val="50000"/>
                  <a:lumOff val="50000"/>
                </a:schemeClr>
              </a:solidFill>
              <a:round/>
            </a:ln>
            <a:effectLst/>
          </c:spPr>
        </c:majorGridlines>
        <c:numFmt formatCode="0%" sourceLinked="1"/>
        <c:majorTickMark val="none"/>
        <c:minorTickMark val="none"/>
        <c:tickLblPos val="high"/>
        <c:spPr>
          <a:noFill/>
          <a:ln w="190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1119274239"/>
        <c:crosses val="autoZero"/>
        <c:crossBetween val="midCat"/>
      </c:valAx>
      <c:valAx>
        <c:axId val="1119274239"/>
        <c:scaling>
          <c:orientation val="minMax"/>
          <c:min val="-1000"/>
        </c:scaling>
        <c:delete val="0"/>
        <c:axPos val="l"/>
        <c:majorGridlines>
          <c:spPr>
            <a:ln w="9525" cap="flat" cmpd="sng" algn="ctr">
              <a:solidFill>
                <a:schemeClr val="tx1">
                  <a:lumMod val="50000"/>
                  <a:lumOff val="50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r>
                  <a:rPr lang="nl-NL"/>
                  <a:t>Climate change</a:t>
                </a:r>
              </a:p>
              <a:p>
                <a:pPr>
                  <a:defRPr/>
                </a:pPr>
                <a:r>
                  <a:rPr lang="nl-NL"/>
                  <a:t>[kg CO</a:t>
                </a:r>
                <a:r>
                  <a:rPr lang="nl-NL" baseline="-25000"/>
                  <a:t>2-eq</a:t>
                </a:r>
                <a:r>
                  <a:rPr lang="nl-NL"/>
                  <a:t>/ton CO</a:t>
                </a:r>
                <a:r>
                  <a:rPr lang="nl-NL" baseline="-25000"/>
                  <a:t>2</a:t>
                </a:r>
                <a:r>
                  <a:rPr lang="nl-NL"/>
                  <a:t> captured and stored]</a:t>
                </a:r>
              </a:p>
            </c:rich>
          </c:tx>
          <c:layout>
            <c:manualLayout>
              <c:xMode val="edge"/>
              <c:yMode val="edge"/>
              <c:x val="9.6235856809711307E-3"/>
              <c:y val="0.1179903470103940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894438607"/>
        <c:crosses val="autoZero"/>
        <c:crossBetween val="midCat"/>
        <c:majorUnit val="100"/>
      </c:valAx>
      <c:spPr>
        <a:noFill/>
        <a:ln w="19050">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005819924683327"/>
          <c:y val="7.1046091620382001E-2"/>
          <c:w val="0.74364464224580618"/>
          <c:h val="0.90253588806088181"/>
        </c:manualLayout>
      </c:layout>
      <c:scatterChart>
        <c:scatterStyle val="lineMarker"/>
        <c:varyColors val="0"/>
        <c:ser>
          <c:idx val="0"/>
          <c:order val="0"/>
          <c:tx>
            <c:strRef>
              <c:f>'Sensitivity analysis - CC'!$M$479</c:f>
              <c:strCache>
                <c:ptCount val="1"/>
                <c:pt idx="0">
                  <c:v>Material use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'Sensitivity analysis - CC'!$R$478:$T$478</c:f>
              <c:numCache>
                <c:formatCode>0%</c:formatCode>
                <c:ptCount val="3"/>
                <c:pt idx="0">
                  <c:v>0.8</c:v>
                </c:pt>
                <c:pt idx="1">
                  <c:v>1</c:v>
                </c:pt>
                <c:pt idx="2">
                  <c:v>1.2</c:v>
                </c:pt>
              </c:numCache>
            </c:numRef>
          </c:xVal>
          <c:yVal>
            <c:numRef>
              <c:f>'Sensitivity analysis - CC'!$R$479:$T$479</c:f>
              <c:numCache>
                <c:formatCode>0.00E+00</c:formatCode>
                <c:ptCount val="3"/>
                <c:pt idx="0">
                  <c:v>-850.52445124657231</c:v>
                </c:pt>
                <c:pt idx="1">
                  <c:v>-847.44505104778398</c:v>
                </c:pt>
                <c:pt idx="2">
                  <c:v>-844.36565084899553</c:v>
                </c:pt>
              </c:numCache>
            </c:numRef>
          </c:yVal>
          <c:smooth val="0"/>
          <c:extLst>
            <c:ext xmlns:c16="http://schemas.microsoft.com/office/drawing/2014/chart" uri="{C3380CC4-5D6E-409C-BE32-E72D297353CC}">
              <c16:uniqueId val="{00000000-DE20-4699-952B-94148E4D6ED5}"/>
            </c:ext>
          </c:extLst>
        </c:ser>
        <c:ser>
          <c:idx val="1"/>
          <c:order val="1"/>
          <c:tx>
            <c:strRef>
              <c:f>'Sensitivity analysis - CC'!$M$480</c:f>
              <c:strCache>
                <c:ptCount val="1"/>
                <c:pt idx="0">
                  <c:v>Energy use</c:v>
                </c:pt>
              </c:strCache>
            </c:strRef>
          </c:tx>
          <c:spPr>
            <a:ln w="31750" cap="rnd">
              <a:solidFill>
                <a:schemeClr val="accent4"/>
              </a:solidFill>
              <a:round/>
            </a:ln>
            <a:effectLst/>
          </c:spPr>
          <c:marker>
            <c:symbol val="circle"/>
            <c:size val="5"/>
            <c:spPr>
              <a:solidFill>
                <a:schemeClr val="accent4"/>
              </a:solidFill>
              <a:ln w="9525">
                <a:solidFill>
                  <a:schemeClr val="accent4"/>
                </a:solidFill>
              </a:ln>
              <a:effectLst/>
            </c:spPr>
          </c:marker>
          <c:xVal>
            <c:numRef>
              <c:f>('Sensitivity analysis - CC'!$Q$478,'Sensitivity analysis - CC'!$S$478,'Sensitivity analysis - CC'!$V$478,'Sensitivity analysis - CC'!$W$478)</c:f>
              <c:numCache>
                <c:formatCode>0%</c:formatCode>
                <c:ptCount val="4"/>
                <c:pt idx="0">
                  <c:v>0.67</c:v>
                </c:pt>
                <c:pt idx="1">
                  <c:v>1</c:v>
                </c:pt>
                <c:pt idx="2">
                  <c:v>1.67</c:v>
                </c:pt>
                <c:pt idx="3">
                  <c:v>2</c:v>
                </c:pt>
              </c:numCache>
            </c:numRef>
          </c:xVal>
          <c:yVal>
            <c:numRef>
              <c:f>('Sensitivity analysis - CC'!$Q$480,'Sensitivity analysis - CC'!$S$480,'Sensitivity analysis - CC'!$V$480,'Sensitivity analysis - CC'!$W$480)</c:f>
              <c:numCache>
                <c:formatCode>0.00E+00</c:formatCode>
                <c:ptCount val="4"/>
                <c:pt idx="0">
                  <c:v>-888.53934800356853</c:v>
                </c:pt>
                <c:pt idx="1">
                  <c:v>-847.44505104778398</c:v>
                </c:pt>
                <c:pt idx="2">
                  <c:v>-765.25645713621475</c:v>
                </c:pt>
              </c:numCache>
            </c:numRef>
          </c:yVal>
          <c:smooth val="0"/>
          <c:extLst>
            <c:ext xmlns:c16="http://schemas.microsoft.com/office/drawing/2014/chart" uri="{C3380CC4-5D6E-409C-BE32-E72D297353CC}">
              <c16:uniqueId val="{00000001-DE20-4699-952B-94148E4D6ED5}"/>
            </c:ext>
          </c:extLst>
        </c:ser>
        <c:ser>
          <c:idx val="2"/>
          <c:order val="2"/>
          <c:tx>
            <c:strRef>
              <c:f>'Sensitivity analysis - CC'!$M$481</c:f>
              <c:strCache>
                <c:ptCount val="1"/>
                <c:pt idx="0">
                  <c:v>Lifetime DAC system</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'Sensitivity analysis - CC'!$R$478:$S$478</c:f>
              <c:numCache>
                <c:formatCode>0%</c:formatCode>
                <c:ptCount val="2"/>
                <c:pt idx="0">
                  <c:v>0.8</c:v>
                </c:pt>
                <c:pt idx="1">
                  <c:v>1</c:v>
                </c:pt>
              </c:numCache>
            </c:numRef>
          </c:xVal>
          <c:yVal>
            <c:numRef>
              <c:f>'Sensitivity analysis - CC'!$R$481:$S$481</c:f>
              <c:numCache>
                <c:formatCode>0.00E+00</c:formatCode>
                <c:ptCount val="2"/>
                <c:pt idx="0">
                  <c:v>-809.30631380972989</c:v>
                </c:pt>
                <c:pt idx="1">
                  <c:v>-847.44505104778386</c:v>
                </c:pt>
              </c:numCache>
            </c:numRef>
          </c:yVal>
          <c:smooth val="0"/>
          <c:extLst>
            <c:ext xmlns:c16="http://schemas.microsoft.com/office/drawing/2014/chart" uri="{C3380CC4-5D6E-409C-BE32-E72D297353CC}">
              <c16:uniqueId val="{00000002-DE20-4699-952B-94148E4D6ED5}"/>
            </c:ext>
          </c:extLst>
        </c:ser>
        <c:ser>
          <c:idx val="3"/>
          <c:order val="3"/>
          <c:tx>
            <c:strRef>
              <c:f>'Sensitivity analysis - CC'!$M$482</c:f>
              <c:strCache>
                <c:ptCount val="1"/>
                <c:pt idx="0">
                  <c:v>Lifetime sorbent material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('Sensitivity analysis - CC'!$O$478,'Sensitivity analysis - CC'!$S$478,'Sensitivity analysis - CC'!$V$478)</c:f>
              <c:numCache>
                <c:formatCode>0%</c:formatCode>
                <c:ptCount val="3"/>
                <c:pt idx="0">
                  <c:v>0.33</c:v>
                </c:pt>
                <c:pt idx="1">
                  <c:v>1</c:v>
                </c:pt>
                <c:pt idx="2">
                  <c:v>1.67</c:v>
                </c:pt>
              </c:numCache>
            </c:numRef>
          </c:xVal>
          <c:yVal>
            <c:numRef>
              <c:f>('Sensitivity analysis - CC'!$O$482,'Sensitivity analysis - CC'!$S$482,'Sensitivity analysis - CC'!$V$482)</c:f>
              <c:numCache>
                <c:formatCode>0.00E+00</c:formatCode>
                <c:ptCount val="3"/>
                <c:pt idx="0">
                  <c:v>-841.17859635919581</c:v>
                </c:pt>
                <c:pt idx="1">
                  <c:v>-847.44505104778386</c:v>
                </c:pt>
                <c:pt idx="2">
                  <c:v>-848.96595899110707</c:v>
                </c:pt>
              </c:numCache>
            </c:numRef>
          </c:yVal>
          <c:smooth val="0"/>
          <c:extLst>
            <c:ext xmlns:c16="http://schemas.microsoft.com/office/drawing/2014/chart" uri="{C3380CC4-5D6E-409C-BE32-E72D297353CC}">
              <c16:uniqueId val="{00000003-DE20-4699-952B-94148E4D6ED5}"/>
            </c:ext>
          </c:extLst>
        </c:ser>
        <c:ser>
          <c:idx val="4"/>
          <c:order val="4"/>
          <c:tx>
            <c:strRef>
              <c:f>'Sensitivity analysis - CC'!$M$483</c:f>
              <c:strCache>
                <c:ptCount val="1"/>
                <c:pt idx="0">
                  <c:v>Capacity DAC unit</c:v>
                </c:pt>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numRef>
              <c:f>('Sensitivity analysis - CC'!$P$478,'Sensitivity analysis - CC'!$S$478,'Sensitivity analysis - CC'!$U$478)</c:f>
              <c:numCache>
                <c:formatCode>0%</c:formatCode>
                <c:ptCount val="3"/>
                <c:pt idx="0">
                  <c:v>0.5</c:v>
                </c:pt>
                <c:pt idx="1">
                  <c:v>1</c:v>
                </c:pt>
                <c:pt idx="2">
                  <c:v>1.5</c:v>
                </c:pt>
              </c:numCache>
            </c:numRef>
          </c:xVal>
          <c:yVal>
            <c:numRef>
              <c:f>('Sensitivity analysis - CC'!$P$483,'Sensitivity analysis - CC'!$S$483,'Sensitivity analysis - CC'!$U$483)</c:f>
              <c:numCache>
                <c:formatCode>0.00E+00</c:formatCode>
                <c:ptCount val="3"/>
                <c:pt idx="0">
                  <c:v>-694.89010209556773</c:v>
                </c:pt>
                <c:pt idx="1">
                  <c:v>-847.44505104778386</c:v>
                </c:pt>
                <c:pt idx="2">
                  <c:v>-898.29670069852261</c:v>
                </c:pt>
              </c:numCache>
            </c:numRef>
          </c:yVal>
          <c:smooth val="0"/>
          <c:extLst>
            <c:ext xmlns:c16="http://schemas.microsoft.com/office/drawing/2014/chart" uri="{C3380CC4-5D6E-409C-BE32-E72D297353CC}">
              <c16:uniqueId val="{00000004-DE20-4699-952B-94148E4D6ED5}"/>
            </c:ext>
          </c:extLst>
        </c:ser>
        <c:ser>
          <c:idx val="6"/>
          <c:order val="5"/>
          <c:tx>
            <c:strRef>
              <c:f>'Sensitivity analysis - CC'!$M$484</c:f>
              <c:strCache>
                <c:ptCount val="1"/>
                <c:pt idx="0">
                  <c:v>Sorbent type - amine on silica</c:v>
                </c:pt>
              </c:strCache>
            </c:strRef>
          </c:tx>
          <c:spPr>
            <a:ln w="19050" cap="rnd">
              <a:noFill/>
              <a:round/>
            </a:ln>
            <a:effectLst/>
          </c:spPr>
          <c:marker>
            <c:symbol val="square"/>
            <c:size val="5"/>
            <c:spPr>
              <a:solidFill>
                <a:srgbClr val="C00000"/>
              </a:solidFill>
              <a:ln w="9525">
                <a:solidFill>
                  <a:srgbClr val="C00000"/>
                </a:solidFill>
              </a:ln>
              <a:effectLst/>
            </c:spPr>
          </c:marker>
          <c:xVal>
            <c:numRef>
              <c:f>'Sensitivity analysis - CC'!$S$478</c:f>
              <c:numCache>
                <c:formatCode>0%</c:formatCode>
                <c:ptCount val="1"/>
                <c:pt idx="0">
                  <c:v>1</c:v>
                </c:pt>
              </c:numCache>
            </c:numRef>
          </c:xVal>
          <c:yVal>
            <c:numRef>
              <c:f>'Sensitivity analysis - CC'!$S$484</c:f>
              <c:numCache>
                <c:formatCode>0.00E+00</c:formatCode>
                <c:ptCount val="1"/>
                <c:pt idx="0">
                  <c:v>-843.81264557335487</c:v>
                </c:pt>
              </c:numCache>
            </c:numRef>
          </c:yVal>
          <c:smooth val="0"/>
          <c:extLst>
            <c:ext xmlns:c16="http://schemas.microsoft.com/office/drawing/2014/chart" uri="{C3380CC4-5D6E-409C-BE32-E72D297353CC}">
              <c16:uniqueId val="{00000006-DE20-4699-952B-94148E4D6ED5}"/>
            </c:ext>
          </c:extLst>
        </c:ser>
        <c:dLbls>
          <c:showLegendKey val="0"/>
          <c:showVal val="0"/>
          <c:showCatName val="0"/>
          <c:showSerName val="0"/>
          <c:showPercent val="0"/>
          <c:showBubbleSize val="0"/>
        </c:dLbls>
        <c:axId val="894438607"/>
        <c:axId val="1119274239"/>
      </c:scatterChart>
      <c:valAx>
        <c:axId val="894438607"/>
        <c:scaling>
          <c:orientation val="minMax"/>
          <c:max val="2.5"/>
          <c:min val="0"/>
        </c:scaling>
        <c:delete val="0"/>
        <c:axPos val="b"/>
        <c:majorGridlines>
          <c:spPr>
            <a:ln w="9525" cap="flat" cmpd="sng" algn="ctr">
              <a:solidFill>
                <a:schemeClr val="tx1">
                  <a:lumMod val="50000"/>
                  <a:lumOff val="50000"/>
                </a:schemeClr>
              </a:solidFill>
              <a:round/>
            </a:ln>
            <a:effectLst/>
          </c:spPr>
        </c:majorGridlines>
        <c:numFmt formatCode="0%" sourceLinked="1"/>
        <c:majorTickMark val="none"/>
        <c:minorTickMark val="none"/>
        <c:tickLblPos val="high"/>
        <c:spPr>
          <a:noFill/>
          <a:ln w="190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1119274239"/>
        <c:crosses val="autoZero"/>
        <c:crossBetween val="midCat"/>
      </c:valAx>
      <c:valAx>
        <c:axId val="1119274239"/>
        <c:scaling>
          <c:orientation val="minMax"/>
          <c:max val="-600"/>
          <c:min val="-1000"/>
        </c:scaling>
        <c:delete val="0"/>
        <c:axPos val="l"/>
        <c:majorGridlines>
          <c:spPr>
            <a:ln w="9525" cap="flat" cmpd="sng" algn="ctr">
              <a:solidFill>
                <a:schemeClr val="tx1">
                  <a:lumMod val="50000"/>
                  <a:lumOff val="50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r>
                  <a:rPr lang="nl-NL"/>
                  <a:t>Climate change</a:t>
                </a:r>
              </a:p>
              <a:p>
                <a:pPr>
                  <a:defRPr/>
                </a:pPr>
                <a:r>
                  <a:rPr lang="nl-NL"/>
                  <a:t>[kg</a:t>
                </a:r>
                <a:r>
                  <a:rPr lang="nl-NL" baseline="0"/>
                  <a:t> CO</a:t>
                </a:r>
                <a:r>
                  <a:rPr lang="nl-NL" baseline="-25000"/>
                  <a:t>2-eq</a:t>
                </a:r>
                <a:r>
                  <a:rPr lang="nl-NL"/>
                  <a:t>/ton CO</a:t>
                </a:r>
                <a:r>
                  <a:rPr lang="nl-NL" baseline="-25000"/>
                  <a:t>2</a:t>
                </a:r>
                <a:r>
                  <a:rPr lang="nl-NL"/>
                  <a:t> captured and stored]</a:t>
                </a:r>
              </a:p>
            </c:rich>
          </c:tx>
          <c:layout>
            <c:manualLayout>
              <c:xMode val="edge"/>
              <c:yMode val="edge"/>
              <c:x val="7.1838411502909965E-3"/>
              <c:y val="0.1357018755756510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894438607"/>
        <c:crosses val="autoZero"/>
        <c:crossBetween val="midCat"/>
      </c:valAx>
      <c:spPr>
        <a:noFill/>
        <a:ln w="19050">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19692808062577"/>
          <c:y val="7.8345072223025738E-2"/>
          <c:w val="0.41748456318118088"/>
          <c:h val="0.89554846506848518"/>
        </c:manualLayout>
      </c:layout>
      <c:scatterChart>
        <c:scatterStyle val="lineMarker"/>
        <c:varyColors val="0"/>
        <c:ser>
          <c:idx val="0"/>
          <c:order val="0"/>
          <c:tx>
            <c:strRef>
              <c:f>'Sensitivity analysis - CC'!$Y$479</c:f>
              <c:strCache>
                <c:ptCount val="1"/>
                <c:pt idx="0">
                  <c:v>Material use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'Sensitivity analysis - CC'!$AD$478:$AF$478</c:f>
              <c:numCache>
                <c:formatCode>0%</c:formatCode>
                <c:ptCount val="3"/>
                <c:pt idx="0">
                  <c:v>0.8</c:v>
                </c:pt>
                <c:pt idx="1">
                  <c:v>1</c:v>
                </c:pt>
                <c:pt idx="2">
                  <c:v>1.2</c:v>
                </c:pt>
              </c:numCache>
            </c:numRef>
          </c:xVal>
          <c:yVal>
            <c:numRef>
              <c:f>'Sensitivity analysis - CC'!$AD$479:$AF$479</c:f>
              <c:numCache>
                <c:formatCode>0.00E+00</c:formatCode>
                <c:ptCount val="3"/>
                <c:pt idx="0">
                  <c:v>-988.20816050547046</c:v>
                </c:pt>
                <c:pt idx="1">
                  <c:v>-985.78211035370691</c:v>
                </c:pt>
                <c:pt idx="2">
                  <c:v>-983.35606020194314</c:v>
                </c:pt>
              </c:numCache>
            </c:numRef>
          </c:yVal>
          <c:smooth val="0"/>
          <c:extLst>
            <c:ext xmlns:c16="http://schemas.microsoft.com/office/drawing/2014/chart" uri="{C3380CC4-5D6E-409C-BE32-E72D297353CC}">
              <c16:uniqueId val="{00000000-BEBA-487B-A940-288138DFFC69}"/>
            </c:ext>
          </c:extLst>
        </c:ser>
        <c:ser>
          <c:idx val="1"/>
          <c:order val="1"/>
          <c:tx>
            <c:strRef>
              <c:f>'Sensitivity analysis - CC'!$Y$480</c:f>
              <c:strCache>
                <c:ptCount val="1"/>
                <c:pt idx="0">
                  <c:v>Energy use</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('Sensitivity analysis - CC'!$AC$478,'Sensitivity analysis - CC'!$AE$478,'Sensitivity analysis - CC'!$AH$478,'Sensitivity analysis - CC'!$AI$478)</c:f>
              <c:numCache>
                <c:formatCode>0%</c:formatCode>
                <c:ptCount val="4"/>
                <c:pt idx="0">
                  <c:v>0.67</c:v>
                </c:pt>
                <c:pt idx="1">
                  <c:v>1</c:v>
                </c:pt>
                <c:pt idx="2">
                  <c:v>1.67</c:v>
                </c:pt>
              </c:numCache>
            </c:numRef>
          </c:xVal>
          <c:yVal>
            <c:numRef>
              <c:f>('Sensitivity analysis - CC'!$AC$480,'Sensitivity analysis - CC'!$AE$480,'Sensitivity analysis - CC'!$AH$480,'Sensitivity analysis - CC'!$AI$480)</c:f>
              <c:numCache>
                <c:formatCode>0.00E+00</c:formatCode>
                <c:ptCount val="4"/>
                <c:pt idx="0">
                  <c:v>-985.21485215582743</c:v>
                </c:pt>
                <c:pt idx="1">
                  <c:v>-985.78211035370691</c:v>
                </c:pt>
                <c:pt idx="2">
                  <c:v>-986.91662674946542</c:v>
                </c:pt>
              </c:numCache>
            </c:numRef>
          </c:yVal>
          <c:smooth val="0"/>
          <c:extLst>
            <c:ext xmlns:c16="http://schemas.microsoft.com/office/drawing/2014/chart" uri="{C3380CC4-5D6E-409C-BE32-E72D297353CC}">
              <c16:uniqueId val="{00000001-BEBA-487B-A940-288138DFFC69}"/>
            </c:ext>
          </c:extLst>
        </c:ser>
        <c:ser>
          <c:idx val="2"/>
          <c:order val="2"/>
          <c:tx>
            <c:strRef>
              <c:f>'Sensitivity analysis - CC'!$Y$481</c:f>
              <c:strCache>
                <c:ptCount val="1"/>
                <c:pt idx="0">
                  <c:v>Lifetime DAC system</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'Sensitivity analysis - CC'!$AD$478:$AE$478</c:f>
              <c:numCache>
                <c:formatCode>0%</c:formatCode>
                <c:ptCount val="2"/>
                <c:pt idx="0">
                  <c:v>0.8</c:v>
                </c:pt>
                <c:pt idx="1">
                  <c:v>1</c:v>
                </c:pt>
              </c:numCache>
            </c:numRef>
          </c:xVal>
          <c:yVal>
            <c:numRef>
              <c:f>'Sensitivity analysis - CC'!$AD$481:$AE$481</c:f>
              <c:numCache>
                <c:formatCode>0.00E+00</c:formatCode>
                <c:ptCount val="2"/>
                <c:pt idx="0">
                  <c:v>-982.22763794213347</c:v>
                </c:pt>
                <c:pt idx="1">
                  <c:v>-985.7821103537068</c:v>
                </c:pt>
              </c:numCache>
            </c:numRef>
          </c:yVal>
          <c:smooth val="0"/>
          <c:extLst>
            <c:ext xmlns:c16="http://schemas.microsoft.com/office/drawing/2014/chart" uri="{C3380CC4-5D6E-409C-BE32-E72D297353CC}">
              <c16:uniqueId val="{00000002-BEBA-487B-A940-288138DFFC69}"/>
            </c:ext>
          </c:extLst>
        </c:ser>
        <c:ser>
          <c:idx val="3"/>
          <c:order val="3"/>
          <c:tx>
            <c:strRef>
              <c:f>'Sensitivity analysis - CC'!$Y$482</c:f>
              <c:strCache>
                <c:ptCount val="1"/>
                <c:pt idx="0">
                  <c:v>Lifetime sorbent material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('Sensitivity analysis - CC'!$AA$478,'Sensitivity analysis - CC'!$AE$478,'Sensitivity analysis - CC'!$AH$478)</c:f>
              <c:numCache>
                <c:formatCode>0%</c:formatCode>
                <c:ptCount val="3"/>
                <c:pt idx="0">
                  <c:v>0.33</c:v>
                </c:pt>
                <c:pt idx="1">
                  <c:v>1</c:v>
                </c:pt>
                <c:pt idx="2">
                  <c:v>1.67</c:v>
                </c:pt>
              </c:numCache>
            </c:numRef>
          </c:xVal>
          <c:yVal>
            <c:numRef>
              <c:f>('Sensitivity analysis - CC'!$AA$482,'Sensitivity analysis - CC'!$AE$482,'Sensitivity analysis - CC'!$AH$482)</c:f>
              <c:numCache>
                <c:formatCode>0.00E+00</c:formatCode>
                <c:ptCount val="3"/>
                <c:pt idx="0">
                  <c:v>-980.42662145472275</c:v>
                </c:pt>
                <c:pt idx="1">
                  <c:v>-985.78211035370691</c:v>
                </c:pt>
                <c:pt idx="2">
                  <c:v>-987.11118565881884</c:v>
                </c:pt>
              </c:numCache>
            </c:numRef>
          </c:yVal>
          <c:smooth val="0"/>
          <c:extLst>
            <c:ext xmlns:c16="http://schemas.microsoft.com/office/drawing/2014/chart" uri="{C3380CC4-5D6E-409C-BE32-E72D297353CC}">
              <c16:uniqueId val="{00000003-BEBA-487B-A940-288138DFFC69}"/>
            </c:ext>
          </c:extLst>
        </c:ser>
        <c:ser>
          <c:idx val="4"/>
          <c:order val="4"/>
          <c:tx>
            <c:strRef>
              <c:f>'Sensitivity analysis - CC'!$Y$483</c:f>
              <c:strCache>
                <c:ptCount val="1"/>
                <c:pt idx="0">
                  <c:v>Capacity DAC unit</c:v>
                </c:pt>
              </c:strCache>
            </c:strRef>
          </c:tx>
          <c:spPr>
            <a:ln w="19050" cap="rnd">
              <a:solidFill>
                <a:srgbClr val="996633"/>
              </a:solidFill>
              <a:round/>
            </a:ln>
            <a:effectLst/>
          </c:spPr>
          <c:marker>
            <c:symbol val="circle"/>
            <c:size val="5"/>
            <c:spPr>
              <a:solidFill>
                <a:srgbClr val="996633"/>
              </a:solidFill>
              <a:ln w="9525">
                <a:solidFill>
                  <a:srgbClr val="996633"/>
                </a:solidFill>
              </a:ln>
              <a:effectLst/>
            </c:spPr>
          </c:marker>
          <c:xVal>
            <c:numRef>
              <c:f>('Sensitivity analysis - CC'!$AB$478,'Sensitivity analysis - CC'!$AE$478,'Sensitivity analysis - CC'!$AG$478)</c:f>
              <c:numCache>
                <c:formatCode>0%</c:formatCode>
                <c:ptCount val="3"/>
                <c:pt idx="0">
                  <c:v>0.5</c:v>
                </c:pt>
                <c:pt idx="1">
                  <c:v>1</c:v>
                </c:pt>
                <c:pt idx="2">
                  <c:v>1.5</c:v>
                </c:pt>
              </c:numCache>
            </c:numRef>
          </c:xVal>
          <c:yVal>
            <c:numRef>
              <c:f>('Sensitivity analysis - CC'!$AB$483,'Sensitivity analysis - CC'!$AE$483,'Sensitivity analysis - CC'!$AG$483)</c:f>
              <c:numCache>
                <c:formatCode>0.00E+00</c:formatCode>
                <c:ptCount val="3"/>
                <c:pt idx="0">
                  <c:v>-971.5642207074136</c:v>
                </c:pt>
                <c:pt idx="1">
                  <c:v>-985.7821103537068</c:v>
                </c:pt>
                <c:pt idx="2">
                  <c:v>-990.5214069024712</c:v>
                </c:pt>
              </c:numCache>
            </c:numRef>
          </c:yVal>
          <c:smooth val="0"/>
          <c:extLst>
            <c:ext xmlns:c16="http://schemas.microsoft.com/office/drawing/2014/chart" uri="{C3380CC4-5D6E-409C-BE32-E72D297353CC}">
              <c16:uniqueId val="{00000004-BEBA-487B-A940-288138DFFC69}"/>
            </c:ext>
          </c:extLst>
        </c:ser>
        <c:ser>
          <c:idx val="6"/>
          <c:order val="5"/>
          <c:tx>
            <c:strRef>
              <c:f>'Sensitivity analysis - CC'!$Y$484</c:f>
              <c:strCache>
                <c:ptCount val="1"/>
                <c:pt idx="0">
                  <c:v>Sorbent type - amine on silica</c:v>
                </c:pt>
              </c:strCache>
            </c:strRef>
          </c:tx>
          <c:spPr>
            <a:ln w="19050" cap="rnd">
              <a:noFill/>
              <a:round/>
            </a:ln>
            <a:effectLst/>
          </c:spPr>
          <c:marker>
            <c:symbol val="square"/>
            <c:size val="5"/>
            <c:spPr>
              <a:solidFill>
                <a:srgbClr val="C00000"/>
              </a:solidFill>
              <a:ln w="9525">
                <a:solidFill>
                  <a:srgbClr val="C00000"/>
                </a:solidFill>
              </a:ln>
              <a:effectLst/>
            </c:spPr>
          </c:marker>
          <c:xVal>
            <c:numRef>
              <c:f>'Sensitivity analysis - CC'!$AE$478</c:f>
              <c:numCache>
                <c:formatCode>0%</c:formatCode>
                <c:ptCount val="1"/>
                <c:pt idx="0">
                  <c:v>1</c:v>
                </c:pt>
              </c:numCache>
            </c:numRef>
          </c:xVal>
          <c:yVal>
            <c:numRef>
              <c:f>'Sensitivity analysis - CC'!$AE$484</c:f>
              <c:numCache>
                <c:formatCode>0.00E+00</c:formatCode>
                <c:ptCount val="1"/>
                <c:pt idx="0">
                  <c:v>-983.05883955752324</c:v>
                </c:pt>
              </c:numCache>
            </c:numRef>
          </c:yVal>
          <c:smooth val="0"/>
          <c:extLst>
            <c:ext xmlns:c16="http://schemas.microsoft.com/office/drawing/2014/chart" uri="{C3380CC4-5D6E-409C-BE32-E72D297353CC}">
              <c16:uniqueId val="{00000006-BEBA-487B-A940-288138DFFC69}"/>
            </c:ext>
          </c:extLst>
        </c:ser>
        <c:dLbls>
          <c:showLegendKey val="0"/>
          <c:showVal val="0"/>
          <c:showCatName val="0"/>
          <c:showSerName val="0"/>
          <c:showPercent val="0"/>
          <c:showBubbleSize val="0"/>
        </c:dLbls>
        <c:axId val="894438607"/>
        <c:axId val="1119274239"/>
      </c:scatterChart>
      <c:valAx>
        <c:axId val="894438607"/>
        <c:scaling>
          <c:orientation val="minMax"/>
          <c:max val="2.5"/>
          <c:min val="0"/>
        </c:scaling>
        <c:delete val="0"/>
        <c:axPos val="b"/>
        <c:majorGridlines>
          <c:spPr>
            <a:ln w="9525" cap="flat" cmpd="sng" algn="ctr">
              <a:solidFill>
                <a:schemeClr val="tx1">
                  <a:lumMod val="50000"/>
                  <a:lumOff val="50000"/>
                </a:schemeClr>
              </a:solidFill>
              <a:round/>
            </a:ln>
            <a:effectLst/>
          </c:spPr>
        </c:majorGridlines>
        <c:numFmt formatCode="0%" sourceLinked="1"/>
        <c:majorTickMark val="none"/>
        <c:minorTickMark val="none"/>
        <c:tickLblPos val="high"/>
        <c:spPr>
          <a:noFill/>
          <a:ln w="190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1119274239"/>
        <c:crosses val="autoZero"/>
        <c:crossBetween val="midCat"/>
      </c:valAx>
      <c:valAx>
        <c:axId val="1119274239"/>
        <c:scaling>
          <c:orientation val="minMax"/>
          <c:max val="-950"/>
          <c:min val="-1000"/>
        </c:scaling>
        <c:delete val="0"/>
        <c:axPos val="l"/>
        <c:majorGridlines>
          <c:spPr>
            <a:ln w="9525" cap="flat" cmpd="sng" algn="ctr">
              <a:solidFill>
                <a:schemeClr val="tx1">
                  <a:lumMod val="50000"/>
                  <a:lumOff val="50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r>
                  <a:rPr lang="nl-NL"/>
                  <a:t>Climate change</a:t>
                </a:r>
              </a:p>
              <a:p>
                <a:pPr>
                  <a:defRPr/>
                </a:pPr>
                <a:r>
                  <a:rPr lang="nl-NL"/>
                  <a:t>[kg CO</a:t>
                </a:r>
                <a:r>
                  <a:rPr lang="nl-NL" baseline="-25000"/>
                  <a:t>2-eq</a:t>
                </a:r>
                <a:r>
                  <a:rPr lang="nl-NL"/>
                  <a:t>/ton CO</a:t>
                </a:r>
                <a:r>
                  <a:rPr lang="nl-NL" baseline="-25000"/>
                  <a:t>2</a:t>
                </a:r>
                <a:r>
                  <a:rPr lang="nl-NL"/>
                  <a:t> captured and stored]</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894438607"/>
        <c:crosses val="autoZero"/>
        <c:crossBetween val="midCat"/>
      </c:valAx>
      <c:spPr>
        <a:noFill/>
        <a:ln w="19050">
          <a:solidFill>
            <a:schemeClr val="tx1"/>
          </a:solidFill>
        </a:ln>
        <a:effectLst/>
      </c:spPr>
    </c:plotArea>
    <c:legend>
      <c:legendPos val="r"/>
      <c:layout>
        <c:manualLayout>
          <c:xMode val="edge"/>
          <c:yMode val="edge"/>
          <c:x val="0.53169294736491457"/>
          <c:y val="7.4172479218749934E-2"/>
          <c:w val="0.24828804709021357"/>
          <c:h val="0.899178674081772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580891821470707"/>
          <c:y val="7.1230981607336832E-2"/>
          <c:w val="0.71896793074763388"/>
          <c:h val="0.90807451676883488"/>
        </c:manualLayout>
      </c:layout>
      <c:scatterChart>
        <c:scatterStyle val="lineMarker"/>
        <c:varyColors val="0"/>
        <c:ser>
          <c:idx val="0"/>
          <c:order val="0"/>
          <c:tx>
            <c:strRef>
              <c:f>'Sensitivity analysis - CC'!$A$489</c:f>
              <c:strCache>
                <c:ptCount val="1"/>
                <c:pt idx="0">
                  <c:v>Material use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'Sensitivity analysis - CC'!$F$488:$H$488</c:f>
              <c:numCache>
                <c:formatCode>0%</c:formatCode>
                <c:ptCount val="3"/>
                <c:pt idx="0">
                  <c:v>0.8</c:v>
                </c:pt>
                <c:pt idx="1">
                  <c:v>1</c:v>
                </c:pt>
                <c:pt idx="2">
                  <c:v>1.2</c:v>
                </c:pt>
              </c:numCache>
            </c:numRef>
          </c:xVal>
          <c:yVal>
            <c:numRef>
              <c:f>'Sensitivity analysis - CC'!$F$489:$H$489</c:f>
              <c:numCache>
                <c:formatCode>0.00E+00</c:formatCode>
                <c:ptCount val="3"/>
                <c:pt idx="0">
                  <c:v>-494.53969601292067</c:v>
                </c:pt>
                <c:pt idx="1">
                  <c:v>-491.21633397701771</c:v>
                </c:pt>
                <c:pt idx="2">
                  <c:v>-487.89297194111498</c:v>
                </c:pt>
              </c:numCache>
            </c:numRef>
          </c:yVal>
          <c:smooth val="0"/>
          <c:extLst>
            <c:ext xmlns:c16="http://schemas.microsoft.com/office/drawing/2014/chart" uri="{C3380CC4-5D6E-409C-BE32-E72D297353CC}">
              <c16:uniqueId val="{00000000-872A-4A8A-81FD-48BCB7C6F6B5}"/>
            </c:ext>
          </c:extLst>
        </c:ser>
        <c:ser>
          <c:idx val="1"/>
          <c:order val="1"/>
          <c:tx>
            <c:strRef>
              <c:f>'Sensitivity analysis - CC'!$A$490</c:f>
              <c:strCache>
                <c:ptCount val="1"/>
                <c:pt idx="0">
                  <c:v>Energy use</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('Sensitivity analysis - CC'!$E$488,'Sensitivity analysis - CC'!$G$488,'Sensitivity analysis - CC'!$J$488,'Sensitivity analysis - CC'!$K$488)</c:f>
              <c:numCache>
                <c:formatCode>0%</c:formatCode>
                <c:ptCount val="4"/>
                <c:pt idx="0">
                  <c:v>0.67</c:v>
                </c:pt>
                <c:pt idx="1">
                  <c:v>1</c:v>
                </c:pt>
                <c:pt idx="2">
                  <c:v>1.67</c:v>
                </c:pt>
                <c:pt idx="3">
                  <c:v>2</c:v>
                </c:pt>
              </c:numCache>
            </c:numRef>
          </c:xVal>
          <c:yVal>
            <c:numRef>
              <c:f>('Sensitivity analysis - CC'!$E$490,'Sensitivity analysis - CC'!$G$490,'Sensitivity analysis - CC'!$J$490,'Sensitivity analysis - CC'!$K$490)</c:f>
              <c:numCache>
                <c:formatCode>0.00E+00</c:formatCode>
                <c:ptCount val="4"/>
                <c:pt idx="0">
                  <c:v>-639.04423489265776</c:v>
                </c:pt>
                <c:pt idx="1">
                  <c:v>-491.21633397701771</c:v>
                </c:pt>
                <c:pt idx="2">
                  <c:v>-195.56053214573797</c:v>
                </c:pt>
              </c:numCache>
            </c:numRef>
          </c:yVal>
          <c:smooth val="0"/>
          <c:extLst>
            <c:ext xmlns:c16="http://schemas.microsoft.com/office/drawing/2014/chart" uri="{C3380CC4-5D6E-409C-BE32-E72D297353CC}">
              <c16:uniqueId val="{00000001-872A-4A8A-81FD-48BCB7C6F6B5}"/>
            </c:ext>
          </c:extLst>
        </c:ser>
        <c:ser>
          <c:idx val="2"/>
          <c:order val="2"/>
          <c:tx>
            <c:strRef>
              <c:f>'Sensitivity analysis - CC'!$A$491</c:f>
              <c:strCache>
                <c:ptCount val="1"/>
                <c:pt idx="0">
                  <c:v>Lifetime DAC system</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('Sensitivity analysis - CC'!$F$488,'Sensitivity analysis - CC'!$G$488)</c:f>
              <c:numCache>
                <c:formatCode>0%</c:formatCode>
                <c:ptCount val="2"/>
                <c:pt idx="0">
                  <c:v>0.8</c:v>
                </c:pt>
                <c:pt idx="1">
                  <c:v>1</c:v>
                </c:pt>
              </c:numCache>
            </c:numRef>
          </c:xVal>
          <c:yVal>
            <c:numRef>
              <c:f>'Sensitivity analysis - CC'!$F$491:$G$491</c:f>
              <c:numCache>
                <c:formatCode>0.00E+00</c:formatCode>
                <c:ptCount val="2"/>
                <c:pt idx="0">
                  <c:v>-364.02041747127225</c:v>
                </c:pt>
                <c:pt idx="1">
                  <c:v>-491.21633397701783</c:v>
                </c:pt>
              </c:numCache>
            </c:numRef>
          </c:yVal>
          <c:smooth val="0"/>
          <c:extLst>
            <c:ext xmlns:c16="http://schemas.microsoft.com/office/drawing/2014/chart" uri="{C3380CC4-5D6E-409C-BE32-E72D297353CC}">
              <c16:uniqueId val="{00000002-872A-4A8A-81FD-48BCB7C6F6B5}"/>
            </c:ext>
          </c:extLst>
        </c:ser>
        <c:ser>
          <c:idx val="3"/>
          <c:order val="3"/>
          <c:tx>
            <c:strRef>
              <c:f>'Sensitivity analysis - CC'!$A$492</c:f>
              <c:strCache>
                <c:ptCount val="1"/>
                <c:pt idx="0">
                  <c:v>Lifetime sorbent material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('Sensitivity analysis - CC'!$C$488,'Sensitivity analysis - CC'!$G$488,'Sensitivity analysis - CC'!$J$488)</c:f>
              <c:numCache>
                <c:formatCode>0%</c:formatCode>
                <c:ptCount val="3"/>
                <c:pt idx="0">
                  <c:v>0.33</c:v>
                </c:pt>
                <c:pt idx="1">
                  <c:v>1</c:v>
                </c:pt>
                <c:pt idx="2">
                  <c:v>1.67</c:v>
                </c:pt>
              </c:numCache>
            </c:numRef>
          </c:xVal>
          <c:yVal>
            <c:numRef>
              <c:f>('Sensitivity analysis - CC'!$C$492,'Sensitivity analysis - CC'!$G$492,'Sensitivity analysis - CC'!$J$492)</c:f>
              <c:numCache>
                <c:formatCode>0.00E+00</c:formatCode>
                <c:ptCount val="3"/>
                <c:pt idx="0">
                  <c:v>-483.73747173626896</c:v>
                </c:pt>
                <c:pt idx="1">
                  <c:v>-491.21633397701771</c:v>
                </c:pt>
                <c:pt idx="2">
                  <c:v>-493.0709903838075</c:v>
                </c:pt>
              </c:numCache>
            </c:numRef>
          </c:yVal>
          <c:smooth val="0"/>
          <c:extLst>
            <c:ext xmlns:c16="http://schemas.microsoft.com/office/drawing/2014/chart" uri="{C3380CC4-5D6E-409C-BE32-E72D297353CC}">
              <c16:uniqueId val="{00000003-872A-4A8A-81FD-48BCB7C6F6B5}"/>
            </c:ext>
          </c:extLst>
        </c:ser>
        <c:ser>
          <c:idx val="4"/>
          <c:order val="4"/>
          <c:tx>
            <c:strRef>
              <c:f>'Sensitivity analysis - CC'!$A$493</c:f>
              <c:strCache>
                <c:ptCount val="1"/>
                <c:pt idx="0">
                  <c:v>Capacity DAC unit</c:v>
                </c:pt>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numRef>
              <c:f>('Sensitivity analysis - CC'!$D$488,'Sensitivity analysis - CC'!$G$488,'Sensitivity analysis - CC'!$I$488)</c:f>
              <c:numCache>
                <c:formatCode>0%</c:formatCode>
                <c:ptCount val="3"/>
                <c:pt idx="0">
                  <c:v>0.5</c:v>
                </c:pt>
                <c:pt idx="1">
                  <c:v>1</c:v>
                </c:pt>
                <c:pt idx="2">
                  <c:v>1.5</c:v>
                </c:pt>
              </c:numCache>
            </c:numRef>
          </c:xVal>
          <c:yVal>
            <c:numRef>
              <c:f>('Sensitivity analysis - CC'!$D$493,'Sensitivity analysis - CC'!$G$493,'Sensitivity analysis - CC'!$I$493)</c:f>
              <c:numCache>
                <c:formatCode>0.00E+00</c:formatCode>
                <c:ptCount val="3"/>
                <c:pt idx="0">
                  <c:v>17.567332045964349</c:v>
                </c:pt>
                <c:pt idx="1">
                  <c:v>-491.21633397701783</c:v>
                </c:pt>
                <c:pt idx="2">
                  <c:v>-660.81088931801196</c:v>
                </c:pt>
              </c:numCache>
            </c:numRef>
          </c:yVal>
          <c:smooth val="0"/>
          <c:extLst>
            <c:ext xmlns:c16="http://schemas.microsoft.com/office/drawing/2014/chart" uri="{C3380CC4-5D6E-409C-BE32-E72D297353CC}">
              <c16:uniqueId val="{00000004-872A-4A8A-81FD-48BCB7C6F6B5}"/>
            </c:ext>
          </c:extLst>
        </c:ser>
        <c:ser>
          <c:idx val="5"/>
          <c:order val="5"/>
          <c:tx>
            <c:strRef>
              <c:f>'Sensitivity analysis - CC'!$A$494</c:f>
              <c:strCache>
                <c:ptCount val="1"/>
                <c:pt idx="0">
                  <c:v>Capacity factor</c:v>
                </c:pt>
              </c:strCache>
            </c:strRef>
          </c:tx>
          <c:spPr>
            <a:ln w="19050"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xVal>
            <c:numRef>
              <c:f>('Sensitivity analysis - CC'!$G$488,'Sensitivity analysis - CC'!$I$488,'Sensitivity analysis - CC'!$K$488)</c:f>
              <c:numCache>
                <c:formatCode>0%</c:formatCode>
                <c:ptCount val="3"/>
                <c:pt idx="0">
                  <c:v>1</c:v>
                </c:pt>
                <c:pt idx="1">
                  <c:v>1.5</c:v>
                </c:pt>
                <c:pt idx="2">
                  <c:v>2</c:v>
                </c:pt>
              </c:numCache>
            </c:numRef>
          </c:xVal>
          <c:yVal>
            <c:numRef>
              <c:f>('Sensitivity analysis - CC'!$G$494,'Sensitivity analysis - CC'!$I$494,'Sensitivity analysis - CC'!$K$494)</c:f>
              <c:numCache>
                <c:formatCode>0.00E+00</c:formatCode>
                <c:ptCount val="3"/>
                <c:pt idx="0">
                  <c:v>-491.21633397701783</c:v>
                </c:pt>
                <c:pt idx="1">
                  <c:v>-554.95665296449806</c:v>
                </c:pt>
                <c:pt idx="2">
                  <c:v>-608.07358545406498</c:v>
                </c:pt>
              </c:numCache>
            </c:numRef>
          </c:yVal>
          <c:smooth val="0"/>
          <c:extLst>
            <c:ext xmlns:c16="http://schemas.microsoft.com/office/drawing/2014/chart" uri="{C3380CC4-5D6E-409C-BE32-E72D297353CC}">
              <c16:uniqueId val="{00000005-872A-4A8A-81FD-48BCB7C6F6B5}"/>
            </c:ext>
          </c:extLst>
        </c:ser>
        <c:ser>
          <c:idx val="7"/>
          <c:order val="6"/>
          <c:tx>
            <c:strRef>
              <c:f>'Sensitivity analysis - CC'!$A$495</c:f>
              <c:strCache>
                <c:ptCount val="1"/>
                <c:pt idx="0">
                  <c:v>Sorbent type - amine on silica</c:v>
                </c:pt>
              </c:strCache>
            </c:strRef>
          </c:tx>
          <c:spPr>
            <a:ln w="19050" cap="rnd">
              <a:noFill/>
              <a:round/>
            </a:ln>
            <a:effectLst/>
          </c:spPr>
          <c:marker>
            <c:symbol val="square"/>
            <c:size val="5"/>
            <c:spPr>
              <a:solidFill>
                <a:srgbClr val="C00000"/>
              </a:solidFill>
              <a:ln w="9525">
                <a:solidFill>
                  <a:srgbClr val="C00000"/>
                </a:solidFill>
              </a:ln>
              <a:effectLst/>
            </c:spPr>
          </c:marker>
          <c:xVal>
            <c:numRef>
              <c:f>'Sensitivity analysis - CC'!$G$488</c:f>
              <c:numCache>
                <c:formatCode>0%</c:formatCode>
                <c:ptCount val="1"/>
                <c:pt idx="0">
                  <c:v>1</c:v>
                </c:pt>
              </c:numCache>
            </c:numRef>
          </c:xVal>
          <c:yVal>
            <c:numRef>
              <c:f>'Sensitivity analysis - CC'!$G$495</c:f>
              <c:numCache>
                <c:formatCode>0.00E+00</c:formatCode>
                <c:ptCount val="1"/>
                <c:pt idx="0">
                  <c:v>-486.35698813686997</c:v>
                </c:pt>
              </c:numCache>
            </c:numRef>
          </c:yVal>
          <c:smooth val="0"/>
          <c:extLst>
            <c:ext xmlns:c16="http://schemas.microsoft.com/office/drawing/2014/chart" uri="{C3380CC4-5D6E-409C-BE32-E72D297353CC}">
              <c16:uniqueId val="{00000007-872A-4A8A-81FD-48BCB7C6F6B5}"/>
            </c:ext>
          </c:extLst>
        </c:ser>
        <c:dLbls>
          <c:showLegendKey val="0"/>
          <c:showVal val="0"/>
          <c:showCatName val="0"/>
          <c:showSerName val="0"/>
          <c:showPercent val="0"/>
          <c:showBubbleSize val="0"/>
        </c:dLbls>
        <c:axId val="894438607"/>
        <c:axId val="1119274239"/>
      </c:scatterChart>
      <c:valAx>
        <c:axId val="894438607"/>
        <c:scaling>
          <c:orientation val="minMax"/>
          <c:max val="2.5"/>
          <c:min val="0"/>
        </c:scaling>
        <c:delete val="0"/>
        <c:axPos val="b"/>
        <c:majorGridlines>
          <c:spPr>
            <a:ln w="9525" cap="flat" cmpd="sng" algn="ctr">
              <a:solidFill>
                <a:schemeClr val="tx1">
                  <a:lumMod val="50000"/>
                  <a:lumOff val="50000"/>
                </a:schemeClr>
              </a:solidFill>
              <a:round/>
            </a:ln>
            <a:effectLst/>
          </c:spPr>
        </c:majorGridlines>
        <c:numFmt formatCode="0%" sourceLinked="1"/>
        <c:majorTickMark val="none"/>
        <c:minorTickMark val="none"/>
        <c:tickLblPos val="high"/>
        <c:spPr>
          <a:noFill/>
          <a:ln w="190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1119274239"/>
        <c:crosses val="autoZero"/>
        <c:crossBetween val="midCat"/>
      </c:valAx>
      <c:valAx>
        <c:axId val="1119274239"/>
        <c:scaling>
          <c:orientation val="minMax"/>
          <c:min val="-1000"/>
        </c:scaling>
        <c:delete val="0"/>
        <c:axPos val="l"/>
        <c:majorGridlines>
          <c:spPr>
            <a:ln w="9525" cap="flat" cmpd="sng" algn="ctr">
              <a:solidFill>
                <a:schemeClr val="tx1">
                  <a:lumMod val="50000"/>
                  <a:lumOff val="50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r>
                  <a:rPr lang="nl-NL"/>
                  <a:t>Climate</a:t>
                </a:r>
                <a:r>
                  <a:rPr lang="nl-NL" baseline="0"/>
                  <a:t> change</a:t>
                </a:r>
              </a:p>
              <a:p>
                <a:pPr>
                  <a:defRPr/>
                </a:pPr>
                <a:r>
                  <a:rPr lang="nl-NL" baseline="0"/>
                  <a:t>[kg CO</a:t>
                </a:r>
                <a:r>
                  <a:rPr lang="nl-NL" baseline="-25000"/>
                  <a:t>2-eq</a:t>
                </a:r>
                <a:r>
                  <a:rPr lang="nl-NL"/>
                  <a:t>/ton CO</a:t>
                </a:r>
                <a:r>
                  <a:rPr lang="nl-NL" baseline="-25000"/>
                  <a:t>2</a:t>
                </a:r>
                <a:r>
                  <a:rPr lang="nl-NL"/>
                  <a:t> captured and stored]</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894438607"/>
        <c:crosses val="autoZero"/>
        <c:crossBetween val="midCat"/>
        <c:majorUnit val="100"/>
      </c:valAx>
      <c:spPr>
        <a:noFill/>
        <a:ln w="19050">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2254393319634"/>
          <c:y val="6.9740429383197355E-2"/>
          <c:w val="0.42336028977008383"/>
          <c:h val="0.885736824710606"/>
        </c:manualLayout>
      </c:layout>
      <c:scatterChart>
        <c:scatterStyle val="lineMarker"/>
        <c:varyColors val="0"/>
        <c:ser>
          <c:idx val="0"/>
          <c:order val="0"/>
          <c:tx>
            <c:strRef>
              <c:f>'Sensitivity analysis - CC'!$Y$489</c:f>
              <c:strCache>
                <c:ptCount val="1"/>
                <c:pt idx="0">
                  <c:v>Material use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'Sensitivity analysis - CC'!$AD$488:$AF$488</c:f>
              <c:numCache>
                <c:formatCode>0%</c:formatCode>
                <c:ptCount val="3"/>
                <c:pt idx="0">
                  <c:v>0.8</c:v>
                </c:pt>
                <c:pt idx="1">
                  <c:v>1</c:v>
                </c:pt>
                <c:pt idx="2">
                  <c:v>1.2</c:v>
                </c:pt>
              </c:numCache>
            </c:numRef>
          </c:xVal>
          <c:yVal>
            <c:numRef>
              <c:f>'Sensitivity analysis - CC'!$AD$489:$AF$489</c:f>
              <c:numCache>
                <c:formatCode>0.00E+00</c:formatCode>
                <c:ptCount val="3"/>
                <c:pt idx="0">
                  <c:v>-986.24676533464981</c:v>
                </c:pt>
                <c:pt idx="1">
                  <c:v>-983.82071518288637</c:v>
                </c:pt>
                <c:pt idx="2">
                  <c:v>-981.39466503112249</c:v>
                </c:pt>
              </c:numCache>
            </c:numRef>
          </c:yVal>
          <c:smooth val="0"/>
          <c:extLst>
            <c:ext xmlns:c16="http://schemas.microsoft.com/office/drawing/2014/chart" uri="{C3380CC4-5D6E-409C-BE32-E72D297353CC}">
              <c16:uniqueId val="{00000000-5738-4AB1-B792-209C0351DCF3}"/>
            </c:ext>
          </c:extLst>
        </c:ser>
        <c:ser>
          <c:idx val="1"/>
          <c:order val="1"/>
          <c:tx>
            <c:strRef>
              <c:f>'Sensitivity analysis - CC'!$Y$490</c:f>
              <c:strCache>
                <c:ptCount val="1"/>
                <c:pt idx="0">
                  <c:v>Energy use</c:v>
                </c:pt>
              </c:strCache>
            </c:strRef>
          </c:tx>
          <c:spPr>
            <a:ln w="31750" cap="rnd">
              <a:solidFill>
                <a:schemeClr val="accent4"/>
              </a:solidFill>
              <a:round/>
            </a:ln>
            <a:effectLst/>
          </c:spPr>
          <c:marker>
            <c:symbol val="circle"/>
            <c:size val="5"/>
            <c:spPr>
              <a:solidFill>
                <a:schemeClr val="accent4"/>
              </a:solidFill>
              <a:ln w="9525">
                <a:solidFill>
                  <a:schemeClr val="accent4"/>
                </a:solidFill>
              </a:ln>
              <a:effectLst/>
            </c:spPr>
          </c:marker>
          <c:xVal>
            <c:numRef>
              <c:f>('Sensitivity analysis - CC'!$AC$488,'Sensitivity analysis - CC'!$AE$488,'Sensitivity analysis - CC'!$AH$488)</c:f>
              <c:numCache>
                <c:formatCode>0%</c:formatCode>
                <c:ptCount val="3"/>
                <c:pt idx="0">
                  <c:v>0.67</c:v>
                </c:pt>
                <c:pt idx="1">
                  <c:v>1</c:v>
                </c:pt>
                <c:pt idx="2">
                  <c:v>1.67</c:v>
                </c:pt>
              </c:numCache>
            </c:numRef>
          </c:xVal>
          <c:yVal>
            <c:numRef>
              <c:f>('Sensitivity analysis - CC'!$AC$490,'Sensitivity analysis - CC'!$AE$490,'Sensitivity analysis - CC'!$AH$490)</c:f>
              <c:numCache>
                <c:formatCode>0.00E+00</c:formatCode>
                <c:ptCount val="3"/>
                <c:pt idx="0">
                  <c:v>-983.90725537528033</c:v>
                </c:pt>
                <c:pt idx="1">
                  <c:v>-983.82071518288637</c:v>
                </c:pt>
                <c:pt idx="2">
                  <c:v>-983.64763479809778</c:v>
                </c:pt>
              </c:numCache>
            </c:numRef>
          </c:yVal>
          <c:smooth val="0"/>
          <c:extLst>
            <c:ext xmlns:c16="http://schemas.microsoft.com/office/drawing/2014/chart" uri="{C3380CC4-5D6E-409C-BE32-E72D297353CC}">
              <c16:uniqueId val="{00000001-5738-4AB1-B792-209C0351DCF3}"/>
            </c:ext>
          </c:extLst>
        </c:ser>
        <c:ser>
          <c:idx val="2"/>
          <c:order val="2"/>
          <c:tx>
            <c:strRef>
              <c:f>'Sensitivity analysis - CC'!$Y$491</c:f>
              <c:strCache>
                <c:ptCount val="1"/>
                <c:pt idx="0">
                  <c:v>Lifetime DAC system</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'Sensitivity analysis - CC'!$AD$488:$AE$488</c:f>
              <c:numCache>
                <c:formatCode>0%</c:formatCode>
                <c:ptCount val="2"/>
                <c:pt idx="0">
                  <c:v>0.8</c:v>
                </c:pt>
                <c:pt idx="1">
                  <c:v>1</c:v>
                </c:pt>
              </c:numCache>
            </c:numRef>
          </c:xVal>
          <c:yVal>
            <c:numRef>
              <c:f>'Sensitivity analysis - CC'!$AD$491:$AE$491</c:f>
              <c:numCache>
                <c:formatCode>0.00E+00</c:formatCode>
                <c:ptCount val="2"/>
                <c:pt idx="0">
                  <c:v>-979.77589397860766</c:v>
                </c:pt>
                <c:pt idx="1">
                  <c:v>-983.82071518288615</c:v>
                </c:pt>
              </c:numCache>
            </c:numRef>
          </c:yVal>
          <c:smooth val="0"/>
          <c:extLst>
            <c:ext xmlns:c16="http://schemas.microsoft.com/office/drawing/2014/chart" uri="{C3380CC4-5D6E-409C-BE32-E72D297353CC}">
              <c16:uniqueId val="{00000002-5738-4AB1-B792-209C0351DCF3}"/>
            </c:ext>
          </c:extLst>
        </c:ser>
        <c:ser>
          <c:idx val="3"/>
          <c:order val="3"/>
          <c:tx>
            <c:strRef>
              <c:f>'Sensitivity analysis - CC'!$Y$492</c:f>
              <c:strCache>
                <c:ptCount val="1"/>
                <c:pt idx="0">
                  <c:v>Lifetime sorbent material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('Sensitivity analysis - CC'!$AA$488,'Sensitivity analysis - CC'!$AE$488,'Sensitivity analysis - CC'!$AH$488)</c:f>
              <c:numCache>
                <c:formatCode>0%</c:formatCode>
                <c:ptCount val="3"/>
                <c:pt idx="0">
                  <c:v>0.33</c:v>
                </c:pt>
                <c:pt idx="1">
                  <c:v>1</c:v>
                </c:pt>
                <c:pt idx="2">
                  <c:v>1.67</c:v>
                </c:pt>
              </c:numCache>
            </c:numRef>
          </c:xVal>
          <c:yVal>
            <c:numRef>
              <c:f>('Sensitivity analysis - CC'!$AA$492,'Sensitivity analysis - CC'!$AE$492,'Sensitivity analysis - CC'!$AH$492)</c:f>
              <c:numCache>
                <c:formatCode>0.00E+00</c:formatCode>
                <c:ptCount val="3"/>
                <c:pt idx="0">
                  <c:v>-978.4652262839021</c:v>
                </c:pt>
                <c:pt idx="1">
                  <c:v>-983.82071518288637</c:v>
                </c:pt>
                <c:pt idx="2">
                  <c:v>-985.1497904879983</c:v>
                </c:pt>
              </c:numCache>
            </c:numRef>
          </c:yVal>
          <c:smooth val="0"/>
          <c:extLst>
            <c:ext xmlns:c16="http://schemas.microsoft.com/office/drawing/2014/chart" uri="{C3380CC4-5D6E-409C-BE32-E72D297353CC}">
              <c16:uniqueId val="{00000003-5738-4AB1-B792-209C0351DCF3}"/>
            </c:ext>
          </c:extLst>
        </c:ser>
        <c:ser>
          <c:idx val="4"/>
          <c:order val="4"/>
          <c:tx>
            <c:strRef>
              <c:f>'Sensitivity analysis - CC'!$Y$493</c:f>
              <c:strCache>
                <c:ptCount val="1"/>
                <c:pt idx="0">
                  <c:v>Capacity DAC unit</c:v>
                </c:pt>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numRef>
              <c:f>('Sensitivity analysis - CC'!$AB$488,'Sensitivity analysis - CC'!$AE$488,'Sensitivity analysis - CC'!$AG$488)</c:f>
              <c:numCache>
                <c:formatCode>0%</c:formatCode>
                <c:ptCount val="3"/>
                <c:pt idx="0">
                  <c:v>0.5</c:v>
                </c:pt>
                <c:pt idx="1">
                  <c:v>1</c:v>
                </c:pt>
                <c:pt idx="2">
                  <c:v>1.5</c:v>
                </c:pt>
              </c:numCache>
            </c:numRef>
          </c:xVal>
          <c:yVal>
            <c:numRef>
              <c:f>('Sensitivity analysis - CC'!$AB$493,'Sensitivity analysis - CC'!$AE$493,'Sensitivity analysis - CC'!$AG$493)</c:f>
              <c:numCache>
                <c:formatCode>0.00E+00</c:formatCode>
                <c:ptCount val="3"/>
                <c:pt idx="0">
                  <c:v>-967.64143036577229</c:v>
                </c:pt>
                <c:pt idx="1">
                  <c:v>-983.82071518288615</c:v>
                </c:pt>
                <c:pt idx="2">
                  <c:v>-989.2138101219241</c:v>
                </c:pt>
              </c:numCache>
            </c:numRef>
          </c:yVal>
          <c:smooth val="0"/>
          <c:extLst>
            <c:ext xmlns:c16="http://schemas.microsoft.com/office/drawing/2014/chart" uri="{C3380CC4-5D6E-409C-BE32-E72D297353CC}">
              <c16:uniqueId val="{00000004-5738-4AB1-B792-209C0351DCF3}"/>
            </c:ext>
          </c:extLst>
        </c:ser>
        <c:ser>
          <c:idx val="7"/>
          <c:order val="5"/>
          <c:tx>
            <c:strRef>
              <c:f>'Sensitivity analysis - CC'!$Y$494</c:f>
              <c:strCache>
                <c:ptCount val="1"/>
                <c:pt idx="0">
                  <c:v>Capacity factor</c:v>
                </c:pt>
              </c:strCache>
            </c:strRef>
          </c:tx>
          <c:spPr>
            <a:ln w="19050" cap="rnd">
              <a:solidFill>
                <a:schemeClr val="accent6">
                  <a:lumMod val="50000"/>
                </a:schemeClr>
              </a:solidFill>
              <a:round/>
            </a:ln>
            <a:effectLst/>
          </c:spPr>
          <c:marker>
            <c:symbol val="circle"/>
            <c:size val="5"/>
            <c:spPr>
              <a:solidFill>
                <a:schemeClr val="accent6">
                  <a:lumMod val="50000"/>
                </a:schemeClr>
              </a:solidFill>
              <a:ln w="9525">
                <a:solidFill>
                  <a:schemeClr val="accent6">
                    <a:lumMod val="50000"/>
                  </a:schemeClr>
                </a:solidFill>
              </a:ln>
              <a:effectLst/>
            </c:spPr>
          </c:marker>
          <c:xVal>
            <c:numRef>
              <c:f>('Sensitivity analysis - CC'!$AE$488,'Sensitivity analysis - CC'!$AG$488,'Sensitivity analysis - CC'!$AI$488)</c:f>
              <c:numCache>
                <c:formatCode>0%</c:formatCode>
                <c:ptCount val="3"/>
                <c:pt idx="0">
                  <c:v>1</c:v>
                </c:pt>
                <c:pt idx="1">
                  <c:v>1.5</c:v>
                </c:pt>
                <c:pt idx="2">
                  <c:v>2</c:v>
                </c:pt>
              </c:numCache>
            </c:numRef>
          </c:xVal>
          <c:yVal>
            <c:numRef>
              <c:f>('Sensitivity analysis - CC'!$AE$494,'Sensitivity analysis - CC'!$AG$494,'Sensitivity analysis - CC'!$AI$494)</c:f>
              <c:numCache>
                <c:formatCode>0.00E+00</c:formatCode>
                <c:ptCount val="3"/>
                <c:pt idx="0">
                  <c:v>-983.82071518288615</c:v>
                </c:pt>
                <c:pt idx="1">
                  <c:v>-980.92379966491671</c:v>
                </c:pt>
                <c:pt idx="2">
                  <c:v>-978.50970339994217</c:v>
                </c:pt>
              </c:numCache>
            </c:numRef>
          </c:yVal>
          <c:smooth val="0"/>
          <c:extLst>
            <c:ext xmlns:c16="http://schemas.microsoft.com/office/drawing/2014/chart" uri="{C3380CC4-5D6E-409C-BE32-E72D297353CC}">
              <c16:uniqueId val="{00000005-5738-4AB1-B792-209C0351DCF3}"/>
            </c:ext>
          </c:extLst>
        </c:ser>
        <c:ser>
          <c:idx val="6"/>
          <c:order val="6"/>
          <c:tx>
            <c:strRef>
              <c:f>'Sensitivity analysis - CC'!$Y$495</c:f>
              <c:strCache>
                <c:ptCount val="1"/>
                <c:pt idx="0">
                  <c:v>Sorbent type - amine on silica</c:v>
                </c:pt>
              </c:strCache>
            </c:strRef>
          </c:tx>
          <c:spPr>
            <a:ln w="19050" cap="rnd">
              <a:noFill/>
              <a:round/>
            </a:ln>
            <a:effectLst/>
          </c:spPr>
          <c:marker>
            <c:symbol val="square"/>
            <c:size val="5"/>
            <c:spPr>
              <a:solidFill>
                <a:srgbClr val="C00000"/>
              </a:solidFill>
              <a:ln w="9525">
                <a:solidFill>
                  <a:srgbClr val="C00000"/>
                </a:solidFill>
              </a:ln>
              <a:effectLst/>
            </c:spPr>
          </c:marker>
          <c:xVal>
            <c:numRef>
              <c:f>'Sensitivity analysis - CC'!$AE$488</c:f>
              <c:numCache>
                <c:formatCode>0%</c:formatCode>
                <c:ptCount val="1"/>
                <c:pt idx="0">
                  <c:v>1</c:v>
                </c:pt>
              </c:numCache>
            </c:numRef>
          </c:xVal>
          <c:yVal>
            <c:numRef>
              <c:f>'Sensitivity analysis - CC'!$AE$495</c:f>
              <c:numCache>
                <c:formatCode>0.00E+00</c:formatCode>
                <c:ptCount val="1"/>
                <c:pt idx="0">
                  <c:v>-981.0974443867027</c:v>
                </c:pt>
              </c:numCache>
            </c:numRef>
          </c:yVal>
          <c:smooth val="0"/>
          <c:extLst>
            <c:ext xmlns:c16="http://schemas.microsoft.com/office/drawing/2014/chart" uri="{C3380CC4-5D6E-409C-BE32-E72D297353CC}">
              <c16:uniqueId val="{00000007-5738-4AB1-B792-209C0351DCF3}"/>
            </c:ext>
          </c:extLst>
        </c:ser>
        <c:dLbls>
          <c:showLegendKey val="0"/>
          <c:showVal val="0"/>
          <c:showCatName val="0"/>
          <c:showSerName val="0"/>
          <c:showPercent val="0"/>
          <c:showBubbleSize val="0"/>
        </c:dLbls>
        <c:axId val="894438607"/>
        <c:axId val="1119274239"/>
      </c:scatterChart>
      <c:valAx>
        <c:axId val="894438607"/>
        <c:scaling>
          <c:orientation val="minMax"/>
          <c:max val="2.5"/>
          <c:min val="0"/>
        </c:scaling>
        <c:delete val="0"/>
        <c:axPos val="b"/>
        <c:majorGridlines>
          <c:spPr>
            <a:ln w="9525" cap="flat" cmpd="sng" algn="ctr">
              <a:solidFill>
                <a:schemeClr val="tx1">
                  <a:lumMod val="50000"/>
                  <a:lumOff val="50000"/>
                </a:schemeClr>
              </a:solidFill>
              <a:round/>
            </a:ln>
            <a:effectLst/>
          </c:spPr>
        </c:majorGridlines>
        <c:numFmt formatCode="0%" sourceLinked="1"/>
        <c:majorTickMark val="none"/>
        <c:minorTickMark val="none"/>
        <c:tickLblPos val="high"/>
        <c:spPr>
          <a:noFill/>
          <a:ln w="190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1119274239"/>
        <c:crosses val="autoZero"/>
        <c:crossBetween val="midCat"/>
      </c:valAx>
      <c:valAx>
        <c:axId val="1119274239"/>
        <c:scaling>
          <c:orientation val="minMax"/>
          <c:max val="-950"/>
          <c:min val="-1000"/>
        </c:scaling>
        <c:delete val="0"/>
        <c:axPos val="l"/>
        <c:majorGridlines>
          <c:spPr>
            <a:ln w="9525" cap="flat" cmpd="sng" algn="ctr">
              <a:solidFill>
                <a:schemeClr val="tx1">
                  <a:lumMod val="50000"/>
                  <a:lumOff val="50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r>
                  <a:rPr lang="nl-NL"/>
                  <a:t>Climate change</a:t>
                </a:r>
                <a:endParaRPr lang="nl-NL" sz="1000" b="0" i="0" u="none" strike="noStrike" baseline="0">
                  <a:effectLst/>
                </a:endParaRPr>
              </a:p>
              <a:p>
                <a:pPr>
                  <a:defRPr/>
                </a:pPr>
                <a:r>
                  <a:rPr lang="nl-NL" sz="1000" b="0" i="0" u="none" strike="noStrike" baseline="0">
                    <a:effectLst/>
                  </a:rPr>
                  <a:t>[kg CO</a:t>
                </a:r>
                <a:r>
                  <a:rPr lang="nl-NL" sz="1000" b="0" i="0" u="none" strike="noStrike" baseline="-25000">
                    <a:effectLst/>
                  </a:rPr>
                  <a:t>2-eq</a:t>
                </a:r>
                <a:r>
                  <a:rPr lang="nl-NL"/>
                  <a:t>/ton CO</a:t>
                </a:r>
                <a:r>
                  <a:rPr lang="nl-NL" baseline="-25000"/>
                  <a:t>2</a:t>
                </a:r>
                <a:r>
                  <a:rPr lang="nl-NL"/>
                  <a:t> captured and stored]</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894438607"/>
        <c:crosses val="autoZero"/>
        <c:crossBetween val="midCat"/>
      </c:valAx>
      <c:spPr>
        <a:noFill/>
        <a:ln w="19050">
          <a:solidFill>
            <a:schemeClr val="tx1"/>
          </a:solidFill>
        </a:ln>
        <a:effectLst/>
      </c:spPr>
    </c:plotArea>
    <c:legend>
      <c:legendPos val="r"/>
      <c:layout>
        <c:manualLayout>
          <c:xMode val="edge"/>
          <c:yMode val="edge"/>
          <c:x val="0.53718116324829401"/>
          <c:y val="6.9177319256384068E-2"/>
          <c:w val="0.27954164711576512"/>
          <c:h val="0.87651563750530548"/>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535209944394535"/>
          <c:y val="7.845160620140787E-2"/>
          <c:w val="0.71503138979994152"/>
          <c:h val="0.8960265999776722"/>
        </c:manualLayout>
      </c:layout>
      <c:scatterChart>
        <c:scatterStyle val="lineMarker"/>
        <c:varyColors val="0"/>
        <c:ser>
          <c:idx val="0"/>
          <c:order val="0"/>
          <c:tx>
            <c:strRef>
              <c:f>'Sensitivity analysis - CC'!$A$500</c:f>
              <c:strCache>
                <c:ptCount val="1"/>
                <c:pt idx="0">
                  <c:v>Material use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'Sensitivity analysis - CC'!$F$499:$G$499</c:f>
              <c:numCache>
                <c:formatCode>0%</c:formatCode>
                <c:ptCount val="2"/>
                <c:pt idx="0">
                  <c:v>0.8</c:v>
                </c:pt>
                <c:pt idx="1">
                  <c:v>1</c:v>
                </c:pt>
              </c:numCache>
            </c:numRef>
          </c:xVal>
          <c:yVal>
            <c:numRef>
              <c:f>'Sensitivity analysis - CC'!$F$500:$G$500</c:f>
              <c:numCache>
                <c:formatCode>0.00E+00</c:formatCode>
                <c:ptCount val="2"/>
                <c:pt idx="0">
                  <c:v>-762.82990460791359</c:v>
                </c:pt>
                <c:pt idx="1">
                  <c:v>-757.05881147837772</c:v>
                </c:pt>
              </c:numCache>
            </c:numRef>
          </c:yVal>
          <c:smooth val="0"/>
          <c:extLst>
            <c:ext xmlns:c16="http://schemas.microsoft.com/office/drawing/2014/chart" uri="{C3380CC4-5D6E-409C-BE32-E72D297353CC}">
              <c16:uniqueId val="{00000000-6E55-4287-827E-340EAE0B0965}"/>
            </c:ext>
          </c:extLst>
        </c:ser>
        <c:ser>
          <c:idx val="1"/>
          <c:order val="1"/>
          <c:tx>
            <c:strRef>
              <c:f>'Sensitivity analysis - CC'!$A$501</c:f>
              <c:strCache>
                <c:ptCount val="1"/>
                <c:pt idx="0">
                  <c:v>Energy use</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('Sensitivity analysis - CC'!$E$499,'Sensitivity analysis - CC'!$G$499,'Sensitivity analysis - CC'!$J$499)</c:f>
              <c:numCache>
                <c:formatCode>0%</c:formatCode>
                <c:ptCount val="3"/>
                <c:pt idx="0">
                  <c:v>0.67</c:v>
                </c:pt>
                <c:pt idx="1">
                  <c:v>1</c:v>
                </c:pt>
                <c:pt idx="2">
                  <c:v>1.67</c:v>
                </c:pt>
              </c:numCache>
            </c:numRef>
          </c:xVal>
          <c:yVal>
            <c:numRef>
              <c:f>('Sensitivity analysis - CC'!$E$501,'Sensitivity analysis - CC'!$G$501,'Sensitivity analysis - CC'!$J$501)</c:f>
              <c:numCache>
                <c:formatCode>0.00E+00</c:formatCode>
                <c:ptCount val="3"/>
                <c:pt idx="0">
                  <c:v>-780.68627324427416</c:v>
                </c:pt>
                <c:pt idx="1">
                  <c:v>-757.05881147837772</c:v>
                </c:pt>
                <c:pt idx="2">
                  <c:v>-709.80388794658461</c:v>
                </c:pt>
              </c:numCache>
            </c:numRef>
          </c:yVal>
          <c:smooth val="0"/>
          <c:extLst>
            <c:ext xmlns:c16="http://schemas.microsoft.com/office/drawing/2014/chart" uri="{C3380CC4-5D6E-409C-BE32-E72D297353CC}">
              <c16:uniqueId val="{00000001-6E55-4287-827E-340EAE0B0965}"/>
            </c:ext>
          </c:extLst>
        </c:ser>
        <c:ser>
          <c:idx val="2"/>
          <c:order val="2"/>
          <c:tx>
            <c:strRef>
              <c:f>'Sensitivity analysis - CC'!$A$502</c:f>
              <c:strCache>
                <c:ptCount val="1"/>
                <c:pt idx="0">
                  <c:v>Lifetime DAC system</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'Sensitivity analysis - CC'!$F$499:$G$499</c:f>
              <c:numCache>
                <c:formatCode>0%</c:formatCode>
                <c:ptCount val="2"/>
                <c:pt idx="0">
                  <c:v>0.8</c:v>
                </c:pt>
                <c:pt idx="1">
                  <c:v>1</c:v>
                </c:pt>
              </c:numCache>
            </c:numRef>
          </c:xVal>
          <c:yVal>
            <c:numRef>
              <c:f>'Sensitivity analysis - CC'!$F$502:$G$502</c:f>
              <c:numCache>
                <c:formatCode>0.00E+00</c:formatCode>
                <c:ptCount val="2"/>
                <c:pt idx="0">
                  <c:v>-696.32351434797215</c:v>
                </c:pt>
                <c:pt idx="1">
                  <c:v>-757.05881147837772</c:v>
                </c:pt>
              </c:numCache>
            </c:numRef>
          </c:yVal>
          <c:smooth val="0"/>
          <c:extLst>
            <c:ext xmlns:c16="http://schemas.microsoft.com/office/drawing/2014/chart" uri="{C3380CC4-5D6E-409C-BE32-E72D297353CC}">
              <c16:uniqueId val="{00000002-6E55-4287-827E-340EAE0B0965}"/>
            </c:ext>
          </c:extLst>
        </c:ser>
        <c:ser>
          <c:idx val="3"/>
          <c:order val="3"/>
          <c:tx>
            <c:strRef>
              <c:f>'Sensitivity analysis - CC'!$A$503</c:f>
              <c:strCache>
                <c:ptCount val="1"/>
                <c:pt idx="0">
                  <c:v>Lifetime sorbent material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('Sensitivity analysis - CC'!$C$499,'Sensitivity analysis - CC'!$G$499,'Sensitivity analysis - CC'!$J$499)</c:f>
              <c:numCache>
                <c:formatCode>0%</c:formatCode>
                <c:ptCount val="3"/>
                <c:pt idx="0">
                  <c:v>0.33</c:v>
                </c:pt>
                <c:pt idx="1">
                  <c:v>1</c:v>
                </c:pt>
                <c:pt idx="2">
                  <c:v>1.67</c:v>
                </c:pt>
              </c:numCache>
            </c:numRef>
          </c:xVal>
          <c:yVal>
            <c:numRef>
              <c:f>('Sensitivity analysis - CC'!$C$503,'Sensitivity analysis - CC'!$G$503,'Sensitivity analysis - CC'!$J$503)</c:f>
              <c:numCache>
                <c:formatCode>0.00E+00</c:formatCode>
                <c:ptCount val="3"/>
                <c:pt idx="0">
                  <c:v>-753.78134778470417</c:v>
                </c:pt>
                <c:pt idx="1">
                  <c:v>-757.05881147837772</c:v>
                </c:pt>
                <c:pt idx="2">
                  <c:v>-763.11486643224271</c:v>
                </c:pt>
              </c:numCache>
            </c:numRef>
          </c:yVal>
          <c:smooth val="0"/>
          <c:extLst>
            <c:ext xmlns:c16="http://schemas.microsoft.com/office/drawing/2014/chart" uri="{C3380CC4-5D6E-409C-BE32-E72D297353CC}">
              <c16:uniqueId val="{00000003-6E55-4287-827E-340EAE0B0965}"/>
            </c:ext>
          </c:extLst>
        </c:ser>
        <c:ser>
          <c:idx val="4"/>
          <c:order val="4"/>
          <c:tx>
            <c:strRef>
              <c:f>'Sensitivity analysis - CC'!$A$504</c:f>
              <c:strCache>
                <c:ptCount val="1"/>
                <c:pt idx="0">
                  <c:v>Capacity DAC unit</c:v>
                </c:pt>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numRef>
              <c:f>('Sensitivity analysis - CC'!$D$499,'Sensitivity analysis - CC'!$G$499,'Sensitivity analysis - CC'!$I$499)</c:f>
              <c:numCache>
                <c:formatCode>0%</c:formatCode>
                <c:ptCount val="3"/>
                <c:pt idx="0">
                  <c:v>0.5</c:v>
                </c:pt>
                <c:pt idx="1">
                  <c:v>1</c:v>
                </c:pt>
                <c:pt idx="2">
                  <c:v>1.5</c:v>
                </c:pt>
              </c:numCache>
            </c:numRef>
          </c:xVal>
          <c:yVal>
            <c:numRef>
              <c:f>('Sensitivity analysis - CC'!$D$504,'Sensitivity analysis - CC'!$G$504,'Sensitivity analysis - CC'!$I$504)</c:f>
              <c:numCache>
                <c:formatCode>0.00E+00</c:formatCode>
                <c:ptCount val="3"/>
                <c:pt idx="0">
                  <c:v>-514.11762295675533</c:v>
                </c:pt>
                <c:pt idx="1">
                  <c:v>-757.05881147837772</c:v>
                </c:pt>
                <c:pt idx="2">
                  <c:v>-838.03920765225178</c:v>
                </c:pt>
              </c:numCache>
            </c:numRef>
          </c:yVal>
          <c:smooth val="0"/>
          <c:extLst>
            <c:ext xmlns:c16="http://schemas.microsoft.com/office/drawing/2014/chart" uri="{C3380CC4-5D6E-409C-BE32-E72D297353CC}">
              <c16:uniqueId val="{00000004-6E55-4287-827E-340EAE0B0965}"/>
            </c:ext>
          </c:extLst>
        </c:ser>
        <c:ser>
          <c:idx val="5"/>
          <c:order val="5"/>
          <c:tx>
            <c:strRef>
              <c:f>'Sensitivity analysis - CC'!$A$505</c:f>
              <c:strCache>
                <c:ptCount val="1"/>
                <c:pt idx="0">
                  <c:v>Curtailment factor</c:v>
                </c:pt>
              </c:strCache>
            </c:strRef>
          </c:tx>
          <c:spPr>
            <a:ln w="19050"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xVal>
            <c:numRef>
              <c:f>('Sensitivity analysis - CC'!$B$499,'Sensitivity analysis - CC'!$D$499,'Sensitivity analysis - CC'!$G$499,'Sensitivity analysis - CC'!$I$499)</c:f>
              <c:numCache>
                <c:formatCode>0%</c:formatCode>
                <c:ptCount val="4"/>
                <c:pt idx="0">
                  <c:v>0</c:v>
                </c:pt>
                <c:pt idx="1">
                  <c:v>0.5</c:v>
                </c:pt>
                <c:pt idx="2">
                  <c:v>1</c:v>
                </c:pt>
                <c:pt idx="3">
                  <c:v>1.5</c:v>
                </c:pt>
              </c:numCache>
            </c:numRef>
          </c:xVal>
          <c:yVal>
            <c:numRef>
              <c:f>('Sensitivity analysis - CC'!$B$505,'Sensitivity analysis - CC'!$D$505,'Sensitivity analysis - CC'!$G$505,'Sensitivity analysis - CC'!$I$505)</c:f>
              <c:numCache>
                <c:formatCode>0.00</c:formatCode>
                <c:ptCount val="4"/>
                <c:pt idx="0">
                  <c:v>-792.50000412722238</c:v>
                </c:pt>
                <c:pt idx="1">
                  <c:v>-780.68627324427439</c:v>
                </c:pt>
                <c:pt idx="2" formatCode="0.00E+00">
                  <c:v>-757.05881147837772</c:v>
                </c:pt>
                <c:pt idx="3" formatCode="0.00E+00">
                  <c:v>-686.17642618068794</c:v>
                </c:pt>
              </c:numCache>
            </c:numRef>
          </c:yVal>
          <c:smooth val="0"/>
          <c:extLst>
            <c:ext xmlns:c16="http://schemas.microsoft.com/office/drawing/2014/chart" uri="{C3380CC4-5D6E-409C-BE32-E72D297353CC}">
              <c16:uniqueId val="{00000005-6E55-4287-827E-340EAE0B0965}"/>
            </c:ext>
          </c:extLst>
        </c:ser>
        <c:ser>
          <c:idx val="8"/>
          <c:order val="6"/>
          <c:tx>
            <c:strRef>
              <c:f>'Sensitivity analysis - CC'!$A$506</c:f>
              <c:strCache>
                <c:ptCount val="1"/>
                <c:pt idx="0">
                  <c:v>Battery capacity</c:v>
                </c:pt>
              </c:strCache>
            </c:strRef>
          </c:tx>
          <c:spPr>
            <a:ln w="19050" cap="rnd">
              <a:solidFill>
                <a:srgbClr val="FF4F4F"/>
              </a:solidFill>
              <a:round/>
            </a:ln>
            <a:effectLst/>
          </c:spPr>
          <c:marker>
            <c:symbol val="circle"/>
            <c:size val="5"/>
            <c:spPr>
              <a:solidFill>
                <a:srgbClr val="FF4F4F"/>
              </a:solidFill>
              <a:ln w="9525">
                <a:solidFill>
                  <a:srgbClr val="FF4F4F"/>
                </a:solidFill>
              </a:ln>
              <a:effectLst/>
            </c:spPr>
          </c:marker>
          <c:xVal>
            <c:numRef>
              <c:f>('Sensitivity analysis - CC'!$D$499,'Sensitivity analysis - CC'!$G$499,'Sensitivity analysis - CC'!$K$499)</c:f>
              <c:numCache>
                <c:formatCode>0%</c:formatCode>
                <c:ptCount val="3"/>
                <c:pt idx="0">
                  <c:v>0.5</c:v>
                </c:pt>
                <c:pt idx="1">
                  <c:v>1</c:v>
                </c:pt>
                <c:pt idx="2">
                  <c:v>2</c:v>
                </c:pt>
              </c:numCache>
            </c:numRef>
          </c:xVal>
          <c:yVal>
            <c:numRef>
              <c:f>('Sensitivity analysis - CC'!$D$506,'Sensitivity analysis - CC'!$G$506,'Sensitivity analysis - CC'!$K$506)</c:f>
              <c:numCache>
                <c:formatCode>0.00</c:formatCode>
                <c:ptCount val="3"/>
                <c:pt idx="0">
                  <c:v>-820.65091261645398</c:v>
                </c:pt>
                <c:pt idx="1">
                  <c:v>-757.05881147837772</c:v>
                </c:pt>
                <c:pt idx="2" formatCode="0.0">
                  <c:v>-519.27836017165407</c:v>
                </c:pt>
              </c:numCache>
            </c:numRef>
          </c:yVal>
          <c:smooth val="0"/>
          <c:extLst>
            <c:ext xmlns:c16="http://schemas.microsoft.com/office/drawing/2014/chart" uri="{C3380CC4-5D6E-409C-BE32-E72D297353CC}">
              <c16:uniqueId val="{00000008-6E55-4287-827E-340EAE0B0965}"/>
            </c:ext>
          </c:extLst>
        </c:ser>
        <c:ser>
          <c:idx val="9"/>
          <c:order val="7"/>
          <c:tx>
            <c:strRef>
              <c:f>'Sensitivity analysis - CC'!$A$507</c:f>
              <c:strCache>
                <c:ptCount val="1"/>
                <c:pt idx="0">
                  <c:v>Battery share factor</c:v>
                </c:pt>
              </c:strCache>
            </c:strRef>
          </c:tx>
          <c:spPr>
            <a:ln w="19050" cap="rnd">
              <a:solidFill>
                <a:srgbClr val="A4D3EA"/>
              </a:solidFill>
              <a:round/>
            </a:ln>
            <a:effectLst/>
          </c:spPr>
          <c:marker>
            <c:symbol val="circle"/>
            <c:size val="5"/>
            <c:spPr>
              <a:solidFill>
                <a:srgbClr val="A4D3EA"/>
              </a:solidFill>
              <a:ln w="9525">
                <a:solidFill>
                  <a:srgbClr val="A4D3EA"/>
                </a:solidFill>
              </a:ln>
              <a:effectLst/>
            </c:spPr>
          </c:marker>
          <c:xVal>
            <c:numRef>
              <c:f>('Sensitivity analysis - CC'!$D$499,'Sensitivity analysis - CC'!$G$499,'Sensitivity analysis - CC'!$I$499)</c:f>
              <c:numCache>
                <c:formatCode>0%</c:formatCode>
                <c:ptCount val="3"/>
                <c:pt idx="0">
                  <c:v>0.5</c:v>
                </c:pt>
                <c:pt idx="1">
                  <c:v>1</c:v>
                </c:pt>
                <c:pt idx="2">
                  <c:v>1.5</c:v>
                </c:pt>
              </c:numCache>
            </c:numRef>
          </c:xVal>
          <c:yVal>
            <c:numRef>
              <c:f>('Sensitivity analysis - CC'!$D$507,'Sensitivity analysis - CC'!$G$507,'Sensitivity analysis - CC'!$K$507)</c:f>
              <c:numCache>
                <c:formatCode>0.00</c:formatCode>
                <c:ptCount val="3"/>
                <c:pt idx="0">
                  <c:v>-757.05881147837772</c:v>
                </c:pt>
                <c:pt idx="1">
                  <c:v>-757.05881147837772</c:v>
                </c:pt>
                <c:pt idx="2" formatCode="0.0">
                  <c:v>-757.05881147837772</c:v>
                </c:pt>
              </c:numCache>
            </c:numRef>
          </c:yVal>
          <c:smooth val="0"/>
          <c:extLst>
            <c:ext xmlns:c16="http://schemas.microsoft.com/office/drawing/2014/chart" uri="{C3380CC4-5D6E-409C-BE32-E72D297353CC}">
              <c16:uniqueId val="{00000009-6E55-4287-827E-340EAE0B0965}"/>
            </c:ext>
          </c:extLst>
        </c:ser>
        <c:ser>
          <c:idx val="7"/>
          <c:order val="8"/>
          <c:tx>
            <c:strRef>
              <c:f>'Sensitivity analysis - CC'!$A$508</c:f>
              <c:strCache>
                <c:ptCount val="1"/>
                <c:pt idx="0">
                  <c:v>Sorbent type - amine on silica</c:v>
                </c:pt>
              </c:strCache>
            </c:strRef>
          </c:tx>
          <c:spPr>
            <a:ln w="19050" cap="rnd">
              <a:noFill/>
              <a:round/>
            </a:ln>
            <a:effectLst/>
          </c:spPr>
          <c:marker>
            <c:symbol val="square"/>
            <c:size val="5"/>
            <c:spPr>
              <a:solidFill>
                <a:srgbClr val="C00000"/>
              </a:solidFill>
              <a:ln w="9525">
                <a:solidFill>
                  <a:srgbClr val="C00000"/>
                </a:solidFill>
              </a:ln>
              <a:effectLst/>
            </c:spPr>
          </c:marker>
          <c:xVal>
            <c:numRef>
              <c:f>'Sensitivity analysis - CC'!$G$499</c:f>
              <c:numCache>
                <c:formatCode>0%</c:formatCode>
                <c:ptCount val="1"/>
                <c:pt idx="0">
                  <c:v>1</c:v>
                </c:pt>
              </c:numCache>
            </c:numRef>
          </c:xVal>
          <c:yVal>
            <c:numRef>
              <c:f>'Sensitivity analysis - CC'!$G$508</c:f>
              <c:numCache>
                <c:formatCode>0.00E+00</c:formatCode>
                <c:ptCount val="1"/>
                <c:pt idx="0">
                  <c:v>-747.34011979808201</c:v>
                </c:pt>
              </c:numCache>
            </c:numRef>
          </c:yVal>
          <c:smooth val="0"/>
          <c:extLst>
            <c:ext xmlns:c16="http://schemas.microsoft.com/office/drawing/2014/chart" uri="{C3380CC4-5D6E-409C-BE32-E72D297353CC}">
              <c16:uniqueId val="{00000007-6E55-4287-827E-340EAE0B0965}"/>
            </c:ext>
          </c:extLst>
        </c:ser>
        <c:dLbls>
          <c:showLegendKey val="0"/>
          <c:showVal val="0"/>
          <c:showCatName val="0"/>
          <c:showSerName val="0"/>
          <c:showPercent val="0"/>
          <c:showBubbleSize val="0"/>
        </c:dLbls>
        <c:axId val="894438607"/>
        <c:axId val="1119274239"/>
      </c:scatterChart>
      <c:valAx>
        <c:axId val="894438607"/>
        <c:scaling>
          <c:orientation val="minMax"/>
          <c:max val="2.5"/>
          <c:min val="0"/>
        </c:scaling>
        <c:delete val="0"/>
        <c:axPos val="b"/>
        <c:majorGridlines>
          <c:spPr>
            <a:ln w="9525" cap="flat" cmpd="sng" algn="ctr">
              <a:solidFill>
                <a:schemeClr val="tx1">
                  <a:lumMod val="50000"/>
                  <a:lumOff val="50000"/>
                </a:schemeClr>
              </a:solidFill>
              <a:round/>
            </a:ln>
            <a:effectLst/>
          </c:spPr>
        </c:majorGridlines>
        <c:numFmt formatCode="0%" sourceLinked="1"/>
        <c:majorTickMark val="none"/>
        <c:minorTickMark val="none"/>
        <c:tickLblPos val="high"/>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1119274239"/>
        <c:crosses val="autoZero"/>
        <c:crossBetween val="midCat"/>
      </c:valAx>
      <c:valAx>
        <c:axId val="1119274239"/>
        <c:scaling>
          <c:orientation val="minMax"/>
          <c:max val="-400"/>
          <c:min val="-1000"/>
        </c:scaling>
        <c:delete val="0"/>
        <c:axPos val="l"/>
        <c:majorGridlines>
          <c:spPr>
            <a:ln w="9525" cap="flat" cmpd="sng" algn="ctr">
              <a:solidFill>
                <a:schemeClr val="tx1">
                  <a:lumMod val="50000"/>
                  <a:lumOff val="50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r>
                  <a:rPr lang="nl-NL"/>
                  <a:t>Climate change</a:t>
                </a:r>
              </a:p>
              <a:p>
                <a:pPr>
                  <a:defRPr/>
                </a:pPr>
                <a:r>
                  <a:rPr lang="nl-NL"/>
                  <a:t>[kg CO</a:t>
                </a:r>
                <a:r>
                  <a:rPr lang="nl-NL" baseline="-25000"/>
                  <a:t>2-eq</a:t>
                </a:r>
                <a:r>
                  <a:rPr lang="nl-NL"/>
                  <a:t>/ton CO</a:t>
                </a:r>
                <a:r>
                  <a:rPr lang="nl-NL" baseline="-25000"/>
                  <a:t>2</a:t>
                </a:r>
                <a:r>
                  <a:rPr lang="nl-NL"/>
                  <a:t> captured and stored]</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894438607"/>
        <c:crosses val="autoZero"/>
        <c:crossBetween val="midCat"/>
      </c:valAx>
      <c:spPr>
        <a:noFill/>
        <a:ln w="19050">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09639531099222"/>
          <c:y val="7.47783341432324E-2"/>
          <c:w val="0.72032706571577043"/>
          <c:h val="0.90236490531223368"/>
        </c:manualLayout>
      </c:layout>
      <c:scatterChart>
        <c:scatterStyle val="lineMarker"/>
        <c:varyColors val="0"/>
        <c:ser>
          <c:idx val="0"/>
          <c:order val="0"/>
          <c:tx>
            <c:strRef>
              <c:f>'Sensitivity analysis - CC'!$A$500</c:f>
              <c:strCache>
                <c:ptCount val="1"/>
                <c:pt idx="0">
                  <c:v>Material use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'Sensitivity analysis - CC'!$F$499:$G$499</c:f>
              <c:numCache>
                <c:formatCode>0%</c:formatCode>
                <c:ptCount val="2"/>
                <c:pt idx="0">
                  <c:v>0.8</c:v>
                </c:pt>
                <c:pt idx="1">
                  <c:v>1</c:v>
                </c:pt>
              </c:numCache>
            </c:numRef>
          </c:xVal>
          <c:yVal>
            <c:numRef>
              <c:f>'Sensitivity analysis - CC'!$R$500:$T$500</c:f>
              <c:numCache>
                <c:formatCode>0.00E+00</c:formatCode>
                <c:ptCount val="3"/>
                <c:pt idx="0">
                  <c:v>-828.69382856301763</c:v>
                </c:pt>
                <c:pt idx="1">
                  <c:v>-823.39328085256852</c:v>
                </c:pt>
                <c:pt idx="2">
                  <c:v>-818.09273314211964</c:v>
                </c:pt>
              </c:numCache>
            </c:numRef>
          </c:yVal>
          <c:smooth val="0"/>
          <c:extLst>
            <c:ext xmlns:c16="http://schemas.microsoft.com/office/drawing/2014/chart" uri="{C3380CC4-5D6E-409C-BE32-E72D297353CC}">
              <c16:uniqueId val="{00000000-5AC7-4D04-BFB6-7C59EC5EA225}"/>
            </c:ext>
          </c:extLst>
        </c:ser>
        <c:ser>
          <c:idx val="1"/>
          <c:order val="1"/>
          <c:tx>
            <c:strRef>
              <c:f>'Sensitivity analysis - CC'!$A$501</c:f>
              <c:strCache>
                <c:ptCount val="1"/>
                <c:pt idx="0">
                  <c:v>Energy use</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('Sensitivity analysis - CC'!$E$499,'Sensitivity analysis - CC'!$G$499,'Sensitivity analysis - CC'!$J$499)</c:f>
              <c:numCache>
                <c:formatCode>0%</c:formatCode>
                <c:ptCount val="3"/>
                <c:pt idx="0">
                  <c:v>0.67</c:v>
                </c:pt>
                <c:pt idx="1">
                  <c:v>1</c:v>
                </c:pt>
                <c:pt idx="2">
                  <c:v>1.67</c:v>
                </c:pt>
              </c:numCache>
            </c:numRef>
          </c:xVal>
          <c:yVal>
            <c:numRef>
              <c:f>('Sensitivity analysis - CC'!$Q$501,'Sensitivity analysis - CC'!$S$501,'Sensitivity analysis - CC'!$V$501)</c:f>
              <c:numCache>
                <c:formatCode>0.00E+00</c:formatCode>
                <c:ptCount val="3"/>
                <c:pt idx="0">
                  <c:v>-840.19615207555853</c:v>
                </c:pt>
                <c:pt idx="1">
                  <c:v>-823.39328085256852</c:v>
                </c:pt>
                <c:pt idx="2">
                  <c:v>-789.78753840658885</c:v>
                </c:pt>
              </c:numCache>
            </c:numRef>
          </c:yVal>
          <c:smooth val="0"/>
          <c:extLst>
            <c:ext xmlns:c16="http://schemas.microsoft.com/office/drawing/2014/chart" uri="{C3380CC4-5D6E-409C-BE32-E72D297353CC}">
              <c16:uniqueId val="{00000001-5AC7-4D04-BFB6-7C59EC5EA225}"/>
            </c:ext>
          </c:extLst>
        </c:ser>
        <c:ser>
          <c:idx val="2"/>
          <c:order val="2"/>
          <c:tx>
            <c:strRef>
              <c:f>'Sensitivity analysis - CC'!$A$502</c:f>
              <c:strCache>
                <c:ptCount val="1"/>
                <c:pt idx="0">
                  <c:v>Lifetime DAC system</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'Sensitivity analysis - CC'!$F$499:$G$499</c:f>
              <c:numCache>
                <c:formatCode>0%</c:formatCode>
                <c:ptCount val="2"/>
                <c:pt idx="0">
                  <c:v>0.8</c:v>
                </c:pt>
                <c:pt idx="1">
                  <c:v>1</c:v>
                </c:pt>
              </c:numCache>
            </c:numRef>
          </c:xVal>
          <c:yVal>
            <c:numRef>
              <c:f>'Sensitivity analysis - CC'!$R$502:$S$502</c:f>
              <c:numCache>
                <c:formatCode>0.00E+00</c:formatCode>
                <c:ptCount val="2"/>
                <c:pt idx="0">
                  <c:v>-779.24160106571082</c:v>
                </c:pt>
                <c:pt idx="1">
                  <c:v>-823.39328085256864</c:v>
                </c:pt>
              </c:numCache>
            </c:numRef>
          </c:yVal>
          <c:smooth val="0"/>
          <c:extLst>
            <c:ext xmlns:c16="http://schemas.microsoft.com/office/drawing/2014/chart" uri="{C3380CC4-5D6E-409C-BE32-E72D297353CC}">
              <c16:uniqueId val="{00000002-5AC7-4D04-BFB6-7C59EC5EA225}"/>
            </c:ext>
          </c:extLst>
        </c:ser>
        <c:ser>
          <c:idx val="3"/>
          <c:order val="3"/>
          <c:tx>
            <c:strRef>
              <c:f>'Sensitivity analysis - CC'!$A$503</c:f>
              <c:strCache>
                <c:ptCount val="1"/>
                <c:pt idx="0">
                  <c:v>Lifetime sorbent material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('Sensitivity analysis - CC'!$C$499,'Sensitivity analysis - CC'!$G$499,'Sensitivity analysis - CC'!$J$499)</c:f>
              <c:numCache>
                <c:formatCode>0%</c:formatCode>
                <c:ptCount val="3"/>
                <c:pt idx="0">
                  <c:v>0.33</c:v>
                </c:pt>
                <c:pt idx="1">
                  <c:v>1</c:v>
                </c:pt>
                <c:pt idx="2">
                  <c:v>1.67</c:v>
                </c:pt>
              </c:numCache>
            </c:numRef>
          </c:xVal>
          <c:yVal>
            <c:numRef>
              <c:f>('Sensitivity analysis - CC'!$O$503,'Sensitivity analysis - CC'!$S$503,'Sensitivity analysis - CC'!$V$503)</c:f>
              <c:numCache>
                <c:formatCode>0.00E+00</c:formatCode>
                <c:ptCount val="3"/>
                <c:pt idx="0">
                  <c:v>-820.65702143078806</c:v>
                </c:pt>
                <c:pt idx="1">
                  <c:v>-823.39328085256852</c:v>
                </c:pt>
                <c:pt idx="2">
                  <c:v>-828.44438406269933</c:v>
                </c:pt>
              </c:numCache>
            </c:numRef>
          </c:yVal>
          <c:smooth val="0"/>
          <c:extLst>
            <c:ext xmlns:c16="http://schemas.microsoft.com/office/drawing/2014/chart" uri="{C3380CC4-5D6E-409C-BE32-E72D297353CC}">
              <c16:uniqueId val="{00000003-5AC7-4D04-BFB6-7C59EC5EA225}"/>
            </c:ext>
          </c:extLst>
        </c:ser>
        <c:ser>
          <c:idx val="4"/>
          <c:order val="4"/>
          <c:tx>
            <c:strRef>
              <c:f>'Sensitivity analysis - CC'!$A$504</c:f>
              <c:strCache>
                <c:ptCount val="1"/>
                <c:pt idx="0">
                  <c:v>Capacity DAC unit</c:v>
                </c:pt>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numRef>
              <c:f>('Sensitivity analysis - CC'!$D$499,'Sensitivity analysis - CC'!$G$499,'Sensitivity analysis - CC'!$I$499)</c:f>
              <c:numCache>
                <c:formatCode>0%</c:formatCode>
                <c:ptCount val="3"/>
                <c:pt idx="0">
                  <c:v>0.5</c:v>
                </c:pt>
                <c:pt idx="1">
                  <c:v>1</c:v>
                </c:pt>
                <c:pt idx="2">
                  <c:v>1.5</c:v>
                </c:pt>
              </c:numCache>
            </c:numRef>
          </c:xVal>
          <c:yVal>
            <c:numRef>
              <c:f>('Sensitivity analysis - CC'!$P$504,'Sensitivity analysis - CC'!$S$504,'Sensitivity analysis - CC'!$U$504)</c:f>
              <c:numCache>
                <c:formatCode>0.00E+00</c:formatCode>
                <c:ptCount val="3"/>
                <c:pt idx="0">
                  <c:v>-646.78656170513727</c:v>
                </c:pt>
                <c:pt idx="1">
                  <c:v>-823.39328085256864</c:v>
                </c:pt>
                <c:pt idx="2">
                  <c:v>-882.26218723504576</c:v>
                </c:pt>
              </c:numCache>
            </c:numRef>
          </c:yVal>
          <c:smooth val="0"/>
          <c:extLst>
            <c:ext xmlns:c16="http://schemas.microsoft.com/office/drawing/2014/chart" uri="{C3380CC4-5D6E-409C-BE32-E72D297353CC}">
              <c16:uniqueId val="{00000004-5AC7-4D04-BFB6-7C59EC5EA225}"/>
            </c:ext>
          </c:extLst>
        </c:ser>
        <c:ser>
          <c:idx val="5"/>
          <c:order val="5"/>
          <c:tx>
            <c:strRef>
              <c:f>'Sensitivity analysis - CC'!$A$505</c:f>
              <c:strCache>
                <c:ptCount val="1"/>
                <c:pt idx="0">
                  <c:v>Curtailment factor</c:v>
                </c:pt>
              </c:strCache>
            </c:strRef>
          </c:tx>
          <c:spPr>
            <a:ln w="19050"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xVal>
            <c:numRef>
              <c:f>('Sensitivity analysis - CC'!$B$499,'Sensitivity analysis - CC'!$D$499,'Sensitivity analysis - CC'!$G$499,'Sensitivity analysis - CC'!$I$499)</c:f>
              <c:numCache>
                <c:formatCode>0%</c:formatCode>
                <c:ptCount val="4"/>
                <c:pt idx="0">
                  <c:v>0</c:v>
                </c:pt>
                <c:pt idx="1">
                  <c:v>0.5</c:v>
                </c:pt>
                <c:pt idx="2">
                  <c:v>1</c:v>
                </c:pt>
                <c:pt idx="3">
                  <c:v>1.5</c:v>
                </c:pt>
              </c:numCache>
            </c:numRef>
          </c:xVal>
          <c:yVal>
            <c:numRef>
              <c:f>('Sensitivity analysis - CC'!$N$505,'Sensitivity analysis - CC'!$P$505,'Sensitivity analysis - CC'!$S$505,'Sensitivity analysis - CC'!$U$505)</c:f>
              <c:numCache>
                <c:formatCode>0.00</c:formatCode>
                <c:ptCount val="4"/>
                <c:pt idx="0">
                  <c:v>-848.59758768705365</c:v>
                </c:pt>
                <c:pt idx="1">
                  <c:v>-840.19615207555853</c:v>
                </c:pt>
                <c:pt idx="2" formatCode="0.00E+00">
                  <c:v>-823.39328085256852</c:v>
                </c:pt>
                <c:pt idx="3" formatCode="0.00E+00">
                  <c:v>-772.98466718359907</c:v>
                </c:pt>
              </c:numCache>
            </c:numRef>
          </c:yVal>
          <c:smooth val="0"/>
          <c:extLst>
            <c:ext xmlns:c16="http://schemas.microsoft.com/office/drawing/2014/chart" uri="{C3380CC4-5D6E-409C-BE32-E72D297353CC}">
              <c16:uniqueId val="{00000005-5AC7-4D04-BFB6-7C59EC5EA225}"/>
            </c:ext>
          </c:extLst>
        </c:ser>
        <c:ser>
          <c:idx val="8"/>
          <c:order val="6"/>
          <c:tx>
            <c:strRef>
              <c:f>'Sensitivity analysis - CC'!$A$506</c:f>
              <c:strCache>
                <c:ptCount val="1"/>
                <c:pt idx="0">
                  <c:v>Battery capacity</c:v>
                </c:pt>
              </c:strCache>
            </c:strRef>
          </c:tx>
          <c:spPr>
            <a:ln w="19050" cap="rnd">
              <a:solidFill>
                <a:srgbClr val="FF4F4F"/>
              </a:solidFill>
              <a:round/>
            </a:ln>
            <a:effectLst/>
          </c:spPr>
          <c:marker>
            <c:symbol val="circle"/>
            <c:size val="5"/>
            <c:spPr>
              <a:solidFill>
                <a:srgbClr val="FF4F4F"/>
              </a:solidFill>
              <a:ln w="9525">
                <a:solidFill>
                  <a:srgbClr val="FF4F4F"/>
                </a:solidFill>
              </a:ln>
              <a:effectLst/>
            </c:spPr>
          </c:marker>
          <c:xVal>
            <c:numRef>
              <c:f>('Sensitivity analysis - CC'!$D$499,'Sensitivity analysis - CC'!$G$499,'Sensitivity analysis - CC'!$K$499)</c:f>
              <c:numCache>
                <c:formatCode>0%</c:formatCode>
                <c:ptCount val="3"/>
                <c:pt idx="0">
                  <c:v>0.5</c:v>
                </c:pt>
                <c:pt idx="1">
                  <c:v>1</c:v>
                </c:pt>
                <c:pt idx="2">
                  <c:v>2</c:v>
                </c:pt>
              </c:numCache>
            </c:numRef>
          </c:xVal>
          <c:yVal>
            <c:numRef>
              <c:f>('Sensitivity analysis - CC'!$P$506,'Sensitivity analysis - CC'!$S$506,'Sensitivity analysis - CC'!$W$506)</c:f>
              <c:numCache>
                <c:formatCode>0.00</c:formatCode>
                <c:ptCount val="3"/>
                <c:pt idx="0">
                  <c:v>-881.23538222585466</c:v>
                </c:pt>
                <c:pt idx="1">
                  <c:v>-823.39328085256852</c:v>
                </c:pt>
                <c:pt idx="2" formatCode="0.0">
                  <c:v>-607.5268135717489</c:v>
                </c:pt>
              </c:numCache>
            </c:numRef>
          </c:yVal>
          <c:smooth val="0"/>
          <c:extLst>
            <c:ext xmlns:c16="http://schemas.microsoft.com/office/drawing/2014/chart" uri="{C3380CC4-5D6E-409C-BE32-E72D297353CC}">
              <c16:uniqueId val="{00000006-5AC7-4D04-BFB6-7C59EC5EA225}"/>
            </c:ext>
          </c:extLst>
        </c:ser>
        <c:ser>
          <c:idx val="9"/>
          <c:order val="7"/>
          <c:tx>
            <c:strRef>
              <c:f>'Sensitivity analysis - CC'!$A$507</c:f>
              <c:strCache>
                <c:ptCount val="1"/>
                <c:pt idx="0">
                  <c:v>Battery share factor</c:v>
                </c:pt>
              </c:strCache>
            </c:strRef>
          </c:tx>
          <c:spPr>
            <a:ln w="19050" cap="rnd">
              <a:solidFill>
                <a:srgbClr val="A4D3EA"/>
              </a:solidFill>
              <a:round/>
            </a:ln>
            <a:effectLst/>
          </c:spPr>
          <c:marker>
            <c:symbol val="circle"/>
            <c:size val="5"/>
            <c:spPr>
              <a:solidFill>
                <a:srgbClr val="A4D3EA"/>
              </a:solidFill>
              <a:ln w="9525">
                <a:solidFill>
                  <a:srgbClr val="A4D3EA"/>
                </a:solidFill>
              </a:ln>
              <a:effectLst/>
            </c:spPr>
          </c:marker>
          <c:xVal>
            <c:numRef>
              <c:f>('Sensitivity analysis - CC'!$D$499,'Sensitivity analysis - CC'!$G$499,'Sensitivity analysis - CC'!$I$499)</c:f>
              <c:numCache>
                <c:formatCode>0%</c:formatCode>
                <c:ptCount val="3"/>
                <c:pt idx="0">
                  <c:v>0.5</c:v>
                </c:pt>
                <c:pt idx="1">
                  <c:v>1</c:v>
                </c:pt>
                <c:pt idx="2">
                  <c:v>1.5</c:v>
                </c:pt>
              </c:numCache>
            </c:numRef>
          </c:xVal>
          <c:yVal>
            <c:numRef>
              <c:f>('Sensitivity analysis - CC'!$P$507,'Sensitivity analysis - CC'!$S$507,'Sensitivity analysis - CC'!$W$507)</c:f>
              <c:numCache>
                <c:formatCode>0.00</c:formatCode>
                <c:ptCount val="3"/>
                <c:pt idx="0">
                  <c:v>-823.39328085256852</c:v>
                </c:pt>
                <c:pt idx="1">
                  <c:v>-823.39328085256852</c:v>
                </c:pt>
                <c:pt idx="2" formatCode="0.0">
                  <c:v>-823.39328085256852</c:v>
                </c:pt>
              </c:numCache>
            </c:numRef>
          </c:yVal>
          <c:smooth val="0"/>
          <c:extLst>
            <c:ext xmlns:c16="http://schemas.microsoft.com/office/drawing/2014/chart" uri="{C3380CC4-5D6E-409C-BE32-E72D297353CC}">
              <c16:uniqueId val="{00000007-5AC7-4D04-BFB6-7C59EC5EA225}"/>
            </c:ext>
          </c:extLst>
        </c:ser>
        <c:ser>
          <c:idx val="7"/>
          <c:order val="8"/>
          <c:tx>
            <c:strRef>
              <c:f>'Sensitivity analysis - CC'!$A$508</c:f>
              <c:strCache>
                <c:ptCount val="1"/>
                <c:pt idx="0">
                  <c:v>Sorbent type - amine on silica</c:v>
                </c:pt>
              </c:strCache>
            </c:strRef>
          </c:tx>
          <c:spPr>
            <a:ln w="19050" cap="rnd">
              <a:noFill/>
              <a:round/>
            </a:ln>
            <a:effectLst/>
          </c:spPr>
          <c:marker>
            <c:symbol val="square"/>
            <c:size val="5"/>
            <c:spPr>
              <a:solidFill>
                <a:srgbClr val="C00000"/>
              </a:solidFill>
              <a:ln w="9525">
                <a:solidFill>
                  <a:srgbClr val="C00000"/>
                </a:solidFill>
              </a:ln>
              <a:effectLst/>
            </c:spPr>
          </c:marker>
          <c:xVal>
            <c:numRef>
              <c:f>'Sensitivity analysis - CC'!$G$499</c:f>
              <c:numCache>
                <c:formatCode>0%</c:formatCode>
                <c:ptCount val="1"/>
                <c:pt idx="0">
                  <c:v>1</c:v>
                </c:pt>
              </c:numCache>
            </c:numRef>
          </c:xVal>
          <c:yVal>
            <c:numRef>
              <c:f>'Sensitivity analysis - CC'!$S$508</c:f>
              <c:numCache>
                <c:formatCode>0.00E+00</c:formatCode>
                <c:ptCount val="1"/>
                <c:pt idx="0">
                  <c:v>-816.12846990371054</c:v>
                </c:pt>
              </c:numCache>
            </c:numRef>
          </c:yVal>
          <c:smooth val="0"/>
          <c:extLst>
            <c:ext xmlns:c16="http://schemas.microsoft.com/office/drawing/2014/chart" uri="{C3380CC4-5D6E-409C-BE32-E72D297353CC}">
              <c16:uniqueId val="{00000009-5AC7-4D04-BFB6-7C59EC5EA225}"/>
            </c:ext>
          </c:extLst>
        </c:ser>
        <c:dLbls>
          <c:showLegendKey val="0"/>
          <c:showVal val="0"/>
          <c:showCatName val="0"/>
          <c:showSerName val="0"/>
          <c:showPercent val="0"/>
          <c:showBubbleSize val="0"/>
        </c:dLbls>
        <c:axId val="894438607"/>
        <c:axId val="1119274239"/>
      </c:scatterChart>
      <c:valAx>
        <c:axId val="894438607"/>
        <c:scaling>
          <c:orientation val="minMax"/>
          <c:max val="2.5"/>
          <c:min val="0"/>
        </c:scaling>
        <c:delete val="0"/>
        <c:axPos val="b"/>
        <c:majorGridlines>
          <c:spPr>
            <a:ln w="9525" cap="flat" cmpd="sng" algn="ctr">
              <a:solidFill>
                <a:schemeClr val="tx1">
                  <a:lumMod val="50000"/>
                  <a:lumOff val="50000"/>
                </a:schemeClr>
              </a:solidFill>
              <a:round/>
            </a:ln>
            <a:effectLst/>
          </c:spPr>
        </c:majorGridlines>
        <c:numFmt formatCode="0%" sourceLinked="1"/>
        <c:majorTickMark val="none"/>
        <c:minorTickMark val="none"/>
        <c:tickLblPos val="high"/>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1119274239"/>
        <c:crosses val="autoZero"/>
        <c:crossBetween val="midCat"/>
      </c:valAx>
      <c:valAx>
        <c:axId val="1119274239"/>
        <c:scaling>
          <c:orientation val="minMax"/>
          <c:max val="-600"/>
          <c:min val="-1000"/>
        </c:scaling>
        <c:delete val="0"/>
        <c:axPos val="l"/>
        <c:majorGridlines>
          <c:spPr>
            <a:ln w="9525" cap="flat" cmpd="sng" algn="ctr">
              <a:solidFill>
                <a:schemeClr val="tx1">
                  <a:lumMod val="50000"/>
                  <a:lumOff val="50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r>
                  <a:rPr lang="nl-NL"/>
                  <a:t>Climate change</a:t>
                </a:r>
              </a:p>
              <a:p>
                <a:pPr>
                  <a:defRPr/>
                </a:pPr>
                <a:r>
                  <a:rPr lang="nl-NL"/>
                  <a:t>[kg CO</a:t>
                </a:r>
                <a:r>
                  <a:rPr lang="nl-NL" baseline="-25000"/>
                  <a:t>2-eq</a:t>
                </a:r>
                <a:r>
                  <a:rPr lang="nl-NL"/>
                  <a:t>/ton CO</a:t>
                </a:r>
                <a:r>
                  <a:rPr lang="nl-NL" baseline="-25000"/>
                  <a:t>2</a:t>
                </a:r>
                <a:r>
                  <a:rPr lang="nl-NL"/>
                  <a:t> captured and stored]</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894438607"/>
        <c:crosses val="autoZero"/>
        <c:crossBetween val="midCat"/>
      </c:valAx>
      <c:spPr>
        <a:noFill/>
        <a:ln w="19050">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440350358354238"/>
          <c:y val="7.3598813469449673E-2"/>
          <c:w val="0.4165781277953638"/>
          <c:h val="0.90079367086536155"/>
        </c:manualLayout>
      </c:layout>
      <c:scatterChart>
        <c:scatterStyle val="lineMarker"/>
        <c:varyColors val="0"/>
        <c:ser>
          <c:idx val="0"/>
          <c:order val="0"/>
          <c:tx>
            <c:strRef>
              <c:f>'Sensitivity analysis - CC'!$A$500</c:f>
              <c:strCache>
                <c:ptCount val="1"/>
                <c:pt idx="0">
                  <c:v>Material use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'Sensitivity analysis - CC'!$F$499:$G$499</c:f>
              <c:numCache>
                <c:formatCode>0%</c:formatCode>
                <c:ptCount val="2"/>
                <c:pt idx="0">
                  <c:v>0.8</c:v>
                </c:pt>
                <c:pt idx="1">
                  <c:v>1</c:v>
                </c:pt>
              </c:numCache>
            </c:numRef>
          </c:xVal>
          <c:yVal>
            <c:numRef>
              <c:f>'Sensitivity analysis - CC'!$AD$500:$AE$500</c:f>
              <c:numCache>
                <c:formatCode>0.00E+00</c:formatCode>
                <c:ptCount val="2"/>
                <c:pt idx="0">
                  <c:v>-883.34394490341003</c:v>
                </c:pt>
                <c:pt idx="1">
                  <c:v>-879.31338914441756</c:v>
                </c:pt>
              </c:numCache>
            </c:numRef>
          </c:yVal>
          <c:smooth val="0"/>
          <c:extLst>
            <c:ext xmlns:c16="http://schemas.microsoft.com/office/drawing/2014/chart" uri="{C3380CC4-5D6E-409C-BE32-E72D297353CC}">
              <c16:uniqueId val="{00000000-7FA3-4A35-BC5A-5928F79A9F7B}"/>
            </c:ext>
          </c:extLst>
        </c:ser>
        <c:ser>
          <c:idx val="1"/>
          <c:order val="1"/>
          <c:tx>
            <c:strRef>
              <c:f>'Sensitivity analysis - CC'!$A$501</c:f>
              <c:strCache>
                <c:ptCount val="1"/>
                <c:pt idx="0">
                  <c:v>Energy use</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('Sensitivity analysis - CC'!$E$499,'Sensitivity analysis - CC'!$G$499,'Sensitivity analysis - CC'!$J$499)</c:f>
              <c:numCache>
                <c:formatCode>0%</c:formatCode>
                <c:ptCount val="3"/>
                <c:pt idx="0">
                  <c:v>0.67</c:v>
                </c:pt>
                <c:pt idx="1">
                  <c:v>1</c:v>
                </c:pt>
                <c:pt idx="2">
                  <c:v>1.67</c:v>
                </c:pt>
              </c:numCache>
            </c:numRef>
          </c:xVal>
          <c:yVal>
            <c:numRef>
              <c:f>('Sensitivity analysis - CC'!$AC$501,'Sensitivity analysis - CC'!$AE$501,'Sensitivity analysis - CC'!$AH$501)</c:f>
              <c:numCache>
                <c:formatCode>0.00E+00</c:formatCode>
                <c:ptCount val="3"/>
                <c:pt idx="0">
                  <c:v>-892.22787038973252</c:v>
                </c:pt>
                <c:pt idx="1">
                  <c:v>-879.31338914441756</c:v>
                </c:pt>
                <c:pt idx="2">
                  <c:v>-853.48442665378775</c:v>
                </c:pt>
              </c:numCache>
            </c:numRef>
          </c:yVal>
          <c:smooth val="0"/>
          <c:extLst>
            <c:ext xmlns:c16="http://schemas.microsoft.com/office/drawing/2014/chart" uri="{C3380CC4-5D6E-409C-BE32-E72D297353CC}">
              <c16:uniqueId val="{00000001-7FA3-4A35-BC5A-5928F79A9F7B}"/>
            </c:ext>
          </c:extLst>
        </c:ser>
        <c:ser>
          <c:idx val="2"/>
          <c:order val="2"/>
          <c:tx>
            <c:strRef>
              <c:f>'Sensitivity analysis - CC'!$A$502</c:f>
              <c:strCache>
                <c:ptCount val="1"/>
                <c:pt idx="0">
                  <c:v>Lifetime DAC system</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'Sensitivity analysis - CC'!$F$499:$G$499</c:f>
              <c:numCache>
                <c:formatCode>0%</c:formatCode>
                <c:ptCount val="2"/>
                <c:pt idx="0">
                  <c:v>0.8</c:v>
                </c:pt>
                <c:pt idx="1">
                  <c:v>1</c:v>
                </c:pt>
              </c:numCache>
            </c:numRef>
          </c:xVal>
          <c:yVal>
            <c:numRef>
              <c:f>'Sensitivity analysis - CC'!$AD$502:$AE$502</c:f>
              <c:numCache>
                <c:formatCode>0.00E+00</c:formatCode>
                <c:ptCount val="2"/>
                <c:pt idx="0">
                  <c:v>-849.14173643052209</c:v>
                </c:pt>
                <c:pt idx="1">
                  <c:v>-879.31338914441767</c:v>
                </c:pt>
              </c:numCache>
            </c:numRef>
          </c:yVal>
          <c:smooth val="0"/>
          <c:extLst>
            <c:ext xmlns:c16="http://schemas.microsoft.com/office/drawing/2014/chart" uri="{C3380CC4-5D6E-409C-BE32-E72D297353CC}">
              <c16:uniqueId val="{00000002-7FA3-4A35-BC5A-5928F79A9F7B}"/>
            </c:ext>
          </c:extLst>
        </c:ser>
        <c:ser>
          <c:idx val="3"/>
          <c:order val="3"/>
          <c:tx>
            <c:strRef>
              <c:f>'Sensitivity analysis - CC'!$A$503</c:f>
              <c:strCache>
                <c:ptCount val="1"/>
                <c:pt idx="0">
                  <c:v>Lifetime sorbent material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('Sensitivity analysis - CC'!$C$499,'Sensitivity analysis - CC'!$G$499,'Sensitivity analysis - CC'!$J$499)</c:f>
              <c:numCache>
                <c:formatCode>0%</c:formatCode>
                <c:ptCount val="3"/>
                <c:pt idx="0">
                  <c:v>0.33</c:v>
                </c:pt>
                <c:pt idx="1">
                  <c:v>1</c:v>
                </c:pt>
                <c:pt idx="2">
                  <c:v>1.67</c:v>
                </c:pt>
              </c:numCache>
            </c:numRef>
          </c:xVal>
          <c:yVal>
            <c:numRef>
              <c:f>('Sensitivity analysis - CC'!$AA$503,'Sensitivity analysis - CC'!$AE$503,'Sensitivity analysis - CC'!$AH$503)</c:f>
              <c:numCache>
                <c:formatCode>0.00E+00</c:formatCode>
                <c:ptCount val="3"/>
                <c:pt idx="0">
                  <c:v>-876.99045025124258</c:v>
                </c:pt>
                <c:pt idx="1">
                  <c:v>-879.31338914441756</c:v>
                </c:pt>
                <c:pt idx="2">
                  <c:v>-883.67501445533867</c:v>
                </c:pt>
              </c:numCache>
            </c:numRef>
          </c:yVal>
          <c:smooth val="0"/>
          <c:extLst>
            <c:ext xmlns:c16="http://schemas.microsoft.com/office/drawing/2014/chart" uri="{C3380CC4-5D6E-409C-BE32-E72D297353CC}">
              <c16:uniqueId val="{00000003-7FA3-4A35-BC5A-5928F79A9F7B}"/>
            </c:ext>
          </c:extLst>
        </c:ser>
        <c:ser>
          <c:idx val="4"/>
          <c:order val="4"/>
          <c:tx>
            <c:strRef>
              <c:f>'Sensitivity analysis - CC'!$A$504</c:f>
              <c:strCache>
                <c:ptCount val="1"/>
                <c:pt idx="0">
                  <c:v>Capacity DAC unit</c:v>
                </c:pt>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numRef>
              <c:f>('Sensitivity analysis - CC'!$D$499,'Sensitivity analysis - CC'!$G$499,'Sensitivity analysis - CC'!$I$499)</c:f>
              <c:numCache>
                <c:formatCode>0%</c:formatCode>
                <c:ptCount val="3"/>
                <c:pt idx="0">
                  <c:v>0.5</c:v>
                </c:pt>
                <c:pt idx="1">
                  <c:v>1</c:v>
                </c:pt>
                <c:pt idx="2">
                  <c:v>1.5</c:v>
                </c:pt>
              </c:numCache>
            </c:numRef>
          </c:xVal>
          <c:yVal>
            <c:numRef>
              <c:f>('Sensitivity analysis - CC'!$AB$504,'Sensitivity analysis - CC'!$AE$504,'Sensitivity analysis - CC'!$AG$504)</c:f>
              <c:numCache>
                <c:formatCode>0.00E+00</c:formatCode>
                <c:ptCount val="3"/>
                <c:pt idx="0">
                  <c:v>-758.62677828883534</c:v>
                </c:pt>
                <c:pt idx="1">
                  <c:v>-879.31338914441767</c:v>
                </c:pt>
                <c:pt idx="2">
                  <c:v>-919.5422594296117</c:v>
                </c:pt>
              </c:numCache>
            </c:numRef>
          </c:yVal>
          <c:smooth val="0"/>
          <c:extLst>
            <c:ext xmlns:c16="http://schemas.microsoft.com/office/drawing/2014/chart" uri="{C3380CC4-5D6E-409C-BE32-E72D297353CC}">
              <c16:uniqueId val="{00000004-7FA3-4A35-BC5A-5928F79A9F7B}"/>
            </c:ext>
          </c:extLst>
        </c:ser>
        <c:ser>
          <c:idx val="5"/>
          <c:order val="5"/>
          <c:tx>
            <c:strRef>
              <c:f>'Sensitivity analysis - CC'!$A$505</c:f>
              <c:strCache>
                <c:ptCount val="1"/>
                <c:pt idx="0">
                  <c:v>Curtailment factor</c:v>
                </c:pt>
              </c:strCache>
            </c:strRef>
          </c:tx>
          <c:spPr>
            <a:ln w="19050"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xVal>
            <c:numRef>
              <c:f>('Sensitivity analysis - CC'!$B$499,'Sensitivity analysis - CC'!$D$499,'Sensitivity analysis - CC'!$G$499,'Sensitivity analysis - CC'!$I$499)</c:f>
              <c:numCache>
                <c:formatCode>0%</c:formatCode>
                <c:ptCount val="4"/>
                <c:pt idx="0">
                  <c:v>0</c:v>
                </c:pt>
                <c:pt idx="1">
                  <c:v>0.5</c:v>
                </c:pt>
                <c:pt idx="2">
                  <c:v>1</c:v>
                </c:pt>
                <c:pt idx="3">
                  <c:v>1.5</c:v>
                </c:pt>
              </c:numCache>
            </c:numRef>
          </c:xVal>
          <c:yVal>
            <c:numRef>
              <c:f>('Sensitivity analysis - CC'!$Z$505,'Sensitivity analysis - CC'!$AB$505,'Sensitivity analysis - CC'!$AE$505,'Sensitivity analysis - CC'!$AG$505)</c:f>
              <c:numCache>
                <c:formatCode>0.00</c:formatCode>
                <c:ptCount val="4"/>
                <c:pt idx="0">
                  <c:v>-898.68511101239028</c:v>
                </c:pt>
                <c:pt idx="1">
                  <c:v>-892.22787038973252</c:v>
                </c:pt>
                <c:pt idx="2" formatCode="0.00E+00">
                  <c:v>-879.31338914441756</c:v>
                </c:pt>
                <c:pt idx="3" formatCode="0.00E+00">
                  <c:v>-840.5699454084729</c:v>
                </c:pt>
              </c:numCache>
            </c:numRef>
          </c:yVal>
          <c:smooth val="0"/>
          <c:extLst>
            <c:ext xmlns:c16="http://schemas.microsoft.com/office/drawing/2014/chart" uri="{C3380CC4-5D6E-409C-BE32-E72D297353CC}">
              <c16:uniqueId val="{00000005-7FA3-4A35-BC5A-5928F79A9F7B}"/>
            </c:ext>
          </c:extLst>
        </c:ser>
        <c:ser>
          <c:idx val="8"/>
          <c:order val="6"/>
          <c:tx>
            <c:strRef>
              <c:f>'Sensitivity analysis - CC'!$A$506</c:f>
              <c:strCache>
                <c:ptCount val="1"/>
                <c:pt idx="0">
                  <c:v>Battery capacity</c:v>
                </c:pt>
              </c:strCache>
            </c:strRef>
          </c:tx>
          <c:spPr>
            <a:ln w="19050" cap="rnd">
              <a:solidFill>
                <a:srgbClr val="FF4F4F"/>
              </a:solidFill>
              <a:round/>
            </a:ln>
            <a:effectLst/>
          </c:spPr>
          <c:marker>
            <c:symbol val="circle"/>
            <c:size val="5"/>
            <c:spPr>
              <a:solidFill>
                <a:srgbClr val="FF4F4F"/>
              </a:solidFill>
              <a:ln w="9525">
                <a:solidFill>
                  <a:srgbClr val="FF4F4F"/>
                </a:solidFill>
              </a:ln>
              <a:effectLst/>
            </c:spPr>
          </c:marker>
          <c:xVal>
            <c:numRef>
              <c:f>('Sensitivity analysis - CC'!$D$499,'Sensitivity analysis - CC'!$G$499,'Sensitivity analysis - CC'!$K$499)</c:f>
              <c:numCache>
                <c:formatCode>0%</c:formatCode>
                <c:ptCount val="3"/>
                <c:pt idx="0">
                  <c:v>0.5</c:v>
                </c:pt>
                <c:pt idx="1">
                  <c:v>1</c:v>
                </c:pt>
                <c:pt idx="2">
                  <c:v>2</c:v>
                </c:pt>
              </c:numCache>
            </c:numRef>
          </c:xVal>
          <c:yVal>
            <c:numRef>
              <c:f>('Sensitivity analysis - CC'!$AB$506,'Sensitivity analysis - CC'!$AE$506,'Sensitivity analysis - CC'!$AI$506)</c:f>
              <c:numCache>
                <c:formatCode>0.00</c:formatCode>
                <c:ptCount val="3"/>
                <c:pt idx="0">
                  <c:v>-917.43986177244938</c:v>
                </c:pt>
                <c:pt idx="1">
                  <c:v>-879.31338914441756</c:v>
                </c:pt>
                <c:pt idx="2" formatCode="0.0">
                  <c:v>-739.20688263342686</c:v>
                </c:pt>
              </c:numCache>
            </c:numRef>
          </c:yVal>
          <c:smooth val="0"/>
          <c:extLst>
            <c:ext xmlns:c16="http://schemas.microsoft.com/office/drawing/2014/chart" uri="{C3380CC4-5D6E-409C-BE32-E72D297353CC}">
              <c16:uniqueId val="{00000006-7FA3-4A35-BC5A-5928F79A9F7B}"/>
            </c:ext>
          </c:extLst>
        </c:ser>
        <c:ser>
          <c:idx val="9"/>
          <c:order val="7"/>
          <c:tx>
            <c:strRef>
              <c:f>'Sensitivity analysis - CC'!$A$507</c:f>
              <c:strCache>
                <c:ptCount val="1"/>
                <c:pt idx="0">
                  <c:v>Battery share factor</c:v>
                </c:pt>
              </c:strCache>
            </c:strRef>
          </c:tx>
          <c:spPr>
            <a:ln w="19050" cap="rnd">
              <a:solidFill>
                <a:srgbClr val="A4D3EA"/>
              </a:solidFill>
              <a:round/>
            </a:ln>
            <a:effectLst/>
          </c:spPr>
          <c:marker>
            <c:symbol val="circle"/>
            <c:size val="5"/>
            <c:spPr>
              <a:solidFill>
                <a:srgbClr val="A4D3EA"/>
              </a:solidFill>
              <a:ln w="9525">
                <a:solidFill>
                  <a:srgbClr val="A4D3EA"/>
                </a:solidFill>
              </a:ln>
              <a:effectLst/>
            </c:spPr>
          </c:marker>
          <c:xVal>
            <c:numRef>
              <c:f>('Sensitivity analysis - CC'!$D$499,'Sensitivity analysis - CC'!$G$499,'Sensitivity analysis - CC'!$I$499)</c:f>
              <c:numCache>
                <c:formatCode>0%</c:formatCode>
                <c:ptCount val="3"/>
                <c:pt idx="0">
                  <c:v>0.5</c:v>
                </c:pt>
                <c:pt idx="1">
                  <c:v>1</c:v>
                </c:pt>
                <c:pt idx="2">
                  <c:v>1.5</c:v>
                </c:pt>
              </c:numCache>
            </c:numRef>
          </c:xVal>
          <c:yVal>
            <c:numRef>
              <c:f>('Sensitivity analysis - CC'!$AB$507,'Sensitivity analysis - CC'!$AE$507,'Sensitivity analysis - CC'!$AI$507)</c:f>
              <c:numCache>
                <c:formatCode>0.00</c:formatCode>
                <c:ptCount val="3"/>
                <c:pt idx="0">
                  <c:v>-879.31338914441756</c:v>
                </c:pt>
                <c:pt idx="1">
                  <c:v>-879.31338914441756</c:v>
                </c:pt>
                <c:pt idx="2" formatCode="0.0">
                  <c:v>-879.31338914441756</c:v>
                </c:pt>
              </c:numCache>
            </c:numRef>
          </c:yVal>
          <c:smooth val="0"/>
          <c:extLst>
            <c:ext xmlns:c16="http://schemas.microsoft.com/office/drawing/2014/chart" uri="{C3380CC4-5D6E-409C-BE32-E72D297353CC}">
              <c16:uniqueId val="{00000007-7FA3-4A35-BC5A-5928F79A9F7B}"/>
            </c:ext>
          </c:extLst>
        </c:ser>
        <c:ser>
          <c:idx val="7"/>
          <c:order val="8"/>
          <c:tx>
            <c:strRef>
              <c:f>'Sensitivity analysis - CC'!$A$508</c:f>
              <c:strCache>
                <c:ptCount val="1"/>
                <c:pt idx="0">
                  <c:v>Sorbent type - amine on silica</c:v>
                </c:pt>
              </c:strCache>
            </c:strRef>
          </c:tx>
          <c:spPr>
            <a:ln w="19050" cap="rnd">
              <a:noFill/>
              <a:round/>
            </a:ln>
            <a:effectLst/>
          </c:spPr>
          <c:marker>
            <c:symbol val="square"/>
            <c:size val="5"/>
            <c:spPr>
              <a:solidFill>
                <a:srgbClr val="C00000"/>
              </a:solidFill>
              <a:ln w="9525">
                <a:solidFill>
                  <a:srgbClr val="C00000"/>
                </a:solidFill>
              </a:ln>
              <a:effectLst/>
            </c:spPr>
          </c:marker>
          <c:xVal>
            <c:numRef>
              <c:f>'Sensitivity analysis - CC'!$G$499</c:f>
              <c:numCache>
                <c:formatCode>0%</c:formatCode>
                <c:ptCount val="1"/>
                <c:pt idx="0">
                  <c:v>1</c:v>
                </c:pt>
              </c:numCache>
            </c:numRef>
          </c:xVal>
          <c:yVal>
            <c:numRef>
              <c:f>'Sensitivity analysis - CC'!$AE$508</c:f>
              <c:numCache>
                <c:formatCode>0.00E+00</c:formatCode>
                <c:ptCount val="1"/>
                <c:pt idx="0">
                  <c:v>-873.86684755205056</c:v>
                </c:pt>
              </c:numCache>
            </c:numRef>
          </c:yVal>
          <c:smooth val="0"/>
          <c:extLst>
            <c:ext xmlns:c16="http://schemas.microsoft.com/office/drawing/2014/chart" uri="{C3380CC4-5D6E-409C-BE32-E72D297353CC}">
              <c16:uniqueId val="{00000009-7FA3-4A35-BC5A-5928F79A9F7B}"/>
            </c:ext>
          </c:extLst>
        </c:ser>
        <c:dLbls>
          <c:showLegendKey val="0"/>
          <c:showVal val="0"/>
          <c:showCatName val="0"/>
          <c:showSerName val="0"/>
          <c:showPercent val="0"/>
          <c:showBubbleSize val="0"/>
        </c:dLbls>
        <c:axId val="894438607"/>
        <c:axId val="1119274239"/>
      </c:scatterChart>
      <c:valAx>
        <c:axId val="894438607"/>
        <c:scaling>
          <c:orientation val="minMax"/>
          <c:max val="2.5"/>
          <c:min val="0"/>
        </c:scaling>
        <c:delete val="0"/>
        <c:axPos val="b"/>
        <c:majorGridlines>
          <c:spPr>
            <a:ln w="9525" cap="flat" cmpd="sng" algn="ctr">
              <a:solidFill>
                <a:schemeClr val="tx1">
                  <a:lumMod val="50000"/>
                  <a:lumOff val="50000"/>
                </a:schemeClr>
              </a:solidFill>
              <a:round/>
            </a:ln>
            <a:effectLst/>
          </c:spPr>
        </c:majorGridlines>
        <c:numFmt formatCode="0%" sourceLinked="1"/>
        <c:majorTickMark val="none"/>
        <c:minorTickMark val="none"/>
        <c:tickLblPos val="high"/>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1119274239"/>
        <c:crosses val="autoZero"/>
        <c:crossBetween val="midCat"/>
      </c:valAx>
      <c:valAx>
        <c:axId val="1119274239"/>
        <c:scaling>
          <c:orientation val="minMax"/>
          <c:max val="-600"/>
          <c:min val="-1000"/>
        </c:scaling>
        <c:delete val="0"/>
        <c:axPos val="l"/>
        <c:majorGridlines>
          <c:spPr>
            <a:ln w="9525" cap="flat" cmpd="sng" algn="ctr">
              <a:solidFill>
                <a:schemeClr val="tx1">
                  <a:lumMod val="50000"/>
                  <a:lumOff val="50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r>
                  <a:rPr lang="nl-NL"/>
                  <a:t>Climate change</a:t>
                </a:r>
              </a:p>
              <a:p>
                <a:pPr>
                  <a:defRPr/>
                </a:pPr>
                <a:r>
                  <a:rPr lang="nl-NL"/>
                  <a:t>[kg CO</a:t>
                </a:r>
                <a:r>
                  <a:rPr lang="nl-NL" baseline="-25000"/>
                  <a:t>2-eq</a:t>
                </a:r>
                <a:r>
                  <a:rPr lang="nl-NL"/>
                  <a:t>/ton CO</a:t>
                </a:r>
                <a:r>
                  <a:rPr lang="nl-NL" baseline="-25000"/>
                  <a:t>2</a:t>
                </a:r>
                <a:r>
                  <a:rPr lang="nl-NL"/>
                  <a:t> captured and stored]</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894438607"/>
        <c:crosses val="autoZero"/>
        <c:crossBetween val="midCat"/>
      </c:valAx>
      <c:spPr>
        <a:noFill/>
        <a:ln w="19050">
          <a:solidFill>
            <a:schemeClr val="tx1"/>
          </a:solidFill>
        </a:ln>
        <a:effectLst/>
      </c:spPr>
    </c:plotArea>
    <c:legend>
      <c:legendPos val="r"/>
      <c:layout>
        <c:manualLayout>
          <c:xMode val="edge"/>
          <c:yMode val="edge"/>
          <c:x val="0.54710541784870625"/>
          <c:y val="7.6716289733345891E-2"/>
          <c:w val="0.2856286269263687"/>
          <c:h val="0.87329741919023873"/>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068474900507286"/>
          <c:y val="6.9337941462360927E-2"/>
          <c:w val="0.73010811826395883"/>
          <c:h val="0.90794330476547458"/>
        </c:manualLayout>
      </c:layout>
      <c:scatterChart>
        <c:scatterStyle val="lineMarker"/>
        <c:varyColors val="0"/>
        <c:ser>
          <c:idx val="0"/>
          <c:order val="0"/>
          <c:tx>
            <c:strRef>
              <c:f>'Sensitivity analysis - CC'!$M$489</c:f>
              <c:strCache>
                <c:ptCount val="1"/>
                <c:pt idx="0">
                  <c:v>Material use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'Sensitivity analysis - CC'!$R$488:$T$488</c:f>
              <c:numCache>
                <c:formatCode>0%</c:formatCode>
                <c:ptCount val="3"/>
                <c:pt idx="0">
                  <c:v>0.8</c:v>
                </c:pt>
                <c:pt idx="1">
                  <c:v>1</c:v>
                </c:pt>
                <c:pt idx="2">
                  <c:v>1.2</c:v>
                </c:pt>
              </c:numCache>
            </c:numRef>
          </c:xVal>
          <c:yVal>
            <c:numRef>
              <c:f>'Sensitivity analysis - CC'!$R$489:$T$489</c:f>
              <c:numCache>
                <c:formatCode>0.00E+00</c:formatCode>
                <c:ptCount val="3"/>
                <c:pt idx="0">
                  <c:v>-877.03481575394017</c:v>
                </c:pt>
                <c:pt idx="1">
                  <c:v>-873.95541555515172</c:v>
                </c:pt>
                <c:pt idx="2">
                  <c:v>-870.87601535636327</c:v>
                </c:pt>
              </c:numCache>
            </c:numRef>
          </c:yVal>
          <c:smooth val="0"/>
          <c:extLst>
            <c:ext xmlns:c16="http://schemas.microsoft.com/office/drawing/2014/chart" uri="{C3380CC4-5D6E-409C-BE32-E72D297353CC}">
              <c16:uniqueId val="{00000000-3F17-468F-A8BE-BC201982C7DF}"/>
            </c:ext>
          </c:extLst>
        </c:ser>
        <c:ser>
          <c:idx val="1"/>
          <c:order val="1"/>
          <c:tx>
            <c:strRef>
              <c:f>'Sensitivity analysis - CC'!$M$490</c:f>
              <c:strCache>
                <c:ptCount val="1"/>
                <c:pt idx="0">
                  <c:v>Energy use</c:v>
                </c:pt>
              </c:strCache>
            </c:strRef>
          </c:tx>
          <c:spPr>
            <a:ln w="31750" cap="rnd">
              <a:solidFill>
                <a:schemeClr val="accent4"/>
              </a:solidFill>
              <a:round/>
            </a:ln>
            <a:effectLst/>
          </c:spPr>
          <c:marker>
            <c:symbol val="circle"/>
            <c:size val="5"/>
            <c:spPr>
              <a:solidFill>
                <a:schemeClr val="accent4"/>
              </a:solidFill>
              <a:ln w="9525">
                <a:solidFill>
                  <a:schemeClr val="accent4"/>
                </a:solidFill>
              </a:ln>
              <a:effectLst/>
            </c:spPr>
          </c:marker>
          <c:xVal>
            <c:numRef>
              <c:f>('Sensitivity analysis - CC'!$Q$488,'Sensitivity analysis - CC'!$S$488,'Sensitivity analysis - CC'!$V$488)</c:f>
              <c:numCache>
                <c:formatCode>0%</c:formatCode>
                <c:ptCount val="3"/>
                <c:pt idx="0">
                  <c:v>0.67</c:v>
                </c:pt>
                <c:pt idx="1">
                  <c:v>1</c:v>
                </c:pt>
                <c:pt idx="2">
                  <c:v>1.67</c:v>
                </c:pt>
              </c:numCache>
            </c:numRef>
          </c:xVal>
          <c:yVal>
            <c:numRef>
              <c:f>('Sensitivity analysis - CC'!$Q$490,'Sensitivity analysis - CC'!$S$490,'Sensitivity analysis - CC'!$V$490)</c:f>
              <c:numCache>
                <c:formatCode>0.00E+00</c:formatCode>
                <c:ptCount val="3"/>
                <c:pt idx="0">
                  <c:v>-906.21292434181373</c:v>
                </c:pt>
                <c:pt idx="1">
                  <c:v>-873.95541555515172</c:v>
                </c:pt>
                <c:pt idx="2">
                  <c:v>-809.4403979818278</c:v>
                </c:pt>
              </c:numCache>
            </c:numRef>
          </c:yVal>
          <c:smooth val="0"/>
          <c:extLst>
            <c:ext xmlns:c16="http://schemas.microsoft.com/office/drawing/2014/chart" uri="{C3380CC4-5D6E-409C-BE32-E72D297353CC}">
              <c16:uniqueId val="{00000001-3F17-468F-A8BE-BC201982C7DF}"/>
            </c:ext>
          </c:extLst>
        </c:ser>
        <c:ser>
          <c:idx val="2"/>
          <c:order val="2"/>
          <c:tx>
            <c:strRef>
              <c:f>'Sensitivity analysis - CC'!$M$491</c:f>
              <c:strCache>
                <c:ptCount val="1"/>
                <c:pt idx="0">
                  <c:v>Lifetime DAC system</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'Sensitivity analysis - CC'!$R$488:$S$488</c:f>
              <c:numCache>
                <c:formatCode>0%</c:formatCode>
                <c:ptCount val="2"/>
                <c:pt idx="0">
                  <c:v>0.8</c:v>
                </c:pt>
                <c:pt idx="1">
                  <c:v>1</c:v>
                </c:pt>
              </c:numCache>
            </c:numRef>
          </c:xVal>
          <c:yVal>
            <c:numRef>
              <c:f>'Sensitivity analysis - CC'!$R$491:$S$491</c:f>
              <c:numCache>
                <c:formatCode>0.00E+00</c:formatCode>
                <c:ptCount val="2"/>
                <c:pt idx="0">
                  <c:v>-842.44426944393967</c:v>
                </c:pt>
                <c:pt idx="1">
                  <c:v>-873.95541555515172</c:v>
                </c:pt>
              </c:numCache>
            </c:numRef>
          </c:yVal>
          <c:smooth val="0"/>
          <c:extLst>
            <c:ext xmlns:c16="http://schemas.microsoft.com/office/drawing/2014/chart" uri="{C3380CC4-5D6E-409C-BE32-E72D297353CC}">
              <c16:uniqueId val="{00000002-3F17-468F-A8BE-BC201982C7DF}"/>
            </c:ext>
          </c:extLst>
        </c:ser>
        <c:ser>
          <c:idx val="3"/>
          <c:order val="3"/>
          <c:tx>
            <c:strRef>
              <c:f>'Sensitivity analysis - CC'!$M$492</c:f>
              <c:strCache>
                <c:ptCount val="1"/>
                <c:pt idx="0">
                  <c:v>Lifetime sorbent material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('Sensitivity analysis - CC'!$O$488,'Sensitivity analysis - CC'!$S$488,'Sensitivity analysis - CC'!$V$488)</c:f>
              <c:numCache>
                <c:formatCode>0%</c:formatCode>
                <c:ptCount val="3"/>
                <c:pt idx="0">
                  <c:v>0.33</c:v>
                </c:pt>
                <c:pt idx="1">
                  <c:v>1</c:v>
                </c:pt>
                <c:pt idx="2">
                  <c:v>1.67</c:v>
                </c:pt>
              </c:numCache>
            </c:numRef>
          </c:xVal>
          <c:yVal>
            <c:numRef>
              <c:f>('Sensitivity analysis - CC'!$O$492,'Sensitivity analysis - CC'!$S$492,'Sensitivity analysis - CC'!$V$492)</c:f>
              <c:numCache>
                <c:formatCode>0.00E+00</c:formatCode>
                <c:ptCount val="3"/>
                <c:pt idx="0">
                  <c:v>-867.68896086656366</c:v>
                </c:pt>
                <c:pt idx="1">
                  <c:v>-873.95541555515172</c:v>
                </c:pt>
                <c:pt idx="2">
                  <c:v>-875.47632349847493</c:v>
                </c:pt>
              </c:numCache>
            </c:numRef>
          </c:yVal>
          <c:smooth val="0"/>
          <c:extLst>
            <c:ext xmlns:c16="http://schemas.microsoft.com/office/drawing/2014/chart" uri="{C3380CC4-5D6E-409C-BE32-E72D297353CC}">
              <c16:uniqueId val="{00000003-3F17-468F-A8BE-BC201982C7DF}"/>
            </c:ext>
          </c:extLst>
        </c:ser>
        <c:ser>
          <c:idx val="4"/>
          <c:order val="4"/>
          <c:tx>
            <c:strRef>
              <c:f>'Sensitivity analysis - CC'!$M$493</c:f>
              <c:strCache>
                <c:ptCount val="1"/>
                <c:pt idx="0">
                  <c:v>Capacity DAC unit</c:v>
                </c:pt>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numRef>
              <c:f>('Sensitivity analysis - CC'!$P$488,'Sensitivity analysis - CC'!$S$488,'Sensitivity analysis - CC'!$U$488)</c:f>
              <c:numCache>
                <c:formatCode>0%</c:formatCode>
                <c:ptCount val="3"/>
                <c:pt idx="0">
                  <c:v>0.5</c:v>
                </c:pt>
                <c:pt idx="1">
                  <c:v>1</c:v>
                </c:pt>
                <c:pt idx="2">
                  <c:v>1.5</c:v>
                </c:pt>
              </c:numCache>
            </c:numRef>
          </c:xVal>
          <c:yVal>
            <c:numRef>
              <c:f>('Sensitivity analysis - CC'!$P$493,'Sensitivity analysis - CC'!$S$493,'Sensitivity analysis - CC'!$U$493)</c:f>
              <c:numCache>
                <c:formatCode>0.00E+00</c:formatCode>
                <c:ptCount val="3"/>
                <c:pt idx="0">
                  <c:v>-747.91083111030343</c:v>
                </c:pt>
                <c:pt idx="1">
                  <c:v>-873.95541555515172</c:v>
                </c:pt>
                <c:pt idx="2">
                  <c:v>-915.97027703676781</c:v>
                </c:pt>
              </c:numCache>
            </c:numRef>
          </c:yVal>
          <c:smooth val="0"/>
          <c:extLst>
            <c:ext xmlns:c16="http://schemas.microsoft.com/office/drawing/2014/chart" uri="{C3380CC4-5D6E-409C-BE32-E72D297353CC}">
              <c16:uniqueId val="{00000004-3F17-468F-A8BE-BC201982C7DF}"/>
            </c:ext>
          </c:extLst>
        </c:ser>
        <c:ser>
          <c:idx val="7"/>
          <c:order val="5"/>
          <c:tx>
            <c:strRef>
              <c:f>'Sensitivity analysis - CC'!$M$494</c:f>
              <c:strCache>
                <c:ptCount val="1"/>
                <c:pt idx="0">
                  <c:v>Capacity factor</c:v>
                </c:pt>
              </c:strCache>
            </c:strRef>
          </c:tx>
          <c:spPr>
            <a:ln w="19050" cap="rnd">
              <a:solidFill>
                <a:schemeClr val="accent6">
                  <a:lumMod val="50000"/>
                </a:schemeClr>
              </a:solidFill>
              <a:round/>
            </a:ln>
            <a:effectLst/>
          </c:spPr>
          <c:marker>
            <c:symbol val="circle"/>
            <c:size val="5"/>
            <c:spPr>
              <a:solidFill>
                <a:schemeClr val="accent6">
                  <a:lumMod val="50000"/>
                </a:schemeClr>
              </a:solidFill>
              <a:ln w="9525">
                <a:solidFill>
                  <a:schemeClr val="accent6">
                    <a:lumMod val="50000"/>
                  </a:schemeClr>
                </a:solidFill>
              </a:ln>
              <a:effectLst/>
            </c:spPr>
          </c:marker>
          <c:xVal>
            <c:numRef>
              <c:f>('Sensitivity analysis - CC'!$S$488,'Sensitivity analysis - CC'!$U$488,'Sensitivity analysis - CC'!$W$488)</c:f>
              <c:numCache>
                <c:formatCode>0%</c:formatCode>
                <c:ptCount val="3"/>
                <c:pt idx="0">
                  <c:v>1</c:v>
                </c:pt>
                <c:pt idx="1">
                  <c:v>1.5</c:v>
                </c:pt>
                <c:pt idx="2">
                  <c:v>2</c:v>
                </c:pt>
              </c:numCache>
            </c:numRef>
          </c:xVal>
          <c:yVal>
            <c:numRef>
              <c:f>('Sensitivity analysis - CC'!$S$494,'Sensitivity analysis - CC'!$U$494,'Sensitivity analysis - CC'!$W$494)</c:f>
              <c:numCache>
                <c:formatCode>0.00E+00</c:formatCode>
                <c:ptCount val="3"/>
                <c:pt idx="0">
                  <c:v>-873.95541555515172</c:v>
                </c:pt>
                <c:pt idx="1">
                  <c:v>-885.21506495892015</c:v>
                </c:pt>
                <c:pt idx="2">
                  <c:v>-894.59810612872718</c:v>
                </c:pt>
              </c:numCache>
            </c:numRef>
          </c:yVal>
          <c:smooth val="0"/>
          <c:extLst>
            <c:ext xmlns:c16="http://schemas.microsoft.com/office/drawing/2014/chart" uri="{C3380CC4-5D6E-409C-BE32-E72D297353CC}">
              <c16:uniqueId val="{00000005-3F17-468F-A8BE-BC201982C7DF}"/>
            </c:ext>
          </c:extLst>
        </c:ser>
        <c:ser>
          <c:idx val="6"/>
          <c:order val="6"/>
          <c:tx>
            <c:strRef>
              <c:f>'Sensitivity analysis - CC'!$M$495</c:f>
              <c:strCache>
                <c:ptCount val="1"/>
                <c:pt idx="0">
                  <c:v>Sorbent type - amine on silica</c:v>
                </c:pt>
              </c:strCache>
            </c:strRef>
          </c:tx>
          <c:spPr>
            <a:ln w="19050" cap="rnd">
              <a:noFill/>
              <a:round/>
            </a:ln>
            <a:effectLst/>
          </c:spPr>
          <c:marker>
            <c:symbol val="square"/>
            <c:size val="5"/>
            <c:spPr>
              <a:solidFill>
                <a:srgbClr val="C00000"/>
              </a:solidFill>
              <a:ln w="9525">
                <a:solidFill>
                  <a:srgbClr val="C00000"/>
                </a:solidFill>
              </a:ln>
              <a:effectLst/>
            </c:spPr>
          </c:marker>
          <c:xVal>
            <c:numRef>
              <c:f>'Sensitivity analysis - CC'!$S$488</c:f>
              <c:numCache>
                <c:formatCode>0%</c:formatCode>
                <c:ptCount val="1"/>
                <c:pt idx="0">
                  <c:v>1</c:v>
                </c:pt>
              </c:numCache>
            </c:numRef>
          </c:xVal>
          <c:yVal>
            <c:numRef>
              <c:f>'Sensitivity analysis - CC'!$S$495</c:f>
              <c:numCache>
                <c:formatCode>0.00E+00</c:formatCode>
                <c:ptCount val="1"/>
                <c:pt idx="0">
                  <c:v>-870.32301008072272</c:v>
                </c:pt>
              </c:numCache>
            </c:numRef>
          </c:yVal>
          <c:smooth val="0"/>
          <c:extLst>
            <c:ext xmlns:c16="http://schemas.microsoft.com/office/drawing/2014/chart" uri="{C3380CC4-5D6E-409C-BE32-E72D297353CC}">
              <c16:uniqueId val="{00000007-3F17-468F-A8BE-BC201982C7DF}"/>
            </c:ext>
          </c:extLst>
        </c:ser>
        <c:dLbls>
          <c:showLegendKey val="0"/>
          <c:showVal val="0"/>
          <c:showCatName val="0"/>
          <c:showSerName val="0"/>
          <c:showPercent val="0"/>
          <c:showBubbleSize val="0"/>
        </c:dLbls>
        <c:axId val="894438607"/>
        <c:axId val="1119274239"/>
      </c:scatterChart>
      <c:valAx>
        <c:axId val="894438607"/>
        <c:scaling>
          <c:orientation val="minMax"/>
          <c:max val="2.5"/>
          <c:min val="0"/>
        </c:scaling>
        <c:delete val="0"/>
        <c:axPos val="b"/>
        <c:majorGridlines>
          <c:spPr>
            <a:ln w="9525" cap="flat" cmpd="sng" algn="ctr">
              <a:solidFill>
                <a:schemeClr val="tx1">
                  <a:lumMod val="50000"/>
                  <a:lumOff val="50000"/>
                </a:schemeClr>
              </a:solidFill>
              <a:round/>
            </a:ln>
            <a:effectLst/>
          </c:spPr>
        </c:majorGridlines>
        <c:numFmt formatCode="0%" sourceLinked="1"/>
        <c:majorTickMark val="none"/>
        <c:minorTickMark val="none"/>
        <c:tickLblPos val="high"/>
        <c:spPr>
          <a:noFill/>
          <a:ln w="190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1119274239"/>
        <c:crosses val="autoZero"/>
        <c:crossBetween val="midCat"/>
      </c:valAx>
      <c:valAx>
        <c:axId val="1119274239"/>
        <c:scaling>
          <c:orientation val="minMax"/>
          <c:max val="-600"/>
          <c:min val="-1000"/>
        </c:scaling>
        <c:delete val="0"/>
        <c:axPos val="l"/>
        <c:majorGridlines>
          <c:spPr>
            <a:ln w="9525" cap="flat" cmpd="sng" algn="ctr">
              <a:solidFill>
                <a:schemeClr val="tx1">
                  <a:lumMod val="50000"/>
                  <a:lumOff val="50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r>
                  <a:rPr lang="nl-NL"/>
                  <a:t>Climate change</a:t>
                </a:r>
              </a:p>
              <a:p>
                <a:pPr>
                  <a:defRPr/>
                </a:pPr>
                <a:r>
                  <a:rPr lang="nl-NL"/>
                  <a:t>[kg CO</a:t>
                </a:r>
                <a:r>
                  <a:rPr lang="nl-NL" baseline="-25000"/>
                  <a:t>2-eq</a:t>
                </a:r>
                <a:r>
                  <a:rPr lang="nl-NL"/>
                  <a:t>/ton CO</a:t>
                </a:r>
                <a:r>
                  <a:rPr lang="nl-NL" baseline="-25000"/>
                  <a:t>2</a:t>
                </a:r>
                <a:r>
                  <a:rPr lang="nl-NL"/>
                  <a:t> captured and stored]</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894438607"/>
        <c:crosses val="autoZero"/>
        <c:crossBetween val="midCat"/>
      </c:valAx>
      <c:spPr>
        <a:noFill/>
        <a:ln w="19050">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baseline="0">
                <a:solidFill>
                  <a:schemeClr val="tx1"/>
                </a:solidFill>
                <a:latin typeface="Verdana Pro" panose="020B0604030504040204" pitchFamily="34" charset="0"/>
                <a:ea typeface="+mn-ea"/>
                <a:cs typeface="Times New Roman" panose="02020603050405020304" pitchFamily="18" charset="0"/>
              </a:defRPr>
            </a:pPr>
            <a:r>
              <a:rPr lang="en-GB" b="0" i="1"/>
              <a:t>Burdens</a:t>
            </a:r>
          </a:p>
        </c:rich>
      </c:tx>
      <c:layout>
        <c:manualLayout>
          <c:xMode val="edge"/>
          <c:yMode val="edge"/>
          <c:x val="0.46478834991237816"/>
          <c:y val="1.3166656074587136E-3"/>
        </c:manualLayout>
      </c:layout>
      <c:overlay val="0"/>
      <c:spPr>
        <a:noFill/>
        <a:ln>
          <a:noFill/>
        </a:ln>
        <a:effectLst/>
      </c:spPr>
      <c:txPr>
        <a:bodyPr rot="0" spcFirstLastPara="1" vertOverflow="ellipsis" vert="horz" wrap="square" anchor="ctr" anchorCtr="1"/>
        <a:lstStyle/>
        <a:p>
          <a:pPr>
            <a:defRPr sz="1440" b="1"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title>
    <c:autoTitleDeleted val="0"/>
    <c:plotArea>
      <c:layout>
        <c:manualLayout>
          <c:layoutTarget val="inner"/>
          <c:xMode val="edge"/>
          <c:yMode val="edge"/>
          <c:x val="0.1047142168661446"/>
          <c:y val="0.11409636871261428"/>
          <c:w val="0.8751178201873161"/>
          <c:h val="0.62003214894480652"/>
        </c:manualLayout>
      </c:layout>
      <c:barChart>
        <c:barDir val="bar"/>
        <c:grouping val="stacked"/>
        <c:varyColors val="0"/>
        <c:ser>
          <c:idx val="0"/>
          <c:order val="0"/>
          <c:tx>
            <c:strRef>
              <c:f>'Figure Results ReCiPe (H)'!$C$5</c:f>
              <c:strCache>
                <c:ptCount val="1"/>
                <c:pt idx="0">
                  <c:v>Construction - DAC</c:v>
                </c:pt>
              </c:strCache>
            </c:strRef>
          </c:tx>
          <c:spPr>
            <a:solidFill>
              <a:schemeClr val="accent4">
                <a:lumMod val="75000"/>
              </a:schemeClr>
            </a:solidFill>
            <a:ln>
              <a:noFill/>
            </a:ln>
            <a:effectLst/>
          </c:spPr>
          <c:invertIfNegative val="0"/>
          <c:cat>
            <c:multiLvlStrRef>
              <c:f>'Figure Results ReCiPe (H)'!$A$48:$B$56</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(H)'!$C$48:$C$56</c:f>
              <c:numCache>
                <c:formatCode>0.00E+00</c:formatCode>
                <c:ptCount val="9"/>
                <c:pt idx="0">
                  <c:v>1.1572736269513593</c:v>
                </c:pt>
                <c:pt idx="1">
                  <c:v>1.1350206061764658</c:v>
                </c:pt>
                <c:pt idx="2">
                  <c:v>1.0727718624716902</c:v>
                </c:pt>
                <c:pt idx="3">
                  <c:v>1.1572736269513593</c:v>
                </c:pt>
                <c:pt idx="4">
                  <c:v>1.1350206061764658</c:v>
                </c:pt>
                <c:pt idx="5">
                  <c:v>1.0727718624716902</c:v>
                </c:pt>
                <c:pt idx="6">
                  <c:v>2.2765876848940438</c:v>
                </c:pt>
                <c:pt idx="7">
                  <c:v>2.2326216867218416</c:v>
                </c:pt>
                <c:pt idx="8">
                  <c:v>2.1092766801158631</c:v>
                </c:pt>
              </c:numCache>
            </c:numRef>
          </c:val>
          <c:extLst>
            <c:ext xmlns:c16="http://schemas.microsoft.com/office/drawing/2014/chart" uri="{C3380CC4-5D6E-409C-BE32-E72D297353CC}">
              <c16:uniqueId val="{00000000-2E80-4727-A2C3-E2393ACBAE17}"/>
            </c:ext>
          </c:extLst>
        </c:ser>
        <c:ser>
          <c:idx val="1"/>
          <c:order val="1"/>
          <c:tx>
            <c:strRef>
              <c:f>'Figure Results ReCiPe (H)'!$D$5</c:f>
              <c:strCache>
                <c:ptCount val="1"/>
                <c:pt idx="0">
                  <c:v>Construction - geological storage</c:v>
                </c:pt>
              </c:strCache>
            </c:strRef>
          </c:tx>
          <c:spPr>
            <a:solidFill>
              <a:schemeClr val="accent4">
                <a:lumMod val="60000"/>
                <a:lumOff val="40000"/>
              </a:schemeClr>
            </a:solidFill>
            <a:ln>
              <a:noFill/>
            </a:ln>
            <a:effectLst/>
          </c:spPr>
          <c:invertIfNegative val="0"/>
          <c:cat>
            <c:multiLvlStrRef>
              <c:f>'Figure Results ReCiPe (H)'!$A$48:$B$56</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(H)'!$D$48:$D$56</c:f>
              <c:numCache>
                <c:formatCode>0.00E+00</c:formatCode>
                <c:ptCount val="9"/>
                <c:pt idx="0">
                  <c:v>0.10787070616191249</c:v>
                </c:pt>
                <c:pt idx="1">
                  <c:v>0.10677798589336331</c:v>
                </c:pt>
                <c:pt idx="2">
                  <c:v>0.10355523296253079</c:v>
                </c:pt>
                <c:pt idx="3">
                  <c:v>0.10787070616191249</c:v>
                </c:pt>
                <c:pt idx="4">
                  <c:v>0.10677798589336331</c:v>
                </c:pt>
                <c:pt idx="5">
                  <c:v>0.10355523296253079</c:v>
                </c:pt>
                <c:pt idx="6">
                  <c:v>0.10787070616191249</c:v>
                </c:pt>
                <c:pt idx="7">
                  <c:v>0.10677798589336331</c:v>
                </c:pt>
                <c:pt idx="8">
                  <c:v>0.10355523296253079</c:v>
                </c:pt>
              </c:numCache>
            </c:numRef>
          </c:val>
          <c:extLst>
            <c:ext xmlns:c16="http://schemas.microsoft.com/office/drawing/2014/chart" uri="{C3380CC4-5D6E-409C-BE32-E72D297353CC}">
              <c16:uniqueId val="{00000001-2E80-4727-A2C3-E2393ACBAE17}"/>
            </c:ext>
          </c:extLst>
        </c:ser>
        <c:ser>
          <c:idx val="3"/>
          <c:order val="2"/>
          <c:tx>
            <c:strRef>
              <c:f>'Figure Results ReCiPe (H)'!$E$5</c:f>
              <c:strCache>
                <c:ptCount val="1"/>
                <c:pt idx="0">
                  <c:v>Deconstruction - DAC</c:v>
                </c:pt>
              </c:strCache>
            </c:strRef>
          </c:tx>
          <c:spPr>
            <a:solidFill>
              <a:schemeClr val="accent2">
                <a:lumMod val="20000"/>
                <a:lumOff val="80000"/>
              </a:schemeClr>
            </a:solidFill>
            <a:ln>
              <a:noFill/>
            </a:ln>
            <a:effectLst/>
          </c:spPr>
          <c:invertIfNegative val="0"/>
          <c:cat>
            <c:multiLvlStrRef>
              <c:f>'Figure Results ReCiPe (H)'!$A$48:$B$56</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(H)'!$E$48:$E$56</c:f>
              <c:numCache>
                <c:formatCode>0.00E+00</c:formatCode>
                <c:ptCount val="9"/>
                <c:pt idx="0">
                  <c:v>1.8254349738637116E-2</c:v>
                </c:pt>
                <c:pt idx="1">
                  <c:v>1.6717650277123783E-2</c:v>
                </c:pt>
                <c:pt idx="2">
                  <c:v>1.5515848527432425E-2</c:v>
                </c:pt>
                <c:pt idx="3">
                  <c:v>1.8254349738637116E-2</c:v>
                </c:pt>
                <c:pt idx="4">
                  <c:v>1.6717650277123783E-2</c:v>
                </c:pt>
                <c:pt idx="5">
                  <c:v>1.5515848527432425E-2</c:v>
                </c:pt>
                <c:pt idx="6">
                  <c:v>3.6508699477274233E-2</c:v>
                </c:pt>
                <c:pt idx="7">
                  <c:v>3.3435300554247566E-2</c:v>
                </c:pt>
                <c:pt idx="8">
                  <c:v>3.1031697054864849E-2</c:v>
                </c:pt>
              </c:numCache>
            </c:numRef>
          </c:val>
          <c:extLst>
            <c:ext xmlns:c16="http://schemas.microsoft.com/office/drawing/2014/chart" uri="{C3380CC4-5D6E-409C-BE32-E72D297353CC}">
              <c16:uniqueId val="{00000002-2E80-4727-A2C3-E2393ACBAE17}"/>
            </c:ext>
          </c:extLst>
        </c:ser>
        <c:ser>
          <c:idx val="4"/>
          <c:order val="3"/>
          <c:tx>
            <c:strRef>
              <c:f>'Figure Results ReCiPe (H)'!$F$5</c:f>
              <c:strCache>
                <c:ptCount val="1"/>
                <c:pt idx="0">
                  <c:v>Deconstruction - geological storage</c:v>
                </c:pt>
              </c:strCache>
            </c:strRef>
          </c:tx>
          <c:spPr>
            <a:solidFill>
              <a:srgbClr val="FF9900"/>
            </a:solidFill>
            <a:ln>
              <a:noFill/>
            </a:ln>
            <a:effectLst/>
          </c:spPr>
          <c:invertIfNegative val="0"/>
          <c:cat>
            <c:multiLvlStrRef>
              <c:f>'Figure Results ReCiPe (H)'!$A$48:$B$56</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(H)'!$F$48:$F$56</c:f>
              <c:numCache>
                <c:formatCode>0.00E+00</c:formatCode>
                <c:ptCount val="9"/>
                <c:pt idx="0">
                  <c:v>2.1482519099495843E-7</c:v>
                </c:pt>
                <c:pt idx="1">
                  <c:v>5.1851441991315782E-4</c:v>
                </c:pt>
                <c:pt idx="2">
                  <c:v>4.9152244322832816E-4</c:v>
                </c:pt>
                <c:pt idx="3">
                  <c:v>5.3706297748739608E-4</c:v>
                </c:pt>
                <c:pt idx="4">
                  <c:v>5.1851441991315782E-4</c:v>
                </c:pt>
                <c:pt idx="5">
                  <c:v>4.9152244322832816E-4</c:v>
                </c:pt>
                <c:pt idx="6">
                  <c:v>2.1482519099495843E-7</c:v>
                </c:pt>
                <c:pt idx="7">
                  <c:v>5.1851441991315782E-4</c:v>
                </c:pt>
                <c:pt idx="8">
                  <c:v>4.9152244322832816E-4</c:v>
                </c:pt>
              </c:numCache>
            </c:numRef>
          </c:val>
          <c:extLst>
            <c:ext xmlns:c16="http://schemas.microsoft.com/office/drawing/2014/chart" uri="{C3380CC4-5D6E-409C-BE32-E72D297353CC}">
              <c16:uniqueId val="{00000003-2E80-4727-A2C3-E2393ACBAE17}"/>
            </c:ext>
          </c:extLst>
        </c:ser>
        <c:ser>
          <c:idx val="5"/>
          <c:order val="4"/>
          <c:tx>
            <c:strRef>
              <c:f>'Figure Results ReCiPe (H)'!$G$5</c:f>
              <c:strCache>
                <c:ptCount val="1"/>
                <c:pt idx="0">
                  <c:v>Sorbent material</c:v>
                </c:pt>
              </c:strCache>
            </c:strRef>
          </c:tx>
          <c:spPr>
            <a:solidFill>
              <a:srgbClr val="FF8F8F"/>
            </a:solidFill>
            <a:ln>
              <a:noFill/>
            </a:ln>
            <a:effectLst/>
          </c:spPr>
          <c:invertIfNegative val="0"/>
          <c:cat>
            <c:multiLvlStrRef>
              <c:f>'Figure Results ReCiPe (H)'!$A$48:$B$56</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(H)'!$G$48:$G$56</c:f>
              <c:numCache>
                <c:formatCode>0.00E+00</c:formatCode>
                <c:ptCount val="9"/>
                <c:pt idx="0">
                  <c:v>0.4201052617649354</c:v>
                </c:pt>
                <c:pt idx="1">
                  <c:v>0.41337054804260037</c:v>
                </c:pt>
                <c:pt idx="2">
                  <c:v>0.40564349401215766</c:v>
                </c:pt>
                <c:pt idx="3">
                  <c:v>0.4201052617649354</c:v>
                </c:pt>
                <c:pt idx="4">
                  <c:v>0.41337054804260037</c:v>
                </c:pt>
                <c:pt idx="5">
                  <c:v>0.40564349401215766</c:v>
                </c:pt>
                <c:pt idx="6">
                  <c:v>0.8402105235298708</c:v>
                </c:pt>
                <c:pt idx="7">
                  <c:v>0.82674109608520074</c:v>
                </c:pt>
                <c:pt idx="8">
                  <c:v>0.81128698802431531</c:v>
                </c:pt>
              </c:numCache>
            </c:numRef>
          </c:val>
          <c:extLst>
            <c:ext xmlns:c16="http://schemas.microsoft.com/office/drawing/2014/chart" uri="{C3380CC4-5D6E-409C-BE32-E72D297353CC}">
              <c16:uniqueId val="{00000004-2E80-4727-A2C3-E2393ACBAE17}"/>
            </c:ext>
          </c:extLst>
        </c:ser>
        <c:ser>
          <c:idx val="6"/>
          <c:order val="5"/>
          <c:tx>
            <c:strRef>
              <c:f>'Figure Results ReCiPe (H)'!$I$5</c:f>
              <c:strCache>
                <c:ptCount val="1"/>
                <c:pt idx="0">
                  <c:v>Operation - DAC</c:v>
                </c:pt>
              </c:strCache>
            </c:strRef>
          </c:tx>
          <c:spPr>
            <a:solidFill>
              <a:schemeClr val="accent2">
                <a:lumMod val="75000"/>
              </a:schemeClr>
            </a:solidFill>
            <a:ln>
              <a:noFill/>
            </a:ln>
            <a:effectLst/>
          </c:spPr>
          <c:invertIfNegative val="0"/>
          <c:cat>
            <c:multiLvlStrRef>
              <c:f>'Figure Results ReCiPe (H)'!$A$48:$B$56</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(H)'!$I$48:$I$56</c:f>
              <c:numCache>
                <c:formatCode>0.00E+00</c:formatCode>
                <c:ptCount val="9"/>
                <c:pt idx="0">
                  <c:v>26.583558904647113</c:v>
                </c:pt>
                <c:pt idx="1">
                  <c:v>22.685684526739678</c:v>
                </c:pt>
                <c:pt idx="2">
                  <c:v>17.551540056485525</c:v>
                </c:pt>
                <c:pt idx="3">
                  <c:v>20.930852521259517</c:v>
                </c:pt>
                <c:pt idx="4">
                  <c:v>17.95418181361881</c:v>
                </c:pt>
                <c:pt idx="5">
                  <c:v>14.020431224008696</c:v>
                </c:pt>
                <c:pt idx="6">
                  <c:v>6.8338689077228105</c:v>
                </c:pt>
                <c:pt idx="7">
                  <c:v>6.7836022128614539</c:v>
                </c:pt>
                <c:pt idx="8">
                  <c:v>6.6101490437913641</c:v>
                </c:pt>
              </c:numCache>
            </c:numRef>
          </c:val>
          <c:extLst>
            <c:ext xmlns:c16="http://schemas.microsoft.com/office/drawing/2014/chart" uri="{C3380CC4-5D6E-409C-BE32-E72D297353CC}">
              <c16:uniqueId val="{00000005-2E80-4727-A2C3-E2393ACBAE17}"/>
            </c:ext>
          </c:extLst>
        </c:ser>
        <c:ser>
          <c:idx val="7"/>
          <c:order val="6"/>
          <c:tx>
            <c:strRef>
              <c:f>'Figure Results ReCiPe (H)'!$J$5</c:f>
              <c:strCache>
                <c:ptCount val="1"/>
                <c:pt idx="0">
                  <c:v>Operation - geological storage</c:v>
                </c:pt>
              </c:strCache>
            </c:strRef>
          </c:tx>
          <c:spPr>
            <a:solidFill>
              <a:schemeClr val="accent2">
                <a:lumMod val="50000"/>
              </a:schemeClr>
            </a:solidFill>
            <a:ln>
              <a:noFill/>
            </a:ln>
            <a:effectLst/>
          </c:spPr>
          <c:invertIfNegative val="0"/>
          <c:cat>
            <c:multiLvlStrRef>
              <c:f>'Figure Results ReCiPe (H)'!$A$48:$B$56</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(H)'!$J$48:$J$56</c:f>
              <c:numCache>
                <c:formatCode>0.00E+00</c:formatCode>
                <c:ptCount val="9"/>
                <c:pt idx="0">
                  <c:v>2.0807973659826957</c:v>
                </c:pt>
                <c:pt idx="1">
                  <c:v>1.7871934348322114</c:v>
                </c:pt>
                <c:pt idx="2">
                  <c:v>1.3941400561452164</c:v>
                </c:pt>
                <c:pt idx="3">
                  <c:v>2.0807973659826957</c:v>
                </c:pt>
                <c:pt idx="4">
                  <c:v>1.7871934348322114</c:v>
                </c:pt>
                <c:pt idx="5">
                  <c:v>1.3941400561452164</c:v>
                </c:pt>
                <c:pt idx="6">
                  <c:v>2.0807973659826957</c:v>
                </c:pt>
                <c:pt idx="7">
                  <c:v>1.7871934348322114</c:v>
                </c:pt>
                <c:pt idx="8">
                  <c:v>1.3941400561452164</c:v>
                </c:pt>
              </c:numCache>
            </c:numRef>
          </c:val>
          <c:extLst>
            <c:ext xmlns:c16="http://schemas.microsoft.com/office/drawing/2014/chart" uri="{C3380CC4-5D6E-409C-BE32-E72D297353CC}">
              <c16:uniqueId val="{00000006-2E80-4727-A2C3-E2393ACBAE17}"/>
            </c:ext>
          </c:extLst>
        </c:ser>
        <c:ser>
          <c:idx val="2"/>
          <c:order val="7"/>
          <c:tx>
            <c:strRef>
              <c:f>'Figure Results ReCiPe (H)'!$K$5</c:f>
              <c:strCache>
                <c:ptCount val="1"/>
                <c:pt idx="0">
                  <c:v>CO2 captured and stored</c:v>
                </c:pt>
              </c:strCache>
            </c:strRef>
          </c:tx>
          <c:spPr>
            <a:solidFill>
              <a:schemeClr val="tx2">
                <a:lumMod val="20000"/>
                <a:lumOff val="80000"/>
              </a:schemeClr>
            </a:solidFill>
            <a:ln>
              <a:noFill/>
            </a:ln>
            <a:effectLst/>
          </c:spPr>
          <c:invertIfNegative val="0"/>
          <c:cat>
            <c:multiLvlStrRef>
              <c:f>'Figure Results ReCiPe (H)'!$A$48:$B$56</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(H)'!$K$48:$K$56</c:f>
              <c:numCache>
                <c:formatCode>0.00E+00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7-2E80-4727-A2C3-E2393ACBAE17}"/>
            </c:ext>
          </c:extLst>
        </c:ser>
        <c:ser>
          <c:idx val="9"/>
          <c:order val="8"/>
          <c:tx>
            <c:strRef>
              <c:f>'Figure Results ReCiPe (H)'!$H$33</c:f>
              <c:strCache>
                <c:ptCount val="1"/>
                <c:pt idx="0">
                  <c:v>Battery</c:v>
                </c:pt>
              </c:strCache>
            </c:strRef>
          </c:tx>
          <c:spPr>
            <a:solidFill>
              <a:schemeClr val="accent6">
                <a:lumMod val="75000"/>
              </a:schemeClr>
            </a:solidFill>
            <a:ln>
              <a:noFill/>
            </a:ln>
            <a:effectLst/>
          </c:spPr>
          <c:invertIfNegative val="0"/>
          <c:cat>
            <c:multiLvlStrRef>
              <c:f>'Figure Results ReCiPe (H)'!$A$48:$B$56</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(H)'!$H$48:$H$56</c:f>
              <c:numCache>
                <c:formatCode>0.00E+00</c:formatCode>
                <c:ptCount val="9"/>
                <c:pt idx="0">
                  <c:v>0</c:v>
                </c:pt>
                <c:pt idx="1">
                  <c:v>0</c:v>
                </c:pt>
                <c:pt idx="2">
                  <c:v>0</c:v>
                </c:pt>
                <c:pt idx="3">
                  <c:v>0</c:v>
                </c:pt>
                <c:pt idx="4">
                  <c:v>0</c:v>
                </c:pt>
                <c:pt idx="5">
                  <c:v>0</c:v>
                </c:pt>
                <c:pt idx="6">
                  <c:v>8.5257556615258974</c:v>
                </c:pt>
                <c:pt idx="7">
                  <c:v>8.3524882467394814</c:v>
                </c:pt>
                <c:pt idx="8">
                  <c:v>7.8224872559451661</c:v>
                </c:pt>
              </c:numCache>
            </c:numRef>
          </c:val>
          <c:extLst>
            <c:ext xmlns:c16="http://schemas.microsoft.com/office/drawing/2014/chart" uri="{C3380CC4-5D6E-409C-BE32-E72D297353CC}">
              <c16:uniqueId val="{00000008-2E80-4727-A2C3-E2393ACBAE17}"/>
            </c:ext>
          </c:extLst>
        </c:ser>
        <c:dLbls>
          <c:showLegendKey val="0"/>
          <c:showVal val="0"/>
          <c:showCatName val="0"/>
          <c:showSerName val="0"/>
          <c:showPercent val="0"/>
          <c:showBubbleSize val="0"/>
        </c:dLbls>
        <c:gapWidth val="150"/>
        <c:overlap val="100"/>
        <c:axId val="134262272"/>
        <c:axId val="135299072"/>
      </c:barChart>
      <c:scatterChart>
        <c:scatterStyle val="lineMarker"/>
        <c:varyColors val="0"/>
        <c:ser>
          <c:idx val="8"/>
          <c:order val="9"/>
          <c:tx>
            <c:strRef>
              <c:f>'Figure Results ReCiPe (H)'!$L$33</c:f>
              <c:strCache>
                <c:ptCount val="1"/>
                <c:pt idx="0">
                  <c:v>Total</c:v>
                </c:pt>
              </c:strCache>
            </c:strRef>
          </c:tx>
          <c:spPr>
            <a:ln w="19050" cap="rnd" cmpd="sng" algn="ctr">
              <a:noFill/>
              <a:prstDash val="solid"/>
              <a:round/>
            </a:ln>
            <a:effectLst/>
          </c:spPr>
          <c:marker>
            <c:symbol val="circle"/>
            <c:size val="7"/>
            <c:spPr>
              <a:solidFill>
                <a:schemeClr val="tx1"/>
              </a:solidFill>
              <a:ln w="6350" cap="flat" cmpd="sng" algn="ctr">
                <a:no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showLegendKey val="0"/>
            <c:showVal val="0"/>
            <c:showCatName val="1"/>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numRef>
              <c:f>'Figure Results ReCiPe (H)'!$L$48:$L$56</c:f>
              <c:numCache>
                <c:formatCode>0</c:formatCode>
                <c:ptCount val="9"/>
                <c:pt idx="0">
                  <c:v>30.367860430071847</c:v>
                </c:pt>
                <c:pt idx="1">
                  <c:v>26.145283266381348</c:v>
                </c:pt>
                <c:pt idx="2">
                  <c:v>20.543658073047776</c:v>
                </c:pt>
                <c:pt idx="3">
                  <c:v>24.715690894836545</c:v>
                </c:pt>
                <c:pt idx="4">
                  <c:v>21.413780553260484</c:v>
                </c:pt>
                <c:pt idx="5">
                  <c:v>17.012549240570952</c:v>
                </c:pt>
                <c:pt idx="6">
                  <c:v>20.701599764119692</c:v>
                </c:pt>
                <c:pt idx="7">
                  <c:v>20.123378478107711</c:v>
                </c:pt>
                <c:pt idx="8">
                  <c:v>18.882418476482552</c:v>
                </c:pt>
              </c:numCache>
            </c:numRef>
          </c:xVal>
          <c:yVal>
            <c:numRef>
              <c:f>'Figure Results ReCiPe (H)'!$M$48:$M$56</c:f>
              <c:numCache>
                <c:formatCode>General</c:formatCode>
                <c:ptCount val="9"/>
                <c:pt idx="0" formatCode="0.0">
                  <c:v>8.5</c:v>
                </c:pt>
                <c:pt idx="1">
                  <c:v>7.5</c:v>
                </c:pt>
                <c:pt idx="2">
                  <c:v>6.5</c:v>
                </c:pt>
                <c:pt idx="3">
                  <c:v>5.5</c:v>
                </c:pt>
                <c:pt idx="4">
                  <c:v>4.5</c:v>
                </c:pt>
                <c:pt idx="5">
                  <c:v>3.5</c:v>
                </c:pt>
                <c:pt idx="6">
                  <c:v>2.5</c:v>
                </c:pt>
                <c:pt idx="7">
                  <c:v>1.5</c:v>
                </c:pt>
                <c:pt idx="8">
                  <c:v>0.5</c:v>
                </c:pt>
              </c:numCache>
            </c:numRef>
          </c:yVal>
          <c:smooth val="0"/>
          <c:extLst>
            <c:ext xmlns:c16="http://schemas.microsoft.com/office/drawing/2014/chart" uri="{C3380CC4-5D6E-409C-BE32-E72D297353CC}">
              <c16:uniqueId val="{00000009-2E80-4727-A2C3-E2393ACBAE17}"/>
            </c:ext>
          </c:extLst>
        </c:ser>
        <c:dLbls>
          <c:showLegendKey val="0"/>
          <c:showVal val="0"/>
          <c:showCatName val="0"/>
          <c:showSerName val="0"/>
          <c:showPercent val="0"/>
          <c:showBubbleSize val="0"/>
        </c:dLbls>
        <c:axId val="620675072"/>
        <c:axId val="620677376"/>
      </c:scatterChart>
      <c:catAx>
        <c:axId val="134262272"/>
        <c:scaling>
          <c:orientation val="maxMin"/>
        </c:scaling>
        <c:delete val="0"/>
        <c:axPos val="l"/>
        <c:numFmt formatCode="@" sourceLinked="0"/>
        <c:majorTickMark val="none"/>
        <c:minorTickMark val="none"/>
        <c:tickLblPos val="low"/>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200" b="1"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crossAx val="135299072"/>
        <c:crossesAt val="0"/>
        <c:auto val="1"/>
        <c:lblAlgn val="ctr"/>
        <c:lblOffset val="100"/>
        <c:noMultiLvlLbl val="0"/>
      </c:catAx>
      <c:valAx>
        <c:axId val="135299072"/>
        <c:scaling>
          <c:orientation val="minMax"/>
        </c:scaling>
        <c:delete val="0"/>
        <c:axPos val="b"/>
        <c:title>
          <c:tx>
            <c:rich>
              <a:bodyPr rot="0" spcFirstLastPara="1" vertOverflow="ellipsis" vert="horz" wrap="square" anchor="ctr" anchorCtr="1"/>
              <a:lstStyle/>
              <a:p>
                <a:pPr>
                  <a:defRPr sz="1200" b="1" i="0" u="none" strike="noStrike" kern="1200" baseline="0">
                    <a:solidFill>
                      <a:schemeClr val="tx1"/>
                    </a:solidFill>
                    <a:latin typeface="Verdana Pro" panose="020B0604030504040204" pitchFamily="34" charset="0"/>
                    <a:ea typeface="+mn-ea"/>
                    <a:cs typeface="Times New Roman" panose="02020603050405020304" pitchFamily="18" charset="0"/>
                  </a:defRPr>
                </a:pPr>
                <a:r>
                  <a:rPr lang="en-GB"/>
                  <a:t>Resource damage [USD2013/ton CO</a:t>
                </a:r>
                <a:r>
                  <a:rPr lang="en-GB" baseline="-25000"/>
                  <a:t>2</a:t>
                </a:r>
                <a:r>
                  <a:rPr lang="en-GB"/>
                  <a:t> captured and stored]</a:t>
                </a:r>
              </a:p>
            </c:rich>
          </c:tx>
          <c:layout>
            <c:manualLayout>
              <c:xMode val="edge"/>
              <c:yMode val="edge"/>
              <c:x val="0.31385493215413457"/>
              <c:y val="0.79713960707739873"/>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title>
        <c:numFmt formatCode="#,##0" sourceLinked="0"/>
        <c:majorTickMark val="out"/>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200" b="0"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crossAx val="134262272"/>
        <c:crosses val="max"/>
        <c:crossBetween val="between"/>
      </c:valAx>
      <c:valAx>
        <c:axId val="620677376"/>
        <c:scaling>
          <c:orientation val="minMax"/>
        </c:scaling>
        <c:delete val="1"/>
        <c:axPos val="r"/>
        <c:numFmt formatCode="0.0" sourceLinked="1"/>
        <c:majorTickMark val="out"/>
        <c:minorTickMark val="none"/>
        <c:tickLblPos val="nextTo"/>
        <c:crossAx val="620675072"/>
        <c:crosses val="max"/>
        <c:crossBetween val="midCat"/>
      </c:valAx>
      <c:valAx>
        <c:axId val="620675072"/>
        <c:scaling>
          <c:orientation val="minMax"/>
        </c:scaling>
        <c:delete val="1"/>
        <c:axPos val="b"/>
        <c:numFmt formatCode="0" sourceLinked="1"/>
        <c:majorTickMark val="out"/>
        <c:minorTickMark val="none"/>
        <c:tickLblPos val="nextTo"/>
        <c:crossAx val="620677376"/>
        <c:crossesAt val="0"/>
        <c:crossBetween val="midCat"/>
      </c:valAx>
      <c:spPr>
        <a:solidFill>
          <a:schemeClr val="bg1"/>
        </a:solidFill>
        <a:ln>
          <a:noFill/>
        </a:ln>
        <a:effectLst/>
      </c:spPr>
    </c:plotArea>
    <c:legend>
      <c:legendPos val="b"/>
      <c:layout>
        <c:manualLayout>
          <c:xMode val="edge"/>
          <c:yMode val="edge"/>
          <c:x val="0"/>
          <c:y val="0.86203167888848709"/>
          <c:w val="1"/>
          <c:h val="0.13623551334266348"/>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legend>
    <c:plotVisOnly val="1"/>
    <c:dispBlanksAs val="gap"/>
    <c:showDLblsOverMax val="0"/>
  </c:chart>
  <c:spPr>
    <a:noFill/>
    <a:ln w="6350" cap="flat" cmpd="sng" algn="ctr">
      <a:noFill/>
      <a:prstDash val="solid"/>
      <a:round/>
    </a:ln>
    <a:effectLst/>
  </c:spPr>
  <c:txPr>
    <a:bodyPr/>
    <a:lstStyle/>
    <a:p>
      <a:pPr>
        <a:defRPr sz="1200">
          <a:latin typeface="Verdana Pro" panose="020B0604030504040204" pitchFamily="34" charset="0"/>
          <a:cs typeface="Times New Roman" panose="02020603050405020304" pitchFamily="18" charset="0"/>
        </a:defRPr>
      </a:pPr>
      <a:endParaRPr lang="en-N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751930529226253"/>
          <c:y val="7.9170851895793926E-2"/>
          <c:w val="0.72729079469433822"/>
          <c:h val="0.89481576129050766"/>
        </c:manualLayout>
      </c:layout>
      <c:scatterChart>
        <c:scatterStyle val="lineMarker"/>
        <c:varyColors val="0"/>
        <c:ser>
          <c:idx val="0"/>
          <c:order val="0"/>
          <c:tx>
            <c:strRef>
              <c:f>'Sensitivity analysis - RD'!$A$443</c:f>
              <c:strCache>
                <c:ptCount val="1"/>
                <c:pt idx="0">
                  <c:v>Material use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'Sensitivity analysis - RD'!$F$442:$H$442</c:f>
              <c:numCache>
                <c:formatCode>0%</c:formatCode>
                <c:ptCount val="3"/>
                <c:pt idx="0">
                  <c:v>0.8</c:v>
                </c:pt>
                <c:pt idx="1">
                  <c:v>1</c:v>
                </c:pt>
                <c:pt idx="2">
                  <c:v>1.2</c:v>
                </c:pt>
              </c:numCache>
            </c:numRef>
          </c:xVal>
          <c:yVal>
            <c:numRef>
              <c:f>'Sensitivity analysis - RD'!$F$443:$H$443</c:f>
              <c:numCache>
                <c:formatCode>0.00</c:formatCode>
                <c:ptCount val="3"/>
                <c:pt idx="0">
                  <c:v>30.111180650536426</c:v>
                </c:pt>
                <c:pt idx="1">
                  <c:v>30.367860430071847</c:v>
                </c:pt>
                <c:pt idx="2">
                  <c:v>30.624540209607265</c:v>
                </c:pt>
              </c:numCache>
            </c:numRef>
          </c:yVal>
          <c:smooth val="0"/>
          <c:extLst>
            <c:ext xmlns:c16="http://schemas.microsoft.com/office/drawing/2014/chart" uri="{C3380CC4-5D6E-409C-BE32-E72D297353CC}">
              <c16:uniqueId val="{00000000-CB27-4350-9CB5-61715EFBF002}"/>
            </c:ext>
          </c:extLst>
        </c:ser>
        <c:ser>
          <c:idx val="1"/>
          <c:order val="1"/>
          <c:tx>
            <c:strRef>
              <c:f>'Sensitivity analysis - RD'!$A$444</c:f>
              <c:strCache>
                <c:ptCount val="1"/>
                <c:pt idx="0">
                  <c:v>Energy use</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('Sensitivity analysis - RD'!$E$442,'Sensitivity analysis - RD'!$G$442,'Sensitivity analysis - RD'!$J$442,'Sensitivity analysis - RD'!$K$442)</c:f>
              <c:numCache>
                <c:formatCode>0%</c:formatCode>
                <c:ptCount val="4"/>
                <c:pt idx="0">
                  <c:v>0.67</c:v>
                </c:pt>
                <c:pt idx="1">
                  <c:v>1</c:v>
                </c:pt>
                <c:pt idx="2">
                  <c:v>1.67</c:v>
                </c:pt>
                <c:pt idx="3">
                  <c:v>2</c:v>
                </c:pt>
              </c:numCache>
            </c:numRef>
          </c:xVal>
          <c:yVal>
            <c:numRef>
              <c:f>('Sensitivity analysis - RD'!$E$444,'Sensitivity analysis - RD'!$G$444,'Sensitivity analysis - RD'!$J$444,'Sensitivity analysis - RD'!$K$444)</c:f>
              <c:numCache>
                <c:formatCode>0.00</c:formatCode>
                <c:ptCount val="4"/>
                <c:pt idx="0">
                  <c:v>21.506674128522803</c:v>
                </c:pt>
                <c:pt idx="1">
                  <c:v>30.367860430071847</c:v>
                </c:pt>
                <c:pt idx="2">
                  <c:v>48.090233033169916</c:v>
                </c:pt>
              </c:numCache>
            </c:numRef>
          </c:yVal>
          <c:smooth val="0"/>
          <c:extLst>
            <c:ext xmlns:c16="http://schemas.microsoft.com/office/drawing/2014/chart" uri="{C3380CC4-5D6E-409C-BE32-E72D297353CC}">
              <c16:uniqueId val="{00000001-CB27-4350-9CB5-61715EFBF002}"/>
            </c:ext>
          </c:extLst>
        </c:ser>
        <c:ser>
          <c:idx val="2"/>
          <c:order val="2"/>
          <c:tx>
            <c:strRef>
              <c:f>'Sensitivity analysis - RD'!$A$445</c:f>
              <c:strCache>
                <c:ptCount val="1"/>
                <c:pt idx="0">
                  <c:v>Lifetime DAC system</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'Sensitivity analysis - RD'!$F$442:$G$442</c:f>
              <c:numCache>
                <c:formatCode>0%</c:formatCode>
                <c:ptCount val="2"/>
                <c:pt idx="0">
                  <c:v>0.8</c:v>
                </c:pt>
                <c:pt idx="1">
                  <c:v>1</c:v>
                </c:pt>
              </c:numCache>
            </c:numRef>
          </c:xVal>
          <c:yVal>
            <c:numRef>
              <c:f>'Sensitivity analysis - RD'!$F$445:$G$445</c:f>
              <c:numCache>
                <c:formatCode>0.00</c:formatCode>
                <c:ptCount val="2"/>
                <c:pt idx="0">
                  <c:v>37.959825537589808</c:v>
                </c:pt>
                <c:pt idx="1">
                  <c:v>30.367860430071843</c:v>
                </c:pt>
              </c:numCache>
            </c:numRef>
          </c:yVal>
          <c:smooth val="0"/>
          <c:extLst>
            <c:ext xmlns:c16="http://schemas.microsoft.com/office/drawing/2014/chart" uri="{C3380CC4-5D6E-409C-BE32-E72D297353CC}">
              <c16:uniqueId val="{00000002-CB27-4350-9CB5-61715EFBF002}"/>
            </c:ext>
          </c:extLst>
        </c:ser>
        <c:ser>
          <c:idx val="3"/>
          <c:order val="3"/>
          <c:tx>
            <c:strRef>
              <c:f>'Sensitivity analysis - RD'!$A$446</c:f>
              <c:strCache>
                <c:ptCount val="1"/>
                <c:pt idx="0">
                  <c:v>Lifetime sorbent material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('Sensitivity analysis - RD'!$C$442,'Sensitivity analysis - RD'!$G$442,'Sensitivity analysis - RD'!$J$442)</c:f>
              <c:numCache>
                <c:formatCode>0%</c:formatCode>
                <c:ptCount val="3"/>
                <c:pt idx="0">
                  <c:v>0.33</c:v>
                </c:pt>
                <c:pt idx="1">
                  <c:v>1</c:v>
                </c:pt>
                <c:pt idx="2">
                  <c:v>1.67</c:v>
                </c:pt>
              </c:numCache>
            </c:numRef>
          </c:xVal>
          <c:yVal>
            <c:numRef>
              <c:f>('Sensitivity analysis - RD'!$C$446,'Sensitivity analysis - RD'!$G$446,'Sensitivity analysis - RD'!$J$446)</c:f>
              <c:numCache>
                <c:formatCode>0.00</c:formatCode>
                <c:ptCount val="3"/>
                <c:pt idx="0">
                  <c:v>31.114699186177241</c:v>
                </c:pt>
                <c:pt idx="1">
                  <c:v>30.367860430071847</c:v>
                </c:pt>
                <c:pt idx="2">
                  <c:v>30.18151962548912</c:v>
                </c:pt>
              </c:numCache>
            </c:numRef>
          </c:yVal>
          <c:smooth val="0"/>
          <c:extLst>
            <c:ext xmlns:c16="http://schemas.microsoft.com/office/drawing/2014/chart" uri="{C3380CC4-5D6E-409C-BE32-E72D297353CC}">
              <c16:uniqueId val="{00000003-CB27-4350-9CB5-61715EFBF002}"/>
            </c:ext>
          </c:extLst>
        </c:ser>
        <c:ser>
          <c:idx val="4"/>
          <c:order val="4"/>
          <c:tx>
            <c:strRef>
              <c:f>'Sensitivity analysis - RD'!$A$447</c:f>
              <c:strCache>
                <c:ptCount val="1"/>
                <c:pt idx="0">
                  <c:v>Capacity DAC unit</c:v>
                </c:pt>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numRef>
              <c:f>('Sensitivity analysis - RD'!$D$442,'Sensitivity analysis - RD'!$G$442,'Sensitivity analysis - RD'!$I$442)</c:f>
              <c:numCache>
                <c:formatCode>0%</c:formatCode>
                <c:ptCount val="3"/>
                <c:pt idx="0">
                  <c:v>0.5</c:v>
                </c:pt>
                <c:pt idx="1">
                  <c:v>1</c:v>
                </c:pt>
                <c:pt idx="2">
                  <c:v>1.5</c:v>
                </c:pt>
              </c:numCache>
            </c:numRef>
          </c:xVal>
          <c:yVal>
            <c:numRef>
              <c:f>('Sensitivity analysis - RD'!$D$447,'Sensitivity analysis - RD'!$G$447,'Sensitivity analysis - RD'!$I$447)</c:f>
              <c:numCache>
                <c:formatCode>0.00</c:formatCode>
                <c:ptCount val="3"/>
                <c:pt idx="0">
                  <c:v>60.735720860143687</c:v>
                </c:pt>
                <c:pt idx="1">
                  <c:v>30.367860430071843</c:v>
                </c:pt>
                <c:pt idx="2">
                  <c:v>20.245240286714562</c:v>
                </c:pt>
              </c:numCache>
            </c:numRef>
          </c:yVal>
          <c:smooth val="0"/>
          <c:extLst>
            <c:ext xmlns:c16="http://schemas.microsoft.com/office/drawing/2014/chart" uri="{C3380CC4-5D6E-409C-BE32-E72D297353CC}">
              <c16:uniqueId val="{00000004-CB27-4350-9CB5-61715EFBF002}"/>
            </c:ext>
          </c:extLst>
        </c:ser>
        <c:ser>
          <c:idx val="6"/>
          <c:order val="5"/>
          <c:tx>
            <c:strRef>
              <c:f>'Sensitivity analysis - RD'!$A$448</c:f>
              <c:strCache>
                <c:ptCount val="1"/>
                <c:pt idx="0">
                  <c:v>Sorbent type - amine on silica</c:v>
                </c:pt>
              </c:strCache>
            </c:strRef>
          </c:tx>
          <c:spPr>
            <a:ln w="19050" cap="rnd">
              <a:noFill/>
              <a:round/>
            </a:ln>
            <a:effectLst/>
          </c:spPr>
          <c:marker>
            <c:symbol val="square"/>
            <c:size val="5"/>
            <c:spPr>
              <a:solidFill>
                <a:srgbClr val="C00000"/>
              </a:solidFill>
              <a:ln w="9525">
                <a:solidFill>
                  <a:srgbClr val="C00000"/>
                </a:solidFill>
              </a:ln>
              <a:effectLst/>
            </c:spPr>
          </c:marker>
          <c:xVal>
            <c:numRef>
              <c:f>'Sensitivity analysis - RD'!$G$442</c:f>
              <c:numCache>
                <c:formatCode>0%</c:formatCode>
                <c:ptCount val="1"/>
                <c:pt idx="0">
                  <c:v>1</c:v>
                </c:pt>
              </c:numCache>
            </c:numRef>
          </c:xVal>
          <c:yVal>
            <c:numRef>
              <c:f>'Sensitivity analysis - RD'!$G$448</c:f>
              <c:numCache>
                <c:formatCode>0.00</c:formatCode>
                <c:ptCount val="1"/>
                <c:pt idx="0">
                  <c:v>31.057666529236052</c:v>
                </c:pt>
              </c:numCache>
            </c:numRef>
          </c:yVal>
          <c:smooth val="0"/>
          <c:extLst>
            <c:ext xmlns:c16="http://schemas.microsoft.com/office/drawing/2014/chart" uri="{C3380CC4-5D6E-409C-BE32-E72D297353CC}">
              <c16:uniqueId val="{00000006-CB27-4350-9CB5-61715EFBF002}"/>
            </c:ext>
          </c:extLst>
        </c:ser>
        <c:dLbls>
          <c:showLegendKey val="0"/>
          <c:showVal val="0"/>
          <c:showCatName val="0"/>
          <c:showSerName val="0"/>
          <c:showPercent val="0"/>
          <c:showBubbleSize val="0"/>
        </c:dLbls>
        <c:axId val="894438607"/>
        <c:axId val="1119274239"/>
      </c:scatterChart>
      <c:valAx>
        <c:axId val="894438607"/>
        <c:scaling>
          <c:orientation val="minMax"/>
          <c:max val="2.5"/>
          <c:min val="0"/>
        </c:scaling>
        <c:delete val="0"/>
        <c:axPos val="b"/>
        <c:majorGridlines>
          <c:spPr>
            <a:ln w="9525" cap="flat" cmpd="sng" algn="ctr">
              <a:solidFill>
                <a:schemeClr val="tx1">
                  <a:lumMod val="50000"/>
                  <a:lumOff val="50000"/>
                </a:schemeClr>
              </a:solidFill>
              <a:round/>
            </a:ln>
            <a:effectLst/>
          </c:spPr>
        </c:majorGridlines>
        <c:numFmt formatCode="0%" sourceLinked="1"/>
        <c:majorTickMark val="none"/>
        <c:minorTickMark val="none"/>
        <c:tickLblPos val="high"/>
        <c:spPr>
          <a:noFill/>
          <a:ln w="190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1119274239"/>
        <c:crosses val="autoZero"/>
        <c:crossBetween val="midCat"/>
      </c:valAx>
      <c:valAx>
        <c:axId val="1119274239"/>
        <c:scaling>
          <c:orientation val="minMax"/>
        </c:scaling>
        <c:delete val="0"/>
        <c:axPos val="l"/>
        <c:majorGridlines>
          <c:spPr>
            <a:ln w="9525" cap="flat" cmpd="sng" algn="ctr">
              <a:solidFill>
                <a:schemeClr val="tx1">
                  <a:lumMod val="50000"/>
                  <a:lumOff val="50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r>
                  <a:rPr lang="nl-NL"/>
                  <a:t>Resource</a:t>
                </a:r>
                <a:r>
                  <a:rPr lang="nl-NL" baseline="0"/>
                  <a:t> damage</a:t>
                </a:r>
              </a:p>
              <a:p>
                <a:pPr>
                  <a:defRPr/>
                </a:pPr>
                <a:r>
                  <a:rPr lang="nl-NL" baseline="0"/>
                  <a:t>[USD2013</a:t>
                </a:r>
                <a:r>
                  <a:rPr lang="nl-NL"/>
                  <a:t>/ton CO</a:t>
                </a:r>
                <a:r>
                  <a:rPr lang="nl-NL" baseline="-25000"/>
                  <a:t>2</a:t>
                </a:r>
                <a:r>
                  <a:rPr lang="nl-NL"/>
                  <a:t> captured and stored]</a:t>
                </a:r>
              </a:p>
            </c:rich>
          </c:tx>
          <c:layout>
            <c:manualLayout>
              <c:xMode val="edge"/>
              <c:yMode val="edge"/>
              <c:x val="9.6235856809711307E-3"/>
              <c:y val="0.1179903470103940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894438607"/>
        <c:crosses val="autoZero"/>
        <c:crossBetween val="midCat"/>
      </c:valAx>
      <c:spPr>
        <a:noFill/>
        <a:ln w="19050">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005819924683327"/>
          <c:y val="7.1046091620382001E-2"/>
          <c:w val="0.74364464224580618"/>
          <c:h val="0.90253588806088181"/>
        </c:manualLayout>
      </c:layout>
      <c:scatterChart>
        <c:scatterStyle val="lineMarker"/>
        <c:varyColors val="0"/>
        <c:ser>
          <c:idx val="0"/>
          <c:order val="0"/>
          <c:tx>
            <c:strRef>
              <c:f>'Sensitivity analysis - RD'!$M$443</c:f>
              <c:strCache>
                <c:ptCount val="1"/>
                <c:pt idx="0">
                  <c:v>Material use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'Sensitivity analysis - RD'!$R$442:$T$442</c:f>
              <c:numCache>
                <c:formatCode>0%</c:formatCode>
                <c:ptCount val="3"/>
                <c:pt idx="0">
                  <c:v>0.8</c:v>
                </c:pt>
                <c:pt idx="1">
                  <c:v>1</c:v>
                </c:pt>
                <c:pt idx="2">
                  <c:v>1.2</c:v>
                </c:pt>
              </c:numCache>
            </c:numRef>
          </c:xVal>
          <c:yVal>
            <c:numRef>
              <c:f>'Sensitivity analysis - RD'!$R$443:$T$443</c:f>
              <c:numCache>
                <c:formatCode>0.00E+00</c:formatCode>
                <c:ptCount val="3"/>
                <c:pt idx="0">
                  <c:v>25.893476315027982</c:v>
                </c:pt>
                <c:pt idx="1">
                  <c:v>26.145283266381348</c:v>
                </c:pt>
                <c:pt idx="2">
                  <c:v>26.397090217734728</c:v>
                </c:pt>
              </c:numCache>
            </c:numRef>
          </c:yVal>
          <c:smooth val="0"/>
          <c:extLst>
            <c:ext xmlns:c16="http://schemas.microsoft.com/office/drawing/2014/chart" uri="{C3380CC4-5D6E-409C-BE32-E72D297353CC}">
              <c16:uniqueId val="{00000000-FA97-4B13-A6BE-2F8DF504FAAB}"/>
            </c:ext>
          </c:extLst>
        </c:ser>
        <c:ser>
          <c:idx val="1"/>
          <c:order val="1"/>
          <c:tx>
            <c:strRef>
              <c:f>'Sensitivity analysis - RD'!$M$444</c:f>
              <c:strCache>
                <c:ptCount val="1"/>
                <c:pt idx="0">
                  <c:v>Energy use</c:v>
                </c:pt>
              </c:strCache>
            </c:strRef>
          </c:tx>
          <c:spPr>
            <a:ln w="31750" cap="rnd">
              <a:solidFill>
                <a:schemeClr val="accent4"/>
              </a:solidFill>
              <a:round/>
            </a:ln>
            <a:effectLst/>
          </c:spPr>
          <c:marker>
            <c:symbol val="circle"/>
            <c:size val="5"/>
            <c:spPr>
              <a:solidFill>
                <a:schemeClr val="accent4"/>
              </a:solidFill>
              <a:ln w="9525">
                <a:solidFill>
                  <a:schemeClr val="accent4"/>
                </a:solidFill>
              </a:ln>
              <a:effectLst/>
            </c:spPr>
          </c:marker>
          <c:xVal>
            <c:numRef>
              <c:f>('Sensitivity analysis - RD'!$Q$442,'Sensitivity analysis - RD'!$S$442,'Sensitivity analysis - RD'!$V$442,'Sensitivity analysis - RD'!$W$442)</c:f>
              <c:numCache>
                <c:formatCode>0%</c:formatCode>
                <c:ptCount val="4"/>
                <c:pt idx="0">
                  <c:v>0.67</c:v>
                </c:pt>
                <c:pt idx="1">
                  <c:v>1</c:v>
                </c:pt>
                <c:pt idx="2">
                  <c:v>1.67</c:v>
                </c:pt>
                <c:pt idx="3">
                  <c:v>2</c:v>
                </c:pt>
              </c:numCache>
            </c:numRef>
          </c:xVal>
          <c:yVal>
            <c:numRef>
              <c:f>('Sensitivity analysis - RD'!$Q$444,'Sensitivity analysis - RD'!$S$444,'Sensitivity analysis - RD'!$V$444,'Sensitivity analysis - RD'!$W$444)</c:f>
              <c:numCache>
                <c:formatCode>0.00E+00</c:formatCode>
                <c:ptCount val="4"/>
                <c:pt idx="0">
                  <c:v>18.583388424134796</c:v>
                </c:pt>
                <c:pt idx="1">
                  <c:v>26.145283266381348</c:v>
                </c:pt>
                <c:pt idx="2">
                  <c:v>41.269072950874474</c:v>
                </c:pt>
              </c:numCache>
            </c:numRef>
          </c:yVal>
          <c:smooth val="0"/>
          <c:extLst>
            <c:ext xmlns:c16="http://schemas.microsoft.com/office/drawing/2014/chart" uri="{C3380CC4-5D6E-409C-BE32-E72D297353CC}">
              <c16:uniqueId val="{00000001-FA97-4B13-A6BE-2F8DF504FAAB}"/>
            </c:ext>
          </c:extLst>
        </c:ser>
        <c:ser>
          <c:idx val="2"/>
          <c:order val="2"/>
          <c:tx>
            <c:strRef>
              <c:f>'Sensitivity analysis - RD'!$M$445</c:f>
              <c:strCache>
                <c:ptCount val="1"/>
                <c:pt idx="0">
                  <c:v>Lifetime DAC system</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'Sensitivity analysis - RD'!$R$442:$S$442</c:f>
              <c:numCache>
                <c:formatCode>0%</c:formatCode>
                <c:ptCount val="2"/>
                <c:pt idx="0">
                  <c:v>0.8</c:v>
                </c:pt>
                <c:pt idx="1">
                  <c:v>1</c:v>
                </c:pt>
              </c:numCache>
            </c:numRef>
          </c:xVal>
          <c:yVal>
            <c:numRef>
              <c:f>'Sensitivity analysis - RD'!$R$445:$S$445</c:f>
              <c:numCache>
                <c:formatCode>0.00E+00</c:formatCode>
                <c:ptCount val="2"/>
                <c:pt idx="0">
                  <c:v>32.681604082976698</c:v>
                </c:pt>
                <c:pt idx="1">
                  <c:v>26.145283266381355</c:v>
                </c:pt>
              </c:numCache>
            </c:numRef>
          </c:yVal>
          <c:smooth val="0"/>
          <c:extLst>
            <c:ext xmlns:c16="http://schemas.microsoft.com/office/drawing/2014/chart" uri="{C3380CC4-5D6E-409C-BE32-E72D297353CC}">
              <c16:uniqueId val="{00000002-FA97-4B13-A6BE-2F8DF504FAAB}"/>
            </c:ext>
          </c:extLst>
        </c:ser>
        <c:ser>
          <c:idx val="3"/>
          <c:order val="3"/>
          <c:tx>
            <c:strRef>
              <c:f>'Sensitivity analysis - RD'!$M$446</c:f>
              <c:strCache>
                <c:ptCount val="1"/>
                <c:pt idx="0">
                  <c:v>Lifetime sorbent material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('Sensitivity analysis - RD'!$O$442,'Sensitivity analysis - RD'!$S$442,'Sensitivity analysis - RD'!$V$442)</c:f>
              <c:numCache>
                <c:formatCode>0%</c:formatCode>
                <c:ptCount val="3"/>
                <c:pt idx="0">
                  <c:v>0.33</c:v>
                </c:pt>
                <c:pt idx="1">
                  <c:v>1</c:v>
                </c:pt>
                <c:pt idx="2">
                  <c:v>1.67</c:v>
                </c:pt>
              </c:numCache>
            </c:numRef>
          </c:xVal>
          <c:yVal>
            <c:numRef>
              <c:f>('Sensitivity analysis - RD'!$O$446,'Sensitivity analysis - RD'!$S$446,'Sensitivity analysis - RD'!$V$446)</c:f>
              <c:numCache>
                <c:formatCode>0.00E+00</c:formatCode>
                <c:ptCount val="3"/>
                <c:pt idx="0">
                  <c:v>26.880256312678007</c:v>
                </c:pt>
                <c:pt idx="1">
                  <c:v>26.145283266381355</c:v>
                </c:pt>
                <c:pt idx="2">
                  <c:v>25.962362136880756</c:v>
                </c:pt>
              </c:numCache>
            </c:numRef>
          </c:yVal>
          <c:smooth val="0"/>
          <c:extLst>
            <c:ext xmlns:c16="http://schemas.microsoft.com/office/drawing/2014/chart" uri="{C3380CC4-5D6E-409C-BE32-E72D297353CC}">
              <c16:uniqueId val="{00000003-FA97-4B13-A6BE-2F8DF504FAAB}"/>
            </c:ext>
          </c:extLst>
        </c:ser>
        <c:ser>
          <c:idx val="4"/>
          <c:order val="4"/>
          <c:tx>
            <c:strRef>
              <c:f>'Sensitivity analysis - RD'!$M$447</c:f>
              <c:strCache>
                <c:ptCount val="1"/>
                <c:pt idx="0">
                  <c:v>Capacity DAC unit</c:v>
                </c:pt>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numRef>
              <c:f>('Sensitivity analysis - RD'!$P$442,'Sensitivity analysis - RD'!$S$442,'Sensitivity analysis - RD'!$U$442)</c:f>
              <c:numCache>
                <c:formatCode>0%</c:formatCode>
                <c:ptCount val="3"/>
                <c:pt idx="0">
                  <c:v>0.5</c:v>
                </c:pt>
                <c:pt idx="1">
                  <c:v>1</c:v>
                </c:pt>
                <c:pt idx="2">
                  <c:v>1.5</c:v>
                </c:pt>
              </c:numCache>
            </c:numRef>
          </c:xVal>
          <c:yVal>
            <c:numRef>
              <c:f>('Sensitivity analysis - RD'!$P$447,'Sensitivity analysis - RD'!$S$447,'Sensitivity analysis - RD'!$U$447)</c:f>
              <c:numCache>
                <c:formatCode>0.00E+00</c:formatCode>
                <c:ptCount val="3"/>
                <c:pt idx="0">
                  <c:v>52.29056653276271</c:v>
                </c:pt>
                <c:pt idx="1">
                  <c:v>26.145283266381355</c:v>
                </c:pt>
                <c:pt idx="2">
                  <c:v>17.430188844254236</c:v>
                </c:pt>
              </c:numCache>
            </c:numRef>
          </c:yVal>
          <c:smooth val="0"/>
          <c:extLst>
            <c:ext xmlns:c16="http://schemas.microsoft.com/office/drawing/2014/chart" uri="{C3380CC4-5D6E-409C-BE32-E72D297353CC}">
              <c16:uniqueId val="{00000004-FA97-4B13-A6BE-2F8DF504FAAB}"/>
            </c:ext>
          </c:extLst>
        </c:ser>
        <c:ser>
          <c:idx val="6"/>
          <c:order val="5"/>
          <c:tx>
            <c:strRef>
              <c:f>'Sensitivity analysis - RD'!$M$448</c:f>
              <c:strCache>
                <c:ptCount val="1"/>
                <c:pt idx="0">
                  <c:v>Sorbent type - amine on silica</c:v>
                </c:pt>
              </c:strCache>
            </c:strRef>
          </c:tx>
          <c:spPr>
            <a:ln w="19050" cap="rnd">
              <a:noFill/>
              <a:round/>
            </a:ln>
            <a:effectLst/>
          </c:spPr>
          <c:marker>
            <c:symbol val="square"/>
            <c:size val="5"/>
            <c:spPr>
              <a:solidFill>
                <a:srgbClr val="C00000"/>
              </a:solidFill>
              <a:ln w="9525">
                <a:solidFill>
                  <a:srgbClr val="C00000"/>
                </a:solidFill>
              </a:ln>
              <a:effectLst/>
            </c:spPr>
          </c:marker>
          <c:xVal>
            <c:numRef>
              <c:f>'Sensitivity analysis - RD'!$S$442</c:f>
              <c:numCache>
                <c:formatCode>0%</c:formatCode>
                <c:ptCount val="1"/>
                <c:pt idx="0">
                  <c:v>1</c:v>
                </c:pt>
              </c:numCache>
            </c:numRef>
          </c:xVal>
          <c:yVal>
            <c:numRef>
              <c:f>'Sensitivity analysis - RD'!$S$448</c:f>
              <c:numCache>
                <c:formatCode>0.00E+00</c:formatCode>
                <c:ptCount val="1"/>
                <c:pt idx="0">
                  <c:v>26.824200619817713</c:v>
                </c:pt>
              </c:numCache>
            </c:numRef>
          </c:yVal>
          <c:smooth val="0"/>
          <c:extLst>
            <c:ext xmlns:c16="http://schemas.microsoft.com/office/drawing/2014/chart" uri="{C3380CC4-5D6E-409C-BE32-E72D297353CC}">
              <c16:uniqueId val="{00000006-FA97-4B13-A6BE-2F8DF504FAAB}"/>
            </c:ext>
          </c:extLst>
        </c:ser>
        <c:dLbls>
          <c:showLegendKey val="0"/>
          <c:showVal val="0"/>
          <c:showCatName val="0"/>
          <c:showSerName val="0"/>
          <c:showPercent val="0"/>
          <c:showBubbleSize val="0"/>
        </c:dLbls>
        <c:axId val="894438607"/>
        <c:axId val="1119274239"/>
      </c:scatterChart>
      <c:valAx>
        <c:axId val="894438607"/>
        <c:scaling>
          <c:orientation val="minMax"/>
          <c:max val="2.5"/>
          <c:min val="0"/>
        </c:scaling>
        <c:delete val="0"/>
        <c:axPos val="b"/>
        <c:majorGridlines>
          <c:spPr>
            <a:ln w="9525" cap="flat" cmpd="sng" algn="ctr">
              <a:solidFill>
                <a:schemeClr val="tx1">
                  <a:lumMod val="50000"/>
                  <a:lumOff val="50000"/>
                </a:schemeClr>
              </a:solidFill>
              <a:round/>
            </a:ln>
            <a:effectLst/>
          </c:spPr>
        </c:majorGridlines>
        <c:numFmt formatCode="0%" sourceLinked="1"/>
        <c:majorTickMark val="none"/>
        <c:minorTickMark val="none"/>
        <c:tickLblPos val="high"/>
        <c:spPr>
          <a:noFill/>
          <a:ln w="190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1119274239"/>
        <c:crosses val="autoZero"/>
        <c:crossBetween val="midCat"/>
      </c:valAx>
      <c:valAx>
        <c:axId val="1119274239"/>
        <c:scaling>
          <c:orientation val="minMax"/>
        </c:scaling>
        <c:delete val="0"/>
        <c:axPos val="l"/>
        <c:majorGridlines>
          <c:spPr>
            <a:ln w="9525" cap="flat" cmpd="sng" algn="ctr">
              <a:solidFill>
                <a:schemeClr val="tx1">
                  <a:lumMod val="50000"/>
                  <a:lumOff val="50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r>
                  <a:rPr lang="nl-NL"/>
                  <a:t>Resource damage</a:t>
                </a:r>
              </a:p>
              <a:p>
                <a:pPr>
                  <a:defRPr/>
                </a:pPr>
                <a:r>
                  <a:rPr lang="nl-NL"/>
                  <a:t>[USD2013/ton CO</a:t>
                </a:r>
                <a:r>
                  <a:rPr lang="nl-NL" baseline="-25000"/>
                  <a:t>2</a:t>
                </a:r>
                <a:r>
                  <a:rPr lang="nl-NL"/>
                  <a:t> captured and stored]</a:t>
                </a:r>
              </a:p>
            </c:rich>
          </c:tx>
          <c:layout>
            <c:manualLayout>
              <c:xMode val="edge"/>
              <c:yMode val="edge"/>
              <c:x val="7.1838411502909965E-3"/>
              <c:y val="0.1357018755756510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894438607"/>
        <c:crosses val="autoZero"/>
        <c:crossBetween val="midCat"/>
      </c:valAx>
      <c:spPr>
        <a:noFill/>
        <a:ln w="19050">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19692808062577"/>
          <c:y val="7.8345072223025738E-2"/>
          <c:w val="0.41748456318118088"/>
          <c:h val="0.89554846506848518"/>
        </c:manualLayout>
      </c:layout>
      <c:scatterChart>
        <c:scatterStyle val="lineMarker"/>
        <c:varyColors val="0"/>
        <c:ser>
          <c:idx val="0"/>
          <c:order val="0"/>
          <c:tx>
            <c:strRef>
              <c:f>'Sensitivity analysis - RD'!$Y$443</c:f>
              <c:strCache>
                <c:ptCount val="1"/>
                <c:pt idx="0">
                  <c:v>Material use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'Sensitivity analysis - RD'!$AD$442:$AF$442</c:f>
              <c:numCache>
                <c:formatCode>0%</c:formatCode>
                <c:ptCount val="3"/>
                <c:pt idx="0">
                  <c:v>0.8</c:v>
                </c:pt>
                <c:pt idx="1">
                  <c:v>1</c:v>
                </c:pt>
                <c:pt idx="2">
                  <c:v>1.2</c:v>
                </c:pt>
              </c:numCache>
            </c:numRef>
          </c:xVal>
          <c:yVal>
            <c:numRef>
              <c:f>'Sensitivity analysis - RD'!$AD$443:$AF$443</c:f>
              <c:numCache>
                <c:formatCode>0.00E+00</c:formatCode>
                <c:ptCount val="3"/>
                <c:pt idx="0">
                  <c:v>20.305191179766805</c:v>
                </c:pt>
                <c:pt idx="1">
                  <c:v>20.543658073047776</c:v>
                </c:pt>
                <c:pt idx="2">
                  <c:v>20.782124966328755</c:v>
                </c:pt>
              </c:numCache>
            </c:numRef>
          </c:yVal>
          <c:smooth val="0"/>
          <c:extLst>
            <c:ext xmlns:c16="http://schemas.microsoft.com/office/drawing/2014/chart" uri="{C3380CC4-5D6E-409C-BE32-E72D297353CC}">
              <c16:uniqueId val="{00000000-34A1-4C09-A23E-1838A4C5C12B}"/>
            </c:ext>
          </c:extLst>
        </c:ser>
        <c:ser>
          <c:idx val="1"/>
          <c:order val="1"/>
          <c:tx>
            <c:strRef>
              <c:f>'Sensitivity analysis - RD'!$Y$444</c:f>
              <c:strCache>
                <c:ptCount val="1"/>
                <c:pt idx="0">
                  <c:v>Energy use</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('Sensitivity analysis - RD'!$AC$442,'Sensitivity analysis - RD'!$AE$442,'Sensitivity analysis - RD'!$AH$442,'Sensitivity analysis - RD'!$AI$442)</c:f>
              <c:numCache>
                <c:formatCode>0%</c:formatCode>
                <c:ptCount val="4"/>
                <c:pt idx="0">
                  <c:v>0.67</c:v>
                </c:pt>
                <c:pt idx="1">
                  <c:v>1</c:v>
                </c:pt>
                <c:pt idx="2">
                  <c:v>1.67</c:v>
                </c:pt>
              </c:numCache>
            </c:numRef>
          </c:xVal>
          <c:yVal>
            <c:numRef>
              <c:f>('Sensitivity analysis - RD'!$AC$444,'Sensitivity analysis - RD'!$AE$444,'Sensitivity analysis - RD'!$AH$444,'Sensitivity analysis - RD'!$AI$444)</c:f>
              <c:numCache>
                <c:formatCode>0.00E+00</c:formatCode>
                <c:ptCount val="4"/>
                <c:pt idx="0">
                  <c:v>14.693144720885938</c:v>
                </c:pt>
                <c:pt idx="1">
                  <c:v>20.543658073047776</c:v>
                </c:pt>
                <c:pt idx="2">
                  <c:v>32.244684777371468</c:v>
                </c:pt>
              </c:numCache>
            </c:numRef>
          </c:yVal>
          <c:smooth val="0"/>
          <c:extLst>
            <c:ext xmlns:c16="http://schemas.microsoft.com/office/drawing/2014/chart" uri="{C3380CC4-5D6E-409C-BE32-E72D297353CC}">
              <c16:uniqueId val="{00000001-34A1-4C09-A23E-1838A4C5C12B}"/>
            </c:ext>
          </c:extLst>
        </c:ser>
        <c:ser>
          <c:idx val="2"/>
          <c:order val="2"/>
          <c:tx>
            <c:strRef>
              <c:f>'Sensitivity analysis - RD'!$Y$445</c:f>
              <c:strCache>
                <c:ptCount val="1"/>
                <c:pt idx="0">
                  <c:v>Lifetime DAC system</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'Sensitivity analysis - RD'!$AD$442:$AE$442</c:f>
              <c:numCache>
                <c:formatCode>0%</c:formatCode>
                <c:ptCount val="2"/>
                <c:pt idx="0">
                  <c:v>0.8</c:v>
                </c:pt>
                <c:pt idx="1">
                  <c:v>1</c:v>
                </c:pt>
              </c:numCache>
            </c:numRef>
          </c:xVal>
          <c:yVal>
            <c:numRef>
              <c:f>'Sensitivity analysis - RD'!$AD$445:$AE$445</c:f>
              <c:numCache>
                <c:formatCode>0.00E+00</c:formatCode>
                <c:ptCount val="2"/>
                <c:pt idx="0">
                  <c:v>25.679572591309721</c:v>
                </c:pt>
                <c:pt idx="1">
                  <c:v>20.54365807304778</c:v>
                </c:pt>
              </c:numCache>
            </c:numRef>
          </c:yVal>
          <c:smooth val="0"/>
          <c:extLst>
            <c:ext xmlns:c16="http://schemas.microsoft.com/office/drawing/2014/chart" uri="{C3380CC4-5D6E-409C-BE32-E72D297353CC}">
              <c16:uniqueId val="{00000002-34A1-4C09-A23E-1838A4C5C12B}"/>
            </c:ext>
          </c:extLst>
        </c:ser>
        <c:ser>
          <c:idx val="3"/>
          <c:order val="3"/>
          <c:tx>
            <c:strRef>
              <c:f>'Sensitivity analysis - RD'!$Y$446</c:f>
              <c:strCache>
                <c:ptCount val="1"/>
                <c:pt idx="0">
                  <c:v>Lifetime sorbent material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('Sensitivity analysis - RD'!$AA$442,'Sensitivity analysis - RD'!$AE$442,'Sensitivity analysis - RD'!$AH$442)</c:f>
              <c:numCache>
                <c:formatCode>0%</c:formatCode>
                <c:ptCount val="3"/>
                <c:pt idx="0">
                  <c:v>0.33</c:v>
                </c:pt>
                <c:pt idx="1">
                  <c:v>1</c:v>
                </c:pt>
                <c:pt idx="2">
                  <c:v>1.67</c:v>
                </c:pt>
              </c:numCache>
            </c:numRef>
          </c:xVal>
          <c:yVal>
            <c:numRef>
              <c:f>('Sensitivity analysis - RD'!$AA$446,'Sensitivity analysis - RD'!$AE$446,'Sensitivity analysis - RD'!$AH$446)</c:f>
              <c:numCache>
                <c:formatCode>0.00E+00</c:formatCode>
                <c:ptCount val="3"/>
                <c:pt idx="0">
                  <c:v>21.264793435746927</c:v>
                </c:pt>
                <c:pt idx="1">
                  <c:v>20.543658073047776</c:v>
                </c:pt>
                <c:pt idx="2">
                  <c:v>20.36380410389172</c:v>
                </c:pt>
              </c:numCache>
            </c:numRef>
          </c:yVal>
          <c:smooth val="0"/>
          <c:extLst>
            <c:ext xmlns:c16="http://schemas.microsoft.com/office/drawing/2014/chart" uri="{C3380CC4-5D6E-409C-BE32-E72D297353CC}">
              <c16:uniqueId val="{00000003-34A1-4C09-A23E-1838A4C5C12B}"/>
            </c:ext>
          </c:extLst>
        </c:ser>
        <c:ser>
          <c:idx val="4"/>
          <c:order val="4"/>
          <c:tx>
            <c:strRef>
              <c:f>'Sensitivity analysis - RD'!$Y$447</c:f>
              <c:strCache>
                <c:ptCount val="1"/>
                <c:pt idx="0">
                  <c:v>Capacity DAC unit</c:v>
                </c:pt>
              </c:strCache>
            </c:strRef>
          </c:tx>
          <c:spPr>
            <a:ln w="19050" cap="rnd">
              <a:solidFill>
                <a:srgbClr val="996633"/>
              </a:solidFill>
              <a:round/>
            </a:ln>
            <a:effectLst/>
          </c:spPr>
          <c:marker>
            <c:symbol val="circle"/>
            <c:size val="5"/>
            <c:spPr>
              <a:solidFill>
                <a:srgbClr val="996633"/>
              </a:solidFill>
              <a:ln w="9525">
                <a:solidFill>
                  <a:srgbClr val="996633"/>
                </a:solidFill>
              </a:ln>
              <a:effectLst/>
            </c:spPr>
          </c:marker>
          <c:xVal>
            <c:numRef>
              <c:f>('Sensitivity analysis - RD'!$AB$442,'Sensitivity analysis - RD'!$AE$442,'Sensitivity analysis - RD'!$AG$442)</c:f>
              <c:numCache>
                <c:formatCode>0%</c:formatCode>
                <c:ptCount val="3"/>
                <c:pt idx="0">
                  <c:v>0.5</c:v>
                </c:pt>
                <c:pt idx="1">
                  <c:v>1</c:v>
                </c:pt>
                <c:pt idx="2">
                  <c:v>1.5</c:v>
                </c:pt>
              </c:numCache>
            </c:numRef>
          </c:xVal>
          <c:yVal>
            <c:numRef>
              <c:f>('Sensitivity analysis - RD'!$AB$447,'Sensitivity analysis - RD'!$AE$447,'Sensitivity analysis - RD'!$AG$447)</c:f>
              <c:numCache>
                <c:formatCode>0.00E+00</c:formatCode>
                <c:ptCount val="3"/>
                <c:pt idx="0">
                  <c:v>41.08731614609556</c:v>
                </c:pt>
                <c:pt idx="1">
                  <c:v>20.54365807304778</c:v>
                </c:pt>
                <c:pt idx="2">
                  <c:v>13.695772048698519</c:v>
                </c:pt>
              </c:numCache>
            </c:numRef>
          </c:yVal>
          <c:smooth val="0"/>
          <c:extLst>
            <c:ext xmlns:c16="http://schemas.microsoft.com/office/drawing/2014/chart" uri="{C3380CC4-5D6E-409C-BE32-E72D297353CC}">
              <c16:uniqueId val="{00000004-34A1-4C09-A23E-1838A4C5C12B}"/>
            </c:ext>
          </c:extLst>
        </c:ser>
        <c:ser>
          <c:idx val="6"/>
          <c:order val="5"/>
          <c:tx>
            <c:strRef>
              <c:f>'Sensitivity analysis - RD'!$Y$448</c:f>
              <c:strCache>
                <c:ptCount val="1"/>
                <c:pt idx="0">
                  <c:v>Sorbent type - amine on silica</c:v>
                </c:pt>
              </c:strCache>
            </c:strRef>
          </c:tx>
          <c:spPr>
            <a:ln w="19050" cap="rnd">
              <a:noFill/>
              <a:round/>
            </a:ln>
            <a:effectLst/>
          </c:spPr>
          <c:marker>
            <c:symbol val="square"/>
            <c:size val="5"/>
            <c:spPr>
              <a:solidFill>
                <a:srgbClr val="C00000"/>
              </a:solidFill>
              <a:ln w="9525">
                <a:solidFill>
                  <a:srgbClr val="C00000"/>
                </a:solidFill>
              </a:ln>
              <a:effectLst/>
            </c:spPr>
          </c:marker>
          <c:xVal>
            <c:numRef>
              <c:f>'Sensitivity analysis - RD'!$AE$442</c:f>
              <c:numCache>
                <c:formatCode>0%</c:formatCode>
                <c:ptCount val="1"/>
                <c:pt idx="0">
                  <c:v>1</c:v>
                </c:pt>
              </c:numCache>
            </c:numRef>
          </c:xVal>
          <c:yVal>
            <c:numRef>
              <c:f>'Sensitivity analysis - RD'!$AE$448</c:f>
              <c:numCache>
                <c:formatCode>0.00E+00</c:formatCode>
                <c:ptCount val="1"/>
                <c:pt idx="0">
                  <c:v>21.208920771772679</c:v>
                </c:pt>
              </c:numCache>
            </c:numRef>
          </c:yVal>
          <c:smooth val="0"/>
          <c:extLst>
            <c:ext xmlns:c16="http://schemas.microsoft.com/office/drawing/2014/chart" uri="{C3380CC4-5D6E-409C-BE32-E72D297353CC}">
              <c16:uniqueId val="{00000006-34A1-4C09-A23E-1838A4C5C12B}"/>
            </c:ext>
          </c:extLst>
        </c:ser>
        <c:dLbls>
          <c:showLegendKey val="0"/>
          <c:showVal val="0"/>
          <c:showCatName val="0"/>
          <c:showSerName val="0"/>
          <c:showPercent val="0"/>
          <c:showBubbleSize val="0"/>
        </c:dLbls>
        <c:axId val="894438607"/>
        <c:axId val="1119274239"/>
      </c:scatterChart>
      <c:valAx>
        <c:axId val="894438607"/>
        <c:scaling>
          <c:orientation val="minMax"/>
          <c:max val="2.5"/>
          <c:min val="0"/>
        </c:scaling>
        <c:delete val="0"/>
        <c:axPos val="b"/>
        <c:majorGridlines>
          <c:spPr>
            <a:ln w="9525" cap="flat" cmpd="sng" algn="ctr">
              <a:solidFill>
                <a:schemeClr val="tx1">
                  <a:lumMod val="50000"/>
                  <a:lumOff val="50000"/>
                </a:schemeClr>
              </a:solidFill>
              <a:round/>
            </a:ln>
            <a:effectLst/>
          </c:spPr>
        </c:majorGridlines>
        <c:numFmt formatCode="0%" sourceLinked="1"/>
        <c:majorTickMark val="none"/>
        <c:minorTickMark val="none"/>
        <c:tickLblPos val="high"/>
        <c:spPr>
          <a:noFill/>
          <a:ln w="190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1119274239"/>
        <c:crosses val="autoZero"/>
        <c:crossBetween val="midCat"/>
      </c:valAx>
      <c:valAx>
        <c:axId val="1119274239"/>
        <c:scaling>
          <c:orientation val="minMax"/>
        </c:scaling>
        <c:delete val="0"/>
        <c:axPos val="l"/>
        <c:majorGridlines>
          <c:spPr>
            <a:ln w="9525" cap="flat" cmpd="sng" algn="ctr">
              <a:solidFill>
                <a:schemeClr val="tx1">
                  <a:lumMod val="50000"/>
                  <a:lumOff val="50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r>
                  <a:rPr lang="nl-NL"/>
                  <a:t>Resource damage</a:t>
                </a:r>
              </a:p>
              <a:p>
                <a:pPr>
                  <a:defRPr/>
                </a:pPr>
                <a:r>
                  <a:rPr lang="nl-NL"/>
                  <a:t>[USD2013/ton CO</a:t>
                </a:r>
                <a:r>
                  <a:rPr lang="nl-NL" baseline="-25000"/>
                  <a:t>2</a:t>
                </a:r>
                <a:r>
                  <a:rPr lang="nl-NL"/>
                  <a:t> captured and stored]</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894438607"/>
        <c:crosses val="autoZero"/>
        <c:crossBetween val="midCat"/>
      </c:valAx>
      <c:spPr>
        <a:noFill/>
        <a:ln w="19050">
          <a:solidFill>
            <a:schemeClr val="tx1"/>
          </a:solidFill>
        </a:ln>
        <a:effectLst/>
      </c:spPr>
    </c:plotArea>
    <c:legend>
      <c:legendPos val="r"/>
      <c:layout>
        <c:manualLayout>
          <c:xMode val="edge"/>
          <c:yMode val="edge"/>
          <c:x val="0.53169294736491457"/>
          <c:y val="7.4172479218749934E-2"/>
          <c:w val="0.24828804709021357"/>
          <c:h val="0.899178674081772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580891821470707"/>
          <c:y val="7.1230981607336832E-2"/>
          <c:w val="0.71896793074763388"/>
          <c:h val="0.90807451676883488"/>
        </c:manualLayout>
      </c:layout>
      <c:scatterChart>
        <c:scatterStyle val="lineMarker"/>
        <c:varyColors val="0"/>
        <c:ser>
          <c:idx val="0"/>
          <c:order val="0"/>
          <c:tx>
            <c:strRef>
              <c:f>'Sensitivity analysis - RD'!$A$453</c:f>
              <c:strCache>
                <c:ptCount val="1"/>
                <c:pt idx="0">
                  <c:v>Material use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'Sensitivity analysis - RD'!$F$452:$H$452</c:f>
              <c:numCache>
                <c:formatCode>0%</c:formatCode>
                <c:ptCount val="3"/>
                <c:pt idx="0">
                  <c:v>0.8</c:v>
                </c:pt>
                <c:pt idx="1">
                  <c:v>1</c:v>
                </c:pt>
                <c:pt idx="2">
                  <c:v>1.2</c:v>
                </c:pt>
              </c:numCache>
            </c:numRef>
          </c:xVal>
          <c:yVal>
            <c:numRef>
              <c:f>'Sensitivity analysis - RD'!$F$453:$H$453</c:f>
              <c:numCache>
                <c:formatCode>0.00E+00</c:formatCode>
                <c:ptCount val="3"/>
                <c:pt idx="0">
                  <c:v>24.458903745670668</c:v>
                </c:pt>
                <c:pt idx="1">
                  <c:v>24.715690894836545</c:v>
                </c:pt>
                <c:pt idx="2">
                  <c:v>24.972478044002425</c:v>
                </c:pt>
              </c:numCache>
            </c:numRef>
          </c:yVal>
          <c:smooth val="0"/>
          <c:extLst>
            <c:ext xmlns:c16="http://schemas.microsoft.com/office/drawing/2014/chart" uri="{C3380CC4-5D6E-409C-BE32-E72D297353CC}">
              <c16:uniqueId val="{00000000-0AE3-48A3-81E1-5963D5467A7C}"/>
            </c:ext>
          </c:extLst>
        </c:ser>
        <c:ser>
          <c:idx val="1"/>
          <c:order val="1"/>
          <c:tx>
            <c:strRef>
              <c:f>'Sensitivity analysis - RD'!$A$454</c:f>
              <c:strCache>
                <c:ptCount val="1"/>
                <c:pt idx="0">
                  <c:v>Energy use</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('Sensitivity analysis - RD'!$E$452,'Sensitivity analysis - RD'!$G$452,'Sensitivity analysis - RD'!$J$452,'Sensitivity analysis - RD'!$K$452)</c:f>
              <c:numCache>
                <c:formatCode>0%</c:formatCode>
                <c:ptCount val="4"/>
                <c:pt idx="0">
                  <c:v>0.67</c:v>
                </c:pt>
                <c:pt idx="1">
                  <c:v>1</c:v>
                </c:pt>
                <c:pt idx="2">
                  <c:v>1.67</c:v>
                </c:pt>
                <c:pt idx="3">
                  <c:v>2</c:v>
                </c:pt>
              </c:numCache>
            </c:numRef>
          </c:xVal>
          <c:yVal>
            <c:numRef>
              <c:f>('Sensitivity analysis - RD'!$E$454,'Sensitivity analysis - RD'!$G$454,'Sensitivity analysis - RD'!$J$454,'Sensitivity analysis - RD'!$K$454)</c:f>
              <c:numCache>
                <c:formatCode>0.00E+00</c:formatCode>
                <c:ptCount val="4"/>
                <c:pt idx="0">
                  <c:v>17.738740054416706</c:v>
                </c:pt>
                <c:pt idx="1">
                  <c:v>24.715690894836545</c:v>
                </c:pt>
                <c:pt idx="2">
                  <c:v>38.669592575676226</c:v>
                </c:pt>
              </c:numCache>
            </c:numRef>
          </c:yVal>
          <c:smooth val="0"/>
          <c:extLst>
            <c:ext xmlns:c16="http://schemas.microsoft.com/office/drawing/2014/chart" uri="{C3380CC4-5D6E-409C-BE32-E72D297353CC}">
              <c16:uniqueId val="{00000001-0AE3-48A3-81E1-5963D5467A7C}"/>
            </c:ext>
          </c:extLst>
        </c:ser>
        <c:ser>
          <c:idx val="2"/>
          <c:order val="2"/>
          <c:tx>
            <c:strRef>
              <c:f>'Sensitivity analysis - RD'!$A$455</c:f>
              <c:strCache>
                <c:ptCount val="1"/>
                <c:pt idx="0">
                  <c:v>Lifetime DAC system</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('Sensitivity analysis - RD'!$F$452,'Sensitivity analysis - RD'!$G$452)</c:f>
              <c:numCache>
                <c:formatCode>0%</c:formatCode>
                <c:ptCount val="2"/>
                <c:pt idx="0">
                  <c:v>0.8</c:v>
                </c:pt>
                <c:pt idx="1">
                  <c:v>1</c:v>
                </c:pt>
              </c:numCache>
            </c:numRef>
          </c:xVal>
          <c:yVal>
            <c:numRef>
              <c:f>'Sensitivity analysis - RD'!$F$455:$G$455</c:f>
              <c:numCache>
                <c:formatCode>0.00E+00</c:formatCode>
                <c:ptCount val="2"/>
                <c:pt idx="0">
                  <c:v>30.89461361854568</c:v>
                </c:pt>
                <c:pt idx="1">
                  <c:v>24.715690894836545</c:v>
                </c:pt>
              </c:numCache>
            </c:numRef>
          </c:yVal>
          <c:smooth val="0"/>
          <c:extLst>
            <c:ext xmlns:c16="http://schemas.microsoft.com/office/drawing/2014/chart" uri="{C3380CC4-5D6E-409C-BE32-E72D297353CC}">
              <c16:uniqueId val="{00000002-0AE3-48A3-81E1-5963D5467A7C}"/>
            </c:ext>
          </c:extLst>
        </c:ser>
        <c:ser>
          <c:idx val="3"/>
          <c:order val="3"/>
          <c:tx>
            <c:strRef>
              <c:f>'Sensitivity analysis - RD'!$A$456</c:f>
              <c:strCache>
                <c:ptCount val="1"/>
                <c:pt idx="0">
                  <c:v>Lifetime sorbent material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('Sensitivity analysis - RD'!$C$452,'Sensitivity analysis - RD'!$G$452,'Sensitivity analysis - RD'!$J$452)</c:f>
              <c:numCache>
                <c:formatCode>0%</c:formatCode>
                <c:ptCount val="3"/>
                <c:pt idx="0">
                  <c:v>0.33</c:v>
                </c:pt>
                <c:pt idx="1">
                  <c:v>1</c:v>
                </c:pt>
                <c:pt idx="2">
                  <c:v>1.67</c:v>
                </c:pt>
              </c:numCache>
            </c:numRef>
          </c:xVal>
          <c:yVal>
            <c:numRef>
              <c:f>('Sensitivity analysis - RD'!$C$456,'Sensitivity analysis - RD'!$G$456,'Sensitivity analysis - RD'!$J$456)</c:f>
              <c:numCache>
                <c:formatCode>0.00E+00</c:formatCode>
                <c:ptCount val="3"/>
                <c:pt idx="0">
                  <c:v>25.462529650941942</c:v>
                </c:pt>
                <c:pt idx="1">
                  <c:v>24.715690894836545</c:v>
                </c:pt>
                <c:pt idx="2">
                  <c:v>24.529350090253821</c:v>
                </c:pt>
              </c:numCache>
            </c:numRef>
          </c:yVal>
          <c:smooth val="0"/>
          <c:extLst>
            <c:ext xmlns:c16="http://schemas.microsoft.com/office/drawing/2014/chart" uri="{C3380CC4-5D6E-409C-BE32-E72D297353CC}">
              <c16:uniqueId val="{00000003-0AE3-48A3-81E1-5963D5467A7C}"/>
            </c:ext>
          </c:extLst>
        </c:ser>
        <c:ser>
          <c:idx val="4"/>
          <c:order val="4"/>
          <c:tx>
            <c:strRef>
              <c:f>'Sensitivity analysis - RD'!$A$457</c:f>
              <c:strCache>
                <c:ptCount val="1"/>
                <c:pt idx="0">
                  <c:v>Capacity DAC unit</c:v>
                </c:pt>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numRef>
              <c:f>('Sensitivity analysis - RD'!$D$452,'Sensitivity analysis - RD'!$G$452,'Sensitivity analysis - RD'!$I$452)</c:f>
              <c:numCache>
                <c:formatCode>0%</c:formatCode>
                <c:ptCount val="3"/>
                <c:pt idx="0">
                  <c:v>0.5</c:v>
                </c:pt>
                <c:pt idx="1">
                  <c:v>1</c:v>
                </c:pt>
                <c:pt idx="2">
                  <c:v>1.5</c:v>
                </c:pt>
              </c:numCache>
            </c:numRef>
          </c:xVal>
          <c:yVal>
            <c:numRef>
              <c:f>('Sensitivity analysis - RD'!$D$457,'Sensitivity analysis - RD'!$G$457,'Sensitivity analysis - RD'!$I$457)</c:f>
              <c:numCache>
                <c:formatCode>0.00E+00</c:formatCode>
                <c:ptCount val="3"/>
                <c:pt idx="0">
                  <c:v>49.43138178967309</c:v>
                </c:pt>
                <c:pt idx="1">
                  <c:v>24.715690894836545</c:v>
                </c:pt>
                <c:pt idx="2">
                  <c:v>16.477127263224364</c:v>
                </c:pt>
              </c:numCache>
            </c:numRef>
          </c:yVal>
          <c:smooth val="0"/>
          <c:extLst>
            <c:ext xmlns:c16="http://schemas.microsoft.com/office/drawing/2014/chart" uri="{C3380CC4-5D6E-409C-BE32-E72D297353CC}">
              <c16:uniqueId val="{00000004-0AE3-48A3-81E1-5963D5467A7C}"/>
            </c:ext>
          </c:extLst>
        </c:ser>
        <c:ser>
          <c:idx val="5"/>
          <c:order val="5"/>
          <c:tx>
            <c:strRef>
              <c:f>'Sensitivity analysis - RD'!$A$458</c:f>
              <c:strCache>
                <c:ptCount val="1"/>
                <c:pt idx="0">
                  <c:v>Capacity factor</c:v>
                </c:pt>
              </c:strCache>
            </c:strRef>
          </c:tx>
          <c:spPr>
            <a:ln w="19050"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xVal>
            <c:numRef>
              <c:f>('Sensitivity analysis - RD'!$G$452,'Sensitivity analysis - RD'!$I$452,'Sensitivity analysis - RD'!$K$452)</c:f>
              <c:numCache>
                <c:formatCode>0%</c:formatCode>
                <c:ptCount val="3"/>
                <c:pt idx="0">
                  <c:v>1</c:v>
                </c:pt>
                <c:pt idx="1">
                  <c:v>1.5</c:v>
                </c:pt>
                <c:pt idx="2">
                  <c:v>2</c:v>
                </c:pt>
              </c:numCache>
            </c:numRef>
          </c:xVal>
          <c:yVal>
            <c:numRef>
              <c:f>('Sensitivity analysis - RD'!$G$458,'Sensitivity analysis - RD'!$I$458,'Sensitivity analysis - RD'!$K$458)</c:f>
              <c:numCache>
                <c:formatCode>0.00E+00</c:formatCode>
                <c:ptCount val="3"/>
                <c:pt idx="0">
                  <c:v>24.715690894836545</c:v>
                </c:pt>
                <c:pt idx="1">
                  <c:v>21.971856975787368</c:v>
                </c:pt>
                <c:pt idx="2">
                  <c:v>19.685328709913058</c:v>
                </c:pt>
              </c:numCache>
            </c:numRef>
          </c:yVal>
          <c:smooth val="0"/>
          <c:extLst>
            <c:ext xmlns:c16="http://schemas.microsoft.com/office/drawing/2014/chart" uri="{C3380CC4-5D6E-409C-BE32-E72D297353CC}">
              <c16:uniqueId val="{00000005-0AE3-48A3-81E1-5963D5467A7C}"/>
            </c:ext>
          </c:extLst>
        </c:ser>
        <c:ser>
          <c:idx val="7"/>
          <c:order val="6"/>
          <c:tx>
            <c:strRef>
              <c:f>'Sensitivity analysis - RD'!$A$459</c:f>
              <c:strCache>
                <c:ptCount val="1"/>
                <c:pt idx="0">
                  <c:v>Sorbent type - amine on silica</c:v>
                </c:pt>
              </c:strCache>
            </c:strRef>
          </c:tx>
          <c:spPr>
            <a:ln w="19050" cap="rnd">
              <a:noFill/>
              <a:round/>
            </a:ln>
            <a:effectLst/>
          </c:spPr>
          <c:marker>
            <c:symbol val="square"/>
            <c:size val="5"/>
            <c:spPr>
              <a:solidFill>
                <a:srgbClr val="C00000"/>
              </a:solidFill>
              <a:ln w="9525">
                <a:solidFill>
                  <a:srgbClr val="C00000"/>
                </a:solidFill>
              </a:ln>
              <a:effectLst/>
            </c:spPr>
          </c:marker>
          <c:xVal>
            <c:numRef>
              <c:f>'Sensitivity analysis - RD'!$G$452</c:f>
              <c:numCache>
                <c:formatCode>0%</c:formatCode>
                <c:ptCount val="1"/>
                <c:pt idx="0">
                  <c:v>1</c:v>
                </c:pt>
              </c:numCache>
            </c:numRef>
          </c:xVal>
          <c:yVal>
            <c:numRef>
              <c:f>'Sensitivity analysis - RD'!$G$459</c:f>
              <c:numCache>
                <c:formatCode>0.00E+00</c:formatCode>
                <c:ptCount val="1"/>
                <c:pt idx="0">
                  <c:v>25.405496994000753</c:v>
                </c:pt>
              </c:numCache>
            </c:numRef>
          </c:yVal>
          <c:smooth val="0"/>
          <c:extLst>
            <c:ext xmlns:c16="http://schemas.microsoft.com/office/drawing/2014/chart" uri="{C3380CC4-5D6E-409C-BE32-E72D297353CC}">
              <c16:uniqueId val="{00000007-0AE3-48A3-81E1-5963D5467A7C}"/>
            </c:ext>
          </c:extLst>
        </c:ser>
        <c:dLbls>
          <c:showLegendKey val="0"/>
          <c:showVal val="0"/>
          <c:showCatName val="0"/>
          <c:showSerName val="0"/>
          <c:showPercent val="0"/>
          <c:showBubbleSize val="0"/>
        </c:dLbls>
        <c:axId val="894438607"/>
        <c:axId val="1119274239"/>
      </c:scatterChart>
      <c:valAx>
        <c:axId val="894438607"/>
        <c:scaling>
          <c:orientation val="minMax"/>
          <c:max val="2.5"/>
          <c:min val="0"/>
        </c:scaling>
        <c:delete val="0"/>
        <c:axPos val="b"/>
        <c:majorGridlines>
          <c:spPr>
            <a:ln w="9525" cap="flat" cmpd="sng" algn="ctr">
              <a:solidFill>
                <a:schemeClr val="tx1">
                  <a:lumMod val="50000"/>
                  <a:lumOff val="50000"/>
                </a:schemeClr>
              </a:solidFill>
              <a:round/>
            </a:ln>
            <a:effectLst/>
          </c:spPr>
        </c:majorGridlines>
        <c:numFmt formatCode="0%" sourceLinked="1"/>
        <c:majorTickMark val="none"/>
        <c:minorTickMark val="none"/>
        <c:tickLblPos val="high"/>
        <c:spPr>
          <a:noFill/>
          <a:ln w="190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1119274239"/>
        <c:crosses val="autoZero"/>
        <c:crossBetween val="midCat"/>
      </c:valAx>
      <c:valAx>
        <c:axId val="1119274239"/>
        <c:scaling>
          <c:orientation val="minMax"/>
        </c:scaling>
        <c:delete val="0"/>
        <c:axPos val="l"/>
        <c:majorGridlines>
          <c:spPr>
            <a:ln w="9525" cap="flat" cmpd="sng" algn="ctr">
              <a:solidFill>
                <a:schemeClr val="tx1">
                  <a:lumMod val="50000"/>
                  <a:lumOff val="50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r>
                  <a:rPr lang="nl-NL"/>
                  <a:t>Resource damage</a:t>
                </a:r>
              </a:p>
              <a:p>
                <a:pPr>
                  <a:defRPr/>
                </a:pPr>
                <a:r>
                  <a:rPr lang="nl-NL"/>
                  <a:t>[USD2013/ton CO</a:t>
                </a:r>
                <a:r>
                  <a:rPr lang="nl-NL" baseline="-25000"/>
                  <a:t>2</a:t>
                </a:r>
                <a:r>
                  <a:rPr lang="nl-NL"/>
                  <a:t> captured and stored]</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894438607"/>
        <c:crosses val="autoZero"/>
        <c:crossBetween val="midCat"/>
      </c:valAx>
      <c:spPr>
        <a:noFill/>
        <a:ln w="19050">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2254393319634"/>
          <c:y val="6.9740429383197355E-2"/>
          <c:w val="0.42336028977008383"/>
          <c:h val="0.885736824710606"/>
        </c:manualLayout>
      </c:layout>
      <c:scatterChart>
        <c:scatterStyle val="lineMarker"/>
        <c:varyColors val="0"/>
        <c:ser>
          <c:idx val="0"/>
          <c:order val="0"/>
          <c:tx>
            <c:strRef>
              <c:f>'Sensitivity analysis - RD'!$Y$453</c:f>
              <c:strCache>
                <c:ptCount val="1"/>
                <c:pt idx="0">
                  <c:v>Material use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'Sensitivity analysis - RD'!$AD$452:$AF$452</c:f>
              <c:numCache>
                <c:formatCode>0%</c:formatCode>
                <c:ptCount val="3"/>
                <c:pt idx="0">
                  <c:v>0.8</c:v>
                </c:pt>
                <c:pt idx="1">
                  <c:v>1</c:v>
                </c:pt>
                <c:pt idx="2">
                  <c:v>1.2</c:v>
                </c:pt>
              </c:numCache>
            </c:numRef>
          </c:xVal>
          <c:yVal>
            <c:numRef>
              <c:f>'Sensitivity analysis - RD'!$AD$453:$AF$453</c:f>
              <c:numCache>
                <c:formatCode>0.00E+00</c:formatCode>
                <c:ptCount val="3"/>
                <c:pt idx="0">
                  <c:v>16.774082347289976</c:v>
                </c:pt>
                <c:pt idx="1">
                  <c:v>17.012549240570952</c:v>
                </c:pt>
                <c:pt idx="2">
                  <c:v>17.251016133851927</c:v>
                </c:pt>
              </c:numCache>
            </c:numRef>
          </c:yVal>
          <c:smooth val="0"/>
          <c:extLst>
            <c:ext xmlns:c16="http://schemas.microsoft.com/office/drawing/2014/chart" uri="{C3380CC4-5D6E-409C-BE32-E72D297353CC}">
              <c16:uniqueId val="{00000000-88B4-46F5-93F6-4D559EE6821B}"/>
            </c:ext>
          </c:extLst>
        </c:ser>
        <c:ser>
          <c:idx val="1"/>
          <c:order val="1"/>
          <c:tx>
            <c:strRef>
              <c:f>'Sensitivity analysis - RD'!$Y$454</c:f>
              <c:strCache>
                <c:ptCount val="1"/>
                <c:pt idx="0">
                  <c:v>Energy use</c:v>
                </c:pt>
              </c:strCache>
            </c:strRef>
          </c:tx>
          <c:spPr>
            <a:ln w="31750" cap="rnd">
              <a:solidFill>
                <a:schemeClr val="accent4"/>
              </a:solidFill>
              <a:round/>
            </a:ln>
            <a:effectLst/>
          </c:spPr>
          <c:marker>
            <c:symbol val="circle"/>
            <c:size val="5"/>
            <c:spPr>
              <a:solidFill>
                <a:schemeClr val="accent4"/>
              </a:solidFill>
              <a:ln w="9525">
                <a:solidFill>
                  <a:schemeClr val="accent4"/>
                </a:solidFill>
              </a:ln>
              <a:effectLst/>
            </c:spPr>
          </c:marker>
          <c:xVal>
            <c:numRef>
              <c:f>('Sensitivity analysis - RD'!$AC$452,'Sensitivity analysis - RD'!$AE$452,'Sensitivity analysis - RD'!$AH$452)</c:f>
              <c:numCache>
                <c:formatCode>0%</c:formatCode>
                <c:ptCount val="3"/>
                <c:pt idx="0">
                  <c:v>0.67</c:v>
                </c:pt>
                <c:pt idx="1">
                  <c:v>1</c:v>
                </c:pt>
                <c:pt idx="2">
                  <c:v>1.67</c:v>
                </c:pt>
              </c:numCache>
            </c:numRef>
          </c:xVal>
          <c:yVal>
            <c:numRef>
              <c:f>('Sensitivity analysis - RD'!$AC$454,'Sensitivity analysis - RD'!$AE$454,'Sensitivity analysis - RD'!$AH$454)</c:f>
              <c:numCache>
                <c:formatCode>0.00E+00</c:formatCode>
                <c:ptCount val="3"/>
                <c:pt idx="0">
                  <c:v>12.339072165901387</c:v>
                </c:pt>
                <c:pt idx="1">
                  <c:v>17.012549240570952</c:v>
                </c:pt>
                <c:pt idx="2">
                  <c:v>26.359503389910081</c:v>
                </c:pt>
              </c:numCache>
            </c:numRef>
          </c:yVal>
          <c:smooth val="0"/>
          <c:extLst>
            <c:ext xmlns:c16="http://schemas.microsoft.com/office/drawing/2014/chart" uri="{C3380CC4-5D6E-409C-BE32-E72D297353CC}">
              <c16:uniqueId val="{00000001-88B4-46F5-93F6-4D559EE6821B}"/>
            </c:ext>
          </c:extLst>
        </c:ser>
        <c:ser>
          <c:idx val="2"/>
          <c:order val="2"/>
          <c:tx>
            <c:strRef>
              <c:f>'Sensitivity analysis - RD'!$Y$455</c:f>
              <c:strCache>
                <c:ptCount val="1"/>
                <c:pt idx="0">
                  <c:v>Lifetime DAC system</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'Sensitivity analysis - RD'!$AD$452:$AE$452</c:f>
              <c:numCache>
                <c:formatCode>0%</c:formatCode>
                <c:ptCount val="2"/>
                <c:pt idx="0">
                  <c:v>0.8</c:v>
                </c:pt>
                <c:pt idx="1">
                  <c:v>1</c:v>
                </c:pt>
              </c:numCache>
            </c:numRef>
          </c:xVal>
          <c:yVal>
            <c:numRef>
              <c:f>'Sensitivity analysis - RD'!$AD$455:$AE$455</c:f>
              <c:numCache>
                <c:formatCode>0.00E+00</c:formatCode>
                <c:ptCount val="2"/>
                <c:pt idx="0">
                  <c:v>21.265686550713692</c:v>
                </c:pt>
                <c:pt idx="1">
                  <c:v>17.012549240570952</c:v>
                </c:pt>
              </c:numCache>
            </c:numRef>
          </c:yVal>
          <c:smooth val="0"/>
          <c:extLst>
            <c:ext xmlns:c16="http://schemas.microsoft.com/office/drawing/2014/chart" uri="{C3380CC4-5D6E-409C-BE32-E72D297353CC}">
              <c16:uniqueId val="{00000002-88B4-46F5-93F6-4D559EE6821B}"/>
            </c:ext>
          </c:extLst>
        </c:ser>
        <c:ser>
          <c:idx val="3"/>
          <c:order val="3"/>
          <c:tx>
            <c:strRef>
              <c:f>'Sensitivity analysis - RD'!$Y$456</c:f>
              <c:strCache>
                <c:ptCount val="1"/>
                <c:pt idx="0">
                  <c:v>Lifetime sorbent material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('Sensitivity analysis - RD'!$AA$452,'Sensitivity analysis - RD'!$AE$452,'Sensitivity analysis - RD'!$AH$452)</c:f>
              <c:numCache>
                <c:formatCode>0%</c:formatCode>
                <c:ptCount val="3"/>
                <c:pt idx="0">
                  <c:v>0.33</c:v>
                </c:pt>
                <c:pt idx="1">
                  <c:v>1</c:v>
                </c:pt>
                <c:pt idx="2">
                  <c:v>1.67</c:v>
                </c:pt>
              </c:numCache>
            </c:numRef>
          </c:xVal>
          <c:yVal>
            <c:numRef>
              <c:f>('Sensitivity analysis - RD'!$AA$456,'Sensitivity analysis - RD'!$AE$456,'Sensitivity analysis - RD'!$AH$456)</c:f>
              <c:numCache>
                <c:formatCode>0.00E+00</c:formatCode>
                <c:ptCount val="3"/>
                <c:pt idx="0">
                  <c:v>17.733684603270103</c:v>
                </c:pt>
                <c:pt idx="1">
                  <c:v>17.012549240570952</c:v>
                </c:pt>
                <c:pt idx="2">
                  <c:v>16.832695271414895</c:v>
                </c:pt>
              </c:numCache>
            </c:numRef>
          </c:yVal>
          <c:smooth val="0"/>
          <c:extLst>
            <c:ext xmlns:c16="http://schemas.microsoft.com/office/drawing/2014/chart" uri="{C3380CC4-5D6E-409C-BE32-E72D297353CC}">
              <c16:uniqueId val="{00000003-88B4-46F5-93F6-4D559EE6821B}"/>
            </c:ext>
          </c:extLst>
        </c:ser>
        <c:ser>
          <c:idx val="4"/>
          <c:order val="4"/>
          <c:tx>
            <c:strRef>
              <c:f>'Sensitivity analysis - RD'!$Y$457</c:f>
              <c:strCache>
                <c:ptCount val="1"/>
                <c:pt idx="0">
                  <c:v>Capacity DAC unit</c:v>
                </c:pt>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numRef>
              <c:f>('Sensitivity analysis - RD'!$AB$452,'Sensitivity analysis - RD'!$AE$452,'Sensitivity analysis - RD'!$AG$452)</c:f>
              <c:numCache>
                <c:formatCode>0%</c:formatCode>
                <c:ptCount val="3"/>
                <c:pt idx="0">
                  <c:v>0.5</c:v>
                </c:pt>
                <c:pt idx="1">
                  <c:v>1</c:v>
                </c:pt>
                <c:pt idx="2">
                  <c:v>1.5</c:v>
                </c:pt>
              </c:numCache>
            </c:numRef>
          </c:xVal>
          <c:yVal>
            <c:numRef>
              <c:f>('Sensitivity analysis - RD'!$AB$457,'Sensitivity analysis - RD'!$AE$457,'Sensitivity analysis - RD'!$AG$457)</c:f>
              <c:numCache>
                <c:formatCode>0.00E+00</c:formatCode>
                <c:ptCount val="3"/>
                <c:pt idx="0">
                  <c:v>34.025098481141903</c:v>
                </c:pt>
                <c:pt idx="1">
                  <c:v>17.012549240570952</c:v>
                </c:pt>
                <c:pt idx="2">
                  <c:v>11.341699493713968</c:v>
                </c:pt>
              </c:numCache>
            </c:numRef>
          </c:yVal>
          <c:smooth val="0"/>
          <c:extLst>
            <c:ext xmlns:c16="http://schemas.microsoft.com/office/drawing/2014/chart" uri="{C3380CC4-5D6E-409C-BE32-E72D297353CC}">
              <c16:uniqueId val="{00000004-88B4-46F5-93F6-4D559EE6821B}"/>
            </c:ext>
          </c:extLst>
        </c:ser>
        <c:ser>
          <c:idx val="7"/>
          <c:order val="5"/>
          <c:tx>
            <c:strRef>
              <c:f>'Sensitivity analysis - RD'!$Y$458</c:f>
              <c:strCache>
                <c:ptCount val="1"/>
                <c:pt idx="0">
                  <c:v>Capacity factor</c:v>
                </c:pt>
              </c:strCache>
            </c:strRef>
          </c:tx>
          <c:spPr>
            <a:ln w="19050" cap="rnd">
              <a:solidFill>
                <a:schemeClr val="accent6">
                  <a:lumMod val="50000"/>
                </a:schemeClr>
              </a:solidFill>
              <a:round/>
            </a:ln>
            <a:effectLst/>
          </c:spPr>
          <c:marker>
            <c:symbol val="circle"/>
            <c:size val="5"/>
            <c:spPr>
              <a:solidFill>
                <a:schemeClr val="accent6">
                  <a:lumMod val="50000"/>
                </a:schemeClr>
              </a:solidFill>
              <a:ln w="9525">
                <a:solidFill>
                  <a:schemeClr val="accent6">
                    <a:lumMod val="50000"/>
                  </a:schemeClr>
                </a:solidFill>
              </a:ln>
              <a:effectLst/>
            </c:spPr>
          </c:marker>
          <c:xVal>
            <c:numRef>
              <c:f>('Sensitivity analysis - RD'!$AE$452,'Sensitivity analysis - RD'!$AG$452,'Sensitivity analysis - RD'!$AI$452)</c:f>
              <c:numCache>
                <c:formatCode>0%</c:formatCode>
                <c:ptCount val="3"/>
                <c:pt idx="0">
                  <c:v>1</c:v>
                </c:pt>
                <c:pt idx="1">
                  <c:v>1.5</c:v>
                </c:pt>
                <c:pt idx="2">
                  <c:v>2</c:v>
                </c:pt>
              </c:numCache>
            </c:numRef>
          </c:xVal>
          <c:yVal>
            <c:numRef>
              <c:f>('Sensitivity analysis - RD'!$AE$458,'Sensitivity analysis - RD'!$AG$458,'Sensitivity analysis - RD'!$AI$458)</c:f>
              <c:numCache>
                <c:formatCode>0.00E+00</c:formatCode>
                <c:ptCount val="3"/>
                <c:pt idx="0">
                  <c:v>17.012549240570952</c:v>
                </c:pt>
                <c:pt idx="1">
                  <c:v>15.328702532953917</c:v>
                </c:pt>
                <c:pt idx="2">
                  <c:v>13.925496943273059</c:v>
                </c:pt>
              </c:numCache>
            </c:numRef>
          </c:yVal>
          <c:smooth val="0"/>
          <c:extLst>
            <c:ext xmlns:c16="http://schemas.microsoft.com/office/drawing/2014/chart" uri="{C3380CC4-5D6E-409C-BE32-E72D297353CC}">
              <c16:uniqueId val="{00000005-88B4-46F5-93F6-4D559EE6821B}"/>
            </c:ext>
          </c:extLst>
        </c:ser>
        <c:ser>
          <c:idx val="6"/>
          <c:order val="6"/>
          <c:tx>
            <c:strRef>
              <c:f>'Sensitivity analysis - RD'!$Y$459</c:f>
              <c:strCache>
                <c:ptCount val="1"/>
                <c:pt idx="0">
                  <c:v>Sorbent type - amine on silica</c:v>
                </c:pt>
              </c:strCache>
            </c:strRef>
          </c:tx>
          <c:spPr>
            <a:ln w="19050" cap="rnd">
              <a:noFill/>
              <a:round/>
            </a:ln>
            <a:effectLst/>
          </c:spPr>
          <c:marker>
            <c:symbol val="square"/>
            <c:size val="5"/>
            <c:spPr>
              <a:solidFill>
                <a:srgbClr val="C00000"/>
              </a:solidFill>
              <a:ln w="9525">
                <a:solidFill>
                  <a:srgbClr val="C00000"/>
                </a:solidFill>
              </a:ln>
              <a:effectLst/>
            </c:spPr>
          </c:marker>
          <c:xVal>
            <c:numRef>
              <c:f>'Sensitivity analysis - RD'!$AE$452</c:f>
              <c:numCache>
                <c:formatCode>0%</c:formatCode>
                <c:ptCount val="1"/>
                <c:pt idx="0">
                  <c:v>1</c:v>
                </c:pt>
              </c:numCache>
            </c:numRef>
          </c:xVal>
          <c:yVal>
            <c:numRef>
              <c:f>'Sensitivity analysis - RD'!$AE$459</c:f>
              <c:numCache>
                <c:formatCode>0.00E+00</c:formatCode>
                <c:ptCount val="1"/>
                <c:pt idx="0">
                  <c:v>17.677811939295854</c:v>
                </c:pt>
              </c:numCache>
            </c:numRef>
          </c:yVal>
          <c:smooth val="0"/>
          <c:extLst>
            <c:ext xmlns:c16="http://schemas.microsoft.com/office/drawing/2014/chart" uri="{C3380CC4-5D6E-409C-BE32-E72D297353CC}">
              <c16:uniqueId val="{00000007-88B4-46F5-93F6-4D559EE6821B}"/>
            </c:ext>
          </c:extLst>
        </c:ser>
        <c:dLbls>
          <c:showLegendKey val="0"/>
          <c:showVal val="0"/>
          <c:showCatName val="0"/>
          <c:showSerName val="0"/>
          <c:showPercent val="0"/>
          <c:showBubbleSize val="0"/>
        </c:dLbls>
        <c:axId val="894438607"/>
        <c:axId val="1119274239"/>
      </c:scatterChart>
      <c:valAx>
        <c:axId val="894438607"/>
        <c:scaling>
          <c:orientation val="minMax"/>
          <c:max val="2.5"/>
          <c:min val="0"/>
        </c:scaling>
        <c:delete val="0"/>
        <c:axPos val="b"/>
        <c:majorGridlines>
          <c:spPr>
            <a:ln w="9525" cap="flat" cmpd="sng" algn="ctr">
              <a:solidFill>
                <a:schemeClr val="tx1">
                  <a:lumMod val="50000"/>
                  <a:lumOff val="50000"/>
                </a:schemeClr>
              </a:solidFill>
              <a:round/>
            </a:ln>
            <a:effectLst/>
          </c:spPr>
        </c:majorGridlines>
        <c:numFmt formatCode="0%" sourceLinked="1"/>
        <c:majorTickMark val="none"/>
        <c:minorTickMark val="none"/>
        <c:tickLblPos val="high"/>
        <c:spPr>
          <a:noFill/>
          <a:ln w="190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1119274239"/>
        <c:crosses val="autoZero"/>
        <c:crossBetween val="midCat"/>
      </c:valAx>
      <c:valAx>
        <c:axId val="1119274239"/>
        <c:scaling>
          <c:orientation val="minMax"/>
        </c:scaling>
        <c:delete val="0"/>
        <c:axPos val="l"/>
        <c:majorGridlines>
          <c:spPr>
            <a:ln w="9525" cap="flat" cmpd="sng" algn="ctr">
              <a:solidFill>
                <a:schemeClr val="tx1">
                  <a:lumMod val="50000"/>
                  <a:lumOff val="50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r>
                  <a:rPr lang="nl-NL"/>
                  <a:t>Resource damage</a:t>
                </a:r>
              </a:p>
              <a:p>
                <a:pPr>
                  <a:defRPr/>
                </a:pPr>
                <a:r>
                  <a:rPr lang="nl-NL"/>
                  <a:t>[USD2013/ton CO</a:t>
                </a:r>
                <a:r>
                  <a:rPr lang="nl-NL" baseline="-25000"/>
                  <a:t>2</a:t>
                </a:r>
                <a:r>
                  <a:rPr lang="nl-NL"/>
                  <a:t> captured and stored]</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894438607"/>
        <c:crosses val="autoZero"/>
        <c:crossBetween val="midCat"/>
      </c:valAx>
      <c:spPr>
        <a:noFill/>
        <a:ln w="19050">
          <a:solidFill>
            <a:schemeClr val="tx1"/>
          </a:solidFill>
        </a:ln>
        <a:effectLst/>
      </c:spPr>
    </c:plotArea>
    <c:legend>
      <c:legendPos val="r"/>
      <c:layout>
        <c:manualLayout>
          <c:xMode val="edge"/>
          <c:yMode val="edge"/>
          <c:x val="0.53718116324829401"/>
          <c:y val="6.9177319256384068E-2"/>
          <c:w val="0.27954164711576512"/>
          <c:h val="0.87651563750530548"/>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535209944394535"/>
          <c:y val="7.845160620140787E-2"/>
          <c:w val="0.71503138979994152"/>
          <c:h val="0.8960265999776722"/>
        </c:manualLayout>
      </c:layout>
      <c:scatterChart>
        <c:scatterStyle val="lineMarker"/>
        <c:varyColors val="0"/>
        <c:ser>
          <c:idx val="0"/>
          <c:order val="0"/>
          <c:tx>
            <c:strRef>
              <c:f>'Sensitivity analysis - RD'!$A$464</c:f>
              <c:strCache>
                <c:ptCount val="1"/>
                <c:pt idx="0">
                  <c:v>Material use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'Sensitivity analysis - RD'!$F$463:$G$463</c:f>
              <c:numCache>
                <c:formatCode>0%</c:formatCode>
                <c:ptCount val="2"/>
                <c:pt idx="0">
                  <c:v>0.8</c:v>
                </c:pt>
                <c:pt idx="1">
                  <c:v>1</c:v>
                </c:pt>
              </c:numCache>
            </c:numRef>
          </c:xVal>
          <c:yVal>
            <c:numRef>
              <c:f>'Sensitivity analysis - RD'!$F$464:$G$464</c:f>
              <c:numCache>
                <c:formatCode>0.00E+00</c:formatCode>
                <c:ptCount val="2"/>
                <c:pt idx="0">
                  <c:v>20.217406303048012</c:v>
                </c:pt>
                <c:pt idx="1">
                  <c:v>20.701599764119692</c:v>
                </c:pt>
              </c:numCache>
            </c:numRef>
          </c:yVal>
          <c:smooth val="0"/>
          <c:extLst>
            <c:ext xmlns:c16="http://schemas.microsoft.com/office/drawing/2014/chart" uri="{C3380CC4-5D6E-409C-BE32-E72D297353CC}">
              <c16:uniqueId val="{00000000-BE2F-492F-A44D-EDBA0921E659}"/>
            </c:ext>
          </c:extLst>
        </c:ser>
        <c:ser>
          <c:idx val="1"/>
          <c:order val="1"/>
          <c:tx>
            <c:strRef>
              <c:f>'Sensitivity analysis - RD'!$A$465</c:f>
              <c:strCache>
                <c:ptCount val="1"/>
                <c:pt idx="0">
                  <c:v>Energy use</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('Sensitivity analysis - RD'!$E$463,'Sensitivity analysis - RD'!$G$463,'Sensitivity analysis - RD'!$J$463)</c:f>
              <c:numCache>
                <c:formatCode>0%</c:formatCode>
                <c:ptCount val="3"/>
                <c:pt idx="0">
                  <c:v>0.67</c:v>
                </c:pt>
                <c:pt idx="1">
                  <c:v>1</c:v>
                </c:pt>
                <c:pt idx="2">
                  <c:v>1.67</c:v>
                </c:pt>
              </c:numCache>
            </c:numRef>
          </c:xVal>
          <c:yVal>
            <c:numRef>
              <c:f>('Sensitivity analysis - RD'!$E$465,'Sensitivity analysis - RD'!$G$465,'Sensitivity analysis - RD'!$J$465)</c:f>
              <c:numCache>
                <c:formatCode>0.00E+00</c:formatCode>
                <c:ptCount val="3"/>
                <c:pt idx="0">
                  <c:v>18.423643461545428</c:v>
                </c:pt>
                <c:pt idx="1">
                  <c:v>20.701599764119692</c:v>
                </c:pt>
                <c:pt idx="2">
                  <c:v>25.257512369268241</c:v>
                </c:pt>
              </c:numCache>
            </c:numRef>
          </c:yVal>
          <c:smooth val="0"/>
          <c:extLst>
            <c:ext xmlns:c16="http://schemas.microsoft.com/office/drawing/2014/chart" uri="{C3380CC4-5D6E-409C-BE32-E72D297353CC}">
              <c16:uniqueId val="{00000001-BE2F-492F-A44D-EDBA0921E659}"/>
            </c:ext>
          </c:extLst>
        </c:ser>
        <c:ser>
          <c:idx val="2"/>
          <c:order val="2"/>
          <c:tx>
            <c:strRef>
              <c:f>'Sensitivity analysis - RD'!$A$466</c:f>
              <c:strCache>
                <c:ptCount val="1"/>
                <c:pt idx="0">
                  <c:v>Lifetime DAC system</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'Sensitivity analysis - RD'!$F$463:$G$463</c:f>
              <c:numCache>
                <c:formatCode>0%</c:formatCode>
                <c:ptCount val="2"/>
                <c:pt idx="0">
                  <c:v>0.8</c:v>
                </c:pt>
                <c:pt idx="1">
                  <c:v>1</c:v>
                </c:pt>
              </c:numCache>
            </c:numRef>
          </c:xVal>
          <c:yVal>
            <c:numRef>
              <c:f>'Sensitivity analysis - RD'!$F$466:$G$466</c:f>
              <c:numCache>
                <c:formatCode>0.00E+00</c:formatCode>
                <c:ptCount val="2"/>
                <c:pt idx="0">
                  <c:v>25.876999705149618</c:v>
                </c:pt>
                <c:pt idx="1">
                  <c:v>20.701599764119699</c:v>
                </c:pt>
              </c:numCache>
            </c:numRef>
          </c:yVal>
          <c:smooth val="0"/>
          <c:extLst>
            <c:ext xmlns:c16="http://schemas.microsoft.com/office/drawing/2014/chart" uri="{C3380CC4-5D6E-409C-BE32-E72D297353CC}">
              <c16:uniqueId val="{00000002-BE2F-492F-A44D-EDBA0921E659}"/>
            </c:ext>
          </c:extLst>
        </c:ser>
        <c:ser>
          <c:idx val="3"/>
          <c:order val="3"/>
          <c:tx>
            <c:strRef>
              <c:f>'Sensitivity analysis - RD'!$A$467</c:f>
              <c:strCache>
                <c:ptCount val="1"/>
                <c:pt idx="0">
                  <c:v>Lifetime sorbent material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('Sensitivity analysis - RD'!$C$463,'Sensitivity analysis - RD'!$G$463,'Sensitivity analysis - RD'!$J$463)</c:f>
              <c:numCache>
                <c:formatCode>0%</c:formatCode>
                <c:ptCount val="3"/>
                <c:pt idx="0">
                  <c:v>0.33</c:v>
                </c:pt>
                <c:pt idx="1">
                  <c:v>1</c:v>
                </c:pt>
                <c:pt idx="2">
                  <c:v>1.67</c:v>
                </c:pt>
              </c:numCache>
            </c:numRef>
          </c:xVal>
          <c:yVal>
            <c:numRef>
              <c:f>('Sensitivity analysis - RD'!$C$467,'Sensitivity analysis - RD'!$G$467,'Sensitivity analysis - RD'!$J$467)</c:f>
              <c:numCache>
                <c:formatCode>0.00E+00</c:formatCode>
                <c:ptCount val="3"/>
                <c:pt idx="0">
                  <c:v>21.028333258460158</c:v>
                </c:pt>
                <c:pt idx="1">
                  <c:v>20.701599764119692</c:v>
                </c:pt>
                <c:pt idx="2">
                  <c:v>20.095153697772037</c:v>
                </c:pt>
              </c:numCache>
            </c:numRef>
          </c:yVal>
          <c:smooth val="0"/>
          <c:extLst>
            <c:ext xmlns:c16="http://schemas.microsoft.com/office/drawing/2014/chart" uri="{C3380CC4-5D6E-409C-BE32-E72D297353CC}">
              <c16:uniqueId val="{00000003-BE2F-492F-A44D-EDBA0921E659}"/>
            </c:ext>
          </c:extLst>
        </c:ser>
        <c:ser>
          <c:idx val="4"/>
          <c:order val="4"/>
          <c:tx>
            <c:strRef>
              <c:f>'Sensitivity analysis - RD'!$A$468</c:f>
              <c:strCache>
                <c:ptCount val="1"/>
                <c:pt idx="0">
                  <c:v>Capacity DAC unit</c:v>
                </c:pt>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numRef>
              <c:f>('Sensitivity analysis - RD'!$D$463,'Sensitivity analysis - RD'!$G$463,'Sensitivity analysis - RD'!$I$463)</c:f>
              <c:numCache>
                <c:formatCode>0%</c:formatCode>
                <c:ptCount val="3"/>
                <c:pt idx="0">
                  <c:v>0.5</c:v>
                </c:pt>
                <c:pt idx="1">
                  <c:v>1</c:v>
                </c:pt>
                <c:pt idx="2">
                  <c:v>1.5</c:v>
                </c:pt>
              </c:numCache>
            </c:numRef>
          </c:xVal>
          <c:yVal>
            <c:numRef>
              <c:f>('Sensitivity analysis - RD'!$D$468,'Sensitivity analysis - RD'!$G$468,'Sensitivity analysis - RD'!$I$468)</c:f>
              <c:numCache>
                <c:formatCode>0.00E+00</c:formatCode>
                <c:ptCount val="3"/>
                <c:pt idx="0">
                  <c:v>41.403199528239398</c:v>
                </c:pt>
                <c:pt idx="1">
                  <c:v>20.701599764119699</c:v>
                </c:pt>
                <c:pt idx="2">
                  <c:v>13.801066509413133</c:v>
                </c:pt>
              </c:numCache>
            </c:numRef>
          </c:yVal>
          <c:smooth val="0"/>
          <c:extLst>
            <c:ext xmlns:c16="http://schemas.microsoft.com/office/drawing/2014/chart" uri="{C3380CC4-5D6E-409C-BE32-E72D297353CC}">
              <c16:uniqueId val="{00000004-BE2F-492F-A44D-EDBA0921E659}"/>
            </c:ext>
          </c:extLst>
        </c:ser>
        <c:ser>
          <c:idx val="5"/>
          <c:order val="5"/>
          <c:tx>
            <c:strRef>
              <c:f>'Sensitivity analysis - RD'!$A$469</c:f>
              <c:strCache>
                <c:ptCount val="1"/>
                <c:pt idx="0">
                  <c:v>Curtailment factor</c:v>
                </c:pt>
              </c:strCache>
            </c:strRef>
          </c:tx>
          <c:spPr>
            <a:ln w="19050"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xVal>
            <c:numRef>
              <c:f>('Sensitivity analysis - RD'!$B$463,'Sensitivity analysis - RD'!$D$463,'Sensitivity analysis - RD'!$G$463,'Sensitivity analysis - RD'!$I$463)</c:f>
              <c:numCache>
                <c:formatCode>0%</c:formatCode>
                <c:ptCount val="4"/>
                <c:pt idx="0">
                  <c:v>0</c:v>
                </c:pt>
                <c:pt idx="1">
                  <c:v>0.5</c:v>
                </c:pt>
                <c:pt idx="2">
                  <c:v>1</c:v>
                </c:pt>
                <c:pt idx="3">
                  <c:v>1.5</c:v>
                </c:pt>
              </c:numCache>
            </c:numRef>
          </c:xVal>
          <c:yVal>
            <c:numRef>
              <c:f>('Sensitivity analysis - RD'!$B$469,'Sensitivity analysis - RD'!$D$469,'Sensitivity analysis - RD'!$G$469,'Sensitivity analysis - RD'!$I$469)</c:f>
              <c:numCache>
                <c:formatCode>0.00</c:formatCode>
                <c:ptCount val="4"/>
                <c:pt idx="0">
                  <c:v>17.377014890092383</c:v>
                </c:pt>
                <c:pt idx="1">
                  <c:v>18.546776234657557</c:v>
                </c:pt>
                <c:pt idx="2" formatCode="0.00E+00">
                  <c:v>20.886298923787876</c:v>
                </c:pt>
                <c:pt idx="3" formatCode="0.00E+00">
                  <c:v>27.904866991178878</c:v>
                </c:pt>
              </c:numCache>
            </c:numRef>
          </c:yVal>
          <c:smooth val="0"/>
          <c:extLst>
            <c:ext xmlns:c16="http://schemas.microsoft.com/office/drawing/2014/chart" uri="{C3380CC4-5D6E-409C-BE32-E72D297353CC}">
              <c16:uniqueId val="{00000005-BE2F-492F-A44D-EDBA0921E659}"/>
            </c:ext>
          </c:extLst>
        </c:ser>
        <c:ser>
          <c:idx val="8"/>
          <c:order val="6"/>
          <c:tx>
            <c:strRef>
              <c:f>'Sensitivity analysis - RD'!$A$470</c:f>
              <c:strCache>
                <c:ptCount val="1"/>
                <c:pt idx="0">
                  <c:v>Battery capacity</c:v>
                </c:pt>
              </c:strCache>
            </c:strRef>
          </c:tx>
          <c:spPr>
            <a:ln w="19050" cap="rnd">
              <a:solidFill>
                <a:srgbClr val="FF4F4F"/>
              </a:solidFill>
              <a:round/>
            </a:ln>
            <a:effectLst/>
          </c:spPr>
          <c:marker>
            <c:symbol val="circle"/>
            <c:size val="5"/>
            <c:spPr>
              <a:solidFill>
                <a:srgbClr val="FF4F4F"/>
              </a:solidFill>
              <a:ln w="9525">
                <a:solidFill>
                  <a:srgbClr val="FF4F4F"/>
                </a:solidFill>
              </a:ln>
              <a:effectLst/>
            </c:spPr>
          </c:marker>
          <c:xVal>
            <c:numRef>
              <c:f>('Sensitivity analysis - RD'!$D$463,'Sensitivity analysis - RD'!$G$463,'Sensitivity analysis - RD'!$K$463)</c:f>
              <c:numCache>
                <c:formatCode>0%</c:formatCode>
                <c:ptCount val="3"/>
                <c:pt idx="0">
                  <c:v>0.5</c:v>
                </c:pt>
                <c:pt idx="1">
                  <c:v>1</c:v>
                </c:pt>
                <c:pt idx="2">
                  <c:v>2</c:v>
                </c:pt>
              </c:numCache>
            </c:numRef>
          </c:xVal>
          <c:yVal>
            <c:numRef>
              <c:f>('Sensitivity analysis - RD'!$D$470,'Sensitivity analysis - RD'!$G$470,'Sensitivity analysis - RD'!$K$470)</c:f>
              <c:numCache>
                <c:formatCode>0.00</c:formatCode>
                <c:ptCount val="3"/>
                <c:pt idx="0">
                  <c:v>15.12044566704277</c:v>
                </c:pt>
                <c:pt idx="1">
                  <c:v>20.886298923787876</c:v>
                </c:pt>
                <c:pt idx="2" formatCode="0.0">
                  <c:v>41.435857993171119</c:v>
                </c:pt>
              </c:numCache>
            </c:numRef>
          </c:yVal>
          <c:smooth val="0"/>
          <c:extLst>
            <c:ext xmlns:c16="http://schemas.microsoft.com/office/drawing/2014/chart" uri="{C3380CC4-5D6E-409C-BE32-E72D297353CC}">
              <c16:uniqueId val="{00000006-BE2F-492F-A44D-EDBA0921E659}"/>
            </c:ext>
          </c:extLst>
        </c:ser>
        <c:ser>
          <c:idx val="9"/>
          <c:order val="7"/>
          <c:tx>
            <c:strRef>
              <c:f>'Sensitivity analysis - RD'!$A$471</c:f>
              <c:strCache>
                <c:ptCount val="1"/>
                <c:pt idx="0">
                  <c:v>Battery share factor</c:v>
                </c:pt>
              </c:strCache>
            </c:strRef>
          </c:tx>
          <c:spPr>
            <a:ln w="19050" cap="rnd">
              <a:solidFill>
                <a:srgbClr val="A4D3EA"/>
              </a:solidFill>
              <a:round/>
            </a:ln>
            <a:effectLst/>
          </c:spPr>
          <c:marker>
            <c:symbol val="circle"/>
            <c:size val="5"/>
            <c:spPr>
              <a:solidFill>
                <a:srgbClr val="A4D3EA"/>
              </a:solidFill>
              <a:ln w="9525">
                <a:solidFill>
                  <a:srgbClr val="A4D3EA"/>
                </a:solidFill>
              </a:ln>
              <a:effectLst/>
            </c:spPr>
          </c:marker>
          <c:xVal>
            <c:numRef>
              <c:f>('Sensitivity analysis - RD'!$D$463,'Sensitivity analysis - RD'!$G$463,'Sensitivity analysis - RD'!$I$463)</c:f>
              <c:numCache>
                <c:formatCode>0%</c:formatCode>
                <c:ptCount val="3"/>
                <c:pt idx="0">
                  <c:v>0.5</c:v>
                </c:pt>
                <c:pt idx="1">
                  <c:v>1</c:v>
                </c:pt>
                <c:pt idx="2">
                  <c:v>1.5</c:v>
                </c:pt>
              </c:numCache>
            </c:numRef>
          </c:xVal>
          <c:yVal>
            <c:numRef>
              <c:f>('Sensitivity analysis - RD'!$D$471,'Sensitivity analysis - RD'!$G$471,'Sensitivity analysis - RD'!$K$471)</c:f>
              <c:numCache>
                <c:formatCode>0.00</c:formatCode>
                <c:ptCount val="3"/>
                <c:pt idx="0">
                  <c:v>20.886298923787876</c:v>
                </c:pt>
                <c:pt idx="1">
                  <c:v>20.886298923787876</c:v>
                </c:pt>
                <c:pt idx="2" formatCode="0.0">
                  <c:v>20.886298923787876</c:v>
                </c:pt>
              </c:numCache>
            </c:numRef>
          </c:yVal>
          <c:smooth val="0"/>
          <c:extLst>
            <c:ext xmlns:c16="http://schemas.microsoft.com/office/drawing/2014/chart" uri="{C3380CC4-5D6E-409C-BE32-E72D297353CC}">
              <c16:uniqueId val="{00000007-BE2F-492F-A44D-EDBA0921E659}"/>
            </c:ext>
          </c:extLst>
        </c:ser>
        <c:ser>
          <c:idx val="7"/>
          <c:order val="8"/>
          <c:tx>
            <c:strRef>
              <c:f>'Sensitivity analysis - RD'!$A$472</c:f>
              <c:strCache>
                <c:ptCount val="1"/>
                <c:pt idx="0">
                  <c:v>Sorbent type - amine on silica</c:v>
                </c:pt>
              </c:strCache>
            </c:strRef>
          </c:tx>
          <c:spPr>
            <a:ln w="19050" cap="rnd">
              <a:noFill/>
              <a:round/>
            </a:ln>
            <a:effectLst/>
          </c:spPr>
          <c:marker>
            <c:symbol val="square"/>
            <c:size val="5"/>
            <c:spPr>
              <a:solidFill>
                <a:srgbClr val="C00000"/>
              </a:solidFill>
              <a:ln w="9525">
                <a:solidFill>
                  <a:srgbClr val="C00000"/>
                </a:solidFill>
              </a:ln>
              <a:effectLst/>
            </c:spPr>
          </c:marker>
          <c:xVal>
            <c:numRef>
              <c:f>'Sensitivity analysis - RD'!$G$463</c:f>
              <c:numCache>
                <c:formatCode>0%</c:formatCode>
                <c:ptCount val="1"/>
                <c:pt idx="0">
                  <c:v>1</c:v>
                </c:pt>
              </c:numCache>
            </c:numRef>
          </c:xVal>
          <c:yVal>
            <c:numRef>
              <c:f>'Sensitivity analysis - RD'!$G$472</c:f>
              <c:numCache>
                <c:formatCode>0.00E+00</c:formatCode>
                <c:ptCount val="1"/>
                <c:pt idx="0">
                  <c:v>22.081211962448116</c:v>
                </c:pt>
              </c:numCache>
            </c:numRef>
          </c:yVal>
          <c:smooth val="0"/>
          <c:extLst>
            <c:ext xmlns:c16="http://schemas.microsoft.com/office/drawing/2014/chart" uri="{C3380CC4-5D6E-409C-BE32-E72D297353CC}">
              <c16:uniqueId val="{00000009-BE2F-492F-A44D-EDBA0921E659}"/>
            </c:ext>
          </c:extLst>
        </c:ser>
        <c:dLbls>
          <c:showLegendKey val="0"/>
          <c:showVal val="0"/>
          <c:showCatName val="0"/>
          <c:showSerName val="0"/>
          <c:showPercent val="0"/>
          <c:showBubbleSize val="0"/>
        </c:dLbls>
        <c:axId val="894438607"/>
        <c:axId val="1119274239"/>
      </c:scatterChart>
      <c:valAx>
        <c:axId val="894438607"/>
        <c:scaling>
          <c:orientation val="minMax"/>
          <c:max val="2.5"/>
          <c:min val="0"/>
        </c:scaling>
        <c:delete val="0"/>
        <c:axPos val="b"/>
        <c:majorGridlines>
          <c:spPr>
            <a:ln w="9525" cap="flat" cmpd="sng" algn="ctr">
              <a:solidFill>
                <a:schemeClr val="tx1">
                  <a:lumMod val="50000"/>
                  <a:lumOff val="50000"/>
                </a:schemeClr>
              </a:solidFill>
              <a:round/>
            </a:ln>
            <a:effectLst/>
          </c:spPr>
        </c:majorGridlines>
        <c:numFmt formatCode="0%" sourceLinked="1"/>
        <c:majorTickMark val="none"/>
        <c:minorTickMark val="none"/>
        <c:tickLblPos val="high"/>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1119274239"/>
        <c:crosses val="autoZero"/>
        <c:crossBetween val="midCat"/>
      </c:valAx>
      <c:valAx>
        <c:axId val="1119274239"/>
        <c:scaling>
          <c:orientation val="minMax"/>
        </c:scaling>
        <c:delete val="0"/>
        <c:axPos val="l"/>
        <c:majorGridlines>
          <c:spPr>
            <a:ln w="9525" cap="flat" cmpd="sng" algn="ctr">
              <a:solidFill>
                <a:schemeClr val="tx1">
                  <a:lumMod val="50000"/>
                  <a:lumOff val="50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r>
                  <a:rPr lang="nl-NL"/>
                  <a:t>Resource dmage</a:t>
                </a:r>
              </a:p>
              <a:p>
                <a:pPr>
                  <a:defRPr/>
                </a:pPr>
                <a:r>
                  <a:rPr lang="nl-NL"/>
                  <a:t>[USD2013/ton CO</a:t>
                </a:r>
                <a:r>
                  <a:rPr lang="nl-NL" baseline="-25000"/>
                  <a:t>2</a:t>
                </a:r>
                <a:r>
                  <a:rPr lang="nl-NL"/>
                  <a:t> captured and stored]</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894438607"/>
        <c:crosses val="autoZero"/>
        <c:crossBetween val="midCat"/>
      </c:valAx>
      <c:spPr>
        <a:noFill/>
        <a:ln w="19050">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09639531099222"/>
          <c:y val="7.47783341432324E-2"/>
          <c:w val="0.72032706571577043"/>
          <c:h val="0.90236490531223368"/>
        </c:manualLayout>
      </c:layout>
      <c:scatterChart>
        <c:scatterStyle val="lineMarker"/>
        <c:varyColors val="0"/>
        <c:ser>
          <c:idx val="0"/>
          <c:order val="0"/>
          <c:tx>
            <c:strRef>
              <c:f>'Sensitivity analysis - RD'!$A$464</c:f>
              <c:strCache>
                <c:ptCount val="1"/>
                <c:pt idx="0">
                  <c:v>Material use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'Sensitivity analysis - RD'!$F$463:$G$463</c:f>
              <c:numCache>
                <c:formatCode>0%</c:formatCode>
                <c:ptCount val="2"/>
                <c:pt idx="0">
                  <c:v>0.8</c:v>
                </c:pt>
                <c:pt idx="1">
                  <c:v>1</c:v>
                </c:pt>
              </c:numCache>
            </c:numRef>
          </c:xVal>
          <c:yVal>
            <c:numRef>
              <c:f>'Sensitivity analysis - RD'!$R$464:$T$464</c:f>
              <c:numCache>
                <c:formatCode>0.00E+00</c:formatCode>
                <c:ptCount val="3"/>
                <c:pt idx="0">
                  <c:v>19.648707780589842</c:v>
                </c:pt>
                <c:pt idx="1">
                  <c:v>20.123378478107711</c:v>
                </c:pt>
                <c:pt idx="2">
                  <c:v>20.598049175625587</c:v>
                </c:pt>
              </c:numCache>
            </c:numRef>
          </c:yVal>
          <c:smooth val="0"/>
          <c:extLst>
            <c:ext xmlns:c16="http://schemas.microsoft.com/office/drawing/2014/chart" uri="{C3380CC4-5D6E-409C-BE32-E72D297353CC}">
              <c16:uniqueId val="{00000000-838E-4D66-ADDB-A89FE211348A}"/>
            </c:ext>
          </c:extLst>
        </c:ser>
        <c:ser>
          <c:idx val="1"/>
          <c:order val="1"/>
          <c:tx>
            <c:strRef>
              <c:f>'Sensitivity analysis - RD'!$A$465</c:f>
              <c:strCache>
                <c:ptCount val="1"/>
                <c:pt idx="0">
                  <c:v>Energy use</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('Sensitivity analysis - RD'!$E$463,'Sensitivity analysis - RD'!$G$463,'Sensitivity analysis - RD'!$J$463)</c:f>
              <c:numCache>
                <c:formatCode>0%</c:formatCode>
                <c:ptCount val="3"/>
                <c:pt idx="0">
                  <c:v>0.67</c:v>
                </c:pt>
                <c:pt idx="1">
                  <c:v>1</c:v>
                </c:pt>
                <c:pt idx="2">
                  <c:v>1.67</c:v>
                </c:pt>
              </c:numCache>
            </c:numRef>
          </c:xVal>
          <c:yVal>
            <c:numRef>
              <c:f>('Sensitivity analysis - RD'!$Q$465,'Sensitivity analysis - RD'!$S$465,'Sensitivity analysis - RD'!$V$465)</c:f>
              <c:numCache>
                <c:formatCode>0.00E+00</c:formatCode>
                <c:ptCount val="3"/>
                <c:pt idx="0">
                  <c:v>17.862177740487226</c:v>
                </c:pt>
                <c:pt idx="1">
                  <c:v>20.123378478107711</c:v>
                </c:pt>
                <c:pt idx="2">
                  <c:v>24.645779953348679</c:v>
                </c:pt>
              </c:numCache>
            </c:numRef>
          </c:yVal>
          <c:smooth val="0"/>
          <c:extLst>
            <c:ext xmlns:c16="http://schemas.microsoft.com/office/drawing/2014/chart" uri="{C3380CC4-5D6E-409C-BE32-E72D297353CC}">
              <c16:uniqueId val="{00000001-838E-4D66-ADDB-A89FE211348A}"/>
            </c:ext>
          </c:extLst>
        </c:ser>
        <c:ser>
          <c:idx val="2"/>
          <c:order val="2"/>
          <c:tx>
            <c:strRef>
              <c:f>'Sensitivity analysis - RD'!$A$466</c:f>
              <c:strCache>
                <c:ptCount val="1"/>
                <c:pt idx="0">
                  <c:v>Lifetime DAC system</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'Sensitivity analysis - RD'!$F$463:$G$463</c:f>
              <c:numCache>
                <c:formatCode>0%</c:formatCode>
                <c:ptCount val="2"/>
                <c:pt idx="0">
                  <c:v>0.8</c:v>
                </c:pt>
                <c:pt idx="1">
                  <c:v>1</c:v>
                </c:pt>
              </c:numCache>
            </c:numRef>
          </c:xVal>
          <c:yVal>
            <c:numRef>
              <c:f>'Sensitivity analysis - RD'!$R$466:$S$466</c:f>
              <c:numCache>
                <c:formatCode>0.00E+00</c:formatCode>
                <c:ptCount val="2"/>
                <c:pt idx="0">
                  <c:v>25.154223097634642</c:v>
                </c:pt>
                <c:pt idx="1">
                  <c:v>20.123378478107714</c:v>
                </c:pt>
              </c:numCache>
            </c:numRef>
          </c:yVal>
          <c:smooth val="0"/>
          <c:extLst>
            <c:ext xmlns:c16="http://schemas.microsoft.com/office/drawing/2014/chart" uri="{C3380CC4-5D6E-409C-BE32-E72D297353CC}">
              <c16:uniqueId val="{00000002-838E-4D66-ADDB-A89FE211348A}"/>
            </c:ext>
          </c:extLst>
        </c:ser>
        <c:ser>
          <c:idx val="3"/>
          <c:order val="3"/>
          <c:tx>
            <c:strRef>
              <c:f>'Sensitivity analysis - RD'!$A$467</c:f>
              <c:strCache>
                <c:ptCount val="1"/>
                <c:pt idx="0">
                  <c:v>Lifetime sorbent material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('Sensitivity analysis - RD'!$C$463,'Sensitivity analysis - RD'!$G$463,'Sensitivity analysis - RD'!$J$463)</c:f>
              <c:numCache>
                <c:formatCode>0%</c:formatCode>
                <c:ptCount val="3"/>
                <c:pt idx="0">
                  <c:v>0.33</c:v>
                </c:pt>
                <c:pt idx="1">
                  <c:v>1</c:v>
                </c:pt>
                <c:pt idx="2">
                  <c:v>1.67</c:v>
                </c:pt>
              </c:numCache>
            </c:numRef>
          </c:xVal>
          <c:yVal>
            <c:numRef>
              <c:f>('Sensitivity analysis - RD'!$O$467,'Sensitivity analysis - RD'!$S$467,'Sensitivity analysis - RD'!$V$467)</c:f>
              <c:numCache>
                <c:formatCode>0.00E+00</c:formatCode>
                <c:ptCount val="3"/>
                <c:pt idx="0">
                  <c:v>20.444980976361762</c:v>
                </c:pt>
                <c:pt idx="1">
                  <c:v>20.123378478107711</c:v>
                </c:pt>
                <c:pt idx="2">
                  <c:v>19.527086800564515</c:v>
                </c:pt>
              </c:numCache>
            </c:numRef>
          </c:yVal>
          <c:smooth val="0"/>
          <c:extLst>
            <c:ext xmlns:c16="http://schemas.microsoft.com/office/drawing/2014/chart" uri="{C3380CC4-5D6E-409C-BE32-E72D297353CC}">
              <c16:uniqueId val="{00000003-838E-4D66-ADDB-A89FE211348A}"/>
            </c:ext>
          </c:extLst>
        </c:ser>
        <c:ser>
          <c:idx val="4"/>
          <c:order val="4"/>
          <c:tx>
            <c:strRef>
              <c:f>'Sensitivity analysis - RD'!$A$468</c:f>
              <c:strCache>
                <c:ptCount val="1"/>
                <c:pt idx="0">
                  <c:v>Capacity DAC unit</c:v>
                </c:pt>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numRef>
              <c:f>('Sensitivity analysis - RD'!$D$463,'Sensitivity analysis - RD'!$G$463,'Sensitivity analysis - RD'!$I$463)</c:f>
              <c:numCache>
                <c:formatCode>0%</c:formatCode>
                <c:ptCount val="3"/>
                <c:pt idx="0">
                  <c:v>0.5</c:v>
                </c:pt>
                <c:pt idx="1">
                  <c:v>1</c:v>
                </c:pt>
                <c:pt idx="2">
                  <c:v>1.5</c:v>
                </c:pt>
              </c:numCache>
            </c:numRef>
          </c:xVal>
          <c:yVal>
            <c:numRef>
              <c:f>('Sensitivity analysis - RD'!$P$468,'Sensitivity analysis - RD'!$S$468,'Sensitivity analysis - RD'!$U$468)</c:f>
              <c:numCache>
                <c:formatCode>0.00E+00</c:formatCode>
                <c:ptCount val="3"/>
                <c:pt idx="0">
                  <c:v>40.246756956215428</c:v>
                </c:pt>
                <c:pt idx="1">
                  <c:v>20.123378478107714</c:v>
                </c:pt>
                <c:pt idx="2">
                  <c:v>13.415585652071808</c:v>
                </c:pt>
              </c:numCache>
            </c:numRef>
          </c:yVal>
          <c:smooth val="0"/>
          <c:extLst>
            <c:ext xmlns:c16="http://schemas.microsoft.com/office/drawing/2014/chart" uri="{C3380CC4-5D6E-409C-BE32-E72D297353CC}">
              <c16:uniqueId val="{00000004-838E-4D66-ADDB-A89FE211348A}"/>
            </c:ext>
          </c:extLst>
        </c:ser>
        <c:ser>
          <c:idx val="5"/>
          <c:order val="5"/>
          <c:tx>
            <c:strRef>
              <c:f>'Sensitivity analysis - RD'!$A$469</c:f>
              <c:strCache>
                <c:ptCount val="1"/>
                <c:pt idx="0">
                  <c:v>Curtailment factor</c:v>
                </c:pt>
              </c:strCache>
            </c:strRef>
          </c:tx>
          <c:spPr>
            <a:ln w="19050"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xVal>
            <c:numRef>
              <c:f>('Sensitivity analysis - RD'!$B$463,'Sensitivity analysis - RD'!$D$463,'Sensitivity analysis - RD'!$G$463,'Sensitivity analysis - RD'!$I$463)</c:f>
              <c:numCache>
                <c:formatCode>0%</c:formatCode>
                <c:ptCount val="4"/>
                <c:pt idx="0">
                  <c:v>0</c:v>
                </c:pt>
                <c:pt idx="1">
                  <c:v>0.5</c:v>
                </c:pt>
                <c:pt idx="2">
                  <c:v>1</c:v>
                </c:pt>
                <c:pt idx="3">
                  <c:v>1.5</c:v>
                </c:pt>
              </c:numCache>
            </c:numRef>
          </c:xVal>
          <c:yVal>
            <c:numRef>
              <c:f>('Sensitivity analysis - RD'!$N$469,'Sensitivity analysis - RD'!$P$469,'Sensitivity analysis - RD'!$S$469,'Sensitivity analysis - RD'!$U$469)</c:f>
              <c:numCache>
                <c:formatCode>0.00</c:formatCode>
                <c:ptCount val="4"/>
                <c:pt idx="0">
                  <c:v>16.823247671850787</c:v>
                </c:pt>
                <c:pt idx="1">
                  <c:v>17.984404807385634</c:v>
                </c:pt>
                <c:pt idx="2" formatCode="0.00E+00">
                  <c:v>20.306719078455316</c:v>
                </c:pt>
                <c:pt idx="3" formatCode="0.00E+00">
                  <c:v>27.273661891664375</c:v>
                </c:pt>
              </c:numCache>
            </c:numRef>
          </c:yVal>
          <c:smooth val="0"/>
          <c:extLst>
            <c:ext xmlns:c16="http://schemas.microsoft.com/office/drawing/2014/chart" uri="{C3380CC4-5D6E-409C-BE32-E72D297353CC}">
              <c16:uniqueId val="{00000005-838E-4D66-ADDB-A89FE211348A}"/>
            </c:ext>
          </c:extLst>
        </c:ser>
        <c:ser>
          <c:idx val="8"/>
          <c:order val="6"/>
          <c:tx>
            <c:strRef>
              <c:f>'Sensitivity analysis - RD'!$A$470</c:f>
              <c:strCache>
                <c:ptCount val="1"/>
                <c:pt idx="0">
                  <c:v>Battery capacity</c:v>
                </c:pt>
              </c:strCache>
            </c:strRef>
          </c:tx>
          <c:spPr>
            <a:ln w="19050" cap="rnd">
              <a:solidFill>
                <a:srgbClr val="FF4F4F"/>
              </a:solidFill>
              <a:round/>
            </a:ln>
            <a:effectLst/>
          </c:spPr>
          <c:marker>
            <c:symbol val="circle"/>
            <c:size val="5"/>
            <c:spPr>
              <a:solidFill>
                <a:srgbClr val="FF4F4F"/>
              </a:solidFill>
              <a:ln w="9525">
                <a:solidFill>
                  <a:srgbClr val="FF4F4F"/>
                </a:solidFill>
              </a:ln>
              <a:effectLst/>
            </c:spPr>
          </c:marker>
          <c:xVal>
            <c:numRef>
              <c:f>('Sensitivity analysis - RD'!$D$463,'Sensitivity analysis - RD'!$G$463,'Sensitivity analysis - RD'!$K$463)</c:f>
              <c:numCache>
                <c:formatCode>0%</c:formatCode>
                <c:ptCount val="3"/>
                <c:pt idx="0">
                  <c:v>0.5</c:v>
                </c:pt>
                <c:pt idx="1">
                  <c:v>1</c:v>
                </c:pt>
                <c:pt idx="2">
                  <c:v>2</c:v>
                </c:pt>
              </c:numCache>
            </c:numRef>
          </c:xVal>
          <c:yVal>
            <c:numRef>
              <c:f>('Sensitivity analysis - RD'!$P$470,'Sensitivity analysis - RD'!$S$470,'Sensitivity analysis - RD'!$W$470)</c:f>
              <c:numCache>
                <c:formatCode>0.00</c:formatCode>
                <c:ptCount val="3"/>
                <c:pt idx="0">
                  <c:v>14.666109082351705</c:v>
                </c:pt>
                <c:pt idx="1">
                  <c:v>20.306719078455316</c:v>
                </c:pt>
                <c:pt idx="2" formatCode="0.0">
                  <c:v>40.374134307065788</c:v>
                </c:pt>
              </c:numCache>
            </c:numRef>
          </c:yVal>
          <c:smooth val="0"/>
          <c:extLst>
            <c:ext xmlns:c16="http://schemas.microsoft.com/office/drawing/2014/chart" uri="{C3380CC4-5D6E-409C-BE32-E72D297353CC}">
              <c16:uniqueId val="{00000006-838E-4D66-ADDB-A89FE211348A}"/>
            </c:ext>
          </c:extLst>
        </c:ser>
        <c:ser>
          <c:idx val="9"/>
          <c:order val="7"/>
          <c:tx>
            <c:strRef>
              <c:f>'Sensitivity analysis - RD'!$A$471</c:f>
              <c:strCache>
                <c:ptCount val="1"/>
                <c:pt idx="0">
                  <c:v>Battery share factor</c:v>
                </c:pt>
              </c:strCache>
            </c:strRef>
          </c:tx>
          <c:spPr>
            <a:ln w="19050" cap="rnd">
              <a:solidFill>
                <a:srgbClr val="A4D3EA"/>
              </a:solidFill>
              <a:round/>
            </a:ln>
            <a:effectLst/>
          </c:spPr>
          <c:marker>
            <c:symbol val="circle"/>
            <c:size val="5"/>
            <c:spPr>
              <a:solidFill>
                <a:srgbClr val="A4D3EA"/>
              </a:solidFill>
              <a:ln w="9525">
                <a:solidFill>
                  <a:srgbClr val="A4D3EA"/>
                </a:solidFill>
              </a:ln>
              <a:effectLst/>
            </c:spPr>
          </c:marker>
          <c:xVal>
            <c:numRef>
              <c:f>('Sensitivity analysis - RD'!$D$463,'Sensitivity analysis - RD'!$G$463,'Sensitivity analysis - RD'!$I$463)</c:f>
              <c:numCache>
                <c:formatCode>0%</c:formatCode>
                <c:ptCount val="3"/>
                <c:pt idx="0">
                  <c:v>0.5</c:v>
                </c:pt>
                <c:pt idx="1">
                  <c:v>1</c:v>
                </c:pt>
                <c:pt idx="2">
                  <c:v>1.5</c:v>
                </c:pt>
              </c:numCache>
            </c:numRef>
          </c:xVal>
          <c:yVal>
            <c:numRef>
              <c:f>('Sensitivity analysis - RD'!$P$471,'Sensitivity analysis - RD'!$S$471,'Sensitivity analysis - RD'!$W$471)</c:f>
              <c:numCache>
                <c:formatCode>0.00</c:formatCode>
                <c:ptCount val="3"/>
                <c:pt idx="0">
                  <c:v>20.306719078455316</c:v>
                </c:pt>
                <c:pt idx="1">
                  <c:v>20.306719078455316</c:v>
                </c:pt>
                <c:pt idx="2" formatCode="0.0">
                  <c:v>20.306719078455316</c:v>
                </c:pt>
              </c:numCache>
            </c:numRef>
          </c:yVal>
          <c:smooth val="0"/>
          <c:extLst>
            <c:ext xmlns:c16="http://schemas.microsoft.com/office/drawing/2014/chart" uri="{C3380CC4-5D6E-409C-BE32-E72D297353CC}">
              <c16:uniqueId val="{00000007-838E-4D66-ADDB-A89FE211348A}"/>
            </c:ext>
          </c:extLst>
        </c:ser>
        <c:ser>
          <c:idx val="7"/>
          <c:order val="8"/>
          <c:tx>
            <c:strRef>
              <c:f>'Sensitivity analysis - RD'!$A$472</c:f>
              <c:strCache>
                <c:ptCount val="1"/>
                <c:pt idx="0">
                  <c:v>Sorbent type - amine on silica</c:v>
                </c:pt>
              </c:strCache>
            </c:strRef>
          </c:tx>
          <c:spPr>
            <a:ln w="19050" cap="rnd">
              <a:noFill/>
              <a:round/>
            </a:ln>
            <a:effectLst/>
          </c:spPr>
          <c:marker>
            <c:symbol val="square"/>
            <c:size val="5"/>
            <c:spPr>
              <a:solidFill>
                <a:srgbClr val="C00000"/>
              </a:solidFill>
              <a:ln w="9525">
                <a:solidFill>
                  <a:srgbClr val="C00000"/>
                </a:solidFill>
              </a:ln>
              <a:effectLst/>
            </c:spPr>
          </c:marker>
          <c:xVal>
            <c:numRef>
              <c:f>'Sensitivity analysis - RD'!$G$463</c:f>
              <c:numCache>
                <c:formatCode>0%</c:formatCode>
                <c:ptCount val="1"/>
                <c:pt idx="0">
                  <c:v>1</c:v>
                </c:pt>
              </c:numCache>
            </c:numRef>
          </c:xVal>
          <c:yVal>
            <c:numRef>
              <c:f>'Sensitivity analysis - RD'!$S$472</c:f>
              <c:numCache>
                <c:formatCode>0.00E+00</c:formatCode>
                <c:ptCount val="1"/>
                <c:pt idx="0">
                  <c:v>21.48121318498043</c:v>
                </c:pt>
              </c:numCache>
            </c:numRef>
          </c:yVal>
          <c:smooth val="0"/>
          <c:extLst>
            <c:ext xmlns:c16="http://schemas.microsoft.com/office/drawing/2014/chart" uri="{C3380CC4-5D6E-409C-BE32-E72D297353CC}">
              <c16:uniqueId val="{00000009-838E-4D66-ADDB-A89FE211348A}"/>
            </c:ext>
          </c:extLst>
        </c:ser>
        <c:dLbls>
          <c:showLegendKey val="0"/>
          <c:showVal val="0"/>
          <c:showCatName val="0"/>
          <c:showSerName val="0"/>
          <c:showPercent val="0"/>
          <c:showBubbleSize val="0"/>
        </c:dLbls>
        <c:axId val="894438607"/>
        <c:axId val="1119274239"/>
      </c:scatterChart>
      <c:valAx>
        <c:axId val="894438607"/>
        <c:scaling>
          <c:orientation val="minMax"/>
          <c:max val="2.5"/>
          <c:min val="0"/>
        </c:scaling>
        <c:delete val="0"/>
        <c:axPos val="b"/>
        <c:majorGridlines>
          <c:spPr>
            <a:ln w="9525" cap="flat" cmpd="sng" algn="ctr">
              <a:solidFill>
                <a:schemeClr val="tx1">
                  <a:lumMod val="50000"/>
                  <a:lumOff val="50000"/>
                </a:schemeClr>
              </a:solidFill>
              <a:round/>
            </a:ln>
            <a:effectLst/>
          </c:spPr>
        </c:majorGridlines>
        <c:numFmt formatCode="0%" sourceLinked="1"/>
        <c:majorTickMark val="none"/>
        <c:minorTickMark val="none"/>
        <c:tickLblPos val="high"/>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1119274239"/>
        <c:crosses val="autoZero"/>
        <c:crossBetween val="midCat"/>
      </c:valAx>
      <c:valAx>
        <c:axId val="1119274239"/>
        <c:scaling>
          <c:orientation val="minMax"/>
        </c:scaling>
        <c:delete val="0"/>
        <c:axPos val="l"/>
        <c:majorGridlines>
          <c:spPr>
            <a:ln w="9525" cap="flat" cmpd="sng" algn="ctr">
              <a:solidFill>
                <a:schemeClr val="tx1">
                  <a:lumMod val="50000"/>
                  <a:lumOff val="50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r>
                  <a:rPr lang="nl-NL"/>
                  <a:t>Resource damage</a:t>
                </a:r>
              </a:p>
              <a:p>
                <a:pPr>
                  <a:defRPr/>
                </a:pPr>
                <a:r>
                  <a:rPr lang="nl-NL"/>
                  <a:t>[USD2013/ton CO</a:t>
                </a:r>
                <a:r>
                  <a:rPr lang="nl-NL" baseline="-25000"/>
                  <a:t>2</a:t>
                </a:r>
                <a:r>
                  <a:rPr lang="nl-NL"/>
                  <a:t> captured and stored]</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894438607"/>
        <c:crosses val="autoZero"/>
        <c:crossBetween val="midCat"/>
      </c:valAx>
      <c:spPr>
        <a:noFill/>
        <a:ln w="19050">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440350358354238"/>
          <c:y val="7.3598813469449673E-2"/>
          <c:w val="0.4165781277953638"/>
          <c:h val="0.90079367086536155"/>
        </c:manualLayout>
      </c:layout>
      <c:scatterChart>
        <c:scatterStyle val="lineMarker"/>
        <c:varyColors val="0"/>
        <c:ser>
          <c:idx val="0"/>
          <c:order val="0"/>
          <c:tx>
            <c:strRef>
              <c:f>'Sensitivity analysis - RD'!$A$464</c:f>
              <c:strCache>
                <c:ptCount val="1"/>
                <c:pt idx="0">
                  <c:v>Material use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'Sensitivity analysis - RD'!$F$463:$G$463</c:f>
              <c:numCache>
                <c:formatCode>0%</c:formatCode>
                <c:ptCount val="2"/>
                <c:pt idx="0">
                  <c:v>0.8</c:v>
                </c:pt>
                <c:pt idx="1">
                  <c:v>1</c:v>
                </c:pt>
              </c:numCache>
            </c:numRef>
          </c:xVal>
          <c:yVal>
            <c:numRef>
              <c:f>'Sensitivity analysis - RD'!$AD$464:$AE$464</c:f>
              <c:numCache>
                <c:formatCode>0.00E+00</c:formatCode>
                <c:ptCount val="2"/>
                <c:pt idx="0">
                  <c:v>18.43354744996725</c:v>
                </c:pt>
                <c:pt idx="1">
                  <c:v>18.882418476482552</c:v>
                </c:pt>
              </c:numCache>
            </c:numRef>
          </c:yVal>
          <c:smooth val="0"/>
          <c:extLst>
            <c:ext xmlns:c16="http://schemas.microsoft.com/office/drawing/2014/chart" uri="{C3380CC4-5D6E-409C-BE32-E72D297353CC}">
              <c16:uniqueId val="{00000000-8F2F-459D-B6C2-C5273758E266}"/>
            </c:ext>
          </c:extLst>
        </c:ser>
        <c:ser>
          <c:idx val="1"/>
          <c:order val="1"/>
          <c:tx>
            <c:strRef>
              <c:f>'Sensitivity analysis - RD'!$A$465</c:f>
              <c:strCache>
                <c:ptCount val="1"/>
                <c:pt idx="0">
                  <c:v>Energy use</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('Sensitivity analysis - RD'!$E$463,'Sensitivity analysis - RD'!$G$463,'Sensitivity analysis - RD'!$J$463)</c:f>
              <c:numCache>
                <c:formatCode>0%</c:formatCode>
                <c:ptCount val="3"/>
                <c:pt idx="0">
                  <c:v>0.67</c:v>
                </c:pt>
                <c:pt idx="1">
                  <c:v>1</c:v>
                </c:pt>
                <c:pt idx="2">
                  <c:v>1.67</c:v>
                </c:pt>
              </c:numCache>
            </c:numRef>
          </c:xVal>
          <c:yVal>
            <c:numRef>
              <c:f>('Sensitivity analysis - RD'!$AC$465,'Sensitivity analysis - RD'!$AE$465,'Sensitivity analysis - RD'!$AH$465)</c:f>
              <c:numCache>
                <c:formatCode>0.00E+00</c:formatCode>
                <c:ptCount val="3"/>
                <c:pt idx="0">
                  <c:v>16.679035461885427</c:v>
                </c:pt>
                <c:pt idx="1">
                  <c:v>18.882418476482552</c:v>
                </c:pt>
                <c:pt idx="2">
                  <c:v>23.28918450567679</c:v>
                </c:pt>
              </c:numCache>
            </c:numRef>
          </c:yVal>
          <c:smooth val="0"/>
          <c:extLst>
            <c:ext xmlns:c16="http://schemas.microsoft.com/office/drawing/2014/chart" uri="{C3380CC4-5D6E-409C-BE32-E72D297353CC}">
              <c16:uniqueId val="{00000001-8F2F-459D-B6C2-C5273758E266}"/>
            </c:ext>
          </c:extLst>
        </c:ser>
        <c:ser>
          <c:idx val="2"/>
          <c:order val="2"/>
          <c:tx>
            <c:strRef>
              <c:f>'Sensitivity analysis - RD'!$A$466</c:f>
              <c:strCache>
                <c:ptCount val="1"/>
                <c:pt idx="0">
                  <c:v>Lifetime DAC system</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'Sensitivity analysis - RD'!$F$463:$G$463</c:f>
              <c:numCache>
                <c:formatCode>0%</c:formatCode>
                <c:ptCount val="2"/>
                <c:pt idx="0">
                  <c:v>0.8</c:v>
                </c:pt>
                <c:pt idx="1">
                  <c:v>1</c:v>
                </c:pt>
              </c:numCache>
            </c:numRef>
          </c:xVal>
          <c:yVal>
            <c:numRef>
              <c:f>'Sensitivity analysis - RD'!$AD$466:$AE$466</c:f>
              <c:numCache>
                <c:formatCode>0.00E+00</c:formatCode>
                <c:ptCount val="2"/>
                <c:pt idx="0">
                  <c:v>23.603023095603184</c:v>
                </c:pt>
                <c:pt idx="1">
                  <c:v>18.882418476482549</c:v>
                </c:pt>
              </c:numCache>
            </c:numRef>
          </c:yVal>
          <c:smooth val="0"/>
          <c:extLst>
            <c:ext xmlns:c16="http://schemas.microsoft.com/office/drawing/2014/chart" uri="{C3380CC4-5D6E-409C-BE32-E72D297353CC}">
              <c16:uniqueId val="{00000002-8F2F-459D-B6C2-C5273758E266}"/>
            </c:ext>
          </c:extLst>
        </c:ser>
        <c:ser>
          <c:idx val="3"/>
          <c:order val="3"/>
          <c:tx>
            <c:strRef>
              <c:f>'Sensitivity analysis - RD'!$A$467</c:f>
              <c:strCache>
                <c:ptCount val="1"/>
                <c:pt idx="0">
                  <c:v>Lifetime sorbent material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('Sensitivity analysis - RD'!$C$463,'Sensitivity analysis - RD'!$G$463,'Sensitivity analysis - RD'!$J$463)</c:f>
              <c:numCache>
                <c:formatCode>0%</c:formatCode>
                <c:ptCount val="3"/>
                <c:pt idx="0">
                  <c:v>0.33</c:v>
                </c:pt>
                <c:pt idx="1">
                  <c:v>1</c:v>
                </c:pt>
                <c:pt idx="2">
                  <c:v>1.67</c:v>
                </c:pt>
              </c:numCache>
            </c:numRef>
          </c:xVal>
          <c:yVal>
            <c:numRef>
              <c:f>('Sensitivity analysis - RD'!$AA$467,'Sensitivity analysis - RD'!$AE$467,'Sensitivity analysis - RD'!$AH$467)</c:f>
              <c:numCache>
                <c:formatCode>0.00E+00</c:formatCode>
                <c:ptCount val="3"/>
                <c:pt idx="0">
                  <c:v>19.197910345169539</c:v>
                </c:pt>
                <c:pt idx="1">
                  <c:v>18.882418476482552</c:v>
                </c:pt>
                <c:pt idx="2">
                  <c:v>18.296921013314332</c:v>
                </c:pt>
              </c:numCache>
            </c:numRef>
          </c:yVal>
          <c:smooth val="0"/>
          <c:extLst>
            <c:ext xmlns:c16="http://schemas.microsoft.com/office/drawing/2014/chart" uri="{C3380CC4-5D6E-409C-BE32-E72D297353CC}">
              <c16:uniqueId val="{00000003-8F2F-459D-B6C2-C5273758E266}"/>
            </c:ext>
          </c:extLst>
        </c:ser>
        <c:ser>
          <c:idx val="4"/>
          <c:order val="4"/>
          <c:tx>
            <c:strRef>
              <c:f>'Sensitivity analysis - RD'!$A$468</c:f>
              <c:strCache>
                <c:ptCount val="1"/>
                <c:pt idx="0">
                  <c:v>Capacity DAC unit</c:v>
                </c:pt>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numRef>
              <c:f>('Sensitivity analysis - RD'!$D$463,'Sensitivity analysis - RD'!$G$463,'Sensitivity analysis - RD'!$I$463)</c:f>
              <c:numCache>
                <c:formatCode>0%</c:formatCode>
                <c:ptCount val="3"/>
                <c:pt idx="0">
                  <c:v>0.5</c:v>
                </c:pt>
                <c:pt idx="1">
                  <c:v>1</c:v>
                </c:pt>
                <c:pt idx="2">
                  <c:v>1.5</c:v>
                </c:pt>
              </c:numCache>
            </c:numRef>
          </c:xVal>
          <c:yVal>
            <c:numRef>
              <c:f>('Sensitivity analysis - RD'!$AB$468,'Sensitivity analysis - RD'!$AE$468,'Sensitivity analysis - RD'!$AG$468)</c:f>
              <c:numCache>
                <c:formatCode>0.00E+00</c:formatCode>
                <c:ptCount val="3"/>
                <c:pt idx="0">
                  <c:v>37.764836952965098</c:v>
                </c:pt>
                <c:pt idx="1">
                  <c:v>18.882418476482549</c:v>
                </c:pt>
                <c:pt idx="2">
                  <c:v>12.588278984321699</c:v>
                </c:pt>
              </c:numCache>
            </c:numRef>
          </c:yVal>
          <c:smooth val="0"/>
          <c:extLst>
            <c:ext xmlns:c16="http://schemas.microsoft.com/office/drawing/2014/chart" uri="{C3380CC4-5D6E-409C-BE32-E72D297353CC}">
              <c16:uniqueId val="{00000004-8F2F-459D-B6C2-C5273758E266}"/>
            </c:ext>
          </c:extLst>
        </c:ser>
        <c:ser>
          <c:idx val="5"/>
          <c:order val="5"/>
          <c:tx>
            <c:strRef>
              <c:f>'Sensitivity analysis - RD'!$A$469</c:f>
              <c:strCache>
                <c:ptCount val="1"/>
                <c:pt idx="0">
                  <c:v>Curtailment factor</c:v>
                </c:pt>
              </c:strCache>
            </c:strRef>
          </c:tx>
          <c:spPr>
            <a:ln w="19050"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xVal>
            <c:numRef>
              <c:f>('Sensitivity analysis - RD'!$B$463,'Sensitivity analysis - RD'!$D$463,'Sensitivity analysis - RD'!$G$463,'Sensitivity analysis - RD'!$I$463)</c:f>
              <c:numCache>
                <c:formatCode>0%</c:formatCode>
                <c:ptCount val="4"/>
                <c:pt idx="0">
                  <c:v>0</c:v>
                </c:pt>
                <c:pt idx="1">
                  <c:v>0.5</c:v>
                </c:pt>
                <c:pt idx="2">
                  <c:v>1</c:v>
                </c:pt>
                <c:pt idx="3">
                  <c:v>1.5</c:v>
                </c:pt>
              </c:numCache>
            </c:numRef>
          </c:xVal>
          <c:yVal>
            <c:numRef>
              <c:f>('Sensitivity analysis - RD'!$Z$469,'Sensitivity analysis - RD'!$AB$469,'Sensitivity analysis - RD'!$AE$469,'Sensitivity analysis - RD'!$AG$469)</c:f>
              <c:numCache>
                <c:formatCode>0.00</c:formatCode>
                <c:ptCount val="4"/>
                <c:pt idx="0">
                  <c:v>15.666670293016484</c:v>
                </c:pt>
                <c:pt idx="1">
                  <c:v>16.798137246458246</c:v>
                </c:pt>
                <c:pt idx="2" formatCode="0.00E+00">
                  <c:v>19.061071153341775</c:v>
                </c:pt>
                <c:pt idx="3" formatCode="0.00E+00">
                  <c:v>25.849872873992368</c:v>
                </c:pt>
              </c:numCache>
            </c:numRef>
          </c:yVal>
          <c:smooth val="0"/>
          <c:extLst>
            <c:ext xmlns:c16="http://schemas.microsoft.com/office/drawing/2014/chart" uri="{C3380CC4-5D6E-409C-BE32-E72D297353CC}">
              <c16:uniqueId val="{00000005-8F2F-459D-B6C2-C5273758E266}"/>
            </c:ext>
          </c:extLst>
        </c:ser>
        <c:ser>
          <c:idx val="8"/>
          <c:order val="6"/>
          <c:tx>
            <c:strRef>
              <c:f>'Sensitivity analysis - RD'!$A$470</c:f>
              <c:strCache>
                <c:ptCount val="1"/>
                <c:pt idx="0">
                  <c:v>Battery capacity</c:v>
                </c:pt>
              </c:strCache>
            </c:strRef>
          </c:tx>
          <c:spPr>
            <a:ln w="19050" cap="rnd">
              <a:solidFill>
                <a:srgbClr val="FF4F4F"/>
              </a:solidFill>
              <a:round/>
            </a:ln>
            <a:effectLst/>
          </c:spPr>
          <c:marker>
            <c:symbol val="circle"/>
            <c:size val="5"/>
            <c:spPr>
              <a:solidFill>
                <a:srgbClr val="FF4F4F"/>
              </a:solidFill>
              <a:ln w="9525">
                <a:solidFill>
                  <a:srgbClr val="FF4F4F"/>
                </a:solidFill>
              </a:ln>
              <a:effectLst/>
            </c:spPr>
          </c:marker>
          <c:xVal>
            <c:numRef>
              <c:f>('Sensitivity analysis - RD'!$D$463,'Sensitivity analysis - RD'!$G$463,'Sensitivity analysis - RD'!$K$463)</c:f>
              <c:numCache>
                <c:formatCode>0%</c:formatCode>
                <c:ptCount val="3"/>
                <c:pt idx="0">
                  <c:v>0.5</c:v>
                </c:pt>
                <c:pt idx="1">
                  <c:v>1</c:v>
                </c:pt>
                <c:pt idx="2">
                  <c:v>2</c:v>
                </c:pt>
              </c:numCache>
            </c:numRef>
          </c:xVal>
          <c:yVal>
            <c:numRef>
              <c:f>('Sensitivity analysis - RD'!$AB$470,'Sensitivity analysis - RD'!$AE$470,'Sensitivity analysis - RD'!$AI$470)</c:f>
              <c:numCache>
                <c:formatCode>0.00</c:formatCode>
                <c:ptCount val="3"/>
                <c:pt idx="0">
                  <c:v>13.801372916672481</c:v>
                </c:pt>
                <c:pt idx="1">
                  <c:v>19.061071153341775</c:v>
                </c:pt>
                <c:pt idx="2" formatCode="0.0">
                  <c:v>37.671195278860658</c:v>
                </c:pt>
              </c:numCache>
            </c:numRef>
          </c:yVal>
          <c:smooth val="0"/>
          <c:extLst>
            <c:ext xmlns:c16="http://schemas.microsoft.com/office/drawing/2014/chart" uri="{C3380CC4-5D6E-409C-BE32-E72D297353CC}">
              <c16:uniqueId val="{00000006-8F2F-459D-B6C2-C5273758E266}"/>
            </c:ext>
          </c:extLst>
        </c:ser>
        <c:ser>
          <c:idx val="9"/>
          <c:order val="7"/>
          <c:tx>
            <c:strRef>
              <c:f>'Sensitivity analysis - RD'!$A$471</c:f>
              <c:strCache>
                <c:ptCount val="1"/>
                <c:pt idx="0">
                  <c:v>Battery share factor</c:v>
                </c:pt>
              </c:strCache>
            </c:strRef>
          </c:tx>
          <c:spPr>
            <a:ln w="19050" cap="rnd">
              <a:solidFill>
                <a:srgbClr val="A4D3EA"/>
              </a:solidFill>
              <a:round/>
            </a:ln>
            <a:effectLst/>
          </c:spPr>
          <c:marker>
            <c:symbol val="circle"/>
            <c:size val="5"/>
            <c:spPr>
              <a:solidFill>
                <a:srgbClr val="A4D3EA"/>
              </a:solidFill>
              <a:ln w="9525">
                <a:solidFill>
                  <a:srgbClr val="A4D3EA"/>
                </a:solidFill>
              </a:ln>
              <a:effectLst/>
            </c:spPr>
          </c:marker>
          <c:xVal>
            <c:numRef>
              <c:f>('Sensitivity analysis - RD'!$D$463,'Sensitivity analysis - RD'!$G$463,'Sensitivity analysis - RD'!$I$463)</c:f>
              <c:numCache>
                <c:formatCode>0%</c:formatCode>
                <c:ptCount val="3"/>
                <c:pt idx="0">
                  <c:v>0.5</c:v>
                </c:pt>
                <c:pt idx="1">
                  <c:v>1</c:v>
                </c:pt>
                <c:pt idx="2">
                  <c:v>1.5</c:v>
                </c:pt>
              </c:numCache>
            </c:numRef>
          </c:xVal>
          <c:yVal>
            <c:numRef>
              <c:f>('Sensitivity analysis - RD'!$AB$471,'Sensitivity analysis - RD'!$AE$471,'Sensitivity analysis - RD'!$AI$471)</c:f>
              <c:numCache>
                <c:formatCode>0.00</c:formatCode>
                <c:ptCount val="3"/>
                <c:pt idx="0">
                  <c:v>19.061071153341775</c:v>
                </c:pt>
                <c:pt idx="1">
                  <c:v>19.061071153341775</c:v>
                </c:pt>
                <c:pt idx="2" formatCode="0.0">
                  <c:v>19.061071153341775</c:v>
                </c:pt>
              </c:numCache>
            </c:numRef>
          </c:yVal>
          <c:smooth val="0"/>
          <c:extLst>
            <c:ext xmlns:c16="http://schemas.microsoft.com/office/drawing/2014/chart" uri="{C3380CC4-5D6E-409C-BE32-E72D297353CC}">
              <c16:uniqueId val="{00000007-8F2F-459D-B6C2-C5273758E266}"/>
            </c:ext>
          </c:extLst>
        </c:ser>
        <c:ser>
          <c:idx val="7"/>
          <c:order val="8"/>
          <c:tx>
            <c:strRef>
              <c:f>'Sensitivity analysis - RD'!$A$472</c:f>
              <c:strCache>
                <c:ptCount val="1"/>
                <c:pt idx="0">
                  <c:v>Sorbent type - amine on silica</c:v>
                </c:pt>
              </c:strCache>
            </c:strRef>
          </c:tx>
          <c:spPr>
            <a:ln w="19050" cap="rnd">
              <a:noFill/>
              <a:round/>
            </a:ln>
            <a:effectLst/>
          </c:spPr>
          <c:marker>
            <c:symbol val="square"/>
            <c:size val="5"/>
            <c:spPr>
              <a:solidFill>
                <a:srgbClr val="C00000"/>
              </a:solidFill>
              <a:ln w="9525">
                <a:solidFill>
                  <a:srgbClr val="C00000"/>
                </a:solidFill>
              </a:ln>
              <a:effectLst/>
            </c:spPr>
          </c:marker>
          <c:xVal>
            <c:numRef>
              <c:f>'Sensitivity analysis - RD'!$G$463</c:f>
              <c:numCache>
                <c:formatCode>0%</c:formatCode>
                <c:ptCount val="1"/>
                <c:pt idx="0">
                  <c:v>1</c:v>
                </c:pt>
              </c:numCache>
            </c:numRef>
          </c:xVal>
          <c:yVal>
            <c:numRef>
              <c:f>'Sensitivity analysis - RD'!$AE$472</c:f>
              <c:numCache>
                <c:formatCode>0.00E+00</c:formatCode>
                <c:ptCount val="1"/>
                <c:pt idx="0">
                  <c:v>20.21294387393235</c:v>
                </c:pt>
              </c:numCache>
            </c:numRef>
          </c:yVal>
          <c:smooth val="0"/>
          <c:extLst>
            <c:ext xmlns:c16="http://schemas.microsoft.com/office/drawing/2014/chart" uri="{C3380CC4-5D6E-409C-BE32-E72D297353CC}">
              <c16:uniqueId val="{00000009-8F2F-459D-B6C2-C5273758E266}"/>
            </c:ext>
          </c:extLst>
        </c:ser>
        <c:dLbls>
          <c:showLegendKey val="0"/>
          <c:showVal val="0"/>
          <c:showCatName val="0"/>
          <c:showSerName val="0"/>
          <c:showPercent val="0"/>
          <c:showBubbleSize val="0"/>
        </c:dLbls>
        <c:axId val="894438607"/>
        <c:axId val="1119274239"/>
      </c:scatterChart>
      <c:valAx>
        <c:axId val="894438607"/>
        <c:scaling>
          <c:orientation val="minMax"/>
          <c:max val="2.5"/>
          <c:min val="0"/>
        </c:scaling>
        <c:delete val="0"/>
        <c:axPos val="b"/>
        <c:majorGridlines>
          <c:spPr>
            <a:ln w="9525" cap="flat" cmpd="sng" algn="ctr">
              <a:solidFill>
                <a:schemeClr val="tx1">
                  <a:lumMod val="50000"/>
                  <a:lumOff val="50000"/>
                </a:schemeClr>
              </a:solidFill>
              <a:round/>
            </a:ln>
            <a:effectLst/>
          </c:spPr>
        </c:majorGridlines>
        <c:numFmt formatCode="0%" sourceLinked="1"/>
        <c:majorTickMark val="none"/>
        <c:minorTickMark val="none"/>
        <c:tickLblPos val="high"/>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1119274239"/>
        <c:crosses val="autoZero"/>
        <c:crossBetween val="midCat"/>
      </c:valAx>
      <c:valAx>
        <c:axId val="1119274239"/>
        <c:scaling>
          <c:orientation val="minMax"/>
        </c:scaling>
        <c:delete val="0"/>
        <c:axPos val="l"/>
        <c:majorGridlines>
          <c:spPr>
            <a:ln w="9525" cap="flat" cmpd="sng" algn="ctr">
              <a:solidFill>
                <a:schemeClr val="tx1">
                  <a:lumMod val="50000"/>
                  <a:lumOff val="50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r>
                  <a:rPr lang="nl-NL"/>
                  <a:t>Resource damage</a:t>
                </a:r>
              </a:p>
              <a:p>
                <a:pPr>
                  <a:defRPr/>
                </a:pPr>
                <a:r>
                  <a:rPr lang="nl-NL"/>
                  <a:t>[USD2013/ton CO</a:t>
                </a:r>
                <a:r>
                  <a:rPr lang="nl-NL" baseline="-25000"/>
                  <a:t>2</a:t>
                </a:r>
                <a:r>
                  <a:rPr lang="nl-NL"/>
                  <a:t> captured and stored]</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894438607"/>
        <c:crosses val="autoZero"/>
        <c:crossBetween val="midCat"/>
      </c:valAx>
      <c:spPr>
        <a:noFill/>
        <a:ln w="19050">
          <a:solidFill>
            <a:schemeClr val="tx1"/>
          </a:solidFill>
        </a:ln>
        <a:effectLst/>
      </c:spPr>
    </c:plotArea>
    <c:legend>
      <c:legendPos val="r"/>
      <c:layout>
        <c:manualLayout>
          <c:xMode val="edge"/>
          <c:yMode val="edge"/>
          <c:x val="0.54710541784870625"/>
          <c:y val="7.6716289733345891E-2"/>
          <c:w val="0.2856286269263687"/>
          <c:h val="0.87329741919023873"/>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068474900507286"/>
          <c:y val="6.9337941462360927E-2"/>
          <c:w val="0.73010811826395883"/>
          <c:h val="0.90794330476547458"/>
        </c:manualLayout>
      </c:layout>
      <c:scatterChart>
        <c:scatterStyle val="lineMarker"/>
        <c:varyColors val="0"/>
        <c:ser>
          <c:idx val="0"/>
          <c:order val="0"/>
          <c:tx>
            <c:strRef>
              <c:f>'Sensitivity analysis - RD'!$M$453</c:f>
              <c:strCache>
                <c:ptCount val="1"/>
                <c:pt idx="0">
                  <c:v>Material use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'Sensitivity analysis - RD'!$R$452:$T$452</c:f>
              <c:numCache>
                <c:formatCode>0%</c:formatCode>
                <c:ptCount val="3"/>
                <c:pt idx="0">
                  <c:v>0.8</c:v>
                </c:pt>
                <c:pt idx="1">
                  <c:v>1</c:v>
                </c:pt>
                <c:pt idx="2">
                  <c:v>1.2</c:v>
                </c:pt>
              </c:numCache>
            </c:numRef>
          </c:xVal>
          <c:yVal>
            <c:numRef>
              <c:f>'Sensitivity analysis - RD'!$R$453:$T$453</c:f>
              <c:numCache>
                <c:formatCode>0.00E+00</c:formatCode>
                <c:ptCount val="3"/>
                <c:pt idx="0">
                  <c:v>21.161973601907114</c:v>
                </c:pt>
                <c:pt idx="1">
                  <c:v>21.413780553260484</c:v>
                </c:pt>
                <c:pt idx="2">
                  <c:v>21.66558750461386</c:v>
                </c:pt>
              </c:numCache>
            </c:numRef>
          </c:yVal>
          <c:smooth val="0"/>
          <c:extLst>
            <c:ext xmlns:c16="http://schemas.microsoft.com/office/drawing/2014/chart" uri="{C3380CC4-5D6E-409C-BE32-E72D297353CC}">
              <c16:uniqueId val="{00000000-09D2-4D92-8CDC-CA4E4749DD53}"/>
            </c:ext>
          </c:extLst>
        </c:ser>
        <c:ser>
          <c:idx val="1"/>
          <c:order val="1"/>
          <c:tx>
            <c:strRef>
              <c:f>'Sensitivity analysis - RD'!$M$454</c:f>
              <c:strCache>
                <c:ptCount val="1"/>
                <c:pt idx="0">
                  <c:v>Energy use</c:v>
                </c:pt>
              </c:strCache>
            </c:strRef>
          </c:tx>
          <c:spPr>
            <a:ln w="31750" cap="rnd">
              <a:solidFill>
                <a:schemeClr val="accent4"/>
              </a:solidFill>
              <a:round/>
            </a:ln>
            <a:effectLst/>
          </c:spPr>
          <c:marker>
            <c:symbol val="circle"/>
            <c:size val="5"/>
            <c:spPr>
              <a:solidFill>
                <a:schemeClr val="accent4"/>
              </a:solidFill>
              <a:ln w="9525">
                <a:solidFill>
                  <a:schemeClr val="accent4"/>
                </a:solidFill>
              </a:ln>
              <a:effectLst/>
            </c:spPr>
          </c:marker>
          <c:xVal>
            <c:numRef>
              <c:f>('Sensitivity analysis - RD'!$Q$452,'Sensitivity analysis - RD'!$S$452,'Sensitivity analysis - RD'!$V$452)</c:f>
              <c:numCache>
                <c:formatCode>0%</c:formatCode>
                <c:ptCount val="3"/>
                <c:pt idx="0">
                  <c:v>0.67</c:v>
                </c:pt>
                <c:pt idx="1">
                  <c:v>1</c:v>
                </c:pt>
                <c:pt idx="2">
                  <c:v>1.67</c:v>
                </c:pt>
              </c:numCache>
            </c:numRef>
          </c:xVal>
          <c:yVal>
            <c:numRef>
              <c:f>('Sensitivity analysis - RD'!$Q$454,'Sensitivity analysis - RD'!$S$454,'Sensitivity analysis - RD'!$V$454)</c:f>
              <c:numCache>
                <c:formatCode>0.00E+00</c:formatCode>
                <c:ptCount val="3"/>
                <c:pt idx="0">
                  <c:v>15.429053282054218</c:v>
                </c:pt>
                <c:pt idx="1">
                  <c:v>21.413780553260484</c:v>
                </c:pt>
                <c:pt idx="2">
                  <c:v>33.383235095673029</c:v>
                </c:pt>
              </c:numCache>
            </c:numRef>
          </c:yVal>
          <c:smooth val="0"/>
          <c:extLst>
            <c:ext xmlns:c16="http://schemas.microsoft.com/office/drawing/2014/chart" uri="{C3380CC4-5D6E-409C-BE32-E72D297353CC}">
              <c16:uniqueId val="{00000001-09D2-4D92-8CDC-CA4E4749DD53}"/>
            </c:ext>
          </c:extLst>
        </c:ser>
        <c:ser>
          <c:idx val="2"/>
          <c:order val="2"/>
          <c:tx>
            <c:strRef>
              <c:f>'Sensitivity analysis - RD'!$M$455</c:f>
              <c:strCache>
                <c:ptCount val="1"/>
                <c:pt idx="0">
                  <c:v>Lifetime DAC system</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'Sensitivity analysis - RD'!$R$452:$S$452</c:f>
              <c:numCache>
                <c:formatCode>0%</c:formatCode>
                <c:ptCount val="2"/>
                <c:pt idx="0">
                  <c:v>0.8</c:v>
                </c:pt>
                <c:pt idx="1">
                  <c:v>1</c:v>
                </c:pt>
              </c:numCache>
            </c:numRef>
          </c:xVal>
          <c:yVal>
            <c:numRef>
              <c:f>'Sensitivity analysis - RD'!$R$455:$S$455</c:f>
              <c:numCache>
                <c:formatCode>0.00E+00</c:formatCode>
                <c:ptCount val="2"/>
                <c:pt idx="0">
                  <c:v>26.767225691575611</c:v>
                </c:pt>
                <c:pt idx="1">
                  <c:v>21.413780553260487</c:v>
                </c:pt>
              </c:numCache>
            </c:numRef>
          </c:yVal>
          <c:smooth val="0"/>
          <c:extLst>
            <c:ext xmlns:c16="http://schemas.microsoft.com/office/drawing/2014/chart" uri="{C3380CC4-5D6E-409C-BE32-E72D297353CC}">
              <c16:uniqueId val="{00000002-09D2-4D92-8CDC-CA4E4749DD53}"/>
            </c:ext>
          </c:extLst>
        </c:ser>
        <c:ser>
          <c:idx val="3"/>
          <c:order val="3"/>
          <c:tx>
            <c:strRef>
              <c:f>'Sensitivity analysis - RD'!$M$456</c:f>
              <c:strCache>
                <c:ptCount val="1"/>
                <c:pt idx="0">
                  <c:v>Lifetime sorbent material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('Sensitivity analysis - RD'!$O$452,'Sensitivity analysis - RD'!$S$452,'Sensitivity analysis - RD'!$V$452)</c:f>
              <c:numCache>
                <c:formatCode>0%</c:formatCode>
                <c:ptCount val="3"/>
                <c:pt idx="0">
                  <c:v>0.33</c:v>
                </c:pt>
                <c:pt idx="1">
                  <c:v>1</c:v>
                </c:pt>
                <c:pt idx="2">
                  <c:v>1.67</c:v>
                </c:pt>
              </c:numCache>
            </c:numRef>
          </c:xVal>
          <c:yVal>
            <c:numRef>
              <c:f>('Sensitivity analysis - RD'!$O$456,'Sensitivity analysis - RD'!$S$456,'Sensitivity analysis - RD'!$V$456)</c:f>
              <c:numCache>
                <c:formatCode>0.00E+00</c:formatCode>
                <c:ptCount val="3"/>
                <c:pt idx="0">
                  <c:v>22.148753599557139</c:v>
                </c:pt>
                <c:pt idx="1">
                  <c:v>21.413780553260484</c:v>
                </c:pt>
                <c:pt idx="2">
                  <c:v>21.230859423759888</c:v>
                </c:pt>
              </c:numCache>
            </c:numRef>
          </c:yVal>
          <c:smooth val="0"/>
          <c:extLst>
            <c:ext xmlns:c16="http://schemas.microsoft.com/office/drawing/2014/chart" uri="{C3380CC4-5D6E-409C-BE32-E72D297353CC}">
              <c16:uniqueId val="{00000003-09D2-4D92-8CDC-CA4E4749DD53}"/>
            </c:ext>
          </c:extLst>
        </c:ser>
        <c:ser>
          <c:idx val="4"/>
          <c:order val="4"/>
          <c:tx>
            <c:strRef>
              <c:f>'Sensitivity analysis - RD'!$M$457</c:f>
              <c:strCache>
                <c:ptCount val="1"/>
                <c:pt idx="0">
                  <c:v>Capacity DAC unit</c:v>
                </c:pt>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numRef>
              <c:f>('Sensitivity analysis - RD'!$P$452,'Sensitivity analysis - RD'!$S$452,'Sensitivity analysis - RD'!$U$452)</c:f>
              <c:numCache>
                <c:formatCode>0%</c:formatCode>
                <c:ptCount val="3"/>
                <c:pt idx="0">
                  <c:v>0.5</c:v>
                </c:pt>
                <c:pt idx="1">
                  <c:v>1</c:v>
                </c:pt>
                <c:pt idx="2">
                  <c:v>1.5</c:v>
                </c:pt>
              </c:numCache>
            </c:numRef>
          </c:xVal>
          <c:yVal>
            <c:numRef>
              <c:f>('Sensitivity analysis - RD'!$P$457,'Sensitivity analysis - RD'!$S$457,'Sensitivity analysis - RD'!$U$457)</c:f>
              <c:numCache>
                <c:formatCode>0.00E+00</c:formatCode>
                <c:ptCount val="3"/>
                <c:pt idx="0">
                  <c:v>42.827561106520974</c:v>
                </c:pt>
                <c:pt idx="1">
                  <c:v>21.413780553260487</c:v>
                </c:pt>
                <c:pt idx="2">
                  <c:v>14.275853702173658</c:v>
                </c:pt>
              </c:numCache>
            </c:numRef>
          </c:yVal>
          <c:smooth val="0"/>
          <c:extLst>
            <c:ext xmlns:c16="http://schemas.microsoft.com/office/drawing/2014/chart" uri="{C3380CC4-5D6E-409C-BE32-E72D297353CC}">
              <c16:uniqueId val="{00000004-09D2-4D92-8CDC-CA4E4749DD53}"/>
            </c:ext>
          </c:extLst>
        </c:ser>
        <c:ser>
          <c:idx val="7"/>
          <c:order val="5"/>
          <c:tx>
            <c:strRef>
              <c:f>'Sensitivity analysis - RD'!$M$458</c:f>
              <c:strCache>
                <c:ptCount val="1"/>
                <c:pt idx="0">
                  <c:v>Capacity factor</c:v>
                </c:pt>
              </c:strCache>
            </c:strRef>
          </c:tx>
          <c:spPr>
            <a:ln w="19050" cap="rnd">
              <a:solidFill>
                <a:schemeClr val="accent6">
                  <a:lumMod val="50000"/>
                </a:schemeClr>
              </a:solidFill>
              <a:round/>
            </a:ln>
            <a:effectLst/>
          </c:spPr>
          <c:marker>
            <c:symbol val="circle"/>
            <c:size val="5"/>
            <c:spPr>
              <a:solidFill>
                <a:schemeClr val="accent6">
                  <a:lumMod val="50000"/>
                </a:schemeClr>
              </a:solidFill>
              <a:ln w="9525">
                <a:solidFill>
                  <a:schemeClr val="accent6">
                    <a:lumMod val="50000"/>
                  </a:schemeClr>
                </a:solidFill>
              </a:ln>
              <a:effectLst/>
            </c:spPr>
          </c:marker>
          <c:xVal>
            <c:numRef>
              <c:f>('Sensitivity analysis - RD'!$S$452,'Sensitivity analysis - RD'!$U$452,'Sensitivity analysis - RD'!$W$452)</c:f>
              <c:numCache>
                <c:formatCode>0%</c:formatCode>
                <c:ptCount val="3"/>
                <c:pt idx="0">
                  <c:v>1</c:v>
                </c:pt>
                <c:pt idx="1">
                  <c:v>1.5</c:v>
                </c:pt>
                <c:pt idx="2">
                  <c:v>2</c:v>
                </c:pt>
              </c:numCache>
            </c:numRef>
          </c:xVal>
          <c:yVal>
            <c:numRef>
              <c:f>('Sensitivity analysis - RD'!$S$458,'Sensitivity analysis - RD'!$U$458,'Sensitivity analysis - RD'!$W$458)</c:f>
              <c:numCache>
                <c:formatCode>0.00E+00</c:formatCode>
                <c:ptCount val="3"/>
                <c:pt idx="0">
                  <c:v>21.413780553260487</c:v>
                </c:pt>
                <c:pt idx="1">
                  <c:v>19.13003234432097</c:v>
                </c:pt>
                <c:pt idx="2">
                  <c:v>17.226908836871377</c:v>
                </c:pt>
              </c:numCache>
            </c:numRef>
          </c:yVal>
          <c:smooth val="0"/>
          <c:extLst>
            <c:ext xmlns:c16="http://schemas.microsoft.com/office/drawing/2014/chart" uri="{C3380CC4-5D6E-409C-BE32-E72D297353CC}">
              <c16:uniqueId val="{00000005-09D2-4D92-8CDC-CA4E4749DD53}"/>
            </c:ext>
          </c:extLst>
        </c:ser>
        <c:ser>
          <c:idx val="6"/>
          <c:order val="6"/>
          <c:tx>
            <c:strRef>
              <c:f>'Sensitivity analysis - RD'!$M$459</c:f>
              <c:strCache>
                <c:ptCount val="1"/>
                <c:pt idx="0">
                  <c:v>Sorbent type - amine on silica</c:v>
                </c:pt>
              </c:strCache>
            </c:strRef>
          </c:tx>
          <c:spPr>
            <a:ln w="19050" cap="rnd">
              <a:noFill/>
              <a:round/>
            </a:ln>
            <a:effectLst/>
          </c:spPr>
          <c:marker>
            <c:symbol val="square"/>
            <c:size val="5"/>
            <c:spPr>
              <a:solidFill>
                <a:srgbClr val="C00000"/>
              </a:solidFill>
              <a:ln w="9525">
                <a:solidFill>
                  <a:srgbClr val="C00000"/>
                </a:solidFill>
              </a:ln>
              <a:effectLst/>
            </c:spPr>
          </c:marker>
          <c:xVal>
            <c:numRef>
              <c:f>'Sensitivity analysis - RD'!$S$452</c:f>
              <c:numCache>
                <c:formatCode>0%</c:formatCode>
                <c:ptCount val="1"/>
                <c:pt idx="0">
                  <c:v>1</c:v>
                </c:pt>
              </c:numCache>
            </c:numRef>
          </c:xVal>
          <c:yVal>
            <c:numRef>
              <c:f>'Sensitivity analysis - RD'!$S$459</c:f>
              <c:numCache>
                <c:formatCode>0.00E+00</c:formatCode>
                <c:ptCount val="1"/>
                <c:pt idx="0">
                  <c:v>22.092697906696845</c:v>
                </c:pt>
              </c:numCache>
            </c:numRef>
          </c:yVal>
          <c:smooth val="0"/>
          <c:extLst>
            <c:ext xmlns:c16="http://schemas.microsoft.com/office/drawing/2014/chart" uri="{C3380CC4-5D6E-409C-BE32-E72D297353CC}">
              <c16:uniqueId val="{00000007-09D2-4D92-8CDC-CA4E4749DD53}"/>
            </c:ext>
          </c:extLst>
        </c:ser>
        <c:dLbls>
          <c:showLegendKey val="0"/>
          <c:showVal val="0"/>
          <c:showCatName val="0"/>
          <c:showSerName val="0"/>
          <c:showPercent val="0"/>
          <c:showBubbleSize val="0"/>
        </c:dLbls>
        <c:axId val="894438607"/>
        <c:axId val="1119274239"/>
      </c:scatterChart>
      <c:valAx>
        <c:axId val="894438607"/>
        <c:scaling>
          <c:orientation val="minMax"/>
          <c:max val="2.5"/>
          <c:min val="0"/>
        </c:scaling>
        <c:delete val="0"/>
        <c:axPos val="b"/>
        <c:majorGridlines>
          <c:spPr>
            <a:ln w="9525" cap="flat" cmpd="sng" algn="ctr">
              <a:solidFill>
                <a:schemeClr val="tx1">
                  <a:lumMod val="50000"/>
                  <a:lumOff val="50000"/>
                </a:schemeClr>
              </a:solidFill>
              <a:round/>
            </a:ln>
            <a:effectLst/>
          </c:spPr>
        </c:majorGridlines>
        <c:numFmt formatCode="0%" sourceLinked="1"/>
        <c:majorTickMark val="none"/>
        <c:minorTickMark val="none"/>
        <c:tickLblPos val="high"/>
        <c:spPr>
          <a:noFill/>
          <a:ln w="190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1119274239"/>
        <c:crosses val="autoZero"/>
        <c:crossBetween val="midCat"/>
      </c:valAx>
      <c:valAx>
        <c:axId val="1119274239"/>
        <c:scaling>
          <c:orientation val="minMax"/>
        </c:scaling>
        <c:delete val="0"/>
        <c:axPos val="l"/>
        <c:majorGridlines>
          <c:spPr>
            <a:ln w="9525" cap="flat" cmpd="sng" algn="ctr">
              <a:solidFill>
                <a:schemeClr val="tx1">
                  <a:lumMod val="50000"/>
                  <a:lumOff val="50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r>
                  <a:rPr lang="nl-NL"/>
                  <a:t>Resource damage</a:t>
                </a:r>
              </a:p>
              <a:p>
                <a:pPr>
                  <a:defRPr/>
                </a:pPr>
                <a:r>
                  <a:rPr lang="nl-NL"/>
                  <a:t>[USD2013/ton CO</a:t>
                </a:r>
                <a:r>
                  <a:rPr lang="nl-NL" baseline="-25000"/>
                  <a:t>2</a:t>
                </a:r>
                <a:r>
                  <a:rPr lang="nl-NL"/>
                  <a:t> captured and stored]</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crossAx val="894438607"/>
        <c:crosses val="autoZero"/>
        <c:crossBetween val="midCat"/>
      </c:valAx>
      <c:spPr>
        <a:noFill/>
        <a:ln w="19050">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Verdana Pro" panose="020B0604030504040204" pitchFamily="34" charset="0"/>
          <a:ea typeface="Open Sans" pitchFamily="2" charset="0"/>
          <a:cs typeface="Times New Roman" panose="02020603050405020304" pitchFamily="18" charset="0"/>
        </a:defRPr>
      </a:pPr>
      <a:endParaRPr lang="en-N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293744531933507"/>
          <c:y val="3.4577607422626722E-2"/>
          <c:w val="0.38817366579177609"/>
          <c:h val="0.85535521004349546"/>
        </c:manualLayout>
      </c:layout>
      <c:barChart>
        <c:barDir val="col"/>
        <c:grouping val="stacked"/>
        <c:varyColors val="0"/>
        <c:ser>
          <c:idx val="0"/>
          <c:order val="0"/>
          <c:tx>
            <c:strRef>
              <c:f>'Figure contribution analysis'!$A$5</c:f>
              <c:strCache>
                <c:ptCount val="1"/>
                <c:pt idx="0">
                  <c:v>Air pretreatment</c:v>
                </c:pt>
              </c:strCache>
            </c:strRef>
          </c:tx>
          <c:spPr>
            <a:solidFill>
              <a:schemeClr val="accent1"/>
            </a:solidFill>
            <a:ln>
              <a:noFill/>
            </a:ln>
            <a:effectLst/>
          </c:spPr>
          <c:invertIfNegative val="0"/>
          <c:cat>
            <c:strRef>
              <c:f>'Figure contribution analysis'!$B$4:$D$4</c:f>
              <c:strCache>
                <c:ptCount val="3"/>
                <c:pt idx="0">
                  <c:v>3-4°C </c:v>
                </c:pt>
                <c:pt idx="1">
                  <c:v>&lt;2°C </c:v>
                </c:pt>
                <c:pt idx="2">
                  <c:v>&lt;1.5°C </c:v>
                </c:pt>
              </c:strCache>
            </c:strRef>
          </c:cat>
          <c:val>
            <c:numRef>
              <c:f>'Figure contribution analysis'!$B$5:$D$5</c:f>
              <c:numCache>
                <c:formatCode>0.00E+00</c:formatCode>
                <c:ptCount val="3"/>
                <c:pt idx="0">
                  <c:v>0.73653464929750434</c:v>
                </c:pt>
                <c:pt idx="1">
                  <c:v>0.66408013862840054</c:v>
                </c:pt>
                <c:pt idx="2">
                  <c:v>0.52214630630241099</c:v>
                </c:pt>
              </c:numCache>
            </c:numRef>
          </c:val>
          <c:extLst>
            <c:ext xmlns:c16="http://schemas.microsoft.com/office/drawing/2014/chart" uri="{C3380CC4-5D6E-409C-BE32-E72D297353CC}">
              <c16:uniqueId val="{00000000-686B-4692-9FD1-B74BE1A6212A}"/>
            </c:ext>
          </c:extLst>
        </c:ser>
        <c:ser>
          <c:idx val="1"/>
          <c:order val="1"/>
          <c:tx>
            <c:strRef>
              <c:f>'Figure contribution analysis'!$A$6</c:f>
              <c:strCache>
                <c:ptCount val="1"/>
                <c:pt idx="0">
                  <c:v>Air intake &amp; transport</c:v>
                </c:pt>
              </c:strCache>
            </c:strRef>
          </c:tx>
          <c:spPr>
            <a:solidFill>
              <a:schemeClr val="accent2"/>
            </a:solidFill>
            <a:ln>
              <a:noFill/>
            </a:ln>
            <a:effectLst/>
          </c:spPr>
          <c:invertIfNegative val="0"/>
          <c:cat>
            <c:strRef>
              <c:f>'Figure contribution analysis'!$B$4:$D$4</c:f>
              <c:strCache>
                <c:ptCount val="3"/>
                <c:pt idx="0">
                  <c:v>3-4°C </c:v>
                </c:pt>
                <c:pt idx="1">
                  <c:v>&lt;2°C </c:v>
                </c:pt>
                <c:pt idx="2">
                  <c:v>&lt;1.5°C </c:v>
                </c:pt>
              </c:strCache>
            </c:strRef>
          </c:cat>
          <c:val>
            <c:numRef>
              <c:f>'Figure contribution analysis'!$B$6:$D$6</c:f>
              <c:numCache>
                <c:formatCode>0.00E+00</c:formatCode>
                <c:ptCount val="3"/>
                <c:pt idx="0">
                  <c:v>0.96471070101214207</c:v>
                </c:pt>
                <c:pt idx="1">
                  <c:v>0.88072967752235443</c:v>
                </c:pt>
                <c:pt idx="2">
                  <c:v>0.68959917152625094</c:v>
                </c:pt>
              </c:numCache>
            </c:numRef>
          </c:val>
          <c:extLst>
            <c:ext xmlns:c16="http://schemas.microsoft.com/office/drawing/2014/chart" uri="{C3380CC4-5D6E-409C-BE32-E72D297353CC}">
              <c16:uniqueId val="{00000001-686B-4692-9FD1-B74BE1A6212A}"/>
            </c:ext>
          </c:extLst>
        </c:ser>
        <c:ser>
          <c:idx val="2"/>
          <c:order val="2"/>
          <c:tx>
            <c:strRef>
              <c:f>'Figure contribution analysis'!$A$7</c:f>
              <c:strCache>
                <c:ptCount val="1"/>
                <c:pt idx="0">
                  <c:v>Cartridge</c:v>
                </c:pt>
              </c:strCache>
            </c:strRef>
          </c:tx>
          <c:spPr>
            <a:solidFill>
              <a:schemeClr val="accent3"/>
            </a:solidFill>
            <a:ln>
              <a:noFill/>
            </a:ln>
            <a:effectLst/>
          </c:spPr>
          <c:invertIfNegative val="0"/>
          <c:cat>
            <c:strRef>
              <c:f>'Figure contribution analysis'!$B$4:$D$4</c:f>
              <c:strCache>
                <c:ptCount val="3"/>
                <c:pt idx="0">
                  <c:v>3-4°C </c:v>
                </c:pt>
                <c:pt idx="1">
                  <c:v>&lt;2°C </c:v>
                </c:pt>
                <c:pt idx="2">
                  <c:v>&lt;1.5°C </c:v>
                </c:pt>
              </c:strCache>
            </c:strRef>
          </c:cat>
          <c:val>
            <c:numRef>
              <c:f>'Figure contribution analysis'!$B$7:$D$7</c:f>
              <c:numCache>
                <c:formatCode>0.00E+00</c:formatCode>
                <c:ptCount val="3"/>
                <c:pt idx="0">
                  <c:v>3.0123300131811672</c:v>
                </c:pt>
                <c:pt idx="1">
                  <c:v>2.7262435258181008</c:v>
                </c:pt>
                <c:pt idx="2">
                  <c:v>2.2997919129358628</c:v>
                </c:pt>
              </c:numCache>
            </c:numRef>
          </c:val>
          <c:extLst>
            <c:ext xmlns:c16="http://schemas.microsoft.com/office/drawing/2014/chart" uri="{C3380CC4-5D6E-409C-BE32-E72D297353CC}">
              <c16:uniqueId val="{00000002-686B-4692-9FD1-B74BE1A6212A}"/>
            </c:ext>
          </c:extLst>
        </c:ser>
        <c:ser>
          <c:idx val="3"/>
          <c:order val="3"/>
          <c:tx>
            <c:strRef>
              <c:f>'Figure contribution analysis'!$A$8</c:f>
              <c:strCache>
                <c:ptCount val="1"/>
                <c:pt idx="0">
                  <c:v>Vacuum vessel</c:v>
                </c:pt>
              </c:strCache>
            </c:strRef>
          </c:tx>
          <c:spPr>
            <a:solidFill>
              <a:schemeClr val="accent4"/>
            </a:solidFill>
            <a:ln>
              <a:noFill/>
            </a:ln>
            <a:effectLst/>
          </c:spPr>
          <c:invertIfNegative val="0"/>
          <c:cat>
            <c:strRef>
              <c:f>'Figure contribution analysis'!$B$4:$D$4</c:f>
              <c:strCache>
                <c:ptCount val="3"/>
                <c:pt idx="0">
                  <c:v>3-4°C </c:v>
                </c:pt>
                <c:pt idx="1">
                  <c:v>&lt;2°C </c:v>
                </c:pt>
                <c:pt idx="2">
                  <c:v>&lt;1.5°C </c:v>
                </c:pt>
              </c:strCache>
            </c:strRef>
          </c:cat>
          <c:val>
            <c:numRef>
              <c:f>'Figure contribution analysis'!$B$8:$D$8</c:f>
              <c:numCache>
                <c:formatCode>0.00E+00</c:formatCode>
                <c:ptCount val="3"/>
                <c:pt idx="0">
                  <c:v>2.7459417900267482</c:v>
                </c:pt>
                <c:pt idx="1">
                  <c:v>2.5355148250076129</c:v>
                </c:pt>
                <c:pt idx="2">
                  <c:v>2.0487708155777868</c:v>
                </c:pt>
              </c:numCache>
            </c:numRef>
          </c:val>
          <c:extLst>
            <c:ext xmlns:c16="http://schemas.microsoft.com/office/drawing/2014/chart" uri="{C3380CC4-5D6E-409C-BE32-E72D297353CC}">
              <c16:uniqueId val="{00000003-686B-4692-9FD1-B74BE1A6212A}"/>
            </c:ext>
          </c:extLst>
        </c:ser>
        <c:ser>
          <c:idx val="4"/>
          <c:order val="4"/>
          <c:tx>
            <c:strRef>
              <c:f>'Figure contribution analysis'!$A$9</c:f>
              <c:strCache>
                <c:ptCount val="1"/>
                <c:pt idx="0">
                  <c:v>Vacuum system</c:v>
                </c:pt>
              </c:strCache>
            </c:strRef>
          </c:tx>
          <c:spPr>
            <a:solidFill>
              <a:schemeClr val="accent5"/>
            </a:solidFill>
            <a:ln>
              <a:noFill/>
            </a:ln>
            <a:effectLst/>
          </c:spPr>
          <c:invertIfNegative val="0"/>
          <c:cat>
            <c:strRef>
              <c:f>'Figure contribution analysis'!$B$4:$D$4</c:f>
              <c:strCache>
                <c:ptCount val="3"/>
                <c:pt idx="0">
                  <c:v>3-4°C </c:v>
                </c:pt>
                <c:pt idx="1">
                  <c:v>&lt;2°C </c:v>
                </c:pt>
                <c:pt idx="2">
                  <c:v>&lt;1.5°C </c:v>
                </c:pt>
              </c:strCache>
            </c:strRef>
          </c:cat>
          <c:val>
            <c:numRef>
              <c:f>'Figure contribution analysis'!$B$9:$D$9</c:f>
              <c:numCache>
                <c:formatCode>0.00E+00</c:formatCode>
                <c:ptCount val="3"/>
                <c:pt idx="0">
                  <c:v>1.6252980342894079</c:v>
                </c:pt>
                <c:pt idx="1">
                  <c:v>1.5163905809720071</c:v>
                </c:pt>
                <c:pt idx="2">
                  <c:v>1.12730474085434</c:v>
                </c:pt>
              </c:numCache>
            </c:numRef>
          </c:val>
          <c:extLst>
            <c:ext xmlns:c16="http://schemas.microsoft.com/office/drawing/2014/chart" uri="{C3380CC4-5D6E-409C-BE32-E72D297353CC}">
              <c16:uniqueId val="{00000004-686B-4692-9FD1-B74BE1A6212A}"/>
            </c:ext>
          </c:extLst>
        </c:ser>
        <c:ser>
          <c:idx val="5"/>
          <c:order val="5"/>
          <c:tx>
            <c:strRef>
              <c:f>'Figure contribution analysis'!$A$10</c:f>
              <c:strCache>
                <c:ptCount val="1"/>
                <c:pt idx="0">
                  <c:v>Water treatment</c:v>
                </c:pt>
              </c:strCache>
            </c:strRef>
          </c:tx>
          <c:spPr>
            <a:solidFill>
              <a:schemeClr val="accent6"/>
            </a:solidFill>
            <a:ln>
              <a:noFill/>
            </a:ln>
            <a:effectLst/>
          </c:spPr>
          <c:invertIfNegative val="0"/>
          <c:cat>
            <c:strRef>
              <c:f>'Figure contribution analysis'!$B$4:$D$4</c:f>
              <c:strCache>
                <c:ptCount val="3"/>
                <c:pt idx="0">
                  <c:v>3-4°C </c:v>
                </c:pt>
                <c:pt idx="1">
                  <c:v>&lt;2°C </c:v>
                </c:pt>
                <c:pt idx="2">
                  <c:v>&lt;1.5°C </c:v>
                </c:pt>
              </c:strCache>
            </c:strRef>
          </c:cat>
          <c:val>
            <c:numRef>
              <c:f>'Figure contribution analysis'!$B$10:$D$10</c:f>
              <c:numCache>
                <c:formatCode>0.00E+00</c:formatCode>
                <c:ptCount val="3"/>
                <c:pt idx="0">
                  <c:v>1.1505712368961118</c:v>
                </c:pt>
                <c:pt idx="1">
                  <c:v>1.0908211920973019</c:v>
                </c:pt>
                <c:pt idx="2">
                  <c:v>0.91164283815019032</c:v>
                </c:pt>
              </c:numCache>
            </c:numRef>
          </c:val>
          <c:extLst>
            <c:ext xmlns:c16="http://schemas.microsoft.com/office/drawing/2014/chart" uri="{C3380CC4-5D6E-409C-BE32-E72D297353CC}">
              <c16:uniqueId val="{00000005-686B-4692-9FD1-B74BE1A6212A}"/>
            </c:ext>
          </c:extLst>
        </c:ser>
        <c:ser>
          <c:idx val="6"/>
          <c:order val="6"/>
          <c:tx>
            <c:strRef>
              <c:f>'Figure contribution analysis'!$A$11</c:f>
              <c:strCache>
                <c:ptCount val="1"/>
                <c:pt idx="0">
                  <c:v>CO2 capture</c:v>
                </c:pt>
              </c:strCache>
            </c:strRef>
          </c:tx>
          <c:spPr>
            <a:solidFill>
              <a:schemeClr val="accent1">
                <a:lumMod val="60000"/>
              </a:schemeClr>
            </a:solidFill>
            <a:ln>
              <a:noFill/>
            </a:ln>
            <a:effectLst/>
          </c:spPr>
          <c:invertIfNegative val="0"/>
          <c:cat>
            <c:strRef>
              <c:f>'Figure contribution analysis'!$B$4:$D$4</c:f>
              <c:strCache>
                <c:ptCount val="3"/>
                <c:pt idx="0">
                  <c:v>3-4°C </c:v>
                </c:pt>
                <c:pt idx="1">
                  <c:v>&lt;2°C </c:v>
                </c:pt>
                <c:pt idx="2">
                  <c:v>&lt;1.5°C </c:v>
                </c:pt>
              </c:strCache>
            </c:strRef>
          </c:cat>
          <c:val>
            <c:numRef>
              <c:f>'Figure contribution analysis'!$B$11:$D$11</c:f>
              <c:numCache>
                <c:formatCode>0.00E+00</c:formatCode>
                <c:ptCount val="3"/>
                <c:pt idx="0">
                  <c:v>0.77205259525488656</c:v>
                </c:pt>
                <c:pt idx="1">
                  <c:v>0.72017360726585544</c:v>
                </c:pt>
                <c:pt idx="2">
                  <c:v>0.53654433466923934</c:v>
                </c:pt>
              </c:numCache>
            </c:numRef>
          </c:val>
          <c:extLst>
            <c:ext xmlns:c16="http://schemas.microsoft.com/office/drawing/2014/chart" uri="{C3380CC4-5D6E-409C-BE32-E72D297353CC}">
              <c16:uniqueId val="{00000006-686B-4692-9FD1-B74BE1A6212A}"/>
            </c:ext>
          </c:extLst>
        </c:ser>
        <c:ser>
          <c:idx val="7"/>
          <c:order val="7"/>
          <c:tx>
            <c:strRef>
              <c:f>'Figure contribution analysis'!$A$12</c:f>
              <c:strCache>
                <c:ptCount val="1"/>
                <c:pt idx="0">
                  <c:v>Air outlet</c:v>
                </c:pt>
              </c:strCache>
            </c:strRef>
          </c:tx>
          <c:spPr>
            <a:solidFill>
              <a:schemeClr val="accent2">
                <a:lumMod val="60000"/>
              </a:schemeClr>
            </a:solidFill>
            <a:ln>
              <a:noFill/>
            </a:ln>
            <a:effectLst/>
          </c:spPr>
          <c:invertIfNegative val="0"/>
          <c:cat>
            <c:strRef>
              <c:f>'Figure contribution analysis'!$B$4:$D$4</c:f>
              <c:strCache>
                <c:ptCount val="3"/>
                <c:pt idx="0">
                  <c:v>3-4°C </c:v>
                </c:pt>
                <c:pt idx="1">
                  <c:v>&lt;2°C </c:v>
                </c:pt>
                <c:pt idx="2">
                  <c:v>&lt;1.5°C </c:v>
                </c:pt>
              </c:strCache>
            </c:strRef>
          </c:cat>
          <c:val>
            <c:numRef>
              <c:f>'Figure contribution analysis'!$B$12:$D$12</c:f>
              <c:numCache>
                <c:formatCode>0.00E+00</c:formatCode>
                <c:ptCount val="3"/>
                <c:pt idx="0">
                  <c:v>0.66502827145034171</c:v>
                </c:pt>
                <c:pt idx="1">
                  <c:v>0.60064271598941854</c:v>
                </c:pt>
                <c:pt idx="2">
                  <c:v>0.42350186488159069</c:v>
                </c:pt>
              </c:numCache>
            </c:numRef>
          </c:val>
          <c:extLst>
            <c:ext xmlns:c16="http://schemas.microsoft.com/office/drawing/2014/chart" uri="{C3380CC4-5D6E-409C-BE32-E72D297353CC}">
              <c16:uniqueId val="{00000007-686B-4692-9FD1-B74BE1A6212A}"/>
            </c:ext>
          </c:extLst>
        </c:ser>
        <c:ser>
          <c:idx val="8"/>
          <c:order val="8"/>
          <c:tx>
            <c:strRef>
              <c:f>'Figure contribution analysis'!$A$13</c:f>
              <c:strCache>
                <c:ptCount val="1"/>
                <c:pt idx="0">
                  <c:v>Base frame and housing </c:v>
                </c:pt>
              </c:strCache>
            </c:strRef>
          </c:tx>
          <c:spPr>
            <a:solidFill>
              <a:schemeClr val="accent3">
                <a:lumMod val="60000"/>
              </a:schemeClr>
            </a:solidFill>
            <a:ln>
              <a:noFill/>
            </a:ln>
            <a:effectLst/>
          </c:spPr>
          <c:invertIfNegative val="0"/>
          <c:cat>
            <c:strRef>
              <c:f>'Figure contribution analysis'!$B$4:$D$4</c:f>
              <c:strCache>
                <c:ptCount val="3"/>
                <c:pt idx="0">
                  <c:v>3-4°C </c:v>
                </c:pt>
                <c:pt idx="1">
                  <c:v>&lt;2°C </c:v>
                </c:pt>
                <c:pt idx="2">
                  <c:v>&lt;1.5°C </c:v>
                </c:pt>
              </c:strCache>
            </c:strRef>
          </c:cat>
          <c:val>
            <c:numRef>
              <c:f>'Figure contribution analysis'!$B$13:$D$13</c:f>
              <c:numCache>
                <c:formatCode>0.00E+00</c:formatCode>
                <c:ptCount val="3"/>
                <c:pt idx="0">
                  <c:v>6.0685019133974123</c:v>
                </c:pt>
                <c:pt idx="1">
                  <c:v>5.4714360123760537</c:v>
                </c:pt>
                <c:pt idx="2">
                  <c:v>4.6202212963694533</c:v>
                </c:pt>
              </c:numCache>
            </c:numRef>
          </c:val>
          <c:extLst>
            <c:ext xmlns:c16="http://schemas.microsoft.com/office/drawing/2014/chart" uri="{C3380CC4-5D6E-409C-BE32-E72D297353CC}">
              <c16:uniqueId val="{00000008-686B-4692-9FD1-B74BE1A6212A}"/>
            </c:ext>
          </c:extLst>
        </c:ser>
        <c:ser>
          <c:idx val="9"/>
          <c:order val="9"/>
          <c:tx>
            <c:strRef>
              <c:f>'Figure contribution analysis'!$A$14</c:f>
              <c:strCache>
                <c:ptCount val="1"/>
                <c:pt idx="0">
                  <c:v>Electronics hardware</c:v>
                </c:pt>
              </c:strCache>
            </c:strRef>
          </c:tx>
          <c:spPr>
            <a:solidFill>
              <a:schemeClr val="accent4">
                <a:lumMod val="60000"/>
              </a:schemeClr>
            </a:solidFill>
            <a:ln>
              <a:noFill/>
            </a:ln>
            <a:effectLst/>
          </c:spPr>
          <c:invertIfNegative val="0"/>
          <c:cat>
            <c:strRef>
              <c:f>'Figure contribution analysis'!$B$4:$D$4</c:f>
              <c:strCache>
                <c:ptCount val="3"/>
                <c:pt idx="0">
                  <c:v>3-4°C </c:v>
                </c:pt>
                <c:pt idx="1">
                  <c:v>&lt;2°C </c:v>
                </c:pt>
                <c:pt idx="2">
                  <c:v>&lt;1.5°C </c:v>
                </c:pt>
              </c:strCache>
            </c:strRef>
          </c:cat>
          <c:val>
            <c:numRef>
              <c:f>'Figure contribution analysis'!$B$14:$D$14</c:f>
              <c:numCache>
                <c:formatCode>0.00E+00</c:formatCode>
                <c:ptCount val="3"/>
                <c:pt idx="0">
                  <c:v>11.45141246529284</c:v>
                </c:pt>
                <c:pt idx="1">
                  <c:v>10.289890435836419</c:v>
                </c:pt>
                <c:pt idx="2">
                  <c:v>5.7396171857742839</c:v>
                </c:pt>
              </c:numCache>
            </c:numRef>
          </c:val>
          <c:extLst>
            <c:ext xmlns:c16="http://schemas.microsoft.com/office/drawing/2014/chart" uri="{C3380CC4-5D6E-409C-BE32-E72D297353CC}">
              <c16:uniqueId val="{00000009-686B-4692-9FD1-B74BE1A6212A}"/>
            </c:ext>
          </c:extLst>
        </c:ser>
        <c:ser>
          <c:idx val="10"/>
          <c:order val="10"/>
          <c:tx>
            <c:strRef>
              <c:f>'Figure contribution analysis'!$A$15</c:f>
              <c:strCache>
                <c:ptCount val="1"/>
                <c:pt idx="0">
                  <c:v>Infrastructure around DAC </c:v>
                </c:pt>
              </c:strCache>
            </c:strRef>
          </c:tx>
          <c:spPr>
            <a:solidFill>
              <a:schemeClr val="accent5">
                <a:lumMod val="60000"/>
              </a:schemeClr>
            </a:solidFill>
            <a:ln>
              <a:noFill/>
            </a:ln>
            <a:effectLst/>
          </c:spPr>
          <c:invertIfNegative val="0"/>
          <c:cat>
            <c:strRef>
              <c:f>'Figure contribution analysis'!$B$4:$D$4</c:f>
              <c:strCache>
                <c:ptCount val="3"/>
                <c:pt idx="0">
                  <c:v>3-4°C </c:v>
                </c:pt>
                <c:pt idx="1">
                  <c:v>&lt;2°C </c:v>
                </c:pt>
                <c:pt idx="2">
                  <c:v>&lt;1.5°C </c:v>
                </c:pt>
              </c:strCache>
            </c:strRef>
          </c:cat>
          <c:val>
            <c:numRef>
              <c:f>'Figure contribution analysis'!$B$15:$D$15</c:f>
              <c:numCache>
                <c:formatCode>0.00E+00</c:formatCode>
                <c:ptCount val="3"/>
                <c:pt idx="0">
                  <c:v>0.160844509152789</c:v>
                </c:pt>
                <c:pt idx="1">
                  <c:v>0.1498302664696288</c:v>
                </c:pt>
                <c:pt idx="2">
                  <c:v>0.1358099801011502</c:v>
                </c:pt>
              </c:numCache>
            </c:numRef>
          </c:val>
          <c:extLst>
            <c:ext xmlns:c16="http://schemas.microsoft.com/office/drawing/2014/chart" uri="{C3380CC4-5D6E-409C-BE32-E72D297353CC}">
              <c16:uniqueId val="{0000000A-686B-4692-9FD1-B74BE1A6212A}"/>
            </c:ext>
          </c:extLst>
        </c:ser>
        <c:ser>
          <c:idx val="11"/>
          <c:order val="11"/>
          <c:tx>
            <c:strRef>
              <c:f>'Figure contribution analysis'!$A$16</c:f>
              <c:strCache>
                <c:ptCount val="1"/>
                <c:pt idx="0">
                  <c:v>Heat pump </c:v>
                </c:pt>
              </c:strCache>
            </c:strRef>
          </c:tx>
          <c:spPr>
            <a:solidFill>
              <a:schemeClr val="accent6">
                <a:lumMod val="60000"/>
              </a:schemeClr>
            </a:solidFill>
            <a:ln>
              <a:noFill/>
            </a:ln>
            <a:effectLst/>
          </c:spPr>
          <c:invertIfNegative val="0"/>
          <c:cat>
            <c:strRef>
              <c:f>'Figure contribution analysis'!$B$4:$D$4</c:f>
              <c:strCache>
                <c:ptCount val="3"/>
                <c:pt idx="0">
                  <c:v>3-4°C </c:v>
                </c:pt>
                <c:pt idx="1">
                  <c:v>&lt;2°C </c:v>
                </c:pt>
                <c:pt idx="2">
                  <c:v>&lt;1.5°C </c:v>
                </c:pt>
              </c:strCache>
            </c:strRef>
          </c:cat>
          <c:val>
            <c:numRef>
              <c:f>'Figure contribution analysis'!$B$16:$D$16</c:f>
              <c:numCache>
                <c:formatCode>0.00E+00</c:formatCode>
                <c:ptCount val="3"/>
                <c:pt idx="0">
                  <c:v>8.4418358990577627</c:v>
                </c:pt>
                <c:pt idx="1">
                  <c:v>8.3858438655395489</c:v>
                </c:pt>
                <c:pt idx="2">
                  <c:v>8.2189811246529114</c:v>
                </c:pt>
              </c:numCache>
            </c:numRef>
          </c:val>
          <c:extLst>
            <c:ext xmlns:c16="http://schemas.microsoft.com/office/drawing/2014/chart" uri="{C3380CC4-5D6E-409C-BE32-E72D297353CC}">
              <c16:uniqueId val="{00000000-8737-400B-A742-13245BC6BC41}"/>
            </c:ext>
          </c:extLst>
        </c:ser>
        <c:dLbls>
          <c:showLegendKey val="0"/>
          <c:showVal val="0"/>
          <c:showCatName val="0"/>
          <c:showSerName val="0"/>
          <c:showPercent val="0"/>
          <c:showBubbleSize val="0"/>
        </c:dLbls>
        <c:gapWidth val="150"/>
        <c:overlap val="100"/>
        <c:axId val="90005679"/>
        <c:axId val="80505487"/>
      </c:barChart>
      <c:catAx>
        <c:axId val="900056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Verdana" panose="020B0604030504040204" pitchFamily="34" charset="0"/>
                <a:cs typeface="Times New Roman" panose="02020603050405020304" pitchFamily="18" charset="0"/>
              </a:defRPr>
            </a:pPr>
            <a:endParaRPr lang="en-NL"/>
          </a:p>
        </c:txPr>
        <c:crossAx val="80505487"/>
        <c:crosses val="autoZero"/>
        <c:auto val="1"/>
        <c:lblAlgn val="ctr"/>
        <c:lblOffset val="100"/>
        <c:noMultiLvlLbl val="0"/>
      </c:catAx>
      <c:valAx>
        <c:axId val="8050548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Verdana" panose="020B0604030504040204" pitchFamily="34" charset="0"/>
                    <a:cs typeface="Times New Roman" panose="02020603050405020304" pitchFamily="18" charset="0"/>
                  </a:defRPr>
                </a:pPr>
                <a:r>
                  <a:rPr lang="en-GB"/>
                  <a:t>Climate change </a:t>
                </a:r>
              </a:p>
              <a:p>
                <a:pPr>
                  <a:defRPr/>
                </a:pPr>
                <a:r>
                  <a:rPr lang="en-GB"/>
                  <a:t>[ton CO</a:t>
                </a:r>
                <a:r>
                  <a:rPr lang="en-GB" baseline="-25000"/>
                  <a:t>2-eq</a:t>
                </a:r>
                <a:r>
                  <a:rPr lang="en-GB"/>
                  <a:t>/ton CO</a:t>
                </a:r>
                <a:r>
                  <a:rPr lang="en-GB" baseline="-25000"/>
                  <a:t>2</a:t>
                </a:r>
                <a:r>
                  <a:rPr lang="en-GB"/>
                  <a:t> captured and stored]</a:t>
                </a:r>
                <a:endParaRPr lang="en-NL"/>
              </a:p>
            </c:rich>
          </c:tx>
          <c:layout>
            <c:manualLayout>
              <c:xMode val="edge"/>
              <c:yMode val="edge"/>
              <c:x val="1.3888888888888888E-2"/>
              <c:y val="0.1646834663841054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Verdana" panose="020B0604030504040204" pitchFamily="34" charset="0"/>
                  <a:cs typeface="Times New Roman" panose="02020603050405020304" pitchFamily="18" charset="0"/>
                </a:defRPr>
              </a:pPr>
              <a:endParaRPr lang="en-N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Verdana" panose="020B0604030504040204" pitchFamily="34" charset="0"/>
                <a:cs typeface="Times New Roman" panose="02020603050405020304" pitchFamily="18" charset="0"/>
              </a:defRPr>
            </a:pPr>
            <a:endParaRPr lang="en-NL"/>
          </a:p>
        </c:txPr>
        <c:crossAx val="90005679"/>
        <c:crosses val="autoZero"/>
        <c:crossBetween val="between"/>
      </c:valAx>
      <c:spPr>
        <a:noFill/>
        <a:ln>
          <a:noFill/>
        </a:ln>
        <a:effectLst/>
      </c:spPr>
    </c:plotArea>
    <c:legend>
      <c:legendPos val="r"/>
      <c:layout>
        <c:manualLayout>
          <c:xMode val="edge"/>
          <c:yMode val="edge"/>
          <c:x val="0.63741119860017503"/>
          <c:y val="3.5556027480906208E-2"/>
          <c:w val="0.33809689413823274"/>
          <c:h val="0.90528965594251476"/>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Verdana" panose="020B0604030504040204" pitchFamily="34" charset="0"/>
              <a:cs typeface="Times New Roman" panose="02020603050405020304" pitchFamily="18" charset="0"/>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Verdana Pro" panose="020B0604030504040204" pitchFamily="34" charset="0"/>
          <a:ea typeface="Verdana" panose="020B0604030504040204" pitchFamily="34" charset="0"/>
          <a:cs typeface="Times New Roman" panose="02020603050405020304" pitchFamily="18" charset="0"/>
        </a:defRPr>
      </a:pPr>
      <a:endParaRPr lang="en-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baseline="0">
                <a:solidFill>
                  <a:schemeClr val="tx1"/>
                </a:solidFill>
                <a:latin typeface="Verdana Pro" panose="020B0604030504040204" pitchFamily="34" charset="0"/>
                <a:ea typeface="+mn-ea"/>
                <a:cs typeface="Times New Roman" panose="02020603050405020304" pitchFamily="18" charset="0"/>
              </a:defRPr>
            </a:pPr>
            <a:r>
              <a:rPr lang="en-GB" b="0" i="1"/>
              <a:t>Benefits		Burdens</a:t>
            </a:r>
          </a:p>
        </c:rich>
      </c:tx>
      <c:layout>
        <c:manualLayout>
          <c:xMode val="edge"/>
          <c:yMode val="edge"/>
          <c:x val="0.41634754139571833"/>
          <c:y val="6.924574569824888E-3"/>
        </c:manualLayout>
      </c:layout>
      <c:overlay val="0"/>
      <c:spPr>
        <a:noFill/>
        <a:ln>
          <a:noFill/>
        </a:ln>
        <a:effectLst/>
      </c:spPr>
      <c:txPr>
        <a:bodyPr rot="0" spcFirstLastPara="1" vertOverflow="ellipsis" vert="horz" wrap="square" anchor="ctr" anchorCtr="1"/>
        <a:lstStyle/>
        <a:p>
          <a:pPr>
            <a:defRPr sz="1440" b="1"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title>
    <c:autoTitleDeleted val="0"/>
    <c:plotArea>
      <c:layout>
        <c:manualLayout>
          <c:layoutTarget val="inner"/>
          <c:xMode val="edge"/>
          <c:yMode val="edge"/>
          <c:x val="0.10403434643237103"/>
          <c:y val="0.11409636871261428"/>
          <c:w val="0.87227127494090295"/>
          <c:h val="0.58065330177074848"/>
        </c:manualLayout>
      </c:layout>
      <c:barChart>
        <c:barDir val="bar"/>
        <c:grouping val="stacked"/>
        <c:varyColors val="0"/>
        <c:ser>
          <c:idx val="0"/>
          <c:order val="0"/>
          <c:tx>
            <c:strRef>
              <c:f>'Figure Results ReCiPe (E)'!$C$5</c:f>
              <c:strCache>
                <c:ptCount val="1"/>
                <c:pt idx="0">
                  <c:v>Construction - DAC</c:v>
                </c:pt>
              </c:strCache>
            </c:strRef>
          </c:tx>
          <c:spPr>
            <a:solidFill>
              <a:schemeClr val="accent4">
                <a:lumMod val="75000"/>
              </a:schemeClr>
            </a:solidFill>
            <a:ln>
              <a:noFill/>
            </a:ln>
            <a:effectLst/>
          </c:spPr>
          <c:invertIfNegative val="0"/>
          <c:cat>
            <c:multiLvlStrRef>
              <c:f>'Figure Results ReCiPe (E)'!$A$6:$B$14</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(E)'!$C$6:$C$14</c:f>
              <c:numCache>
                <c:formatCode>0.00E+00</c:formatCode>
                <c:ptCount val="9"/>
                <c:pt idx="0">
                  <c:v>11.344723635134283</c:v>
                </c:pt>
                <c:pt idx="1">
                  <c:v>10.325561646999494</c:v>
                </c:pt>
                <c:pt idx="2">
                  <c:v>7.4939016969469172</c:v>
                </c:pt>
                <c:pt idx="3">
                  <c:v>11.344723635134283</c:v>
                </c:pt>
                <c:pt idx="4">
                  <c:v>10.325561646999494</c:v>
                </c:pt>
                <c:pt idx="5">
                  <c:v>7.4939016969469172</c:v>
                </c:pt>
                <c:pt idx="6">
                  <c:v>22.014926981220274</c:v>
                </c:pt>
                <c:pt idx="7">
                  <c:v>19.997016539018677</c:v>
                </c:pt>
                <c:pt idx="8">
                  <c:v>14.393302064747765</c:v>
                </c:pt>
              </c:numCache>
            </c:numRef>
          </c:val>
          <c:extLst>
            <c:ext xmlns:c16="http://schemas.microsoft.com/office/drawing/2014/chart" uri="{C3380CC4-5D6E-409C-BE32-E72D297353CC}">
              <c16:uniqueId val="{00000000-0998-4707-AA53-DD8909D86CBA}"/>
            </c:ext>
          </c:extLst>
        </c:ser>
        <c:ser>
          <c:idx val="1"/>
          <c:order val="1"/>
          <c:tx>
            <c:strRef>
              <c:f>'Figure Results ReCiPe (E)'!$D$5</c:f>
              <c:strCache>
                <c:ptCount val="1"/>
                <c:pt idx="0">
                  <c:v>Construction - geological storage</c:v>
                </c:pt>
              </c:strCache>
            </c:strRef>
          </c:tx>
          <c:spPr>
            <a:solidFill>
              <a:schemeClr val="accent4">
                <a:lumMod val="60000"/>
                <a:lumOff val="40000"/>
              </a:schemeClr>
            </a:solidFill>
            <a:ln>
              <a:noFill/>
            </a:ln>
            <a:effectLst/>
          </c:spPr>
          <c:invertIfNegative val="0"/>
          <c:cat>
            <c:multiLvlStrRef>
              <c:f>'Figure Results ReCiPe (E)'!$A$6:$B$14</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(E)'!$D$6:$D$14</c:f>
              <c:numCache>
                <c:formatCode>0.00E+00</c:formatCode>
                <c:ptCount val="9"/>
                <c:pt idx="0">
                  <c:v>0.88779762378988625</c:v>
                </c:pt>
                <c:pt idx="1">
                  <c:v>0.82978347178532919</c:v>
                </c:pt>
                <c:pt idx="2">
                  <c:v>0.72279888238399292</c:v>
                </c:pt>
                <c:pt idx="3">
                  <c:v>0.88779762378988625</c:v>
                </c:pt>
                <c:pt idx="4">
                  <c:v>0.82978347178532919</c:v>
                </c:pt>
                <c:pt idx="5">
                  <c:v>0.72279888238399292</c:v>
                </c:pt>
                <c:pt idx="6">
                  <c:v>0.88779762378988625</c:v>
                </c:pt>
                <c:pt idx="7">
                  <c:v>0.82978347178532919</c:v>
                </c:pt>
                <c:pt idx="8">
                  <c:v>0.72279888238399292</c:v>
                </c:pt>
              </c:numCache>
            </c:numRef>
          </c:val>
          <c:extLst>
            <c:ext xmlns:c16="http://schemas.microsoft.com/office/drawing/2014/chart" uri="{C3380CC4-5D6E-409C-BE32-E72D297353CC}">
              <c16:uniqueId val="{00000001-0998-4707-AA53-DD8909D86CBA}"/>
            </c:ext>
          </c:extLst>
        </c:ser>
        <c:ser>
          <c:idx val="3"/>
          <c:order val="2"/>
          <c:tx>
            <c:strRef>
              <c:f>'Figure Results ReCiPe (E)'!$E$5</c:f>
              <c:strCache>
                <c:ptCount val="1"/>
                <c:pt idx="0">
                  <c:v>Deconstruction - DAC</c:v>
                </c:pt>
              </c:strCache>
            </c:strRef>
          </c:tx>
          <c:spPr>
            <a:solidFill>
              <a:schemeClr val="accent2">
                <a:lumMod val="40000"/>
                <a:lumOff val="60000"/>
              </a:schemeClr>
            </a:solidFill>
            <a:ln>
              <a:noFill/>
            </a:ln>
            <a:effectLst/>
          </c:spPr>
          <c:invertIfNegative val="0"/>
          <c:cat>
            <c:multiLvlStrRef>
              <c:f>'Figure Results ReCiPe (E)'!$A$6:$B$14</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(E)'!$E$6:$E$14</c:f>
              <c:numCache>
                <c:formatCode>0.00E+00</c:formatCode>
                <c:ptCount val="9"/>
                <c:pt idx="0">
                  <c:v>0.2320197683919451</c:v>
                </c:pt>
                <c:pt idx="1">
                  <c:v>0.18876786376313567</c:v>
                </c:pt>
                <c:pt idx="2">
                  <c:v>0.16067157976893875</c:v>
                </c:pt>
                <c:pt idx="3">
                  <c:v>0.2320197683919451</c:v>
                </c:pt>
                <c:pt idx="4">
                  <c:v>0.18876786376313567</c:v>
                </c:pt>
                <c:pt idx="5">
                  <c:v>0.16067157976893875</c:v>
                </c:pt>
                <c:pt idx="6">
                  <c:v>0.46403953678389021</c:v>
                </c:pt>
                <c:pt idx="7">
                  <c:v>0.37753572752627135</c:v>
                </c:pt>
                <c:pt idx="8">
                  <c:v>0.32134315953787751</c:v>
                </c:pt>
              </c:numCache>
            </c:numRef>
          </c:val>
          <c:extLst>
            <c:ext xmlns:c16="http://schemas.microsoft.com/office/drawing/2014/chart" uri="{C3380CC4-5D6E-409C-BE32-E72D297353CC}">
              <c16:uniqueId val="{00000002-0998-4707-AA53-DD8909D86CBA}"/>
            </c:ext>
          </c:extLst>
        </c:ser>
        <c:ser>
          <c:idx val="4"/>
          <c:order val="3"/>
          <c:tx>
            <c:strRef>
              <c:f>'Figure Results ReCiPe (E)'!$F$5</c:f>
              <c:strCache>
                <c:ptCount val="1"/>
                <c:pt idx="0">
                  <c:v>Deconstruction - geological storage</c:v>
                </c:pt>
              </c:strCache>
            </c:strRef>
          </c:tx>
          <c:spPr>
            <a:solidFill>
              <a:srgbClr val="FF9900"/>
            </a:solidFill>
            <a:ln>
              <a:noFill/>
            </a:ln>
            <a:effectLst/>
          </c:spPr>
          <c:invertIfNegative val="0"/>
          <c:cat>
            <c:multiLvlStrRef>
              <c:f>'Figure Results ReCiPe (E)'!$A$6:$B$14</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(E)'!$F$6:$F$14</c:f>
              <c:numCache>
                <c:formatCode>0.00E+00</c:formatCode>
                <c:ptCount val="9"/>
                <c:pt idx="0">
                  <c:v>8.5611250997377868E-3</c:v>
                </c:pt>
                <c:pt idx="1">
                  <c:v>7.9770264750942555E-3</c:v>
                </c:pt>
                <c:pt idx="2">
                  <c:v>7.4938193238863774E-3</c:v>
                </c:pt>
                <c:pt idx="3">
                  <c:v>8.5611250997377868E-3</c:v>
                </c:pt>
                <c:pt idx="4">
                  <c:v>7.9770264750942555E-3</c:v>
                </c:pt>
                <c:pt idx="5">
                  <c:v>7.4938193238863774E-3</c:v>
                </c:pt>
                <c:pt idx="6">
                  <c:v>8.5611250997377868E-3</c:v>
                </c:pt>
                <c:pt idx="7">
                  <c:v>7.9770264750942555E-3</c:v>
                </c:pt>
                <c:pt idx="8">
                  <c:v>7.4938193238863774E-3</c:v>
                </c:pt>
              </c:numCache>
            </c:numRef>
          </c:val>
          <c:extLst>
            <c:ext xmlns:c16="http://schemas.microsoft.com/office/drawing/2014/chart" uri="{C3380CC4-5D6E-409C-BE32-E72D297353CC}">
              <c16:uniqueId val="{00000003-0998-4707-AA53-DD8909D86CBA}"/>
            </c:ext>
          </c:extLst>
        </c:ser>
        <c:ser>
          <c:idx val="5"/>
          <c:order val="4"/>
          <c:tx>
            <c:strRef>
              <c:f>'Figure Results ReCiPe (E)'!$G$5</c:f>
              <c:strCache>
                <c:ptCount val="1"/>
                <c:pt idx="0">
                  <c:v>Sorbent material</c:v>
                </c:pt>
              </c:strCache>
            </c:strRef>
          </c:tx>
          <c:spPr>
            <a:solidFill>
              <a:srgbClr val="FF8F8F"/>
            </a:solidFill>
            <a:ln>
              <a:noFill/>
            </a:ln>
            <a:effectLst/>
          </c:spPr>
          <c:invertIfNegative val="0"/>
          <c:cat>
            <c:multiLvlStrRef>
              <c:f>'Figure Results ReCiPe (E)'!$A$6:$B$14</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(E)'!$G$6:$G$14</c:f>
              <c:numCache>
                <c:formatCode>0.00E+00</c:formatCode>
                <c:ptCount val="9"/>
                <c:pt idx="0">
                  <c:v>3.67956969457811</c:v>
                </c:pt>
                <c:pt idx="1">
                  <c:v>3.0580086067807373</c:v>
                </c:pt>
                <c:pt idx="2">
                  <c:v>2.6117781069559447</c:v>
                </c:pt>
                <c:pt idx="3">
                  <c:v>3.67956969457811</c:v>
                </c:pt>
                <c:pt idx="4">
                  <c:v>3.0580086067807373</c:v>
                </c:pt>
                <c:pt idx="5">
                  <c:v>2.6117781069559447</c:v>
                </c:pt>
                <c:pt idx="6">
                  <c:v>7.35913938915622</c:v>
                </c:pt>
                <c:pt idx="7">
                  <c:v>6.1160172135614745</c:v>
                </c:pt>
                <c:pt idx="8">
                  <c:v>5.2235562139118894</c:v>
                </c:pt>
              </c:numCache>
            </c:numRef>
          </c:val>
          <c:extLst>
            <c:ext xmlns:c16="http://schemas.microsoft.com/office/drawing/2014/chart" uri="{C3380CC4-5D6E-409C-BE32-E72D297353CC}">
              <c16:uniqueId val="{00000004-0998-4707-AA53-DD8909D86CBA}"/>
            </c:ext>
          </c:extLst>
        </c:ser>
        <c:ser>
          <c:idx val="6"/>
          <c:order val="5"/>
          <c:tx>
            <c:strRef>
              <c:f>'Figure Results ReCiPe (E)'!$I$5</c:f>
              <c:strCache>
                <c:ptCount val="1"/>
                <c:pt idx="0">
                  <c:v>Operation - DAC</c:v>
                </c:pt>
              </c:strCache>
            </c:strRef>
          </c:tx>
          <c:spPr>
            <a:solidFill>
              <a:schemeClr val="accent2">
                <a:lumMod val="75000"/>
              </a:schemeClr>
            </a:solidFill>
            <a:ln>
              <a:noFill/>
            </a:ln>
            <a:effectLst/>
          </c:spPr>
          <c:invertIfNegative val="0"/>
          <c:cat>
            <c:multiLvlStrRef>
              <c:f>'Figure Results ReCiPe (E)'!$A$6:$B$14</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(E)'!$I$6:$I$14</c:f>
              <c:numCache>
                <c:formatCode>0.00E+00</c:formatCode>
                <c:ptCount val="9"/>
                <c:pt idx="0">
                  <c:v>542.92639974306326</c:v>
                </c:pt>
                <c:pt idx="1">
                  <c:v>103.21357309418998</c:v>
                </c:pt>
                <c:pt idx="2">
                  <c:v>-16.676753291330883</c:v>
                </c:pt>
                <c:pt idx="3">
                  <c:v>417.77268810887153</c:v>
                </c:pt>
                <c:pt idx="4">
                  <c:v>80.347073149552557</c:v>
                </c:pt>
                <c:pt idx="5">
                  <c:v>-12.200064782018543</c:v>
                </c:pt>
                <c:pt idx="6">
                  <c:v>63.708876856429235</c:v>
                </c:pt>
                <c:pt idx="7">
                  <c:v>44.03304182430491</c:v>
                </c:pt>
                <c:pt idx="8">
                  <c:v>33.179068263109279</c:v>
                </c:pt>
              </c:numCache>
            </c:numRef>
          </c:val>
          <c:extLst>
            <c:ext xmlns:c16="http://schemas.microsoft.com/office/drawing/2014/chart" uri="{C3380CC4-5D6E-409C-BE32-E72D297353CC}">
              <c16:uniqueId val="{00000005-0998-4707-AA53-DD8909D86CBA}"/>
            </c:ext>
          </c:extLst>
        </c:ser>
        <c:ser>
          <c:idx val="7"/>
          <c:order val="6"/>
          <c:tx>
            <c:strRef>
              <c:f>'Figure Results ReCiPe (E)'!$J$5</c:f>
              <c:strCache>
                <c:ptCount val="1"/>
                <c:pt idx="0">
                  <c:v>Operation - geological storage</c:v>
                </c:pt>
              </c:strCache>
            </c:strRef>
          </c:tx>
          <c:spPr>
            <a:solidFill>
              <a:schemeClr val="accent2">
                <a:lumMod val="50000"/>
              </a:schemeClr>
            </a:solidFill>
            <a:ln>
              <a:noFill/>
            </a:ln>
            <a:effectLst/>
          </c:spPr>
          <c:invertIfNegative val="0"/>
          <c:cat>
            <c:multiLvlStrRef>
              <c:f>'Figure Results ReCiPe (E)'!$A$6:$B$14</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(E)'!$J$6:$J$14</c:f>
              <c:numCache>
                <c:formatCode>0.00E+00</c:formatCode>
                <c:ptCount val="9"/>
                <c:pt idx="0">
                  <c:v>41.972817235363799</c:v>
                </c:pt>
                <c:pt idx="1">
                  <c:v>8.7550015116154789</c:v>
                </c:pt>
                <c:pt idx="2">
                  <c:v>-0.42842390598509644</c:v>
                </c:pt>
                <c:pt idx="3">
                  <c:v>41.972817235363799</c:v>
                </c:pt>
                <c:pt idx="4">
                  <c:v>8.7550015116154789</c:v>
                </c:pt>
                <c:pt idx="5">
                  <c:v>-0.42842390598509644</c:v>
                </c:pt>
                <c:pt idx="6">
                  <c:v>41.972817235363799</c:v>
                </c:pt>
                <c:pt idx="7">
                  <c:v>8.7550015116154789</c:v>
                </c:pt>
                <c:pt idx="8">
                  <c:v>-0.42842390598509644</c:v>
                </c:pt>
              </c:numCache>
            </c:numRef>
          </c:val>
          <c:extLst>
            <c:ext xmlns:c16="http://schemas.microsoft.com/office/drawing/2014/chart" uri="{C3380CC4-5D6E-409C-BE32-E72D297353CC}">
              <c16:uniqueId val="{00000006-0998-4707-AA53-DD8909D86CBA}"/>
            </c:ext>
          </c:extLst>
        </c:ser>
        <c:ser>
          <c:idx val="9"/>
          <c:order val="8"/>
          <c:tx>
            <c:strRef>
              <c:f>'Figure Results ReCiPe (E)'!$H$5</c:f>
              <c:strCache>
                <c:ptCount val="1"/>
                <c:pt idx="0">
                  <c:v>Battery</c:v>
                </c:pt>
              </c:strCache>
            </c:strRef>
          </c:tx>
          <c:spPr>
            <a:solidFill>
              <a:schemeClr val="accent6">
                <a:lumMod val="75000"/>
              </a:schemeClr>
            </a:solidFill>
            <a:ln w="19050">
              <a:noFill/>
            </a:ln>
            <a:effectLst/>
          </c:spPr>
          <c:invertIfNegative val="0"/>
          <c:cat>
            <c:multiLvlStrRef>
              <c:f>'Figure Results ReCiPe (E)'!$A$6:$B$14</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(E)'!$H$6:$H$14</c:f>
              <c:numCache>
                <c:formatCode>0.00E+00</c:formatCode>
                <c:ptCount val="9"/>
                <c:pt idx="0">
                  <c:v>0</c:v>
                </c:pt>
                <c:pt idx="1">
                  <c:v>0</c:v>
                </c:pt>
                <c:pt idx="2">
                  <c:v>0</c:v>
                </c:pt>
                <c:pt idx="3">
                  <c:v>0</c:v>
                </c:pt>
                <c:pt idx="4">
                  <c:v>0</c:v>
                </c:pt>
                <c:pt idx="5">
                  <c:v>0</c:v>
                </c:pt>
                <c:pt idx="6" formatCode="0.00">
                  <c:v>80.284861861328622</c:v>
                </c:pt>
                <c:pt idx="7" formatCode="0.00">
                  <c:v>72.794367623270674</c:v>
                </c:pt>
                <c:pt idx="8" formatCode="0.00">
                  <c:v>6.986301369863015</c:v>
                </c:pt>
              </c:numCache>
            </c:numRef>
          </c:val>
          <c:extLst>
            <c:ext xmlns:c16="http://schemas.microsoft.com/office/drawing/2014/chart" uri="{C3380CC4-5D6E-409C-BE32-E72D297353CC}">
              <c16:uniqueId val="{00000007-0998-4707-AA53-DD8909D86CBA}"/>
            </c:ext>
          </c:extLst>
        </c:ser>
        <c:ser>
          <c:idx val="8"/>
          <c:order val="9"/>
          <c:tx>
            <c:strRef>
              <c:f>'Figure Results ReCiPe (E)'!$K$5</c:f>
              <c:strCache>
                <c:ptCount val="1"/>
                <c:pt idx="0">
                  <c:v>CO2 captured and stored</c:v>
                </c:pt>
              </c:strCache>
            </c:strRef>
          </c:tx>
          <c:spPr>
            <a:solidFill>
              <a:schemeClr val="tx2">
                <a:lumMod val="20000"/>
                <a:lumOff val="80000"/>
              </a:schemeClr>
            </a:solidFill>
            <a:ln w="19050">
              <a:noFill/>
            </a:ln>
            <a:effectLst/>
          </c:spPr>
          <c:invertIfNegative val="0"/>
          <c:cat>
            <c:multiLvlStrRef>
              <c:f>'Figure Results ReCiPe (E)'!$A$6:$B$14</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(E)'!$K$6:$K$14</c:f>
              <c:numCache>
                <c:formatCode>0.00E+00</c:formatCode>
                <c:ptCount val="9"/>
                <c:pt idx="0">
                  <c:v>-1000</c:v>
                </c:pt>
                <c:pt idx="1">
                  <c:v>-1000</c:v>
                </c:pt>
                <c:pt idx="2">
                  <c:v>-1000</c:v>
                </c:pt>
                <c:pt idx="3">
                  <c:v>-1000</c:v>
                </c:pt>
                <c:pt idx="4">
                  <c:v>-1000</c:v>
                </c:pt>
                <c:pt idx="5">
                  <c:v>-1000</c:v>
                </c:pt>
                <c:pt idx="6">
                  <c:v>-1000</c:v>
                </c:pt>
                <c:pt idx="7">
                  <c:v>-1000</c:v>
                </c:pt>
                <c:pt idx="8">
                  <c:v>-1000</c:v>
                </c:pt>
              </c:numCache>
            </c:numRef>
          </c:val>
          <c:extLst>
            <c:ext xmlns:c16="http://schemas.microsoft.com/office/drawing/2014/chart" uri="{C3380CC4-5D6E-409C-BE32-E72D297353CC}">
              <c16:uniqueId val="{00000008-0998-4707-AA53-DD8909D86CBA}"/>
            </c:ext>
          </c:extLst>
        </c:ser>
        <c:dLbls>
          <c:showLegendKey val="0"/>
          <c:showVal val="0"/>
          <c:showCatName val="0"/>
          <c:showSerName val="0"/>
          <c:showPercent val="0"/>
          <c:showBubbleSize val="0"/>
        </c:dLbls>
        <c:gapWidth val="150"/>
        <c:overlap val="100"/>
        <c:axId val="134262272"/>
        <c:axId val="135299072"/>
      </c:barChart>
      <c:scatterChart>
        <c:scatterStyle val="lineMarker"/>
        <c:varyColors val="0"/>
        <c:ser>
          <c:idx val="2"/>
          <c:order val="7"/>
          <c:tx>
            <c:strRef>
              <c:f>'Figure Results ReCiPe (E)'!$L$5</c:f>
              <c:strCache>
                <c:ptCount val="1"/>
                <c:pt idx="0">
                  <c:v>Total</c:v>
                </c:pt>
              </c:strCache>
            </c:strRef>
          </c:tx>
          <c:spPr>
            <a:ln w="19050" cap="rnd" cmpd="sng" algn="ctr">
              <a:noFill/>
              <a:prstDash val="solid"/>
              <a:round/>
            </a:ln>
            <a:effectLst/>
          </c:spPr>
          <c:marker>
            <c:symbol val="circle"/>
            <c:size val="7"/>
            <c:spPr>
              <a:solidFill>
                <a:schemeClr val="tx1"/>
              </a:solidFill>
              <a:ln w="6350" cap="flat" cmpd="sng" algn="ctr">
                <a:noFill/>
                <a:prstDash val="solid"/>
                <a:round/>
              </a:ln>
              <a:effectLst/>
            </c:spPr>
          </c:marker>
          <c:dLbls>
            <c:spPr>
              <a:noFill/>
              <a:ln>
                <a:noFill/>
              </a:ln>
              <a:effectLst/>
            </c:spPr>
            <c:txPr>
              <a:bodyPr rot="0" spcFirstLastPara="1" vertOverflow="ellipsis" vert="horz" wrap="square" lIns="0" tIns="0" rIns="0" bIns="0" anchor="ctr" anchorCtr="1"/>
              <a:lstStyle/>
              <a:p>
                <a:pPr>
                  <a:defRPr sz="1200" b="0"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dLblPos val="t"/>
            <c:showLegendKey val="0"/>
            <c:showVal val="0"/>
            <c:showCatName val="1"/>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LeaderLines val="1"/>
                <c15:leaderLines>
                  <c:spPr>
                    <a:ln w="6350" cap="flat" cmpd="sng" algn="ctr">
                      <a:solidFill>
                        <a:schemeClr val="tx1"/>
                      </a:solidFill>
                      <a:prstDash val="solid"/>
                      <a:round/>
                    </a:ln>
                    <a:effectLst/>
                  </c:spPr>
                </c15:leaderLines>
              </c:ext>
            </c:extLst>
          </c:dLbls>
          <c:xVal>
            <c:numRef>
              <c:f>'Figure Results ReCiPe (E)'!$L$6:$L$14</c:f>
              <c:numCache>
                <c:formatCode>0</c:formatCode>
                <c:ptCount val="9"/>
                <c:pt idx="0">
                  <c:v>-398.94811117457886</c:v>
                </c:pt>
                <c:pt idx="1">
                  <c:v>-873.62132677839077</c:v>
                </c:pt>
                <c:pt idx="2">
                  <c:v>-1006.1085331119364</c:v>
                </c:pt>
                <c:pt idx="3">
                  <c:v>-524.10182280877063</c:v>
                </c:pt>
                <c:pt idx="4">
                  <c:v>-896.48782672302809</c:v>
                </c:pt>
                <c:pt idx="5">
                  <c:v>-1001.6318446026239</c:v>
                </c:pt>
                <c:pt idx="6">
                  <c:v>-783.29897939082832</c:v>
                </c:pt>
                <c:pt idx="7">
                  <c:v>-847.0892590624419</c:v>
                </c:pt>
                <c:pt idx="8">
                  <c:v>-939.59456013310739</c:v>
                </c:pt>
              </c:numCache>
            </c:numRef>
          </c:xVal>
          <c:yVal>
            <c:numRef>
              <c:f>'Figure Results ReCiPe (E)'!$M$6:$M$14</c:f>
              <c:numCache>
                <c:formatCode>General</c:formatCode>
                <c:ptCount val="9"/>
                <c:pt idx="0">
                  <c:v>8.5</c:v>
                </c:pt>
                <c:pt idx="1">
                  <c:v>7.5</c:v>
                </c:pt>
                <c:pt idx="2">
                  <c:v>6.5</c:v>
                </c:pt>
                <c:pt idx="3">
                  <c:v>5.5</c:v>
                </c:pt>
                <c:pt idx="4">
                  <c:v>4.5</c:v>
                </c:pt>
                <c:pt idx="5">
                  <c:v>3.5</c:v>
                </c:pt>
                <c:pt idx="6">
                  <c:v>2.5</c:v>
                </c:pt>
                <c:pt idx="7">
                  <c:v>1.5</c:v>
                </c:pt>
                <c:pt idx="8">
                  <c:v>0.5</c:v>
                </c:pt>
              </c:numCache>
            </c:numRef>
          </c:yVal>
          <c:smooth val="0"/>
          <c:extLst>
            <c:ext xmlns:c16="http://schemas.microsoft.com/office/drawing/2014/chart" uri="{C3380CC4-5D6E-409C-BE32-E72D297353CC}">
              <c16:uniqueId val="{00000009-0998-4707-AA53-DD8909D86CBA}"/>
            </c:ext>
          </c:extLst>
        </c:ser>
        <c:dLbls>
          <c:showLegendKey val="0"/>
          <c:showVal val="0"/>
          <c:showCatName val="0"/>
          <c:showSerName val="0"/>
          <c:showPercent val="0"/>
          <c:showBubbleSize val="0"/>
        </c:dLbls>
        <c:axId val="620675072"/>
        <c:axId val="620677376"/>
      </c:scatterChart>
      <c:catAx>
        <c:axId val="134262272"/>
        <c:scaling>
          <c:orientation val="maxMin"/>
        </c:scaling>
        <c:delete val="0"/>
        <c:axPos val="l"/>
        <c:numFmt formatCode="@" sourceLinked="0"/>
        <c:majorTickMark val="none"/>
        <c:minorTickMark val="none"/>
        <c:tickLblPos val="low"/>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200" b="1"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crossAx val="135299072"/>
        <c:crossesAt val="0"/>
        <c:auto val="1"/>
        <c:lblAlgn val="ctr"/>
        <c:lblOffset val="100"/>
        <c:noMultiLvlLbl val="0"/>
      </c:catAx>
      <c:valAx>
        <c:axId val="135299072"/>
        <c:scaling>
          <c:orientation val="minMax"/>
          <c:max val="1200"/>
          <c:min val="-1200"/>
        </c:scaling>
        <c:delete val="0"/>
        <c:axPos val="b"/>
        <c:title>
          <c:tx>
            <c:rich>
              <a:bodyPr rot="0" spcFirstLastPara="1" vertOverflow="ellipsis" vert="horz" wrap="square" anchor="ctr" anchorCtr="1"/>
              <a:lstStyle/>
              <a:p>
                <a:pPr>
                  <a:defRPr sz="1200" b="1" i="0" u="none" strike="noStrike" kern="1200" baseline="0">
                    <a:solidFill>
                      <a:schemeClr val="tx1"/>
                    </a:solidFill>
                    <a:latin typeface="Verdana Pro" panose="020B0604030504040204" pitchFamily="34" charset="0"/>
                    <a:ea typeface="+mn-ea"/>
                    <a:cs typeface="Times New Roman" panose="02020603050405020304" pitchFamily="18" charset="0"/>
                  </a:defRPr>
                </a:pPr>
                <a:r>
                  <a:rPr lang="en-GB"/>
                  <a:t>Climate change [kg CO</a:t>
                </a:r>
                <a:r>
                  <a:rPr lang="en-GB" baseline="-25000"/>
                  <a:t>2-eq</a:t>
                </a:r>
                <a:r>
                  <a:rPr lang="en-GB"/>
                  <a:t>/ton CO</a:t>
                </a:r>
                <a:r>
                  <a:rPr lang="en-GB" baseline="-25000"/>
                  <a:t>2</a:t>
                </a:r>
                <a:r>
                  <a:rPr lang="en-GB"/>
                  <a:t> captured and stored]</a:t>
                </a:r>
              </a:p>
            </c:rich>
          </c:tx>
          <c:layout>
            <c:manualLayout>
              <c:xMode val="edge"/>
              <c:yMode val="edge"/>
              <c:x val="0.27800052377388296"/>
              <c:y val="0.78551286617398275"/>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title>
        <c:numFmt formatCode="0" sourceLinked="0"/>
        <c:majorTickMark val="out"/>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200" b="0"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crossAx val="134262272"/>
        <c:crosses val="max"/>
        <c:crossBetween val="between"/>
        <c:majorUnit val="300"/>
      </c:valAx>
      <c:valAx>
        <c:axId val="620677376"/>
        <c:scaling>
          <c:orientation val="minMax"/>
        </c:scaling>
        <c:delete val="1"/>
        <c:axPos val="r"/>
        <c:numFmt formatCode="General" sourceLinked="1"/>
        <c:majorTickMark val="out"/>
        <c:minorTickMark val="none"/>
        <c:tickLblPos val="nextTo"/>
        <c:crossAx val="620675072"/>
        <c:crosses val="max"/>
        <c:crossBetween val="midCat"/>
      </c:valAx>
      <c:valAx>
        <c:axId val="620675072"/>
        <c:scaling>
          <c:orientation val="minMax"/>
        </c:scaling>
        <c:delete val="1"/>
        <c:axPos val="b"/>
        <c:numFmt formatCode="0" sourceLinked="1"/>
        <c:majorTickMark val="out"/>
        <c:minorTickMark val="none"/>
        <c:tickLblPos val="nextTo"/>
        <c:crossAx val="620677376"/>
        <c:crossesAt val="0"/>
        <c:crossBetween val="midCat"/>
      </c:valAx>
      <c:spPr>
        <a:solidFill>
          <a:schemeClr val="bg1"/>
        </a:solidFill>
        <a:ln>
          <a:noFill/>
        </a:ln>
        <a:effectLst/>
      </c:spPr>
    </c:plotArea>
    <c:legend>
      <c:legendPos val="b"/>
      <c:layout>
        <c:manualLayout>
          <c:xMode val="edge"/>
          <c:yMode val="edge"/>
          <c:x val="0"/>
          <c:y val="0.85299752179962662"/>
          <c:w val="1"/>
          <c:h val="0.14488198973620317"/>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legend>
    <c:plotVisOnly val="1"/>
    <c:dispBlanksAs val="gap"/>
    <c:showDLblsOverMax val="0"/>
  </c:chart>
  <c:spPr>
    <a:noFill/>
    <a:ln w="6350" cap="flat" cmpd="sng" algn="ctr">
      <a:noFill/>
      <a:prstDash val="solid"/>
      <a:round/>
    </a:ln>
    <a:effectLst/>
  </c:spPr>
  <c:txPr>
    <a:bodyPr/>
    <a:lstStyle/>
    <a:p>
      <a:pPr>
        <a:defRPr sz="1200">
          <a:solidFill>
            <a:schemeClr val="tx1"/>
          </a:solidFill>
          <a:latin typeface="Verdana Pro" panose="020B0604030504040204" pitchFamily="34" charset="0"/>
          <a:cs typeface="Times New Roman" panose="02020603050405020304" pitchFamily="18" charset="0"/>
        </a:defRPr>
      </a:pPr>
      <a:endParaRPr lang="en-NL"/>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'Figure contribution analysis'!$A$21</c:f>
              <c:strCache>
                <c:ptCount val="1"/>
                <c:pt idx="0">
                  <c:v>Air pretreatment</c:v>
                </c:pt>
              </c:strCache>
            </c:strRef>
          </c:tx>
          <c:spPr>
            <a:solidFill>
              <a:schemeClr val="accent1"/>
            </a:solidFill>
            <a:ln>
              <a:noFill/>
            </a:ln>
            <a:effectLst/>
          </c:spPr>
          <c:invertIfNegative val="0"/>
          <c:cat>
            <c:strRef>
              <c:f>'Figure contribution analysis'!$B$20:$D$20</c:f>
              <c:strCache>
                <c:ptCount val="3"/>
                <c:pt idx="0">
                  <c:v>3-4°C </c:v>
                </c:pt>
                <c:pt idx="1">
                  <c:v>&lt;2°C </c:v>
                </c:pt>
                <c:pt idx="2">
                  <c:v>&lt;1.5°C </c:v>
                </c:pt>
              </c:strCache>
            </c:strRef>
          </c:cat>
          <c:val>
            <c:numRef>
              <c:f>'Figure contribution analysis'!$B$21:$D$21</c:f>
              <c:numCache>
                <c:formatCode>0.00E+00</c:formatCode>
                <c:ptCount val="3"/>
                <c:pt idx="0">
                  <c:v>3.4065629385513331E-6</c:v>
                </c:pt>
                <c:pt idx="1">
                  <c:v>3.1244393966085418E-6</c:v>
                </c:pt>
                <c:pt idx="2">
                  <c:v>2.5730574523951919E-6</c:v>
                </c:pt>
              </c:numCache>
            </c:numRef>
          </c:val>
          <c:extLst>
            <c:ext xmlns:c16="http://schemas.microsoft.com/office/drawing/2014/chart" uri="{C3380CC4-5D6E-409C-BE32-E72D297353CC}">
              <c16:uniqueId val="{00000000-CC6A-4722-ACA6-82EA40BB2654}"/>
            </c:ext>
          </c:extLst>
        </c:ser>
        <c:ser>
          <c:idx val="1"/>
          <c:order val="1"/>
          <c:tx>
            <c:strRef>
              <c:f>'Figure contribution analysis'!$A$22</c:f>
              <c:strCache>
                <c:ptCount val="1"/>
                <c:pt idx="0">
                  <c:v>Air intake &amp; transport</c:v>
                </c:pt>
              </c:strCache>
            </c:strRef>
          </c:tx>
          <c:spPr>
            <a:solidFill>
              <a:schemeClr val="accent2"/>
            </a:solidFill>
            <a:ln>
              <a:noFill/>
            </a:ln>
            <a:effectLst/>
          </c:spPr>
          <c:invertIfNegative val="0"/>
          <c:cat>
            <c:strRef>
              <c:f>'Figure contribution analysis'!$B$20:$D$20</c:f>
              <c:strCache>
                <c:ptCount val="3"/>
                <c:pt idx="0">
                  <c:v>3-4°C </c:v>
                </c:pt>
                <c:pt idx="1">
                  <c:v>&lt;2°C </c:v>
                </c:pt>
                <c:pt idx="2">
                  <c:v>&lt;1.5°C </c:v>
                </c:pt>
              </c:strCache>
            </c:strRef>
          </c:cat>
          <c:val>
            <c:numRef>
              <c:f>'Figure contribution analysis'!$B$22:$D$22</c:f>
              <c:numCache>
                <c:formatCode>0.00E+00</c:formatCode>
                <c:ptCount val="3"/>
                <c:pt idx="0">
                  <c:v>5.9775544476410673E-6</c:v>
                </c:pt>
                <c:pt idx="1">
                  <c:v>5.6429582916055214E-6</c:v>
                </c:pt>
                <c:pt idx="2">
                  <c:v>4.8920761983372821E-6</c:v>
                </c:pt>
              </c:numCache>
            </c:numRef>
          </c:val>
          <c:extLst>
            <c:ext xmlns:c16="http://schemas.microsoft.com/office/drawing/2014/chart" uri="{C3380CC4-5D6E-409C-BE32-E72D297353CC}">
              <c16:uniqueId val="{00000001-CC6A-4722-ACA6-82EA40BB2654}"/>
            </c:ext>
          </c:extLst>
        </c:ser>
        <c:ser>
          <c:idx val="2"/>
          <c:order val="2"/>
          <c:tx>
            <c:strRef>
              <c:f>'Figure contribution analysis'!$A$23</c:f>
              <c:strCache>
                <c:ptCount val="1"/>
                <c:pt idx="0">
                  <c:v>Cartridge</c:v>
                </c:pt>
              </c:strCache>
            </c:strRef>
          </c:tx>
          <c:spPr>
            <a:solidFill>
              <a:schemeClr val="accent3"/>
            </a:solidFill>
            <a:ln>
              <a:noFill/>
            </a:ln>
            <a:effectLst/>
          </c:spPr>
          <c:invertIfNegative val="0"/>
          <c:cat>
            <c:strRef>
              <c:f>'Figure contribution analysis'!$B$20:$D$20</c:f>
              <c:strCache>
                <c:ptCount val="3"/>
                <c:pt idx="0">
                  <c:v>3-4°C </c:v>
                </c:pt>
                <c:pt idx="1">
                  <c:v>&lt;2°C </c:v>
                </c:pt>
                <c:pt idx="2">
                  <c:v>&lt;1.5°C </c:v>
                </c:pt>
              </c:strCache>
            </c:strRef>
          </c:cat>
          <c:val>
            <c:numRef>
              <c:f>'Figure contribution analysis'!$B$23:$D$23</c:f>
              <c:numCache>
                <c:formatCode>0.00E+00</c:formatCode>
                <c:ptCount val="3"/>
                <c:pt idx="0">
                  <c:v>1.5280120239729288E-5</c:v>
                </c:pt>
                <c:pt idx="1">
                  <c:v>1.418628247834127E-5</c:v>
                </c:pt>
                <c:pt idx="2">
                  <c:v>1.2592987091342301E-5</c:v>
                </c:pt>
              </c:numCache>
            </c:numRef>
          </c:val>
          <c:extLst>
            <c:ext xmlns:c16="http://schemas.microsoft.com/office/drawing/2014/chart" uri="{C3380CC4-5D6E-409C-BE32-E72D297353CC}">
              <c16:uniqueId val="{00000002-CC6A-4722-ACA6-82EA40BB2654}"/>
            </c:ext>
          </c:extLst>
        </c:ser>
        <c:ser>
          <c:idx val="3"/>
          <c:order val="3"/>
          <c:tx>
            <c:strRef>
              <c:f>'Figure contribution analysis'!$A$24</c:f>
              <c:strCache>
                <c:ptCount val="1"/>
                <c:pt idx="0">
                  <c:v>Vacuum vessel</c:v>
                </c:pt>
              </c:strCache>
            </c:strRef>
          </c:tx>
          <c:spPr>
            <a:solidFill>
              <a:schemeClr val="accent4"/>
            </a:solidFill>
            <a:ln>
              <a:noFill/>
            </a:ln>
            <a:effectLst/>
          </c:spPr>
          <c:invertIfNegative val="0"/>
          <c:cat>
            <c:strRef>
              <c:f>'Figure contribution analysis'!$B$20:$D$20</c:f>
              <c:strCache>
                <c:ptCount val="3"/>
                <c:pt idx="0">
                  <c:v>3-4°C </c:v>
                </c:pt>
                <c:pt idx="1">
                  <c:v>&lt;2°C </c:v>
                </c:pt>
                <c:pt idx="2">
                  <c:v>&lt;1.5°C </c:v>
                </c:pt>
              </c:strCache>
            </c:strRef>
          </c:cat>
          <c:val>
            <c:numRef>
              <c:f>'Figure contribution analysis'!$B$24:$D$24</c:f>
              <c:numCache>
                <c:formatCode>0.00E+00</c:formatCode>
                <c:ptCount val="3"/>
                <c:pt idx="0">
                  <c:v>1.237356434915746E-5</c:v>
                </c:pt>
                <c:pt idx="1">
                  <c:v>1.150422510297097E-5</c:v>
                </c:pt>
                <c:pt idx="2">
                  <c:v>9.5688269134472151E-6</c:v>
                </c:pt>
              </c:numCache>
            </c:numRef>
          </c:val>
          <c:extLst>
            <c:ext xmlns:c16="http://schemas.microsoft.com/office/drawing/2014/chart" uri="{C3380CC4-5D6E-409C-BE32-E72D297353CC}">
              <c16:uniqueId val="{00000003-CC6A-4722-ACA6-82EA40BB2654}"/>
            </c:ext>
          </c:extLst>
        </c:ser>
        <c:ser>
          <c:idx val="4"/>
          <c:order val="4"/>
          <c:tx>
            <c:strRef>
              <c:f>'Figure contribution analysis'!$A$25</c:f>
              <c:strCache>
                <c:ptCount val="1"/>
                <c:pt idx="0">
                  <c:v>Vacuum system</c:v>
                </c:pt>
              </c:strCache>
            </c:strRef>
          </c:tx>
          <c:spPr>
            <a:solidFill>
              <a:schemeClr val="accent5"/>
            </a:solidFill>
            <a:ln>
              <a:noFill/>
            </a:ln>
            <a:effectLst/>
          </c:spPr>
          <c:invertIfNegative val="0"/>
          <c:cat>
            <c:strRef>
              <c:f>'Figure contribution analysis'!$B$20:$D$20</c:f>
              <c:strCache>
                <c:ptCount val="3"/>
                <c:pt idx="0">
                  <c:v>3-4°C </c:v>
                </c:pt>
                <c:pt idx="1">
                  <c:v>&lt;2°C </c:v>
                </c:pt>
                <c:pt idx="2">
                  <c:v>&lt;1.5°C </c:v>
                </c:pt>
              </c:strCache>
            </c:strRef>
          </c:cat>
          <c:val>
            <c:numRef>
              <c:f>'Figure contribution analysis'!$B$25:$D$25</c:f>
              <c:numCache>
                <c:formatCode>0.00E+00</c:formatCode>
                <c:ptCount val="3"/>
                <c:pt idx="0">
                  <c:v>9.6467851095061977E-6</c:v>
                </c:pt>
                <c:pt idx="1">
                  <c:v>9.1719333838261594E-6</c:v>
                </c:pt>
                <c:pt idx="2">
                  <c:v>7.5789098247603887E-6</c:v>
                </c:pt>
              </c:numCache>
            </c:numRef>
          </c:val>
          <c:extLst>
            <c:ext xmlns:c16="http://schemas.microsoft.com/office/drawing/2014/chart" uri="{C3380CC4-5D6E-409C-BE32-E72D297353CC}">
              <c16:uniqueId val="{00000004-CC6A-4722-ACA6-82EA40BB2654}"/>
            </c:ext>
          </c:extLst>
        </c:ser>
        <c:ser>
          <c:idx val="5"/>
          <c:order val="5"/>
          <c:tx>
            <c:strRef>
              <c:f>'Figure contribution analysis'!$A$26</c:f>
              <c:strCache>
                <c:ptCount val="1"/>
                <c:pt idx="0">
                  <c:v>Water treatment</c:v>
                </c:pt>
              </c:strCache>
            </c:strRef>
          </c:tx>
          <c:spPr>
            <a:solidFill>
              <a:schemeClr val="accent6"/>
            </a:solidFill>
            <a:ln>
              <a:noFill/>
            </a:ln>
            <a:effectLst/>
          </c:spPr>
          <c:invertIfNegative val="0"/>
          <c:cat>
            <c:strRef>
              <c:f>'Figure contribution analysis'!$B$20:$D$20</c:f>
              <c:strCache>
                <c:ptCount val="3"/>
                <c:pt idx="0">
                  <c:v>3-4°C </c:v>
                </c:pt>
                <c:pt idx="1">
                  <c:v>&lt;2°C </c:v>
                </c:pt>
                <c:pt idx="2">
                  <c:v>&lt;1.5°C </c:v>
                </c:pt>
              </c:strCache>
            </c:strRef>
          </c:cat>
          <c:val>
            <c:numRef>
              <c:f>'Figure contribution analysis'!$B$26:$D$26</c:f>
              <c:numCache>
                <c:formatCode>0.00E+00</c:formatCode>
                <c:ptCount val="3"/>
                <c:pt idx="0">
                  <c:v>7.490794425870649E-6</c:v>
                </c:pt>
                <c:pt idx="1">
                  <c:v>7.2421411651487134E-6</c:v>
                </c:pt>
                <c:pt idx="2">
                  <c:v>6.5339554735163091E-6</c:v>
                </c:pt>
              </c:numCache>
            </c:numRef>
          </c:val>
          <c:extLst>
            <c:ext xmlns:c16="http://schemas.microsoft.com/office/drawing/2014/chart" uri="{C3380CC4-5D6E-409C-BE32-E72D297353CC}">
              <c16:uniqueId val="{00000005-CC6A-4722-ACA6-82EA40BB2654}"/>
            </c:ext>
          </c:extLst>
        </c:ser>
        <c:ser>
          <c:idx val="6"/>
          <c:order val="6"/>
          <c:tx>
            <c:strRef>
              <c:f>'Figure contribution analysis'!$A$27</c:f>
              <c:strCache>
                <c:ptCount val="1"/>
                <c:pt idx="0">
                  <c:v>CO2 capture</c:v>
                </c:pt>
              </c:strCache>
            </c:strRef>
          </c:tx>
          <c:spPr>
            <a:solidFill>
              <a:schemeClr val="accent1">
                <a:lumMod val="60000"/>
              </a:schemeClr>
            </a:solidFill>
            <a:ln>
              <a:noFill/>
            </a:ln>
            <a:effectLst/>
          </c:spPr>
          <c:invertIfNegative val="0"/>
          <c:cat>
            <c:strRef>
              <c:f>'Figure contribution analysis'!$B$20:$D$20</c:f>
              <c:strCache>
                <c:ptCount val="3"/>
                <c:pt idx="0">
                  <c:v>3-4°C </c:v>
                </c:pt>
                <c:pt idx="1">
                  <c:v>&lt;2°C </c:v>
                </c:pt>
                <c:pt idx="2">
                  <c:v>&lt;1.5°C </c:v>
                </c:pt>
              </c:strCache>
            </c:strRef>
          </c:cat>
          <c:val>
            <c:numRef>
              <c:f>'Figure contribution analysis'!$B$27:$D$27</c:f>
              <c:numCache>
                <c:formatCode>0.00E+00</c:formatCode>
                <c:ptCount val="3"/>
                <c:pt idx="0">
                  <c:v>5.3054904136133011E-6</c:v>
                </c:pt>
                <c:pt idx="1">
                  <c:v>5.0838586316427567E-6</c:v>
                </c:pt>
                <c:pt idx="2">
                  <c:v>4.3369769417194421E-6</c:v>
                </c:pt>
              </c:numCache>
            </c:numRef>
          </c:val>
          <c:extLst>
            <c:ext xmlns:c16="http://schemas.microsoft.com/office/drawing/2014/chart" uri="{C3380CC4-5D6E-409C-BE32-E72D297353CC}">
              <c16:uniqueId val="{00000006-CC6A-4722-ACA6-82EA40BB2654}"/>
            </c:ext>
          </c:extLst>
        </c:ser>
        <c:ser>
          <c:idx val="7"/>
          <c:order val="7"/>
          <c:tx>
            <c:strRef>
              <c:f>'Figure contribution analysis'!$A$28</c:f>
              <c:strCache>
                <c:ptCount val="1"/>
                <c:pt idx="0">
                  <c:v>Air outlet</c:v>
                </c:pt>
              </c:strCache>
            </c:strRef>
          </c:tx>
          <c:spPr>
            <a:solidFill>
              <a:schemeClr val="accent2">
                <a:lumMod val="60000"/>
              </a:schemeClr>
            </a:solidFill>
            <a:ln>
              <a:noFill/>
            </a:ln>
            <a:effectLst/>
          </c:spPr>
          <c:invertIfNegative val="0"/>
          <c:cat>
            <c:strRef>
              <c:f>'Figure contribution analysis'!$B$20:$D$20</c:f>
              <c:strCache>
                <c:ptCount val="3"/>
                <c:pt idx="0">
                  <c:v>3-4°C </c:v>
                </c:pt>
                <c:pt idx="1">
                  <c:v>&lt;2°C </c:v>
                </c:pt>
                <c:pt idx="2">
                  <c:v>&lt;1.5°C </c:v>
                </c:pt>
              </c:strCache>
            </c:strRef>
          </c:cat>
          <c:val>
            <c:numRef>
              <c:f>'Figure contribution analysis'!$B$28:$D$28</c:f>
              <c:numCache>
                <c:formatCode>0.00E+00</c:formatCode>
                <c:ptCount val="3"/>
                <c:pt idx="0">
                  <c:v>4.5452790891056938E-6</c:v>
                </c:pt>
                <c:pt idx="1">
                  <c:v>4.2855500853218693E-6</c:v>
                </c:pt>
                <c:pt idx="2">
                  <c:v>3.5786050973205839E-6</c:v>
                </c:pt>
              </c:numCache>
            </c:numRef>
          </c:val>
          <c:extLst>
            <c:ext xmlns:c16="http://schemas.microsoft.com/office/drawing/2014/chart" uri="{C3380CC4-5D6E-409C-BE32-E72D297353CC}">
              <c16:uniqueId val="{00000007-CC6A-4722-ACA6-82EA40BB2654}"/>
            </c:ext>
          </c:extLst>
        </c:ser>
        <c:ser>
          <c:idx val="8"/>
          <c:order val="8"/>
          <c:tx>
            <c:strRef>
              <c:f>'Figure contribution analysis'!$A$29</c:f>
              <c:strCache>
                <c:ptCount val="1"/>
                <c:pt idx="0">
                  <c:v>Base frame and housing </c:v>
                </c:pt>
              </c:strCache>
            </c:strRef>
          </c:tx>
          <c:spPr>
            <a:solidFill>
              <a:schemeClr val="accent3">
                <a:lumMod val="60000"/>
              </a:schemeClr>
            </a:solidFill>
            <a:ln>
              <a:noFill/>
            </a:ln>
            <a:effectLst/>
          </c:spPr>
          <c:invertIfNegative val="0"/>
          <c:cat>
            <c:strRef>
              <c:f>'Figure contribution analysis'!$B$20:$D$20</c:f>
              <c:strCache>
                <c:ptCount val="3"/>
                <c:pt idx="0">
                  <c:v>3-4°C </c:v>
                </c:pt>
                <c:pt idx="1">
                  <c:v>&lt;2°C </c:v>
                </c:pt>
                <c:pt idx="2">
                  <c:v>&lt;1.5°C </c:v>
                </c:pt>
              </c:strCache>
            </c:strRef>
          </c:cat>
          <c:val>
            <c:numRef>
              <c:f>'Figure contribution analysis'!$B$29:$D$29</c:f>
              <c:numCache>
                <c:formatCode>0.00E+00</c:formatCode>
                <c:ptCount val="3"/>
                <c:pt idx="0">
                  <c:v>2.519681743962088E-5</c:v>
                </c:pt>
                <c:pt idx="1">
                  <c:v>2.291638491689332E-5</c:v>
                </c:pt>
                <c:pt idx="2">
                  <c:v>1.9755647666104199E-5</c:v>
                </c:pt>
              </c:numCache>
            </c:numRef>
          </c:val>
          <c:extLst>
            <c:ext xmlns:c16="http://schemas.microsoft.com/office/drawing/2014/chart" uri="{C3380CC4-5D6E-409C-BE32-E72D297353CC}">
              <c16:uniqueId val="{00000008-CC6A-4722-ACA6-82EA40BB2654}"/>
            </c:ext>
          </c:extLst>
        </c:ser>
        <c:ser>
          <c:idx val="9"/>
          <c:order val="9"/>
          <c:tx>
            <c:strRef>
              <c:f>'Figure contribution analysis'!$A$30</c:f>
              <c:strCache>
                <c:ptCount val="1"/>
                <c:pt idx="0">
                  <c:v>Electronics hardware</c:v>
                </c:pt>
              </c:strCache>
            </c:strRef>
          </c:tx>
          <c:spPr>
            <a:solidFill>
              <a:schemeClr val="accent4">
                <a:lumMod val="60000"/>
              </a:schemeClr>
            </a:solidFill>
            <a:ln>
              <a:noFill/>
            </a:ln>
            <a:effectLst/>
          </c:spPr>
          <c:invertIfNegative val="0"/>
          <c:cat>
            <c:strRef>
              <c:f>'Figure contribution analysis'!$B$20:$D$20</c:f>
              <c:strCache>
                <c:ptCount val="3"/>
                <c:pt idx="0">
                  <c:v>3-4°C </c:v>
                </c:pt>
                <c:pt idx="1">
                  <c:v>&lt;2°C </c:v>
                </c:pt>
                <c:pt idx="2">
                  <c:v>&lt;1.5°C </c:v>
                </c:pt>
              </c:strCache>
            </c:strRef>
          </c:cat>
          <c:val>
            <c:numRef>
              <c:f>'Figure contribution analysis'!$B$30:$D$30</c:f>
              <c:numCache>
                <c:formatCode>0.00E+00</c:formatCode>
                <c:ptCount val="3"/>
                <c:pt idx="0">
                  <c:v>7.3235179910091571E-5</c:v>
                </c:pt>
                <c:pt idx="1">
                  <c:v>6.8369970539627651E-5</c:v>
                </c:pt>
                <c:pt idx="2">
                  <c:v>4.9672540671057758E-5</c:v>
                </c:pt>
              </c:numCache>
            </c:numRef>
          </c:val>
          <c:extLst>
            <c:ext xmlns:c16="http://schemas.microsoft.com/office/drawing/2014/chart" uri="{C3380CC4-5D6E-409C-BE32-E72D297353CC}">
              <c16:uniqueId val="{00000009-CC6A-4722-ACA6-82EA40BB2654}"/>
            </c:ext>
          </c:extLst>
        </c:ser>
        <c:ser>
          <c:idx val="10"/>
          <c:order val="10"/>
          <c:tx>
            <c:strRef>
              <c:f>'Figure contribution analysis'!$A$31</c:f>
              <c:strCache>
                <c:ptCount val="1"/>
                <c:pt idx="0">
                  <c:v>Infrastructure around DAC </c:v>
                </c:pt>
              </c:strCache>
            </c:strRef>
          </c:tx>
          <c:spPr>
            <a:solidFill>
              <a:schemeClr val="accent5">
                <a:lumMod val="60000"/>
              </a:schemeClr>
            </a:solidFill>
            <a:ln>
              <a:noFill/>
            </a:ln>
            <a:effectLst/>
          </c:spPr>
          <c:invertIfNegative val="0"/>
          <c:cat>
            <c:strRef>
              <c:f>'Figure contribution analysis'!$B$20:$D$20</c:f>
              <c:strCache>
                <c:ptCount val="3"/>
                <c:pt idx="0">
                  <c:v>3-4°C </c:v>
                </c:pt>
                <c:pt idx="1">
                  <c:v>&lt;2°C </c:v>
                </c:pt>
                <c:pt idx="2">
                  <c:v>&lt;1.5°C </c:v>
                </c:pt>
              </c:strCache>
            </c:strRef>
          </c:cat>
          <c:val>
            <c:numRef>
              <c:f>'Figure contribution analysis'!$B$31:$D$31</c:f>
              <c:numCache>
                <c:formatCode>0.00E+00</c:formatCode>
                <c:ptCount val="3"/>
                <c:pt idx="0">
                  <c:v>7.5090323051228674E-7</c:v>
                </c:pt>
                <c:pt idx="1">
                  <c:v>7.1745132553752663E-7</c:v>
                </c:pt>
                <c:pt idx="2">
                  <c:v>6.7173966351855849E-7</c:v>
                </c:pt>
              </c:numCache>
            </c:numRef>
          </c:val>
          <c:extLst>
            <c:ext xmlns:c16="http://schemas.microsoft.com/office/drawing/2014/chart" uri="{C3380CC4-5D6E-409C-BE32-E72D297353CC}">
              <c16:uniqueId val="{0000000A-CC6A-4722-ACA6-82EA40BB2654}"/>
            </c:ext>
          </c:extLst>
        </c:ser>
        <c:ser>
          <c:idx val="11"/>
          <c:order val="11"/>
          <c:tx>
            <c:strRef>
              <c:f>'Figure contribution analysis'!$A$32</c:f>
              <c:strCache>
                <c:ptCount val="1"/>
                <c:pt idx="0">
                  <c:v>Heat pump </c:v>
                </c:pt>
              </c:strCache>
            </c:strRef>
          </c:tx>
          <c:spPr>
            <a:solidFill>
              <a:schemeClr val="accent6">
                <a:lumMod val="60000"/>
              </a:schemeClr>
            </a:solidFill>
            <a:ln>
              <a:noFill/>
            </a:ln>
            <a:effectLst/>
          </c:spPr>
          <c:invertIfNegative val="0"/>
          <c:cat>
            <c:strRef>
              <c:f>'Figure contribution analysis'!$B$20:$D$20</c:f>
              <c:strCache>
                <c:ptCount val="3"/>
                <c:pt idx="0">
                  <c:v>3-4°C </c:v>
                </c:pt>
                <c:pt idx="1">
                  <c:v>&lt;2°C </c:v>
                </c:pt>
                <c:pt idx="2">
                  <c:v>&lt;1.5°C </c:v>
                </c:pt>
              </c:strCache>
            </c:strRef>
          </c:cat>
          <c:val>
            <c:numRef>
              <c:f>'Figure contribution analysis'!$B$32:$D$32</c:f>
              <c:numCache>
                <c:formatCode>0.00E+00</c:formatCode>
                <c:ptCount val="3"/>
                <c:pt idx="0">
                  <c:v>2.9416502269639851E-5</c:v>
                </c:pt>
                <c:pt idx="1">
                  <c:v>2.9200627294988823E-5</c:v>
                </c:pt>
                <c:pt idx="2">
                  <c:v>2.8577459880686999E-5</c:v>
                </c:pt>
              </c:numCache>
            </c:numRef>
          </c:val>
          <c:extLst>
            <c:ext xmlns:c16="http://schemas.microsoft.com/office/drawing/2014/chart" uri="{C3380CC4-5D6E-409C-BE32-E72D297353CC}">
              <c16:uniqueId val="{00000000-E3A8-4789-9E1F-5A7166377667}"/>
            </c:ext>
          </c:extLst>
        </c:ser>
        <c:dLbls>
          <c:showLegendKey val="0"/>
          <c:showVal val="0"/>
          <c:showCatName val="0"/>
          <c:showSerName val="0"/>
          <c:showPercent val="0"/>
          <c:showBubbleSize val="0"/>
        </c:dLbls>
        <c:gapWidth val="150"/>
        <c:overlap val="100"/>
        <c:axId val="89929887"/>
        <c:axId val="95586303"/>
      </c:barChart>
      <c:catAx>
        <c:axId val="899298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mn-ea"/>
                <a:cs typeface="Times New Roman" panose="02020603050405020304" pitchFamily="18" charset="0"/>
              </a:defRPr>
            </a:pPr>
            <a:endParaRPr lang="en-NL"/>
          </a:p>
        </c:txPr>
        <c:crossAx val="95586303"/>
        <c:crosses val="autoZero"/>
        <c:auto val="1"/>
        <c:lblAlgn val="ctr"/>
        <c:lblOffset val="100"/>
        <c:noMultiLvlLbl val="0"/>
      </c:catAx>
      <c:valAx>
        <c:axId val="9558630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mn-ea"/>
                    <a:cs typeface="Times New Roman" panose="02020603050405020304" pitchFamily="18" charset="0"/>
                  </a:defRPr>
                </a:pPr>
                <a:r>
                  <a:rPr lang="en-GB"/>
                  <a:t>Ecosystem damage </a:t>
                </a:r>
              </a:p>
              <a:p>
                <a:pPr>
                  <a:defRPr/>
                </a:pPr>
                <a:r>
                  <a:rPr lang="en-GB"/>
                  <a:t>[species.year/ton CO</a:t>
                </a:r>
                <a:r>
                  <a:rPr lang="en-GB" baseline="-25000"/>
                  <a:t>2</a:t>
                </a:r>
                <a:r>
                  <a:rPr lang="en-GB"/>
                  <a:t> captured and stored]</a:t>
                </a:r>
                <a:endParaRPr lang="en-NL"/>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mn-ea"/>
                  <a:cs typeface="Times New Roman" panose="02020603050405020304" pitchFamily="18" charset="0"/>
                </a:defRPr>
              </a:pPr>
              <a:endParaRPr lang="en-NL"/>
            </a:p>
          </c:txPr>
        </c:title>
        <c:numFmt formatCode="0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mn-ea"/>
                <a:cs typeface="Times New Roman" panose="02020603050405020304" pitchFamily="18" charset="0"/>
              </a:defRPr>
            </a:pPr>
            <a:endParaRPr lang="en-NL"/>
          </a:p>
        </c:txPr>
        <c:crossAx val="89929887"/>
        <c:crosses val="autoZero"/>
        <c:crossBetween val="between"/>
      </c:valAx>
      <c:spPr>
        <a:noFill/>
        <a:ln>
          <a:noFill/>
        </a:ln>
        <a:effectLst/>
      </c:spPr>
    </c:plotArea>
    <c:legend>
      <c:legendPos val="r"/>
      <c:layout>
        <c:manualLayout>
          <c:xMode val="edge"/>
          <c:yMode val="edge"/>
          <c:x val="0.6485223097112861"/>
          <c:y val="3.0197429234567238E-2"/>
          <c:w val="0.32408748906386703"/>
          <c:h val="0.88087537555957229"/>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mn-ea"/>
              <a:cs typeface="Times New Roman" panose="02020603050405020304" pitchFamily="18" charset="0"/>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latin typeface="Verdana Pro" panose="020B0604030504040204" pitchFamily="34" charset="0"/>
          <a:cs typeface="Times New Roman" panose="02020603050405020304" pitchFamily="18" charset="0"/>
        </a:defRPr>
      </a:pPr>
      <a:endParaRPr lang="en-N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'Figure contribution analysis'!$A$37</c:f>
              <c:strCache>
                <c:ptCount val="1"/>
                <c:pt idx="0">
                  <c:v>Air pretreatment</c:v>
                </c:pt>
              </c:strCache>
            </c:strRef>
          </c:tx>
          <c:spPr>
            <a:solidFill>
              <a:schemeClr val="accent1"/>
            </a:solidFill>
            <a:ln>
              <a:noFill/>
            </a:ln>
            <a:effectLst/>
          </c:spPr>
          <c:invertIfNegative val="0"/>
          <c:cat>
            <c:strRef>
              <c:f>'Figure contribution analysis'!$B$36:$D$36</c:f>
              <c:strCache>
                <c:ptCount val="3"/>
                <c:pt idx="0">
                  <c:v>3-4°C </c:v>
                </c:pt>
                <c:pt idx="1">
                  <c:v>&lt;2°C </c:v>
                </c:pt>
                <c:pt idx="2">
                  <c:v>&lt;1.5°C </c:v>
                </c:pt>
              </c:strCache>
            </c:strRef>
          </c:cat>
          <c:val>
            <c:numRef>
              <c:f>'Figure contribution analysis'!$B$37:$D$37</c:f>
              <c:numCache>
                <c:formatCode>0.00E+00</c:formatCode>
                <c:ptCount val="3"/>
                <c:pt idx="0">
                  <c:v>2.894941084896093E-3</c:v>
                </c:pt>
                <c:pt idx="1">
                  <c:v>2.686627601232994E-3</c:v>
                </c:pt>
                <c:pt idx="2">
                  <c:v>2.4100049612117481E-3</c:v>
                </c:pt>
              </c:numCache>
            </c:numRef>
          </c:val>
          <c:extLst>
            <c:ext xmlns:c16="http://schemas.microsoft.com/office/drawing/2014/chart" uri="{C3380CC4-5D6E-409C-BE32-E72D297353CC}">
              <c16:uniqueId val="{00000000-6E7C-4BD5-97AE-0FCA4637C9E5}"/>
            </c:ext>
          </c:extLst>
        </c:ser>
        <c:ser>
          <c:idx val="1"/>
          <c:order val="1"/>
          <c:tx>
            <c:strRef>
              <c:f>'Figure contribution analysis'!$A$38</c:f>
              <c:strCache>
                <c:ptCount val="1"/>
                <c:pt idx="0">
                  <c:v>Air intake &amp; transport</c:v>
                </c:pt>
              </c:strCache>
            </c:strRef>
          </c:tx>
          <c:spPr>
            <a:solidFill>
              <a:schemeClr val="accent2"/>
            </a:solidFill>
            <a:ln>
              <a:noFill/>
            </a:ln>
            <a:effectLst/>
          </c:spPr>
          <c:invertIfNegative val="0"/>
          <c:cat>
            <c:strRef>
              <c:f>'Figure contribution analysis'!$B$36:$D$36</c:f>
              <c:strCache>
                <c:ptCount val="3"/>
                <c:pt idx="0">
                  <c:v>3-4°C </c:v>
                </c:pt>
                <c:pt idx="1">
                  <c:v>&lt;2°C </c:v>
                </c:pt>
                <c:pt idx="2">
                  <c:v>&lt;1.5°C </c:v>
                </c:pt>
              </c:strCache>
            </c:strRef>
          </c:cat>
          <c:val>
            <c:numRef>
              <c:f>'Figure contribution analysis'!$B$38:$D$38</c:f>
              <c:numCache>
                <c:formatCode>0.00E+00</c:formatCode>
                <c:ptCount val="3"/>
                <c:pt idx="0">
                  <c:v>6.0231401899834662E-3</c:v>
                </c:pt>
                <c:pt idx="1">
                  <c:v>5.7475279188938643E-3</c:v>
                </c:pt>
                <c:pt idx="2">
                  <c:v>5.3713425904224309E-3</c:v>
                </c:pt>
              </c:numCache>
            </c:numRef>
          </c:val>
          <c:extLst>
            <c:ext xmlns:c16="http://schemas.microsoft.com/office/drawing/2014/chart" uri="{C3380CC4-5D6E-409C-BE32-E72D297353CC}">
              <c16:uniqueId val="{00000001-6E7C-4BD5-97AE-0FCA4637C9E5}"/>
            </c:ext>
          </c:extLst>
        </c:ser>
        <c:ser>
          <c:idx val="2"/>
          <c:order val="2"/>
          <c:tx>
            <c:strRef>
              <c:f>'Figure contribution analysis'!$A$39</c:f>
              <c:strCache>
                <c:ptCount val="1"/>
                <c:pt idx="0">
                  <c:v>Cartridge</c:v>
                </c:pt>
              </c:strCache>
            </c:strRef>
          </c:tx>
          <c:spPr>
            <a:solidFill>
              <a:schemeClr val="accent3"/>
            </a:solidFill>
            <a:ln>
              <a:noFill/>
            </a:ln>
            <a:effectLst/>
          </c:spPr>
          <c:invertIfNegative val="0"/>
          <c:cat>
            <c:strRef>
              <c:f>'Figure contribution analysis'!$B$36:$D$36</c:f>
              <c:strCache>
                <c:ptCount val="3"/>
                <c:pt idx="0">
                  <c:v>3-4°C </c:v>
                </c:pt>
                <c:pt idx="1">
                  <c:v>&lt;2°C </c:v>
                </c:pt>
                <c:pt idx="2">
                  <c:v>&lt;1.5°C </c:v>
                </c:pt>
              </c:strCache>
            </c:strRef>
          </c:cat>
          <c:val>
            <c:numRef>
              <c:f>'Figure contribution analysis'!$B$39:$D$39</c:f>
              <c:numCache>
                <c:formatCode>0.00E+00</c:formatCode>
                <c:ptCount val="3"/>
                <c:pt idx="0">
                  <c:v>1.3717423440267161E-2</c:v>
                </c:pt>
                <c:pt idx="1">
                  <c:v>1.2845382150857119E-2</c:v>
                </c:pt>
                <c:pt idx="2">
                  <c:v>1.2015567507973911E-2</c:v>
                </c:pt>
              </c:numCache>
            </c:numRef>
          </c:val>
          <c:extLst>
            <c:ext xmlns:c16="http://schemas.microsoft.com/office/drawing/2014/chart" uri="{C3380CC4-5D6E-409C-BE32-E72D297353CC}">
              <c16:uniqueId val="{00000002-6E7C-4BD5-97AE-0FCA4637C9E5}"/>
            </c:ext>
          </c:extLst>
        </c:ser>
        <c:ser>
          <c:idx val="3"/>
          <c:order val="3"/>
          <c:tx>
            <c:strRef>
              <c:f>'Figure contribution analysis'!$A$40</c:f>
              <c:strCache>
                <c:ptCount val="1"/>
                <c:pt idx="0">
                  <c:v>Vacuum vessel</c:v>
                </c:pt>
              </c:strCache>
            </c:strRef>
          </c:tx>
          <c:spPr>
            <a:solidFill>
              <a:schemeClr val="accent4"/>
            </a:solidFill>
            <a:ln>
              <a:noFill/>
            </a:ln>
            <a:effectLst/>
          </c:spPr>
          <c:invertIfNegative val="0"/>
          <c:cat>
            <c:strRef>
              <c:f>'Figure contribution analysis'!$B$36:$D$36</c:f>
              <c:strCache>
                <c:ptCount val="3"/>
                <c:pt idx="0">
                  <c:v>3-4°C </c:v>
                </c:pt>
                <c:pt idx="1">
                  <c:v>&lt;2°C </c:v>
                </c:pt>
                <c:pt idx="2">
                  <c:v>&lt;1.5°C </c:v>
                </c:pt>
              </c:strCache>
            </c:strRef>
          </c:cat>
          <c:val>
            <c:numRef>
              <c:f>'Figure contribution analysis'!$B$40:$D$40</c:f>
              <c:numCache>
                <c:formatCode>0.00E+00</c:formatCode>
                <c:ptCount val="3"/>
                <c:pt idx="0">
                  <c:v>1.68268964507193E-2</c:v>
                </c:pt>
                <c:pt idx="1">
                  <c:v>1.6265845410914071E-2</c:v>
                </c:pt>
                <c:pt idx="2">
                  <c:v>1.529227024432098E-2</c:v>
                </c:pt>
              </c:numCache>
            </c:numRef>
          </c:val>
          <c:extLst>
            <c:ext xmlns:c16="http://schemas.microsoft.com/office/drawing/2014/chart" uri="{C3380CC4-5D6E-409C-BE32-E72D297353CC}">
              <c16:uniqueId val="{00000003-6E7C-4BD5-97AE-0FCA4637C9E5}"/>
            </c:ext>
          </c:extLst>
        </c:ser>
        <c:ser>
          <c:idx val="4"/>
          <c:order val="4"/>
          <c:tx>
            <c:strRef>
              <c:f>'Figure contribution analysis'!$A$41</c:f>
              <c:strCache>
                <c:ptCount val="1"/>
                <c:pt idx="0">
                  <c:v>Vacuum system</c:v>
                </c:pt>
              </c:strCache>
            </c:strRef>
          </c:tx>
          <c:spPr>
            <a:solidFill>
              <a:schemeClr val="accent5"/>
            </a:solidFill>
            <a:ln>
              <a:noFill/>
            </a:ln>
            <a:effectLst/>
          </c:spPr>
          <c:invertIfNegative val="0"/>
          <c:cat>
            <c:strRef>
              <c:f>'Figure contribution analysis'!$B$36:$D$36</c:f>
              <c:strCache>
                <c:ptCount val="3"/>
                <c:pt idx="0">
                  <c:v>3-4°C </c:v>
                </c:pt>
                <c:pt idx="1">
                  <c:v>&lt;2°C </c:v>
                </c:pt>
                <c:pt idx="2">
                  <c:v>&lt;1.5°C </c:v>
                </c:pt>
              </c:strCache>
            </c:strRef>
          </c:cat>
          <c:val>
            <c:numRef>
              <c:f>'Figure contribution analysis'!$B$41:$D$41</c:f>
              <c:numCache>
                <c:formatCode>0.00E+00</c:formatCode>
                <c:ptCount val="3"/>
                <c:pt idx="0">
                  <c:v>1.290728015734449E-2</c:v>
                </c:pt>
                <c:pt idx="1">
                  <c:v>1.267220629476748E-2</c:v>
                </c:pt>
                <c:pt idx="2">
                  <c:v>1.1898439492001591E-2</c:v>
                </c:pt>
              </c:numCache>
            </c:numRef>
          </c:val>
          <c:extLst>
            <c:ext xmlns:c16="http://schemas.microsoft.com/office/drawing/2014/chart" uri="{C3380CC4-5D6E-409C-BE32-E72D297353CC}">
              <c16:uniqueId val="{00000004-6E7C-4BD5-97AE-0FCA4637C9E5}"/>
            </c:ext>
          </c:extLst>
        </c:ser>
        <c:ser>
          <c:idx val="5"/>
          <c:order val="5"/>
          <c:tx>
            <c:strRef>
              <c:f>'Figure contribution analysis'!$A$42</c:f>
              <c:strCache>
                <c:ptCount val="1"/>
                <c:pt idx="0">
                  <c:v>Water treatment</c:v>
                </c:pt>
              </c:strCache>
            </c:strRef>
          </c:tx>
          <c:spPr>
            <a:solidFill>
              <a:schemeClr val="accent6"/>
            </a:solidFill>
            <a:ln>
              <a:noFill/>
            </a:ln>
            <a:effectLst/>
          </c:spPr>
          <c:invertIfNegative val="0"/>
          <c:cat>
            <c:strRef>
              <c:f>'Figure contribution analysis'!$B$36:$D$36</c:f>
              <c:strCache>
                <c:ptCount val="3"/>
                <c:pt idx="0">
                  <c:v>3-4°C </c:v>
                </c:pt>
                <c:pt idx="1">
                  <c:v>&lt;2°C </c:v>
                </c:pt>
                <c:pt idx="2">
                  <c:v>&lt;1.5°C </c:v>
                </c:pt>
              </c:strCache>
            </c:strRef>
          </c:cat>
          <c:val>
            <c:numRef>
              <c:f>'Figure contribution analysis'!$B$42:$D$42</c:f>
              <c:numCache>
                <c:formatCode>0.00E+00</c:formatCode>
                <c:ptCount val="3"/>
                <c:pt idx="0">
                  <c:v>8.2577490139394989E-3</c:v>
                </c:pt>
                <c:pt idx="1">
                  <c:v>8.1155683691255427E-3</c:v>
                </c:pt>
                <c:pt idx="2">
                  <c:v>7.7672923315607531E-3</c:v>
                </c:pt>
              </c:numCache>
            </c:numRef>
          </c:val>
          <c:extLst>
            <c:ext xmlns:c16="http://schemas.microsoft.com/office/drawing/2014/chart" uri="{C3380CC4-5D6E-409C-BE32-E72D297353CC}">
              <c16:uniqueId val="{00000005-6E7C-4BD5-97AE-0FCA4637C9E5}"/>
            </c:ext>
          </c:extLst>
        </c:ser>
        <c:ser>
          <c:idx val="6"/>
          <c:order val="6"/>
          <c:tx>
            <c:strRef>
              <c:f>'Figure contribution analysis'!$A$43</c:f>
              <c:strCache>
                <c:ptCount val="1"/>
                <c:pt idx="0">
                  <c:v>CO2 capture</c:v>
                </c:pt>
              </c:strCache>
            </c:strRef>
          </c:tx>
          <c:spPr>
            <a:solidFill>
              <a:schemeClr val="accent1">
                <a:lumMod val="60000"/>
              </a:schemeClr>
            </a:solidFill>
            <a:ln>
              <a:noFill/>
            </a:ln>
            <a:effectLst/>
          </c:spPr>
          <c:invertIfNegative val="0"/>
          <c:cat>
            <c:strRef>
              <c:f>'Figure contribution analysis'!$B$36:$D$36</c:f>
              <c:strCache>
                <c:ptCount val="3"/>
                <c:pt idx="0">
                  <c:v>3-4°C </c:v>
                </c:pt>
                <c:pt idx="1">
                  <c:v>&lt;2°C </c:v>
                </c:pt>
                <c:pt idx="2">
                  <c:v>&lt;1.5°C </c:v>
                </c:pt>
              </c:strCache>
            </c:strRef>
          </c:cat>
          <c:val>
            <c:numRef>
              <c:f>'Figure contribution analysis'!$B$43:$D$43</c:f>
              <c:numCache>
                <c:formatCode>0.00E+00</c:formatCode>
                <c:ptCount val="3"/>
                <c:pt idx="0">
                  <c:v>6.4251549853091127E-3</c:v>
                </c:pt>
                <c:pt idx="1">
                  <c:v>6.3101752981999824E-3</c:v>
                </c:pt>
                <c:pt idx="2">
                  <c:v>5.948865391495731E-3</c:v>
                </c:pt>
              </c:numCache>
            </c:numRef>
          </c:val>
          <c:extLst>
            <c:ext xmlns:c16="http://schemas.microsoft.com/office/drawing/2014/chart" uri="{C3380CC4-5D6E-409C-BE32-E72D297353CC}">
              <c16:uniqueId val="{00000006-6E7C-4BD5-97AE-0FCA4637C9E5}"/>
            </c:ext>
          </c:extLst>
        </c:ser>
        <c:ser>
          <c:idx val="7"/>
          <c:order val="7"/>
          <c:tx>
            <c:strRef>
              <c:f>'Figure contribution analysis'!$A$44</c:f>
              <c:strCache>
                <c:ptCount val="1"/>
                <c:pt idx="0">
                  <c:v>Air outlet</c:v>
                </c:pt>
              </c:strCache>
            </c:strRef>
          </c:tx>
          <c:spPr>
            <a:solidFill>
              <a:schemeClr val="accent2">
                <a:lumMod val="60000"/>
              </a:schemeClr>
            </a:solidFill>
            <a:ln>
              <a:noFill/>
            </a:ln>
            <a:effectLst/>
          </c:spPr>
          <c:invertIfNegative val="0"/>
          <c:cat>
            <c:strRef>
              <c:f>'Figure contribution analysis'!$B$36:$D$36</c:f>
              <c:strCache>
                <c:ptCount val="3"/>
                <c:pt idx="0">
                  <c:v>3-4°C </c:v>
                </c:pt>
                <c:pt idx="1">
                  <c:v>&lt;2°C </c:v>
                </c:pt>
                <c:pt idx="2">
                  <c:v>&lt;1.5°C </c:v>
                </c:pt>
              </c:strCache>
            </c:strRef>
          </c:cat>
          <c:val>
            <c:numRef>
              <c:f>'Figure contribution analysis'!$B$44:$D$44</c:f>
              <c:numCache>
                <c:formatCode>0.00E+00</c:formatCode>
                <c:ptCount val="3"/>
                <c:pt idx="0">
                  <c:v>3.8313181865858421E-3</c:v>
                </c:pt>
                <c:pt idx="1">
                  <c:v>3.6673559301182651E-3</c:v>
                </c:pt>
                <c:pt idx="2">
                  <c:v>3.321744155878405E-3</c:v>
                </c:pt>
              </c:numCache>
            </c:numRef>
          </c:val>
          <c:extLst>
            <c:ext xmlns:c16="http://schemas.microsoft.com/office/drawing/2014/chart" uri="{C3380CC4-5D6E-409C-BE32-E72D297353CC}">
              <c16:uniqueId val="{00000007-6E7C-4BD5-97AE-0FCA4637C9E5}"/>
            </c:ext>
          </c:extLst>
        </c:ser>
        <c:ser>
          <c:idx val="8"/>
          <c:order val="8"/>
          <c:tx>
            <c:strRef>
              <c:f>'Figure contribution analysis'!$A$45</c:f>
              <c:strCache>
                <c:ptCount val="1"/>
                <c:pt idx="0">
                  <c:v>Base frame and housing </c:v>
                </c:pt>
              </c:strCache>
            </c:strRef>
          </c:tx>
          <c:spPr>
            <a:solidFill>
              <a:schemeClr val="accent3">
                <a:lumMod val="60000"/>
              </a:schemeClr>
            </a:solidFill>
            <a:ln>
              <a:noFill/>
            </a:ln>
            <a:effectLst/>
          </c:spPr>
          <c:invertIfNegative val="0"/>
          <c:cat>
            <c:strRef>
              <c:f>'Figure contribution analysis'!$B$36:$D$36</c:f>
              <c:strCache>
                <c:ptCount val="3"/>
                <c:pt idx="0">
                  <c:v>3-4°C </c:v>
                </c:pt>
                <c:pt idx="1">
                  <c:v>&lt;2°C </c:v>
                </c:pt>
                <c:pt idx="2">
                  <c:v>&lt;1.5°C </c:v>
                </c:pt>
              </c:strCache>
            </c:strRef>
          </c:cat>
          <c:val>
            <c:numRef>
              <c:f>'Figure contribution analysis'!$B$45:$D$45</c:f>
              <c:numCache>
                <c:formatCode>0.00E+00</c:formatCode>
                <c:ptCount val="3"/>
                <c:pt idx="0">
                  <c:v>2.209496262897262E-2</c:v>
                </c:pt>
                <c:pt idx="1">
                  <c:v>2.0251561932952661E-2</c:v>
                </c:pt>
                <c:pt idx="2">
                  <c:v>1.8593796959748408E-2</c:v>
                </c:pt>
              </c:numCache>
            </c:numRef>
          </c:val>
          <c:extLst>
            <c:ext xmlns:c16="http://schemas.microsoft.com/office/drawing/2014/chart" uri="{C3380CC4-5D6E-409C-BE32-E72D297353CC}">
              <c16:uniqueId val="{00000008-6E7C-4BD5-97AE-0FCA4637C9E5}"/>
            </c:ext>
          </c:extLst>
        </c:ser>
        <c:ser>
          <c:idx val="9"/>
          <c:order val="9"/>
          <c:tx>
            <c:strRef>
              <c:f>'Figure contribution analysis'!$A$46</c:f>
              <c:strCache>
                <c:ptCount val="1"/>
                <c:pt idx="0">
                  <c:v>Electronics hardware</c:v>
                </c:pt>
              </c:strCache>
            </c:strRef>
          </c:tx>
          <c:spPr>
            <a:solidFill>
              <a:schemeClr val="accent4">
                <a:lumMod val="60000"/>
              </a:schemeClr>
            </a:solidFill>
            <a:ln>
              <a:noFill/>
            </a:ln>
            <a:effectLst/>
          </c:spPr>
          <c:invertIfNegative val="0"/>
          <c:cat>
            <c:strRef>
              <c:f>'Figure contribution analysis'!$B$36:$D$36</c:f>
              <c:strCache>
                <c:ptCount val="3"/>
                <c:pt idx="0">
                  <c:v>3-4°C </c:v>
                </c:pt>
                <c:pt idx="1">
                  <c:v>&lt;2°C </c:v>
                </c:pt>
                <c:pt idx="2">
                  <c:v>&lt;1.5°C </c:v>
                </c:pt>
              </c:strCache>
            </c:strRef>
          </c:cat>
          <c:val>
            <c:numRef>
              <c:f>'Figure contribution analysis'!$B$46:$D$46</c:f>
              <c:numCache>
                <c:formatCode>0.00E+00</c:formatCode>
                <c:ptCount val="3"/>
                <c:pt idx="0">
                  <c:v>5.8245388563263008E-2</c:v>
                </c:pt>
                <c:pt idx="1">
                  <c:v>5.5780352999011518E-2</c:v>
                </c:pt>
                <c:pt idx="2">
                  <c:v>4.6894275088252467E-2</c:v>
                </c:pt>
              </c:numCache>
            </c:numRef>
          </c:val>
          <c:extLst>
            <c:ext xmlns:c16="http://schemas.microsoft.com/office/drawing/2014/chart" uri="{C3380CC4-5D6E-409C-BE32-E72D297353CC}">
              <c16:uniqueId val="{00000009-6E7C-4BD5-97AE-0FCA4637C9E5}"/>
            </c:ext>
          </c:extLst>
        </c:ser>
        <c:ser>
          <c:idx val="10"/>
          <c:order val="10"/>
          <c:tx>
            <c:strRef>
              <c:f>'Figure contribution analysis'!$A$47</c:f>
              <c:strCache>
                <c:ptCount val="1"/>
                <c:pt idx="0">
                  <c:v>Infrastructure around DAC </c:v>
                </c:pt>
              </c:strCache>
            </c:strRef>
          </c:tx>
          <c:spPr>
            <a:solidFill>
              <a:schemeClr val="accent5">
                <a:lumMod val="60000"/>
              </a:schemeClr>
            </a:solidFill>
            <a:ln>
              <a:noFill/>
            </a:ln>
            <a:effectLst/>
          </c:spPr>
          <c:invertIfNegative val="0"/>
          <c:cat>
            <c:strRef>
              <c:f>'Figure contribution analysis'!$B$36:$D$36</c:f>
              <c:strCache>
                <c:ptCount val="3"/>
                <c:pt idx="0">
                  <c:v>3-4°C </c:v>
                </c:pt>
                <c:pt idx="1">
                  <c:v>&lt;2°C </c:v>
                </c:pt>
                <c:pt idx="2">
                  <c:v>&lt;1.5°C </c:v>
                </c:pt>
              </c:strCache>
            </c:strRef>
          </c:cat>
          <c:val>
            <c:numRef>
              <c:f>'Figure contribution analysis'!$B$47:$D$47</c:f>
              <c:numCache>
                <c:formatCode>0.00E+00</c:formatCode>
                <c:ptCount val="3"/>
                <c:pt idx="0">
                  <c:v>3.0224220416950572E-4</c:v>
                </c:pt>
                <c:pt idx="1">
                  <c:v>2.8664307292717168E-4</c:v>
                </c:pt>
                <c:pt idx="2">
                  <c:v>2.6822864157904019E-4</c:v>
                </c:pt>
              </c:numCache>
            </c:numRef>
          </c:val>
          <c:extLst>
            <c:ext xmlns:c16="http://schemas.microsoft.com/office/drawing/2014/chart" uri="{C3380CC4-5D6E-409C-BE32-E72D297353CC}">
              <c16:uniqueId val="{0000000A-6E7C-4BD5-97AE-0FCA4637C9E5}"/>
            </c:ext>
          </c:extLst>
        </c:ser>
        <c:ser>
          <c:idx val="11"/>
          <c:order val="11"/>
          <c:tx>
            <c:strRef>
              <c:f>'Figure contribution analysis'!$A$48</c:f>
              <c:strCache>
                <c:ptCount val="1"/>
                <c:pt idx="0">
                  <c:v>Heat pump </c:v>
                </c:pt>
              </c:strCache>
            </c:strRef>
          </c:tx>
          <c:spPr>
            <a:solidFill>
              <a:schemeClr val="accent6">
                <a:lumMod val="60000"/>
              </a:schemeClr>
            </a:solidFill>
            <a:ln>
              <a:noFill/>
            </a:ln>
            <a:effectLst/>
          </c:spPr>
          <c:invertIfNegative val="0"/>
          <c:cat>
            <c:strRef>
              <c:f>'Figure contribution analysis'!$B$36:$D$36</c:f>
              <c:strCache>
                <c:ptCount val="3"/>
                <c:pt idx="0">
                  <c:v>3-4°C </c:v>
                </c:pt>
                <c:pt idx="1">
                  <c:v>&lt;2°C </c:v>
                </c:pt>
                <c:pt idx="2">
                  <c:v>&lt;1.5°C </c:v>
                </c:pt>
              </c:strCache>
            </c:strRef>
          </c:cat>
          <c:val>
            <c:numRef>
              <c:f>'Figure contribution analysis'!$B$48:$D$48</c:f>
              <c:numCache>
                <c:formatCode>0.00E+00</c:formatCode>
                <c:ptCount val="3"/>
                <c:pt idx="0">
                  <c:v>1.4675893651807536E-2</c:v>
                </c:pt>
                <c:pt idx="1">
                  <c:v>1.4529104350648813E-2</c:v>
                </c:pt>
                <c:pt idx="2">
                  <c:v>1.4230293024424689E-2</c:v>
                </c:pt>
              </c:numCache>
            </c:numRef>
          </c:val>
          <c:extLst>
            <c:ext xmlns:c16="http://schemas.microsoft.com/office/drawing/2014/chart" uri="{C3380CC4-5D6E-409C-BE32-E72D297353CC}">
              <c16:uniqueId val="{00000000-CB4E-4022-B96E-36913CC9C8A6}"/>
            </c:ext>
          </c:extLst>
        </c:ser>
        <c:dLbls>
          <c:showLegendKey val="0"/>
          <c:showVal val="0"/>
          <c:showCatName val="0"/>
          <c:showSerName val="0"/>
          <c:showPercent val="0"/>
          <c:showBubbleSize val="0"/>
        </c:dLbls>
        <c:gapWidth val="150"/>
        <c:overlap val="100"/>
        <c:axId val="2079119775"/>
        <c:axId val="1688349727"/>
      </c:barChart>
      <c:catAx>
        <c:axId val="20791197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mn-ea"/>
                <a:cs typeface="Times New Roman" panose="02020603050405020304" pitchFamily="18" charset="0"/>
              </a:defRPr>
            </a:pPr>
            <a:endParaRPr lang="en-NL"/>
          </a:p>
        </c:txPr>
        <c:crossAx val="1688349727"/>
        <c:crosses val="autoZero"/>
        <c:auto val="1"/>
        <c:lblAlgn val="ctr"/>
        <c:lblOffset val="100"/>
        <c:noMultiLvlLbl val="0"/>
      </c:catAx>
      <c:valAx>
        <c:axId val="168834972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mn-ea"/>
                    <a:cs typeface="Times New Roman" panose="02020603050405020304" pitchFamily="18" charset="0"/>
                  </a:defRPr>
                </a:pPr>
                <a:r>
                  <a:rPr lang="en-GB"/>
                  <a:t>Human health damage </a:t>
                </a:r>
              </a:p>
              <a:p>
                <a:pPr>
                  <a:defRPr/>
                </a:pPr>
                <a:r>
                  <a:rPr lang="en-GB"/>
                  <a:t>[DALY/ton CO</a:t>
                </a:r>
                <a:r>
                  <a:rPr lang="en-GB" baseline="-25000"/>
                  <a:t>2</a:t>
                </a:r>
                <a:r>
                  <a:rPr lang="en-GB"/>
                  <a:t> captured and stored]</a:t>
                </a:r>
                <a:endParaRPr lang="en-NL"/>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mn-ea"/>
                  <a:cs typeface="Times New Roman" panose="02020603050405020304" pitchFamily="18" charset="0"/>
                </a:defRPr>
              </a:pPr>
              <a:endParaRPr lang="en-NL"/>
            </a:p>
          </c:txPr>
        </c:title>
        <c:numFmt formatCode="0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mn-ea"/>
                <a:cs typeface="Times New Roman" panose="02020603050405020304" pitchFamily="18" charset="0"/>
              </a:defRPr>
            </a:pPr>
            <a:endParaRPr lang="en-NL"/>
          </a:p>
        </c:txPr>
        <c:crossAx val="2079119775"/>
        <c:crosses val="autoZero"/>
        <c:crossBetween val="between"/>
      </c:valAx>
      <c:spPr>
        <a:noFill/>
        <a:ln>
          <a:noFill/>
        </a:ln>
        <a:effectLst/>
      </c:spPr>
    </c:plotArea>
    <c:legend>
      <c:legendPos val="r"/>
      <c:layout>
        <c:manualLayout>
          <c:xMode val="edge"/>
          <c:yMode val="edge"/>
          <c:x val="0.6485223097112861"/>
          <c:y val="2.6665501897354452E-2"/>
          <c:w val="0.32408748906386703"/>
          <c:h val="0.8815367332992234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mn-ea"/>
              <a:cs typeface="Times New Roman" panose="02020603050405020304" pitchFamily="18" charset="0"/>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latin typeface="Verdana Pro" panose="020B0604030504040204" pitchFamily="34" charset="0"/>
          <a:cs typeface="Times New Roman" panose="02020603050405020304" pitchFamily="18" charset="0"/>
        </a:defRPr>
      </a:pPr>
      <a:endParaRPr lang="en-N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293744531933507"/>
          <c:y val="3.4577607422626722E-2"/>
          <c:w val="0.38817366579177609"/>
          <c:h val="0.85535521004349546"/>
        </c:manualLayout>
      </c:layout>
      <c:barChart>
        <c:barDir val="col"/>
        <c:grouping val="stacked"/>
        <c:varyColors val="0"/>
        <c:ser>
          <c:idx val="0"/>
          <c:order val="0"/>
          <c:tx>
            <c:strRef>
              <c:f>'Figure contribution analysis'!$A$53</c:f>
              <c:strCache>
                <c:ptCount val="1"/>
                <c:pt idx="0">
                  <c:v>Air pretreatment</c:v>
                </c:pt>
              </c:strCache>
            </c:strRef>
          </c:tx>
          <c:spPr>
            <a:solidFill>
              <a:schemeClr val="accent1"/>
            </a:solidFill>
            <a:ln>
              <a:noFill/>
            </a:ln>
            <a:effectLst/>
          </c:spPr>
          <c:invertIfNegative val="0"/>
          <c:cat>
            <c:strRef>
              <c:f>'Figure contribution analysis'!$B$4:$D$4</c:f>
              <c:strCache>
                <c:ptCount val="3"/>
                <c:pt idx="0">
                  <c:v>3-4°C </c:v>
                </c:pt>
                <c:pt idx="1">
                  <c:v>&lt;2°C </c:v>
                </c:pt>
                <c:pt idx="2">
                  <c:v>&lt;1.5°C </c:v>
                </c:pt>
              </c:strCache>
            </c:strRef>
          </c:cat>
          <c:val>
            <c:numRef>
              <c:f>'Figure contribution analysis'!$B$53:$D$53</c:f>
              <c:numCache>
                <c:formatCode>0.00E+00</c:formatCode>
                <c:ptCount val="3"/>
                <c:pt idx="0">
                  <c:v>75.900107259729808</c:v>
                </c:pt>
                <c:pt idx="1">
                  <c:v>74.575809260309001</c:v>
                </c:pt>
                <c:pt idx="2">
                  <c:v>71.38267553879804</c:v>
                </c:pt>
              </c:numCache>
            </c:numRef>
          </c:val>
          <c:extLst>
            <c:ext xmlns:c16="http://schemas.microsoft.com/office/drawing/2014/chart" uri="{C3380CC4-5D6E-409C-BE32-E72D297353CC}">
              <c16:uniqueId val="{00000000-4170-414A-9938-9B58BC357140}"/>
            </c:ext>
          </c:extLst>
        </c:ser>
        <c:ser>
          <c:idx val="1"/>
          <c:order val="1"/>
          <c:tx>
            <c:strRef>
              <c:f>'Figure contribution analysis'!$A$54</c:f>
              <c:strCache>
                <c:ptCount val="1"/>
                <c:pt idx="0">
                  <c:v>Air intake &amp; transport</c:v>
                </c:pt>
              </c:strCache>
            </c:strRef>
          </c:tx>
          <c:spPr>
            <a:solidFill>
              <a:schemeClr val="accent2"/>
            </a:solidFill>
            <a:ln>
              <a:noFill/>
            </a:ln>
            <a:effectLst/>
          </c:spPr>
          <c:invertIfNegative val="0"/>
          <c:cat>
            <c:strRef>
              <c:f>'Figure contribution analysis'!$B$4:$D$4</c:f>
              <c:strCache>
                <c:ptCount val="3"/>
                <c:pt idx="0">
                  <c:v>3-4°C </c:v>
                </c:pt>
                <c:pt idx="1">
                  <c:v>&lt;2°C </c:v>
                </c:pt>
                <c:pt idx="2">
                  <c:v>&lt;1.5°C </c:v>
                </c:pt>
              </c:strCache>
            </c:strRef>
          </c:cat>
          <c:val>
            <c:numRef>
              <c:f>'Figure contribution analysis'!$B$54:$D$54</c:f>
              <c:numCache>
                <c:formatCode>0.00E+00</c:formatCode>
                <c:ptCount val="3"/>
                <c:pt idx="0">
                  <c:v>315.32647070950878</c:v>
                </c:pt>
                <c:pt idx="1">
                  <c:v>313.82231223638792</c:v>
                </c:pt>
                <c:pt idx="2">
                  <c:v>309.39379081190958</c:v>
                </c:pt>
              </c:numCache>
            </c:numRef>
          </c:val>
          <c:extLst>
            <c:ext xmlns:c16="http://schemas.microsoft.com/office/drawing/2014/chart" uri="{C3380CC4-5D6E-409C-BE32-E72D297353CC}">
              <c16:uniqueId val="{00000001-4170-414A-9938-9B58BC357140}"/>
            </c:ext>
          </c:extLst>
        </c:ser>
        <c:ser>
          <c:idx val="2"/>
          <c:order val="2"/>
          <c:tx>
            <c:strRef>
              <c:f>'Figure contribution analysis'!$A$55</c:f>
              <c:strCache>
                <c:ptCount val="1"/>
                <c:pt idx="0">
                  <c:v>Cartridge</c:v>
                </c:pt>
              </c:strCache>
            </c:strRef>
          </c:tx>
          <c:spPr>
            <a:solidFill>
              <a:schemeClr val="accent3"/>
            </a:solidFill>
            <a:ln>
              <a:noFill/>
            </a:ln>
            <a:effectLst/>
          </c:spPr>
          <c:invertIfNegative val="0"/>
          <c:cat>
            <c:strRef>
              <c:f>'Figure contribution analysis'!$B$4:$D$4</c:f>
              <c:strCache>
                <c:ptCount val="3"/>
                <c:pt idx="0">
                  <c:v>3-4°C </c:v>
                </c:pt>
                <c:pt idx="1">
                  <c:v>&lt;2°C </c:v>
                </c:pt>
                <c:pt idx="2">
                  <c:v>&lt;1.5°C </c:v>
                </c:pt>
              </c:strCache>
            </c:strRef>
          </c:cat>
          <c:val>
            <c:numRef>
              <c:f>'Figure contribution analysis'!$B$55:$D$55</c:f>
              <c:numCache>
                <c:formatCode>0.00E+00</c:formatCode>
                <c:ptCount val="3"/>
                <c:pt idx="0">
                  <c:v>320.06211166534263</c:v>
                </c:pt>
                <c:pt idx="1">
                  <c:v>315.02558376823708</c:v>
                </c:pt>
                <c:pt idx="2">
                  <c:v>304.2681794288975</c:v>
                </c:pt>
              </c:numCache>
            </c:numRef>
          </c:val>
          <c:extLst>
            <c:ext xmlns:c16="http://schemas.microsoft.com/office/drawing/2014/chart" uri="{C3380CC4-5D6E-409C-BE32-E72D297353CC}">
              <c16:uniqueId val="{00000002-4170-414A-9938-9B58BC357140}"/>
            </c:ext>
          </c:extLst>
        </c:ser>
        <c:ser>
          <c:idx val="3"/>
          <c:order val="3"/>
          <c:tx>
            <c:strRef>
              <c:f>'Figure contribution analysis'!$A$56</c:f>
              <c:strCache>
                <c:ptCount val="1"/>
                <c:pt idx="0">
                  <c:v>Vacuum vessel</c:v>
                </c:pt>
              </c:strCache>
            </c:strRef>
          </c:tx>
          <c:spPr>
            <a:solidFill>
              <a:schemeClr val="accent4"/>
            </a:solidFill>
            <a:ln>
              <a:noFill/>
            </a:ln>
            <a:effectLst/>
          </c:spPr>
          <c:invertIfNegative val="0"/>
          <c:cat>
            <c:strRef>
              <c:f>'Figure contribution analysis'!$B$4:$D$4</c:f>
              <c:strCache>
                <c:ptCount val="3"/>
                <c:pt idx="0">
                  <c:v>3-4°C </c:v>
                </c:pt>
                <c:pt idx="1">
                  <c:v>&lt;2°C </c:v>
                </c:pt>
                <c:pt idx="2">
                  <c:v>&lt;1.5°C </c:v>
                </c:pt>
              </c:strCache>
            </c:strRef>
          </c:cat>
          <c:val>
            <c:numRef>
              <c:f>'Figure contribution analysis'!$B$56:$D$56</c:f>
              <c:numCache>
                <c:formatCode>0.00E+00</c:formatCode>
                <c:ptCount val="3"/>
                <c:pt idx="0">
                  <c:v>246.9725509849394</c:v>
                </c:pt>
                <c:pt idx="1">
                  <c:v>243.43520206801139</c:v>
                </c:pt>
                <c:pt idx="2">
                  <c:v>232.33757803762921</c:v>
                </c:pt>
              </c:numCache>
            </c:numRef>
          </c:val>
          <c:extLst>
            <c:ext xmlns:c16="http://schemas.microsoft.com/office/drawing/2014/chart" uri="{C3380CC4-5D6E-409C-BE32-E72D297353CC}">
              <c16:uniqueId val="{00000003-4170-414A-9938-9B58BC357140}"/>
            </c:ext>
          </c:extLst>
        </c:ser>
        <c:ser>
          <c:idx val="4"/>
          <c:order val="4"/>
          <c:tx>
            <c:strRef>
              <c:f>'Figure contribution analysis'!$A$57</c:f>
              <c:strCache>
                <c:ptCount val="1"/>
                <c:pt idx="0">
                  <c:v>Vacuum system</c:v>
                </c:pt>
              </c:strCache>
            </c:strRef>
          </c:tx>
          <c:spPr>
            <a:solidFill>
              <a:schemeClr val="accent5"/>
            </a:solidFill>
            <a:ln>
              <a:noFill/>
            </a:ln>
            <a:effectLst/>
          </c:spPr>
          <c:invertIfNegative val="0"/>
          <c:cat>
            <c:strRef>
              <c:f>'Figure contribution analysis'!$B$4:$D$4</c:f>
              <c:strCache>
                <c:ptCount val="3"/>
                <c:pt idx="0">
                  <c:v>3-4°C </c:v>
                </c:pt>
                <c:pt idx="1">
                  <c:v>&lt;2°C </c:v>
                </c:pt>
                <c:pt idx="2">
                  <c:v>&lt;1.5°C </c:v>
                </c:pt>
              </c:strCache>
            </c:strRef>
          </c:cat>
          <c:val>
            <c:numRef>
              <c:f>'Figure contribution analysis'!$B$57:$D$57</c:f>
              <c:numCache>
                <c:formatCode>0.00E+00</c:formatCode>
                <c:ptCount val="3"/>
                <c:pt idx="0">
                  <c:v>121.9560327138697</c:v>
                </c:pt>
                <c:pt idx="1">
                  <c:v>119.8877128712579</c:v>
                </c:pt>
                <c:pt idx="2">
                  <c:v>112.28629490364889</c:v>
                </c:pt>
              </c:numCache>
            </c:numRef>
          </c:val>
          <c:extLst>
            <c:ext xmlns:c16="http://schemas.microsoft.com/office/drawing/2014/chart" uri="{C3380CC4-5D6E-409C-BE32-E72D297353CC}">
              <c16:uniqueId val="{00000004-4170-414A-9938-9B58BC357140}"/>
            </c:ext>
          </c:extLst>
        </c:ser>
        <c:ser>
          <c:idx val="5"/>
          <c:order val="5"/>
          <c:tx>
            <c:strRef>
              <c:f>'Figure contribution analysis'!$A$58</c:f>
              <c:strCache>
                <c:ptCount val="1"/>
                <c:pt idx="0">
                  <c:v>Water treatment</c:v>
                </c:pt>
              </c:strCache>
            </c:strRef>
          </c:tx>
          <c:spPr>
            <a:solidFill>
              <a:schemeClr val="accent6"/>
            </a:solidFill>
            <a:ln>
              <a:noFill/>
            </a:ln>
            <a:effectLst/>
          </c:spPr>
          <c:invertIfNegative val="0"/>
          <c:cat>
            <c:strRef>
              <c:f>'Figure contribution analysis'!$B$4:$D$4</c:f>
              <c:strCache>
                <c:ptCount val="3"/>
                <c:pt idx="0">
                  <c:v>3-4°C </c:v>
                </c:pt>
                <c:pt idx="1">
                  <c:v>&lt;2°C </c:v>
                </c:pt>
                <c:pt idx="2">
                  <c:v>&lt;1.5°C </c:v>
                </c:pt>
              </c:strCache>
            </c:strRef>
          </c:cat>
          <c:val>
            <c:numRef>
              <c:f>'Figure contribution analysis'!$B$58:$D$58</c:f>
              <c:numCache>
                <c:formatCode>0.00E+00</c:formatCode>
                <c:ptCount val="3"/>
                <c:pt idx="0">
                  <c:v>86.300562327748125</c:v>
                </c:pt>
                <c:pt idx="1">
                  <c:v>85.211147912787794</c:v>
                </c:pt>
                <c:pt idx="2">
                  <c:v>81.434527823734626</c:v>
                </c:pt>
              </c:numCache>
            </c:numRef>
          </c:val>
          <c:extLst>
            <c:ext xmlns:c16="http://schemas.microsoft.com/office/drawing/2014/chart" uri="{C3380CC4-5D6E-409C-BE32-E72D297353CC}">
              <c16:uniqueId val="{00000005-4170-414A-9938-9B58BC357140}"/>
            </c:ext>
          </c:extLst>
        </c:ser>
        <c:ser>
          <c:idx val="6"/>
          <c:order val="6"/>
          <c:tx>
            <c:strRef>
              <c:f>'Figure contribution analysis'!$A$59</c:f>
              <c:strCache>
                <c:ptCount val="1"/>
                <c:pt idx="0">
                  <c:v>CO2 capture</c:v>
                </c:pt>
              </c:strCache>
            </c:strRef>
          </c:tx>
          <c:spPr>
            <a:solidFill>
              <a:schemeClr val="accent1">
                <a:lumMod val="60000"/>
              </a:schemeClr>
            </a:solidFill>
            <a:ln>
              <a:noFill/>
            </a:ln>
            <a:effectLst/>
          </c:spPr>
          <c:invertIfNegative val="0"/>
          <c:cat>
            <c:strRef>
              <c:f>'Figure contribution analysis'!$B$4:$D$4</c:f>
              <c:strCache>
                <c:ptCount val="3"/>
                <c:pt idx="0">
                  <c:v>3-4°C </c:v>
                </c:pt>
                <c:pt idx="1">
                  <c:v>&lt;2°C </c:v>
                </c:pt>
                <c:pt idx="2">
                  <c:v>&lt;1.5°C </c:v>
                </c:pt>
              </c:strCache>
            </c:strRef>
          </c:cat>
          <c:val>
            <c:numRef>
              <c:f>'Figure contribution analysis'!$B$59:$D$59</c:f>
              <c:numCache>
                <c:formatCode>0.00E+00</c:formatCode>
                <c:ptCount val="3"/>
                <c:pt idx="0">
                  <c:v>58.252905588334869</c:v>
                </c:pt>
                <c:pt idx="1">
                  <c:v>57.213045992396857</c:v>
                </c:pt>
                <c:pt idx="2">
                  <c:v>53.72069534285378</c:v>
                </c:pt>
              </c:numCache>
            </c:numRef>
          </c:val>
          <c:extLst>
            <c:ext xmlns:c16="http://schemas.microsoft.com/office/drawing/2014/chart" uri="{C3380CC4-5D6E-409C-BE32-E72D297353CC}">
              <c16:uniqueId val="{00000006-4170-414A-9938-9B58BC357140}"/>
            </c:ext>
          </c:extLst>
        </c:ser>
        <c:ser>
          <c:idx val="7"/>
          <c:order val="7"/>
          <c:tx>
            <c:strRef>
              <c:f>'Figure contribution analysis'!$A$60</c:f>
              <c:strCache>
                <c:ptCount val="1"/>
                <c:pt idx="0">
                  <c:v>Air outlet</c:v>
                </c:pt>
              </c:strCache>
            </c:strRef>
          </c:tx>
          <c:spPr>
            <a:solidFill>
              <a:schemeClr val="accent2">
                <a:lumMod val="60000"/>
              </a:schemeClr>
            </a:solidFill>
            <a:ln>
              <a:noFill/>
            </a:ln>
            <a:effectLst/>
          </c:spPr>
          <c:invertIfNegative val="0"/>
          <c:cat>
            <c:strRef>
              <c:f>'Figure contribution analysis'!$B$4:$D$4</c:f>
              <c:strCache>
                <c:ptCount val="3"/>
                <c:pt idx="0">
                  <c:v>3-4°C </c:v>
                </c:pt>
                <c:pt idx="1">
                  <c:v>&lt;2°C </c:v>
                </c:pt>
                <c:pt idx="2">
                  <c:v>&lt;1.5°C </c:v>
                </c:pt>
              </c:strCache>
            </c:strRef>
          </c:cat>
          <c:val>
            <c:numRef>
              <c:f>'Figure contribution analysis'!$B$60:$D$60</c:f>
              <c:numCache>
                <c:formatCode>0.00E+00</c:formatCode>
                <c:ptCount val="3"/>
                <c:pt idx="0">
                  <c:v>61.36907317967863</c:v>
                </c:pt>
                <c:pt idx="1">
                  <c:v>60.149320712686112</c:v>
                </c:pt>
                <c:pt idx="2">
                  <c:v>56.4741510532414</c:v>
                </c:pt>
              </c:numCache>
            </c:numRef>
          </c:val>
          <c:extLst>
            <c:ext xmlns:c16="http://schemas.microsoft.com/office/drawing/2014/chart" uri="{C3380CC4-5D6E-409C-BE32-E72D297353CC}">
              <c16:uniqueId val="{00000007-4170-414A-9938-9B58BC357140}"/>
            </c:ext>
          </c:extLst>
        </c:ser>
        <c:ser>
          <c:idx val="8"/>
          <c:order val="8"/>
          <c:tx>
            <c:strRef>
              <c:f>'Figure contribution analysis'!$A$61</c:f>
              <c:strCache>
                <c:ptCount val="1"/>
                <c:pt idx="0">
                  <c:v>Base frame and housing </c:v>
                </c:pt>
              </c:strCache>
            </c:strRef>
          </c:tx>
          <c:spPr>
            <a:solidFill>
              <a:schemeClr val="accent3">
                <a:lumMod val="60000"/>
              </a:schemeClr>
            </a:solidFill>
            <a:ln>
              <a:noFill/>
            </a:ln>
            <a:effectLst/>
          </c:spPr>
          <c:invertIfNegative val="0"/>
          <c:cat>
            <c:strRef>
              <c:f>'Figure contribution analysis'!$B$4:$D$4</c:f>
              <c:strCache>
                <c:ptCount val="3"/>
                <c:pt idx="0">
                  <c:v>3-4°C </c:v>
                </c:pt>
                <c:pt idx="1">
                  <c:v>&lt;2°C </c:v>
                </c:pt>
                <c:pt idx="2">
                  <c:v>&lt;1.5°C </c:v>
                </c:pt>
              </c:strCache>
            </c:strRef>
          </c:cat>
          <c:val>
            <c:numRef>
              <c:f>'Figure contribution analysis'!$B$61:$D$61</c:f>
              <c:numCache>
                <c:formatCode>0.00E+00</c:formatCode>
                <c:ptCount val="3"/>
                <c:pt idx="0">
                  <c:v>664.60788560352216</c:v>
                </c:pt>
                <c:pt idx="1">
                  <c:v>654.34504301961317</c:v>
                </c:pt>
                <c:pt idx="2">
                  <c:v>632.20465263923336</c:v>
                </c:pt>
              </c:numCache>
            </c:numRef>
          </c:val>
          <c:extLst>
            <c:ext xmlns:c16="http://schemas.microsoft.com/office/drawing/2014/chart" uri="{C3380CC4-5D6E-409C-BE32-E72D297353CC}">
              <c16:uniqueId val="{00000008-4170-414A-9938-9B58BC357140}"/>
            </c:ext>
          </c:extLst>
        </c:ser>
        <c:ser>
          <c:idx val="9"/>
          <c:order val="9"/>
          <c:tx>
            <c:strRef>
              <c:f>'Figure contribution analysis'!$A$62</c:f>
              <c:strCache>
                <c:ptCount val="1"/>
                <c:pt idx="0">
                  <c:v>Electronics hardware</c:v>
                </c:pt>
              </c:strCache>
            </c:strRef>
          </c:tx>
          <c:spPr>
            <a:solidFill>
              <a:schemeClr val="accent4">
                <a:lumMod val="60000"/>
              </a:schemeClr>
            </a:solidFill>
            <a:ln>
              <a:noFill/>
            </a:ln>
            <a:effectLst/>
          </c:spPr>
          <c:invertIfNegative val="0"/>
          <c:cat>
            <c:strRef>
              <c:f>'Figure contribution analysis'!$B$4:$D$4</c:f>
              <c:strCache>
                <c:ptCount val="3"/>
                <c:pt idx="0">
                  <c:v>3-4°C </c:v>
                </c:pt>
                <c:pt idx="1">
                  <c:v>&lt;2°C </c:v>
                </c:pt>
                <c:pt idx="2">
                  <c:v>&lt;1.5°C </c:v>
                </c:pt>
              </c:strCache>
            </c:strRef>
          </c:cat>
          <c:val>
            <c:numRef>
              <c:f>'Figure contribution analysis'!$B$62:$D$62</c:f>
              <c:numCache>
                <c:formatCode>0.00E+00</c:formatCode>
                <c:ptCount val="3"/>
                <c:pt idx="0">
                  <c:v>720.62977688043634</c:v>
                </c:pt>
                <c:pt idx="1">
                  <c:v>693.55879573755169</c:v>
                </c:pt>
                <c:pt idx="2">
                  <c:v>613.14460127904488</c:v>
                </c:pt>
              </c:numCache>
            </c:numRef>
          </c:val>
          <c:extLst>
            <c:ext xmlns:c16="http://schemas.microsoft.com/office/drawing/2014/chart" uri="{C3380CC4-5D6E-409C-BE32-E72D297353CC}">
              <c16:uniqueId val="{00000009-4170-414A-9938-9B58BC357140}"/>
            </c:ext>
          </c:extLst>
        </c:ser>
        <c:ser>
          <c:idx val="10"/>
          <c:order val="10"/>
          <c:tx>
            <c:strRef>
              <c:f>'Figure contribution analysis'!$A$63</c:f>
              <c:strCache>
                <c:ptCount val="1"/>
                <c:pt idx="0">
                  <c:v>Infrastructure around DAC </c:v>
                </c:pt>
              </c:strCache>
            </c:strRef>
          </c:tx>
          <c:spPr>
            <a:solidFill>
              <a:schemeClr val="accent5">
                <a:lumMod val="60000"/>
              </a:schemeClr>
            </a:solidFill>
            <a:ln>
              <a:noFill/>
            </a:ln>
            <a:effectLst/>
          </c:spPr>
          <c:invertIfNegative val="0"/>
          <c:cat>
            <c:strRef>
              <c:f>'Figure contribution analysis'!$B$4:$D$4</c:f>
              <c:strCache>
                <c:ptCount val="3"/>
                <c:pt idx="0">
                  <c:v>3-4°C </c:v>
                </c:pt>
                <c:pt idx="1">
                  <c:v>&lt;2°C </c:v>
                </c:pt>
                <c:pt idx="2">
                  <c:v>&lt;1.5°C </c:v>
                </c:pt>
              </c:strCache>
            </c:strRef>
          </c:cat>
          <c:val>
            <c:numRef>
              <c:f>'Figure contribution analysis'!$B$63:$D$63</c:f>
              <c:numCache>
                <c:formatCode>0.00E+00</c:formatCode>
                <c:ptCount val="3"/>
                <c:pt idx="0">
                  <c:v>53.333868076658177</c:v>
                </c:pt>
                <c:pt idx="1">
                  <c:v>53.610983579825508</c:v>
                </c:pt>
                <c:pt idx="2">
                  <c:v>53.80292885804797</c:v>
                </c:pt>
              </c:numCache>
            </c:numRef>
          </c:val>
          <c:extLst>
            <c:ext xmlns:c16="http://schemas.microsoft.com/office/drawing/2014/chart" uri="{C3380CC4-5D6E-409C-BE32-E72D297353CC}">
              <c16:uniqueId val="{0000000A-4170-414A-9938-9B58BC357140}"/>
            </c:ext>
          </c:extLst>
        </c:ser>
        <c:ser>
          <c:idx val="11"/>
          <c:order val="11"/>
          <c:tx>
            <c:strRef>
              <c:f>'Figure contribution analysis'!$A$64</c:f>
              <c:strCache>
                <c:ptCount val="1"/>
                <c:pt idx="0">
                  <c:v>Heat pump </c:v>
                </c:pt>
              </c:strCache>
            </c:strRef>
          </c:tx>
          <c:spPr>
            <a:solidFill>
              <a:schemeClr val="accent6">
                <a:lumMod val="60000"/>
              </a:schemeClr>
            </a:solidFill>
            <a:ln>
              <a:noFill/>
            </a:ln>
            <a:effectLst/>
          </c:spPr>
          <c:invertIfNegative val="0"/>
          <c:cat>
            <c:strRef>
              <c:f>'Figure contribution analysis'!$B$4:$D$4</c:f>
              <c:strCache>
                <c:ptCount val="3"/>
                <c:pt idx="0">
                  <c:v>3-4°C </c:v>
                </c:pt>
                <c:pt idx="1">
                  <c:v>&lt;2°C </c:v>
                </c:pt>
                <c:pt idx="2">
                  <c:v>&lt;1.5°C </c:v>
                </c:pt>
              </c:strCache>
            </c:strRef>
          </c:cat>
          <c:val>
            <c:numRef>
              <c:f>'Figure contribution analysis'!$B$64:$D$64</c:f>
              <c:numCache>
                <c:formatCode>0.00E+00</c:formatCode>
                <c:ptCount val="3"/>
                <c:pt idx="0">
                  <c:v>94.898922521686899</c:v>
                </c:pt>
                <c:pt idx="1">
                  <c:v>93.54881407772514</c:v>
                </c:pt>
                <c:pt idx="2">
                  <c:v>90.667612068793431</c:v>
                </c:pt>
              </c:numCache>
            </c:numRef>
          </c:val>
          <c:extLst>
            <c:ext xmlns:c16="http://schemas.microsoft.com/office/drawing/2014/chart" uri="{C3380CC4-5D6E-409C-BE32-E72D297353CC}">
              <c16:uniqueId val="{0000000B-4170-414A-9938-9B58BC357140}"/>
            </c:ext>
          </c:extLst>
        </c:ser>
        <c:dLbls>
          <c:showLegendKey val="0"/>
          <c:showVal val="0"/>
          <c:showCatName val="0"/>
          <c:showSerName val="0"/>
          <c:showPercent val="0"/>
          <c:showBubbleSize val="0"/>
        </c:dLbls>
        <c:gapWidth val="150"/>
        <c:overlap val="100"/>
        <c:axId val="90005679"/>
        <c:axId val="80505487"/>
      </c:barChart>
      <c:catAx>
        <c:axId val="900056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Verdana" panose="020B0604030504040204" pitchFamily="34" charset="0"/>
                <a:cs typeface="Times New Roman" panose="02020603050405020304" pitchFamily="18" charset="0"/>
              </a:defRPr>
            </a:pPr>
            <a:endParaRPr lang="en-NL"/>
          </a:p>
        </c:txPr>
        <c:crossAx val="80505487"/>
        <c:crosses val="autoZero"/>
        <c:auto val="1"/>
        <c:lblAlgn val="ctr"/>
        <c:lblOffset val="100"/>
        <c:noMultiLvlLbl val="0"/>
      </c:catAx>
      <c:valAx>
        <c:axId val="8050548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Verdana" panose="020B0604030504040204" pitchFamily="34" charset="0"/>
                    <a:cs typeface="Times New Roman" panose="02020603050405020304" pitchFamily="18" charset="0"/>
                  </a:defRPr>
                </a:pPr>
                <a:r>
                  <a:rPr lang="en-GB"/>
                  <a:t>Resource</a:t>
                </a:r>
                <a:r>
                  <a:rPr lang="en-GB" baseline="0"/>
                  <a:t> damage</a:t>
                </a:r>
              </a:p>
              <a:p>
                <a:pPr>
                  <a:defRPr/>
                </a:pPr>
                <a:r>
                  <a:rPr lang="en-GB" baseline="0"/>
                  <a:t>[USD2013</a:t>
                </a:r>
                <a:r>
                  <a:rPr lang="en-GB"/>
                  <a:t>/ton CO</a:t>
                </a:r>
                <a:r>
                  <a:rPr lang="en-GB" baseline="-25000"/>
                  <a:t>2</a:t>
                </a:r>
                <a:r>
                  <a:rPr lang="en-GB"/>
                  <a:t> captured and stored]</a:t>
                </a:r>
                <a:endParaRPr lang="en-NL"/>
              </a:p>
            </c:rich>
          </c:tx>
          <c:layout>
            <c:manualLayout>
              <c:xMode val="edge"/>
              <c:yMode val="edge"/>
              <c:x val="1.3888888888888888E-2"/>
              <c:y val="0.1646834663841054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Verdana" panose="020B0604030504040204" pitchFamily="34" charset="0"/>
                  <a:cs typeface="Times New Roman" panose="02020603050405020304" pitchFamily="18" charset="0"/>
                </a:defRPr>
              </a:pPr>
              <a:endParaRPr lang="en-N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Verdana" panose="020B0604030504040204" pitchFamily="34" charset="0"/>
                <a:cs typeface="Times New Roman" panose="02020603050405020304" pitchFamily="18" charset="0"/>
              </a:defRPr>
            </a:pPr>
            <a:endParaRPr lang="en-NL"/>
          </a:p>
        </c:txPr>
        <c:crossAx val="90005679"/>
        <c:crosses val="autoZero"/>
        <c:crossBetween val="between"/>
      </c:valAx>
      <c:spPr>
        <a:noFill/>
        <a:ln>
          <a:noFill/>
        </a:ln>
        <a:effectLst/>
      </c:spPr>
    </c:plotArea>
    <c:legend>
      <c:legendPos val="r"/>
      <c:layout>
        <c:manualLayout>
          <c:xMode val="edge"/>
          <c:yMode val="edge"/>
          <c:x val="0.63741119860017503"/>
          <c:y val="3.5556027480906208E-2"/>
          <c:w val="0.33809689413823274"/>
          <c:h val="0.90528965594251476"/>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Verdana" panose="020B0604030504040204" pitchFamily="34" charset="0"/>
              <a:cs typeface="Times New Roman" panose="02020603050405020304" pitchFamily="18" charset="0"/>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Verdana Pro" panose="020B0604030504040204" pitchFamily="34" charset="0"/>
          <a:ea typeface="Verdana" panose="020B0604030504040204" pitchFamily="34" charset="0"/>
          <a:cs typeface="Times New Roman" panose="02020603050405020304" pitchFamily="18" charset="0"/>
        </a:defRPr>
      </a:pPr>
      <a:endParaRPr lang="en-N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HHD'!$AB$10</c:f>
              <c:strCache>
                <c:ptCount val="1"/>
                <c:pt idx="0">
                  <c:v>Construction - DAC</c:v>
                </c:pt>
              </c:strCache>
            </c:strRef>
          </c:tx>
          <c:spPr>
            <a:solidFill>
              <a:schemeClr val="accent4">
                <a:lumMod val="75000"/>
              </a:schemeClr>
            </a:solidFill>
            <a:ln>
              <a:noFill/>
            </a:ln>
            <a:effectLst/>
          </c:spPr>
          <c:invertIfNegative val="0"/>
          <c:val>
            <c:numRef>
              <c:f>'Results ReCiPe (H) - HHD'!$AC$10:$BA$10</c:f>
              <c:numCache>
                <c:formatCode>0.00E+00</c:formatCode>
                <c:ptCount val="25"/>
                <c:pt idx="0">
                  <c:v>0.16713320096113157</c:v>
                </c:pt>
              </c:numCache>
            </c:numRef>
          </c:val>
          <c:extLst>
            <c:ext xmlns:c15="http://schemas.microsoft.com/office/drawing/2012/chart" uri="{02D57815-91ED-43cb-92C2-25804820EDAC}">
              <c15:filteredCategoryTitle>
                <c15:cat>
                  <c:numRef>
                    <c:extLst>
                      <c:ext uri="{02D57815-91ED-43cb-92C2-25804820EDAC}">
                        <c15:formulaRef>
                          <c15:sqref>'Results ReCiPe (H) - HHD'!$AC$9:$BA$9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0-3F7D-4882-9F10-D854FD00186D}"/>
            </c:ext>
          </c:extLst>
        </c:ser>
        <c:ser>
          <c:idx val="1"/>
          <c:order val="1"/>
          <c:tx>
            <c:strRef>
              <c:f>'Results ReCiPe (H) - HHD'!$AB$11</c:f>
              <c:strCache>
                <c:ptCount val="1"/>
                <c:pt idx="0">
                  <c:v>Construction - geological storage</c:v>
                </c:pt>
              </c:strCache>
            </c:strRef>
          </c:tx>
          <c:spPr>
            <a:solidFill>
              <a:schemeClr val="accent4">
                <a:lumMod val="60000"/>
                <a:lumOff val="40000"/>
              </a:schemeClr>
            </a:solidFill>
            <a:ln>
              <a:noFill/>
            </a:ln>
            <a:effectLst/>
          </c:spPr>
          <c:invertIfNegative val="0"/>
          <c:val>
            <c:numRef>
              <c:f>'Results ReCiPe (H) - HHD'!$AC$11:$BA$11</c:f>
              <c:numCache>
                <c:formatCode>0.00E+00</c:formatCode>
                <c:ptCount val="25"/>
                <c:pt idx="0">
                  <c:v>1.0010028574258376E-2</c:v>
                </c:pt>
              </c:numCache>
            </c:numRef>
          </c:val>
          <c:extLst>
            <c:ext xmlns:c15="http://schemas.microsoft.com/office/drawing/2012/chart" uri="{02D57815-91ED-43cb-92C2-25804820EDAC}">
              <c15:filteredCategoryTitle>
                <c15:cat>
                  <c:numRef>
                    <c:extLst>
                      <c:ext uri="{02D57815-91ED-43cb-92C2-25804820EDAC}">
                        <c15:formulaRef>
                          <c15:sqref>'Results ReCiPe (H) - HHD'!$AC$9:$BA$9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1-3F7D-4882-9F10-D854FD00186D}"/>
            </c:ext>
          </c:extLst>
        </c:ser>
        <c:ser>
          <c:idx val="2"/>
          <c:order val="2"/>
          <c:tx>
            <c:strRef>
              <c:f>'Results ReCiPe (H) - HHD'!$AB$12</c:f>
              <c:strCache>
                <c:ptCount val="1"/>
                <c:pt idx="0">
                  <c:v>Deconstruction - DAC</c:v>
                </c:pt>
              </c:strCache>
            </c:strRef>
          </c:tx>
          <c:spPr>
            <a:solidFill>
              <a:schemeClr val="accent2">
                <a:lumMod val="40000"/>
                <a:lumOff val="60000"/>
              </a:schemeClr>
            </a:solidFill>
            <a:ln>
              <a:noFill/>
            </a:ln>
            <a:effectLst/>
          </c:spPr>
          <c:invertIfNegative val="0"/>
          <c:val>
            <c:numRef>
              <c:f>'Results ReCiPe (H) - HHD'!$AC$12:$BA$12</c:f>
              <c:numCache>
                <c:formatCode>0.00E+00</c:formatCode>
                <c:ptCount val="25"/>
                <c:pt idx="24">
                  <c:v>1.3460715242108881E-3</c:v>
                </c:pt>
              </c:numCache>
            </c:numRef>
          </c:val>
          <c:extLst>
            <c:ext xmlns:c15="http://schemas.microsoft.com/office/drawing/2012/chart" uri="{02D57815-91ED-43cb-92C2-25804820EDAC}">
              <c15:filteredCategoryTitle>
                <c15:cat>
                  <c:numRef>
                    <c:extLst>
                      <c:ext uri="{02D57815-91ED-43cb-92C2-25804820EDAC}">
                        <c15:formulaRef>
                          <c15:sqref>'Results ReCiPe (H) - HHD'!$AC$9:$BA$9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2-3F7D-4882-9F10-D854FD00186D}"/>
            </c:ext>
          </c:extLst>
        </c:ser>
        <c:ser>
          <c:idx val="3"/>
          <c:order val="3"/>
          <c:tx>
            <c:strRef>
              <c:f>'Results ReCiPe (H) - HHD'!$AB$13</c:f>
              <c:strCache>
                <c:ptCount val="1"/>
                <c:pt idx="0">
                  <c:v>Deconstruction - geological storage</c:v>
                </c:pt>
              </c:strCache>
            </c:strRef>
          </c:tx>
          <c:spPr>
            <a:solidFill>
              <a:srgbClr val="FF9900"/>
            </a:solidFill>
            <a:ln>
              <a:noFill/>
            </a:ln>
            <a:effectLst/>
          </c:spPr>
          <c:invertIfNegative val="0"/>
          <c:val>
            <c:numRef>
              <c:f>'Results ReCiPe (H) - HHD'!$AC$13:$BA$13</c:f>
              <c:numCache>
                <c:formatCode>0.00E+00</c:formatCode>
                <c:ptCount val="25"/>
                <c:pt idx="24">
                  <c:v>3.7268740247547826E-5</c:v>
                </c:pt>
              </c:numCache>
            </c:numRef>
          </c:val>
          <c:extLst>
            <c:ext xmlns:c15="http://schemas.microsoft.com/office/drawing/2012/chart" uri="{02D57815-91ED-43cb-92C2-25804820EDAC}">
              <c15:filteredCategoryTitle>
                <c15:cat>
                  <c:numRef>
                    <c:extLst>
                      <c:ext uri="{02D57815-91ED-43cb-92C2-25804820EDAC}">
                        <c15:formulaRef>
                          <c15:sqref>'Results ReCiPe (H) - HHD'!$AC$9:$BA$9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3-3F7D-4882-9F10-D854FD00186D}"/>
            </c:ext>
          </c:extLst>
        </c:ser>
        <c:ser>
          <c:idx val="4"/>
          <c:order val="4"/>
          <c:tx>
            <c:strRef>
              <c:f>'Results ReCiPe (H) - HHD'!$AB$14</c:f>
              <c:strCache>
                <c:ptCount val="1"/>
                <c:pt idx="0">
                  <c:v>Sorbent material</c:v>
                </c:pt>
              </c:strCache>
            </c:strRef>
          </c:tx>
          <c:spPr>
            <a:solidFill>
              <a:srgbClr val="FF8F8F"/>
            </a:solidFill>
            <a:ln>
              <a:noFill/>
            </a:ln>
            <a:effectLst/>
          </c:spPr>
          <c:invertIfNegative val="0"/>
          <c:val>
            <c:numRef>
              <c:f>'Results ReCiPe (H) - HHD'!$AC$14:$BA$14</c:f>
              <c:numCache>
                <c:formatCode>0.00E+00</c:formatCode>
                <c:ptCount val="25"/>
                <c:pt idx="0">
                  <c:v>2.357201361606037E-3</c:v>
                </c:pt>
                <c:pt idx="3">
                  <c:v>2.338551887019074E-3</c:v>
                </c:pt>
                <c:pt idx="6">
                  <c:v>2.3329664166207272E-3</c:v>
                </c:pt>
                <c:pt idx="9">
                  <c:v>2.334292606370443E-3</c:v>
                </c:pt>
                <c:pt idx="12">
                  <c:v>2.344407424713253E-3</c:v>
                </c:pt>
                <c:pt idx="15">
                  <c:v>2.3564976098142901E-3</c:v>
                </c:pt>
                <c:pt idx="18">
                  <c:v>2.3307713043124539E-3</c:v>
                </c:pt>
                <c:pt idx="21">
                  <c:v>2.3230274489819871E-3</c:v>
                </c:pt>
                <c:pt idx="24">
                  <c:v>2.2803262576522711E-3</c:v>
                </c:pt>
              </c:numCache>
            </c:numRef>
          </c:val>
          <c:extLst>
            <c:ext xmlns:c15="http://schemas.microsoft.com/office/drawing/2012/chart" uri="{02D57815-91ED-43cb-92C2-25804820EDAC}">
              <c15:filteredCategoryTitle>
                <c15:cat>
                  <c:numRef>
                    <c:extLst>
                      <c:ext uri="{02D57815-91ED-43cb-92C2-25804820EDAC}">
                        <c15:formulaRef>
                          <c15:sqref>'Results ReCiPe (H) - HHD'!$AC$9:$BA$9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4-3F7D-4882-9F10-D854FD00186D}"/>
            </c:ext>
          </c:extLst>
        </c:ser>
        <c:ser>
          <c:idx val="5"/>
          <c:order val="5"/>
          <c:tx>
            <c:strRef>
              <c:f>'Results ReCiPe (H) - HHD'!$AB$15</c:f>
              <c:strCache>
                <c:ptCount val="1"/>
                <c:pt idx="0">
                  <c:v>Operation - DAC</c:v>
                </c:pt>
              </c:strCache>
            </c:strRef>
          </c:tx>
          <c:spPr>
            <a:solidFill>
              <a:schemeClr val="accent2">
                <a:lumMod val="75000"/>
              </a:schemeClr>
            </a:solidFill>
            <a:ln>
              <a:noFill/>
            </a:ln>
            <a:effectLst/>
          </c:spPr>
          <c:invertIfNegative val="0"/>
          <c:val>
            <c:numRef>
              <c:f>'Results ReCiPe (H) - HHD'!$AC$15:$BA$15</c:f>
              <c:numCache>
                <c:formatCode>0.00E+00</c:formatCode>
                <c:ptCount val="25"/>
                <c:pt idx="0">
                  <c:v>7.0909447305629536E-2</c:v>
                </c:pt>
                <c:pt idx="1">
                  <c:v>7.0729597576853487E-2</c:v>
                </c:pt>
                <c:pt idx="2">
                  <c:v>7.0528013548315796E-2</c:v>
                </c:pt>
                <c:pt idx="3">
                  <c:v>7.0277665591519128E-2</c:v>
                </c:pt>
                <c:pt idx="4">
                  <c:v>7.0067641490333468E-2</c:v>
                </c:pt>
                <c:pt idx="5">
                  <c:v>6.9856831166697067E-2</c:v>
                </c:pt>
                <c:pt idx="6">
                  <c:v>7.4731708484015391E-2</c:v>
                </c:pt>
                <c:pt idx="7">
                  <c:v>7.95967100678793E-2</c:v>
                </c:pt>
                <c:pt idx="8">
                  <c:v>8.4428256444418356E-2</c:v>
                </c:pt>
                <c:pt idx="9">
                  <c:v>8.9277421687728051E-2</c:v>
                </c:pt>
                <c:pt idx="10">
                  <c:v>9.4114118961245261E-2</c:v>
                </c:pt>
                <c:pt idx="11">
                  <c:v>0.10344985773162441</c:v>
                </c:pt>
                <c:pt idx="12">
                  <c:v>0.1127973450767826</c:v>
                </c:pt>
                <c:pt idx="13">
                  <c:v>0.122153450710752</c:v>
                </c:pt>
                <c:pt idx="14">
                  <c:v>0.13152565619576609</c:v>
                </c:pt>
                <c:pt idx="15">
                  <c:v>0.1409102799444979</c:v>
                </c:pt>
                <c:pt idx="16">
                  <c:v>0.14167302400756779</c:v>
                </c:pt>
                <c:pt idx="17">
                  <c:v>0.1424294071090331</c:v>
                </c:pt>
                <c:pt idx="18">
                  <c:v>0.1431766533539571</c:v>
                </c:pt>
                <c:pt idx="19">
                  <c:v>0.14392400712011769</c:v>
                </c:pt>
                <c:pt idx="20">
                  <c:v>0.14466707061247311</c:v>
                </c:pt>
                <c:pt idx="21">
                  <c:v>0.1424172327919703</c:v>
                </c:pt>
                <c:pt idx="22">
                  <c:v>0.13830319413001299</c:v>
                </c:pt>
                <c:pt idx="23">
                  <c:v>0.13417541973035349</c:v>
                </c:pt>
                <c:pt idx="24">
                  <c:v>0.13003377225450399</c:v>
                </c:pt>
              </c:numCache>
            </c:numRef>
          </c:val>
          <c:extLst>
            <c:ext xmlns:c15="http://schemas.microsoft.com/office/drawing/2012/chart" uri="{02D57815-91ED-43cb-92C2-25804820EDAC}">
              <c15:filteredCategoryTitle>
                <c15:cat>
                  <c:numRef>
                    <c:extLst>
                      <c:ext uri="{02D57815-91ED-43cb-92C2-25804820EDAC}">
                        <c15:formulaRef>
                          <c15:sqref>'Results ReCiPe (H) - HHD'!$AC$9:$BA$9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5-3F7D-4882-9F10-D854FD00186D}"/>
            </c:ext>
          </c:extLst>
        </c:ser>
        <c:ser>
          <c:idx val="6"/>
          <c:order val="6"/>
          <c:tx>
            <c:strRef>
              <c:f>'Results ReCiPe (H) - HHD'!$AB$16</c:f>
              <c:strCache>
                <c:ptCount val="1"/>
                <c:pt idx="0">
                  <c:v>Operation - geological storage</c:v>
                </c:pt>
              </c:strCache>
            </c:strRef>
          </c:tx>
          <c:spPr>
            <a:solidFill>
              <a:schemeClr val="accent2">
                <a:lumMod val="50000"/>
              </a:schemeClr>
            </a:solidFill>
            <a:ln>
              <a:noFill/>
            </a:ln>
            <a:effectLst/>
          </c:spPr>
          <c:invertIfNegative val="0"/>
          <c:val>
            <c:numRef>
              <c:f>'Results ReCiPe (H) - HHD'!$AC$16:$BA$16</c:f>
              <c:numCache>
                <c:formatCode>0.00E+00</c:formatCode>
                <c:ptCount val="25"/>
                <c:pt idx="0">
                  <c:v>6.7993677242686621E-3</c:v>
                </c:pt>
                <c:pt idx="1">
                  <c:v>6.7784834500127667E-3</c:v>
                </c:pt>
                <c:pt idx="2">
                  <c:v>6.7559754789491425E-3</c:v>
                </c:pt>
                <c:pt idx="3">
                  <c:v>6.7291424453726958E-3</c:v>
                </c:pt>
                <c:pt idx="4">
                  <c:v>6.7060547545383939E-3</c:v>
                </c:pt>
                <c:pt idx="5">
                  <c:v>6.6829467499308843E-3</c:v>
                </c:pt>
                <c:pt idx="6">
                  <c:v>7.0465754469168874E-3</c:v>
                </c:pt>
                <c:pt idx="7">
                  <c:v>7.4084309608226104E-3</c:v>
                </c:pt>
                <c:pt idx="8">
                  <c:v>7.7663791422163727E-3</c:v>
                </c:pt>
                <c:pt idx="9">
                  <c:v>8.1249911852799631E-3</c:v>
                </c:pt>
                <c:pt idx="10">
                  <c:v>8.4816399863887545E-3</c:v>
                </c:pt>
                <c:pt idx="11">
                  <c:v>9.1774987825782514E-3</c:v>
                </c:pt>
                <c:pt idx="12">
                  <c:v>9.8726611287057835E-3</c:v>
                </c:pt>
                <c:pt idx="13">
                  <c:v>1.056682152452996E-2</c:v>
                </c:pt>
                <c:pt idx="14">
                  <c:v>1.126068742598707E-2</c:v>
                </c:pt>
                <c:pt idx="15">
                  <c:v>1.1953902787517689E-2</c:v>
                </c:pt>
                <c:pt idx="16">
                  <c:v>1.200080665794946E-2</c:v>
                </c:pt>
                <c:pt idx="17">
                  <c:v>1.204711020875549E-2</c:v>
                </c:pt>
                <c:pt idx="18">
                  <c:v>1.209251358753091E-2</c:v>
                </c:pt>
                <c:pt idx="19">
                  <c:v>1.213789354470432E-2</c:v>
                </c:pt>
                <c:pt idx="20">
                  <c:v>1.2182828378940179E-2</c:v>
                </c:pt>
                <c:pt idx="21">
                  <c:v>1.2005710806952799E-2</c:v>
                </c:pt>
                <c:pt idx="22">
                  <c:v>1.168029229103198E-2</c:v>
                </c:pt>
                <c:pt idx="23">
                  <c:v>1.135505831310654E-2</c:v>
                </c:pt>
                <c:pt idx="24">
                  <c:v>1.1030000297077569E-2</c:v>
                </c:pt>
              </c:numCache>
            </c:numRef>
          </c:val>
          <c:extLst>
            <c:ext xmlns:c15="http://schemas.microsoft.com/office/drawing/2012/chart" uri="{02D57815-91ED-43cb-92C2-25804820EDAC}">
              <c15:filteredCategoryTitle>
                <c15:cat>
                  <c:numRef>
                    <c:extLst>
                      <c:ext uri="{02D57815-91ED-43cb-92C2-25804820EDAC}">
                        <c15:formulaRef>
                          <c15:sqref>'Results ReCiPe (H) - HHD'!$AC$9:$BA$9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6-3F7D-4882-9F10-D854FD00186D}"/>
            </c:ext>
          </c:extLst>
        </c:ser>
        <c:ser>
          <c:idx val="7"/>
          <c:order val="7"/>
          <c:tx>
            <c:strRef>
              <c:f>'Results ReCiPe (H) - HHD'!$AB$17</c:f>
              <c:strCache>
                <c:ptCount val="1"/>
                <c:pt idx="0">
                  <c:v>CO2 captured and stored</c:v>
                </c:pt>
              </c:strCache>
            </c:strRef>
          </c:tx>
          <c:spPr>
            <a:solidFill>
              <a:schemeClr val="tx2">
                <a:lumMod val="20000"/>
                <a:lumOff val="80000"/>
              </a:schemeClr>
            </a:solidFill>
            <a:ln>
              <a:noFill/>
            </a:ln>
            <a:effectLst/>
          </c:spPr>
          <c:invertIfNegative val="0"/>
          <c:val>
            <c:numRef>
              <c:f>'Results ReCiPe (H) - HHD'!$AC$17:$BA$17</c:f>
              <c:numCache>
                <c:formatCode>0.00E+00</c:formatCode>
                <c:ptCount val="25"/>
                <c:pt idx="0">
                  <c:v>-9.2799999999999994E-2</c:v>
                </c:pt>
                <c:pt idx="1">
                  <c:v>-9.2799999999999994E-2</c:v>
                </c:pt>
                <c:pt idx="2">
                  <c:v>-9.2799999999999994E-2</c:v>
                </c:pt>
                <c:pt idx="3">
                  <c:v>-9.2799999999999994E-2</c:v>
                </c:pt>
                <c:pt idx="4">
                  <c:v>-9.2799999999999994E-2</c:v>
                </c:pt>
                <c:pt idx="5">
                  <c:v>-9.2799999999999994E-2</c:v>
                </c:pt>
                <c:pt idx="6">
                  <c:v>-9.2799999999999994E-2</c:v>
                </c:pt>
                <c:pt idx="7">
                  <c:v>-9.2799999999999994E-2</c:v>
                </c:pt>
                <c:pt idx="8">
                  <c:v>-9.2799999999999994E-2</c:v>
                </c:pt>
                <c:pt idx="9">
                  <c:v>-9.2799999999999994E-2</c:v>
                </c:pt>
                <c:pt idx="10">
                  <c:v>-9.2799999999999994E-2</c:v>
                </c:pt>
                <c:pt idx="11">
                  <c:v>-9.2799999999999994E-2</c:v>
                </c:pt>
                <c:pt idx="12">
                  <c:v>-9.2799999999999994E-2</c:v>
                </c:pt>
                <c:pt idx="13">
                  <c:v>-9.2799999999999994E-2</c:v>
                </c:pt>
                <c:pt idx="14">
                  <c:v>-9.2799999999999994E-2</c:v>
                </c:pt>
                <c:pt idx="15">
                  <c:v>-9.2799999999999994E-2</c:v>
                </c:pt>
                <c:pt idx="16">
                  <c:v>-9.2799999999999994E-2</c:v>
                </c:pt>
                <c:pt idx="17">
                  <c:v>-9.2799999999999994E-2</c:v>
                </c:pt>
                <c:pt idx="18">
                  <c:v>-9.2799999999999994E-2</c:v>
                </c:pt>
                <c:pt idx="19">
                  <c:v>-9.2799999999999994E-2</c:v>
                </c:pt>
                <c:pt idx="20">
                  <c:v>-9.2799999999999994E-2</c:v>
                </c:pt>
                <c:pt idx="21">
                  <c:v>-9.2799999999999994E-2</c:v>
                </c:pt>
                <c:pt idx="22">
                  <c:v>-9.2799999999999994E-2</c:v>
                </c:pt>
                <c:pt idx="23">
                  <c:v>-9.2799999999999994E-2</c:v>
                </c:pt>
                <c:pt idx="24">
                  <c:v>-9.2799999999999994E-2</c:v>
                </c:pt>
              </c:numCache>
            </c:numRef>
          </c:val>
          <c:extLst>
            <c:ext xmlns:c15="http://schemas.microsoft.com/office/drawing/2012/chart" uri="{02D57815-91ED-43cb-92C2-25804820EDAC}">
              <c15:filteredCategoryTitle>
                <c15:cat>
                  <c:numRef>
                    <c:extLst>
                      <c:ext uri="{02D57815-91ED-43cb-92C2-25804820EDAC}">
                        <c15:formulaRef>
                          <c15:sqref>'Results ReCiPe (H) - HHD'!$AC$9:$BA$9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7-3F7D-4882-9F10-D854FD00186D}"/>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HHD'!$AB$18</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val>
            <c:numRef>
              <c:f>'Results ReCiPe (H) - HHD'!$AC$18:$BA$18</c:f>
              <c:numCache>
                <c:formatCode>0.00E+00</c:formatCode>
                <c:ptCount val="25"/>
                <c:pt idx="0">
                  <c:v>0.16440924592689415</c:v>
                </c:pt>
                <c:pt idx="1">
                  <c:v>-1.5291918973133742E-2</c:v>
                </c:pt>
                <c:pt idx="2">
                  <c:v>-1.5516010972735056E-2</c:v>
                </c:pt>
                <c:pt idx="3">
                  <c:v>-1.3454640076089097E-2</c:v>
                </c:pt>
                <c:pt idx="4">
                  <c:v>-1.6026303755128132E-2</c:v>
                </c:pt>
                <c:pt idx="5">
                  <c:v>-1.6260222083372036E-2</c:v>
                </c:pt>
                <c:pt idx="6">
                  <c:v>-8.6887496524469809E-3</c:v>
                </c:pt>
                <c:pt idx="7">
                  <c:v>-5.7948589712980836E-3</c:v>
                </c:pt>
                <c:pt idx="8">
                  <c:v>-6.0536441336526969E-4</c:v>
                </c:pt>
                <c:pt idx="9">
                  <c:v>6.9367054793784688E-3</c:v>
                </c:pt>
                <c:pt idx="10">
                  <c:v>9.7957589476340146E-3</c:v>
                </c:pt>
                <c:pt idx="11">
                  <c:v>1.9827356514202671E-2</c:v>
                </c:pt>
                <c:pt idx="12">
                  <c:v>3.2214413630201638E-2</c:v>
                </c:pt>
                <c:pt idx="13">
                  <c:v>3.9920272235281967E-2</c:v>
                </c:pt>
                <c:pt idx="14">
                  <c:v>4.9986343621753165E-2</c:v>
                </c:pt>
                <c:pt idx="15">
                  <c:v>6.2420680341829876E-2</c:v>
                </c:pt>
                <c:pt idx="16">
                  <c:v>6.0873830665517242E-2</c:v>
                </c:pt>
                <c:pt idx="17">
                  <c:v>6.1676517317788587E-2</c:v>
                </c:pt>
                <c:pt idx="18">
                  <c:v>6.4799938245800465E-2</c:v>
                </c:pt>
                <c:pt idx="19">
                  <c:v>6.3261900664822013E-2</c:v>
                </c:pt>
                <c:pt idx="20">
                  <c:v>6.4049898991413307E-2</c:v>
                </c:pt>
                <c:pt idx="21">
                  <c:v>6.3945971047905115E-2</c:v>
                </c:pt>
                <c:pt idx="22">
                  <c:v>5.7183486421044982E-2</c:v>
                </c:pt>
                <c:pt idx="23">
                  <c:v>5.2730478043460038E-2</c:v>
                </c:pt>
                <c:pt idx="24">
                  <c:v>5.1927439073692266E-2</c:v>
                </c:pt>
              </c:numCache>
            </c:numRef>
          </c:val>
          <c:smooth val="0"/>
          <c:extLst>
            <c:ext xmlns:c15="http://schemas.microsoft.com/office/drawing/2012/chart" uri="{02D57815-91ED-43cb-92C2-25804820EDAC}">
              <c15:filteredCategoryTitle>
                <c15:cat>
                  <c:numRef>
                    <c:extLst>
                      <c:ext uri="{02D57815-91ED-43cb-92C2-25804820EDAC}">
                        <c15:formulaRef>
                          <c15:sqref>'Results ReCiPe (H) - HHD'!$AC$9:$BA$9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8-3F7D-4882-9F10-D854FD00186D}"/>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nl-NL"/>
                  <a:t>years</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NL"/>
            </a:p>
          </c:txPr>
        </c:title>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Human</a:t>
                </a:r>
                <a:r>
                  <a:rPr lang="nl-NL" baseline="0"/>
                  <a:t> health</a:t>
                </a:r>
                <a:r>
                  <a:rPr lang="nl-NL"/>
                  <a:t> damage </a:t>
                </a:r>
                <a:br>
                  <a:rPr lang="nl-NL"/>
                </a:br>
                <a:r>
                  <a:rPr lang="nl-NL"/>
                  <a:t>(DALY/ton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HHD'!$AB$50</c:f>
              <c:strCache>
                <c:ptCount val="1"/>
                <c:pt idx="0">
                  <c:v>Construction - DAC</c:v>
                </c:pt>
              </c:strCache>
            </c:strRef>
          </c:tx>
          <c:spPr>
            <a:solidFill>
              <a:schemeClr val="accent4">
                <a:lumMod val="75000"/>
              </a:schemeClr>
            </a:solidFill>
            <a:ln>
              <a:noFill/>
            </a:ln>
            <a:effectLst/>
          </c:spPr>
          <c:invertIfNegative val="0"/>
          <c:val>
            <c:numRef>
              <c:f>'Results ReCiPe (H) - HHD'!$AC$50:$BA$50</c:f>
              <c:numCache>
                <c:formatCode>0.00E+00</c:formatCode>
                <c:ptCount val="25"/>
                <c:pt idx="0">
                  <c:v>0.16006814629521346</c:v>
                </c:pt>
              </c:numCache>
            </c:numRef>
          </c:val>
          <c:extLst>
            <c:ext xmlns:c15="http://schemas.microsoft.com/office/drawing/2012/chart" uri="{02D57815-91ED-43cb-92C2-25804820EDAC}">
              <c15:filteredCategoryTitle>
                <c15:cat>
                  <c:numRef>
                    <c:extLst>
                      <c:ext uri="{02D57815-91ED-43cb-92C2-25804820EDAC}">
                        <c15:formulaRef>
                          <c15:sqref>'Results ReCiPe (H) - HHD'!$AC$49:$BA$49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0-AB5B-4B1D-8F29-6D3583695647}"/>
            </c:ext>
          </c:extLst>
        </c:ser>
        <c:ser>
          <c:idx val="1"/>
          <c:order val="1"/>
          <c:tx>
            <c:strRef>
              <c:f>'Results ReCiPe (H) - HHD'!$AB$51</c:f>
              <c:strCache>
                <c:ptCount val="1"/>
                <c:pt idx="0">
                  <c:v>Construction - geological storage</c:v>
                </c:pt>
              </c:strCache>
            </c:strRef>
          </c:tx>
          <c:spPr>
            <a:solidFill>
              <a:schemeClr val="accent4">
                <a:lumMod val="60000"/>
                <a:lumOff val="40000"/>
              </a:schemeClr>
            </a:solidFill>
            <a:ln>
              <a:noFill/>
            </a:ln>
            <a:effectLst/>
          </c:spPr>
          <c:invertIfNegative val="0"/>
          <c:val>
            <c:numRef>
              <c:f>'Results ReCiPe (H) - HHD'!$AC$51:$BA$51</c:f>
              <c:numCache>
                <c:formatCode>0.00E+00</c:formatCode>
                <c:ptCount val="25"/>
                <c:pt idx="0">
                  <c:v>9.5063834765982819E-3</c:v>
                </c:pt>
              </c:numCache>
            </c:numRef>
          </c:val>
          <c:extLst>
            <c:ext xmlns:c15="http://schemas.microsoft.com/office/drawing/2012/chart" uri="{02D57815-91ED-43cb-92C2-25804820EDAC}">
              <c15:filteredCategoryTitle>
                <c15:cat>
                  <c:numRef>
                    <c:extLst>
                      <c:ext uri="{02D57815-91ED-43cb-92C2-25804820EDAC}">
                        <c15:formulaRef>
                          <c15:sqref>'Results ReCiPe (H) - HHD'!$AC$49:$BA$49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1-AB5B-4B1D-8F29-6D3583695647}"/>
            </c:ext>
          </c:extLst>
        </c:ser>
        <c:ser>
          <c:idx val="2"/>
          <c:order val="2"/>
          <c:tx>
            <c:strRef>
              <c:f>'Results ReCiPe (H) - HHD'!$AB$52</c:f>
              <c:strCache>
                <c:ptCount val="1"/>
                <c:pt idx="0">
                  <c:v>Deconstruction - DAC</c:v>
                </c:pt>
              </c:strCache>
            </c:strRef>
          </c:tx>
          <c:spPr>
            <a:solidFill>
              <a:schemeClr val="accent2">
                <a:lumMod val="40000"/>
                <a:lumOff val="60000"/>
              </a:schemeClr>
            </a:solidFill>
            <a:ln>
              <a:noFill/>
            </a:ln>
            <a:effectLst/>
          </c:spPr>
          <c:invertIfNegative val="0"/>
          <c:val>
            <c:numRef>
              <c:f>'Results ReCiPe (H) - HHD'!$AC$52:$BA$52</c:f>
              <c:numCache>
                <c:formatCode>0.00E+00</c:formatCode>
                <c:ptCount val="25"/>
                <c:pt idx="24">
                  <c:v>1.2038817746522666E-3</c:v>
                </c:pt>
              </c:numCache>
            </c:numRef>
          </c:val>
          <c:extLst>
            <c:ext xmlns:c15="http://schemas.microsoft.com/office/drawing/2012/chart" uri="{02D57815-91ED-43cb-92C2-25804820EDAC}">
              <c15:filteredCategoryTitle>
                <c15:cat>
                  <c:numRef>
                    <c:extLst>
                      <c:ext uri="{02D57815-91ED-43cb-92C2-25804820EDAC}">
                        <c15:formulaRef>
                          <c15:sqref>'Results ReCiPe (H) - HHD'!$AC$49:$BA$49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2-AB5B-4B1D-8F29-6D3583695647}"/>
            </c:ext>
          </c:extLst>
        </c:ser>
        <c:ser>
          <c:idx val="3"/>
          <c:order val="3"/>
          <c:tx>
            <c:strRef>
              <c:f>'Results ReCiPe (H) - HHD'!$AB$53</c:f>
              <c:strCache>
                <c:ptCount val="1"/>
                <c:pt idx="0">
                  <c:v>Deconstruction - geological storage</c:v>
                </c:pt>
              </c:strCache>
            </c:strRef>
          </c:tx>
          <c:spPr>
            <a:solidFill>
              <a:srgbClr val="FF9900"/>
            </a:solidFill>
            <a:ln>
              <a:noFill/>
            </a:ln>
            <a:effectLst/>
          </c:spPr>
          <c:invertIfNegative val="0"/>
          <c:val>
            <c:numRef>
              <c:f>'Results ReCiPe (H) - HHD'!$AC$53:$BA$53</c:f>
              <c:numCache>
                <c:formatCode>0.00E+00</c:formatCode>
                <c:ptCount val="25"/>
                <c:pt idx="24">
                  <c:v>3.5227143847144076E-5</c:v>
                </c:pt>
              </c:numCache>
            </c:numRef>
          </c:val>
          <c:extLst>
            <c:ext xmlns:c15="http://schemas.microsoft.com/office/drawing/2012/chart" uri="{02D57815-91ED-43cb-92C2-25804820EDAC}">
              <c15:filteredCategoryTitle>
                <c15:cat>
                  <c:numRef>
                    <c:extLst>
                      <c:ext uri="{02D57815-91ED-43cb-92C2-25804820EDAC}">
                        <c15:formulaRef>
                          <c15:sqref>'Results ReCiPe (H) - HHD'!$AC$49:$BA$49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3-AB5B-4B1D-8F29-6D3583695647}"/>
            </c:ext>
          </c:extLst>
        </c:ser>
        <c:ser>
          <c:idx val="4"/>
          <c:order val="4"/>
          <c:tx>
            <c:strRef>
              <c:f>'Results ReCiPe (H) - HHD'!$AB$54</c:f>
              <c:strCache>
                <c:ptCount val="1"/>
                <c:pt idx="0">
                  <c:v>Sorbent material</c:v>
                </c:pt>
              </c:strCache>
            </c:strRef>
          </c:tx>
          <c:spPr>
            <a:solidFill>
              <a:srgbClr val="FF8F8F"/>
            </a:solidFill>
            <a:ln>
              <a:noFill/>
            </a:ln>
            <a:effectLst/>
          </c:spPr>
          <c:invertIfNegative val="0"/>
          <c:val>
            <c:numRef>
              <c:f>'Results ReCiPe (H) - HHD'!$AC$54:$BA$54</c:f>
              <c:numCache>
                <c:formatCode>0.00E+00</c:formatCode>
                <c:ptCount val="25"/>
                <c:pt idx="0">
                  <c:v>2.2868444478900299E-3</c:v>
                </c:pt>
                <c:pt idx="3">
                  <c:v>2.2242630345716192E-3</c:v>
                </c:pt>
                <c:pt idx="6">
                  <c:v>2.1636441841529248E-3</c:v>
                </c:pt>
                <c:pt idx="9">
                  <c:v>2.0913940629818349E-3</c:v>
                </c:pt>
                <c:pt idx="12">
                  <c:v>2.0111593851075741E-3</c:v>
                </c:pt>
                <c:pt idx="15">
                  <c:v>1.925325558619934E-3</c:v>
                </c:pt>
                <c:pt idx="18">
                  <c:v>1.868103373074346E-3</c:v>
                </c:pt>
                <c:pt idx="21">
                  <c:v>1.839484702599319E-3</c:v>
                </c:pt>
                <c:pt idx="24">
                  <c:v>1.8308470230828889E-3</c:v>
                </c:pt>
              </c:numCache>
            </c:numRef>
          </c:val>
          <c:extLst>
            <c:ext xmlns:c15="http://schemas.microsoft.com/office/drawing/2012/chart" uri="{02D57815-91ED-43cb-92C2-25804820EDAC}">
              <c15:filteredCategoryTitle>
                <c15:cat>
                  <c:numRef>
                    <c:extLst>
                      <c:ext uri="{02D57815-91ED-43cb-92C2-25804820EDAC}">
                        <c15:formulaRef>
                          <c15:sqref>'Results ReCiPe (H) - HHD'!$AC$49:$BA$49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4-AB5B-4B1D-8F29-6D3583695647}"/>
            </c:ext>
          </c:extLst>
        </c:ser>
        <c:ser>
          <c:idx val="5"/>
          <c:order val="5"/>
          <c:tx>
            <c:strRef>
              <c:f>'Results ReCiPe (H) - HHD'!$AB$55</c:f>
              <c:strCache>
                <c:ptCount val="1"/>
                <c:pt idx="0">
                  <c:v>Operation - DAC</c:v>
                </c:pt>
              </c:strCache>
            </c:strRef>
          </c:tx>
          <c:spPr>
            <a:solidFill>
              <a:schemeClr val="accent2">
                <a:lumMod val="75000"/>
              </a:schemeClr>
            </a:solidFill>
            <a:ln>
              <a:noFill/>
            </a:ln>
            <a:effectLst/>
          </c:spPr>
          <c:invertIfNegative val="0"/>
          <c:val>
            <c:numRef>
              <c:f>'Results ReCiPe (H) - HHD'!$AC$55:$BA$55</c:f>
              <c:numCache>
                <c:formatCode>0.00E+00</c:formatCode>
                <c:ptCount val="25"/>
                <c:pt idx="0">
                  <c:v>6.0037117955109028E-2</c:v>
                </c:pt>
                <c:pt idx="1">
                  <c:v>5.6191867505510959E-2</c:v>
                </c:pt>
                <c:pt idx="2">
                  <c:v>5.2329272684781568E-2</c:v>
                </c:pt>
                <c:pt idx="3">
                  <c:v>4.841413521773321E-2</c:v>
                </c:pt>
                <c:pt idx="4">
                  <c:v>4.4539809777472107E-2</c:v>
                </c:pt>
                <c:pt idx="5">
                  <c:v>4.0662830543897487E-2</c:v>
                </c:pt>
                <c:pt idx="6">
                  <c:v>3.84101452645636E-2</c:v>
                </c:pt>
                <c:pt idx="7">
                  <c:v>3.616214979454152E-2</c:v>
                </c:pt>
                <c:pt idx="8">
                  <c:v>3.388387353827356E-2</c:v>
                </c:pt>
                <c:pt idx="9">
                  <c:v>3.1636813899357991E-2</c:v>
                </c:pt>
                <c:pt idx="10">
                  <c:v>2.9388776392389161E-2</c:v>
                </c:pt>
                <c:pt idx="11">
                  <c:v>2.7945528803582399E-2</c:v>
                </c:pt>
                <c:pt idx="12">
                  <c:v>2.6495555969194919E-2</c:v>
                </c:pt>
                <c:pt idx="13">
                  <c:v>2.5029611937261359E-2</c:v>
                </c:pt>
                <c:pt idx="14">
                  <c:v>2.3563053513519231E-2</c:v>
                </c:pt>
                <c:pt idx="15">
                  <c:v>2.2089192003759049E-2</c:v>
                </c:pt>
                <c:pt idx="16">
                  <c:v>2.1568773856969221E-2</c:v>
                </c:pt>
                <c:pt idx="17">
                  <c:v>2.1044854656145601E-2</c:v>
                </c:pt>
                <c:pt idx="18">
                  <c:v>2.0511477278365761E-2</c:v>
                </c:pt>
                <c:pt idx="19">
                  <c:v>1.9983955595474681E-2</c:v>
                </c:pt>
                <c:pt idx="20">
                  <c:v>1.9455066361617632E-2</c:v>
                </c:pt>
                <c:pt idx="21">
                  <c:v>1.964140297480697E-2</c:v>
                </c:pt>
                <c:pt idx="22">
                  <c:v>1.9407556618260911E-2</c:v>
                </c:pt>
                <c:pt idx="23">
                  <c:v>1.9173059591223431E-2</c:v>
                </c:pt>
                <c:pt idx="24">
                  <c:v>1.893784819983222E-2</c:v>
                </c:pt>
              </c:numCache>
            </c:numRef>
          </c:val>
          <c:extLst>
            <c:ext xmlns:c15="http://schemas.microsoft.com/office/drawing/2012/chart" uri="{02D57815-91ED-43cb-92C2-25804820EDAC}">
              <c15:filteredCategoryTitle>
                <c15:cat>
                  <c:numRef>
                    <c:extLst>
                      <c:ext uri="{02D57815-91ED-43cb-92C2-25804820EDAC}">
                        <c15:formulaRef>
                          <c15:sqref>'Results ReCiPe (H) - HHD'!$AC$49:$BA$49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5-AB5B-4B1D-8F29-6D3583695647}"/>
            </c:ext>
          </c:extLst>
        </c:ser>
        <c:ser>
          <c:idx val="6"/>
          <c:order val="6"/>
          <c:tx>
            <c:strRef>
              <c:f>'Results ReCiPe (H) - HHD'!$AB$56</c:f>
              <c:strCache>
                <c:ptCount val="1"/>
                <c:pt idx="0">
                  <c:v>Operation - geological storage</c:v>
                </c:pt>
              </c:strCache>
            </c:strRef>
          </c:tx>
          <c:spPr>
            <a:solidFill>
              <a:schemeClr val="accent2">
                <a:lumMod val="50000"/>
              </a:schemeClr>
            </a:solidFill>
            <a:ln>
              <a:noFill/>
            </a:ln>
            <a:effectLst/>
          </c:spPr>
          <c:invertIfNegative val="0"/>
          <c:val>
            <c:numRef>
              <c:f>'Results ReCiPe (H) - HHD'!$AC$56:$BA$56</c:f>
              <c:numCache>
                <c:formatCode>0.00E+00</c:formatCode>
                <c:ptCount val="25"/>
                <c:pt idx="0">
                  <c:v>5.9419755841213177E-3</c:v>
                </c:pt>
                <c:pt idx="1">
                  <c:v>5.6392093242708654E-3</c:v>
                </c:pt>
                <c:pt idx="2">
                  <c:v>5.3364012775946306E-3</c:v>
                </c:pt>
                <c:pt idx="3">
                  <c:v>5.0302367711032329E-3</c:v>
                </c:pt>
                <c:pt idx="4">
                  <c:v>4.7290834870319263E-3</c:v>
                </c:pt>
                <c:pt idx="5">
                  <c:v>4.4290017479485973E-3</c:v>
                </c:pt>
                <c:pt idx="6">
                  <c:v>4.2537680028041161E-3</c:v>
                </c:pt>
                <c:pt idx="7">
                  <c:v>4.0792273730117469E-3</c:v>
                </c:pt>
                <c:pt idx="8">
                  <c:v>3.9023768692301496E-3</c:v>
                </c:pt>
                <c:pt idx="9">
                  <c:v>3.7285535864472604E-3</c:v>
                </c:pt>
                <c:pt idx="10">
                  <c:v>3.5549715926132793E-3</c:v>
                </c:pt>
                <c:pt idx="11">
                  <c:v>3.4425631906990673E-3</c:v>
                </c:pt>
                <c:pt idx="12">
                  <c:v>3.3297140791255257E-3</c:v>
                </c:pt>
                <c:pt idx="13">
                  <c:v>3.2156256377198051E-3</c:v>
                </c:pt>
                <c:pt idx="14">
                  <c:v>3.1016491857213022E-3</c:v>
                </c:pt>
                <c:pt idx="15">
                  <c:v>2.987175355825968E-3</c:v>
                </c:pt>
                <c:pt idx="16">
                  <c:v>2.945325002502398E-3</c:v>
                </c:pt>
                <c:pt idx="17">
                  <c:v>2.9031720155841012E-3</c:v>
                </c:pt>
                <c:pt idx="18">
                  <c:v>2.8601680696643469E-3</c:v>
                </c:pt>
                <c:pt idx="19">
                  <c:v>2.8176519553675507E-3</c:v>
                </c:pt>
                <c:pt idx="20">
                  <c:v>2.7749811319828458E-3</c:v>
                </c:pt>
                <c:pt idx="21">
                  <c:v>2.7974518649709168E-3</c:v>
                </c:pt>
                <c:pt idx="22">
                  <c:v>2.7793616825937738E-3</c:v>
                </c:pt>
                <c:pt idx="23">
                  <c:v>2.7612768881797641E-3</c:v>
                </c:pt>
                <c:pt idx="24">
                  <c:v>2.7431908352950562E-3</c:v>
                </c:pt>
              </c:numCache>
            </c:numRef>
          </c:val>
          <c:extLst>
            <c:ext xmlns:c15="http://schemas.microsoft.com/office/drawing/2012/chart" uri="{02D57815-91ED-43cb-92C2-25804820EDAC}">
              <c15:filteredCategoryTitle>
                <c15:cat>
                  <c:numRef>
                    <c:extLst>
                      <c:ext uri="{02D57815-91ED-43cb-92C2-25804820EDAC}">
                        <c15:formulaRef>
                          <c15:sqref>'Results ReCiPe (H) - HHD'!$AC$49:$BA$49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6-AB5B-4B1D-8F29-6D3583695647}"/>
            </c:ext>
          </c:extLst>
        </c:ser>
        <c:ser>
          <c:idx val="7"/>
          <c:order val="7"/>
          <c:tx>
            <c:strRef>
              <c:f>'Results ReCiPe (H) - HHD'!$AB$57</c:f>
              <c:strCache>
                <c:ptCount val="1"/>
                <c:pt idx="0">
                  <c:v>CO2 captured and stored</c:v>
                </c:pt>
              </c:strCache>
            </c:strRef>
          </c:tx>
          <c:spPr>
            <a:solidFill>
              <a:schemeClr val="tx2">
                <a:lumMod val="20000"/>
                <a:lumOff val="80000"/>
              </a:schemeClr>
            </a:solidFill>
            <a:ln>
              <a:noFill/>
            </a:ln>
            <a:effectLst/>
          </c:spPr>
          <c:invertIfNegative val="0"/>
          <c:val>
            <c:numRef>
              <c:f>'Results ReCiPe (H) - HHD'!$AC$57:$BA$57</c:f>
              <c:numCache>
                <c:formatCode>0.00E+00</c:formatCode>
                <c:ptCount val="25"/>
                <c:pt idx="0">
                  <c:v>-9.2799999999999994E-2</c:v>
                </c:pt>
                <c:pt idx="1">
                  <c:v>-9.2799999999999994E-2</c:v>
                </c:pt>
                <c:pt idx="2">
                  <c:v>-9.2799999999999994E-2</c:v>
                </c:pt>
                <c:pt idx="3">
                  <c:v>-9.2799999999999994E-2</c:v>
                </c:pt>
                <c:pt idx="4">
                  <c:v>-9.2799999999999994E-2</c:v>
                </c:pt>
                <c:pt idx="5">
                  <c:v>-9.2799999999999994E-2</c:v>
                </c:pt>
                <c:pt idx="6">
                  <c:v>-9.2799999999999994E-2</c:v>
                </c:pt>
                <c:pt idx="7">
                  <c:v>-9.2799999999999994E-2</c:v>
                </c:pt>
                <c:pt idx="8">
                  <c:v>-9.2799999999999994E-2</c:v>
                </c:pt>
                <c:pt idx="9">
                  <c:v>-9.2799999999999994E-2</c:v>
                </c:pt>
                <c:pt idx="10">
                  <c:v>-9.2799999999999994E-2</c:v>
                </c:pt>
                <c:pt idx="11">
                  <c:v>-9.2799999999999994E-2</c:v>
                </c:pt>
                <c:pt idx="12">
                  <c:v>-9.2799999999999994E-2</c:v>
                </c:pt>
                <c:pt idx="13">
                  <c:v>-9.2799999999999994E-2</c:v>
                </c:pt>
                <c:pt idx="14">
                  <c:v>-9.2799999999999994E-2</c:v>
                </c:pt>
                <c:pt idx="15">
                  <c:v>-9.2799999999999994E-2</c:v>
                </c:pt>
                <c:pt idx="16">
                  <c:v>-9.2799999999999994E-2</c:v>
                </c:pt>
                <c:pt idx="17">
                  <c:v>-9.2799999999999994E-2</c:v>
                </c:pt>
                <c:pt idx="18">
                  <c:v>-9.2799999999999994E-2</c:v>
                </c:pt>
                <c:pt idx="19">
                  <c:v>-9.2799999999999994E-2</c:v>
                </c:pt>
                <c:pt idx="20">
                  <c:v>-9.2799999999999994E-2</c:v>
                </c:pt>
                <c:pt idx="21">
                  <c:v>-9.2799999999999994E-2</c:v>
                </c:pt>
                <c:pt idx="22">
                  <c:v>-9.2799999999999994E-2</c:v>
                </c:pt>
                <c:pt idx="23">
                  <c:v>-9.2799999999999994E-2</c:v>
                </c:pt>
                <c:pt idx="24">
                  <c:v>-9.2799999999999994E-2</c:v>
                </c:pt>
              </c:numCache>
            </c:numRef>
          </c:val>
          <c:extLst>
            <c:ext xmlns:c15="http://schemas.microsoft.com/office/drawing/2012/chart" uri="{02D57815-91ED-43cb-92C2-25804820EDAC}">
              <c15:filteredCategoryTitle>
                <c15:cat>
                  <c:numRef>
                    <c:extLst>
                      <c:ext uri="{02D57815-91ED-43cb-92C2-25804820EDAC}">
                        <c15:formulaRef>
                          <c15:sqref>'Results ReCiPe (H) - HHD'!$AC$49:$BA$49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7-AB5B-4B1D-8F29-6D3583695647}"/>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HHD'!$AB$58</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val>
            <c:numRef>
              <c:f>'Results ReCiPe (H) - HHD'!$AC$58:$BA$58</c:f>
              <c:numCache>
                <c:formatCode>0.00E+00</c:formatCode>
                <c:ptCount val="25"/>
                <c:pt idx="0">
                  <c:v>0.14504046775893215</c:v>
                </c:pt>
                <c:pt idx="1">
                  <c:v>-3.0968923170218168E-2</c:v>
                </c:pt>
                <c:pt idx="2">
                  <c:v>-3.5134326037623793E-2</c:v>
                </c:pt>
                <c:pt idx="3">
                  <c:v>-3.7131364976591932E-2</c:v>
                </c:pt>
                <c:pt idx="4">
                  <c:v>-4.3531106735495963E-2</c:v>
                </c:pt>
                <c:pt idx="5">
                  <c:v>-4.7708167708153906E-2</c:v>
                </c:pt>
                <c:pt idx="6">
                  <c:v>-4.7972442548479356E-2</c:v>
                </c:pt>
                <c:pt idx="7">
                  <c:v>-5.2558622832446729E-2</c:v>
                </c:pt>
                <c:pt idx="8">
                  <c:v>-5.5013749592496282E-2</c:v>
                </c:pt>
                <c:pt idx="9">
                  <c:v>-5.5343238451212903E-2</c:v>
                </c:pt>
                <c:pt idx="10">
                  <c:v>-5.985625201499755E-2</c:v>
                </c:pt>
                <c:pt idx="11">
                  <c:v>-6.1411908005718524E-2</c:v>
                </c:pt>
                <c:pt idx="12">
                  <c:v>-6.0963570566571978E-2</c:v>
                </c:pt>
                <c:pt idx="13">
                  <c:v>-6.4554762425018827E-2</c:v>
                </c:pt>
                <c:pt idx="14">
                  <c:v>-6.6135297300759455E-2</c:v>
                </c:pt>
                <c:pt idx="15">
                  <c:v>-6.5798307081795043E-2</c:v>
                </c:pt>
                <c:pt idx="16">
                  <c:v>-6.8285901140528377E-2</c:v>
                </c:pt>
                <c:pt idx="17">
                  <c:v>-6.8851973328270283E-2</c:v>
                </c:pt>
                <c:pt idx="18">
                  <c:v>-6.7560251278895533E-2</c:v>
                </c:pt>
                <c:pt idx="19">
                  <c:v>-6.9998392449157759E-2</c:v>
                </c:pt>
                <c:pt idx="20">
                  <c:v>-7.0569952506399525E-2</c:v>
                </c:pt>
                <c:pt idx="21">
                  <c:v>-6.8521660457622785E-2</c:v>
                </c:pt>
                <c:pt idx="22">
                  <c:v>-7.0613081699145305E-2</c:v>
                </c:pt>
                <c:pt idx="23">
                  <c:v>-7.0865663520596797E-2</c:v>
                </c:pt>
                <c:pt idx="24">
                  <c:v>-6.8049005023290421E-2</c:v>
                </c:pt>
              </c:numCache>
            </c:numRef>
          </c:val>
          <c:smooth val="0"/>
          <c:extLst>
            <c:ext xmlns:c15="http://schemas.microsoft.com/office/drawing/2012/chart" uri="{02D57815-91ED-43cb-92C2-25804820EDAC}">
              <c15:filteredCategoryTitle>
                <c15:cat>
                  <c:numRef>
                    <c:extLst>
                      <c:ext uri="{02D57815-91ED-43cb-92C2-25804820EDAC}">
                        <c15:formulaRef>
                          <c15:sqref>'Results ReCiPe (H) - HHD'!$AC$49:$BA$49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8-AB5B-4B1D-8F29-6D3583695647}"/>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nl-NL"/>
                  <a:t>years</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NL"/>
            </a:p>
          </c:txPr>
        </c:title>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Human</a:t>
                </a:r>
                <a:r>
                  <a:rPr lang="nl-NL" baseline="0"/>
                  <a:t> health</a:t>
                </a:r>
                <a:r>
                  <a:rPr lang="nl-NL"/>
                  <a:t> damage </a:t>
                </a:r>
                <a:br>
                  <a:rPr lang="nl-NL"/>
                </a:br>
                <a:r>
                  <a:rPr lang="nl-NL"/>
                  <a:t>(DALY/ton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HHD'!$AB$90</c:f>
              <c:strCache>
                <c:ptCount val="1"/>
                <c:pt idx="0">
                  <c:v>Construction - DAC</c:v>
                </c:pt>
              </c:strCache>
            </c:strRef>
          </c:tx>
          <c:spPr>
            <a:solidFill>
              <a:schemeClr val="accent4">
                <a:lumMod val="75000"/>
              </a:schemeClr>
            </a:solidFill>
            <a:ln>
              <a:noFill/>
            </a:ln>
            <a:effectLst/>
          </c:spPr>
          <c:invertIfNegative val="0"/>
          <c:val>
            <c:numRef>
              <c:f>'Results ReCiPe (H) - HHD'!$AC$90:$BA$90</c:f>
              <c:numCache>
                <c:formatCode>0.00E+00</c:formatCode>
                <c:ptCount val="25"/>
                <c:pt idx="0">
                  <c:v>0.14486428170139623</c:v>
                </c:pt>
              </c:numCache>
            </c:numRef>
          </c:val>
          <c:extLst>
            <c:ext xmlns:c15="http://schemas.microsoft.com/office/drawing/2012/chart" uri="{02D57815-91ED-43cb-92C2-25804820EDAC}">
              <c15:filteredCategoryTitle>
                <c15:cat>
                  <c:numRef>
                    <c:extLst>
                      <c:ext uri="{02D57815-91ED-43cb-92C2-25804820EDAC}">
                        <c15:formulaRef>
                          <c15:sqref>'Results ReCiPe (H) - HHD'!$AC$89:$BA$89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0-A291-45DE-978B-010A895D9D8D}"/>
            </c:ext>
          </c:extLst>
        </c:ser>
        <c:ser>
          <c:idx val="1"/>
          <c:order val="1"/>
          <c:tx>
            <c:strRef>
              <c:f>'Results ReCiPe (H) - HHD'!$AB$91</c:f>
              <c:strCache>
                <c:ptCount val="1"/>
                <c:pt idx="0">
                  <c:v>Construction - geological storage</c:v>
                </c:pt>
              </c:strCache>
            </c:strRef>
          </c:tx>
          <c:spPr>
            <a:solidFill>
              <a:schemeClr val="accent4">
                <a:lumMod val="60000"/>
                <a:lumOff val="40000"/>
              </a:schemeClr>
            </a:solidFill>
            <a:ln>
              <a:noFill/>
            </a:ln>
            <a:effectLst/>
          </c:spPr>
          <c:invertIfNegative val="0"/>
          <c:val>
            <c:numRef>
              <c:f>'Results ReCiPe (H) - HHD'!$AC$91:$BA$91</c:f>
              <c:numCache>
                <c:formatCode>0.00E+00</c:formatCode>
                <c:ptCount val="25"/>
                <c:pt idx="0">
                  <c:v>8.977436741851275E-3</c:v>
                </c:pt>
              </c:numCache>
            </c:numRef>
          </c:val>
          <c:extLst>
            <c:ext xmlns:c15="http://schemas.microsoft.com/office/drawing/2012/chart" uri="{02D57815-91ED-43cb-92C2-25804820EDAC}">
              <c15:filteredCategoryTitle>
                <c15:cat>
                  <c:numRef>
                    <c:extLst>
                      <c:ext uri="{02D57815-91ED-43cb-92C2-25804820EDAC}">
                        <c15:formulaRef>
                          <c15:sqref>'Results ReCiPe (H) - HHD'!$AC$89:$BA$89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1-A291-45DE-978B-010A895D9D8D}"/>
            </c:ext>
          </c:extLst>
        </c:ser>
        <c:ser>
          <c:idx val="2"/>
          <c:order val="2"/>
          <c:tx>
            <c:strRef>
              <c:f>'Results ReCiPe (H) - HHD'!$AB$92</c:f>
              <c:strCache>
                <c:ptCount val="1"/>
                <c:pt idx="0">
                  <c:v>Deconstruction - DAC</c:v>
                </c:pt>
              </c:strCache>
            </c:strRef>
          </c:tx>
          <c:spPr>
            <a:solidFill>
              <a:schemeClr val="accent2">
                <a:lumMod val="40000"/>
                <a:lumOff val="60000"/>
              </a:schemeClr>
            </a:solidFill>
            <a:ln>
              <a:noFill/>
            </a:ln>
            <a:effectLst/>
          </c:spPr>
          <c:invertIfNegative val="0"/>
          <c:val>
            <c:numRef>
              <c:f>'Results ReCiPe (H) - HHD'!$AC$92:$BA$92</c:f>
              <c:numCache>
                <c:formatCode>0.00E+00</c:formatCode>
                <c:ptCount val="25"/>
                <c:pt idx="24">
                  <c:v>1.1364491829356034E-3</c:v>
                </c:pt>
              </c:numCache>
            </c:numRef>
          </c:val>
          <c:extLst>
            <c:ext xmlns:c15="http://schemas.microsoft.com/office/drawing/2012/chart" uri="{02D57815-91ED-43cb-92C2-25804820EDAC}">
              <c15:filteredCategoryTitle>
                <c15:cat>
                  <c:numRef>
                    <c:extLst>
                      <c:ext uri="{02D57815-91ED-43cb-92C2-25804820EDAC}">
                        <c15:formulaRef>
                          <c15:sqref>'Results ReCiPe (H) - HHD'!$AC$89:$BA$89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2-A291-45DE-978B-010A895D9D8D}"/>
            </c:ext>
          </c:extLst>
        </c:ser>
        <c:ser>
          <c:idx val="3"/>
          <c:order val="3"/>
          <c:tx>
            <c:strRef>
              <c:f>'Results ReCiPe (H) - HHD'!$AB$93</c:f>
              <c:strCache>
                <c:ptCount val="1"/>
                <c:pt idx="0">
                  <c:v>Deconstruction - geological storage</c:v>
                </c:pt>
              </c:strCache>
            </c:strRef>
          </c:tx>
          <c:spPr>
            <a:solidFill>
              <a:srgbClr val="FF9900"/>
            </a:solidFill>
            <a:ln>
              <a:noFill/>
            </a:ln>
            <a:effectLst/>
          </c:spPr>
          <c:invertIfNegative val="0"/>
          <c:val>
            <c:numRef>
              <c:f>'Results ReCiPe (H) - HHD'!$AC$93:$BA$93</c:f>
              <c:numCache>
                <c:formatCode>0.00E+00</c:formatCode>
                <c:ptCount val="25"/>
                <c:pt idx="24">
                  <c:v>3.4041847576099076E-5</c:v>
                </c:pt>
              </c:numCache>
            </c:numRef>
          </c:val>
          <c:extLst>
            <c:ext xmlns:c15="http://schemas.microsoft.com/office/drawing/2012/chart" uri="{02D57815-91ED-43cb-92C2-25804820EDAC}">
              <c15:filteredCategoryTitle>
                <c15:cat>
                  <c:numRef>
                    <c:extLst>
                      <c:ext uri="{02D57815-91ED-43cb-92C2-25804820EDAC}">
                        <c15:formulaRef>
                          <c15:sqref>'Results ReCiPe (H) - HHD'!$AC$89:$BA$89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3-A291-45DE-978B-010A895D9D8D}"/>
            </c:ext>
          </c:extLst>
        </c:ser>
        <c:ser>
          <c:idx val="4"/>
          <c:order val="4"/>
          <c:tx>
            <c:strRef>
              <c:f>'Results ReCiPe (H) - HHD'!$AB$94</c:f>
              <c:strCache>
                <c:ptCount val="1"/>
                <c:pt idx="0">
                  <c:v>Sorbent material</c:v>
                </c:pt>
              </c:strCache>
            </c:strRef>
          </c:tx>
          <c:spPr>
            <a:solidFill>
              <a:srgbClr val="FF8F8F"/>
            </a:solidFill>
            <a:ln>
              <a:noFill/>
            </a:ln>
            <a:effectLst/>
          </c:spPr>
          <c:invertIfNegative val="0"/>
          <c:val>
            <c:numRef>
              <c:f>'Results ReCiPe (H) - HHD'!$AC$94:$BA$94</c:f>
              <c:numCache>
                <c:formatCode>0.00E+00</c:formatCode>
                <c:ptCount val="25"/>
                <c:pt idx="0">
                  <c:v>1.9848842622015748E-3</c:v>
                </c:pt>
                <c:pt idx="3">
                  <c:v>1.889975707684352E-3</c:v>
                </c:pt>
                <c:pt idx="6">
                  <c:v>1.8240269819210511E-3</c:v>
                </c:pt>
                <c:pt idx="9">
                  <c:v>1.8069758007361711E-3</c:v>
                </c:pt>
                <c:pt idx="12">
                  <c:v>1.799728004873463E-3</c:v>
                </c:pt>
                <c:pt idx="15">
                  <c:v>1.7946676192961261E-3</c:v>
                </c:pt>
                <c:pt idx="18">
                  <c:v>1.786311731211142E-3</c:v>
                </c:pt>
                <c:pt idx="21">
                  <c:v>1.790817045871237E-3</c:v>
                </c:pt>
                <c:pt idx="24">
                  <c:v>1.786892271072078E-3</c:v>
                </c:pt>
              </c:numCache>
            </c:numRef>
          </c:val>
          <c:extLst>
            <c:ext xmlns:c15="http://schemas.microsoft.com/office/drawing/2012/chart" uri="{02D57815-91ED-43cb-92C2-25804820EDAC}">
              <c15:filteredCategoryTitle>
                <c15:cat>
                  <c:numRef>
                    <c:extLst>
                      <c:ext uri="{02D57815-91ED-43cb-92C2-25804820EDAC}">
                        <c15:formulaRef>
                          <c15:sqref>'Results ReCiPe (H) - HHD'!$AC$89:$BA$89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4-A291-45DE-978B-010A895D9D8D}"/>
            </c:ext>
          </c:extLst>
        </c:ser>
        <c:ser>
          <c:idx val="5"/>
          <c:order val="5"/>
          <c:tx>
            <c:strRef>
              <c:f>'Results ReCiPe (H) - HHD'!$AB$95</c:f>
              <c:strCache>
                <c:ptCount val="1"/>
                <c:pt idx="0">
                  <c:v>Operation - DAC</c:v>
                </c:pt>
              </c:strCache>
            </c:strRef>
          </c:tx>
          <c:spPr>
            <a:solidFill>
              <a:schemeClr val="accent2">
                <a:lumMod val="75000"/>
              </a:schemeClr>
            </a:solidFill>
            <a:ln>
              <a:noFill/>
            </a:ln>
            <a:effectLst/>
          </c:spPr>
          <c:invertIfNegative val="0"/>
          <c:val>
            <c:numRef>
              <c:f>'Results ReCiPe (H) - HHD'!$AC$95:$BA$95</c:f>
              <c:numCache>
                <c:formatCode>0.00E+00</c:formatCode>
                <c:ptCount val="25"/>
                <c:pt idx="0">
                  <c:v>3.1970161471994191E-2</c:v>
                </c:pt>
                <c:pt idx="1">
                  <c:v>2.9109048261782559E-2</c:v>
                </c:pt>
                <c:pt idx="2">
                  <c:v>2.6233085282901681E-2</c:v>
                </c:pt>
                <c:pt idx="3">
                  <c:v>2.3290847167405329E-2</c:v>
                </c:pt>
                <c:pt idx="4">
                  <c:v>2.0383545711031539E-2</c:v>
                </c:pt>
                <c:pt idx="5">
                  <c:v>1.7464351671340882E-2</c:v>
                </c:pt>
                <c:pt idx="6">
                  <c:v>1.7208349479355341E-2</c:v>
                </c:pt>
                <c:pt idx="7">
                  <c:v>1.6946844039901581E-2</c:v>
                </c:pt>
                <c:pt idx="8">
                  <c:v>1.663817542981191E-2</c:v>
                </c:pt>
                <c:pt idx="9">
                  <c:v>1.6363176778820931E-2</c:v>
                </c:pt>
                <c:pt idx="10">
                  <c:v>1.6081871721863549E-2</c:v>
                </c:pt>
                <c:pt idx="11">
                  <c:v>1.5943938721505829E-2</c:v>
                </c:pt>
                <c:pt idx="12">
                  <c:v>1.5808325031177139E-2</c:v>
                </c:pt>
                <c:pt idx="13">
                  <c:v>1.5664326837769409E-2</c:v>
                </c:pt>
                <c:pt idx="14">
                  <c:v>1.552884938795052E-2</c:v>
                </c:pt>
                <c:pt idx="15">
                  <c:v>1.5393763316684361E-2</c:v>
                </c:pt>
                <c:pt idx="16">
                  <c:v>1.4778131044248299E-2</c:v>
                </c:pt>
                <c:pt idx="17">
                  <c:v>1.4165123659348791E-2</c:v>
                </c:pt>
                <c:pt idx="18">
                  <c:v>1.35486801968695E-2</c:v>
                </c:pt>
                <c:pt idx="19">
                  <c:v>1.2944755993524751E-2</c:v>
                </c:pt>
                <c:pt idx="20">
                  <c:v>1.2344699833293079E-2</c:v>
                </c:pt>
                <c:pt idx="21">
                  <c:v>1.238039159625819E-2</c:v>
                </c:pt>
                <c:pt idx="22">
                  <c:v>1.1965932677229729E-2</c:v>
                </c:pt>
                <c:pt idx="23">
                  <c:v>1.1550338322082311E-2</c:v>
                </c:pt>
                <c:pt idx="24">
                  <c:v>1.113355301964785E-2</c:v>
                </c:pt>
              </c:numCache>
            </c:numRef>
          </c:val>
          <c:extLst>
            <c:ext xmlns:c15="http://schemas.microsoft.com/office/drawing/2012/chart" uri="{02D57815-91ED-43cb-92C2-25804820EDAC}">
              <c15:filteredCategoryTitle>
                <c15:cat>
                  <c:numRef>
                    <c:extLst>
                      <c:ext uri="{02D57815-91ED-43cb-92C2-25804820EDAC}">
                        <c15:formulaRef>
                          <c15:sqref>'Results ReCiPe (H) - HHD'!$AC$89:$BA$89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5-A291-45DE-978B-010A895D9D8D}"/>
            </c:ext>
          </c:extLst>
        </c:ser>
        <c:ser>
          <c:idx val="6"/>
          <c:order val="6"/>
          <c:tx>
            <c:strRef>
              <c:f>'Results ReCiPe (H) - HHD'!$AB$96</c:f>
              <c:strCache>
                <c:ptCount val="1"/>
                <c:pt idx="0">
                  <c:v>Operation - geological storage</c:v>
                </c:pt>
              </c:strCache>
            </c:strRef>
          </c:tx>
          <c:spPr>
            <a:solidFill>
              <a:schemeClr val="accent2">
                <a:lumMod val="50000"/>
              </a:schemeClr>
            </a:solidFill>
            <a:ln>
              <a:noFill/>
            </a:ln>
            <a:effectLst/>
          </c:spPr>
          <c:invertIfNegative val="0"/>
          <c:val>
            <c:numRef>
              <c:f>'Results ReCiPe (H) - HHD'!$AC$96:$BA$96</c:f>
              <c:numCache>
                <c:formatCode>0.00E+00</c:formatCode>
                <c:ptCount val="25"/>
                <c:pt idx="0">
                  <c:v>3.7592465014811447E-3</c:v>
                </c:pt>
                <c:pt idx="1">
                  <c:v>3.534874192889682E-3</c:v>
                </c:pt>
                <c:pt idx="2">
                  <c:v>3.3107364795979849E-3</c:v>
                </c:pt>
                <c:pt idx="3">
                  <c:v>3.082325305480168E-3</c:v>
                </c:pt>
                <c:pt idx="4">
                  <c:v>2.8585015990500941E-3</c:v>
                </c:pt>
                <c:pt idx="5">
                  <c:v>2.635104236175806E-3</c:v>
                </c:pt>
                <c:pt idx="6">
                  <c:v>2.6150957875085939E-3</c:v>
                </c:pt>
                <c:pt idx="7">
                  <c:v>2.5947561730891031E-3</c:v>
                </c:pt>
                <c:pt idx="8">
                  <c:v>2.5706665036731129E-3</c:v>
                </c:pt>
                <c:pt idx="9">
                  <c:v>2.5494905097519891E-3</c:v>
                </c:pt>
                <c:pt idx="10">
                  <c:v>2.5279275495489252E-3</c:v>
                </c:pt>
                <c:pt idx="11">
                  <c:v>2.5166466052062081E-3</c:v>
                </c:pt>
                <c:pt idx="12">
                  <c:v>2.5055476753159701E-3</c:v>
                </c:pt>
                <c:pt idx="13">
                  <c:v>2.4937453526695436E-3</c:v>
                </c:pt>
                <c:pt idx="14">
                  <c:v>2.4826723670918491E-3</c:v>
                </c:pt>
                <c:pt idx="15">
                  <c:v>2.4716325391011588E-3</c:v>
                </c:pt>
                <c:pt idx="16">
                  <c:v>2.4232245060826093E-3</c:v>
                </c:pt>
                <c:pt idx="17">
                  <c:v>2.3746259866759497E-3</c:v>
                </c:pt>
                <c:pt idx="18">
                  <c:v>2.3253024364863466E-3</c:v>
                </c:pt>
                <c:pt idx="19">
                  <c:v>2.2766157353047872E-3</c:v>
                </c:pt>
                <c:pt idx="20">
                  <c:v>2.2278362121082159E-3</c:v>
                </c:pt>
                <c:pt idx="21">
                  <c:v>2.2398565002468632E-3</c:v>
                </c:pt>
                <c:pt idx="22">
                  <c:v>2.2090374049832952E-3</c:v>
                </c:pt>
                <c:pt idx="23">
                  <c:v>2.178226238161449E-3</c:v>
                </c:pt>
                <c:pt idx="24">
                  <c:v>2.1474172710699438E-3</c:v>
                </c:pt>
              </c:numCache>
            </c:numRef>
          </c:val>
          <c:extLst>
            <c:ext xmlns:c15="http://schemas.microsoft.com/office/drawing/2012/chart" uri="{02D57815-91ED-43cb-92C2-25804820EDAC}">
              <c15:filteredCategoryTitle>
                <c15:cat>
                  <c:numRef>
                    <c:extLst>
                      <c:ext uri="{02D57815-91ED-43cb-92C2-25804820EDAC}">
                        <c15:formulaRef>
                          <c15:sqref>'Results ReCiPe (H) - HHD'!$AC$89:$BA$89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6-A291-45DE-978B-010A895D9D8D}"/>
            </c:ext>
          </c:extLst>
        </c:ser>
        <c:ser>
          <c:idx val="7"/>
          <c:order val="7"/>
          <c:tx>
            <c:strRef>
              <c:f>'Results ReCiPe (H) - HHD'!$AB$97</c:f>
              <c:strCache>
                <c:ptCount val="1"/>
                <c:pt idx="0">
                  <c:v>CO2 captured and stored</c:v>
                </c:pt>
              </c:strCache>
            </c:strRef>
          </c:tx>
          <c:spPr>
            <a:solidFill>
              <a:schemeClr val="tx2">
                <a:lumMod val="20000"/>
                <a:lumOff val="80000"/>
              </a:schemeClr>
            </a:solidFill>
            <a:ln>
              <a:noFill/>
            </a:ln>
            <a:effectLst/>
          </c:spPr>
          <c:invertIfNegative val="0"/>
          <c:val>
            <c:numRef>
              <c:f>'Results ReCiPe (H) - HHD'!$AC$97:$BA$97</c:f>
              <c:numCache>
                <c:formatCode>0.00E+00</c:formatCode>
                <c:ptCount val="25"/>
                <c:pt idx="0">
                  <c:v>-9.2799999999999994E-2</c:v>
                </c:pt>
                <c:pt idx="1">
                  <c:v>-9.2799999999999994E-2</c:v>
                </c:pt>
                <c:pt idx="2">
                  <c:v>-9.2799999999999994E-2</c:v>
                </c:pt>
                <c:pt idx="3">
                  <c:v>-9.2799999999999994E-2</c:v>
                </c:pt>
                <c:pt idx="4">
                  <c:v>-9.2799999999999994E-2</c:v>
                </c:pt>
                <c:pt idx="5">
                  <c:v>-9.2799999999999994E-2</c:v>
                </c:pt>
                <c:pt idx="6">
                  <c:v>-9.2799999999999994E-2</c:v>
                </c:pt>
                <c:pt idx="7">
                  <c:v>-9.2799999999999994E-2</c:v>
                </c:pt>
                <c:pt idx="8">
                  <c:v>-9.2799999999999994E-2</c:v>
                </c:pt>
                <c:pt idx="9">
                  <c:v>-9.2799999999999994E-2</c:v>
                </c:pt>
                <c:pt idx="10">
                  <c:v>-9.2799999999999994E-2</c:v>
                </c:pt>
                <c:pt idx="11">
                  <c:v>-9.2799999999999994E-2</c:v>
                </c:pt>
                <c:pt idx="12">
                  <c:v>-9.2799999999999994E-2</c:v>
                </c:pt>
                <c:pt idx="13">
                  <c:v>-9.2799999999999994E-2</c:v>
                </c:pt>
                <c:pt idx="14">
                  <c:v>-9.2799999999999994E-2</c:v>
                </c:pt>
                <c:pt idx="15">
                  <c:v>-9.2799999999999994E-2</c:v>
                </c:pt>
                <c:pt idx="16">
                  <c:v>-9.2799999999999994E-2</c:v>
                </c:pt>
                <c:pt idx="17">
                  <c:v>-9.2799999999999994E-2</c:v>
                </c:pt>
                <c:pt idx="18">
                  <c:v>-9.2799999999999994E-2</c:v>
                </c:pt>
                <c:pt idx="19">
                  <c:v>-9.2799999999999994E-2</c:v>
                </c:pt>
                <c:pt idx="20">
                  <c:v>-9.2799999999999994E-2</c:v>
                </c:pt>
                <c:pt idx="21">
                  <c:v>-9.2799999999999994E-2</c:v>
                </c:pt>
                <c:pt idx="22">
                  <c:v>-9.2799999999999994E-2</c:v>
                </c:pt>
                <c:pt idx="23">
                  <c:v>-9.2799999999999994E-2</c:v>
                </c:pt>
                <c:pt idx="24">
                  <c:v>-9.2799999999999994E-2</c:v>
                </c:pt>
              </c:numCache>
            </c:numRef>
          </c:val>
          <c:extLst>
            <c:ext xmlns:c15="http://schemas.microsoft.com/office/drawing/2012/chart" uri="{02D57815-91ED-43cb-92C2-25804820EDAC}">
              <c15:filteredCategoryTitle>
                <c15:cat>
                  <c:numRef>
                    <c:extLst>
                      <c:ext uri="{02D57815-91ED-43cb-92C2-25804820EDAC}">
                        <c15:formulaRef>
                          <c15:sqref>'Results ReCiPe (H) - HHD'!$AC$89:$BA$89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7-A291-45DE-978B-010A895D9D8D}"/>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HHD'!$AB$98</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val>
            <c:numRef>
              <c:f>'Results ReCiPe (H) - HHD'!$AC$98:$BA$98</c:f>
              <c:numCache>
                <c:formatCode>0.00E+00</c:formatCode>
                <c:ptCount val="25"/>
                <c:pt idx="0">
                  <c:v>9.875601067892445E-2</c:v>
                </c:pt>
                <c:pt idx="1">
                  <c:v>-6.015607754532775E-2</c:v>
                </c:pt>
                <c:pt idx="2">
                  <c:v>-6.3256178237500321E-2</c:v>
                </c:pt>
                <c:pt idx="3">
                  <c:v>-6.4536851819430141E-2</c:v>
                </c:pt>
                <c:pt idx="4">
                  <c:v>-6.9557952689918365E-2</c:v>
                </c:pt>
                <c:pt idx="5">
                  <c:v>-7.2700544092483305E-2</c:v>
                </c:pt>
                <c:pt idx="6">
                  <c:v>-7.1152527751215E-2</c:v>
                </c:pt>
                <c:pt idx="7">
                  <c:v>-7.3258399787009307E-2</c:v>
                </c:pt>
                <c:pt idx="8">
                  <c:v>-7.3591158066514978E-2</c:v>
                </c:pt>
                <c:pt idx="9">
                  <c:v>-7.2080356910690896E-2</c:v>
                </c:pt>
                <c:pt idx="10">
                  <c:v>-7.4190200728587521E-2</c:v>
                </c:pt>
                <c:pt idx="11">
                  <c:v>-7.433941467328796E-2</c:v>
                </c:pt>
                <c:pt idx="12">
                  <c:v>-7.2686399288633421E-2</c:v>
                </c:pt>
                <c:pt idx="13">
                  <c:v>-7.464192780956104E-2</c:v>
                </c:pt>
                <c:pt idx="14">
                  <c:v>-7.4788478244957629E-2</c:v>
                </c:pt>
                <c:pt idx="15">
                  <c:v>-7.3139936524918348E-2</c:v>
                </c:pt>
                <c:pt idx="16">
                  <c:v>-7.5598644449669086E-2</c:v>
                </c:pt>
                <c:pt idx="17">
                  <c:v>-7.6260250353975254E-2</c:v>
                </c:pt>
                <c:pt idx="18">
                  <c:v>-7.5139705635433013E-2</c:v>
                </c:pt>
                <c:pt idx="19">
                  <c:v>-7.7578628271170458E-2</c:v>
                </c:pt>
                <c:pt idx="20">
                  <c:v>-7.8227463954598703E-2</c:v>
                </c:pt>
                <c:pt idx="21">
                  <c:v>-7.63889348576237E-2</c:v>
                </c:pt>
                <c:pt idx="22">
                  <c:v>-7.862502991778697E-2</c:v>
                </c:pt>
                <c:pt idx="23">
                  <c:v>-7.9071435439756227E-2</c:v>
                </c:pt>
                <c:pt idx="24">
                  <c:v>-7.6561646407698414E-2</c:v>
                </c:pt>
              </c:numCache>
            </c:numRef>
          </c:val>
          <c:smooth val="0"/>
          <c:extLst>
            <c:ext xmlns:c15="http://schemas.microsoft.com/office/drawing/2012/chart" uri="{02D57815-91ED-43cb-92C2-25804820EDAC}">
              <c15:filteredCategoryTitle>
                <c15:cat>
                  <c:numRef>
                    <c:extLst>
                      <c:ext uri="{02D57815-91ED-43cb-92C2-25804820EDAC}">
                        <c15:formulaRef>
                          <c15:sqref>'Results ReCiPe (H) - HHD'!$AC$89:$BA$89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8-A291-45DE-978B-010A895D9D8D}"/>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nl-NL"/>
                  <a:t>years</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NL"/>
            </a:p>
          </c:txPr>
        </c:title>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Human</a:t>
                </a:r>
                <a:r>
                  <a:rPr lang="nl-NL" baseline="0"/>
                  <a:t> health</a:t>
                </a:r>
                <a:r>
                  <a:rPr lang="nl-NL"/>
                  <a:t> damage </a:t>
                </a:r>
                <a:br>
                  <a:rPr lang="nl-NL"/>
                </a:br>
                <a:r>
                  <a:rPr lang="nl-NL"/>
                  <a:t>(DALY/ton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HHD'!$AB$132</c:f>
              <c:strCache>
                <c:ptCount val="1"/>
                <c:pt idx="0">
                  <c:v>Construction - DAC</c:v>
                </c:pt>
              </c:strCache>
            </c:strRef>
          </c:tx>
          <c:spPr>
            <a:solidFill>
              <a:schemeClr val="accent4">
                <a:lumMod val="75000"/>
              </a:schemeClr>
            </a:solidFill>
            <a:ln>
              <a:noFill/>
            </a:ln>
            <a:effectLst/>
          </c:spPr>
          <c:invertIfNegative val="0"/>
          <c:cat>
            <c:numRef>
              <c:f>'Results ReCiPe (H) - HHD'!$AC$131:$BA$131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HHD'!$AC$132:$BA$132</c:f>
              <c:numCache>
                <c:formatCode>0.00E+00</c:formatCode>
                <c:ptCount val="25"/>
                <c:pt idx="0">
                  <c:v>0.16713320096113157</c:v>
                </c:pt>
              </c:numCache>
            </c:numRef>
          </c:val>
          <c:extLst>
            <c:ext xmlns:c16="http://schemas.microsoft.com/office/drawing/2014/chart" uri="{C3380CC4-5D6E-409C-BE32-E72D297353CC}">
              <c16:uniqueId val="{00000000-D3EB-4AC6-82A6-F5DED64A8950}"/>
            </c:ext>
          </c:extLst>
        </c:ser>
        <c:ser>
          <c:idx val="1"/>
          <c:order val="1"/>
          <c:tx>
            <c:strRef>
              <c:f>'Results ReCiPe (H) - HHD'!$AB$133</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(H) - HHD'!$AC$131:$BA$131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HHD'!$AC$133:$BA$133</c:f>
              <c:numCache>
                <c:formatCode>0.00E+00</c:formatCode>
                <c:ptCount val="25"/>
                <c:pt idx="0">
                  <c:v>1.0010028574258376E-2</c:v>
                </c:pt>
              </c:numCache>
            </c:numRef>
          </c:val>
          <c:extLst>
            <c:ext xmlns:c16="http://schemas.microsoft.com/office/drawing/2014/chart" uri="{C3380CC4-5D6E-409C-BE32-E72D297353CC}">
              <c16:uniqueId val="{00000001-D3EB-4AC6-82A6-F5DED64A8950}"/>
            </c:ext>
          </c:extLst>
        </c:ser>
        <c:ser>
          <c:idx val="2"/>
          <c:order val="2"/>
          <c:tx>
            <c:strRef>
              <c:f>'Results ReCiPe (H) - HHD'!$AB$134</c:f>
              <c:strCache>
                <c:ptCount val="1"/>
                <c:pt idx="0">
                  <c:v>Deconstruction - DAC</c:v>
                </c:pt>
              </c:strCache>
            </c:strRef>
          </c:tx>
          <c:spPr>
            <a:solidFill>
              <a:schemeClr val="accent2">
                <a:lumMod val="40000"/>
                <a:lumOff val="60000"/>
              </a:schemeClr>
            </a:solidFill>
            <a:ln>
              <a:noFill/>
            </a:ln>
            <a:effectLst/>
          </c:spPr>
          <c:invertIfNegative val="0"/>
          <c:cat>
            <c:numRef>
              <c:f>'Results ReCiPe (H) - HHD'!$AC$131:$BA$131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HHD'!$AC$134:$BA$134</c:f>
              <c:numCache>
                <c:formatCode>0.00E+00</c:formatCode>
                <c:ptCount val="25"/>
                <c:pt idx="24">
                  <c:v>1.3460715242108881E-3</c:v>
                </c:pt>
              </c:numCache>
            </c:numRef>
          </c:val>
          <c:extLst>
            <c:ext xmlns:c16="http://schemas.microsoft.com/office/drawing/2014/chart" uri="{C3380CC4-5D6E-409C-BE32-E72D297353CC}">
              <c16:uniqueId val="{00000002-D3EB-4AC6-82A6-F5DED64A8950}"/>
            </c:ext>
          </c:extLst>
        </c:ser>
        <c:ser>
          <c:idx val="3"/>
          <c:order val="3"/>
          <c:tx>
            <c:strRef>
              <c:f>'Results ReCiPe (H) - HHD'!$AB$135</c:f>
              <c:strCache>
                <c:ptCount val="1"/>
                <c:pt idx="0">
                  <c:v>Deconstruction - geological storage</c:v>
                </c:pt>
              </c:strCache>
            </c:strRef>
          </c:tx>
          <c:spPr>
            <a:solidFill>
              <a:srgbClr val="FF9900"/>
            </a:solidFill>
            <a:ln>
              <a:noFill/>
            </a:ln>
            <a:effectLst/>
          </c:spPr>
          <c:invertIfNegative val="0"/>
          <c:cat>
            <c:numRef>
              <c:f>'Results ReCiPe (H) - HHD'!$AC$131:$BA$131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HHD'!$AC$135:$BA$135</c:f>
              <c:numCache>
                <c:formatCode>0.00E+00</c:formatCode>
                <c:ptCount val="25"/>
                <c:pt idx="24">
                  <c:v>3.7268740247547826E-5</c:v>
                </c:pt>
              </c:numCache>
            </c:numRef>
          </c:val>
          <c:extLst>
            <c:ext xmlns:c16="http://schemas.microsoft.com/office/drawing/2014/chart" uri="{C3380CC4-5D6E-409C-BE32-E72D297353CC}">
              <c16:uniqueId val="{00000003-D3EB-4AC6-82A6-F5DED64A8950}"/>
            </c:ext>
          </c:extLst>
        </c:ser>
        <c:ser>
          <c:idx val="4"/>
          <c:order val="4"/>
          <c:tx>
            <c:strRef>
              <c:f>'Results ReCiPe (H) - HHD'!$AB$136</c:f>
              <c:strCache>
                <c:ptCount val="1"/>
                <c:pt idx="0">
                  <c:v>Sorbent material</c:v>
                </c:pt>
              </c:strCache>
            </c:strRef>
          </c:tx>
          <c:spPr>
            <a:solidFill>
              <a:srgbClr val="FF8F8F"/>
            </a:solidFill>
            <a:ln>
              <a:noFill/>
            </a:ln>
            <a:effectLst/>
          </c:spPr>
          <c:invertIfNegative val="0"/>
          <c:cat>
            <c:numRef>
              <c:f>'Results ReCiPe (H) - HHD'!$AC$131:$BA$131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HHD'!$AC$136:$BA$136</c:f>
              <c:numCache>
                <c:formatCode>0.00E+00</c:formatCode>
                <c:ptCount val="25"/>
                <c:pt idx="0">
                  <c:v>2.357201361606037E-3</c:v>
                </c:pt>
                <c:pt idx="3">
                  <c:v>2.338551887019074E-3</c:v>
                </c:pt>
                <c:pt idx="6">
                  <c:v>2.3329664166207272E-3</c:v>
                </c:pt>
                <c:pt idx="9">
                  <c:v>2.334292606370443E-3</c:v>
                </c:pt>
                <c:pt idx="12">
                  <c:v>2.344407424713253E-3</c:v>
                </c:pt>
                <c:pt idx="15">
                  <c:v>2.3564976098142901E-3</c:v>
                </c:pt>
                <c:pt idx="18">
                  <c:v>2.3307713043124539E-3</c:v>
                </c:pt>
                <c:pt idx="21">
                  <c:v>2.3230274489819871E-3</c:v>
                </c:pt>
                <c:pt idx="24">
                  <c:v>2.2803262576522711E-3</c:v>
                </c:pt>
              </c:numCache>
            </c:numRef>
          </c:val>
          <c:extLst>
            <c:ext xmlns:c16="http://schemas.microsoft.com/office/drawing/2014/chart" uri="{C3380CC4-5D6E-409C-BE32-E72D297353CC}">
              <c16:uniqueId val="{00000004-D3EB-4AC6-82A6-F5DED64A8950}"/>
            </c:ext>
          </c:extLst>
        </c:ser>
        <c:ser>
          <c:idx val="5"/>
          <c:order val="5"/>
          <c:tx>
            <c:strRef>
              <c:f>'Results ReCiPe (H) - HHD'!$AB$137</c:f>
              <c:strCache>
                <c:ptCount val="1"/>
                <c:pt idx="0">
                  <c:v>Operation - DAC</c:v>
                </c:pt>
              </c:strCache>
            </c:strRef>
          </c:tx>
          <c:spPr>
            <a:solidFill>
              <a:schemeClr val="accent2">
                <a:lumMod val="75000"/>
              </a:schemeClr>
            </a:solidFill>
            <a:ln>
              <a:noFill/>
            </a:ln>
            <a:effectLst/>
          </c:spPr>
          <c:invertIfNegative val="0"/>
          <c:cat>
            <c:numRef>
              <c:f>'Results ReCiPe (H) - HHD'!$AC$131:$BA$131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HHD'!$AC$137:$BA$137</c:f>
              <c:numCache>
                <c:formatCode>0.00E+00</c:formatCode>
                <c:ptCount val="25"/>
                <c:pt idx="0">
                  <c:v>5.7936669959752392E-2</c:v>
                </c:pt>
                <c:pt idx="1">
                  <c:v>5.7798977536212666E-2</c:v>
                </c:pt>
                <c:pt idx="2">
                  <c:v>5.7644803515677287E-2</c:v>
                </c:pt>
                <c:pt idx="3">
                  <c:v>5.7445538039350992E-2</c:v>
                </c:pt>
                <c:pt idx="4">
                  <c:v>5.7285114550924089E-2</c:v>
                </c:pt>
                <c:pt idx="5">
                  <c:v>5.7124135301795192E-2</c:v>
                </c:pt>
                <c:pt idx="6">
                  <c:v>6.0836013267578565E-2</c:v>
                </c:pt>
                <c:pt idx="7">
                  <c:v>6.4541273697726845E-2</c:v>
                </c:pt>
                <c:pt idx="8">
                  <c:v>6.8217901008272713E-2</c:v>
                </c:pt>
                <c:pt idx="9">
                  <c:v>7.1912644095711659E-2</c:v>
                </c:pt>
                <c:pt idx="10">
                  <c:v>7.5598510248962941E-2</c:v>
                </c:pt>
                <c:pt idx="11">
                  <c:v>8.2719825770981373E-2</c:v>
                </c:pt>
                <c:pt idx="12">
                  <c:v>8.9850755269602303E-2</c:v>
                </c:pt>
                <c:pt idx="13">
                  <c:v>9.6988260701402235E-2</c:v>
                </c:pt>
                <c:pt idx="14">
                  <c:v>0.10413922346205783</c:v>
                </c:pt>
                <c:pt idx="15">
                  <c:v>0.11130032917601163</c:v>
                </c:pt>
                <c:pt idx="16">
                  <c:v>0.11187728399346103</c:v>
                </c:pt>
                <c:pt idx="17">
                  <c:v>0.11244936864424317</c:v>
                </c:pt>
                <c:pt idx="18">
                  <c:v>0.11301361816694319</c:v>
                </c:pt>
                <c:pt idx="19">
                  <c:v>0.11357874206618396</c:v>
                </c:pt>
                <c:pt idx="20">
                  <c:v>0.11414054110586323</c:v>
                </c:pt>
                <c:pt idx="21">
                  <c:v>0.11244027225449538</c:v>
                </c:pt>
                <c:pt idx="22">
                  <c:v>0.10929333969881704</c:v>
                </c:pt>
                <c:pt idx="23">
                  <c:v>0.10613581421870298</c:v>
                </c:pt>
                <c:pt idx="24">
                  <c:v>0.10296758896790391</c:v>
                </c:pt>
              </c:numCache>
            </c:numRef>
          </c:val>
          <c:extLst>
            <c:ext xmlns:c16="http://schemas.microsoft.com/office/drawing/2014/chart" uri="{C3380CC4-5D6E-409C-BE32-E72D297353CC}">
              <c16:uniqueId val="{00000005-D3EB-4AC6-82A6-F5DED64A8950}"/>
            </c:ext>
          </c:extLst>
        </c:ser>
        <c:ser>
          <c:idx val="6"/>
          <c:order val="6"/>
          <c:tx>
            <c:strRef>
              <c:f>'Results ReCiPe (H) - HHD'!$AB$138</c:f>
              <c:strCache>
                <c:ptCount val="1"/>
                <c:pt idx="0">
                  <c:v>Operation - geological storage</c:v>
                </c:pt>
              </c:strCache>
            </c:strRef>
          </c:tx>
          <c:spPr>
            <a:solidFill>
              <a:schemeClr val="accent2">
                <a:lumMod val="50000"/>
              </a:schemeClr>
            </a:solidFill>
            <a:ln>
              <a:noFill/>
            </a:ln>
            <a:effectLst/>
          </c:spPr>
          <c:invertIfNegative val="0"/>
          <c:cat>
            <c:numRef>
              <c:f>'Results ReCiPe (H) - HHD'!$AC$131:$BA$131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HHD'!$AC$138:$BA$138</c:f>
              <c:numCache>
                <c:formatCode>0.00E+00</c:formatCode>
                <c:ptCount val="25"/>
                <c:pt idx="0">
                  <c:v>6.7993677242686621E-3</c:v>
                </c:pt>
                <c:pt idx="1">
                  <c:v>6.7784834500127667E-3</c:v>
                </c:pt>
                <c:pt idx="2">
                  <c:v>6.7559754789491425E-3</c:v>
                </c:pt>
                <c:pt idx="3">
                  <c:v>6.7291424453726958E-3</c:v>
                </c:pt>
                <c:pt idx="4">
                  <c:v>6.7060547545383939E-3</c:v>
                </c:pt>
                <c:pt idx="5">
                  <c:v>6.6829467499308843E-3</c:v>
                </c:pt>
                <c:pt idx="6">
                  <c:v>7.0465754469168874E-3</c:v>
                </c:pt>
                <c:pt idx="7">
                  <c:v>7.4084309608226104E-3</c:v>
                </c:pt>
                <c:pt idx="8">
                  <c:v>7.7663791422163727E-3</c:v>
                </c:pt>
                <c:pt idx="9">
                  <c:v>8.1249911852799631E-3</c:v>
                </c:pt>
                <c:pt idx="10">
                  <c:v>8.4816399863887545E-3</c:v>
                </c:pt>
                <c:pt idx="11">
                  <c:v>9.1774987825782514E-3</c:v>
                </c:pt>
                <c:pt idx="12">
                  <c:v>9.8726611287057835E-3</c:v>
                </c:pt>
                <c:pt idx="13">
                  <c:v>1.056682152452996E-2</c:v>
                </c:pt>
                <c:pt idx="14">
                  <c:v>1.126068742598707E-2</c:v>
                </c:pt>
                <c:pt idx="15">
                  <c:v>1.1953902787517689E-2</c:v>
                </c:pt>
                <c:pt idx="16">
                  <c:v>1.200080665794946E-2</c:v>
                </c:pt>
                <c:pt idx="17">
                  <c:v>1.204711020875549E-2</c:v>
                </c:pt>
                <c:pt idx="18">
                  <c:v>1.209251358753091E-2</c:v>
                </c:pt>
                <c:pt idx="19">
                  <c:v>1.213789354470432E-2</c:v>
                </c:pt>
                <c:pt idx="20">
                  <c:v>1.2182828378940179E-2</c:v>
                </c:pt>
                <c:pt idx="21">
                  <c:v>1.2005710806952799E-2</c:v>
                </c:pt>
                <c:pt idx="22">
                  <c:v>1.168029229103198E-2</c:v>
                </c:pt>
                <c:pt idx="23">
                  <c:v>1.135505831310654E-2</c:v>
                </c:pt>
                <c:pt idx="24">
                  <c:v>1.1030000297077569E-2</c:v>
                </c:pt>
              </c:numCache>
            </c:numRef>
          </c:val>
          <c:extLst>
            <c:ext xmlns:c16="http://schemas.microsoft.com/office/drawing/2014/chart" uri="{C3380CC4-5D6E-409C-BE32-E72D297353CC}">
              <c16:uniqueId val="{00000006-D3EB-4AC6-82A6-F5DED64A8950}"/>
            </c:ext>
          </c:extLst>
        </c:ser>
        <c:ser>
          <c:idx val="7"/>
          <c:order val="7"/>
          <c:tx>
            <c:strRef>
              <c:f>'Results ReCiPe (H) - HHD'!$AB$139</c:f>
              <c:strCache>
                <c:ptCount val="1"/>
                <c:pt idx="0">
                  <c:v>CO2 captured and stored</c:v>
                </c:pt>
              </c:strCache>
            </c:strRef>
          </c:tx>
          <c:spPr>
            <a:solidFill>
              <a:schemeClr val="tx2">
                <a:lumMod val="20000"/>
                <a:lumOff val="80000"/>
              </a:schemeClr>
            </a:solidFill>
            <a:ln>
              <a:noFill/>
            </a:ln>
            <a:effectLst/>
          </c:spPr>
          <c:invertIfNegative val="0"/>
          <c:cat>
            <c:numRef>
              <c:f>'Results ReCiPe (H) - HHD'!$AC$131:$BA$131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HHD'!$AC$139:$BA$139</c:f>
              <c:numCache>
                <c:formatCode>0.00E+00</c:formatCode>
                <c:ptCount val="25"/>
                <c:pt idx="0">
                  <c:v>-9.2799999999999994E-2</c:v>
                </c:pt>
                <c:pt idx="1">
                  <c:v>-9.2799999999999994E-2</c:v>
                </c:pt>
                <c:pt idx="2">
                  <c:v>-9.2799999999999994E-2</c:v>
                </c:pt>
                <c:pt idx="3">
                  <c:v>-9.2799999999999994E-2</c:v>
                </c:pt>
                <c:pt idx="4">
                  <c:v>-9.2799999999999994E-2</c:v>
                </c:pt>
                <c:pt idx="5">
                  <c:v>-9.2799999999999994E-2</c:v>
                </c:pt>
                <c:pt idx="6">
                  <c:v>-9.2799999999999994E-2</c:v>
                </c:pt>
                <c:pt idx="7">
                  <c:v>-9.2799999999999994E-2</c:v>
                </c:pt>
                <c:pt idx="8">
                  <c:v>-9.2799999999999994E-2</c:v>
                </c:pt>
                <c:pt idx="9">
                  <c:v>-9.2799999999999994E-2</c:v>
                </c:pt>
                <c:pt idx="10">
                  <c:v>-9.2799999999999994E-2</c:v>
                </c:pt>
                <c:pt idx="11">
                  <c:v>-9.2799999999999994E-2</c:v>
                </c:pt>
                <c:pt idx="12">
                  <c:v>-9.2799999999999994E-2</c:v>
                </c:pt>
                <c:pt idx="13">
                  <c:v>-9.2799999999999994E-2</c:v>
                </c:pt>
                <c:pt idx="14">
                  <c:v>-9.2799999999999994E-2</c:v>
                </c:pt>
                <c:pt idx="15">
                  <c:v>-9.2799999999999994E-2</c:v>
                </c:pt>
                <c:pt idx="16">
                  <c:v>-9.2799999999999994E-2</c:v>
                </c:pt>
                <c:pt idx="17">
                  <c:v>-9.2799999999999994E-2</c:v>
                </c:pt>
                <c:pt idx="18">
                  <c:v>-9.2799999999999994E-2</c:v>
                </c:pt>
                <c:pt idx="19">
                  <c:v>-9.2799999999999994E-2</c:v>
                </c:pt>
                <c:pt idx="20">
                  <c:v>-9.2799999999999994E-2</c:v>
                </c:pt>
                <c:pt idx="21">
                  <c:v>-9.2799999999999994E-2</c:v>
                </c:pt>
                <c:pt idx="22">
                  <c:v>-9.2799999999999994E-2</c:v>
                </c:pt>
                <c:pt idx="23">
                  <c:v>-9.2799999999999994E-2</c:v>
                </c:pt>
                <c:pt idx="24">
                  <c:v>-9.2799999999999994E-2</c:v>
                </c:pt>
              </c:numCache>
            </c:numRef>
          </c:val>
          <c:extLst>
            <c:ext xmlns:c16="http://schemas.microsoft.com/office/drawing/2014/chart" uri="{C3380CC4-5D6E-409C-BE32-E72D297353CC}">
              <c16:uniqueId val="{00000007-D3EB-4AC6-82A6-F5DED64A8950}"/>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HHD'!$AB$140</c:f>
              <c:strCache>
                <c:ptCount val="1"/>
                <c:pt idx="0">
                  <c:v>TOTAL per year</c:v>
                </c:pt>
              </c:strCache>
            </c:strRef>
          </c:tx>
          <c:spPr>
            <a:ln w="28575" cap="rnd">
              <a:noFill/>
              <a:round/>
            </a:ln>
            <a:effectLst/>
          </c:spPr>
          <c:marker>
            <c:symbol val="circle"/>
            <c:size val="5"/>
            <c:spPr>
              <a:solidFill>
                <a:schemeClr val="tx1"/>
              </a:solidFill>
              <a:ln w="9525">
                <a:solidFill>
                  <a:schemeClr val="accent3">
                    <a:lumMod val="60000"/>
                  </a:schemeClr>
                </a:solidFill>
              </a:ln>
              <a:effectLst/>
            </c:spPr>
          </c:marker>
          <c:cat>
            <c:numRef>
              <c:f>'Results ReCiPe (H) - HHD'!$AC$131:$BA$131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HHD'!$AC$140:$BA$140</c:f>
              <c:numCache>
                <c:formatCode>0.00E+00</c:formatCode>
                <c:ptCount val="25"/>
                <c:pt idx="0">
                  <c:v>0.15143646858101703</c:v>
                </c:pt>
                <c:pt idx="1">
                  <c:v>-2.8222539013774556E-2</c:v>
                </c:pt>
                <c:pt idx="2">
                  <c:v>-2.8399221005373565E-2</c:v>
                </c:pt>
                <c:pt idx="3">
                  <c:v>-2.628676762825724E-2</c:v>
                </c:pt>
                <c:pt idx="4">
                  <c:v>-2.8808830694537504E-2</c:v>
                </c:pt>
                <c:pt idx="5">
                  <c:v>-2.8992917948273911E-2</c:v>
                </c:pt>
                <c:pt idx="6">
                  <c:v>-2.2584444868883807E-2</c:v>
                </c:pt>
                <c:pt idx="7">
                  <c:v>-2.0850295341450539E-2</c:v>
                </c:pt>
                <c:pt idx="8">
                  <c:v>-1.6815719849510913E-2</c:v>
                </c:pt>
                <c:pt idx="9">
                  <c:v>-1.0428072112637937E-2</c:v>
                </c:pt>
                <c:pt idx="10">
                  <c:v>-8.7198497646482909E-3</c:v>
                </c:pt>
                <c:pt idx="11">
                  <c:v>-9.0267544644037634E-4</c:v>
                </c:pt>
                <c:pt idx="12">
                  <c:v>9.2678238230213539E-3</c:v>
                </c:pt>
                <c:pt idx="13">
                  <c:v>1.4755082225932206E-2</c:v>
                </c:pt>
                <c:pt idx="14">
                  <c:v>2.2599910888044902E-2</c:v>
                </c:pt>
                <c:pt idx="15">
                  <c:v>3.2810729573343606E-2</c:v>
                </c:pt>
                <c:pt idx="16">
                  <c:v>3.1078090651410498E-2</c:v>
                </c:pt>
                <c:pt idx="17">
                  <c:v>3.1696478852998658E-2</c:v>
                </c:pt>
                <c:pt idx="18">
                  <c:v>3.4636903058786556E-2</c:v>
                </c:pt>
                <c:pt idx="19">
                  <c:v>3.2916635610888284E-2</c:v>
                </c:pt>
                <c:pt idx="20">
                  <c:v>3.3523369484803417E-2</c:v>
                </c:pt>
                <c:pt idx="21">
                  <c:v>3.3969010510430164E-2</c:v>
                </c:pt>
                <c:pt idx="22">
                  <c:v>2.8173631989849027E-2</c:v>
                </c:pt>
                <c:pt idx="23">
                  <c:v>2.469087253180953E-2</c:v>
                </c:pt>
                <c:pt idx="24">
                  <c:v>2.4861255787092196E-2</c:v>
                </c:pt>
              </c:numCache>
            </c:numRef>
          </c:val>
          <c:smooth val="0"/>
          <c:extLst>
            <c:ext xmlns:c16="http://schemas.microsoft.com/office/drawing/2014/chart" uri="{C3380CC4-5D6E-409C-BE32-E72D297353CC}">
              <c16:uniqueId val="{00000008-D3EB-4AC6-82A6-F5DED64A8950}"/>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Human</a:t>
                </a:r>
                <a:r>
                  <a:rPr lang="nl-NL" baseline="0"/>
                  <a:t> health</a:t>
                </a:r>
                <a:r>
                  <a:rPr lang="nl-NL"/>
                  <a:t> damage </a:t>
                </a:r>
                <a:br>
                  <a:rPr lang="nl-NL"/>
                </a:br>
                <a:r>
                  <a:rPr lang="nl-NL"/>
                  <a:t>(DALY/ton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HHD'!$AB$173</c:f>
              <c:strCache>
                <c:ptCount val="1"/>
                <c:pt idx="0">
                  <c:v>Construction - DAC</c:v>
                </c:pt>
              </c:strCache>
            </c:strRef>
          </c:tx>
          <c:spPr>
            <a:solidFill>
              <a:schemeClr val="accent4">
                <a:lumMod val="75000"/>
              </a:schemeClr>
            </a:solidFill>
            <a:ln>
              <a:noFill/>
            </a:ln>
            <a:effectLst/>
          </c:spPr>
          <c:invertIfNegative val="0"/>
          <c:val>
            <c:numRef>
              <c:f>'Results ReCiPe (H) - HHD'!$AC$173:$BA$173</c:f>
              <c:numCache>
                <c:formatCode>0.00E+00</c:formatCode>
                <c:ptCount val="25"/>
                <c:pt idx="0">
                  <c:v>0.16006814629521346</c:v>
                </c:pt>
              </c:numCache>
            </c:numRef>
          </c:val>
          <c:extLst>
            <c:ext xmlns:c15="http://schemas.microsoft.com/office/drawing/2012/chart" uri="{02D57815-91ED-43cb-92C2-25804820EDAC}">
              <c15:filteredCategoryTitle>
                <c15:cat>
                  <c:numRef>
                    <c:extLst>
                      <c:ext uri="{02D57815-91ED-43cb-92C2-25804820EDAC}">
                        <c15:formulaRef>
                          <c15:sqref>'Results ReCiPe (H) - HHD'!$AC$172:$BA$172</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0-D4C3-4C8F-B68C-3BD312E4DF9F}"/>
            </c:ext>
          </c:extLst>
        </c:ser>
        <c:ser>
          <c:idx val="1"/>
          <c:order val="1"/>
          <c:tx>
            <c:strRef>
              <c:f>'Results ReCiPe (H) - HHD'!$AB$174</c:f>
              <c:strCache>
                <c:ptCount val="1"/>
                <c:pt idx="0">
                  <c:v>Construction - geological storage</c:v>
                </c:pt>
              </c:strCache>
            </c:strRef>
          </c:tx>
          <c:spPr>
            <a:solidFill>
              <a:schemeClr val="accent4">
                <a:lumMod val="60000"/>
                <a:lumOff val="40000"/>
              </a:schemeClr>
            </a:solidFill>
            <a:ln>
              <a:noFill/>
            </a:ln>
            <a:effectLst/>
          </c:spPr>
          <c:invertIfNegative val="0"/>
          <c:val>
            <c:numRef>
              <c:f>'Results ReCiPe (H) - HHD'!$AC$174:$BA$174</c:f>
              <c:numCache>
                <c:formatCode>0.00E+00</c:formatCode>
                <c:ptCount val="25"/>
                <c:pt idx="0">
                  <c:v>9.5063834765982819E-3</c:v>
                </c:pt>
              </c:numCache>
            </c:numRef>
          </c:val>
          <c:extLst>
            <c:ext xmlns:c15="http://schemas.microsoft.com/office/drawing/2012/chart" uri="{02D57815-91ED-43cb-92C2-25804820EDAC}">
              <c15:filteredCategoryTitle>
                <c15:cat>
                  <c:numRef>
                    <c:extLst>
                      <c:ext uri="{02D57815-91ED-43cb-92C2-25804820EDAC}">
                        <c15:formulaRef>
                          <c15:sqref>'Results ReCiPe (H) - HHD'!$AC$172:$BA$172</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1-D4C3-4C8F-B68C-3BD312E4DF9F}"/>
            </c:ext>
          </c:extLst>
        </c:ser>
        <c:ser>
          <c:idx val="2"/>
          <c:order val="2"/>
          <c:tx>
            <c:strRef>
              <c:f>'Results ReCiPe (H) - HHD'!$AB$175</c:f>
              <c:strCache>
                <c:ptCount val="1"/>
                <c:pt idx="0">
                  <c:v>Deconstruction - DAC</c:v>
                </c:pt>
              </c:strCache>
            </c:strRef>
          </c:tx>
          <c:spPr>
            <a:solidFill>
              <a:schemeClr val="accent2">
                <a:lumMod val="40000"/>
                <a:lumOff val="60000"/>
              </a:schemeClr>
            </a:solidFill>
            <a:ln>
              <a:noFill/>
            </a:ln>
            <a:effectLst/>
          </c:spPr>
          <c:invertIfNegative val="0"/>
          <c:val>
            <c:numRef>
              <c:f>'Results ReCiPe (H) - HHD'!$AC$175:$BA$175</c:f>
              <c:numCache>
                <c:formatCode>0.00E+00</c:formatCode>
                <c:ptCount val="25"/>
                <c:pt idx="24">
                  <c:v>1.2038817746522666E-3</c:v>
                </c:pt>
              </c:numCache>
            </c:numRef>
          </c:val>
          <c:extLst>
            <c:ext xmlns:c15="http://schemas.microsoft.com/office/drawing/2012/chart" uri="{02D57815-91ED-43cb-92C2-25804820EDAC}">
              <c15:filteredCategoryTitle>
                <c15:cat>
                  <c:numRef>
                    <c:extLst>
                      <c:ext uri="{02D57815-91ED-43cb-92C2-25804820EDAC}">
                        <c15:formulaRef>
                          <c15:sqref>'Results ReCiPe (H) - HHD'!$AC$172:$BA$172</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2-D4C3-4C8F-B68C-3BD312E4DF9F}"/>
            </c:ext>
          </c:extLst>
        </c:ser>
        <c:ser>
          <c:idx val="3"/>
          <c:order val="3"/>
          <c:tx>
            <c:strRef>
              <c:f>'Results ReCiPe (H) - HHD'!$AB$176</c:f>
              <c:strCache>
                <c:ptCount val="1"/>
                <c:pt idx="0">
                  <c:v>Deconstruction - geological storage</c:v>
                </c:pt>
              </c:strCache>
            </c:strRef>
          </c:tx>
          <c:spPr>
            <a:solidFill>
              <a:srgbClr val="FF9900"/>
            </a:solidFill>
            <a:ln>
              <a:noFill/>
            </a:ln>
            <a:effectLst/>
          </c:spPr>
          <c:invertIfNegative val="0"/>
          <c:val>
            <c:numRef>
              <c:f>'Results ReCiPe (H) - HHD'!$AC$176:$BA$176</c:f>
              <c:numCache>
                <c:formatCode>0.00E+00</c:formatCode>
                <c:ptCount val="25"/>
                <c:pt idx="24">
                  <c:v>3.5227143847144076E-5</c:v>
                </c:pt>
              </c:numCache>
            </c:numRef>
          </c:val>
          <c:extLst>
            <c:ext xmlns:c15="http://schemas.microsoft.com/office/drawing/2012/chart" uri="{02D57815-91ED-43cb-92C2-25804820EDAC}">
              <c15:filteredCategoryTitle>
                <c15:cat>
                  <c:numRef>
                    <c:extLst>
                      <c:ext uri="{02D57815-91ED-43cb-92C2-25804820EDAC}">
                        <c15:formulaRef>
                          <c15:sqref>'Results ReCiPe (H) - HHD'!$AC$172:$BA$172</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3-D4C3-4C8F-B68C-3BD312E4DF9F}"/>
            </c:ext>
          </c:extLst>
        </c:ser>
        <c:ser>
          <c:idx val="4"/>
          <c:order val="4"/>
          <c:tx>
            <c:strRef>
              <c:f>'Results ReCiPe (H) - HHD'!$AB$177</c:f>
              <c:strCache>
                <c:ptCount val="1"/>
                <c:pt idx="0">
                  <c:v>Sorbent material</c:v>
                </c:pt>
              </c:strCache>
            </c:strRef>
          </c:tx>
          <c:spPr>
            <a:solidFill>
              <a:srgbClr val="FF8F8F"/>
            </a:solidFill>
            <a:ln>
              <a:noFill/>
            </a:ln>
            <a:effectLst/>
          </c:spPr>
          <c:invertIfNegative val="0"/>
          <c:val>
            <c:numRef>
              <c:f>'Results ReCiPe (H) - HHD'!$AC$177:$BA$177</c:f>
              <c:numCache>
                <c:formatCode>0.00E+00</c:formatCode>
                <c:ptCount val="25"/>
                <c:pt idx="0">
                  <c:v>2.2868444478900299E-3</c:v>
                </c:pt>
                <c:pt idx="3">
                  <c:v>2.2242630345716192E-3</c:v>
                </c:pt>
                <c:pt idx="6">
                  <c:v>2.1636441841529248E-3</c:v>
                </c:pt>
                <c:pt idx="9">
                  <c:v>2.0913940629818349E-3</c:v>
                </c:pt>
                <c:pt idx="12">
                  <c:v>2.0111593851075741E-3</c:v>
                </c:pt>
                <c:pt idx="15">
                  <c:v>1.925325558619934E-3</c:v>
                </c:pt>
                <c:pt idx="18">
                  <c:v>1.868103373074346E-3</c:v>
                </c:pt>
                <c:pt idx="21">
                  <c:v>1.839484702599319E-3</c:v>
                </c:pt>
                <c:pt idx="24">
                  <c:v>1.8308470230828889E-3</c:v>
                </c:pt>
              </c:numCache>
            </c:numRef>
          </c:val>
          <c:extLst>
            <c:ext xmlns:c15="http://schemas.microsoft.com/office/drawing/2012/chart" uri="{02D57815-91ED-43cb-92C2-25804820EDAC}">
              <c15:filteredCategoryTitle>
                <c15:cat>
                  <c:numRef>
                    <c:extLst>
                      <c:ext uri="{02D57815-91ED-43cb-92C2-25804820EDAC}">
                        <c15:formulaRef>
                          <c15:sqref>'Results ReCiPe (H) - HHD'!$AC$172:$BA$172</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4-D4C3-4C8F-B68C-3BD312E4DF9F}"/>
            </c:ext>
          </c:extLst>
        </c:ser>
        <c:ser>
          <c:idx val="5"/>
          <c:order val="5"/>
          <c:tx>
            <c:strRef>
              <c:f>'Results ReCiPe (H) - HHD'!$AB$178</c:f>
              <c:strCache>
                <c:ptCount val="1"/>
                <c:pt idx="0">
                  <c:v>Operation - DAC</c:v>
                </c:pt>
              </c:strCache>
            </c:strRef>
          </c:tx>
          <c:spPr>
            <a:solidFill>
              <a:schemeClr val="accent2">
                <a:lumMod val="75000"/>
              </a:schemeClr>
            </a:solidFill>
            <a:ln>
              <a:noFill/>
            </a:ln>
            <a:effectLst/>
          </c:spPr>
          <c:invertIfNegative val="0"/>
          <c:val>
            <c:numRef>
              <c:f>'Results ReCiPe (H) - HHD'!$AC$178:$BA$178</c:f>
              <c:numCache>
                <c:formatCode>0.00E+00</c:formatCode>
                <c:ptCount val="25"/>
                <c:pt idx="0">
                  <c:v>4.9474976847897568E-2</c:v>
                </c:pt>
                <c:pt idx="1">
                  <c:v>4.6522550306297726E-2</c:v>
                </c:pt>
                <c:pt idx="2">
                  <c:v>4.355624793890709E-2</c:v>
                </c:pt>
                <c:pt idx="3">
                  <c:v>4.0541541366208723E-2</c:v>
                </c:pt>
                <c:pt idx="4">
                  <c:v>3.7565066504135186E-2</c:v>
                </c:pt>
                <c:pt idx="5">
                  <c:v>3.4585867561235863E-2</c:v>
                </c:pt>
                <c:pt idx="6">
                  <c:v>3.2838818395999891E-2</c:v>
                </c:pt>
                <c:pt idx="7">
                  <c:v>3.1098187750874622E-2</c:v>
                </c:pt>
                <c:pt idx="8">
                  <c:v>2.933208111837475E-2</c:v>
                </c:pt>
                <c:pt idx="9">
                  <c:v>2.7594024536413905E-2</c:v>
                </c:pt>
                <c:pt idx="10">
                  <c:v>2.5855349323427739E-2</c:v>
                </c:pt>
                <c:pt idx="11">
                  <c:v>2.4734990290458083E-2</c:v>
                </c:pt>
                <c:pt idx="12">
                  <c:v>2.3610300650731924E-2</c:v>
                </c:pt>
                <c:pt idx="13">
                  <c:v>2.2473061940846511E-2</c:v>
                </c:pt>
                <c:pt idx="14">
                  <c:v>2.1336924852192057E-2</c:v>
                </c:pt>
                <c:pt idx="15">
                  <c:v>2.0195671173589842E-2</c:v>
                </c:pt>
                <c:pt idx="16">
                  <c:v>1.9789530140639756E-2</c:v>
                </c:pt>
                <c:pt idx="17">
                  <c:v>1.9381026348446195E-2</c:v>
                </c:pt>
                <c:pt idx="18">
                  <c:v>1.8964561507911409E-2</c:v>
                </c:pt>
                <c:pt idx="19">
                  <c:v>1.8553924321067339E-2</c:v>
                </c:pt>
                <c:pt idx="20">
                  <c:v>1.8142723046211284E-2</c:v>
                </c:pt>
                <c:pt idx="21">
                  <c:v>1.8301014964826487E-2</c:v>
                </c:pt>
                <c:pt idx="22">
                  <c:v>1.8122457232622846E-2</c:v>
                </c:pt>
                <c:pt idx="23">
                  <c:v>1.7943406836689314E-2</c:v>
                </c:pt>
                <c:pt idx="24">
                  <c:v>1.7763818435932222E-2</c:v>
                </c:pt>
              </c:numCache>
            </c:numRef>
          </c:val>
          <c:extLst>
            <c:ext xmlns:c15="http://schemas.microsoft.com/office/drawing/2012/chart" uri="{02D57815-91ED-43cb-92C2-25804820EDAC}">
              <c15:filteredCategoryTitle>
                <c15:cat>
                  <c:numRef>
                    <c:extLst>
                      <c:ext uri="{02D57815-91ED-43cb-92C2-25804820EDAC}">
                        <c15:formulaRef>
                          <c15:sqref>'Results ReCiPe (H) - HHD'!$AC$172:$BA$172</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5-D4C3-4C8F-B68C-3BD312E4DF9F}"/>
            </c:ext>
          </c:extLst>
        </c:ser>
        <c:ser>
          <c:idx val="6"/>
          <c:order val="6"/>
          <c:tx>
            <c:strRef>
              <c:f>'Results ReCiPe (H) - HHD'!$AB$179</c:f>
              <c:strCache>
                <c:ptCount val="1"/>
                <c:pt idx="0">
                  <c:v>Operation - geological storage</c:v>
                </c:pt>
              </c:strCache>
            </c:strRef>
          </c:tx>
          <c:spPr>
            <a:solidFill>
              <a:schemeClr val="accent2">
                <a:lumMod val="50000"/>
              </a:schemeClr>
            </a:solidFill>
            <a:ln>
              <a:noFill/>
            </a:ln>
            <a:effectLst/>
          </c:spPr>
          <c:invertIfNegative val="0"/>
          <c:val>
            <c:numRef>
              <c:f>'Results ReCiPe (H) - HHD'!$AC$179:$BA$179</c:f>
              <c:numCache>
                <c:formatCode>0.00E+00</c:formatCode>
                <c:ptCount val="25"/>
                <c:pt idx="0">
                  <c:v>5.9419755841213177E-3</c:v>
                </c:pt>
                <c:pt idx="1">
                  <c:v>5.6392093242708654E-3</c:v>
                </c:pt>
                <c:pt idx="2">
                  <c:v>5.3364012775946306E-3</c:v>
                </c:pt>
                <c:pt idx="3">
                  <c:v>5.0302367711032329E-3</c:v>
                </c:pt>
                <c:pt idx="4">
                  <c:v>4.7290834870319263E-3</c:v>
                </c:pt>
                <c:pt idx="5">
                  <c:v>4.4290017479485973E-3</c:v>
                </c:pt>
                <c:pt idx="6">
                  <c:v>4.2537680028041161E-3</c:v>
                </c:pt>
                <c:pt idx="7">
                  <c:v>4.0792273730117469E-3</c:v>
                </c:pt>
                <c:pt idx="8">
                  <c:v>3.9023768692301496E-3</c:v>
                </c:pt>
                <c:pt idx="9">
                  <c:v>3.7285535864472604E-3</c:v>
                </c:pt>
                <c:pt idx="10">
                  <c:v>3.5549715926132793E-3</c:v>
                </c:pt>
                <c:pt idx="11">
                  <c:v>3.4425631906990673E-3</c:v>
                </c:pt>
                <c:pt idx="12">
                  <c:v>3.3297140791255257E-3</c:v>
                </c:pt>
                <c:pt idx="13">
                  <c:v>3.2156256377198051E-3</c:v>
                </c:pt>
                <c:pt idx="14">
                  <c:v>3.1016491857213022E-3</c:v>
                </c:pt>
                <c:pt idx="15">
                  <c:v>2.987175355825968E-3</c:v>
                </c:pt>
                <c:pt idx="16">
                  <c:v>2.945325002502398E-3</c:v>
                </c:pt>
                <c:pt idx="17">
                  <c:v>2.9031720155841012E-3</c:v>
                </c:pt>
                <c:pt idx="18">
                  <c:v>2.8601680696643469E-3</c:v>
                </c:pt>
                <c:pt idx="19">
                  <c:v>2.8176519553675507E-3</c:v>
                </c:pt>
                <c:pt idx="20">
                  <c:v>2.7749811319828458E-3</c:v>
                </c:pt>
                <c:pt idx="21">
                  <c:v>2.7974518649709168E-3</c:v>
                </c:pt>
                <c:pt idx="22">
                  <c:v>2.7793616825937738E-3</c:v>
                </c:pt>
                <c:pt idx="23">
                  <c:v>2.7612768881797641E-3</c:v>
                </c:pt>
                <c:pt idx="24">
                  <c:v>2.7431908352950562E-3</c:v>
                </c:pt>
              </c:numCache>
            </c:numRef>
          </c:val>
          <c:extLst>
            <c:ext xmlns:c15="http://schemas.microsoft.com/office/drawing/2012/chart" uri="{02D57815-91ED-43cb-92C2-25804820EDAC}">
              <c15:filteredCategoryTitle>
                <c15:cat>
                  <c:numRef>
                    <c:extLst>
                      <c:ext uri="{02D57815-91ED-43cb-92C2-25804820EDAC}">
                        <c15:formulaRef>
                          <c15:sqref>'Results ReCiPe (H) - HHD'!$AC$172:$BA$172</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6-D4C3-4C8F-B68C-3BD312E4DF9F}"/>
            </c:ext>
          </c:extLst>
        </c:ser>
        <c:ser>
          <c:idx val="7"/>
          <c:order val="7"/>
          <c:tx>
            <c:strRef>
              <c:f>'Results ReCiPe (H) - HHD'!$AB$180</c:f>
              <c:strCache>
                <c:ptCount val="1"/>
                <c:pt idx="0">
                  <c:v>CO2 captured and stored</c:v>
                </c:pt>
              </c:strCache>
            </c:strRef>
          </c:tx>
          <c:spPr>
            <a:solidFill>
              <a:schemeClr val="tx2">
                <a:lumMod val="20000"/>
                <a:lumOff val="80000"/>
              </a:schemeClr>
            </a:solidFill>
            <a:ln>
              <a:noFill/>
            </a:ln>
            <a:effectLst/>
          </c:spPr>
          <c:invertIfNegative val="0"/>
          <c:val>
            <c:numRef>
              <c:f>'Results ReCiPe (H) - HHD'!$AC$180:$BA$180</c:f>
              <c:numCache>
                <c:formatCode>0.00E+00</c:formatCode>
                <c:ptCount val="25"/>
                <c:pt idx="0">
                  <c:v>-9.2799999999999994E-2</c:v>
                </c:pt>
                <c:pt idx="1">
                  <c:v>-9.2799999999999994E-2</c:v>
                </c:pt>
                <c:pt idx="2">
                  <c:v>-9.2799999999999994E-2</c:v>
                </c:pt>
                <c:pt idx="3">
                  <c:v>-9.2799999999999994E-2</c:v>
                </c:pt>
                <c:pt idx="4">
                  <c:v>-9.2799999999999994E-2</c:v>
                </c:pt>
                <c:pt idx="5">
                  <c:v>-9.2799999999999994E-2</c:v>
                </c:pt>
                <c:pt idx="6">
                  <c:v>-9.2799999999999994E-2</c:v>
                </c:pt>
                <c:pt idx="7">
                  <c:v>-9.2799999999999994E-2</c:v>
                </c:pt>
                <c:pt idx="8">
                  <c:v>-9.2799999999999994E-2</c:v>
                </c:pt>
                <c:pt idx="9">
                  <c:v>-9.2799999999999994E-2</c:v>
                </c:pt>
                <c:pt idx="10">
                  <c:v>-9.2799999999999994E-2</c:v>
                </c:pt>
                <c:pt idx="11">
                  <c:v>-9.2799999999999994E-2</c:v>
                </c:pt>
                <c:pt idx="12">
                  <c:v>-9.2799999999999994E-2</c:v>
                </c:pt>
                <c:pt idx="13">
                  <c:v>-9.2799999999999994E-2</c:v>
                </c:pt>
                <c:pt idx="14">
                  <c:v>-9.2799999999999994E-2</c:v>
                </c:pt>
                <c:pt idx="15">
                  <c:v>-9.2799999999999994E-2</c:v>
                </c:pt>
                <c:pt idx="16">
                  <c:v>-9.2799999999999994E-2</c:v>
                </c:pt>
                <c:pt idx="17">
                  <c:v>-9.2799999999999994E-2</c:v>
                </c:pt>
                <c:pt idx="18">
                  <c:v>-9.2799999999999994E-2</c:v>
                </c:pt>
                <c:pt idx="19">
                  <c:v>-9.2799999999999994E-2</c:v>
                </c:pt>
                <c:pt idx="20">
                  <c:v>-9.2799999999999994E-2</c:v>
                </c:pt>
                <c:pt idx="21">
                  <c:v>-9.2799999999999994E-2</c:v>
                </c:pt>
                <c:pt idx="22">
                  <c:v>-9.2799999999999994E-2</c:v>
                </c:pt>
                <c:pt idx="23">
                  <c:v>-9.2799999999999994E-2</c:v>
                </c:pt>
                <c:pt idx="24">
                  <c:v>-9.2799999999999994E-2</c:v>
                </c:pt>
              </c:numCache>
            </c:numRef>
          </c:val>
          <c:extLst>
            <c:ext xmlns:c15="http://schemas.microsoft.com/office/drawing/2012/chart" uri="{02D57815-91ED-43cb-92C2-25804820EDAC}">
              <c15:filteredCategoryTitle>
                <c15:cat>
                  <c:numRef>
                    <c:extLst>
                      <c:ext uri="{02D57815-91ED-43cb-92C2-25804820EDAC}">
                        <c15:formulaRef>
                          <c15:sqref>'Results ReCiPe (H) - HHD'!$AC$172:$BA$172</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7-D4C3-4C8F-B68C-3BD312E4DF9F}"/>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HHD'!$AB$181</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val>
            <c:numRef>
              <c:f>'Results ReCiPe (H) - HHD'!$AC$181:$BA$181</c:f>
              <c:numCache>
                <c:formatCode>0.00E+00</c:formatCode>
                <c:ptCount val="25"/>
                <c:pt idx="0">
                  <c:v>0.13447832665172069</c:v>
                </c:pt>
                <c:pt idx="1">
                  <c:v>-4.0638240369431401E-2</c:v>
                </c:pt>
                <c:pt idx="2">
                  <c:v>-4.3907350783498271E-2</c:v>
                </c:pt>
                <c:pt idx="3">
                  <c:v>-4.5003958828116419E-2</c:v>
                </c:pt>
                <c:pt idx="4">
                  <c:v>-5.0505850008832884E-2</c:v>
                </c:pt>
                <c:pt idx="5">
                  <c:v>-5.378513069081553E-2</c:v>
                </c:pt>
                <c:pt idx="6">
                  <c:v>-5.3543769417043065E-2</c:v>
                </c:pt>
                <c:pt idx="7">
                  <c:v>-5.7622584876113624E-2</c:v>
                </c:pt>
                <c:pt idx="8">
                  <c:v>-5.9565542012395091E-2</c:v>
                </c:pt>
                <c:pt idx="9">
                  <c:v>-5.9386027814156993E-2</c:v>
                </c:pt>
                <c:pt idx="10">
                  <c:v>-6.3389679083958983E-2</c:v>
                </c:pt>
                <c:pt idx="11">
                  <c:v>-6.4622446518842844E-2</c:v>
                </c:pt>
                <c:pt idx="12">
                  <c:v>-6.3848825885034974E-2</c:v>
                </c:pt>
                <c:pt idx="13">
                  <c:v>-6.7111312421433672E-2</c:v>
                </c:pt>
                <c:pt idx="14">
                  <c:v>-6.8361425962086636E-2</c:v>
                </c:pt>
                <c:pt idx="15">
                  <c:v>-6.769182791196425E-2</c:v>
                </c:pt>
                <c:pt idx="16">
                  <c:v>-7.0065144856857831E-2</c:v>
                </c:pt>
                <c:pt idx="17">
                  <c:v>-7.0515801635969697E-2</c:v>
                </c:pt>
                <c:pt idx="18">
                  <c:v>-6.9107167049349896E-2</c:v>
                </c:pt>
                <c:pt idx="19">
                  <c:v>-7.1428423723565101E-2</c:v>
                </c:pt>
                <c:pt idx="20">
                  <c:v>-7.1882295821805858E-2</c:v>
                </c:pt>
                <c:pt idx="21">
                  <c:v>-6.9862048467603272E-2</c:v>
                </c:pt>
                <c:pt idx="22">
                  <c:v>-7.189818108478338E-2</c:v>
                </c:pt>
                <c:pt idx="23">
                  <c:v>-7.2095316275130911E-2</c:v>
                </c:pt>
                <c:pt idx="24">
                  <c:v>-6.9223034787190413E-2</c:v>
                </c:pt>
              </c:numCache>
            </c:numRef>
          </c:val>
          <c:smooth val="0"/>
          <c:extLst>
            <c:ext xmlns:c15="http://schemas.microsoft.com/office/drawing/2012/chart" uri="{02D57815-91ED-43cb-92C2-25804820EDAC}">
              <c15:filteredCategoryTitle>
                <c15:cat>
                  <c:numRef>
                    <c:extLst>
                      <c:ext uri="{02D57815-91ED-43cb-92C2-25804820EDAC}">
                        <c15:formulaRef>
                          <c15:sqref>'Results ReCiPe (H) - HHD'!$AC$172:$BA$172</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8-D4C3-4C8F-B68C-3BD312E4DF9F}"/>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nl-NL"/>
                  <a:t>years</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NL"/>
            </a:p>
          </c:txPr>
        </c:title>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Human</a:t>
                </a:r>
                <a:r>
                  <a:rPr lang="nl-NL" baseline="0"/>
                  <a:t> health</a:t>
                </a:r>
                <a:r>
                  <a:rPr lang="nl-NL"/>
                  <a:t> damage </a:t>
                </a:r>
                <a:br>
                  <a:rPr lang="nl-NL"/>
                </a:br>
                <a:r>
                  <a:rPr lang="nl-NL"/>
                  <a:t>(DALY/ton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HHD'!$AB$214</c:f>
              <c:strCache>
                <c:ptCount val="1"/>
                <c:pt idx="0">
                  <c:v>Construction - DAC</c:v>
                </c:pt>
              </c:strCache>
            </c:strRef>
          </c:tx>
          <c:spPr>
            <a:solidFill>
              <a:schemeClr val="accent4">
                <a:lumMod val="75000"/>
              </a:schemeClr>
            </a:solidFill>
            <a:ln>
              <a:noFill/>
            </a:ln>
            <a:effectLst/>
          </c:spPr>
          <c:invertIfNegative val="0"/>
          <c:val>
            <c:numRef>
              <c:f>'Results ReCiPe (H) - HHD'!$AC$214:$BA$214</c:f>
              <c:numCache>
                <c:formatCode>0.00E+00</c:formatCode>
                <c:ptCount val="25"/>
                <c:pt idx="0">
                  <c:v>0.14486428170139623</c:v>
                </c:pt>
              </c:numCache>
            </c:numRef>
          </c:val>
          <c:extLst>
            <c:ext xmlns:c15="http://schemas.microsoft.com/office/drawing/2012/chart" uri="{02D57815-91ED-43cb-92C2-25804820EDAC}">
              <c15:filteredCategoryTitle>
                <c15:cat>
                  <c:numRef>
                    <c:extLst>
                      <c:ext uri="{02D57815-91ED-43cb-92C2-25804820EDAC}">
                        <c15:formulaRef>
                          <c15:sqref>'Results ReCiPe (H) - HHD'!$AC$213:$BA$213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0-A011-42DF-862D-85B176E3B53F}"/>
            </c:ext>
          </c:extLst>
        </c:ser>
        <c:ser>
          <c:idx val="1"/>
          <c:order val="1"/>
          <c:tx>
            <c:strRef>
              <c:f>'Results ReCiPe (H) - HHD'!$AB$215</c:f>
              <c:strCache>
                <c:ptCount val="1"/>
                <c:pt idx="0">
                  <c:v>Construction - geological storage</c:v>
                </c:pt>
              </c:strCache>
            </c:strRef>
          </c:tx>
          <c:spPr>
            <a:solidFill>
              <a:schemeClr val="accent4">
                <a:lumMod val="60000"/>
                <a:lumOff val="40000"/>
              </a:schemeClr>
            </a:solidFill>
            <a:ln>
              <a:noFill/>
            </a:ln>
            <a:effectLst/>
          </c:spPr>
          <c:invertIfNegative val="0"/>
          <c:val>
            <c:numRef>
              <c:f>'Results ReCiPe (H) - HHD'!$AC$215:$BA$215</c:f>
              <c:numCache>
                <c:formatCode>0.00E+00</c:formatCode>
                <c:ptCount val="25"/>
                <c:pt idx="0">
                  <c:v>8.977436741851275E-3</c:v>
                </c:pt>
              </c:numCache>
            </c:numRef>
          </c:val>
          <c:extLst>
            <c:ext xmlns:c15="http://schemas.microsoft.com/office/drawing/2012/chart" uri="{02D57815-91ED-43cb-92C2-25804820EDAC}">
              <c15:filteredCategoryTitle>
                <c15:cat>
                  <c:numRef>
                    <c:extLst>
                      <c:ext uri="{02D57815-91ED-43cb-92C2-25804820EDAC}">
                        <c15:formulaRef>
                          <c15:sqref>'Results ReCiPe (H) - HHD'!$AC$213:$BA$213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1-A011-42DF-862D-85B176E3B53F}"/>
            </c:ext>
          </c:extLst>
        </c:ser>
        <c:ser>
          <c:idx val="2"/>
          <c:order val="2"/>
          <c:tx>
            <c:strRef>
              <c:f>'Results ReCiPe (H) - HHD'!$AB$216</c:f>
              <c:strCache>
                <c:ptCount val="1"/>
                <c:pt idx="0">
                  <c:v>Deconstruction - DAC</c:v>
                </c:pt>
              </c:strCache>
            </c:strRef>
          </c:tx>
          <c:spPr>
            <a:solidFill>
              <a:schemeClr val="accent2">
                <a:lumMod val="40000"/>
                <a:lumOff val="60000"/>
              </a:schemeClr>
            </a:solidFill>
            <a:ln>
              <a:noFill/>
            </a:ln>
            <a:effectLst/>
          </c:spPr>
          <c:invertIfNegative val="0"/>
          <c:val>
            <c:numRef>
              <c:f>'Results ReCiPe (H) - HHD'!$AC$216:$BA$216</c:f>
              <c:numCache>
                <c:formatCode>0.00E+00</c:formatCode>
                <c:ptCount val="25"/>
                <c:pt idx="24">
                  <c:v>1.1364491829356034E-3</c:v>
                </c:pt>
              </c:numCache>
            </c:numRef>
          </c:val>
          <c:extLst>
            <c:ext xmlns:c15="http://schemas.microsoft.com/office/drawing/2012/chart" uri="{02D57815-91ED-43cb-92C2-25804820EDAC}">
              <c15:filteredCategoryTitle>
                <c15:cat>
                  <c:numRef>
                    <c:extLst>
                      <c:ext uri="{02D57815-91ED-43cb-92C2-25804820EDAC}">
                        <c15:formulaRef>
                          <c15:sqref>'Results ReCiPe (H) - HHD'!$AC$213:$BA$213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2-A011-42DF-862D-85B176E3B53F}"/>
            </c:ext>
          </c:extLst>
        </c:ser>
        <c:ser>
          <c:idx val="3"/>
          <c:order val="3"/>
          <c:tx>
            <c:strRef>
              <c:f>'Results ReCiPe (H) - HHD'!$AB$217</c:f>
              <c:strCache>
                <c:ptCount val="1"/>
                <c:pt idx="0">
                  <c:v>Deconstruction - geological storage</c:v>
                </c:pt>
              </c:strCache>
            </c:strRef>
          </c:tx>
          <c:spPr>
            <a:solidFill>
              <a:srgbClr val="FF9900"/>
            </a:solidFill>
            <a:ln>
              <a:noFill/>
            </a:ln>
            <a:effectLst/>
          </c:spPr>
          <c:invertIfNegative val="0"/>
          <c:val>
            <c:numRef>
              <c:f>'Results ReCiPe (H) - HHD'!$AC$217:$BA$217</c:f>
              <c:numCache>
                <c:formatCode>0.00E+00</c:formatCode>
                <c:ptCount val="25"/>
                <c:pt idx="24">
                  <c:v>3.4041847576099076E-5</c:v>
                </c:pt>
              </c:numCache>
            </c:numRef>
          </c:val>
          <c:extLst>
            <c:ext xmlns:c15="http://schemas.microsoft.com/office/drawing/2012/chart" uri="{02D57815-91ED-43cb-92C2-25804820EDAC}">
              <c15:filteredCategoryTitle>
                <c15:cat>
                  <c:numRef>
                    <c:extLst>
                      <c:ext uri="{02D57815-91ED-43cb-92C2-25804820EDAC}">
                        <c15:formulaRef>
                          <c15:sqref>'Results ReCiPe (H) - HHD'!$AC$213:$BA$213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3-A011-42DF-862D-85B176E3B53F}"/>
            </c:ext>
          </c:extLst>
        </c:ser>
        <c:ser>
          <c:idx val="4"/>
          <c:order val="4"/>
          <c:tx>
            <c:strRef>
              <c:f>'Results ReCiPe (H) - HHD'!$AB$218</c:f>
              <c:strCache>
                <c:ptCount val="1"/>
                <c:pt idx="0">
                  <c:v>Sorbent material</c:v>
                </c:pt>
              </c:strCache>
            </c:strRef>
          </c:tx>
          <c:spPr>
            <a:solidFill>
              <a:srgbClr val="FF8F8F"/>
            </a:solidFill>
            <a:ln>
              <a:noFill/>
            </a:ln>
            <a:effectLst/>
          </c:spPr>
          <c:invertIfNegative val="0"/>
          <c:val>
            <c:numRef>
              <c:f>'Results ReCiPe (H) - HHD'!$AC$218:$BA$218</c:f>
              <c:numCache>
                <c:formatCode>0.00E+00</c:formatCode>
                <c:ptCount val="25"/>
                <c:pt idx="0">
                  <c:v>1.9848842622015748E-3</c:v>
                </c:pt>
                <c:pt idx="3">
                  <c:v>1.889975707684352E-3</c:v>
                </c:pt>
                <c:pt idx="6">
                  <c:v>1.8240269819210511E-3</c:v>
                </c:pt>
                <c:pt idx="9">
                  <c:v>1.8069758007361711E-3</c:v>
                </c:pt>
                <c:pt idx="12">
                  <c:v>1.799728004873463E-3</c:v>
                </c:pt>
                <c:pt idx="15">
                  <c:v>1.7946676192961261E-3</c:v>
                </c:pt>
                <c:pt idx="18">
                  <c:v>1.786311731211142E-3</c:v>
                </c:pt>
                <c:pt idx="21">
                  <c:v>1.790817045871237E-3</c:v>
                </c:pt>
                <c:pt idx="24">
                  <c:v>1.786892271072078E-3</c:v>
                </c:pt>
              </c:numCache>
            </c:numRef>
          </c:val>
          <c:extLst>
            <c:ext xmlns:c15="http://schemas.microsoft.com/office/drawing/2012/chart" uri="{02D57815-91ED-43cb-92C2-25804820EDAC}">
              <c15:filteredCategoryTitle>
                <c15:cat>
                  <c:numRef>
                    <c:extLst>
                      <c:ext uri="{02D57815-91ED-43cb-92C2-25804820EDAC}">
                        <c15:formulaRef>
                          <c15:sqref>'Results ReCiPe (H) - HHD'!$AC$213:$BA$213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4-A011-42DF-862D-85B176E3B53F}"/>
            </c:ext>
          </c:extLst>
        </c:ser>
        <c:ser>
          <c:idx val="5"/>
          <c:order val="5"/>
          <c:tx>
            <c:strRef>
              <c:f>'Results ReCiPe (H) - HHD'!$AB$219</c:f>
              <c:strCache>
                <c:ptCount val="1"/>
                <c:pt idx="0">
                  <c:v>Operation - DAC</c:v>
                </c:pt>
              </c:strCache>
            </c:strRef>
          </c:tx>
          <c:spPr>
            <a:solidFill>
              <a:schemeClr val="accent2">
                <a:lumMod val="75000"/>
              </a:schemeClr>
            </a:solidFill>
            <a:ln>
              <a:noFill/>
            </a:ln>
            <a:effectLst/>
          </c:spPr>
          <c:invertIfNegative val="0"/>
          <c:val>
            <c:numRef>
              <c:f>'Results ReCiPe (H) - HHD'!$AC$219:$BA$219</c:f>
              <c:numCache>
                <c:formatCode>0.00E+00</c:formatCode>
                <c:ptCount val="25"/>
                <c:pt idx="0">
                  <c:v>2.7805402985483764E-2</c:v>
                </c:pt>
                <c:pt idx="1">
                  <c:v>2.5597110478286972E-2</c:v>
                </c:pt>
                <c:pt idx="2">
                  <c:v>2.3377369172353744E-2</c:v>
                </c:pt>
                <c:pt idx="3">
                  <c:v>2.1099058813075746E-2</c:v>
                </c:pt>
                <c:pt idx="4">
                  <c:v>1.8854118847398099E-2</c:v>
                </c:pt>
                <c:pt idx="5">
                  <c:v>1.6599751467149353E-2</c:v>
                </c:pt>
                <c:pt idx="6">
                  <c:v>1.6392459890207992E-2</c:v>
                </c:pt>
                <c:pt idx="7">
                  <c:v>1.6182024304463936E-2</c:v>
                </c:pt>
                <c:pt idx="8">
                  <c:v>1.5932960360475808E-2</c:v>
                </c:pt>
                <c:pt idx="9">
                  <c:v>1.5713786827570561E-2</c:v>
                </c:pt>
                <c:pt idx="10">
                  <c:v>1.5490469227403323E-2</c:v>
                </c:pt>
                <c:pt idx="11">
                  <c:v>1.5379799322573877E-2</c:v>
                </c:pt>
                <c:pt idx="12">
                  <c:v>1.5271678877963896E-2</c:v>
                </c:pt>
                <c:pt idx="13">
                  <c:v>1.515681577052932E-2</c:v>
                </c:pt>
                <c:pt idx="14">
                  <c:v>1.5049750474562492E-2</c:v>
                </c:pt>
                <c:pt idx="15">
                  <c:v>1.4943265329522629E-2</c:v>
                </c:pt>
                <c:pt idx="16">
                  <c:v>1.4472306796371601E-2</c:v>
                </c:pt>
                <c:pt idx="17">
                  <c:v>1.4003396450145969E-2</c:v>
                </c:pt>
                <c:pt idx="18">
                  <c:v>1.3531045803837721E-2</c:v>
                </c:pt>
                <c:pt idx="19">
                  <c:v>1.3069084532262144E-2</c:v>
                </c:pt>
                <c:pt idx="20">
                  <c:v>1.2609663012792977E-2</c:v>
                </c:pt>
                <c:pt idx="21">
                  <c:v>1.2655241851171941E-2</c:v>
                </c:pt>
                <c:pt idx="22">
                  <c:v>1.2340041193375966E-2</c:v>
                </c:pt>
                <c:pt idx="23">
                  <c:v>1.2023972033871863E-2</c:v>
                </c:pt>
                <c:pt idx="24">
                  <c:v>1.1706992340619025E-2</c:v>
                </c:pt>
              </c:numCache>
            </c:numRef>
          </c:val>
          <c:extLst>
            <c:ext xmlns:c15="http://schemas.microsoft.com/office/drawing/2012/chart" uri="{02D57815-91ED-43cb-92C2-25804820EDAC}">
              <c15:filteredCategoryTitle>
                <c15:cat>
                  <c:numRef>
                    <c:extLst>
                      <c:ext uri="{02D57815-91ED-43cb-92C2-25804820EDAC}">
                        <c15:formulaRef>
                          <c15:sqref>'Results ReCiPe (H) - HHD'!$AC$213:$BA$213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5-A011-42DF-862D-85B176E3B53F}"/>
            </c:ext>
          </c:extLst>
        </c:ser>
        <c:ser>
          <c:idx val="6"/>
          <c:order val="6"/>
          <c:tx>
            <c:strRef>
              <c:f>'Results ReCiPe (H) - HHD'!$AB$220</c:f>
              <c:strCache>
                <c:ptCount val="1"/>
                <c:pt idx="0">
                  <c:v>Operation - geological storage</c:v>
                </c:pt>
              </c:strCache>
            </c:strRef>
          </c:tx>
          <c:spPr>
            <a:solidFill>
              <a:schemeClr val="accent2">
                <a:lumMod val="50000"/>
              </a:schemeClr>
            </a:solidFill>
            <a:ln>
              <a:noFill/>
            </a:ln>
            <a:effectLst/>
          </c:spPr>
          <c:invertIfNegative val="0"/>
          <c:val>
            <c:numRef>
              <c:f>'Results ReCiPe (H) - HHD'!$AC$220:$BA$220</c:f>
              <c:numCache>
                <c:formatCode>0.00E+00</c:formatCode>
                <c:ptCount val="25"/>
                <c:pt idx="0">
                  <c:v>3.7592465014811447E-3</c:v>
                </c:pt>
                <c:pt idx="1">
                  <c:v>3.534874192889682E-3</c:v>
                </c:pt>
                <c:pt idx="2">
                  <c:v>3.3107364795979849E-3</c:v>
                </c:pt>
                <c:pt idx="3">
                  <c:v>3.082325305480168E-3</c:v>
                </c:pt>
                <c:pt idx="4">
                  <c:v>2.8585015990500941E-3</c:v>
                </c:pt>
                <c:pt idx="5">
                  <c:v>2.635104236175806E-3</c:v>
                </c:pt>
                <c:pt idx="6">
                  <c:v>2.6150957875085939E-3</c:v>
                </c:pt>
                <c:pt idx="7">
                  <c:v>2.5947561730891031E-3</c:v>
                </c:pt>
                <c:pt idx="8">
                  <c:v>2.5706665036731129E-3</c:v>
                </c:pt>
                <c:pt idx="9">
                  <c:v>2.5494905097519891E-3</c:v>
                </c:pt>
                <c:pt idx="10">
                  <c:v>2.5279275495489252E-3</c:v>
                </c:pt>
                <c:pt idx="11">
                  <c:v>2.5166466052062081E-3</c:v>
                </c:pt>
                <c:pt idx="12">
                  <c:v>2.5055476753159701E-3</c:v>
                </c:pt>
                <c:pt idx="13">
                  <c:v>2.4937453526695436E-3</c:v>
                </c:pt>
                <c:pt idx="14">
                  <c:v>2.4826723670918491E-3</c:v>
                </c:pt>
                <c:pt idx="15">
                  <c:v>2.4716325391011588E-3</c:v>
                </c:pt>
                <c:pt idx="16">
                  <c:v>2.4232245060826093E-3</c:v>
                </c:pt>
                <c:pt idx="17">
                  <c:v>2.3746259866759497E-3</c:v>
                </c:pt>
                <c:pt idx="18">
                  <c:v>2.3253024364863466E-3</c:v>
                </c:pt>
                <c:pt idx="19">
                  <c:v>2.2766157353047872E-3</c:v>
                </c:pt>
                <c:pt idx="20">
                  <c:v>2.2278362121082159E-3</c:v>
                </c:pt>
                <c:pt idx="21">
                  <c:v>2.2398565002468632E-3</c:v>
                </c:pt>
                <c:pt idx="22">
                  <c:v>2.2090374049832952E-3</c:v>
                </c:pt>
                <c:pt idx="23">
                  <c:v>2.178226238161449E-3</c:v>
                </c:pt>
                <c:pt idx="24">
                  <c:v>2.1474172710699438E-3</c:v>
                </c:pt>
              </c:numCache>
            </c:numRef>
          </c:val>
          <c:extLst>
            <c:ext xmlns:c15="http://schemas.microsoft.com/office/drawing/2012/chart" uri="{02D57815-91ED-43cb-92C2-25804820EDAC}">
              <c15:filteredCategoryTitle>
                <c15:cat>
                  <c:numRef>
                    <c:extLst>
                      <c:ext uri="{02D57815-91ED-43cb-92C2-25804820EDAC}">
                        <c15:formulaRef>
                          <c15:sqref>'Results ReCiPe (H) - HHD'!$AC$213:$BA$213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6-A011-42DF-862D-85B176E3B53F}"/>
            </c:ext>
          </c:extLst>
        </c:ser>
        <c:ser>
          <c:idx val="7"/>
          <c:order val="7"/>
          <c:tx>
            <c:strRef>
              <c:f>'Results ReCiPe (H) - HHD'!$AB$221</c:f>
              <c:strCache>
                <c:ptCount val="1"/>
                <c:pt idx="0">
                  <c:v>CO2 captured and stored</c:v>
                </c:pt>
              </c:strCache>
            </c:strRef>
          </c:tx>
          <c:spPr>
            <a:solidFill>
              <a:schemeClr val="tx2">
                <a:lumMod val="20000"/>
                <a:lumOff val="80000"/>
              </a:schemeClr>
            </a:solidFill>
            <a:ln>
              <a:noFill/>
            </a:ln>
            <a:effectLst/>
          </c:spPr>
          <c:invertIfNegative val="0"/>
          <c:val>
            <c:numRef>
              <c:f>'Results ReCiPe (H) - HHD'!$AC$221:$BA$221</c:f>
              <c:numCache>
                <c:formatCode>0.00E+00</c:formatCode>
                <c:ptCount val="25"/>
                <c:pt idx="0">
                  <c:v>-9.2799999999999994E-2</c:v>
                </c:pt>
                <c:pt idx="1">
                  <c:v>-9.2799999999999994E-2</c:v>
                </c:pt>
                <c:pt idx="2">
                  <c:v>-9.2799999999999994E-2</c:v>
                </c:pt>
                <c:pt idx="3">
                  <c:v>-9.2799999999999994E-2</c:v>
                </c:pt>
                <c:pt idx="4">
                  <c:v>-9.2799999999999994E-2</c:v>
                </c:pt>
                <c:pt idx="5">
                  <c:v>-9.2799999999999994E-2</c:v>
                </c:pt>
                <c:pt idx="6">
                  <c:v>-9.2799999999999994E-2</c:v>
                </c:pt>
                <c:pt idx="7">
                  <c:v>-9.2799999999999994E-2</c:v>
                </c:pt>
                <c:pt idx="8">
                  <c:v>-9.2799999999999994E-2</c:v>
                </c:pt>
                <c:pt idx="9">
                  <c:v>-9.2799999999999994E-2</c:v>
                </c:pt>
                <c:pt idx="10">
                  <c:v>-9.2799999999999994E-2</c:v>
                </c:pt>
                <c:pt idx="11">
                  <c:v>-9.2799999999999994E-2</c:v>
                </c:pt>
                <c:pt idx="12">
                  <c:v>-9.2799999999999994E-2</c:v>
                </c:pt>
                <c:pt idx="13">
                  <c:v>-9.2799999999999994E-2</c:v>
                </c:pt>
                <c:pt idx="14">
                  <c:v>-9.2799999999999994E-2</c:v>
                </c:pt>
                <c:pt idx="15">
                  <c:v>-9.2799999999999994E-2</c:v>
                </c:pt>
                <c:pt idx="16">
                  <c:v>-9.2799999999999994E-2</c:v>
                </c:pt>
                <c:pt idx="17">
                  <c:v>-9.2799999999999994E-2</c:v>
                </c:pt>
                <c:pt idx="18">
                  <c:v>-9.2799999999999994E-2</c:v>
                </c:pt>
                <c:pt idx="19">
                  <c:v>-9.2799999999999994E-2</c:v>
                </c:pt>
                <c:pt idx="20">
                  <c:v>-9.2799999999999994E-2</c:v>
                </c:pt>
                <c:pt idx="21">
                  <c:v>-9.2799999999999994E-2</c:v>
                </c:pt>
                <c:pt idx="22">
                  <c:v>-9.2799999999999994E-2</c:v>
                </c:pt>
                <c:pt idx="23">
                  <c:v>-9.2799999999999994E-2</c:v>
                </c:pt>
                <c:pt idx="24">
                  <c:v>-9.2799999999999994E-2</c:v>
                </c:pt>
              </c:numCache>
            </c:numRef>
          </c:val>
          <c:extLst>
            <c:ext xmlns:c15="http://schemas.microsoft.com/office/drawing/2012/chart" uri="{02D57815-91ED-43cb-92C2-25804820EDAC}">
              <c15:filteredCategoryTitle>
                <c15:cat>
                  <c:numRef>
                    <c:extLst>
                      <c:ext uri="{02D57815-91ED-43cb-92C2-25804820EDAC}">
                        <c15:formulaRef>
                          <c15:sqref>'Results ReCiPe (H) - HHD'!$AC$213:$BA$213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7-A011-42DF-862D-85B176E3B53F}"/>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HHD'!$AB$222</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val>
            <c:numRef>
              <c:f>'Results ReCiPe (H) - HHD'!$AC$222:$BA$222</c:f>
              <c:numCache>
                <c:formatCode>0.00E+00</c:formatCode>
                <c:ptCount val="25"/>
                <c:pt idx="0">
                  <c:v>9.4591252192414016E-2</c:v>
                </c:pt>
                <c:pt idx="1">
                  <c:v>-6.3668015328823338E-2</c:v>
                </c:pt>
                <c:pt idx="2">
                  <c:v>-6.6111894348048261E-2</c:v>
                </c:pt>
                <c:pt idx="3">
                  <c:v>-6.6728640173759735E-2</c:v>
                </c:pt>
                <c:pt idx="4">
                  <c:v>-7.1087379553551794E-2</c:v>
                </c:pt>
                <c:pt idx="5">
                  <c:v>-7.3565144296674836E-2</c:v>
                </c:pt>
                <c:pt idx="6">
                  <c:v>-7.1968417340362356E-2</c:v>
                </c:pt>
                <c:pt idx="7">
                  <c:v>-7.4023219522446948E-2</c:v>
                </c:pt>
                <c:pt idx="8">
                  <c:v>-7.4296373135851079E-2</c:v>
                </c:pt>
                <c:pt idx="9">
                  <c:v>-7.272974686194128E-2</c:v>
                </c:pt>
                <c:pt idx="10">
                  <c:v>-7.4781603223047749E-2</c:v>
                </c:pt>
                <c:pt idx="11">
                  <c:v>-7.4903554072219908E-2</c:v>
                </c:pt>
                <c:pt idx="12">
                  <c:v>-7.3223045441846657E-2</c:v>
                </c:pt>
                <c:pt idx="13">
                  <c:v>-7.5149438876801131E-2</c:v>
                </c:pt>
                <c:pt idx="14">
                  <c:v>-7.5267577158345644E-2</c:v>
                </c:pt>
                <c:pt idx="15">
                  <c:v>-7.3590434512080083E-2</c:v>
                </c:pt>
                <c:pt idx="16">
                  <c:v>-7.5904468697545788E-2</c:v>
                </c:pt>
                <c:pt idx="17">
                  <c:v>-7.6421977563178076E-2</c:v>
                </c:pt>
                <c:pt idx="18">
                  <c:v>-7.5157340028464775E-2</c:v>
                </c:pt>
                <c:pt idx="19">
                  <c:v>-7.7454299732433063E-2</c:v>
                </c:pt>
                <c:pt idx="20">
                  <c:v>-7.7962500775098809E-2</c:v>
                </c:pt>
                <c:pt idx="21">
                  <c:v>-7.611408460270995E-2</c:v>
                </c:pt>
                <c:pt idx="22">
                  <c:v>-7.8250921401640736E-2</c:v>
                </c:pt>
                <c:pt idx="23">
                  <c:v>-7.8597801727966682E-2</c:v>
                </c:pt>
                <c:pt idx="24">
                  <c:v>-7.5988207086727239E-2</c:v>
                </c:pt>
              </c:numCache>
            </c:numRef>
          </c:val>
          <c:smooth val="0"/>
          <c:extLst>
            <c:ext xmlns:c15="http://schemas.microsoft.com/office/drawing/2012/chart" uri="{02D57815-91ED-43cb-92C2-25804820EDAC}">
              <c15:filteredCategoryTitle>
                <c15:cat>
                  <c:numRef>
                    <c:extLst>
                      <c:ext uri="{02D57815-91ED-43cb-92C2-25804820EDAC}">
                        <c15:formulaRef>
                          <c15:sqref>'Results ReCiPe (H) - HHD'!$AC$213:$BA$213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8-A011-42DF-862D-85B176E3B53F}"/>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nl-NL"/>
                  <a:t>years</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NL"/>
            </a:p>
          </c:txPr>
        </c:title>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Human</a:t>
                </a:r>
                <a:r>
                  <a:rPr lang="nl-NL" baseline="0"/>
                  <a:t> health</a:t>
                </a:r>
                <a:r>
                  <a:rPr lang="nl-NL"/>
                  <a:t> damage </a:t>
                </a:r>
                <a:br>
                  <a:rPr lang="nl-NL"/>
                </a:br>
                <a:r>
                  <a:rPr lang="nl-NL"/>
                  <a:t>(DALY/ton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26879729621161"/>
          <c:y val="5.4106329588493672E-2"/>
          <c:w val="0.87797394606685986"/>
          <c:h val="0.72023208434090313"/>
        </c:manualLayout>
      </c:layout>
      <c:barChart>
        <c:barDir val="col"/>
        <c:grouping val="stacked"/>
        <c:varyColors val="0"/>
        <c:ser>
          <c:idx val="0"/>
          <c:order val="0"/>
          <c:tx>
            <c:strRef>
              <c:f>'Results ReCiPe (H) - HHD'!$AB$274</c:f>
              <c:strCache>
                <c:ptCount val="1"/>
                <c:pt idx="0">
                  <c:v>Construction - DAC</c:v>
                </c:pt>
              </c:strCache>
            </c:strRef>
          </c:tx>
          <c:spPr>
            <a:solidFill>
              <a:schemeClr val="accent4">
                <a:lumMod val="75000"/>
              </a:schemeClr>
            </a:solidFill>
            <a:ln>
              <a:noFill/>
            </a:ln>
            <a:effectLst/>
          </c:spPr>
          <c:invertIfNegative val="0"/>
          <c:val>
            <c:numRef>
              <c:f>'Results ReCiPe (H) - HHD'!$AC$274:$BA$274</c:f>
              <c:numCache>
                <c:formatCode>0.00E+00</c:formatCode>
                <c:ptCount val="25"/>
                <c:pt idx="0">
                  <c:v>0.1597952541352278</c:v>
                </c:pt>
              </c:numCache>
            </c:numRef>
          </c:val>
          <c:extLst>
            <c:ext xmlns:c15="http://schemas.microsoft.com/office/drawing/2012/chart" uri="{02D57815-91ED-43cb-92C2-25804820EDAC}">
              <c15:filteredCategoryTitle>
                <c15:cat>
                  <c:numRef>
                    <c:extLst>
                      <c:ext uri="{02D57815-91ED-43cb-92C2-25804820EDAC}">
                        <c15:formulaRef>
                          <c15:sqref>'Results ReCiPe (H) - HHD'!$AC$273:$BA$273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0-7307-431F-8E01-2A760D8DA0E5}"/>
            </c:ext>
          </c:extLst>
        </c:ser>
        <c:ser>
          <c:idx val="1"/>
          <c:order val="1"/>
          <c:tx>
            <c:strRef>
              <c:f>'Results ReCiPe (H) - HHD'!$AB$275</c:f>
              <c:strCache>
                <c:ptCount val="1"/>
                <c:pt idx="0">
                  <c:v>Construction - geological storage</c:v>
                </c:pt>
              </c:strCache>
            </c:strRef>
          </c:tx>
          <c:spPr>
            <a:solidFill>
              <a:schemeClr val="accent4">
                <a:lumMod val="60000"/>
                <a:lumOff val="40000"/>
              </a:schemeClr>
            </a:solidFill>
            <a:ln>
              <a:noFill/>
            </a:ln>
            <a:effectLst/>
          </c:spPr>
          <c:invertIfNegative val="0"/>
          <c:val>
            <c:numRef>
              <c:f>'Results ReCiPe (H) - HHD'!$AC$275:$BA$275</c:f>
              <c:numCache>
                <c:formatCode>0.00E+00</c:formatCode>
                <c:ptCount val="25"/>
                <c:pt idx="0">
                  <c:v>5.005014287129188E-3</c:v>
                </c:pt>
              </c:numCache>
            </c:numRef>
          </c:val>
          <c:extLst>
            <c:ext xmlns:c15="http://schemas.microsoft.com/office/drawing/2012/chart" uri="{02D57815-91ED-43cb-92C2-25804820EDAC}">
              <c15:filteredCategoryTitle>
                <c15:cat>
                  <c:numRef>
                    <c:extLst>
                      <c:ext uri="{02D57815-91ED-43cb-92C2-25804820EDAC}">
                        <c15:formulaRef>
                          <c15:sqref>'Results ReCiPe (H) - HHD'!$AC$273:$BA$273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1-7307-431F-8E01-2A760D8DA0E5}"/>
            </c:ext>
          </c:extLst>
        </c:ser>
        <c:ser>
          <c:idx val="2"/>
          <c:order val="2"/>
          <c:tx>
            <c:strRef>
              <c:f>'Results ReCiPe (H) - HHD'!$AB$276</c:f>
              <c:strCache>
                <c:ptCount val="1"/>
                <c:pt idx="0">
                  <c:v>Deconstruction - DAC</c:v>
                </c:pt>
              </c:strCache>
            </c:strRef>
          </c:tx>
          <c:spPr>
            <a:solidFill>
              <a:schemeClr val="accent2">
                <a:lumMod val="40000"/>
                <a:lumOff val="60000"/>
              </a:schemeClr>
            </a:solidFill>
            <a:ln>
              <a:noFill/>
            </a:ln>
            <a:effectLst/>
          </c:spPr>
          <c:invertIfNegative val="0"/>
          <c:val>
            <c:numRef>
              <c:f>'Results ReCiPe (H) - HHD'!$AC$276:$BA$276</c:f>
              <c:numCache>
                <c:formatCode>0.00E+00</c:formatCode>
                <c:ptCount val="25"/>
                <c:pt idx="24">
                  <c:v>1.3460715242108881E-3</c:v>
                </c:pt>
              </c:numCache>
            </c:numRef>
          </c:val>
          <c:extLst>
            <c:ext xmlns:c15="http://schemas.microsoft.com/office/drawing/2012/chart" uri="{02D57815-91ED-43cb-92C2-25804820EDAC}">
              <c15:filteredCategoryTitle>
                <c15:cat>
                  <c:numRef>
                    <c:extLst>
                      <c:ext uri="{02D57815-91ED-43cb-92C2-25804820EDAC}">
                        <c15:formulaRef>
                          <c15:sqref>'Results ReCiPe (H) - HHD'!$AC$273:$BA$273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2-7307-431F-8E01-2A760D8DA0E5}"/>
            </c:ext>
          </c:extLst>
        </c:ser>
        <c:ser>
          <c:idx val="3"/>
          <c:order val="3"/>
          <c:tx>
            <c:strRef>
              <c:f>'Results ReCiPe (H) - HHD'!$AB$277</c:f>
              <c:strCache>
                <c:ptCount val="1"/>
                <c:pt idx="0">
                  <c:v>Deconstruction - geological storage</c:v>
                </c:pt>
              </c:strCache>
            </c:strRef>
          </c:tx>
          <c:spPr>
            <a:solidFill>
              <a:srgbClr val="FF9900"/>
            </a:solidFill>
            <a:ln>
              <a:noFill/>
            </a:ln>
            <a:effectLst/>
          </c:spPr>
          <c:invertIfNegative val="0"/>
          <c:val>
            <c:numRef>
              <c:f>'Results ReCiPe (H) - HHD'!$AC$277:$BA$277</c:f>
              <c:numCache>
                <c:formatCode>0.00E+00</c:formatCode>
                <c:ptCount val="25"/>
                <c:pt idx="24">
                  <c:v>1.8634370123773913E-5</c:v>
                </c:pt>
              </c:numCache>
            </c:numRef>
          </c:val>
          <c:extLst>
            <c:ext xmlns:c15="http://schemas.microsoft.com/office/drawing/2012/chart" uri="{02D57815-91ED-43cb-92C2-25804820EDAC}">
              <c15:filteredCategoryTitle>
                <c15:cat>
                  <c:numRef>
                    <c:extLst>
                      <c:ext uri="{02D57815-91ED-43cb-92C2-25804820EDAC}">
                        <c15:formulaRef>
                          <c15:sqref>'Results ReCiPe (H) - HHD'!$AC$273:$BA$273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3-7307-431F-8E01-2A760D8DA0E5}"/>
            </c:ext>
          </c:extLst>
        </c:ser>
        <c:ser>
          <c:idx val="4"/>
          <c:order val="4"/>
          <c:tx>
            <c:strRef>
              <c:f>'Results ReCiPe (H) - HHD'!$AB$278</c:f>
              <c:strCache>
                <c:ptCount val="1"/>
                <c:pt idx="0">
                  <c:v>Sorbent material</c:v>
                </c:pt>
              </c:strCache>
            </c:strRef>
          </c:tx>
          <c:spPr>
            <a:solidFill>
              <a:srgbClr val="FF8F8F"/>
            </a:solidFill>
            <a:ln>
              <a:noFill/>
            </a:ln>
            <a:effectLst/>
          </c:spPr>
          <c:invertIfNegative val="0"/>
          <c:val>
            <c:numRef>
              <c:f>'Results ReCiPe (H) - HHD'!$AC$278:$BA$278</c:f>
              <c:numCache>
                <c:formatCode>0.00E+00</c:formatCode>
                <c:ptCount val="25"/>
                <c:pt idx="0">
                  <c:v>2.357201361606037E-3</c:v>
                </c:pt>
                <c:pt idx="3">
                  <c:v>2.338551887019074E-3</c:v>
                </c:pt>
                <c:pt idx="6">
                  <c:v>2.3329664166207272E-3</c:v>
                </c:pt>
                <c:pt idx="9">
                  <c:v>2.334292606370443E-3</c:v>
                </c:pt>
                <c:pt idx="12">
                  <c:v>2.344407424713253E-3</c:v>
                </c:pt>
                <c:pt idx="15">
                  <c:v>2.3564976098142901E-3</c:v>
                </c:pt>
                <c:pt idx="18">
                  <c:v>2.3307713043124539E-3</c:v>
                </c:pt>
                <c:pt idx="21">
                  <c:v>2.3230274489819871E-3</c:v>
                </c:pt>
                <c:pt idx="24">
                  <c:v>2.2803262576522711E-3</c:v>
                </c:pt>
              </c:numCache>
            </c:numRef>
          </c:val>
          <c:extLst>
            <c:ext xmlns:c15="http://schemas.microsoft.com/office/drawing/2012/chart" uri="{02D57815-91ED-43cb-92C2-25804820EDAC}">
              <c15:filteredCategoryTitle>
                <c15:cat>
                  <c:numRef>
                    <c:extLst>
                      <c:ext uri="{02D57815-91ED-43cb-92C2-25804820EDAC}">
                        <c15:formulaRef>
                          <c15:sqref>'Results ReCiPe (H) - HHD'!$AC$273:$BA$273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4-7307-431F-8E01-2A760D8DA0E5}"/>
            </c:ext>
          </c:extLst>
        </c:ser>
        <c:ser>
          <c:idx val="5"/>
          <c:order val="5"/>
          <c:tx>
            <c:strRef>
              <c:f>'Results ReCiPe (H) - HHD'!$AB$279</c:f>
              <c:strCache>
                <c:ptCount val="1"/>
                <c:pt idx="0">
                  <c:v>Battery</c:v>
                </c:pt>
              </c:strCache>
            </c:strRef>
          </c:tx>
          <c:spPr>
            <a:solidFill>
              <a:schemeClr val="accent6">
                <a:lumMod val="50000"/>
              </a:schemeClr>
            </a:solidFill>
            <a:ln>
              <a:noFill/>
            </a:ln>
            <a:effectLst/>
          </c:spPr>
          <c:invertIfNegative val="0"/>
          <c:val>
            <c:numRef>
              <c:f>'Results ReCiPe (H) - HHD'!$AC$279:$BA$279</c:f>
              <c:numCache>
                <c:formatCode>0.00E+00</c:formatCode>
                <c:ptCount val="25"/>
                <c:pt idx="0">
                  <c:v>3.7606884347843109E-2</c:v>
                </c:pt>
                <c:pt idx="1">
                  <c:v>3.7606884347843109E-2</c:v>
                </c:pt>
                <c:pt idx="2">
                  <c:v>3.7606884347843109E-2</c:v>
                </c:pt>
                <c:pt idx="3">
                  <c:v>3.7606884347843109E-2</c:v>
                </c:pt>
                <c:pt idx="4">
                  <c:v>3.7606884347843109E-2</c:v>
                </c:pt>
                <c:pt idx="5">
                  <c:v>3.7606884347843109E-2</c:v>
                </c:pt>
                <c:pt idx="6">
                  <c:v>3.7606884347843109E-2</c:v>
                </c:pt>
                <c:pt idx="7">
                  <c:v>3.7606884347843109E-2</c:v>
                </c:pt>
                <c:pt idx="8">
                  <c:v>3.7606884347843109E-2</c:v>
                </c:pt>
                <c:pt idx="9">
                  <c:v>3.7606884347843109E-2</c:v>
                </c:pt>
                <c:pt idx="10">
                  <c:v>3.7606884347843109E-2</c:v>
                </c:pt>
                <c:pt idx="11">
                  <c:v>3.7606884347843109E-2</c:v>
                </c:pt>
                <c:pt idx="12">
                  <c:v>3.7606884347843109E-2</c:v>
                </c:pt>
                <c:pt idx="13">
                  <c:v>3.7606884347843109E-2</c:v>
                </c:pt>
                <c:pt idx="14">
                  <c:v>3.7606884347843109E-2</c:v>
                </c:pt>
                <c:pt idx="15">
                  <c:v>3.7606884347843109E-2</c:v>
                </c:pt>
                <c:pt idx="16">
                  <c:v>3.7606884347843109E-2</c:v>
                </c:pt>
                <c:pt idx="17">
                  <c:v>3.7606884347843109E-2</c:v>
                </c:pt>
                <c:pt idx="18">
                  <c:v>3.7606884347843109E-2</c:v>
                </c:pt>
                <c:pt idx="19">
                  <c:v>3.7606884347843109E-2</c:v>
                </c:pt>
                <c:pt idx="20">
                  <c:v>3.7606884347843109E-2</c:v>
                </c:pt>
                <c:pt idx="21">
                  <c:v>3.7606884347843109E-2</c:v>
                </c:pt>
                <c:pt idx="22">
                  <c:v>3.7606884347843109E-2</c:v>
                </c:pt>
                <c:pt idx="23">
                  <c:v>3.7606884347843109E-2</c:v>
                </c:pt>
                <c:pt idx="24">
                  <c:v>3.7606884347843109E-2</c:v>
                </c:pt>
              </c:numCache>
            </c:numRef>
          </c:val>
          <c:extLst>
            <c:ext xmlns:c15="http://schemas.microsoft.com/office/drawing/2012/chart" uri="{02D57815-91ED-43cb-92C2-25804820EDAC}">
              <c15:filteredCategoryTitle>
                <c15:cat>
                  <c:numRef>
                    <c:extLst>
                      <c:ext uri="{02D57815-91ED-43cb-92C2-25804820EDAC}">
                        <c15:formulaRef>
                          <c15:sqref>'Results ReCiPe (H) - HHD'!$AC$273:$BA$273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5-7307-431F-8E01-2A760D8DA0E5}"/>
            </c:ext>
          </c:extLst>
        </c:ser>
        <c:ser>
          <c:idx val="6"/>
          <c:order val="6"/>
          <c:tx>
            <c:strRef>
              <c:f>'Results ReCiPe (H) - HHD'!$AB$280</c:f>
              <c:strCache>
                <c:ptCount val="1"/>
                <c:pt idx="0">
                  <c:v>Operation - DAC</c:v>
                </c:pt>
              </c:strCache>
            </c:strRef>
          </c:tx>
          <c:spPr>
            <a:solidFill>
              <a:schemeClr val="accent2">
                <a:lumMod val="75000"/>
              </a:schemeClr>
            </a:solidFill>
            <a:ln>
              <a:noFill/>
            </a:ln>
            <a:effectLst/>
          </c:spPr>
          <c:invertIfNegative val="0"/>
          <c:val>
            <c:numRef>
              <c:f>'Results ReCiPe (H) - HHD'!$AC$280:$BA$280</c:f>
              <c:numCache>
                <c:formatCode>0.00E+00</c:formatCode>
                <c:ptCount val="25"/>
                <c:pt idx="0">
                  <c:v>2.5393132376145978E-2</c:v>
                </c:pt>
                <c:pt idx="1">
                  <c:v>2.5386762089797048E-2</c:v>
                </c:pt>
                <c:pt idx="2">
                  <c:v>2.538085339756093E-2</c:v>
                </c:pt>
                <c:pt idx="3">
                  <c:v>2.5336334798651702E-2</c:v>
                </c:pt>
                <c:pt idx="4">
                  <c:v>2.5331220502552203E-2</c:v>
                </c:pt>
                <c:pt idx="5">
                  <c:v>2.5326311580108021E-2</c:v>
                </c:pt>
                <c:pt idx="6">
                  <c:v>2.5293725224504678E-2</c:v>
                </c:pt>
                <c:pt idx="7">
                  <c:v>2.5265270795297202E-2</c:v>
                </c:pt>
                <c:pt idx="8">
                  <c:v>2.5221231765272578E-2</c:v>
                </c:pt>
                <c:pt idx="9">
                  <c:v>2.5199834142130565E-2</c:v>
                </c:pt>
                <c:pt idx="10">
                  <c:v>2.5181295398559476E-2</c:v>
                </c:pt>
                <c:pt idx="11">
                  <c:v>2.5180242641040913E-2</c:v>
                </c:pt>
                <c:pt idx="12">
                  <c:v>2.5182111288651152E-2</c:v>
                </c:pt>
                <c:pt idx="13">
                  <c:v>2.5183691684456298E-2</c:v>
                </c:pt>
                <c:pt idx="14">
                  <c:v>2.51909032563487E-2</c:v>
                </c:pt>
                <c:pt idx="15">
                  <c:v>2.520113838936287E-2</c:v>
                </c:pt>
                <c:pt idx="16">
                  <c:v>2.5175280834720534E-2</c:v>
                </c:pt>
                <c:pt idx="17">
                  <c:v>2.5149303273379404E-2</c:v>
                </c:pt>
                <c:pt idx="18">
                  <c:v>2.5118992254091137E-2</c:v>
                </c:pt>
                <c:pt idx="19">
                  <c:v>2.5092606311484598E-2</c:v>
                </c:pt>
                <c:pt idx="20">
                  <c:v>2.5065942649119339E-2</c:v>
                </c:pt>
                <c:pt idx="21">
                  <c:v>2.5194146508512049E-2</c:v>
                </c:pt>
                <c:pt idx="22">
                  <c:v>2.5150023608704108E-2</c:v>
                </c:pt>
                <c:pt idx="23">
                  <c:v>2.5105334490682755E-2</c:v>
                </c:pt>
                <c:pt idx="24">
                  <c:v>2.5060068697469448E-2</c:v>
                </c:pt>
              </c:numCache>
            </c:numRef>
          </c:val>
          <c:extLst>
            <c:ext xmlns:c15="http://schemas.microsoft.com/office/drawing/2012/chart" uri="{02D57815-91ED-43cb-92C2-25804820EDAC}">
              <c15:filteredCategoryTitle>
                <c15:cat>
                  <c:numRef>
                    <c:extLst>
                      <c:ext uri="{02D57815-91ED-43cb-92C2-25804820EDAC}">
                        <c15:formulaRef>
                          <c15:sqref>'Results ReCiPe (H) - HHD'!$AC$273:$BA$273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6-7307-431F-8E01-2A760D8DA0E5}"/>
            </c:ext>
          </c:extLst>
        </c:ser>
        <c:ser>
          <c:idx val="7"/>
          <c:order val="7"/>
          <c:tx>
            <c:strRef>
              <c:f>'Results ReCiPe (H) - HHD'!$AB$281</c:f>
              <c:strCache>
                <c:ptCount val="1"/>
                <c:pt idx="0">
                  <c:v>Operation - geological storage</c:v>
                </c:pt>
              </c:strCache>
            </c:strRef>
          </c:tx>
          <c:spPr>
            <a:solidFill>
              <a:schemeClr val="accent2">
                <a:lumMod val="50000"/>
              </a:schemeClr>
            </a:solidFill>
            <a:ln>
              <a:noFill/>
            </a:ln>
            <a:effectLst/>
          </c:spPr>
          <c:invertIfNegative val="0"/>
          <c:val>
            <c:numRef>
              <c:f>'Results ReCiPe (H) - HHD'!$AC$281:$BA$281</c:f>
              <c:numCache>
                <c:formatCode>0.00E+00</c:formatCode>
                <c:ptCount val="25"/>
                <c:pt idx="0">
                  <c:v>3.3996838621343311E-3</c:v>
                </c:pt>
                <c:pt idx="1">
                  <c:v>3.3892417250063834E-3</c:v>
                </c:pt>
                <c:pt idx="2">
                  <c:v>3.3779877394745713E-3</c:v>
                </c:pt>
                <c:pt idx="3">
                  <c:v>3.3645712226863479E-3</c:v>
                </c:pt>
                <c:pt idx="4">
                  <c:v>3.353027377269197E-3</c:v>
                </c:pt>
                <c:pt idx="5">
                  <c:v>3.3414733749654421E-3</c:v>
                </c:pt>
                <c:pt idx="6">
                  <c:v>3.5232877234584437E-3</c:v>
                </c:pt>
                <c:pt idx="7">
                  <c:v>3.7042154804113052E-3</c:v>
                </c:pt>
                <c:pt idx="8">
                  <c:v>3.8831895711081863E-3</c:v>
                </c:pt>
                <c:pt idx="9">
                  <c:v>4.0624955926399815E-3</c:v>
                </c:pt>
                <c:pt idx="10">
                  <c:v>4.2408199931943773E-3</c:v>
                </c:pt>
                <c:pt idx="11">
                  <c:v>4.5887493912891257E-3</c:v>
                </c:pt>
                <c:pt idx="12">
                  <c:v>4.9363305643528917E-3</c:v>
                </c:pt>
                <c:pt idx="13">
                  <c:v>5.28341076226498E-3</c:v>
                </c:pt>
                <c:pt idx="14">
                  <c:v>5.6303437129935352E-3</c:v>
                </c:pt>
                <c:pt idx="15">
                  <c:v>5.9769513937588444E-3</c:v>
                </c:pt>
                <c:pt idx="16">
                  <c:v>6.0004033289747299E-3</c:v>
                </c:pt>
                <c:pt idx="17">
                  <c:v>6.023555104377745E-3</c:v>
                </c:pt>
                <c:pt idx="18">
                  <c:v>6.0462567937654551E-3</c:v>
                </c:pt>
                <c:pt idx="19">
                  <c:v>6.0689467723521601E-3</c:v>
                </c:pt>
                <c:pt idx="20">
                  <c:v>6.0914141894700896E-3</c:v>
                </c:pt>
                <c:pt idx="21">
                  <c:v>6.0028554034763995E-3</c:v>
                </c:pt>
                <c:pt idx="22">
                  <c:v>5.8401461455159899E-3</c:v>
                </c:pt>
                <c:pt idx="23">
                  <c:v>5.6775291565532701E-3</c:v>
                </c:pt>
                <c:pt idx="24">
                  <c:v>5.5150001485387845E-3</c:v>
                </c:pt>
              </c:numCache>
            </c:numRef>
          </c:val>
          <c:extLst>
            <c:ext xmlns:c15="http://schemas.microsoft.com/office/drawing/2012/chart" uri="{02D57815-91ED-43cb-92C2-25804820EDAC}">
              <c15:filteredCategoryTitle>
                <c15:cat>
                  <c:numRef>
                    <c:extLst>
                      <c:ext uri="{02D57815-91ED-43cb-92C2-25804820EDAC}">
                        <c15:formulaRef>
                          <c15:sqref>'Results ReCiPe (H) - HHD'!$AC$273:$BA$273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7-7307-431F-8E01-2A760D8DA0E5}"/>
            </c:ext>
          </c:extLst>
        </c:ser>
        <c:ser>
          <c:idx val="8"/>
          <c:order val="8"/>
          <c:tx>
            <c:strRef>
              <c:f>'Results ReCiPe (H) - HHD'!$AB$282</c:f>
              <c:strCache>
                <c:ptCount val="1"/>
                <c:pt idx="0">
                  <c:v>CO2 captured and stored</c:v>
                </c:pt>
              </c:strCache>
            </c:strRef>
          </c:tx>
          <c:spPr>
            <a:solidFill>
              <a:schemeClr val="tx2">
                <a:lumMod val="20000"/>
                <a:lumOff val="80000"/>
              </a:schemeClr>
            </a:solidFill>
            <a:ln>
              <a:noFill/>
            </a:ln>
            <a:effectLst/>
          </c:spPr>
          <c:invertIfNegative val="0"/>
          <c:val>
            <c:numRef>
              <c:f>'Results ReCiPe (H) - HHD'!$AC$282:$BA$282</c:f>
              <c:numCache>
                <c:formatCode>0.00E+00</c:formatCode>
                <c:ptCount val="25"/>
                <c:pt idx="0">
                  <c:v>-4.6399999999999997E-2</c:v>
                </c:pt>
                <c:pt idx="1">
                  <c:v>-4.6399999999999997E-2</c:v>
                </c:pt>
                <c:pt idx="2">
                  <c:v>-4.6399999999999997E-2</c:v>
                </c:pt>
                <c:pt idx="3">
                  <c:v>-4.6399999999999997E-2</c:v>
                </c:pt>
                <c:pt idx="4">
                  <c:v>-4.6399999999999997E-2</c:v>
                </c:pt>
                <c:pt idx="5">
                  <c:v>-4.6399999999999997E-2</c:v>
                </c:pt>
                <c:pt idx="6">
                  <c:v>-4.6399999999999997E-2</c:v>
                </c:pt>
                <c:pt idx="7">
                  <c:v>-4.6399999999999997E-2</c:v>
                </c:pt>
                <c:pt idx="8">
                  <c:v>-4.6399999999999997E-2</c:v>
                </c:pt>
                <c:pt idx="9">
                  <c:v>-4.6399999999999997E-2</c:v>
                </c:pt>
                <c:pt idx="10">
                  <c:v>-4.6399999999999997E-2</c:v>
                </c:pt>
                <c:pt idx="11">
                  <c:v>-4.6399999999999997E-2</c:v>
                </c:pt>
                <c:pt idx="12">
                  <c:v>-4.6399999999999997E-2</c:v>
                </c:pt>
                <c:pt idx="13">
                  <c:v>-4.6399999999999997E-2</c:v>
                </c:pt>
                <c:pt idx="14">
                  <c:v>-4.6399999999999997E-2</c:v>
                </c:pt>
                <c:pt idx="15">
                  <c:v>-4.6399999999999997E-2</c:v>
                </c:pt>
                <c:pt idx="16">
                  <c:v>-4.6399999999999997E-2</c:v>
                </c:pt>
                <c:pt idx="17">
                  <c:v>-4.6399999999999997E-2</c:v>
                </c:pt>
                <c:pt idx="18">
                  <c:v>-4.6399999999999997E-2</c:v>
                </c:pt>
                <c:pt idx="19">
                  <c:v>-4.6399999999999997E-2</c:v>
                </c:pt>
                <c:pt idx="20">
                  <c:v>-4.6399999999999997E-2</c:v>
                </c:pt>
                <c:pt idx="21">
                  <c:v>-4.6399999999999997E-2</c:v>
                </c:pt>
                <c:pt idx="22">
                  <c:v>-4.6399999999999997E-2</c:v>
                </c:pt>
                <c:pt idx="23">
                  <c:v>-4.6399999999999997E-2</c:v>
                </c:pt>
                <c:pt idx="24">
                  <c:v>-4.6399999999999997E-2</c:v>
                </c:pt>
              </c:numCache>
            </c:numRef>
          </c:val>
          <c:extLst>
            <c:ext xmlns:c15="http://schemas.microsoft.com/office/drawing/2012/chart" uri="{02D57815-91ED-43cb-92C2-25804820EDAC}">
              <c15:filteredCategoryTitle>
                <c15:cat>
                  <c:numRef>
                    <c:extLst>
                      <c:ext uri="{02D57815-91ED-43cb-92C2-25804820EDAC}">
                        <c15:formulaRef>
                          <c15:sqref>'Results ReCiPe (H) - HHD'!$AC$273:$BA$273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8-7307-431F-8E01-2A760D8DA0E5}"/>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(H) - HHD'!$AB$283</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val>
            <c:numRef>
              <c:f>'Results ReCiPe (H) - HHD'!$AC$283:$BA$283</c:f>
              <c:numCache>
                <c:formatCode>0.00E+00</c:formatCode>
                <c:ptCount val="25"/>
                <c:pt idx="0">
                  <c:v>0.18715717037008642</c:v>
                </c:pt>
                <c:pt idx="1">
                  <c:v>1.9982888162646553E-2</c:v>
                </c:pt>
                <c:pt idx="2">
                  <c:v>1.9965725484878613E-2</c:v>
                </c:pt>
                <c:pt idx="3">
                  <c:v>2.2246342256200244E-2</c:v>
                </c:pt>
                <c:pt idx="4">
                  <c:v>1.9891132227664504E-2</c:v>
                </c:pt>
                <c:pt idx="5">
                  <c:v>1.9874669302916578E-2</c:v>
                </c:pt>
                <c:pt idx="6">
                  <c:v>2.2356863712426969E-2</c:v>
                </c:pt>
                <c:pt idx="7">
                  <c:v>2.0176370623551626E-2</c:v>
                </c:pt>
                <c:pt idx="8">
                  <c:v>2.0311305684223874E-2</c:v>
                </c:pt>
                <c:pt idx="9">
                  <c:v>2.2803506688984093E-2</c:v>
                </c:pt>
                <c:pt idx="10">
                  <c:v>2.0628999739596962E-2</c:v>
                </c:pt>
                <c:pt idx="11">
                  <c:v>2.0975876380173161E-2</c:v>
                </c:pt>
                <c:pt idx="12">
                  <c:v>2.3669733625560407E-2</c:v>
                </c:pt>
                <c:pt idx="13">
                  <c:v>2.1673986794564379E-2</c:v>
                </c:pt>
                <c:pt idx="14">
                  <c:v>2.202813131718534E-2</c:v>
                </c:pt>
                <c:pt idx="15">
                  <c:v>2.4741471740779106E-2</c:v>
                </c:pt>
                <c:pt idx="16">
                  <c:v>2.2382568511538373E-2</c:v>
                </c:pt>
                <c:pt idx="17">
                  <c:v>2.2379742725600255E-2</c:v>
                </c:pt>
                <c:pt idx="18">
                  <c:v>2.4702904700012157E-2</c:v>
                </c:pt>
                <c:pt idx="19">
                  <c:v>2.2368437431679863E-2</c:v>
                </c:pt>
                <c:pt idx="20">
                  <c:v>2.2364241186432543E-2</c:v>
                </c:pt>
                <c:pt idx="21">
                  <c:v>2.4726913708813553E-2</c:v>
                </c:pt>
                <c:pt idx="22">
                  <c:v>2.2197054102063213E-2</c:v>
                </c:pt>
                <c:pt idx="23">
                  <c:v>2.1989747995079134E-2</c:v>
                </c:pt>
                <c:pt idx="24">
                  <c:v>2.5426985345838274E-2</c:v>
                </c:pt>
              </c:numCache>
            </c:numRef>
          </c:val>
          <c:smooth val="0"/>
          <c:extLst>
            <c:ext xmlns:c15="http://schemas.microsoft.com/office/drawing/2012/chart" uri="{02D57815-91ED-43cb-92C2-25804820EDAC}">
              <c15:filteredCategoryTitle>
                <c15:cat>
                  <c:numRef>
                    <c:extLst>
                      <c:ext uri="{02D57815-91ED-43cb-92C2-25804820EDAC}">
                        <c15:formulaRef>
                          <c15:sqref>'Results ReCiPe (H) - HHD'!$AC$273:$BA$273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9-7307-431F-8E01-2A760D8DA0E5}"/>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nl-NL"/>
                  <a:t>years</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NL"/>
            </a:p>
          </c:txPr>
        </c:title>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Human</a:t>
                </a:r>
                <a:r>
                  <a:rPr lang="nl-NL" baseline="0"/>
                  <a:t> health</a:t>
                </a:r>
                <a:r>
                  <a:rPr lang="nl-NL"/>
                  <a:t> damage </a:t>
                </a:r>
                <a:br>
                  <a:rPr lang="nl-NL"/>
                </a:br>
                <a:r>
                  <a:rPr lang="nl-NL"/>
                  <a:t>(DALY/ton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baseline="0">
                <a:solidFill>
                  <a:schemeClr val="tx1"/>
                </a:solidFill>
                <a:latin typeface="Verdana Pro" panose="020B0604030504040204" pitchFamily="34" charset="0"/>
                <a:ea typeface="+mn-ea"/>
                <a:cs typeface="Times New Roman" panose="02020603050405020304" pitchFamily="18" charset="0"/>
              </a:defRPr>
            </a:pPr>
            <a:r>
              <a:rPr lang="en-GB" b="0" i="1"/>
              <a:t>Benefits 		Burdens</a:t>
            </a:r>
          </a:p>
        </c:rich>
      </c:tx>
      <c:layout>
        <c:manualLayout>
          <c:xMode val="edge"/>
          <c:yMode val="edge"/>
          <c:x val="0.41612055886789057"/>
          <c:y val="3.6010695580724049E-4"/>
        </c:manualLayout>
      </c:layout>
      <c:overlay val="0"/>
      <c:spPr>
        <a:noFill/>
        <a:ln>
          <a:noFill/>
        </a:ln>
        <a:effectLst/>
      </c:spPr>
      <c:txPr>
        <a:bodyPr rot="0" spcFirstLastPara="1" vertOverflow="ellipsis" vert="horz" wrap="square" anchor="ctr" anchorCtr="1"/>
        <a:lstStyle/>
        <a:p>
          <a:pPr>
            <a:defRPr sz="1440" b="1"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title>
    <c:autoTitleDeleted val="0"/>
    <c:plotArea>
      <c:layout>
        <c:manualLayout>
          <c:layoutTarget val="inner"/>
          <c:xMode val="edge"/>
          <c:yMode val="edge"/>
          <c:x val="0.10872056492635196"/>
          <c:y val="0.11409636871261428"/>
          <c:w val="0.86761107490211198"/>
          <c:h val="0.57683998234902512"/>
        </c:manualLayout>
      </c:layout>
      <c:barChart>
        <c:barDir val="bar"/>
        <c:grouping val="stacked"/>
        <c:varyColors val="0"/>
        <c:ser>
          <c:idx val="0"/>
          <c:order val="0"/>
          <c:tx>
            <c:strRef>
              <c:f>'Figure Results ReCiPe (E)'!$C$5</c:f>
              <c:strCache>
                <c:ptCount val="1"/>
                <c:pt idx="0">
                  <c:v>Construction - DAC</c:v>
                </c:pt>
              </c:strCache>
            </c:strRef>
          </c:tx>
          <c:spPr>
            <a:solidFill>
              <a:schemeClr val="accent4">
                <a:lumMod val="75000"/>
              </a:schemeClr>
            </a:solidFill>
            <a:ln>
              <a:noFill/>
            </a:ln>
            <a:effectLst/>
          </c:spPr>
          <c:invertIfNegative val="0"/>
          <c:cat>
            <c:multiLvlStrRef>
              <c:f>'Figure Results ReCiPe (E)'!$A$20:$B$28</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(E)'!$C$20:$C$28</c:f>
              <c:numCache>
                <c:formatCode>0</c:formatCode>
                <c:ptCount val="9"/>
                <c:pt idx="0">
                  <c:v>3.0082173377679413</c:v>
                </c:pt>
                <c:pt idx="1">
                  <c:v>2.9565096267427267</c:v>
                </c:pt>
                <c:pt idx="2">
                  <c:v>2.8339387678759458</c:v>
                </c:pt>
                <c:pt idx="3">
                  <c:v>3.0082173377679413</c:v>
                </c:pt>
                <c:pt idx="4">
                  <c:v>2.9565096267427267</c:v>
                </c:pt>
                <c:pt idx="5">
                  <c:v>2.8339387678759458</c:v>
                </c:pt>
                <c:pt idx="6">
                  <c:v>5.8559215312032764</c:v>
                </c:pt>
                <c:pt idx="7">
                  <c:v>5.7535066581488756</c:v>
                </c:pt>
                <c:pt idx="8">
                  <c:v>5.5107750765399013</c:v>
                </c:pt>
              </c:numCache>
            </c:numRef>
          </c:val>
          <c:extLst>
            <c:ext xmlns:c16="http://schemas.microsoft.com/office/drawing/2014/chart" uri="{C3380CC4-5D6E-409C-BE32-E72D297353CC}">
              <c16:uniqueId val="{00000000-3230-4070-B832-1AA8C739ED8A}"/>
            </c:ext>
          </c:extLst>
        </c:ser>
        <c:ser>
          <c:idx val="1"/>
          <c:order val="1"/>
          <c:tx>
            <c:strRef>
              <c:f>'Figure Results ReCiPe (E)'!$D$5</c:f>
              <c:strCache>
                <c:ptCount val="1"/>
                <c:pt idx="0">
                  <c:v>Construction - geological storage</c:v>
                </c:pt>
              </c:strCache>
            </c:strRef>
          </c:tx>
          <c:spPr>
            <a:solidFill>
              <a:schemeClr val="accent4">
                <a:lumMod val="60000"/>
                <a:lumOff val="40000"/>
              </a:schemeClr>
            </a:solidFill>
            <a:ln>
              <a:noFill/>
            </a:ln>
            <a:effectLst/>
          </c:spPr>
          <c:invertIfNegative val="0"/>
          <c:cat>
            <c:multiLvlStrRef>
              <c:f>'Figure Results ReCiPe (E)'!$A$20:$B$28</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(E)'!$D$20:$D$28</c:f>
              <c:numCache>
                <c:formatCode>0</c:formatCode>
                <c:ptCount val="9"/>
                <c:pt idx="0">
                  <c:v>8.7814617362954386E-2</c:v>
                </c:pt>
                <c:pt idx="1">
                  <c:v>8.5011362732008072E-2</c:v>
                </c:pt>
                <c:pt idx="2">
                  <c:v>8.0684346632417928E-2</c:v>
                </c:pt>
                <c:pt idx="3">
                  <c:v>8.7814617362954386E-2</c:v>
                </c:pt>
                <c:pt idx="4">
                  <c:v>8.5011362732008072E-2</c:v>
                </c:pt>
                <c:pt idx="5">
                  <c:v>8.0684346632417928E-2</c:v>
                </c:pt>
                <c:pt idx="6">
                  <c:v>8.7814617362954386E-2</c:v>
                </c:pt>
                <c:pt idx="7">
                  <c:v>8.5011362732008072E-2</c:v>
                </c:pt>
                <c:pt idx="8">
                  <c:v>8.0684346632417928E-2</c:v>
                </c:pt>
              </c:numCache>
            </c:numRef>
          </c:val>
          <c:extLst>
            <c:ext xmlns:c16="http://schemas.microsoft.com/office/drawing/2014/chart" uri="{C3380CC4-5D6E-409C-BE32-E72D297353CC}">
              <c16:uniqueId val="{00000001-3230-4070-B832-1AA8C739ED8A}"/>
            </c:ext>
          </c:extLst>
        </c:ser>
        <c:ser>
          <c:idx val="3"/>
          <c:order val="3"/>
          <c:tx>
            <c:strRef>
              <c:f>'Figure Results ReCiPe (E)'!$E$5</c:f>
              <c:strCache>
                <c:ptCount val="1"/>
                <c:pt idx="0">
                  <c:v>Deconstruction - DAC</c:v>
                </c:pt>
              </c:strCache>
            </c:strRef>
          </c:tx>
          <c:spPr>
            <a:solidFill>
              <a:schemeClr val="accent2">
                <a:lumMod val="40000"/>
                <a:lumOff val="60000"/>
              </a:schemeClr>
            </a:solidFill>
            <a:ln>
              <a:noFill/>
            </a:ln>
            <a:effectLst/>
          </c:spPr>
          <c:invertIfNegative val="0"/>
          <c:cat>
            <c:multiLvlStrRef>
              <c:f>'Figure Results ReCiPe (E)'!$A$20:$B$28</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(E)'!$E$20:$E$28</c:f>
              <c:numCache>
                <c:formatCode>0</c:formatCode>
                <c:ptCount val="9"/>
                <c:pt idx="0">
                  <c:v>3.7022632215805318E-2</c:v>
                </c:pt>
                <c:pt idx="1">
                  <c:v>3.5536505157966483E-2</c:v>
                </c:pt>
                <c:pt idx="2">
                  <c:v>3.491384734128021E-2</c:v>
                </c:pt>
                <c:pt idx="3">
                  <c:v>3.7022632215805318E-2</c:v>
                </c:pt>
                <c:pt idx="4">
                  <c:v>3.5536505157966483E-2</c:v>
                </c:pt>
                <c:pt idx="5">
                  <c:v>3.491384734128021E-2</c:v>
                </c:pt>
                <c:pt idx="6">
                  <c:v>7.4045264431610636E-2</c:v>
                </c:pt>
                <c:pt idx="7">
                  <c:v>7.1073010315932966E-2</c:v>
                </c:pt>
                <c:pt idx="8">
                  <c:v>6.9827694682560421E-2</c:v>
                </c:pt>
              </c:numCache>
            </c:numRef>
          </c:val>
          <c:extLst>
            <c:ext xmlns:c16="http://schemas.microsoft.com/office/drawing/2014/chart" uri="{C3380CC4-5D6E-409C-BE32-E72D297353CC}">
              <c16:uniqueId val="{00000002-3230-4070-B832-1AA8C739ED8A}"/>
            </c:ext>
          </c:extLst>
        </c:ser>
        <c:ser>
          <c:idx val="4"/>
          <c:order val="4"/>
          <c:tx>
            <c:strRef>
              <c:f>'Figure Results ReCiPe (E)'!$F$5</c:f>
              <c:strCache>
                <c:ptCount val="1"/>
                <c:pt idx="0">
                  <c:v>Deconstruction - geological storage</c:v>
                </c:pt>
              </c:strCache>
            </c:strRef>
          </c:tx>
          <c:spPr>
            <a:solidFill>
              <a:srgbClr val="FF9900"/>
            </a:solidFill>
            <a:ln>
              <a:noFill/>
            </a:ln>
            <a:effectLst/>
          </c:spPr>
          <c:invertIfNegative val="0"/>
          <c:cat>
            <c:multiLvlStrRef>
              <c:f>'Figure Results ReCiPe (E)'!$A$20:$B$28</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(E)'!$F$20:$F$28</c:f>
              <c:numCache>
                <c:formatCode>0</c:formatCode>
                <c:ptCount val="9"/>
                <c:pt idx="0">
                  <c:v>6.7663899668688734E-4</c:v>
                </c:pt>
                <c:pt idx="1">
                  <c:v>6.5578365607868124E-4</c:v>
                </c:pt>
                <c:pt idx="2">
                  <c:v>6.4577164767378522E-4</c:v>
                </c:pt>
                <c:pt idx="3">
                  <c:v>6.7663899668688734E-4</c:v>
                </c:pt>
                <c:pt idx="4">
                  <c:v>6.5578365607868124E-4</c:v>
                </c:pt>
                <c:pt idx="5">
                  <c:v>6.4577164767378522E-4</c:v>
                </c:pt>
                <c:pt idx="6">
                  <c:v>6.7663899668688734E-4</c:v>
                </c:pt>
                <c:pt idx="7">
                  <c:v>6.5578365607868124E-4</c:v>
                </c:pt>
                <c:pt idx="8">
                  <c:v>6.4577164767378522E-4</c:v>
                </c:pt>
              </c:numCache>
            </c:numRef>
          </c:val>
          <c:extLst>
            <c:ext xmlns:c16="http://schemas.microsoft.com/office/drawing/2014/chart" uri="{C3380CC4-5D6E-409C-BE32-E72D297353CC}">
              <c16:uniqueId val="{00000003-3230-4070-B832-1AA8C739ED8A}"/>
            </c:ext>
          </c:extLst>
        </c:ser>
        <c:ser>
          <c:idx val="5"/>
          <c:order val="5"/>
          <c:tx>
            <c:strRef>
              <c:f>'Figure Results ReCiPe (E)'!$G$5</c:f>
              <c:strCache>
                <c:ptCount val="1"/>
                <c:pt idx="0">
                  <c:v>Sorbent material</c:v>
                </c:pt>
              </c:strCache>
            </c:strRef>
          </c:tx>
          <c:spPr>
            <a:solidFill>
              <a:srgbClr val="FF8F8F"/>
            </a:solidFill>
            <a:ln>
              <a:noFill/>
            </a:ln>
            <a:effectLst/>
          </c:spPr>
          <c:invertIfNegative val="0"/>
          <c:cat>
            <c:multiLvlStrRef>
              <c:f>'Figure Results ReCiPe (E)'!$A$20:$B$28</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(E)'!$G$20:$G$28</c:f>
              <c:numCache>
                <c:formatCode>0</c:formatCode>
                <c:ptCount val="9"/>
                <c:pt idx="0">
                  <c:v>0.34669954776334799</c:v>
                </c:pt>
                <c:pt idx="1">
                  <c:v>0.31991358603107201</c:v>
                </c:pt>
                <c:pt idx="2">
                  <c:v>0.30525487270276219</c:v>
                </c:pt>
                <c:pt idx="3">
                  <c:v>0.34669954776334799</c:v>
                </c:pt>
                <c:pt idx="4">
                  <c:v>0.31991358603107201</c:v>
                </c:pt>
                <c:pt idx="5">
                  <c:v>0.30525487270276219</c:v>
                </c:pt>
                <c:pt idx="6">
                  <c:v>0.69339909552669599</c:v>
                </c:pt>
                <c:pt idx="7">
                  <c:v>0.63982717206214401</c:v>
                </c:pt>
                <c:pt idx="8">
                  <c:v>0.61050974540552438</c:v>
                </c:pt>
              </c:numCache>
            </c:numRef>
          </c:val>
          <c:extLst>
            <c:ext xmlns:c16="http://schemas.microsoft.com/office/drawing/2014/chart" uri="{C3380CC4-5D6E-409C-BE32-E72D297353CC}">
              <c16:uniqueId val="{00000004-3230-4070-B832-1AA8C739ED8A}"/>
            </c:ext>
          </c:extLst>
        </c:ser>
        <c:ser>
          <c:idx val="7"/>
          <c:order val="6"/>
          <c:tx>
            <c:strRef>
              <c:f>'Figure Results ReCiPe (E)'!$I$5</c:f>
              <c:strCache>
                <c:ptCount val="1"/>
                <c:pt idx="0">
                  <c:v>Operation - DAC</c:v>
                </c:pt>
              </c:strCache>
            </c:strRef>
          </c:tx>
          <c:spPr>
            <a:solidFill>
              <a:schemeClr val="accent2">
                <a:lumMod val="75000"/>
              </a:schemeClr>
            </a:solidFill>
            <a:ln>
              <a:noFill/>
            </a:ln>
            <a:effectLst/>
          </c:spPr>
          <c:invertIfNegative val="0"/>
          <c:cat>
            <c:multiLvlStrRef>
              <c:f>'Figure Results ReCiPe (E)'!$A$20:$B$28</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(E)'!$I$20:$I$28</c:f>
              <c:numCache>
                <c:formatCode>0</c:formatCode>
                <c:ptCount val="9"/>
                <c:pt idx="0">
                  <c:v>33.92343245338688</c:v>
                </c:pt>
                <c:pt idx="1">
                  <c:v>7.5761902562716488</c:v>
                </c:pt>
                <c:pt idx="2">
                  <c:v>3.7241524620473192</c:v>
                </c:pt>
                <c:pt idx="3">
                  <c:v>27.53032069091142</c:v>
                </c:pt>
                <c:pt idx="4">
                  <c:v>7.3528096077674459</c:v>
                </c:pt>
                <c:pt idx="5">
                  <c:v>4.3789657972742129</c:v>
                </c:pt>
                <c:pt idx="6">
                  <c:v>24.188569796484504</c:v>
                </c:pt>
                <c:pt idx="7">
                  <c:v>23.409518159503119</c:v>
                </c:pt>
                <c:pt idx="8">
                  <c:v>23.052642018081137</c:v>
                </c:pt>
              </c:numCache>
            </c:numRef>
          </c:val>
          <c:extLst>
            <c:ext xmlns:c16="http://schemas.microsoft.com/office/drawing/2014/chart" uri="{C3380CC4-5D6E-409C-BE32-E72D297353CC}">
              <c16:uniqueId val="{00000005-3230-4070-B832-1AA8C739ED8A}"/>
            </c:ext>
          </c:extLst>
        </c:ser>
        <c:ser>
          <c:idx val="6"/>
          <c:order val="7"/>
          <c:tx>
            <c:strRef>
              <c:f>'Figure Results ReCiPe (E)'!$J$5</c:f>
              <c:strCache>
                <c:ptCount val="1"/>
                <c:pt idx="0">
                  <c:v>Operation - geological storage</c:v>
                </c:pt>
              </c:strCache>
            </c:strRef>
          </c:tx>
          <c:spPr>
            <a:solidFill>
              <a:schemeClr val="accent2">
                <a:lumMod val="50000"/>
              </a:schemeClr>
            </a:solidFill>
            <a:ln w="19050">
              <a:noFill/>
            </a:ln>
            <a:effectLst/>
          </c:spPr>
          <c:invertIfNegative val="0"/>
          <c:cat>
            <c:multiLvlStrRef>
              <c:f>'Figure Results ReCiPe (E)'!$A$20:$B$28</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(E)'!$J$20:$J$28</c:f>
              <c:numCache>
                <c:formatCode>0</c:formatCode>
                <c:ptCount val="9"/>
                <c:pt idx="0">
                  <c:v>3.4296565214190733</c:v>
                </c:pt>
                <c:pt idx="1">
                  <c:v>1.4452949276998275</c:v>
                </c:pt>
                <c:pt idx="2">
                  <c:v>1.1525183269720216</c:v>
                </c:pt>
                <c:pt idx="3">
                  <c:v>7.8882099992638698E-3</c:v>
                </c:pt>
                <c:pt idx="4">
                  <c:v>3.3241783337096048E-3</c:v>
                </c:pt>
                <c:pt idx="5">
                  <c:v>2.65079215203565E-3</c:v>
                </c:pt>
                <c:pt idx="6">
                  <c:v>3.4296565214190733</c:v>
                </c:pt>
                <c:pt idx="7">
                  <c:v>1.4452949276998275</c:v>
                </c:pt>
                <c:pt idx="8">
                  <c:v>1.1525183269720216</c:v>
                </c:pt>
              </c:numCache>
            </c:numRef>
          </c:val>
          <c:extLst>
            <c:ext xmlns:c16="http://schemas.microsoft.com/office/drawing/2014/chart" uri="{C3380CC4-5D6E-409C-BE32-E72D297353CC}">
              <c16:uniqueId val="{00000006-3230-4070-B832-1AA8C739ED8A}"/>
            </c:ext>
          </c:extLst>
        </c:ser>
        <c:ser>
          <c:idx val="8"/>
          <c:order val="8"/>
          <c:tx>
            <c:strRef>
              <c:f>'Figure Results ReCiPe (E)'!$K$5</c:f>
              <c:strCache>
                <c:ptCount val="1"/>
                <c:pt idx="0">
                  <c:v>CO2 captured and stored</c:v>
                </c:pt>
              </c:strCache>
            </c:strRef>
          </c:tx>
          <c:spPr>
            <a:solidFill>
              <a:schemeClr val="tx2">
                <a:lumMod val="20000"/>
                <a:lumOff val="80000"/>
              </a:schemeClr>
            </a:solidFill>
            <a:ln>
              <a:noFill/>
            </a:ln>
            <a:effectLst/>
          </c:spPr>
          <c:invertIfNegative val="0"/>
          <c:cat>
            <c:multiLvlStrRef>
              <c:f>'Figure Results ReCiPe (E)'!$A$20:$B$28</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(E)'!$K$20:$K$28</c:f>
              <c:numCache>
                <c:formatCode>0</c:formatCode>
                <c:ptCount val="9"/>
                <c:pt idx="0">
                  <c:v>-25.000681999999987</c:v>
                </c:pt>
                <c:pt idx="1">
                  <c:v>-25.000681999999987</c:v>
                </c:pt>
                <c:pt idx="2">
                  <c:v>-25.000681999999987</c:v>
                </c:pt>
                <c:pt idx="3">
                  <c:v>-25.000681999999987</c:v>
                </c:pt>
                <c:pt idx="4">
                  <c:v>-25.000681999999987</c:v>
                </c:pt>
                <c:pt idx="5">
                  <c:v>-25.000681999999987</c:v>
                </c:pt>
                <c:pt idx="6">
                  <c:v>-25.000681999999987</c:v>
                </c:pt>
                <c:pt idx="7">
                  <c:v>-25.000681999999987</c:v>
                </c:pt>
                <c:pt idx="8">
                  <c:v>-25.000681999999987</c:v>
                </c:pt>
              </c:numCache>
            </c:numRef>
          </c:val>
          <c:extLst>
            <c:ext xmlns:c16="http://schemas.microsoft.com/office/drawing/2014/chart" uri="{C3380CC4-5D6E-409C-BE32-E72D297353CC}">
              <c16:uniqueId val="{00000007-3230-4070-B832-1AA8C739ED8A}"/>
            </c:ext>
          </c:extLst>
        </c:ser>
        <c:ser>
          <c:idx val="9"/>
          <c:order val="9"/>
          <c:tx>
            <c:strRef>
              <c:f>'Figure Results ReCiPe (E)'!$H$19</c:f>
              <c:strCache>
                <c:ptCount val="1"/>
                <c:pt idx="0">
                  <c:v>Battery</c:v>
                </c:pt>
              </c:strCache>
            </c:strRef>
          </c:tx>
          <c:spPr>
            <a:solidFill>
              <a:schemeClr val="accent6">
                <a:lumMod val="75000"/>
              </a:schemeClr>
            </a:solidFill>
            <a:ln w="19050">
              <a:noFill/>
            </a:ln>
            <a:effectLst/>
          </c:spPr>
          <c:invertIfNegative val="0"/>
          <c:cat>
            <c:multiLvlStrRef>
              <c:f>'Figure Results ReCiPe (E)'!$A$20:$B$28</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(E)'!$H$20:$H$28</c:f>
              <c:numCache>
                <c:formatCode>0</c:formatCode>
                <c:ptCount val="9"/>
                <c:pt idx="0">
                  <c:v>0</c:v>
                </c:pt>
                <c:pt idx="1">
                  <c:v>0</c:v>
                </c:pt>
                <c:pt idx="2">
                  <c:v>0</c:v>
                </c:pt>
                <c:pt idx="3">
                  <c:v>0</c:v>
                </c:pt>
                <c:pt idx="4">
                  <c:v>0</c:v>
                </c:pt>
                <c:pt idx="5">
                  <c:v>0</c:v>
                </c:pt>
                <c:pt idx="6">
                  <c:v>39.853332087885228</c:v>
                </c:pt>
                <c:pt idx="7">
                  <c:v>39.470429256718283</c:v>
                </c:pt>
                <c:pt idx="8">
                  <c:v>38.399844402274695</c:v>
                </c:pt>
              </c:numCache>
            </c:numRef>
          </c:val>
          <c:extLst>
            <c:ext xmlns:c16="http://schemas.microsoft.com/office/drawing/2014/chart" uri="{C3380CC4-5D6E-409C-BE32-E72D297353CC}">
              <c16:uniqueId val="{00000008-3230-4070-B832-1AA8C739ED8A}"/>
            </c:ext>
          </c:extLst>
        </c:ser>
        <c:dLbls>
          <c:showLegendKey val="0"/>
          <c:showVal val="0"/>
          <c:showCatName val="0"/>
          <c:showSerName val="0"/>
          <c:showPercent val="0"/>
          <c:showBubbleSize val="0"/>
        </c:dLbls>
        <c:gapWidth val="150"/>
        <c:overlap val="100"/>
        <c:axId val="134262272"/>
        <c:axId val="135299072"/>
      </c:barChart>
      <c:scatterChart>
        <c:scatterStyle val="lineMarker"/>
        <c:varyColors val="0"/>
        <c:ser>
          <c:idx val="2"/>
          <c:order val="2"/>
          <c:tx>
            <c:strRef>
              <c:f>'Figure Results ReCiPe (E)'!$L$19</c:f>
              <c:strCache>
                <c:ptCount val="1"/>
                <c:pt idx="0">
                  <c:v>Total</c:v>
                </c:pt>
              </c:strCache>
            </c:strRef>
          </c:tx>
          <c:spPr>
            <a:ln w="19050" cap="rnd" cmpd="sng" algn="ctr">
              <a:noFill/>
              <a:prstDash val="solid"/>
              <a:round/>
            </a:ln>
            <a:effectLst/>
          </c:spPr>
          <c:marker>
            <c:symbol val="circle"/>
            <c:size val="7"/>
            <c:spPr>
              <a:solidFill>
                <a:schemeClr val="tx1"/>
              </a:solidFill>
              <a:ln w="6350" cap="flat" cmpd="sng" algn="ctr">
                <a:noFill/>
                <a:prstDash val="solid"/>
                <a:round/>
              </a:ln>
              <a:effectLst/>
            </c:spPr>
          </c:marker>
          <c:dLbls>
            <c:numFmt formatCode="0" sourceLinked="0"/>
            <c:spPr>
              <a:noFill/>
              <a:ln>
                <a:noFill/>
              </a:ln>
              <a:effectLst/>
            </c:spPr>
            <c:txPr>
              <a:bodyPr rot="0" spcFirstLastPara="1" vertOverflow="ellipsis" vert="horz" wrap="square" lIns="0" tIns="0" rIns="0" bIns="0" anchor="ctr" anchorCtr="1"/>
              <a:lstStyle/>
              <a:p>
                <a:pPr>
                  <a:defRPr sz="1200" b="0"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dLblPos val="t"/>
            <c:showLegendKey val="0"/>
            <c:showVal val="0"/>
            <c:showCatName val="1"/>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LeaderLines val="1"/>
                <c15:leaderLines>
                  <c:spPr>
                    <a:ln w="6350" cap="flat" cmpd="sng" algn="ctr">
                      <a:solidFill>
                        <a:schemeClr val="tx1"/>
                      </a:solidFill>
                      <a:prstDash val="solid"/>
                      <a:round/>
                    </a:ln>
                    <a:effectLst/>
                  </c:spPr>
                </c15:leaderLines>
              </c:ext>
            </c:extLst>
          </c:dLbls>
          <c:xVal>
            <c:numRef>
              <c:f>'Figure Results ReCiPe (E)'!$L$20:$L$28</c:f>
              <c:numCache>
                <c:formatCode>0</c:formatCode>
                <c:ptCount val="9"/>
                <c:pt idx="0">
                  <c:v>15.832837748912707</c:v>
                </c:pt>
                <c:pt idx="1">
                  <c:v>-12.581569951708664</c:v>
                </c:pt>
                <c:pt idx="2">
                  <c:v>-16.868573604780579</c:v>
                </c:pt>
                <c:pt idx="3">
                  <c:v>6.0179576750174242</c:v>
                </c:pt>
                <c:pt idx="4">
                  <c:v>-14.24692134957899</c:v>
                </c:pt>
                <c:pt idx="5">
                  <c:v>-17.363627804373667</c:v>
                </c:pt>
                <c:pt idx="6">
                  <c:v>49.182733553310051</c:v>
                </c:pt>
                <c:pt idx="7">
                  <c:v>45.874634330836273</c:v>
                </c:pt>
                <c:pt idx="8">
                  <c:v>43.876765382235931</c:v>
                </c:pt>
              </c:numCache>
            </c:numRef>
          </c:xVal>
          <c:yVal>
            <c:numRef>
              <c:f>'Figure Results ReCiPe (E)'!$M$20:$M$28</c:f>
              <c:numCache>
                <c:formatCode>General</c:formatCode>
                <c:ptCount val="9"/>
                <c:pt idx="0">
                  <c:v>8.5</c:v>
                </c:pt>
                <c:pt idx="1">
                  <c:v>7.5</c:v>
                </c:pt>
                <c:pt idx="2">
                  <c:v>6.5</c:v>
                </c:pt>
                <c:pt idx="3">
                  <c:v>5.5</c:v>
                </c:pt>
                <c:pt idx="4">
                  <c:v>4.5</c:v>
                </c:pt>
                <c:pt idx="5">
                  <c:v>3.5</c:v>
                </c:pt>
                <c:pt idx="6">
                  <c:v>2.5</c:v>
                </c:pt>
                <c:pt idx="7">
                  <c:v>1.5</c:v>
                </c:pt>
                <c:pt idx="8">
                  <c:v>0.5</c:v>
                </c:pt>
              </c:numCache>
            </c:numRef>
          </c:yVal>
          <c:smooth val="0"/>
          <c:extLst>
            <c:ext xmlns:c16="http://schemas.microsoft.com/office/drawing/2014/chart" uri="{C3380CC4-5D6E-409C-BE32-E72D297353CC}">
              <c16:uniqueId val="{00000009-3230-4070-B832-1AA8C739ED8A}"/>
            </c:ext>
          </c:extLst>
        </c:ser>
        <c:dLbls>
          <c:showLegendKey val="0"/>
          <c:showVal val="0"/>
          <c:showCatName val="0"/>
          <c:showSerName val="0"/>
          <c:showPercent val="0"/>
          <c:showBubbleSize val="0"/>
        </c:dLbls>
        <c:axId val="620675072"/>
        <c:axId val="620677376"/>
      </c:scatterChart>
      <c:catAx>
        <c:axId val="134262272"/>
        <c:scaling>
          <c:orientation val="maxMin"/>
        </c:scaling>
        <c:delete val="0"/>
        <c:axPos val="l"/>
        <c:numFmt formatCode="@" sourceLinked="0"/>
        <c:majorTickMark val="none"/>
        <c:minorTickMark val="none"/>
        <c:tickLblPos val="low"/>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200" b="1"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crossAx val="135299072"/>
        <c:crossesAt val="0"/>
        <c:auto val="1"/>
        <c:lblAlgn val="ctr"/>
        <c:lblOffset val="100"/>
        <c:noMultiLvlLbl val="0"/>
      </c:catAx>
      <c:valAx>
        <c:axId val="135299072"/>
        <c:scaling>
          <c:orientation val="minMax"/>
          <c:max val="80"/>
          <c:min val="-80"/>
        </c:scaling>
        <c:delete val="0"/>
        <c:axPos val="b"/>
        <c:title>
          <c:tx>
            <c:rich>
              <a:bodyPr rot="0" spcFirstLastPara="1" vertOverflow="ellipsis" vert="horz" wrap="square" anchor="ctr" anchorCtr="1"/>
              <a:lstStyle/>
              <a:p>
                <a:pPr>
                  <a:defRPr sz="1200" b="1" i="0" u="none" strike="noStrike" kern="1200" baseline="0">
                    <a:solidFill>
                      <a:schemeClr val="tx1"/>
                    </a:solidFill>
                    <a:latin typeface="Verdana Pro" panose="020B0604030504040204" pitchFamily="34" charset="0"/>
                    <a:ea typeface="+mn-ea"/>
                    <a:cs typeface="Times New Roman" panose="02020603050405020304" pitchFamily="18" charset="0"/>
                  </a:defRPr>
                </a:pPr>
                <a:r>
                  <a:rPr lang="en-GB"/>
                  <a:t>Ecosystem damage [10</a:t>
                </a:r>
                <a:r>
                  <a:rPr lang="en-GB" baseline="30000"/>
                  <a:t>-6</a:t>
                </a:r>
                <a:r>
                  <a:rPr lang="en-GB"/>
                  <a:t> species.year/ton CO</a:t>
                </a:r>
                <a:r>
                  <a:rPr lang="en-GB" baseline="-25000"/>
                  <a:t>2</a:t>
                </a:r>
                <a:r>
                  <a:rPr lang="en-GB"/>
                  <a:t> captured and stored]</a:t>
                </a:r>
              </a:p>
            </c:rich>
          </c:tx>
          <c:layout>
            <c:manualLayout>
              <c:xMode val="edge"/>
              <c:yMode val="edge"/>
              <c:x val="0.28699738748382636"/>
              <c:y val="0.77718768784982051"/>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title>
        <c:numFmt formatCode="0" sourceLinked="0"/>
        <c:majorTickMark val="out"/>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200" b="0"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crossAx val="134262272"/>
        <c:crosses val="max"/>
        <c:crossBetween val="between"/>
      </c:valAx>
      <c:valAx>
        <c:axId val="620677376"/>
        <c:scaling>
          <c:orientation val="minMax"/>
        </c:scaling>
        <c:delete val="1"/>
        <c:axPos val="r"/>
        <c:numFmt formatCode="General" sourceLinked="1"/>
        <c:majorTickMark val="out"/>
        <c:minorTickMark val="none"/>
        <c:tickLblPos val="nextTo"/>
        <c:crossAx val="620675072"/>
        <c:crosses val="max"/>
        <c:crossBetween val="midCat"/>
      </c:valAx>
      <c:valAx>
        <c:axId val="620675072"/>
        <c:scaling>
          <c:orientation val="minMax"/>
        </c:scaling>
        <c:delete val="1"/>
        <c:axPos val="b"/>
        <c:numFmt formatCode="0" sourceLinked="1"/>
        <c:majorTickMark val="out"/>
        <c:minorTickMark val="none"/>
        <c:tickLblPos val="nextTo"/>
        <c:crossAx val="620677376"/>
        <c:crossesAt val="0"/>
        <c:crossBetween val="midCat"/>
      </c:valAx>
      <c:spPr>
        <a:solidFill>
          <a:schemeClr val="bg1"/>
        </a:solidFill>
        <a:ln>
          <a:noFill/>
        </a:ln>
        <a:effectLst/>
      </c:spPr>
    </c:plotArea>
    <c:plotVisOnly val="1"/>
    <c:dispBlanksAs val="gap"/>
    <c:showDLblsOverMax val="0"/>
  </c:chart>
  <c:spPr>
    <a:noFill/>
    <a:ln w="6350" cap="flat" cmpd="sng" algn="ctr">
      <a:noFill/>
      <a:prstDash val="solid"/>
      <a:round/>
    </a:ln>
    <a:effectLst/>
  </c:spPr>
  <c:txPr>
    <a:bodyPr/>
    <a:lstStyle/>
    <a:p>
      <a:pPr>
        <a:defRPr sz="1200">
          <a:solidFill>
            <a:schemeClr val="tx1"/>
          </a:solidFill>
          <a:latin typeface="Verdana Pro" panose="020B0604030504040204" pitchFamily="34" charset="0"/>
          <a:cs typeface="Times New Roman" panose="02020603050405020304" pitchFamily="18" charset="0"/>
        </a:defRPr>
      </a:pPr>
      <a:endParaRPr lang="en-N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HHD'!$AB$334</c:f>
              <c:strCache>
                <c:ptCount val="1"/>
                <c:pt idx="0">
                  <c:v>Construction - DAC</c:v>
                </c:pt>
              </c:strCache>
            </c:strRef>
          </c:tx>
          <c:spPr>
            <a:solidFill>
              <a:schemeClr val="accent4">
                <a:lumMod val="75000"/>
              </a:schemeClr>
            </a:solidFill>
            <a:ln>
              <a:noFill/>
            </a:ln>
            <a:effectLst/>
          </c:spPr>
          <c:invertIfNegative val="0"/>
          <c:val>
            <c:numRef>
              <c:f>'Results ReCiPe (H) - HHD'!$AC$334:$BA$334</c:f>
              <c:numCache>
                <c:formatCode>0.00E+00</c:formatCode>
                <c:ptCount val="25"/>
                <c:pt idx="0">
                  <c:v>0.15280359411988906</c:v>
                </c:pt>
              </c:numCache>
            </c:numRef>
          </c:val>
          <c:extLst>
            <c:ext xmlns:c15="http://schemas.microsoft.com/office/drawing/2012/chart" uri="{02D57815-91ED-43cb-92C2-25804820EDAC}">
              <c15:filteredCategoryTitle>
                <c15:cat>
                  <c:numRef>
                    <c:extLst>
                      <c:ext uri="{02D57815-91ED-43cb-92C2-25804820EDAC}">
                        <c15:formulaRef>
                          <c15:sqref>'Results ReCiPe (H) - HHD'!$AC$333:$BA$333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0-C0BD-4AB5-8510-DEEDEA46A3BB}"/>
            </c:ext>
          </c:extLst>
        </c:ser>
        <c:ser>
          <c:idx val="1"/>
          <c:order val="1"/>
          <c:tx>
            <c:strRef>
              <c:f>'Results ReCiPe (H) - HHD'!$AB$335</c:f>
              <c:strCache>
                <c:ptCount val="1"/>
                <c:pt idx="0">
                  <c:v>Construction - geological storage</c:v>
                </c:pt>
              </c:strCache>
            </c:strRef>
          </c:tx>
          <c:spPr>
            <a:solidFill>
              <a:schemeClr val="accent4">
                <a:lumMod val="60000"/>
                <a:lumOff val="40000"/>
              </a:schemeClr>
            </a:solidFill>
            <a:ln>
              <a:noFill/>
            </a:ln>
            <a:effectLst/>
          </c:spPr>
          <c:invertIfNegative val="0"/>
          <c:val>
            <c:numRef>
              <c:f>'Results ReCiPe (H) - HHD'!$AC$335:$BA$335</c:f>
              <c:numCache>
                <c:formatCode>0.00E+00</c:formatCode>
                <c:ptCount val="25"/>
                <c:pt idx="0">
                  <c:v>4.7531917382991409E-3</c:v>
                </c:pt>
              </c:numCache>
            </c:numRef>
          </c:val>
          <c:extLst>
            <c:ext xmlns:c15="http://schemas.microsoft.com/office/drawing/2012/chart" uri="{02D57815-91ED-43cb-92C2-25804820EDAC}">
              <c15:filteredCategoryTitle>
                <c15:cat>
                  <c:numRef>
                    <c:extLst>
                      <c:ext uri="{02D57815-91ED-43cb-92C2-25804820EDAC}">
                        <c15:formulaRef>
                          <c15:sqref>'Results ReCiPe (H) - HHD'!$AC$333:$BA$333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1-C0BD-4AB5-8510-DEEDEA46A3BB}"/>
            </c:ext>
          </c:extLst>
        </c:ser>
        <c:ser>
          <c:idx val="2"/>
          <c:order val="2"/>
          <c:tx>
            <c:strRef>
              <c:f>'Results ReCiPe (H) - HHD'!$AB$336</c:f>
              <c:strCache>
                <c:ptCount val="1"/>
                <c:pt idx="0">
                  <c:v>Deconstruction - DAC</c:v>
                </c:pt>
              </c:strCache>
            </c:strRef>
          </c:tx>
          <c:spPr>
            <a:solidFill>
              <a:schemeClr val="accent2">
                <a:lumMod val="40000"/>
                <a:lumOff val="60000"/>
              </a:schemeClr>
            </a:solidFill>
            <a:ln>
              <a:noFill/>
            </a:ln>
            <a:effectLst/>
          </c:spPr>
          <c:invertIfNegative val="0"/>
          <c:val>
            <c:numRef>
              <c:f>'Results ReCiPe (H) - HHD'!$AC$336:$BA$336</c:f>
              <c:numCache>
                <c:formatCode>0.00E+00</c:formatCode>
                <c:ptCount val="25"/>
                <c:pt idx="24">
                  <c:v>1.2038817746522666E-3</c:v>
                </c:pt>
              </c:numCache>
            </c:numRef>
          </c:val>
          <c:extLst>
            <c:ext xmlns:c15="http://schemas.microsoft.com/office/drawing/2012/chart" uri="{02D57815-91ED-43cb-92C2-25804820EDAC}">
              <c15:filteredCategoryTitle>
                <c15:cat>
                  <c:numRef>
                    <c:extLst>
                      <c:ext uri="{02D57815-91ED-43cb-92C2-25804820EDAC}">
                        <c15:formulaRef>
                          <c15:sqref>'Results ReCiPe (H) - HHD'!$AC$333:$BA$333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2-C0BD-4AB5-8510-DEEDEA46A3BB}"/>
            </c:ext>
          </c:extLst>
        </c:ser>
        <c:ser>
          <c:idx val="3"/>
          <c:order val="3"/>
          <c:tx>
            <c:strRef>
              <c:f>'Results ReCiPe (H) - HHD'!$AB$337</c:f>
              <c:strCache>
                <c:ptCount val="1"/>
                <c:pt idx="0">
                  <c:v>Deconstruction - geological storage</c:v>
                </c:pt>
              </c:strCache>
            </c:strRef>
          </c:tx>
          <c:spPr>
            <a:solidFill>
              <a:srgbClr val="FF9900"/>
            </a:solidFill>
            <a:ln>
              <a:noFill/>
            </a:ln>
            <a:effectLst/>
          </c:spPr>
          <c:invertIfNegative val="0"/>
          <c:val>
            <c:numRef>
              <c:f>'Results ReCiPe (H) - HHD'!$AC$337:$BA$337</c:f>
              <c:numCache>
                <c:formatCode>0.00E+00</c:formatCode>
                <c:ptCount val="25"/>
                <c:pt idx="24">
                  <c:v>1.7613571923572038E-5</c:v>
                </c:pt>
              </c:numCache>
            </c:numRef>
          </c:val>
          <c:extLst>
            <c:ext xmlns:c15="http://schemas.microsoft.com/office/drawing/2012/chart" uri="{02D57815-91ED-43cb-92C2-25804820EDAC}">
              <c15:filteredCategoryTitle>
                <c15:cat>
                  <c:numRef>
                    <c:extLst>
                      <c:ext uri="{02D57815-91ED-43cb-92C2-25804820EDAC}">
                        <c15:formulaRef>
                          <c15:sqref>'Results ReCiPe (H) - HHD'!$AC$333:$BA$333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3-C0BD-4AB5-8510-DEEDEA46A3BB}"/>
            </c:ext>
          </c:extLst>
        </c:ser>
        <c:ser>
          <c:idx val="4"/>
          <c:order val="4"/>
          <c:tx>
            <c:strRef>
              <c:f>'Results ReCiPe (H) - HHD'!$AB$338</c:f>
              <c:strCache>
                <c:ptCount val="1"/>
                <c:pt idx="0">
                  <c:v>Sorbent material</c:v>
                </c:pt>
              </c:strCache>
            </c:strRef>
          </c:tx>
          <c:spPr>
            <a:solidFill>
              <a:srgbClr val="FF8F8F"/>
            </a:solidFill>
            <a:ln>
              <a:noFill/>
            </a:ln>
            <a:effectLst/>
          </c:spPr>
          <c:invertIfNegative val="0"/>
          <c:val>
            <c:numRef>
              <c:f>'Results ReCiPe (H) - HHD'!$AC$338:$BA$338</c:f>
              <c:numCache>
                <c:formatCode>0.00E+00</c:formatCode>
                <c:ptCount val="25"/>
                <c:pt idx="0">
                  <c:v>2.2868444478900299E-3</c:v>
                </c:pt>
                <c:pt idx="3">
                  <c:v>2.2242630345716192E-3</c:v>
                </c:pt>
                <c:pt idx="6">
                  <c:v>2.1636441841529248E-3</c:v>
                </c:pt>
                <c:pt idx="9">
                  <c:v>2.0913940629818349E-3</c:v>
                </c:pt>
                <c:pt idx="12">
                  <c:v>2.0111593851075741E-3</c:v>
                </c:pt>
                <c:pt idx="15">
                  <c:v>1.925325558619934E-3</c:v>
                </c:pt>
                <c:pt idx="18">
                  <c:v>1.868103373074346E-3</c:v>
                </c:pt>
                <c:pt idx="21">
                  <c:v>1.839484702599319E-3</c:v>
                </c:pt>
                <c:pt idx="24">
                  <c:v>1.8308470230828889E-3</c:v>
                </c:pt>
              </c:numCache>
            </c:numRef>
          </c:val>
          <c:extLst>
            <c:ext xmlns:c15="http://schemas.microsoft.com/office/drawing/2012/chart" uri="{02D57815-91ED-43cb-92C2-25804820EDAC}">
              <c15:filteredCategoryTitle>
                <c15:cat>
                  <c:numRef>
                    <c:extLst>
                      <c:ext uri="{02D57815-91ED-43cb-92C2-25804820EDAC}">
                        <c15:formulaRef>
                          <c15:sqref>'Results ReCiPe (H) - HHD'!$AC$333:$BA$333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4-C0BD-4AB5-8510-DEEDEA46A3BB}"/>
            </c:ext>
          </c:extLst>
        </c:ser>
        <c:ser>
          <c:idx val="5"/>
          <c:order val="5"/>
          <c:tx>
            <c:strRef>
              <c:f>'Results ReCiPe (H) - HHD'!$AB$339</c:f>
              <c:strCache>
                <c:ptCount val="1"/>
                <c:pt idx="0">
                  <c:v>Battery</c:v>
                </c:pt>
              </c:strCache>
            </c:strRef>
          </c:tx>
          <c:spPr>
            <a:solidFill>
              <a:schemeClr val="accent6">
                <a:lumMod val="50000"/>
              </a:schemeClr>
            </a:solidFill>
            <a:ln>
              <a:noFill/>
            </a:ln>
            <a:effectLst/>
          </c:spPr>
          <c:invertIfNegative val="0"/>
          <c:val>
            <c:numRef>
              <c:f>'Results ReCiPe (H) - HHD'!$AC$339:$BA$339</c:f>
              <c:numCache>
                <c:formatCode>0.00E+00</c:formatCode>
                <c:ptCount val="25"/>
                <c:pt idx="0">
                  <c:v>3.6698770310743312E-2</c:v>
                </c:pt>
                <c:pt idx="1">
                  <c:v>3.6698770310743312E-2</c:v>
                </c:pt>
                <c:pt idx="2">
                  <c:v>3.6698770310743312E-2</c:v>
                </c:pt>
                <c:pt idx="3">
                  <c:v>3.6698770310743312E-2</c:v>
                </c:pt>
                <c:pt idx="4">
                  <c:v>3.6698770310743312E-2</c:v>
                </c:pt>
                <c:pt idx="5">
                  <c:v>3.6698770310743312E-2</c:v>
                </c:pt>
                <c:pt idx="6">
                  <c:v>3.6698770310743312E-2</c:v>
                </c:pt>
                <c:pt idx="7">
                  <c:v>3.6698770310743312E-2</c:v>
                </c:pt>
                <c:pt idx="8">
                  <c:v>3.6698770310743312E-2</c:v>
                </c:pt>
                <c:pt idx="9">
                  <c:v>3.6698770310743312E-2</c:v>
                </c:pt>
                <c:pt idx="10">
                  <c:v>3.6698770310743312E-2</c:v>
                </c:pt>
                <c:pt idx="11">
                  <c:v>3.6698770310743312E-2</c:v>
                </c:pt>
                <c:pt idx="12">
                  <c:v>3.6698770310743312E-2</c:v>
                </c:pt>
                <c:pt idx="13">
                  <c:v>3.6698770310743312E-2</c:v>
                </c:pt>
                <c:pt idx="14">
                  <c:v>3.6698770310743312E-2</c:v>
                </c:pt>
                <c:pt idx="15">
                  <c:v>3.6698770310743312E-2</c:v>
                </c:pt>
                <c:pt idx="16">
                  <c:v>3.6698770310743312E-2</c:v>
                </c:pt>
                <c:pt idx="17">
                  <c:v>3.6698770310743312E-2</c:v>
                </c:pt>
                <c:pt idx="18">
                  <c:v>3.6698770310743312E-2</c:v>
                </c:pt>
                <c:pt idx="19">
                  <c:v>3.6698770310743312E-2</c:v>
                </c:pt>
                <c:pt idx="20">
                  <c:v>3.6698770310743312E-2</c:v>
                </c:pt>
                <c:pt idx="21">
                  <c:v>3.6698770310743312E-2</c:v>
                </c:pt>
                <c:pt idx="22">
                  <c:v>3.6698770310743312E-2</c:v>
                </c:pt>
                <c:pt idx="23">
                  <c:v>3.6698770310743312E-2</c:v>
                </c:pt>
                <c:pt idx="24">
                  <c:v>3.6698770310743312E-2</c:v>
                </c:pt>
              </c:numCache>
            </c:numRef>
          </c:val>
          <c:extLst>
            <c:ext xmlns:c15="http://schemas.microsoft.com/office/drawing/2012/chart" uri="{02D57815-91ED-43cb-92C2-25804820EDAC}">
              <c15:filteredCategoryTitle>
                <c15:cat>
                  <c:numRef>
                    <c:extLst>
                      <c:ext uri="{02D57815-91ED-43cb-92C2-25804820EDAC}">
                        <c15:formulaRef>
                          <c15:sqref>'Results ReCiPe (H) - HHD'!$AC$333:$BA$333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5-C0BD-4AB5-8510-DEEDEA46A3BB}"/>
            </c:ext>
          </c:extLst>
        </c:ser>
        <c:ser>
          <c:idx val="6"/>
          <c:order val="6"/>
          <c:tx>
            <c:strRef>
              <c:f>'Results ReCiPe (H) - HHD'!$AB$340</c:f>
              <c:strCache>
                <c:ptCount val="1"/>
                <c:pt idx="0">
                  <c:v>Operation - DAC</c:v>
                </c:pt>
              </c:strCache>
            </c:strRef>
          </c:tx>
          <c:spPr>
            <a:solidFill>
              <a:schemeClr val="accent2">
                <a:lumMod val="75000"/>
              </a:schemeClr>
            </a:solidFill>
            <a:ln>
              <a:noFill/>
            </a:ln>
            <a:effectLst/>
          </c:spPr>
          <c:invertIfNegative val="0"/>
          <c:val>
            <c:numRef>
              <c:f>'Results ReCiPe (H) - HHD'!$AC$340:$BA$340</c:f>
              <c:numCache>
                <c:formatCode>0.00E+00</c:formatCode>
                <c:ptCount val="25"/>
                <c:pt idx="0">
                  <c:v>2.4592916213383192E-2</c:v>
                </c:pt>
                <c:pt idx="1">
                  <c:v>2.4492253261722656E-2</c:v>
                </c:pt>
                <c:pt idx="2">
                  <c:v>2.4388433020564908E-2</c:v>
                </c:pt>
                <c:pt idx="3">
                  <c:v>2.42438140080929E-2</c:v>
                </c:pt>
                <c:pt idx="4">
                  <c:v>2.4133906961006681E-2</c:v>
                </c:pt>
                <c:pt idx="5">
                  <c:v>2.4020580058759473E-2</c:v>
                </c:pt>
                <c:pt idx="6">
                  <c:v>2.3878452035089502E-2</c:v>
                </c:pt>
                <c:pt idx="7">
                  <c:v>2.3749011514534062E-2</c:v>
                </c:pt>
                <c:pt idx="8">
                  <c:v>2.3607155091283992E-2</c:v>
                </c:pt>
                <c:pt idx="9">
                  <c:v>2.3485878923419821E-2</c:v>
                </c:pt>
                <c:pt idx="10">
                  <c:v>2.3365064636344222E-2</c:v>
                </c:pt>
                <c:pt idx="11">
                  <c:v>2.3267325972967434E-2</c:v>
                </c:pt>
                <c:pt idx="12">
                  <c:v>2.3173238075734136E-2</c:v>
                </c:pt>
                <c:pt idx="13">
                  <c:v>2.3077099371627826E-2</c:v>
                </c:pt>
                <c:pt idx="14">
                  <c:v>2.2988534985372587E-2</c:v>
                </c:pt>
                <c:pt idx="15">
                  <c:v>2.2902055770086523E-2</c:v>
                </c:pt>
                <c:pt idx="16">
                  <c:v>2.2854220142108059E-2</c:v>
                </c:pt>
                <c:pt idx="17">
                  <c:v>2.2807812816613145E-2</c:v>
                </c:pt>
                <c:pt idx="18">
                  <c:v>2.2757660133605091E-2</c:v>
                </c:pt>
                <c:pt idx="19">
                  <c:v>2.2714112173136177E-2</c:v>
                </c:pt>
                <c:pt idx="20">
                  <c:v>2.2672761776796464E-2</c:v>
                </c:pt>
                <c:pt idx="21">
                  <c:v>2.2801281023062597E-2</c:v>
                </c:pt>
                <c:pt idx="22">
                  <c:v>2.2799190558163568E-2</c:v>
                </c:pt>
                <c:pt idx="23">
                  <c:v>2.2797127855379302E-2</c:v>
                </c:pt>
                <c:pt idx="24">
                  <c:v>2.279510719349959E-2</c:v>
                </c:pt>
              </c:numCache>
            </c:numRef>
          </c:val>
          <c:extLst>
            <c:ext xmlns:c15="http://schemas.microsoft.com/office/drawing/2012/chart" uri="{02D57815-91ED-43cb-92C2-25804820EDAC}">
              <c15:filteredCategoryTitle>
                <c15:cat>
                  <c:numRef>
                    <c:extLst>
                      <c:ext uri="{02D57815-91ED-43cb-92C2-25804820EDAC}">
                        <c15:formulaRef>
                          <c15:sqref>'Results ReCiPe (H) - HHD'!$AC$333:$BA$333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6-C0BD-4AB5-8510-DEEDEA46A3BB}"/>
            </c:ext>
          </c:extLst>
        </c:ser>
        <c:ser>
          <c:idx val="7"/>
          <c:order val="7"/>
          <c:tx>
            <c:strRef>
              <c:f>'Results ReCiPe (H) - HHD'!$AB$341</c:f>
              <c:strCache>
                <c:ptCount val="1"/>
                <c:pt idx="0">
                  <c:v>Operation - geological storage</c:v>
                </c:pt>
              </c:strCache>
            </c:strRef>
          </c:tx>
          <c:spPr>
            <a:solidFill>
              <a:schemeClr val="accent2">
                <a:lumMod val="50000"/>
              </a:schemeClr>
            </a:solidFill>
            <a:ln>
              <a:noFill/>
            </a:ln>
            <a:effectLst/>
          </c:spPr>
          <c:invertIfNegative val="0"/>
          <c:val>
            <c:numRef>
              <c:f>'Results ReCiPe (H) - HHD'!$AC$341:$BA$341</c:f>
              <c:numCache>
                <c:formatCode>0.00E+00</c:formatCode>
                <c:ptCount val="25"/>
                <c:pt idx="0">
                  <c:v>2.9709877920606588E-3</c:v>
                </c:pt>
                <c:pt idx="1">
                  <c:v>2.8196046621354327E-3</c:v>
                </c:pt>
                <c:pt idx="2">
                  <c:v>2.6682006387973153E-3</c:v>
                </c:pt>
                <c:pt idx="3">
                  <c:v>2.5151183855516165E-3</c:v>
                </c:pt>
                <c:pt idx="4">
                  <c:v>2.3645417435159632E-3</c:v>
                </c:pt>
                <c:pt idx="5">
                  <c:v>2.2145008739742986E-3</c:v>
                </c:pt>
                <c:pt idx="6">
                  <c:v>2.126884001402058E-3</c:v>
                </c:pt>
                <c:pt idx="7">
                  <c:v>2.0396136865058734E-3</c:v>
                </c:pt>
                <c:pt idx="8">
                  <c:v>1.9511884346150748E-3</c:v>
                </c:pt>
                <c:pt idx="9">
                  <c:v>1.8642767932236302E-3</c:v>
                </c:pt>
                <c:pt idx="10">
                  <c:v>1.7774857963066396E-3</c:v>
                </c:pt>
                <c:pt idx="11">
                  <c:v>1.7212815953495336E-3</c:v>
                </c:pt>
                <c:pt idx="12">
                  <c:v>1.6648570395627628E-3</c:v>
                </c:pt>
                <c:pt idx="13">
                  <c:v>1.6078128188599025E-3</c:v>
                </c:pt>
                <c:pt idx="14">
                  <c:v>1.5508245928606511E-3</c:v>
                </c:pt>
                <c:pt idx="15">
                  <c:v>1.493587677912984E-3</c:v>
                </c:pt>
                <c:pt idx="16">
                  <c:v>1.472662501251199E-3</c:v>
                </c:pt>
                <c:pt idx="17">
                  <c:v>1.4515860077920506E-3</c:v>
                </c:pt>
                <c:pt idx="18">
                  <c:v>1.4300840348321735E-3</c:v>
                </c:pt>
                <c:pt idx="19">
                  <c:v>1.4088259776837754E-3</c:v>
                </c:pt>
                <c:pt idx="20">
                  <c:v>1.3874905659914229E-3</c:v>
                </c:pt>
                <c:pt idx="21">
                  <c:v>1.3987259324854584E-3</c:v>
                </c:pt>
                <c:pt idx="22">
                  <c:v>1.3896808412968869E-3</c:v>
                </c:pt>
                <c:pt idx="23">
                  <c:v>1.3806384440898821E-3</c:v>
                </c:pt>
                <c:pt idx="24">
                  <c:v>1.3715954176475281E-3</c:v>
                </c:pt>
              </c:numCache>
            </c:numRef>
          </c:val>
          <c:extLst>
            <c:ext xmlns:c15="http://schemas.microsoft.com/office/drawing/2012/chart" uri="{02D57815-91ED-43cb-92C2-25804820EDAC}">
              <c15:filteredCategoryTitle>
                <c15:cat>
                  <c:numRef>
                    <c:extLst>
                      <c:ext uri="{02D57815-91ED-43cb-92C2-25804820EDAC}">
                        <c15:formulaRef>
                          <c15:sqref>'Results ReCiPe (H) - HHD'!$AC$333:$BA$333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7-C0BD-4AB5-8510-DEEDEA46A3BB}"/>
            </c:ext>
          </c:extLst>
        </c:ser>
        <c:ser>
          <c:idx val="8"/>
          <c:order val="8"/>
          <c:tx>
            <c:strRef>
              <c:f>'Results ReCiPe (H) - HHD'!$AB$342</c:f>
              <c:strCache>
                <c:ptCount val="1"/>
                <c:pt idx="0">
                  <c:v>CO2 captured and stored</c:v>
                </c:pt>
              </c:strCache>
            </c:strRef>
          </c:tx>
          <c:spPr>
            <a:solidFill>
              <a:schemeClr val="tx2">
                <a:lumMod val="20000"/>
                <a:lumOff val="80000"/>
              </a:schemeClr>
            </a:solidFill>
            <a:ln>
              <a:noFill/>
            </a:ln>
            <a:effectLst/>
          </c:spPr>
          <c:invertIfNegative val="0"/>
          <c:val>
            <c:numRef>
              <c:f>'Results ReCiPe (H) - HHD'!$AC$342:$BA$342</c:f>
              <c:numCache>
                <c:formatCode>0.00E+00</c:formatCode>
                <c:ptCount val="25"/>
                <c:pt idx="0">
                  <c:v>-4.6399999999999997E-2</c:v>
                </c:pt>
                <c:pt idx="1">
                  <c:v>-4.6399999999999997E-2</c:v>
                </c:pt>
                <c:pt idx="2">
                  <c:v>-4.6399999999999997E-2</c:v>
                </c:pt>
                <c:pt idx="3">
                  <c:v>-4.6399999999999997E-2</c:v>
                </c:pt>
                <c:pt idx="4">
                  <c:v>-4.6399999999999997E-2</c:v>
                </c:pt>
                <c:pt idx="5">
                  <c:v>-4.6399999999999997E-2</c:v>
                </c:pt>
                <c:pt idx="6">
                  <c:v>-4.6399999999999997E-2</c:v>
                </c:pt>
                <c:pt idx="7">
                  <c:v>-4.6399999999999997E-2</c:v>
                </c:pt>
                <c:pt idx="8">
                  <c:v>-4.6399999999999997E-2</c:v>
                </c:pt>
                <c:pt idx="9">
                  <c:v>-4.6399999999999997E-2</c:v>
                </c:pt>
                <c:pt idx="10">
                  <c:v>-4.6399999999999997E-2</c:v>
                </c:pt>
                <c:pt idx="11">
                  <c:v>-4.6399999999999997E-2</c:v>
                </c:pt>
                <c:pt idx="12">
                  <c:v>-4.6399999999999997E-2</c:v>
                </c:pt>
                <c:pt idx="13">
                  <c:v>-4.6399999999999997E-2</c:v>
                </c:pt>
                <c:pt idx="14">
                  <c:v>-4.6399999999999997E-2</c:v>
                </c:pt>
                <c:pt idx="15">
                  <c:v>-4.6399999999999997E-2</c:v>
                </c:pt>
                <c:pt idx="16">
                  <c:v>-4.6399999999999997E-2</c:v>
                </c:pt>
                <c:pt idx="17">
                  <c:v>-4.6399999999999997E-2</c:v>
                </c:pt>
                <c:pt idx="18">
                  <c:v>-4.6399999999999997E-2</c:v>
                </c:pt>
                <c:pt idx="19">
                  <c:v>-4.6399999999999997E-2</c:v>
                </c:pt>
                <c:pt idx="20">
                  <c:v>-4.6399999999999997E-2</c:v>
                </c:pt>
                <c:pt idx="21">
                  <c:v>-4.6399999999999997E-2</c:v>
                </c:pt>
                <c:pt idx="22">
                  <c:v>-4.6399999999999997E-2</c:v>
                </c:pt>
                <c:pt idx="23">
                  <c:v>-4.6399999999999997E-2</c:v>
                </c:pt>
                <c:pt idx="24">
                  <c:v>-4.6399999999999997E-2</c:v>
                </c:pt>
              </c:numCache>
            </c:numRef>
          </c:val>
          <c:extLst>
            <c:ext xmlns:c15="http://schemas.microsoft.com/office/drawing/2012/chart" uri="{02D57815-91ED-43cb-92C2-25804820EDAC}">
              <c15:filteredCategoryTitle>
                <c15:cat>
                  <c:numRef>
                    <c:extLst>
                      <c:ext uri="{02D57815-91ED-43cb-92C2-25804820EDAC}">
                        <c15:formulaRef>
                          <c15:sqref>'Results ReCiPe (H) - HHD'!$AC$333:$BA$333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8-C0BD-4AB5-8510-DEEDEA46A3BB}"/>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(H) - HHD'!$AB$343</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val>
            <c:numRef>
              <c:f>'Results ReCiPe (H) - HHD'!$AC$343:$BA$343</c:f>
              <c:numCache>
                <c:formatCode>0.00E+00</c:formatCode>
                <c:ptCount val="25"/>
                <c:pt idx="0">
                  <c:v>0.17770630462226539</c:v>
                </c:pt>
                <c:pt idx="1">
                  <c:v>1.7610628234601397E-2</c:v>
                </c:pt>
                <c:pt idx="2">
                  <c:v>1.7355403970105543E-2</c:v>
                </c:pt>
                <c:pt idx="3">
                  <c:v>1.9281965738959447E-2</c:v>
                </c:pt>
                <c:pt idx="4">
                  <c:v>1.6797219015265957E-2</c:v>
                </c:pt>
                <c:pt idx="5">
                  <c:v>1.6533851243477088E-2</c:v>
                </c:pt>
                <c:pt idx="6">
                  <c:v>1.8467750531387786E-2</c:v>
                </c:pt>
                <c:pt idx="7">
                  <c:v>1.6087395511783252E-2</c:v>
                </c:pt>
                <c:pt idx="8">
                  <c:v>1.5857113836642379E-2</c:v>
                </c:pt>
                <c:pt idx="9">
                  <c:v>1.7740320090368605E-2</c:v>
                </c:pt>
                <c:pt idx="10">
                  <c:v>1.5441320743394174E-2</c:v>
                </c:pt>
                <c:pt idx="11">
                  <c:v>1.5287377879060281E-2</c:v>
                </c:pt>
                <c:pt idx="12">
                  <c:v>1.7148024811147786E-2</c:v>
                </c:pt>
                <c:pt idx="13">
                  <c:v>1.4983682501231048E-2</c:v>
                </c:pt>
                <c:pt idx="14">
                  <c:v>1.4838129888976551E-2</c:v>
                </c:pt>
                <c:pt idx="15">
                  <c:v>1.6619739317362756E-2</c:v>
                </c:pt>
                <c:pt idx="16">
                  <c:v>1.4625652954102571E-2</c:v>
                </c:pt>
                <c:pt idx="17">
                  <c:v>1.4558169135148513E-2</c:v>
                </c:pt>
                <c:pt idx="18">
                  <c:v>1.6354617852254921E-2</c:v>
                </c:pt>
                <c:pt idx="19">
                  <c:v>1.4421708461563272E-2</c:v>
                </c:pt>
                <c:pt idx="20">
                  <c:v>1.43590226535312E-2</c:v>
                </c:pt>
                <c:pt idx="21">
                  <c:v>1.6338261968890683E-2</c:v>
                </c:pt>
                <c:pt idx="22">
                  <c:v>1.4487641710203766E-2</c:v>
                </c:pt>
                <c:pt idx="23">
                  <c:v>1.4476536610212497E-2</c:v>
                </c:pt>
                <c:pt idx="24">
                  <c:v>1.7517815291549166E-2</c:v>
                </c:pt>
              </c:numCache>
            </c:numRef>
          </c:val>
          <c:smooth val="0"/>
          <c:extLst>
            <c:ext xmlns:c15="http://schemas.microsoft.com/office/drawing/2012/chart" uri="{02D57815-91ED-43cb-92C2-25804820EDAC}">
              <c15:filteredCategoryTitle>
                <c15:cat>
                  <c:numRef>
                    <c:extLst>
                      <c:ext uri="{02D57815-91ED-43cb-92C2-25804820EDAC}">
                        <c15:formulaRef>
                          <c15:sqref>'Results ReCiPe (H) - HHD'!$AC$333:$BA$333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9-C0BD-4AB5-8510-DEEDEA46A3BB}"/>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nl-NL"/>
                  <a:t>years</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NL"/>
            </a:p>
          </c:txPr>
        </c:title>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Human</a:t>
                </a:r>
                <a:r>
                  <a:rPr lang="nl-NL" baseline="0"/>
                  <a:t> health</a:t>
                </a:r>
                <a:r>
                  <a:rPr lang="nl-NL"/>
                  <a:t> damage </a:t>
                </a:r>
                <a:br>
                  <a:rPr lang="nl-NL"/>
                </a:br>
                <a:r>
                  <a:rPr lang="nl-NL"/>
                  <a:t>(DALY/ton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HHD'!$AB$395</c:f>
              <c:strCache>
                <c:ptCount val="1"/>
                <c:pt idx="0">
                  <c:v>Construction - DAC</c:v>
                </c:pt>
              </c:strCache>
            </c:strRef>
          </c:tx>
          <c:spPr>
            <a:solidFill>
              <a:schemeClr val="accent4">
                <a:lumMod val="75000"/>
              </a:schemeClr>
            </a:solidFill>
            <a:ln>
              <a:noFill/>
            </a:ln>
            <a:effectLst/>
          </c:spPr>
          <c:invertIfNegative val="0"/>
          <c:val>
            <c:numRef>
              <c:f>'Results ReCiPe (H) - HHD'!$AC$395:$BA$395</c:f>
              <c:numCache>
                <c:formatCode>0.00E+00</c:formatCode>
                <c:ptCount val="25"/>
                <c:pt idx="0">
                  <c:v>0.13774913518918389</c:v>
                </c:pt>
              </c:numCache>
            </c:numRef>
          </c:val>
          <c:extLst>
            <c:ext xmlns:c15="http://schemas.microsoft.com/office/drawing/2012/chart" uri="{02D57815-91ED-43cb-92C2-25804820EDAC}">
              <c15:filteredCategoryTitle>
                <c15:cat>
                  <c:numRef>
                    <c:extLst>
                      <c:ext uri="{02D57815-91ED-43cb-92C2-25804820EDAC}">
                        <c15:formulaRef>
                          <c15:sqref>'Results ReCiPe (H) - HHD'!$AC$394:$BA$394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0-D096-47AC-ABDF-56F7D81A5132}"/>
            </c:ext>
          </c:extLst>
        </c:ser>
        <c:ser>
          <c:idx val="1"/>
          <c:order val="1"/>
          <c:tx>
            <c:strRef>
              <c:f>'Results ReCiPe (H) - HHD'!$AB$396</c:f>
              <c:strCache>
                <c:ptCount val="1"/>
                <c:pt idx="0">
                  <c:v>Construction - geological storage</c:v>
                </c:pt>
              </c:strCache>
            </c:strRef>
          </c:tx>
          <c:spPr>
            <a:solidFill>
              <a:schemeClr val="accent4">
                <a:lumMod val="60000"/>
                <a:lumOff val="40000"/>
              </a:schemeClr>
            </a:solidFill>
            <a:ln>
              <a:noFill/>
            </a:ln>
            <a:effectLst/>
          </c:spPr>
          <c:invertIfNegative val="0"/>
          <c:val>
            <c:numRef>
              <c:f>'Results ReCiPe (H) - HHD'!$AC$396:$BA$396</c:f>
              <c:numCache>
                <c:formatCode>0.00E+00</c:formatCode>
                <c:ptCount val="25"/>
                <c:pt idx="0">
                  <c:v>4.4887183709256375E-3</c:v>
                </c:pt>
              </c:numCache>
            </c:numRef>
          </c:val>
          <c:extLst>
            <c:ext xmlns:c15="http://schemas.microsoft.com/office/drawing/2012/chart" uri="{02D57815-91ED-43cb-92C2-25804820EDAC}">
              <c15:filteredCategoryTitle>
                <c15:cat>
                  <c:numRef>
                    <c:extLst>
                      <c:ext uri="{02D57815-91ED-43cb-92C2-25804820EDAC}">
                        <c15:formulaRef>
                          <c15:sqref>'Results ReCiPe (H) - HHD'!$AC$394:$BA$394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1-D096-47AC-ABDF-56F7D81A5132}"/>
            </c:ext>
          </c:extLst>
        </c:ser>
        <c:ser>
          <c:idx val="2"/>
          <c:order val="2"/>
          <c:tx>
            <c:strRef>
              <c:f>'Results ReCiPe (H) - HHD'!$AB$397</c:f>
              <c:strCache>
                <c:ptCount val="1"/>
                <c:pt idx="0">
                  <c:v>Deconstruction - DAC</c:v>
                </c:pt>
              </c:strCache>
            </c:strRef>
          </c:tx>
          <c:spPr>
            <a:solidFill>
              <a:schemeClr val="accent2">
                <a:lumMod val="40000"/>
                <a:lumOff val="60000"/>
              </a:schemeClr>
            </a:solidFill>
            <a:ln>
              <a:noFill/>
            </a:ln>
            <a:effectLst/>
          </c:spPr>
          <c:invertIfNegative val="0"/>
          <c:val>
            <c:numRef>
              <c:f>'Results ReCiPe (H) - HHD'!$AC$397:$BA$397</c:f>
              <c:numCache>
                <c:formatCode>0.00E+00</c:formatCode>
                <c:ptCount val="25"/>
                <c:pt idx="24">
                  <c:v>1.1364491829356034E-3</c:v>
                </c:pt>
              </c:numCache>
            </c:numRef>
          </c:val>
          <c:extLst>
            <c:ext xmlns:c15="http://schemas.microsoft.com/office/drawing/2012/chart" uri="{02D57815-91ED-43cb-92C2-25804820EDAC}">
              <c15:filteredCategoryTitle>
                <c15:cat>
                  <c:numRef>
                    <c:extLst>
                      <c:ext uri="{02D57815-91ED-43cb-92C2-25804820EDAC}">
                        <c15:formulaRef>
                          <c15:sqref>'Results ReCiPe (H) - HHD'!$AC$394:$BA$394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2-D096-47AC-ABDF-56F7D81A5132}"/>
            </c:ext>
          </c:extLst>
        </c:ser>
        <c:ser>
          <c:idx val="3"/>
          <c:order val="3"/>
          <c:tx>
            <c:strRef>
              <c:f>'Results ReCiPe (H) - HHD'!$AB$398</c:f>
              <c:strCache>
                <c:ptCount val="1"/>
                <c:pt idx="0">
                  <c:v>Deconstruction - geological storage</c:v>
                </c:pt>
              </c:strCache>
            </c:strRef>
          </c:tx>
          <c:spPr>
            <a:solidFill>
              <a:srgbClr val="FF9900"/>
            </a:solidFill>
            <a:ln>
              <a:noFill/>
            </a:ln>
            <a:effectLst/>
          </c:spPr>
          <c:invertIfNegative val="0"/>
          <c:val>
            <c:numRef>
              <c:f>'Results ReCiPe (H) - HHD'!$AC$398:$BA$398</c:f>
              <c:numCache>
                <c:formatCode>0.00E+00</c:formatCode>
                <c:ptCount val="25"/>
                <c:pt idx="24">
                  <c:v>1.7020923788049538E-5</c:v>
                </c:pt>
              </c:numCache>
            </c:numRef>
          </c:val>
          <c:extLst>
            <c:ext xmlns:c15="http://schemas.microsoft.com/office/drawing/2012/chart" uri="{02D57815-91ED-43cb-92C2-25804820EDAC}">
              <c15:filteredCategoryTitle>
                <c15:cat>
                  <c:numRef>
                    <c:extLst>
                      <c:ext uri="{02D57815-91ED-43cb-92C2-25804820EDAC}">
                        <c15:formulaRef>
                          <c15:sqref>'Results ReCiPe (H) - HHD'!$AC$394:$BA$394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3-D096-47AC-ABDF-56F7D81A5132}"/>
            </c:ext>
          </c:extLst>
        </c:ser>
        <c:ser>
          <c:idx val="4"/>
          <c:order val="4"/>
          <c:tx>
            <c:strRef>
              <c:f>'Results ReCiPe (H) - HHD'!$AB$399</c:f>
              <c:strCache>
                <c:ptCount val="1"/>
                <c:pt idx="0">
                  <c:v>Sorbent material</c:v>
                </c:pt>
              </c:strCache>
            </c:strRef>
          </c:tx>
          <c:spPr>
            <a:solidFill>
              <a:srgbClr val="FF8F8F"/>
            </a:solidFill>
            <a:ln>
              <a:noFill/>
            </a:ln>
            <a:effectLst/>
          </c:spPr>
          <c:invertIfNegative val="0"/>
          <c:val>
            <c:numRef>
              <c:f>'Results ReCiPe (H) - HHD'!$AC$399:$BA$399</c:f>
              <c:numCache>
                <c:formatCode>0.00E+00</c:formatCode>
                <c:ptCount val="25"/>
                <c:pt idx="0">
                  <c:v>1.9848842622015748E-3</c:v>
                </c:pt>
                <c:pt idx="3">
                  <c:v>1.889975707684352E-3</c:v>
                </c:pt>
                <c:pt idx="6">
                  <c:v>1.8240269819210511E-3</c:v>
                </c:pt>
                <c:pt idx="9">
                  <c:v>1.8069758007361711E-3</c:v>
                </c:pt>
                <c:pt idx="12">
                  <c:v>1.799728004873463E-3</c:v>
                </c:pt>
                <c:pt idx="15">
                  <c:v>1.7946676192961261E-3</c:v>
                </c:pt>
                <c:pt idx="18">
                  <c:v>1.786311731211142E-3</c:v>
                </c:pt>
                <c:pt idx="21">
                  <c:v>1.790817045871237E-3</c:v>
                </c:pt>
                <c:pt idx="24">
                  <c:v>1.786892271072078E-3</c:v>
                </c:pt>
              </c:numCache>
            </c:numRef>
          </c:val>
          <c:extLst>
            <c:ext xmlns:c15="http://schemas.microsoft.com/office/drawing/2012/chart" uri="{02D57815-91ED-43cb-92C2-25804820EDAC}">
              <c15:filteredCategoryTitle>
                <c15:cat>
                  <c:numRef>
                    <c:extLst>
                      <c:ext uri="{02D57815-91ED-43cb-92C2-25804820EDAC}">
                        <c15:formulaRef>
                          <c15:sqref>'Results ReCiPe (H) - HHD'!$AC$394:$BA$394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4-D096-47AC-ABDF-56F7D81A5132}"/>
            </c:ext>
          </c:extLst>
        </c:ser>
        <c:ser>
          <c:idx val="5"/>
          <c:order val="5"/>
          <c:tx>
            <c:strRef>
              <c:f>'Results ReCiPe (H) - HHD'!$AB$400</c:f>
              <c:strCache>
                <c:ptCount val="1"/>
                <c:pt idx="0">
                  <c:v>Battery</c:v>
                </c:pt>
              </c:strCache>
            </c:strRef>
          </c:tx>
          <c:spPr>
            <a:solidFill>
              <a:schemeClr val="accent6">
                <a:lumMod val="50000"/>
              </a:schemeClr>
            </a:solidFill>
            <a:ln>
              <a:noFill/>
            </a:ln>
            <a:effectLst/>
          </c:spPr>
          <c:invertIfNegative val="0"/>
          <c:val>
            <c:numRef>
              <c:f>'Results ReCiPe (H) - HHD'!$AC$400:$BA$400</c:f>
              <c:numCache>
                <c:formatCode>0.00E+00</c:formatCode>
                <c:ptCount val="25"/>
                <c:pt idx="0">
                  <c:v>3.4093916043373432E-2</c:v>
                </c:pt>
                <c:pt idx="1">
                  <c:v>3.4093916043373432E-2</c:v>
                </c:pt>
                <c:pt idx="2">
                  <c:v>3.4093916043373432E-2</c:v>
                </c:pt>
                <c:pt idx="3">
                  <c:v>3.4093916043373432E-2</c:v>
                </c:pt>
                <c:pt idx="4">
                  <c:v>3.4093916043373432E-2</c:v>
                </c:pt>
                <c:pt idx="5">
                  <c:v>3.4093916043373432E-2</c:v>
                </c:pt>
                <c:pt idx="6">
                  <c:v>3.4093916043373432E-2</c:v>
                </c:pt>
                <c:pt idx="7">
                  <c:v>3.4093916043373432E-2</c:v>
                </c:pt>
                <c:pt idx="8">
                  <c:v>3.4093916043373432E-2</c:v>
                </c:pt>
                <c:pt idx="9">
                  <c:v>3.4093916043373432E-2</c:v>
                </c:pt>
                <c:pt idx="10">
                  <c:v>3.4093916043373432E-2</c:v>
                </c:pt>
                <c:pt idx="11">
                  <c:v>3.4093916043373432E-2</c:v>
                </c:pt>
                <c:pt idx="12">
                  <c:v>3.4093916043373432E-2</c:v>
                </c:pt>
                <c:pt idx="13">
                  <c:v>3.4093916043373432E-2</c:v>
                </c:pt>
                <c:pt idx="14">
                  <c:v>3.4093916043373432E-2</c:v>
                </c:pt>
                <c:pt idx="15">
                  <c:v>3.4093916043373432E-2</c:v>
                </c:pt>
                <c:pt idx="16">
                  <c:v>3.4093916043373432E-2</c:v>
                </c:pt>
                <c:pt idx="17">
                  <c:v>3.4093916043373432E-2</c:v>
                </c:pt>
                <c:pt idx="18">
                  <c:v>3.4093916043373432E-2</c:v>
                </c:pt>
                <c:pt idx="19">
                  <c:v>3.4093916043373432E-2</c:v>
                </c:pt>
                <c:pt idx="20">
                  <c:v>3.4093916043373432E-2</c:v>
                </c:pt>
                <c:pt idx="21">
                  <c:v>3.4093916043373432E-2</c:v>
                </c:pt>
                <c:pt idx="22">
                  <c:v>3.4093916043373432E-2</c:v>
                </c:pt>
                <c:pt idx="23">
                  <c:v>3.4093916043373432E-2</c:v>
                </c:pt>
                <c:pt idx="24">
                  <c:v>3.4093916043373432E-2</c:v>
                </c:pt>
              </c:numCache>
            </c:numRef>
          </c:val>
          <c:extLst>
            <c:ext xmlns:c15="http://schemas.microsoft.com/office/drawing/2012/chart" uri="{02D57815-91ED-43cb-92C2-25804820EDAC}">
              <c15:filteredCategoryTitle>
                <c15:cat>
                  <c:numRef>
                    <c:extLst>
                      <c:ext uri="{02D57815-91ED-43cb-92C2-25804820EDAC}">
                        <c15:formulaRef>
                          <c15:sqref>'Results ReCiPe (H) - HHD'!$AC$394:$BA$394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5-D096-47AC-ABDF-56F7D81A5132}"/>
            </c:ext>
          </c:extLst>
        </c:ser>
        <c:ser>
          <c:idx val="6"/>
          <c:order val="6"/>
          <c:tx>
            <c:strRef>
              <c:f>'Results ReCiPe (H) - HHD'!$AB$401</c:f>
              <c:strCache>
                <c:ptCount val="1"/>
                <c:pt idx="0">
                  <c:v>Operation - DAC</c:v>
                </c:pt>
              </c:strCache>
            </c:strRef>
          </c:tx>
          <c:spPr>
            <a:solidFill>
              <a:schemeClr val="accent2">
                <a:lumMod val="75000"/>
              </a:schemeClr>
            </a:solidFill>
            <a:ln>
              <a:noFill/>
            </a:ln>
            <a:effectLst/>
          </c:spPr>
          <c:invertIfNegative val="0"/>
          <c:val>
            <c:numRef>
              <c:f>'Results ReCiPe (H) - HHD'!$AC$401:$BA$401</c:f>
              <c:numCache>
                <c:formatCode>0.00E+00</c:formatCode>
                <c:ptCount val="25"/>
                <c:pt idx="0">
                  <c:v>2.3287088111872252E-2</c:v>
                </c:pt>
                <c:pt idx="1">
                  <c:v>2.3155261909047299E-2</c:v>
                </c:pt>
                <c:pt idx="2">
                  <c:v>2.3022561684121871E-2</c:v>
                </c:pt>
                <c:pt idx="3">
                  <c:v>2.2850508548696778E-2</c:v>
                </c:pt>
                <c:pt idx="4">
                  <c:v>2.2711112085667364E-2</c:v>
                </c:pt>
                <c:pt idx="5">
                  <c:v>2.2569725708316092E-2</c:v>
                </c:pt>
                <c:pt idx="6">
                  <c:v>2.2511239056159222E-2</c:v>
                </c:pt>
                <c:pt idx="7">
                  <c:v>2.2457514182959971E-2</c:v>
                </c:pt>
                <c:pt idx="8">
                  <c:v>2.2390458299827595E-2</c:v>
                </c:pt>
                <c:pt idx="9">
                  <c:v>2.2343781410811381E-2</c:v>
                </c:pt>
                <c:pt idx="10">
                  <c:v>2.2300115776085223E-2</c:v>
                </c:pt>
                <c:pt idx="11">
                  <c:v>2.2274251263911606E-2</c:v>
                </c:pt>
                <c:pt idx="12">
                  <c:v>2.2251904187837252E-2</c:v>
                </c:pt>
                <c:pt idx="13">
                  <c:v>2.2227607869295677E-2</c:v>
                </c:pt>
                <c:pt idx="14">
                  <c:v>2.2209561730615349E-2</c:v>
                </c:pt>
                <c:pt idx="15">
                  <c:v>2.2192785967190775E-2</c:v>
                </c:pt>
                <c:pt idx="16">
                  <c:v>2.2185527477797853E-2</c:v>
                </c:pt>
                <c:pt idx="17">
                  <c:v>2.2178486437026447E-2</c:v>
                </c:pt>
                <c:pt idx="18">
                  <c:v>2.2167410309395539E-2</c:v>
                </c:pt>
                <c:pt idx="19">
                  <c:v>2.2160494210171626E-2</c:v>
                </c:pt>
                <c:pt idx="20">
                  <c:v>2.2151742786651041E-2</c:v>
                </c:pt>
                <c:pt idx="21">
                  <c:v>2.2290503926919003E-2</c:v>
                </c:pt>
                <c:pt idx="22">
                  <c:v>2.2294093728597822E-2</c:v>
                </c:pt>
                <c:pt idx="23">
                  <c:v>2.2297679457918593E-2</c:v>
                </c:pt>
                <c:pt idx="24">
                  <c:v>2.2301262438572052E-2</c:v>
                </c:pt>
              </c:numCache>
            </c:numRef>
          </c:val>
          <c:extLst>
            <c:ext xmlns:c15="http://schemas.microsoft.com/office/drawing/2012/chart" uri="{02D57815-91ED-43cb-92C2-25804820EDAC}">
              <c15:filteredCategoryTitle>
                <c15:cat>
                  <c:numRef>
                    <c:extLst>
                      <c:ext uri="{02D57815-91ED-43cb-92C2-25804820EDAC}">
                        <c15:formulaRef>
                          <c15:sqref>'Results ReCiPe (H) - HHD'!$AC$394:$BA$394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6-D096-47AC-ABDF-56F7D81A5132}"/>
            </c:ext>
          </c:extLst>
        </c:ser>
        <c:ser>
          <c:idx val="7"/>
          <c:order val="7"/>
          <c:tx>
            <c:strRef>
              <c:f>'Results ReCiPe (H) - HHD'!$AB$402</c:f>
              <c:strCache>
                <c:ptCount val="1"/>
                <c:pt idx="0">
                  <c:v>Operation - geological storage</c:v>
                </c:pt>
              </c:strCache>
            </c:strRef>
          </c:tx>
          <c:spPr>
            <a:solidFill>
              <a:schemeClr val="accent2">
                <a:lumMod val="50000"/>
              </a:schemeClr>
            </a:solidFill>
            <a:ln>
              <a:noFill/>
            </a:ln>
            <a:effectLst/>
          </c:spPr>
          <c:invertIfNegative val="0"/>
          <c:val>
            <c:numRef>
              <c:f>'Results ReCiPe (H) - HHD'!$AC$402:$BA$402</c:f>
              <c:numCache>
                <c:formatCode>0.00E+00</c:formatCode>
                <c:ptCount val="25"/>
                <c:pt idx="0">
                  <c:v>1.8796232507405724E-3</c:v>
                </c:pt>
                <c:pt idx="1">
                  <c:v>1.767437096444841E-3</c:v>
                </c:pt>
                <c:pt idx="2">
                  <c:v>1.6553682397989925E-3</c:v>
                </c:pt>
                <c:pt idx="3">
                  <c:v>1.541162652740084E-3</c:v>
                </c:pt>
                <c:pt idx="4">
                  <c:v>1.429250799525047E-3</c:v>
                </c:pt>
                <c:pt idx="5">
                  <c:v>1.317552118087903E-3</c:v>
                </c:pt>
                <c:pt idx="6">
                  <c:v>1.307547893754297E-3</c:v>
                </c:pt>
                <c:pt idx="7">
                  <c:v>1.2973780865445515E-3</c:v>
                </c:pt>
                <c:pt idx="8">
                  <c:v>1.2853332518365564E-3</c:v>
                </c:pt>
                <c:pt idx="9">
                  <c:v>1.2747452548759945E-3</c:v>
                </c:pt>
                <c:pt idx="10">
                  <c:v>1.2639637747744626E-3</c:v>
                </c:pt>
                <c:pt idx="11">
                  <c:v>1.258323302603104E-3</c:v>
                </c:pt>
                <c:pt idx="12">
                  <c:v>1.2527738376579851E-3</c:v>
                </c:pt>
                <c:pt idx="13">
                  <c:v>1.2468726763347718E-3</c:v>
                </c:pt>
                <c:pt idx="14">
                  <c:v>1.2413361835459246E-3</c:v>
                </c:pt>
                <c:pt idx="15">
                  <c:v>1.2358162695505794E-3</c:v>
                </c:pt>
                <c:pt idx="16">
                  <c:v>1.2116122530413046E-3</c:v>
                </c:pt>
                <c:pt idx="17">
                  <c:v>1.1873129933379749E-3</c:v>
                </c:pt>
                <c:pt idx="18">
                  <c:v>1.1626512182431733E-3</c:v>
                </c:pt>
                <c:pt idx="19">
                  <c:v>1.1383078676523936E-3</c:v>
                </c:pt>
                <c:pt idx="20">
                  <c:v>1.113918106054108E-3</c:v>
                </c:pt>
                <c:pt idx="21">
                  <c:v>1.1199282501234316E-3</c:v>
                </c:pt>
                <c:pt idx="22">
                  <c:v>1.1045187024916476E-3</c:v>
                </c:pt>
                <c:pt idx="23">
                  <c:v>1.0891131190807245E-3</c:v>
                </c:pt>
                <c:pt idx="24">
                  <c:v>1.0737086355349719E-3</c:v>
                </c:pt>
              </c:numCache>
            </c:numRef>
          </c:val>
          <c:extLst>
            <c:ext xmlns:c15="http://schemas.microsoft.com/office/drawing/2012/chart" uri="{02D57815-91ED-43cb-92C2-25804820EDAC}">
              <c15:filteredCategoryTitle>
                <c15:cat>
                  <c:numRef>
                    <c:extLst>
                      <c:ext uri="{02D57815-91ED-43cb-92C2-25804820EDAC}">
                        <c15:formulaRef>
                          <c15:sqref>'Results ReCiPe (H) - HHD'!$AC$394:$BA$394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7-D096-47AC-ABDF-56F7D81A5132}"/>
            </c:ext>
          </c:extLst>
        </c:ser>
        <c:ser>
          <c:idx val="8"/>
          <c:order val="8"/>
          <c:tx>
            <c:strRef>
              <c:f>'Results ReCiPe (H) - HHD'!$AB$403</c:f>
              <c:strCache>
                <c:ptCount val="1"/>
                <c:pt idx="0">
                  <c:v>CO2 captured and stored</c:v>
                </c:pt>
              </c:strCache>
            </c:strRef>
          </c:tx>
          <c:spPr>
            <a:solidFill>
              <a:schemeClr val="tx2">
                <a:lumMod val="20000"/>
                <a:lumOff val="80000"/>
              </a:schemeClr>
            </a:solidFill>
            <a:ln>
              <a:noFill/>
            </a:ln>
            <a:effectLst/>
          </c:spPr>
          <c:invertIfNegative val="0"/>
          <c:val>
            <c:numRef>
              <c:f>'Results ReCiPe (H) - HHD'!$AC$403:$BA$403</c:f>
              <c:numCache>
                <c:formatCode>0.00E+00</c:formatCode>
                <c:ptCount val="25"/>
                <c:pt idx="0">
                  <c:v>-4.6399999999999997E-2</c:v>
                </c:pt>
                <c:pt idx="1">
                  <c:v>-4.6399999999999997E-2</c:v>
                </c:pt>
                <c:pt idx="2">
                  <c:v>-4.6399999999999997E-2</c:v>
                </c:pt>
                <c:pt idx="3">
                  <c:v>-4.6399999999999997E-2</c:v>
                </c:pt>
                <c:pt idx="4">
                  <c:v>-4.6399999999999997E-2</c:v>
                </c:pt>
                <c:pt idx="5">
                  <c:v>-4.6399999999999997E-2</c:v>
                </c:pt>
                <c:pt idx="6">
                  <c:v>-4.6399999999999997E-2</c:v>
                </c:pt>
                <c:pt idx="7">
                  <c:v>-4.6399999999999997E-2</c:v>
                </c:pt>
                <c:pt idx="8">
                  <c:v>-4.6399999999999997E-2</c:v>
                </c:pt>
                <c:pt idx="9">
                  <c:v>-4.6399999999999997E-2</c:v>
                </c:pt>
                <c:pt idx="10">
                  <c:v>-4.6399999999999997E-2</c:v>
                </c:pt>
                <c:pt idx="11">
                  <c:v>-4.6399999999999997E-2</c:v>
                </c:pt>
                <c:pt idx="12">
                  <c:v>-4.6399999999999997E-2</c:v>
                </c:pt>
                <c:pt idx="13">
                  <c:v>-4.6399999999999997E-2</c:v>
                </c:pt>
                <c:pt idx="14">
                  <c:v>-4.6399999999999997E-2</c:v>
                </c:pt>
                <c:pt idx="15">
                  <c:v>-4.6399999999999997E-2</c:v>
                </c:pt>
                <c:pt idx="16">
                  <c:v>-4.6399999999999997E-2</c:v>
                </c:pt>
                <c:pt idx="17">
                  <c:v>-4.6399999999999997E-2</c:v>
                </c:pt>
                <c:pt idx="18">
                  <c:v>-4.6399999999999997E-2</c:v>
                </c:pt>
                <c:pt idx="19">
                  <c:v>-4.6399999999999997E-2</c:v>
                </c:pt>
                <c:pt idx="20">
                  <c:v>-4.6399999999999997E-2</c:v>
                </c:pt>
                <c:pt idx="21">
                  <c:v>-4.6399999999999997E-2</c:v>
                </c:pt>
                <c:pt idx="22">
                  <c:v>-4.6399999999999997E-2</c:v>
                </c:pt>
                <c:pt idx="23">
                  <c:v>-4.6399999999999997E-2</c:v>
                </c:pt>
                <c:pt idx="24">
                  <c:v>-4.6399999999999997E-2</c:v>
                </c:pt>
              </c:numCache>
            </c:numRef>
          </c:val>
          <c:extLst>
            <c:ext xmlns:c15="http://schemas.microsoft.com/office/drawing/2012/chart" uri="{02D57815-91ED-43cb-92C2-25804820EDAC}">
              <c15:filteredCategoryTitle>
                <c15:cat>
                  <c:numRef>
                    <c:extLst>
                      <c:ext uri="{02D57815-91ED-43cb-92C2-25804820EDAC}">
                        <c15:formulaRef>
                          <c15:sqref>'Results ReCiPe (H) - HHD'!$AC$394:$BA$394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8-D096-47AC-ABDF-56F7D81A5132}"/>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(H) - HHD'!$AB$404</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val>
            <c:numRef>
              <c:f>'Results ReCiPe (H) - HHD'!$AC$404:$BA$404</c:f>
              <c:numCache>
                <c:formatCode>0.00E+00</c:formatCode>
                <c:ptCount val="25"/>
                <c:pt idx="0">
                  <c:v>0.15708336522829733</c:v>
                </c:pt>
                <c:pt idx="1">
                  <c:v>1.2616615048865576E-2</c:v>
                </c:pt>
                <c:pt idx="2">
                  <c:v>1.2371845967294293E-2</c:v>
                </c:pt>
                <c:pt idx="3">
                  <c:v>1.397556295249465E-2</c:v>
                </c:pt>
                <c:pt idx="4">
                  <c:v>1.1834278928565853E-2</c:v>
                </c:pt>
                <c:pt idx="5">
                  <c:v>1.1581193869777427E-2</c:v>
                </c:pt>
                <c:pt idx="6">
                  <c:v>1.3336729975208003E-2</c:v>
                </c:pt>
                <c:pt idx="7">
                  <c:v>1.1448808312877957E-2</c:v>
                </c:pt>
                <c:pt idx="8">
                  <c:v>1.1369707595037588E-2</c:v>
                </c:pt>
                <c:pt idx="9">
                  <c:v>1.3119418509796983E-2</c:v>
                </c:pt>
                <c:pt idx="10">
                  <c:v>1.1257995594233114E-2</c:v>
                </c:pt>
                <c:pt idx="11">
                  <c:v>1.1226490609888146E-2</c:v>
                </c:pt>
                <c:pt idx="12">
                  <c:v>1.299832207374213E-2</c:v>
                </c:pt>
                <c:pt idx="13">
                  <c:v>1.1168396589003877E-2</c:v>
                </c:pt>
                <c:pt idx="14">
                  <c:v>1.1144813957534708E-2</c:v>
                </c:pt>
                <c:pt idx="15">
                  <c:v>1.2917185899410918E-2</c:v>
                </c:pt>
                <c:pt idx="16">
                  <c:v>1.1091055774212592E-2</c:v>
                </c:pt>
                <c:pt idx="17">
                  <c:v>1.1059715473737859E-2</c:v>
                </c:pt>
                <c:pt idx="18">
                  <c:v>1.2810289302223291E-2</c:v>
                </c:pt>
                <c:pt idx="19">
                  <c:v>1.0992718121197453E-2</c:v>
                </c:pt>
                <c:pt idx="20">
                  <c:v>1.0959576936078581E-2</c:v>
                </c:pt>
                <c:pt idx="21">
                  <c:v>1.2895165266287104E-2</c:v>
                </c:pt>
                <c:pt idx="22">
                  <c:v>1.1092528474462904E-2</c:v>
                </c:pt>
                <c:pt idx="23">
                  <c:v>1.1080708620372755E-2</c:v>
                </c:pt>
                <c:pt idx="24">
                  <c:v>1.400924949527619E-2</c:v>
                </c:pt>
              </c:numCache>
            </c:numRef>
          </c:val>
          <c:smooth val="0"/>
          <c:extLst>
            <c:ext xmlns:c15="http://schemas.microsoft.com/office/drawing/2012/chart" uri="{02D57815-91ED-43cb-92C2-25804820EDAC}">
              <c15:filteredCategoryTitle>
                <c15:cat>
                  <c:numRef>
                    <c:extLst>
                      <c:ext uri="{02D57815-91ED-43cb-92C2-25804820EDAC}">
                        <c15:formulaRef>
                          <c15:sqref>'Results ReCiPe (H) - HHD'!$AC$394:$BA$394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9-D096-47AC-ABDF-56F7D81A5132}"/>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nl-NL"/>
                  <a:t>years</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NL"/>
            </a:p>
          </c:txPr>
        </c:title>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Human</a:t>
                </a:r>
                <a:r>
                  <a:rPr lang="nl-NL" baseline="0"/>
                  <a:t> health</a:t>
                </a:r>
                <a:r>
                  <a:rPr lang="nl-NL"/>
                  <a:t> damage </a:t>
                </a:r>
                <a:br>
                  <a:rPr lang="nl-NL"/>
                </a:br>
                <a:r>
                  <a:rPr lang="nl-NL"/>
                  <a:t>(DALY/ton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ESD'!$AB$10</c:f>
              <c:strCache>
                <c:ptCount val="1"/>
                <c:pt idx="0">
                  <c:v>Construction - DAC</c:v>
                </c:pt>
              </c:strCache>
            </c:strRef>
          </c:tx>
          <c:spPr>
            <a:solidFill>
              <a:schemeClr val="accent4">
                <a:lumMod val="75000"/>
              </a:schemeClr>
            </a:solidFill>
            <a:ln>
              <a:noFill/>
            </a:ln>
            <a:effectLst/>
          </c:spPr>
          <c:invertIfNegative val="0"/>
          <c:cat>
            <c:numRef>
              <c:f>'Results ReCiPe (H) - ESD'!$AC$9:$BA$9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ESD'!$AC$10:$BA$10</c:f>
              <c:numCache>
                <c:formatCode>0.00E+00</c:formatCode>
                <c:ptCount val="25"/>
                <c:pt idx="0">
                  <c:v>1.9467533260507852E-4</c:v>
                </c:pt>
              </c:numCache>
            </c:numRef>
          </c:val>
          <c:extLst>
            <c:ext xmlns:c16="http://schemas.microsoft.com/office/drawing/2014/chart" uri="{C3380CC4-5D6E-409C-BE32-E72D297353CC}">
              <c16:uniqueId val="{00000000-F882-4A5E-9C1E-901124DC8479}"/>
            </c:ext>
          </c:extLst>
        </c:ser>
        <c:ser>
          <c:idx val="1"/>
          <c:order val="1"/>
          <c:tx>
            <c:strRef>
              <c:f>'Results ReCiPe (H) - ESD'!$AB$11</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(H) - ESD'!$AC$9:$BA$9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ESD'!$AC$11:$BA$11</c:f>
              <c:numCache>
                <c:formatCode>0.00E+00</c:formatCode>
                <c:ptCount val="25"/>
                <c:pt idx="0">
                  <c:v>1.1362073373089257E-5</c:v>
                </c:pt>
              </c:numCache>
            </c:numRef>
          </c:val>
          <c:extLst>
            <c:ext xmlns:c16="http://schemas.microsoft.com/office/drawing/2014/chart" uri="{C3380CC4-5D6E-409C-BE32-E72D297353CC}">
              <c16:uniqueId val="{00000001-F882-4A5E-9C1E-901124DC8479}"/>
            </c:ext>
          </c:extLst>
        </c:ser>
        <c:ser>
          <c:idx val="2"/>
          <c:order val="2"/>
          <c:tx>
            <c:strRef>
              <c:f>'Results ReCiPe (H) - ESD'!$AB$12</c:f>
              <c:strCache>
                <c:ptCount val="1"/>
                <c:pt idx="0">
                  <c:v>Deconstruction - DAC</c:v>
                </c:pt>
              </c:strCache>
            </c:strRef>
          </c:tx>
          <c:spPr>
            <a:solidFill>
              <a:schemeClr val="accent2">
                <a:lumMod val="40000"/>
                <a:lumOff val="60000"/>
              </a:schemeClr>
            </a:solidFill>
            <a:ln>
              <a:noFill/>
            </a:ln>
            <a:effectLst/>
          </c:spPr>
          <c:invertIfNegative val="0"/>
          <c:cat>
            <c:numRef>
              <c:f>'Results ReCiPe (H) - ESD'!$AC$9:$BA$9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ESD'!$AC$12:$BA$12</c:f>
              <c:numCache>
                <c:formatCode>0.00E+00</c:formatCode>
                <c:ptCount val="25"/>
                <c:pt idx="24">
                  <c:v>2.8327516247168551E-6</c:v>
                </c:pt>
              </c:numCache>
            </c:numRef>
          </c:val>
          <c:extLst>
            <c:ext xmlns:c16="http://schemas.microsoft.com/office/drawing/2014/chart" uri="{C3380CC4-5D6E-409C-BE32-E72D297353CC}">
              <c16:uniqueId val="{00000002-F882-4A5E-9C1E-901124DC8479}"/>
            </c:ext>
          </c:extLst>
        </c:ser>
        <c:ser>
          <c:idx val="3"/>
          <c:order val="3"/>
          <c:tx>
            <c:strRef>
              <c:f>'Results ReCiPe (H) - ESD'!$AB$13</c:f>
              <c:strCache>
                <c:ptCount val="1"/>
                <c:pt idx="0">
                  <c:v>Deconstruction - geological storage</c:v>
                </c:pt>
              </c:strCache>
            </c:strRef>
          </c:tx>
          <c:spPr>
            <a:solidFill>
              <a:srgbClr val="FF9900"/>
            </a:solidFill>
            <a:ln>
              <a:noFill/>
            </a:ln>
            <a:effectLst/>
          </c:spPr>
          <c:invertIfNegative val="0"/>
          <c:cat>
            <c:numRef>
              <c:f>'Results ReCiPe (H) - ESD'!$AC$9:$BA$9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ESD'!$AC$13:$BA$13</c:f>
              <c:numCache>
                <c:formatCode>0.00E+00</c:formatCode>
                <c:ptCount val="25"/>
                <c:pt idx="24">
                  <c:v>9.2615556283479631E-8</c:v>
                </c:pt>
              </c:numCache>
            </c:numRef>
          </c:val>
          <c:extLst>
            <c:ext xmlns:c16="http://schemas.microsoft.com/office/drawing/2014/chart" uri="{C3380CC4-5D6E-409C-BE32-E72D297353CC}">
              <c16:uniqueId val="{00000003-F882-4A5E-9C1E-901124DC8479}"/>
            </c:ext>
          </c:extLst>
        </c:ser>
        <c:ser>
          <c:idx val="4"/>
          <c:order val="4"/>
          <c:tx>
            <c:strRef>
              <c:f>'Results ReCiPe (H) - ESD'!$AB$14</c:f>
              <c:strCache>
                <c:ptCount val="1"/>
                <c:pt idx="0">
                  <c:v>Sorbent material</c:v>
                </c:pt>
              </c:strCache>
            </c:strRef>
          </c:tx>
          <c:spPr>
            <a:solidFill>
              <a:srgbClr val="FF8F8F"/>
            </a:solidFill>
            <a:ln>
              <a:noFill/>
            </a:ln>
            <a:effectLst/>
          </c:spPr>
          <c:invertIfNegative val="0"/>
          <c:cat>
            <c:numRef>
              <c:f>'Results ReCiPe (H) - ESD'!$AC$9:$BA$9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ESD'!$AC$14:$BA$14</c:f>
              <c:numCache>
                <c:formatCode>0.00E+00</c:formatCode>
                <c:ptCount val="25"/>
                <c:pt idx="0">
                  <c:v>4.5446143489064019E-6</c:v>
                </c:pt>
                <c:pt idx="3">
                  <c:v>4.4990771841472508E-6</c:v>
                </c:pt>
                <c:pt idx="6">
                  <c:v>4.4904228129143327E-6</c:v>
                </c:pt>
                <c:pt idx="9">
                  <c:v>4.4944994140002021E-6</c:v>
                </c:pt>
                <c:pt idx="12">
                  <c:v>4.5214378334785092E-6</c:v>
                </c:pt>
                <c:pt idx="15">
                  <c:v>4.5497134383595956E-6</c:v>
                </c:pt>
                <c:pt idx="18">
                  <c:v>4.4955793454683717E-6</c:v>
                </c:pt>
                <c:pt idx="21">
                  <c:v>4.4518098931988601E-6</c:v>
                </c:pt>
                <c:pt idx="24">
                  <c:v>4.3615476020125354E-6</c:v>
                </c:pt>
              </c:numCache>
            </c:numRef>
          </c:val>
          <c:extLst>
            <c:ext xmlns:c16="http://schemas.microsoft.com/office/drawing/2014/chart" uri="{C3380CC4-5D6E-409C-BE32-E72D297353CC}">
              <c16:uniqueId val="{00000004-F882-4A5E-9C1E-901124DC8479}"/>
            </c:ext>
          </c:extLst>
        </c:ser>
        <c:ser>
          <c:idx val="5"/>
          <c:order val="5"/>
          <c:tx>
            <c:strRef>
              <c:f>'Results ReCiPe (H) - ESD'!$AB$15</c:f>
              <c:strCache>
                <c:ptCount val="1"/>
                <c:pt idx="0">
                  <c:v>Operation - DAC</c:v>
                </c:pt>
              </c:strCache>
            </c:strRef>
          </c:tx>
          <c:spPr>
            <a:solidFill>
              <a:schemeClr val="accent2">
                <a:lumMod val="75000"/>
              </a:schemeClr>
            </a:solidFill>
            <a:ln>
              <a:noFill/>
            </a:ln>
            <a:effectLst/>
          </c:spPr>
          <c:invertIfNegative val="0"/>
          <c:cat>
            <c:numRef>
              <c:f>'Results ReCiPe (H) - ESD'!$AC$9:$BA$9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ESD'!$AC$15:$BA$15</c:f>
              <c:numCache>
                <c:formatCode>0.00E+00</c:formatCode>
                <c:ptCount val="25"/>
                <c:pt idx="0">
                  <c:v>1.5920555991974649E-4</c:v>
                </c:pt>
                <c:pt idx="1">
                  <c:v>1.5859027360308589E-4</c:v>
                </c:pt>
                <c:pt idx="2">
                  <c:v>1.5797337276137659E-4</c:v>
                </c:pt>
                <c:pt idx="3">
                  <c:v>1.572254907913862E-4</c:v>
                </c:pt>
                <c:pt idx="4">
                  <c:v>1.5660366017830599E-4</c:v>
                </c:pt>
                <c:pt idx="5">
                  <c:v>1.5597967989555838E-4</c:v>
                </c:pt>
                <c:pt idx="6">
                  <c:v>1.670822608839831E-4</c:v>
                </c:pt>
                <c:pt idx="7">
                  <c:v>1.781692607581189E-4</c:v>
                </c:pt>
                <c:pt idx="8">
                  <c:v>1.8916451889116779E-4</c:v>
                </c:pt>
                <c:pt idx="9">
                  <c:v>2.002330591974372E-4</c:v>
                </c:pt>
                <c:pt idx="10">
                  <c:v>2.1128054377896619E-4</c:v>
                </c:pt>
                <c:pt idx="11">
                  <c:v>2.3211425384718858E-4</c:v>
                </c:pt>
                <c:pt idx="12">
                  <c:v>2.5300220548370649E-4</c:v>
                </c:pt>
                <c:pt idx="13">
                  <c:v>2.7393031315185381E-4</c:v>
                </c:pt>
                <c:pt idx="14">
                  <c:v>2.9493631770013121E-4</c:v>
                </c:pt>
                <c:pt idx="15">
                  <c:v>3.160065837364855E-4</c:v>
                </c:pt>
                <c:pt idx="16">
                  <c:v>3.1826920214883341E-4</c:v>
                </c:pt>
                <c:pt idx="17">
                  <c:v>3.2055707191781731E-4</c:v>
                </c:pt>
                <c:pt idx="18">
                  <c:v>3.2285076714382098E-4</c:v>
                </c:pt>
                <c:pt idx="19">
                  <c:v>3.2518167321633171E-4</c:v>
                </c:pt>
                <c:pt idx="20">
                  <c:v>3.2753064165504488E-4</c:v>
                </c:pt>
                <c:pt idx="21">
                  <c:v>3.2324713149420558E-4</c:v>
                </c:pt>
                <c:pt idx="22">
                  <c:v>3.1409168339007588E-4</c:v>
                </c:pt>
                <c:pt idx="23">
                  <c:v>3.0490425528419628E-4</c:v>
                </c:pt>
                <c:pt idx="24">
                  <c:v>2.9568457784293501E-4</c:v>
                </c:pt>
              </c:numCache>
            </c:numRef>
          </c:val>
          <c:extLst>
            <c:ext xmlns:c16="http://schemas.microsoft.com/office/drawing/2014/chart" uri="{C3380CC4-5D6E-409C-BE32-E72D297353CC}">
              <c16:uniqueId val="{00000005-F882-4A5E-9C1E-901124DC8479}"/>
            </c:ext>
          </c:extLst>
        </c:ser>
        <c:ser>
          <c:idx val="6"/>
          <c:order val="6"/>
          <c:tx>
            <c:strRef>
              <c:f>'Results ReCiPe (H) - ESD'!$AB$16</c:f>
              <c:strCache>
                <c:ptCount val="1"/>
                <c:pt idx="0">
                  <c:v>Operation - geological storage</c:v>
                </c:pt>
              </c:strCache>
            </c:strRef>
          </c:tx>
          <c:spPr>
            <a:solidFill>
              <a:schemeClr val="accent2">
                <a:lumMod val="50000"/>
              </a:schemeClr>
            </a:solidFill>
            <a:ln>
              <a:noFill/>
            </a:ln>
            <a:effectLst/>
          </c:spPr>
          <c:invertIfNegative val="0"/>
          <c:cat>
            <c:numRef>
              <c:f>'Results ReCiPe (H) - ESD'!$AC$9:$BA$9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ESD'!$AC$16:$BA$16</c:f>
              <c:numCache>
                <c:formatCode>0.00E+00</c:formatCode>
                <c:ptCount val="25"/>
                <c:pt idx="0">
                  <c:v>1.3825122680617771E-5</c:v>
                </c:pt>
                <c:pt idx="1">
                  <c:v>1.3759902917927412E-5</c:v>
                </c:pt>
                <c:pt idx="2">
                  <c:v>1.3694695617310542E-5</c:v>
                </c:pt>
                <c:pt idx="3">
                  <c:v>1.3617655193569548E-5</c:v>
                </c:pt>
                <c:pt idx="4">
                  <c:v>1.3552331207114361E-5</c:v>
                </c:pt>
                <c:pt idx="5">
                  <c:v>1.3486973750625351E-5</c:v>
                </c:pt>
                <c:pt idx="6">
                  <c:v>1.4313664737331181E-5</c:v>
                </c:pt>
                <c:pt idx="7">
                  <c:v>1.5136824316444241E-5</c:v>
                </c:pt>
                <c:pt idx="8">
                  <c:v>1.594954476916694E-5</c:v>
                </c:pt>
                <c:pt idx="9">
                  <c:v>1.6766620597628698E-5</c:v>
                </c:pt>
                <c:pt idx="10">
                  <c:v>1.7579759164313812E-5</c:v>
                </c:pt>
                <c:pt idx="11">
                  <c:v>1.9131079108679199E-5</c:v>
                </c:pt>
                <c:pt idx="12">
                  <c:v>2.0682926523569119E-5</c:v>
                </c:pt>
                <c:pt idx="13">
                  <c:v>2.2233908314421181E-5</c:v>
                </c:pt>
                <c:pt idx="14">
                  <c:v>2.378751299496791E-5</c:v>
                </c:pt>
                <c:pt idx="15">
                  <c:v>2.5342366243447142E-5</c:v>
                </c:pt>
                <c:pt idx="16">
                  <c:v>2.5487750432641492E-5</c:v>
                </c:pt>
                <c:pt idx="17">
                  <c:v>2.563465488967339E-5</c:v>
                </c:pt>
                <c:pt idx="18">
                  <c:v>2.5781291549539742E-5</c:v>
                </c:pt>
                <c:pt idx="19">
                  <c:v>2.5930678861789619E-5</c:v>
                </c:pt>
                <c:pt idx="20">
                  <c:v>2.608104393707787E-5</c:v>
                </c:pt>
                <c:pt idx="21">
                  <c:v>2.5723849614526909E-5</c:v>
                </c:pt>
                <c:pt idx="22">
                  <c:v>2.4995945771477489E-5</c:v>
                </c:pt>
                <c:pt idx="23">
                  <c:v>2.4268367166794739E-5</c:v>
                </c:pt>
                <c:pt idx="24">
                  <c:v>2.3541100195586112E-5</c:v>
                </c:pt>
              </c:numCache>
            </c:numRef>
          </c:val>
          <c:extLst>
            <c:ext xmlns:c16="http://schemas.microsoft.com/office/drawing/2014/chart" uri="{C3380CC4-5D6E-409C-BE32-E72D297353CC}">
              <c16:uniqueId val="{00000006-F882-4A5E-9C1E-901124DC8479}"/>
            </c:ext>
          </c:extLst>
        </c:ser>
        <c:ser>
          <c:idx val="7"/>
          <c:order val="7"/>
          <c:tx>
            <c:strRef>
              <c:f>'Results ReCiPe (H) - ESD'!$AB$17</c:f>
              <c:strCache>
                <c:ptCount val="1"/>
                <c:pt idx="0">
                  <c:v>CO2 captured and stored</c:v>
                </c:pt>
              </c:strCache>
            </c:strRef>
          </c:tx>
          <c:spPr>
            <a:solidFill>
              <a:schemeClr val="tx2">
                <a:lumMod val="20000"/>
                <a:lumOff val="80000"/>
              </a:schemeClr>
            </a:solidFill>
            <a:ln>
              <a:noFill/>
            </a:ln>
            <a:effectLst/>
          </c:spPr>
          <c:invertIfNegative val="0"/>
          <c:cat>
            <c:numRef>
              <c:f>'Results ReCiPe (H) - ESD'!$AC$9:$BA$9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ESD'!$AC$17:$BA$17</c:f>
              <c:numCache>
                <c:formatCode>0.00E+00</c:formatCode>
                <c:ptCount val="25"/>
                <c:pt idx="0">
                  <c:v>-2.8000764999999998E-4</c:v>
                </c:pt>
                <c:pt idx="1">
                  <c:v>-2.8000764999999998E-4</c:v>
                </c:pt>
                <c:pt idx="2">
                  <c:v>-2.8000764999999998E-4</c:v>
                </c:pt>
                <c:pt idx="3">
                  <c:v>-2.8000764999999998E-4</c:v>
                </c:pt>
                <c:pt idx="4">
                  <c:v>-2.8000764999999998E-4</c:v>
                </c:pt>
                <c:pt idx="5">
                  <c:v>-2.8000764999999998E-4</c:v>
                </c:pt>
                <c:pt idx="6">
                  <c:v>-2.8000764999999998E-4</c:v>
                </c:pt>
                <c:pt idx="7">
                  <c:v>-2.8000764999999998E-4</c:v>
                </c:pt>
                <c:pt idx="8">
                  <c:v>-2.8000764999999998E-4</c:v>
                </c:pt>
                <c:pt idx="9">
                  <c:v>-2.8000764999999998E-4</c:v>
                </c:pt>
                <c:pt idx="10">
                  <c:v>-2.8000764999999998E-4</c:v>
                </c:pt>
                <c:pt idx="11">
                  <c:v>-2.8000764999999998E-4</c:v>
                </c:pt>
                <c:pt idx="12">
                  <c:v>-2.8000764999999998E-4</c:v>
                </c:pt>
                <c:pt idx="13">
                  <c:v>-2.8000764999999998E-4</c:v>
                </c:pt>
                <c:pt idx="14">
                  <c:v>-2.8000764999999998E-4</c:v>
                </c:pt>
                <c:pt idx="15">
                  <c:v>-2.8000764999999998E-4</c:v>
                </c:pt>
                <c:pt idx="16">
                  <c:v>-2.8000764999999998E-4</c:v>
                </c:pt>
                <c:pt idx="17">
                  <c:v>-2.8000764999999998E-4</c:v>
                </c:pt>
                <c:pt idx="18">
                  <c:v>-2.8000764999999998E-4</c:v>
                </c:pt>
                <c:pt idx="19">
                  <c:v>-2.8000764999999998E-4</c:v>
                </c:pt>
                <c:pt idx="20">
                  <c:v>-2.8000764999999998E-4</c:v>
                </c:pt>
                <c:pt idx="21">
                  <c:v>-2.8000764999999998E-4</c:v>
                </c:pt>
                <c:pt idx="22">
                  <c:v>-2.8000764999999998E-4</c:v>
                </c:pt>
                <c:pt idx="23">
                  <c:v>-2.8000764999999998E-4</c:v>
                </c:pt>
                <c:pt idx="24">
                  <c:v>-2.8000764999999998E-4</c:v>
                </c:pt>
              </c:numCache>
            </c:numRef>
          </c:val>
          <c:extLst>
            <c:ext xmlns:c16="http://schemas.microsoft.com/office/drawing/2014/chart" uri="{C3380CC4-5D6E-409C-BE32-E72D297353CC}">
              <c16:uniqueId val="{00000007-F882-4A5E-9C1E-901124DC8479}"/>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ESD'!$AB$18</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cat>
            <c:numRef>
              <c:f>'Results ReCiPe (H) - ESD'!$AC$9:$BA$9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ESD'!$AC$18:$BA$18</c:f>
              <c:numCache>
                <c:formatCode>0.00E+00</c:formatCode>
                <c:ptCount val="25"/>
                <c:pt idx="0">
                  <c:v>1.0360505292743841E-4</c:v>
                </c:pt>
                <c:pt idx="1">
                  <c:v>-1.0765747347898669E-4</c:v>
                </c:pt>
                <c:pt idx="2">
                  <c:v>-1.0833958162131285E-4</c:v>
                </c:pt>
                <c:pt idx="3">
                  <c:v>-1.04665426830897E-4</c:v>
                </c:pt>
                <c:pt idx="4">
                  <c:v>-1.0985165861457962E-4</c:v>
                </c:pt>
                <c:pt idx="5">
                  <c:v>-1.1054099635381625E-4</c:v>
                </c:pt>
                <c:pt idx="6">
                  <c:v>-9.4121301565771367E-5</c:v>
                </c:pt>
                <c:pt idx="7">
                  <c:v>-8.6701564925436843E-5</c:v>
                </c:pt>
                <c:pt idx="8">
                  <c:v>-7.4893586339665246E-5</c:v>
                </c:pt>
                <c:pt idx="9">
                  <c:v>-5.851347079093388E-5</c:v>
                </c:pt>
                <c:pt idx="10">
                  <c:v>-5.1147347056719982E-5</c:v>
                </c:pt>
                <c:pt idx="11">
                  <c:v>-2.8762317044132206E-5</c:v>
                </c:pt>
                <c:pt idx="12">
                  <c:v>-1.801080159245837E-6</c:v>
                </c:pt>
                <c:pt idx="13">
                  <c:v>1.6156571466274989E-5</c:v>
                </c:pt>
                <c:pt idx="14">
                  <c:v>3.8716180695099129E-5</c:v>
                </c:pt>
                <c:pt idx="15">
                  <c:v>6.5891013418292298E-5</c:v>
                </c:pt>
                <c:pt idx="16">
                  <c:v>6.3749302581474947E-5</c:v>
                </c:pt>
                <c:pt idx="17">
                  <c:v>6.6184076807490708E-5</c:v>
                </c:pt>
                <c:pt idx="18">
                  <c:v>7.31199880388291E-5</c:v>
                </c:pt>
                <c:pt idx="19">
                  <c:v>7.1104702078121336E-5</c:v>
                </c:pt>
                <c:pt idx="20">
                  <c:v>7.3604035592122791E-5</c:v>
                </c:pt>
                <c:pt idx="21">
                  <c:v>7.3415141001931391E-5</c:v>
                </c:pt>
                <c:pt idx="22">
                  <c:v>5.9079979161553401E-5</c:v>
                </c:pt>
                <c:pt idx="23">
                  <c:v>4.9164972450991022E-5</c:v>
                </c:pt>
                <c:pt idx="24">
                  <c:v>4.6504942821534007E-5</c:v>
                </c:pt>
              </c:numCache>
            </c:numRef>
          </c:val>
          <c:smooth val="0"/>
          <c:extLst>
            <c:ext xmlns:c16="http://schemas.microsoft.com/office/drawing/2014/chart" uri="{C3380CC4-5D6E-409C-BE32-E72D297353CC}">
              <c16:uniqueId val="{00000008-F882-4A5E-9C1E-901124DC8479}"/>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Ecosystem damage </a:t>
                </a:r>
                <a:br>
                  <a:rPr lang="nl-NL"/>
                </a:br>
                <a:r>
                  <a:rPr lang="nl-NL"/>
                  <a:t>(PDF*yr/ton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ESD'!$AB$50</c:f>
              <c:strCache>
                <c:ptCount val="1"/>
                <c:pt idx="0">
                  <c:v>Construction - DAC</c:v>
                </c:pt>
              </c:strCache>
            </c:strRef>
          </c:tx>
          <c:spPr>
            <a:solidFill>
              <a:schemeClr val="accent4">
                <a:lumMod val="75000"/>
              </a:schemeClr>
            </a:solidFill>
            <a:ln>
              <a:noFill/>
            </a:ln>
            <a:effectLst/>
          </c:spPr>
          <c:invertIfNegative val="0"/>
          <c:cat>
            <c:numRef>
              <c:f>'Results ReCiPe (H) - ESD'!$AC$49:$BA$49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ESD'!$AC$50:$BA$50</c:f>
              <c:numCache>
                <c:formatCode>0.00E+00</c:formatCode>
                <c:ptCount val="25"/>
                <c:pt idx="0">
                  <c:v>1.8346526921509307E-4</c:v>
                </c:pt>
              </c:numCache>
            </c:numRef>
          </c:val>
          <c:extLst>
            <c:ext xmlns:c16="http://schemas.microsoft.com/office/drawing/2014/chart" uri="{C3380CC4-5D6E-409C-BE32-E72D297353CC}">
              <c16:uniqueId val="{00000000-D5EA-4C67-A9DE-E7B4B53BE9AE}"/>
            </c:ext>
          </c:extLst>
        </c:ser>
        <c:ser>
          <c:idx val="1"/>
          <c:order val="1"/>
          <c:tx>
            <c:strRef>
              <c:f>'Results ReCiPe (H) - ESD'!$AB$51</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(H) - ESD'!$AC$49:$BA$49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ESD'!$AC$51:$BA$51</c:f>
              <c:numCache>
                <c:formatCode>0.00E+00</c:formatCode>
                <c:ptCount val="25"/>
                <c:pt idx="0">
                  <c:v>1.0765797689579158E-5</c:v>
                </c:pt>
              </c:numCache>
            </c:numRef>
          </c:val>
          <c:extLst>
            <c:ext xmlns:c16="http://schemas.microsoft.com/office/drawing/2014/chart" uri="{C3380CC4-5D6E-409C-BE32-E72D297353CC}">
              <c16:uniqueId val="{00000001-D5EA-4C67-A9DE-E7B4B53BE9AE}"/>
            </c:ext>
          </c:extLst>
        </c:ser>
        <c:ser>
          <c:idx val="2"/>
          <c:order val="2"/>
          <c:tx>
            <c:strRef>
              <c:f>'Results ReCiPe (H) - ESD'!$AB$52</c:f>
              <c:strCache>
                <c:ptCount val="1"/>
                <c:pt idx="0">
                  <c:v>Deconstruction - DAC</c:v>
                </c:pt>
              </c:strCache>
            </c:strRef>
          </c:tx>
          <c:spPr>
            <a:solidFill>
              <a:schemeClr val="accent2">
                <a:lumMod val="40000"/>
                <a:lumOff val="60000"/>
              </a:schemeClr>
            </a:solidFill>
            <a:ln>
              <a:noFill/>
            </a:ln>
            <a:effectLst/>
          </c:spPr>
          <c:invertIfNegative val="0"/>
          <c:cat>
            <c:numRef>
              <c:f>'Results ReCiPe (H) - ESD'!$AC$49:$BA$49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ESD'!$AC$52:$BA$52</c:f>
              <c:numCache>
                <c:formatCode>0.00E+00</c:formatCode>
                <c:ptCount val="25"/>
                <c:pt idx="24">
                  <c:v>2.5814369390254752E-6</c:v>
                </c:pt>
              </c:numCache>
            </c:numRef>
          </c:val>
          <c:extLst>
            <c:ext xmlns:c16="http://schemas.microsoft.com/office/drawing/2014/chart" uri="{C3380CC4-5D6E-409C-BE32-E72D297353CC}">
              <c16:uniqueId val="{00000002-D5EA-4C67-A9DE-E7B4B53BE9AE}"/>
            </c:ext>
          </c:extLst>
        </c:ser>
        <c:ser>
          <c:idx val="3"/>
          <c:order val="3"/>
          <c:tx>
            <c:strRef>
              <c:f>'Results ReCiPe (H) - ESD'!$AB$53</c:f>
              <c:strCache>
                <c:ptCount val="1"/>
                <c:pt idx="0">
                  <c:v>Deconstruction - geological storage</c:v>
                </c:pt>
              </c:strCache>
            </c:strRef>
          </c:tx>
          <c:spPr>
            <a:solidFill>
              <a:srgbClr val="FF9900"/>
            </a:solidFill>
            <a:ln>
              <a:noFill/>
            </a:ln>
            <a:effectLst/>
          </c:spPr>
          <c:invertIfNegative val="0"/>
          <c:cat>
            <c:numRef>
              <c:f>'Results ReCiPe (H) - ESD'!$AC$49:$BA$49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ESD'!$AC$53:$BA$53</c:f>
              <c:numCache>
                <c:formatCode>0.00E+00</c:formatCode>
                <c:ptCount val="25"/>
                <c:pt idx="24">
                  <c:v>8.9177657234606268E-8</c:v>
                </c:pt>
              </c:numCache>
            </c:numRef>
          </c:val>
          <c:extLst>
            <c:ext xmlns:c16="http://schemas.microsoft.com/office/drawing/2014/chart" uri="{C3380CC4-5D6E-409C-BE32-E72D297353CC}">
              <c16:uniqueId val="{00000003-D5EA-4C67-A9DE-E7B4B53BE9AE}"/>
            </c:ext>
          </c:extLst>
        </c:ser>
        <c:ser>
          <c:idx val="4"/>
          <c:order val="4"/>
          <c:tx>
            <c:strRef>
              <c:f>'Results ReCiPe (H) - ESD'!$AB$54</c:f>
              <c:strCache>
                <c:ptCount val="1"/>
                <c:pt idx="0">
                  <c:v>Sorbent material</c:v>
                </c:pt>
              </c:strCache>
            </c:strRef>
          </c:tx>
          <c:spPr>
            <a:solidFill>
              <a:srgbClr val="FF8F8F"/>
            </a:solidFill>
            <a:ln>
              <a:noFill/>
            </a:ln>
            <a:effectLst/>
          </c:spPr>
          <c:invertIfNegative val="0"/>
          <c:cat>
            <c:numRef>
              <c:f>'Results ReCiPe (H) - ESD'!$AC$49:$BA$49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ESD'!$AC$54:$BA$54</c:f>
              <c:numCache>
                <c:formatCode>0.00E+00</c:formatCode>
                <c:ptCount val="25"/>
                <c:pt idx="0">
                  <c:v>4.3941155135361717E-6</c:v>
                </c:pt>
                <c:pt idx="3">
                  <c:v>4.2507924568478764E-6</c:v>
                </c:pt>
                <c:pt idx="6">
                  <c:v>4.1207843305059888E-6</c:v>
                </c:pt>
                <c:pt idx="9">
                  <c:v>3.961479922998473E-6</c:v>
                </c:pt>
                <c:pt idx="12">
                  <c:v>3.782659921523485E-6</c:v>
                </c:pt>
                <c:pt idx="15">
                  <c:v>3.5852486401048028E-6</c:v>
                </c:pt>
                <c:pt idx="18">
                  <c:v>3.4498744880293848E-6</c:v>
                </c:pt>
                <c:pt idx="21">
                  <c:v>3.372986237475297E-6</c:v>
                </c:pt>
                <c:pt idx="24">
                  <c:v>3.3539861692443772E-6</c:v>
                </c:pt>
              </c:numCache>
            </c:numRef>
          </c:val>
          <c:extLst>
            <c:ext xmlns:c16="http://schemas.microsoft.com/office/drawing/2014/chart" uri="{C3380CC4-5D6E-409C-BE32-E72D297353CC}">
              <c16:uniqueId val="{00000004-D5EA-4C67-A9DE-E7B4B53BE9AE}"/>
            </c:ext>
          </c:extLst>
        </c:ser>
        <c:ser>
          <c:idx val="5"/>
          <c:order val="5"/>
          <c:tx>
            <c:strRef>
              <c:f>'Results ReCiPe (H) - ESD'!$AB$55</c:f>
              <c:strCache>
                <c:ptCount val="1"/>
                <c:pt idx="0">
                  <c:v>Operation - DAC</c:v>
                </c:pt>
              </c:strCache>
            </c:strRef>
          </c:tx>
          <c:spPr>
            <a:solidFill>
              <a:schemeClr val="accent2">
                <a:lumMod val="75000"/>
              </a:schemeClr>
            </a:solidFill>
            <a:ln>
              <a:noFill/>
            </a:ln>
            <a:effectLst/>
          </c:spPr>
          <c:invertIfNegative val="0"/>
          <c:cat>
            <c:numRef>
              <c:f>'Results ReCiPe (H) - ESD'!$AC$49:$BA$49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ESD'!$AC$55:$BA$55</c:f>
              <c:numCache>
                <c:formatCode>0.00E+00</c:formatCode>
                <c:ptCount val="25"/>
                <c:pt idx="0">
                  <c:v>1.3361435604320219E-4</c:v>
                </c:pt>
                <c:pt idx="1">
                  <c:v>1.2435162258133729E-4</c:v>
                </c:pt>
                <c:pt idx="2">
                  <c:v>1.1508237983310978E-4</c:v>
                </c:pt>
                <c:pt idx="3">
                  <c:v>1.0566677106744298E-4</c:v>
                </c:pt>
                <c:pt idx="4">
                  <c:v>9.6381925416766273E-5</c:v>
                </c:pt>
                <c:pt idx="5">
                  <c:v>8.70902425505496E-5</c:v>
                </c:pt>
                <c:pt idx="6">
                  <c:v>8.124926805619201E-5</c:v>
                </c:pt>
                <c:pt idx="7">
                  <c:v>7.5405929888946104E-5</c:v>
                </c:pt>
                <c:pt idx="8">
                  <c:v>6.944717831106104E-5</c:v>
                </c:pt>
                <c:pt idx="9">
                  <c:v>6.358312376437103E-5</c:v>
                </c:pt>
                <c:pt idx="10">
                  <c:v>5.7708346934499931E-5</c:v>
                </c:pt>
                <c:pt idx="11">
                  <c:v>5.3763378307681148E-5</c:v>
                </c:pt>
                <c:pt idx="12">
                  <c:v>4.9798807055253776E-5</c:v>
                </c:pt>
                <c:pt idx="13">
                  <c:v>4.5778917704587026E-5</c:v>
                </c:pt>
                <c:pt idx="14">
                  <c:v>4.1767328423486589E-5</c:v>
                </c:pt>
                <c:pt idx="15">
                  <c:v>3.7736342371296047E-5</c:v>
                </c:pt>
                <c:pt idx="16">
                  <c:v>3.5947525832154186E-5</c:v>
                </c:pt>
                <c:pt idx="17">
                  <c:v>3.4163542254970762E-5</c:v>
                </c:pt>
                <c:pt idx="18">
                  <c:v>3.2354290354847996E-5</c:v>
                </c:pt>
                <c:pt idx="19">
                  <c:v>3.0578067059847324E-5</c:v>
                </c:pt>
                <c:pt idx="20">
                  <c:v>2.8806914294984728E-5</c:v>
                </c:pt>
                <c:pt idx="21">
                  <c:v>2.8834762225004799E-5</c:v>
                </c:pt>
                <c:pt idx="22">
                  <c:v>2.7994095656881697E-5</c:v>
                </c:pt>
                <c:pt idx="23">
                  <c:v>2.7149398183460298E-5</c:v>
                </c:pt>
                <c:pt idx="24">
                  <c:v>2.6300571716740338E-5</c:v>
                </c:pt>
              </c:numCache>
            </c:numRef>
          </c:val>
          <c:extLst>
            <c:ext xmlns:c16="http://schemas.microsoft.com/office/drawing/2014/chart" uri="{C3380CC4-5D6E-409C-BE32-E72D297353CC}">
              <c16:uniqueId val="{00000005-D5EA-4C67-A9DE-E7B4B53BE9AE}"/>
            </c:ext>
          </c:extLst>
        </c:ser>
        <c:ser>
          <c:idx val="6"/>
          <c:order val="6"/>
          <c:tx>
            <c:strRef>
              <c:f>'Results ReCiPe (H) - ESD'!$AB$56</c:f>
              <c:strCache>
                <c:ptCount val="1"/>
                <c:pt idx="0">
                  <c:v>Operation - geological storage</c:v>
                </c:pt>
              </c:strCache>
            </c:strRef>
          </c:tx>
          <c:spPr>
            <a:solidFill>
              <a:schemeClr val="accent2">
                <a:lumMod val="50000"/>
              </a:schemeClr>
            </a:solidFill>
            <a:ln>
              <a:noFill/>
            </a:ln>
            <a:effectLst/>
          </c:spPr>
          <c:invertIfNegative val="0"/>
          <c:cat>
            <c:numRef>
              <c:f>'Results ReCiPe (H) - ESD'!$AC$49:$BA$49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ESD'!$AC$56:$BA$56</c:f>
              <c:numCache>
                <c:formatCode>0.00E+00</c:formatCode>
                <c:ptCount val="25"/>
                <c:pt idx="0">
                  <c:v>1.180353765704293E-5</c:v>
                </c:pt>
                <c:pt idx="1">
                  <c:v>1.1073155861344529E-5</c:v>
                </c:pt>
                <c:pt idx="2">
                  <c:v>1.0345410243321971E-5</c:v>
                </c:pt>
                <c:pt idx="3">
                  <c:v>9.6076734762525372E-6</c:v>
                </c:pt>
                <c:pt idx="4">
                  <c:v>8.8850274124384594E-6</c:v>
                </c:pt>
                <c:pt idx="5">
                  <c:v>8.1649981181105521E-6</c:v>
                </c:pt>
                <c:pt idx="6">
                  <c:v>7.7124545581239988E-6</c:v>
                </c:pt>
                <c:pt idx="7">
                  <c:v>7.2606091517102967E-6</c:v>
                </c:pt>
                <c:pt idx="8">
                  <c:v>6.7997153185198531E-6</c:v>
                </c:pt>
                <c:pt idx="9">
                  <c:v>6.3480215018184388E-6</c:v>
                </c:pt>
                <c:pt idx="10">
                  <c:v>5.8963671944136386E-6</c:v>
                </c:pt>
                <c:pt idx="11">
                  <c:v>5.5916639914165485E-6</c:v>
                </c:pt>
                <c:pt idx="12">
                  <c:v>5.2856066738563171E-6</c:v>
                </c:pt>
                <c:pt idx="13">
                  <c:v>4.975080681316159E-6</c:v>
                </c:pt>
                <c:pt idx="14">
                  <c:v>4.6657076029889536E-6</c:v>
                </c:pt>
                <c:pt idx="15">
                  <c:v>4.3549751300134577E-6</c:v>
                </c:pt>
                <c:pt idx="16">
                  <c:v>4.2158964067818076E-6</c:v>
                </c:pt>
                <c:pt idx="17">
                  <c:v>4.0768847583429948E-6</c:v>
                </c:pt>
                <c:pt idx="18">
                  <c:v>3.9352947430933967E-6</c:v>
                </c:pt>
                <c:pt idx="19">
                  <c:v>3.7962663629180191E-6</c:v>
                </c:pt>
                <c:pt idx="20">
                  <c:v>3.6573208024109291E-6</c:v>
                </c:pt>
                <c:pt idx="21">
                  <c:v>3.6679197950260158E-6</c:v>
                </c:pt>
                <c:pt idx="22">
                  <c:v>3.6029840180959272E-6</c:v>
                </c:pt>
                <c:pt idx="23">
                  <c:v>3.5379422713850677E-6</c:v>
                </c:pt>
                <c:pt idx="24">
                  <c:v>3.4727851788264592E-6</c:v>
                </c:pt>
              </c:numCache>
            </c:numRef>
          </c:val>
          <c:extLst>
            <c:ext xmlns:c16="http://schemas.microsoft.com/office/drawing/2014/chart" uri="{C3380CC4-5D6E-409C-BE32-E72D297353CC}">
              <c16:uniqueId val="{00000006-D5EA-4C67-A9DE-E7B4B53BE9AE}"/>
            </c:ext>
          </c:extLst>
        </c:ser>
        <c:ser>
          <c:idx val="7"/>
          <c:order val="7"/>
          <c:tx>
            <c:strRef>
              <c:f>'Results ReCiPe (H) - ESD'!$AB$57</c:f>
              <c:strCache>
                <c:ptCount val="1"/>
                <c:pt idx="0">
                  <c:v>CO2 captured and stored</c:v>
                </c:pt>
              </c:strCache>
            </c:strRef>
          </c:tx>
          <c:spPr>
            <a:solidFill>
              <a:schemeClr val="tx2">
                <a:lumMod val="20000"/>
                <a:lumOff val="80000"/>
              </a:schemeClr>
            </a:solidFill>
            <a:ln>
              <a:noFill/>
            </a:ln>
            <a:effectLst/>
          </c:spPr>
          <c:invertIfNegative val="0"/>
          <c:cat>
            <c:numRef>
              <c:f>'Results ReCiPe (H) - ESD'!$AC$49:$BA$49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ESD'!$AC$57:$BA$57</c:f>
              <c:numCache>
                <c:formatCode>0.00E+00</c:formatCode>
                <c:ptCount val="25"/>
                <c:pt idx="0">
                  <c:v>-2.8000764999999998E-4</c:v>
                </c:pt>
                <c:pt idx="1">
                  <c:v>-2.8000764999999998E-4</c:v>
                </c:pt>
                <c:pt idx="2">
                  <c:v>-2.8000764999999998E-4</c:v>
                </c:pt>
                <c:pt idx="3">
                  <c:v>-2.8000764999999998E-4</c:v>
                </c:pt>
                <c:pt idx="4">
                  <c:v>-2.8000764999999998E-4</c:v>
                </c:pt>
                <c:pt idx="5">
                  <c:v>-2.8000764999999998E-4</c:v>
                </c:pt>
                <c:pt idx="6">
                  <c:v>-2.8000764999999998E-4</c:v>
                </c:pt>
                <c:pt idx="7">
                  <c:v>-2.8000764999999998E-4</c:v>
                </c:pt>
                <c:pt idx="8">
                  <c:v>-2.8000764999999998E-4</c:v>
                </c:pt>
                <c:pt idx="9">
                  <c:v>-2.8000764999999998E-4</c:v>
                </c:pt>
                <c:pt idx="10">
                  <c:v>-2.8000764999999998E-4</c:v>
                </c:pt>
                <c:pt idx="11">
                  <c:v>-2.8000764999999998E-4</c:v>
                </c:pt>
                <c:pt idx="12">
                  <c:v>-2.8000764999999998E-4</c:v>
                </c:pt>
                <c:pt idx="13">
                  <c:v>-2.8000764999999998E-4</c:v>
                </c:pt>
                <c:pt idx="14">
                  <c:v>-2.8000764999999998E-4</c:v>
                </c:pt>
                <c:pt idx="15">
                  <c:v>-2.8000764999999998E-4</c:v>
                </c:pt>
                <c:pt idx="16">
                  <c:v>-2.8000764999999998E-4</c:v>
                </c:pt>
                <c:pt idx="17">
                  <c:v>-2.8000764999999998E-4</c:v>
                </c:pt>
                <c:pt idx="18">
                  <c:v>-2.8000764999999998E-4</c:v>
                </c:pt>
                <c:pt idx="19">
                  <c:v>-2.8000764999999998E-4</c:v>
                </c:pt>
                <c:pt idx="20">
                  <c:v>-2.8000764999999998E-4</c:v>
                </c:pt>
                <c:pt idx="21">
                  <c:v>-2.8000764999999998E-4</c:v>
                </c:pt>
                <c:pt idx="22">
                  <c:v>-2.8000764999999998E-4</c:v>
                </c:pt>
                <c:pt idx="23">
                  <c:v>-2.8000764999999998E-4</c:v>
                </c:pt>
                <c:pt idx="24">
                  <c:v>-2.8000764999999998E-4</c:v>
                </c:pt>
              </c:numCache>
            </c:numRef>
          </c:val>
          <c:extLst>
            <c:ext xmlns:c16="http://schemas.microsoft.com/office/drawing/2014/chart" uri="{C3380CC4-5D6E-409C-BE32-E72D297353CC}">
              <c16:uniqueId val="{00000007-D5EA-4C67-A9DE-E7B4B53BE9AE}"/>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ESD'!$AB$58</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cat>
            <c:numRef>
              <c:f>'Results ReCiPe (H) - ESD'!$AC$49:$BA$49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ESD'!$AC$58:$BA$58</c:f>
              <c:numCache>
                <c:formatCode>0.00E+00</c:formatCode>
                <c:ptCount val="25"/>
                <c:pt idx="0">
                  <c:v>6.4035426118453503E-5</c:v>
                </c:pt>
                <c:pt idx="1">
                  <c:v>-1.4458287155731816E-4</c:v>
                </c:pt>
                <c:pt idx="2">
                  <c:v>-1.5457985992356824E-4</c:v>
                </c:pt>
                <c:pt idx="3">
                  <c:v>-1.6048241299945659E-4</c:v>
                </c:pt>
                <c:pt idx="4">
                  <c:v>-1.7474069717079527E-4</c:v>
                </c:pt>
                <c:pt idx="5">
                  <c:v>-1.8475240933133982E-4</c:v>
                </c:pt>
                <c:pt idx="6">
                  <c:v>-1.86925143055178E-4</c:v>
                </c:pt>
                <c:pt idx="7">
                  <c:v>-1.9734111095934357E-4</c:v>
                </c:pt>
                <c:pt idx="8">
                  <c:v>-2.0376075637041908E-4</c:v>
                </c:pt>
                <c:pt idx="9">
                  <c:v>-2.0611502481081203E-4</c:v>
                </c:pt>
                <c:pt idx="10">
                  <c:v>-2.1640293587108642E-4</c:v>
                </c:pt>
                <c:pt idx="11">
                  <c:v>-2.206526077009023E-4</c:v>
                </c:pt>
                <c:pt idx="12">
                  <c:v>-2.2114057634936641E-4</c:v>
                </c:pt>
                <c:pt idx="13">
                  <c:v>-2.2925365161409678E-4</c:v>
                </c:pt>
                <c:pt idx="14">
                  <c:v>-2.3357461397352443E-4</c:v>
                </c:pt>
                <c:pt idx="15">
                  <c:v>-2.3433108385858566E-4</c:v>
                </c:pt>
                <c:pt idx="16">
                  <c:v>-2.3984422776106399E-4</c:v>
                </c:pt>
                <c:pt idx="17">
                  <c:v>-2.4176722298668624E-4</c:v>
                </c:pt>
                <c:pt idx="18">
                  <c:v>-2.4026819041402919E-4</c:v>
                </c:pt>
                <c:pt idx="19">
                  <c:v>-2.4563331657723463E-4</c:v>
                </c:pt>
                <c:pt idx="20">
                  <c:v>-2.4754341490260432E-4</c:v>
                </c:pt>
                <c:pt idx="21">
                  <c:v>-2.4413198174249386E-4</c:v>
                </c:pt>
                <c:pt idx="22">
                  <c:v>-2.4841057032502236E-4</c:v>
                </c:pt>
                <c:pt idx="23">
                  <c:v>-2.4932030954515462E-4</c:v>
                </c:pt>
                <c:pt idx="24">
                  <c:v>-2.4420969233892871E-4</c:v>
                </c:pt>
              </c:numCache>
            </c:numRef>
          </c:val>
          <c:smooth val="0"/>
          <c:extLst>
            <c:ext xmlns:c16="http://schemas.microsoft.com/office/drawing/2014/chart" uri="{C3380CC4-5D6E-409C-BE32-E72D297353CC}">
              <c16:uniqueId val="{00000008-D5EA-4C67-A9DE-E7B4B53BE9AE}"/>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Ecosystem damage </a:t>
                </a:r>
                <a:br>
                  <a:rPr lang="nl-NL"/>
                </a:br>
                <a:r>
                  <a:rPr lang="nl-NL"/>
                  <a:t>(PDF*yr/ton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ESD'!$AB$90</c:f>
              <c:strCache>
                <c:ptCount val="1"/>
                <c:pt idx="0">
                  <c:v>Construction - DAC</c:v>
                </c:pt>
              </c:strCache>
            </c:strRef>
          </c:tx>
          <c:spPr>
            <a:solidFill>
              <a:schemeClr val="accent4">
                <a:lumMod val="75000"/>
              </a:schemeClr>
            </a:solidFill>
            <a:ln>
              <a:noFill/>
            </a:ln>
            <a:effectLst/>
          </c:spPr>
          <c:invertIfNegative val="0"/>
          <c:cat>
            <c:numRef>
              <c:f>'Results ReCiPe (H) - ESD'!$AC$89:$BA$89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ESD'!$AC$90:$BA$90</c:f>
              <c:numCache>
                <c:formatCode>0.00E+00</c:formatCode>
                <c:ptCount val="25"/>
                <c:pt idx="0">
                  <c:v>1.5226911141711527E-4</c:v>
                </c:pt>
              </c:numCache>
            </c:numRef>
          </c:val>
          <c:extLst>
            <c:ext xmlns:c16="http://schemas.microsoft.com/office/drawing/2014/chart" uri="{C3380CC4-5D6E-409C-BE32-E72D297353CC}">
              <c16:uniqueId val="{00000000-4C07-4A7B-B286-17ED2F4FB040}"/>
            </c:ext>
          </c:extLst>
        </c:ser>
        <c:ser>
          <c:idx val="1"/>
          <c:order val="1"/>
          <c:tx>
            <c:strRef>
              <c:f>'Results ReCiPe (H) - ESD'!$AB$91</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(H) - ESD'!$AC$89:$BA$89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ESD'!$AC$91:$BA$91</c:f>
              <c:numCache>
                <c:formatCode>0.00E+00</c:formatCode>
                <c:ptCount val="25"/>
                <c:pt idx="0">
                  <c:v>9.7865963272845992E-6</c:v>
                </c:pt>
              </c:numCache>
            </c:numRef>
          </c:val>
          <c:extLst>
            <c:ext xmlns:c16="http://schemas.microsoft.com/office/drawing/2014/chart" uri="{C3380CC4-5D6E-409C-BE32-E72D297353CC}">
              <c16:uniqueId val="{00000001-4C07-4A7B-B286-17ED2F4FB040}"/>
            </c:ext>
          </c:extLst>
        </c:ser>
        <c:ser>
          <c:idx val="2"/>
          <c:order val="2"/>
          <c:tx>
            <c:strRef>
              <c:f>'Results ReCiPe (H) - ESD'!$AB$92</c:f>
              <c:strCache>
                <c:ptCount val="1"/>
                <c:pt idx="0">
                  <c:v>Deconstruction - DAC</c:v>
                </c:pt>
              </c:strCache>
            </c:strRef>
          </c:tx>
          <c:spPr>
            <a:solidFill>
              <a:schemeClr val="accent2">
                <a:lumMod val="40000"/>
                <a:lumOff val="60000"/>
              </a:schemeClr>
            </a:solidFill>
            <a:ln>
              <a:noFill/>
            </a:ln>
            <a:effectLst/>
          </c:spPr>
          <c:invertIfNegative val="0"/>
          <c:cat>
            <c:numRef>
              <c:f>'Results ReCiPe (H) - ESD'!$AC$89:$BA$89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ESD'!$AC$92:$BA$92</c:f>
              <c:numCache>
                <c:formatCode>0.00E+00</c:formatCode>
                <c:ptCount val="25"/>
                <c:pt idx="24">
                  <c:v>2.4979772832792044E-6</c:v>
                </c:pt>
              </c:numCache>
            </c:numRef>
          </c:val>
          <c:extLst>
            <c:ext xmlns:c16="http://schemas.microsoft.com/office/drawing/2014/chart" uri="{C3380CC4-5D6E-409C-BE32-E72D297353CC}">
              <c16:uniqueId val="{00000002-4C07-4A7B-B286-17ED2F4FB040}"/>
            </c:ext>
          </c:extLst>
        </c:ser>
        <c:ser>
          <c:idx val="3"/>
          <c:order val="3"/>
          <c:tx>
            <c:strRef>
              <c:f>'Results ReCiPe (H) - ESD'!$AB$93</c:f>
              <c:strCache>
                <c:ptCount val="1"/>
                <c:pt idx="0">
                  <c:v>Deconstruction - geological storage</c:v>
                </c:pt>
              </c:strCache>
            </c:strRef>
          </c:tx>
          <c:spPr>
            <a:solidFill>
              <a:srgbClr val="FF9900"/>
            </a:solidFill>
            <a:ln>
              <a:noFill/>
            </a:ln>
            <a:effectLst/>
          </c:spPr>
          <c:invertIfNegative val="0"/>
          <c:cat>
            <c:numRef>
              <c:f>'Results ReCiPe (H) - ESD'!$AC$89:$BA$89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ESD'!$AC$93:$BA$93</c:f>
              <c:numCache>
                <c:formatCode>0.00E+00</c:formatCode>
                <c:ptCount val="25"/>
                <c:pt idx="24">
                  <c:v>8.9291412421487725E-8</c:v>
                </c:pt>
              </c:numCache>
            </c:numRef>
          </c:val>
          <c:extLst>
            <c:ext xmlns:c16="http://schemas.microsoft.com/office/drawing/2014/chart" uri="{C3380CC4-5D6E-409C-BE32-E72D297353CC}">
              <c16:uniqueId val="{00000003-4C07-4A7B-B286-17ED2F4FB040}"/>
            </c:ext>
          </c:extLst>
        </c:ser>
        <c:ser>
          <c:idx val="4"/>
          <c:order val="4"/>
          <c:tx>
            <c:strRef>
              <c:f>'Results ReCiPe (H) - ESD'!$AB$94</c:f>
              <c:strCache>
                <c:ptCount val="1"/>
                <c:pt idx="0">
                  <c:v>Sorbent material</c:v>
                </c:pt>
              </c:strCache>
            </c:strRef>
          </c:tx>
          <c:spPr>
            <a:solidFill>
              <a:srgbClr val="FF8F8F"/>
            </a:solidFill>
            <a:ln>
              <a:noFill/>
            </a:ln>
            <a:effectLst/>
          </c:spPr>
          <c:invertIfNegative val="0"/>
          <c:cat>
            <c:numRef>
              <c:f>'Results ReCiPe (H) - ESD'!$AC$89:$BA$89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ESD'!$AC$94:$BA$94</c:f>
              <c:numCache>
                <c:formatCode>0.00E+00</c:formatCode>
                <c:ptCount val="25"/>
                <c:pt idx="0">
                  <c:v>3.715731652454359E-6</c:v>
                </c:pt>
                <c:pt idx="3">
                  <c:v>3.5013590415283682E-6</c:v>
                </c:pt>
                <c:pt idx="6">
                  <c:v>3.359625974222981E-6</c:v>
                </c:pt>
                <c:pt idx="9">
                  <c:v>3.3222042704526711E-6</c:v>
                </c:pt>
                <c:pt idx="12">
                  <c:v>3.3098090978734569E-6</c:v>
                </c:pt>
                <c:pt idx="15">
                  <c:v>3.2987119954850761E-6</c:v>
                </c:pt>
                <c:pt idx="18">
                  <c:v>3.278896138541998E-6</c:v>
                </c:pt>
                <c:pt idx="21">
                  <c:v>3.2828870256197742E-6</c:v>
                </c:pt>
                <c:pt idx="24">
                  <c:v>3.2779455111866361E-6</c:v>
                </c:pt>
              </c:numCache>
            </c:numRef>
          </c:val>
          <c:extLst>
            <c:ext xmlns:c16="http://schemas.microsoft.com/office/drawing/2014/chart" uri="{C3380CC4-5D6E-409C-BE32-E72D297353CC}">
              <c16:uniqueId val="{00000004-4C07-4A7B-B286-17ED2F4FB040}"/>
            </c:ext>
          </c:extLst>
        </c:ser>
        <c:ser>
          <c:idx val="5"/>
          <c:order val="5"/>
          <c:tx>
            <c:strRef>
              <c:f>'Results ReCiPe (H) - ESD'!$AB$95</c:f>
              <c:strCache>
                <c:ptCount val="1"/>
                <c:pt idx="0">
                  <c:v>Operation - DAC</c:v>
                </c:pt>
              </c:strCache>
            </c:strRef>
          </c:tx>
          <c:spPr>
            <a:solidFill>
              <a:schemeClr val="accent2">
                <a:lumMod val="75000"/>
              </a:schemeClr>
            </a:solidFill>
            <a:ln>
              <a:noFill/>
            </a:ln>
            <a:effectLst/>
          </c:spPr>
          <c:invertIfNegative val="0"/>
          <c:cat>
            <c:numRef>
              <c:f>'Results ReCiPe (H) - ESD'!$AC$89:$BA$89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ESD'!$AC$95:$BA$95</c:f>
              <c:numCache>
                <c:formatCode>0.00E+00</c:formatCode>
                <c:ptCount val="25"/>
                <c:pt idx="0">
                  <c:v>6.3717328796313093E-5</c:v>
                </c:pt>
                <c:pt idx="1">
                  <c:v>5.6064869259432871E-5</c:v>
                </c:pt>
                <c:pt idx="2">
                  <c:v>4.8387865202493779E-5</c:v>
                </c:pt>
                <c:pt idx="3">
                  <c:v>4.0517758274940266E-5</c:v>
                </c:pt>
                <c:pt idx="4">
                  <c:v>3.2780388556367346E-5</c:v>
                </c:pt>
                <c:pt idx="5">
                  <c:v>2.5018586502988008E-5</c:v>
                </c:pt>
                <c:pt idx="6">
                  <c:v>2.4397784673646839E-5</c:v>
                </c:pt>
                <c:pt idx="7">
                  <c:v>2.3766644488374709E-5</c:v>
                </c:pt>
                <c:pt idx="8">
                  <c:v>2.2968897962791128E-5</c:v>
                </c:pt>
                <c:pt idx="9">
                  <c:v>2.2308068249612139E-5</c:v>
                </c:pt>
                <c:pt idx="10">
                  <c:v>2.1636248337898779E-5</c:v>
                </c:pt>
                <c:pt idx="11">
                  <c:v>2.1186751507580927E-5</c:v>
                </c:pt>
                <c:pt idx="12">
                  <c:v>2.0735727732456728E-5</c:v>
                </c:pt>
                <c:pt idx="13">
                  <c:v>2.0237052755713819E-5</c:v>
                </c:pt>
                <c:pt idx="14">
                  <c:v>1.977188367707933E-5</c:v>
                </c:pt>
                <c:pt idx="15">
                  <c:v>1.930151207486615E-5</c:v>
                </c:pt>
                <c:pt idx="16">
                  <c:v>1.750980975287537E-5</c:v>
                </c:pt>
                <c:pt idx="17">
                  <c:v>1.573940713515193E-5</c:v>
                </c:pt>
                <c:pt idx="18">
                  <c:v>1.3954408532416669E-5</c:v>
                </c:pt>
                <c:pt idx="19">
                  <c:v>1.2223309099940228E-5</c:v>
                </c:pt>
                <c:pt idx="20">
                  <c:v>1.0506036422635848E-5</c:v>
                </c:pt>
                <c:pt idx="21">
                  <c:v>1.0245999437767839E-5</c:v>
                </c:pt>
                <c:pt idx="22">
                  <c:v>9.0410572106458026E-6</c:v>
                </c:pt>
                <c:pt idx="23">
                  <c:v>7.8342904707184229E-6</c:v>
                </c:pt>
                <c:pt idx="24">
                  <c:v>6.6254960565204505E-6</c:v>
                </c:pt>
              </c:numCache>
            </c:numRef>
          </c:val>
          <c:extLst>
            <c:ext xmlns:c16="http://schemas.microsoft.com/office/drawing/2014/chart" uri="{C3380CC4-5D6E-409C-BE32-E72D297353CC}">
              <c16:uniqueId val="{00000005-4C07-4A7B-B286-17ED2F4FB040}"/>
            </c:ext>
          </c:extLst>
        </c:ser>
        <c:ser>
          <c:idx val="6"/>
          <c:order val="6"/>
          <c:tx>
            <c:strRef>
              <c:f>'Results ReCiPe (H) - ESD'!$AB$96</c:f>
              <c:strCache>
                <c:ptCount val="1"/>
                <c:pt idx="0">
                  <c:v>Operation - geological storage</c:v>
                </c:pt>
              </c:strCache>
            </c:strRef>
          </c:tx>
          <c:spPr>
            <a:solidFill>
              <a:schemeClr val="accent2">
                <a:lumMod val="50000"/>
              </a:schemeClr>
            </a:solidFill>
            <a:ln>
              <a:noFill/>
            </a:ln>
            <a:effectLst/>
          </c:spPr>
          <c:invertIfNegative val="0"/>
          <c:cat>
            <c:numRef>
              <c:f>'Results ReCiPe (H) - ESD'!$AC$89:$BA$89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ESD'!$AC$96:$BA$96</c:f>
              <c:numCache>
                <c:formatCode>0.00E+00</c:formatCode>
                <c:ptCount val="25"/>
                <c:pt idx="0">
                  <c:v>6.3817447397678701E-6</c:v>
                </c:pt>
                <c:pt idx="1">
                  <c:v>5.7821592952878012E-6</c:v>
                </c:pt>
                <c:pt idx="2">
                  <c:v>5.184444313018207E-6</c:v>
                </c:pt>
                <c:pt idx="3">
                  <c:v>4.573849456068004E-6</c:v>
                </c:pt>
                <c:pt idx="4">
                  <c:v>3.9790659179141379E-6</c:v>
                </c:pt>
                <c:pt idx="5">
                  <c:v>3.3861463555049949E-6</c:v>
                </c:pt>
                <c:pt idx="6">
                  <c:v>3.3374682082654149E-6</c:v>
                </c:pt>
                <c:pt idx="7">
                  <c:v>3.2881570368442091E-6</c:v>
                </c:pt>
                <c:pt idx="8">
                  <c:v>3.2253656685543869E-6</c:v>
                </c:pt>
                <c:pt idx="9">
                  <c:v>3.1741680482204189E-6</c:v>
                </c:pt>
                <c:pt idx="10">
                  <c:v>3.1223148211611095E-6</c:v>
                </c:pt>
                <c:pt idx="11">
                  <c:v>3.0875438210041065E-6</c:v>
                </c:pt>
                <c:pt idx="12">
                  <c:v>3.0526438684044575E-6</c:v>
                </c:pt>
                <c:pt idx="13">
                  <c:v>3.0137586886540927E-6</c:v>
                </c:pt>
                <c:pt idx="14">
                  <c:v>2.9777691935766821E-6</c:v>
                </c:pt>
                <c:pt idx="15">
                  <c:v>2.9413690235047201E-6</c:v>
                </c:pt>
                <c:pt idx="16">
                  <c:v>2.8046124052885331E-6</c:v>
                </c:pt>
                <c:pt idx="17">
                  <c:v>2.668261086883535E-6</c:v>
                </c:pt>
                <c:pt idx="18">
                  <c:v>2.52927218934321E-6</c:v>
                </c:pt>
                <c:pt idx="19">
                  <c:v>2.3935320689052198E-6</c:v>
                </c:pt>
                <c:pt idx="20">
                  <c:v>2.2576695351428628E-6</c:v>
                </c:pt>
                <c:pt idx="21">
                  <c:v>2.2491397340091358E-6</c:v>
                </c:pt>
                <c:pt idx="22">
                  <c:v>2.1590820324197839E-6</c:v>
                </c:pt>
                <c:pt idx="23">
                  <c:v>2.0691563580032741E-6</c:v>
                </c:pt>
                <c:pt idx="24">
                  <c:v>1.9793448929012829E-6</c:v>
                </c:pt>
              </c:numCache>
            </c:numRef>
          </c:val>
          <c:extLst>
            <c:ext xmlns:c16="http://schemas.microsoft.com/office/drawing/2014/chart" uri="{C3380CC4-5D6E-409C-BE32-E72D297353CC}">
              <c16:uniqueId val="{00000006-4C07-4A7B-B286-17ED2F4FB040}"/>
            </c:ext>
          </c:extLst>
        </c:ser>
        <c:ser>
          <c:idx val="7"/>
          <c:order val="7"/>
          <c:tx>
            <c:strRef>
              <c:f>'Results ReCiPe (H) - ESD'!$AB$97</c:f>
              <c:strCache>
                <c:ptCount val="1"/>
                <c:pt idx="0">
                  <c:v>CO2 captured and stored</c:v>
                </c:pt>
              </c:strCache>
            </c:strRef>
          </c:tx>
          <c:spPr>
            <a:solidFill>
              <a:schemeClr val="tx2">
                <a:lumMod val="20000"/>
                <a:lumOff val="80000"/>
              </a:schemeClr>
            </a:solidFill>
            <a:ln>
              <a:noFill/>
            </a:ln>
            <a:effectLst/>
          </c:spPr>
          <c:invertIfNegative val="0"/>
          <c:cat>
            <c:numRef>
              <c:f>'Results ReCiPe (H) - ESD'!$AC$89:$BA$89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ESD'!$AC$97:$BA$97</c:f>
              <c:numCache>
                <c:formatCode>0.00E+00</c:formatCode>
                <c:ptCount val="25"/>
                <c:pt idx="0">
                  <c:v>-2.8000764999999998E-4</c:v>
                </c:pt>
                <c:pt idx="1">
                  <c:v>-2.8000764999999998E-4</c:v>
                </c:pt>
                <c:pt idx="2">
                  <c:v>-2.8000764999999998E-4</c:v>
                </c:pt>
                <c:pt idx="3">
                  <c:v>-2.8000764999999998E-4</c:v>
                </c:pt>
                <c:pt idx="4">
                  <c:v>-2.8000764999999998E-4</c:v>
                </c:pt>
                <c:pt idx="5">
                  <c:v>-2.8000764999999998E-4</c:v>
                </c:pt>
                <c:pt idx="6">
                  <c:v>-2.8000764999999998E-4</c:v>
                </c:pt>
                <c:pt idx="7">
                  <c:v>-2.8000764999999998E-4</c:v>
                </c:pt>
                <c:pt idx="8">
                  <c:v>-2.8000764999999998E-4</c:v>
                </c:pt>
                <c:pt idx="9">
                  <c:v>-2.8000764999999998E-4</c:v>
                </c:pt>
                <c:pt idx="10">
                  <c:v>-2.8000764999999998E-4</c:v>
                </c:pt>
                <c:pt idx="11">
                  <c:v>-2.8000764999999998E-4</c:v>
                </c:pt>
                <c:pt idx="12">
                  <c:v>-2.8000764999999998E-4</c:v>
                </c:pt>
                <c:pt idx="13">
                  <c:v>-2.8000764999999998E-4</c:v>
                </c:pt>
                <c:pt idx="14">
                  <c:v>-2.8000764999999998E-4</c:v>
                </c:pt>
                <c:pt idx="15">
                  <c:v>-2.8000764999999998E-4</c:v>
                </c:pt>
                <c:pt idx="16">
                  <c:v>-2.8000764999999998E-4</c:v>
                </c:pt>
                <c:pt idx="17">
                  <c:v>-2.8000764999999998E-4</c:v>
                </c:pt>
                <c:pt idx="18">
                  <c:v>-2.8000764999999998E-4</c:v>
                </c:pt>
                <c:pt idx="19">
                  <c:v>-2.8000764999999998E-4</c:v>
                </c:pt>
                <c:pt idx="20">
                  <c:v>-2.8000764999999998E-4</c:v>
                </c:pt>
                <c:pt idx="21">
                  <c:v>-2.8000764999999998E-4</c:v>
                </c:pt>
                <c:pt idx="22">
                  <c:v>-2.8000764999999998E-4</c:v>
                </c:pt>
                <c:pt idx="23">
                  <c:v>-2.8000764999999998E-4</c:v>
                </c:pt>
                <c:pt idx="24">
                  <c:v>-2.8000764999999998E-4</c:v>
                </c:pt>
              </c:numCache>
            </c:numRef>
          </c:val>
          <c:extLst>
            <c:ext xmlns:c16="http://schemas.microsoft.com/office/drawing/2014/chart" uri="{C3380CC4-5D6E-409C-BE32-E72D297353CC}">
              <c16:uniqueId val="{00000007-4C07-4A7B-B286-17ED2F4FB040}"/>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ESD'!$AB$98</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cat>
            <c:numRef>
              <c:f>'Results ReCiPe (H) - ESD'!$AC$89:$BA$89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ESD'!$AC$98:$BA$98</c:f>
              <c:numCache>
                <c:formatCode>0.00E+00</c:formatCode>
                <c:ptCount val="25"/>
                <c:pt idx="0">
                  <c:v>-4.4137137067064785E-5</c:v>
                </c:pt>
                <c:pt idx="1">
                  <c:v>-2.1816062144527931E-4</c:v>
                </c:pt>
                <c:pt idx="2">
                  <c:v>-2.26435340484488E-4</c:v>
                </c:pt>
                <c:pt idx="3">
                  <c:v>-2.3141468322746334E-4</c:v>
                </c:pt>
                <c:pt idx="4">
                  <c:v>-2.432481955257185E-4</c:v>
                </c:pt>
                <c:pt idx="5">
                  <c:v>-2.5160291714150697E-4</c:v>
                </c:pt>
                <c:pt idx="6">
                  <c:v>-2.4891277114386475E-4</c:v>
                </c:pt>
                <c:pt idx="7">
                  <c:v>-2.5295284847478108E-4</c:v>
                </c:pt>
                <c:pt idx="8">
                  <c:v>-2.538133863686545E-4</c:v>
                </c:pt>
                <c:pt idx="9">
                  <c:v>-2.5120320943171473E-4</c:v>
                </c:pt>
                <c:pt idx="10">
                  <c:v>-2.5524908684094007E-4</c:v>
                </c:pt>
                <c:pt idx="11">
                  <c:v>-2.5573335467141497E-4</c:v>
                </c:pt>
                <c:pt idx="12">
                  <c:v>-2.5290946930126533E-4</c:v>
                </c:pt>
                <c:pt idx="13">
                  <c:v>-2.5675683855563207E-4</c:v>
                </c:pt>
                <c:pt idx="14">
                  <c:v>-2.5725799712934399E-4</c:v>
                </c:pt>
                <c:pt idx="15">
                  <c:v>-2.5446605690614404E-4</c:v>
                </c:pt>
                <c:pt idx="16">
                  <c:v>-2.5969322784183608E-4</c:v>
                </c:pt>
                <c:pt idx="17">
                  <c:v>-2.6159998177796454E-4</c:v>
                </c:pt>
                <c:pt idx="18">
                  <c:v>-2.6024507313969811E-4</c:v>
                </c:pt>
                <c:pt idx="19">
                  <c:v>-2.6539080883115451E-4</c:v>
                </c:pt>
                <c:pt idx="20">
                  <c:v>-2.6724394404222126E-4</c:v>
                </c:pt>
                <c:pt idx="21">
                  <c:v>-2.6422962380260326E-4</c:v>
                </c:pt>
                <c:pt idx="22">
                  <c:v>-2.6880751075693439E-4</c:v>
                </c:pt>
                <c:pt idx="23">
                  <c:v>-2.7010420317127826E-4</c:v>
                </c:pt>
                <c:pt idx="24">
                  <c:v>-2.6553759484369095E-4</c:v>
                </c:pt>
              </c:numCache>
            </c:numRef>
          </c:val>
          <c:smooth val="0"/>
          <c:extLst>
            <c:ext xmlns:c16="http://schemas.microsoft.com/office/drawing/2014/chart" uri="{C3380CC4-5D6E-409C-BE32-E72D297353CC}">
              <c16:uniqueId val="{00000008-4C07-4A7B-B286-17ED2F4FB040}"/>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Ecosystem damage </a:t>
                </a:r>
                <a:br>
                  <a:rPr lang="nl-NL"/>
                </a:br>
                <a:r>
                  <a:rPr lang="nl-NL"/>
                  <a:t>(PDF*yr/ton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ESD'!$AB$132</c:f>
              <c:strCache>
                <c:ptCount val="1"/>
                <c:pt idx="0">
                  <c:v>Construction - DAC</c:v>
                </c:pt>
              </c:strCache>
            </c:strRef>
          </c:tx>
          <c:spPr>
            <a:solidFill>
              <a:schemeClr val="accent4">
                <a:lumMod val="75000"/>
              </a:schemeClr>
            </a:solidFill>
            <a:ln>
              <a:noFill/>
            </a:ln>
            <a:effectLst/>
          </c:spPr>
          <c:invertIfNegative val="0"/>
          <c:cat>
            <c:numRef>
              <c:f>'Results ReCiPe (H) - ESD'!$AC$131:$BA$131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ESD'!$AC$132:$BA$132</c:f>
              <c:numCache>
                <c:formatCode>0.00E+00</c:formatCode>
                <c:ptCount val="25"/>
                <c:pt idx="0">
                  <c:v>1.9467533260507852E-4</c:v>
                </c:pt>
              </c:numCache>
            </c:numRef>
          </c:val>
          <c:extLst>
            <c:ext xmlns:c16="http://schemas.microsoft.com/office/drawing/2014/chart" uri="{C3380CC4-5D6E-409C-BE32-E72D297353CC}">
              <c16:uniqueId val="{00000000-129E-401E-9F11-F1C8D983C407}"/>
            </c:ext>
          </c:extLst>
        </c:ser>
        <c:ser>
          <c:idx val="1"/>
          <c:order val="1"/>
          <c:tx>
            <c:strRef>
              <c:f>'Results ReCiPe (H) - ESD'!$AB$133</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(H) - ESD'!$AC$131:$BA$131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ESD'!$AC$133:$BA$133</c:f>
              <c:numCache>
                <c:formatCode>0.00E+00</c:formatCode>
                <c:ptCount val="25"/>
                <c:pt idx="0">
                  <c:v>1.1362073373089257E-5</c:v>
                </c:pt>
              </c:numCache>
            </c:numRef>
          </c:val>
          <c:extLst>
            <c:ext xmlns:c16="http://schemas.microsoft.com/office/drawing/2014/chart" uri="{C3380CC4-5D6E-409C-BE32-E72D297353CC}">
              <c16:uniqueId val="{00000001-129E-401E-9F11-F1C8D983C407}"/>
            </c:ext>
          </c:extLst>
        </c:ser>
        <c:ser>
          <c:idx val="2"/>
          <c:order val="2"/>
          <c:tx>
            <c:strRef>
              <c:f>'Results ReCiPe (H) - ESD'!$AB$134</c:f>
              <c:strCache>
                <c:ptCount val="1"/>
                <c:pt idx="0">
                  <c:v>Deconstruction - DAC</c:v>
                </c:pt>
              </c:strCache>
            </c:strRef>
          </c:tx>
          <c:spPr>
            <a:solidFill>
              <a:schemeClr val="accent2">
                <a:lumMod val="40000"/>
                <a:lumOff val="60000"/>
              </a:schemeClr>
            </a:solidFill>
            <a:ln>
              <a:noFill/>
            </a:ln>
            <a:effectLst/>
          </c:spPr>
          <c:invertIfNegative val="0"/>
          <c:cat>
            <c:numRef>
              <c:f>'Results ReCiPe (H) - ESD'!$AC$131:$BA$131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ESD'!$AC$134:$BA$134</c:f>
              <c:numCache>
                <c:formatCode>0.00E+00</c:formatCode>
                <c:ptCount val="25"/>
                <c:pt idx="24">
                  <c:v>2.8327516247168551E-6</c:v>
                </c:pt>
              </c:numCache>
            </c:numRef>
          </c:val>
          <c:extLst>
            <c:ext xmlns:c16="http://schemas.microsoft.com/office/drawing/2014/chart" uri="{C3380CC4-5D6E-409C-BE32-E72D297353CC}">
              <c16:uniqueId val="{00000002-129E-401E-9F11-F1C8D983C407}"/>
            </c:ext>
          </c:extLst>
        </c:ser>
        <c:ser>
          <c:idx val="3"/>
          <c:order val="3"/>
          <c:tx>
            <c:strRef>
              <c:f>'Results ReCiPe (H) - ESD'!$AB$135</c:f>
              <c:strCache>
                <c:ptCount val="1"/>
                <c:pt idx="0">
                  <c:v>Deconstruction - geological storage</c:v>
                </c:pt>
              </c:strCache>
            </c:strRef>
          </c:tx>
          <c:spPr>
            <a:solidFill>
              <a:srgbClr val="FF9900"/>
            </a:solidFill>
            <a:ln>
              <a:noFill/>
            </a:ln>
            <a:effectLst/>
          </c:spPr>
          <c:invertIfNegative val="0"/>
          <c:cat>
            <c:numRef>
              <c:f>'Results ReCiPe (H) - ESD'!$AC$131:$BA$131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ESD'!$AC$135:$BA$135</c:f>
              <c:numCache>
                <c:formatCode>0.00E+00</c:formatCode>
                <c:ptCount val="25"/>
                <c:pt idx="24">
                  <c:v>9.2615556283479631E-8</c:v>
                </c:pt>
              </c:numCache>
            </c:numRef>
          </c:val>
          <c:extLst>
            <c:ext xmlns:c16="http://schemas.microsoft.com/office/drawing/2014/chart" uri="{C3380CC4-5D6E-409C-BE32-E72D297353CC}">
              <c16:uniqueId val="{00000003-129E-401E-9F11-F1C8D983C407}"/>
            </c:ext>
          </c:extLst>
        </c:ser>
        <c:ser>
          <c:idx val="4"/>
          <c:order val="4"/>
          <c:tx>
            <c:strRef>
              <c:f>'Results ReCiPe (H) - ESD'!$AB$136</c:f>
              <c:strCache>
                <c:ptCount val="1"/>
                <c:pt idx="0">
                  <c:v>Sorbent material</c:v>
                </c:pt>
              </c:strCache>
            </c:strRef>
          </c:tx>
          <c:spPr>
            <a:solidFill>
              <a:srgbClr val="FF8F8F"/>
            </a:solidFill>
            <a:ln>
              <a:noFill/>
            </a:ln>
            <a:effectLst/>
          </c:spPr>
          <c:invertIfNegative val="0"/>
          <c:cat>
            <c:numRef>
              <c:f>'Results ReCiPe (H) - ESD'!$AC$131:$BA$131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ESD'!$AC$136:$BA$136</c:f>
              <c:numCache>
                <c:formatCode>0.00E+00</c:formatCode>
                <c:ptCount val="25"/>
                <c:pt idx="0">
                  <c:v>4.5446143489064019E-6</c:v>
                </c:pt>
                <c:pt idx="3">
                  <c:v>4.4990771841472508E-6</c:v>
                </c:pt>
                <c:pt idx="6">
                  <c:v>4.4904228129143327E-6</c:v>
                </c:pt>
                <c:pt idx="9">
                  <c:v>4.4944994140002021E-6</c:v>
                </c:pt>
                <c:pt idx="12">
                  <c:v>4.5214378334785092E-6</c:v>
                </c:pt>
                <c:pt idx="15">
                  <c:v>4.5497134383595956E-6</c:v>
                </c:pt>
                <c:pt idx="18">
                  <c:v>4.4955793454683717E-6</c:v>
                </c:pt>
                <c:pt idx="21">
                  <c:v>4.4518098931988601E-6</c:v>
                </c:pt>
                <c:pt idx="24">
                  <c:v>4.3615476020125354E-6</c:v>
                </c:pt>
              </c:numCache>
            </c:numRef>
          </c:val>
          <c:extLst>
            <c:ext xmlns:c16="http://schemas.microsoft.com/office/drawing/2014/chart" uri="{C3380CC4-5D6E-409C-BE32-E72D297353CC}">
              <c16:uniqueId val="{00000004-129E-401E-9F11-F1C8D983C407}"/>
            </c:ext>
          </c:extLst>
        </c:ser>
        <c:ser>
          <c:idx val="5"/>
          <c:order val="5"/>
          <c:tx>
            <c:strRef>
              <c:f>'Results ReCiPe (H) - ESD'!$AB$137</c:f>
              <c:strCache>
                <c:ptCount val="1"/>
                <c:pt idx="0">
                  <c:v>Operation - DAC</c:v>
                </c:pt>
              </c:strCache>
            </c:strRef>
          </c:tx>
          <c:spPr>
            <a:solidFill>
              <a:schemeClr val="accent2">
                <a:lumMod val="75000"/>
              </a:schemeClr>
            </a:solidFill>
            <a:ln>
              <a:noFill/>
            </a:ln>
            <a:effectLst/>
          </c:spPr>
          <c:invertIfNegative val="0"/>
          <c:cat>
            <c:numRef>
              <c:f>'Results ReCiPe (H) - ESD'!$AC$131:$BA$131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ESD'!$AC$137:$BA$137</c:f>
              <c:numCache>
                <c:formatCode>0.00E+00</c:formatCode>
                <c:ptCount val="25"/>
                <c:pt idx="0">
                  <c:v>1.2609712408111751E-4</c:v>
                </c:pt>
                <c:pt idx="1">
                  <c:v>1.2561981054232138E-4</c:v>
                </c:pt>
                <c:pt idx="2">
                  <c:v>1.2514152768895251E-4</c:v>
                </c:pt>
                <c:pt idx="3">
                  <c:v>1.2453918917903461E-4</c:v>
                </c:pt>
                <c:pt idx="4">
                  <c:v>1.240576804340914E-4</c:v>
                </c:pt>
                <c:pt idx="5">
                  <c:v>1.2357469085938648E-4</c:v>
                </c:pt>
                <c:pt idx="6">
                  <c:v>1.3204048212213683E-4</c:v>
                </c:pt>
                <c:pt idx="7">
                  <c:v>1.4049514393957337E-4</c:v>
                </c:pt>
                <c:pt idx="8">
                  <c:v>1.4886759273517822E-4</c:v>
                </c:pt>
                <c:pt idx="9">
                  <c:v>1.5730945561294408E-4</c:v>
                </c:pt>
                <c:pt idx="10">
                  <c:v>1.6573576125827191E-4</c:v>
                </c:pt>
                <c:pt idx="11">
                  <c:v>1.8163286251103754E-4</c:v>
                </c:pt>
                <c:pt idx="12">
                  <c:v>1.9757185748234539E-4</c:v>
                </c:pt>
                <c:pt idx="13">
                  <c:v>2.1353857022540711E-4</c:v>
                </c:pt>
                <c:pt idx="14">
                  <c:v>2.2956863122547394E-4</c:v>
                </c:pt>
                <c:pt idx="15">
                  <c:v>2.4564852111216183E-4</c:v>
                </c:pt>
                <c:pt idx="16">
                  <c:v>2.4736407694702907E-4</c:v>
                </c:pt>
                <c:pt idx="17">
                  <c:v>2.4909873898929565E-4</c:v>
                </c:pt>
                <c:pt idx="18">
                  <c:v>2.5083414466368513E-4</c:v>
                </c:pt>
                <c:pt idx="19">
                  <c:v>2.5260133405196787E-4</c:v>
                </c:pt>
                <c:pt idx="20">
                  <c:v>2.5438215810291237E-4</c:v>
                </c:pt>
                <c:pt idx="21">
                  <c:v>2.5111953062878484E-4</c:v>
                </c:pt>
                <c:pt idx="22">
                  <c:v>2.4411536205559085E-4</c:v>
                </c:pt>
                <c:pt idx="23">
                  <c:v>2.3708664520123195E-4</c:v>
                </c:pt>
                <c:pt idx="24">
                  <c:v>2.3003317125281871E-4</c:v>
                </c:pt>
              </c:numCache>
            </c:numRef>
          </c:val>
          <c:extLst>
            <c:ext xmlns:c16="http://schemas.microsoft.com/office/drawing/2014/chart" uri="{C3380CC4-5D6E-409C-BE32-E72D297353CC}">
              <c16:uniqueId val="{00000005-129E-401E-9F11-F1C8D983C407}"/>
            </c:ext>
          </c:extLst>
        </c:ser>
        <c:ser>
          <c:idx val="6"/>
          <c:order val="6"/>
          <c:tx>
            <c:strRef>
              <c:f>'Results ReCiPe (H) - ESD'!$AB$138</c:f>
              <c:strCache>
                <c:ptCount val="1"/>
                <c:pt idx="0">
                  <c:v>Operation - geological storage</c:v>
                </c:pt>
              </c:strCache>
            </c:strRef>
          </c:tx>
          <c:spPr>
            <a:solidFill>
              <a:schemeClr val="accent2">
                <a:lumMod val="50000"/>
              </a:schemeClr>
            </a:solidFill>
            <a:ln>
              <a:noFill/>
            </a:ln>
            <a:effectLst/>
          </c:spPr>
          <c:invertIfNegative val="0"/>
          <c:cat>
            <c:numRef>
              <c:f>'Results ReCiPe (H) - ESD'!$AC$131:$BA$131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ESD'!$AC$138:$BA$138</c:f>
              <c:numCache>
                <c:formatCode>0.00E+00</c:formatCode>
                <c:ptCount val="25"/>
                <c:pt idx="0">
                  <c:v>3.1797782165420871E-8</c:v>
                </c:pt>
                <c:pt idx="1">
                  <c:v>3.1647776711233046E-8</c:v>
                </c:pt>
                <c:pt idx="2">
                  <c:v>3.1497799919814247E-8</c:v>
                </c:pt>
                <c:pt idx="3">
                  <c:v>3.1320606945209962E-8</c:v>
                </c:pt>
                <c:pt idx="4">
                  <c:v>3.1170361776363029E-8</c:v>
                </c:pt>
                <c:pt idx="5">
                  <c:v>3.1020039626438309E-8</c:v>
                </c:pt>
                <c:pt idx="6">
                  <c:v>3.2921428895861715E-8</c:v>
                </c:pt>
                <c:pt idx="7">
                  <c:v>3.4814695927821755E-8</c:v>
                </c:pt>
                <c:pt idx="8">
                  <c:v>3.668395296908396E-8</c:v>
                </c:pt>
                <c:pt idx="9">
                  <c:v>3.8563227374546007E-8</c:v>
                </c:pt>
                <c:pt idx="10">
                  <c:v>4.0433446077921769E-8</c:v>
                </c:pt>
                <c:pt idx="11">
                  <c:v>4.4001481949962163E-8</c:v>
                </c:pt>
                <c:pt idx="12">
                  <c:v>4.7570731004208979E-8</c:v>
                </c:pt>
                <c:pt idx="13">
                  <c:v>5.1137989123168719E-8</c:v>
                </c:pt>
                <c:pt idx="14">
                  <c:v>5.4711279888426196E-8</c:v>
                </c:pt>
                <c:pt idx="15">
                  <c:v>5.8287442359928426E-8</c:v>
                </c:pt>
                <c:pt idx="16">
                  <c:v>5.8621825995075434E-8</c:v>
                </c:pt>
                <c:pt idx="17">
                  <c:v>5.8959706246248795E-8</c:v>
                </c:pt>
                <c:pt idx="18">
                  <c:v>5.9296970563941409E-8</c:v>
                </c:pt>
                <c:pt idx="19">
                  <c:v>5.964056138211613E-8</c:v>
                </c:pt>
                <c:pt idx="20">
                  <c:v>5.9986401055279095E-8</c:v>
                </c:pt>
                <c:pt idx="21">
                  <c:v>5.9164854113411895E-8</c:v>
                </c:pt>
                <c:pt idx="22">
                  <c:v>5.7490675274398223E-8</c:v>
                </c:pt>
                <c:pt idx="23">
                  <c:v>5.5817244483627902E-8</c:v>
                </c:pt>
                <c:pt idx="24">
                  <c:v>5.4144530449848056E-8</c:v>
                </c:pt>
              </c:numCache>
            </c:numRef>
          </c:val>
          <c:extLst>
            <c:ext xmlns:c16="http://schemas.microsoft.com/office/drawing/2014/chart" uri="{C3380CC4-5D6E-409C-BE32-E72D297353CC}">
              <c16:uniqueId val="{00000006-129E-401E-9F11-F1C8D983C407}"/>
            </c:ext>
          </c:extLst>
        </c:ser>
        <c:ser>
          <c:idx val="7"/>
          <c:order val="7"/>
          <c:tx>
            <c:strRef>
              <c:f>'Results ReCiPe (H) - ESD'!$AB$139</c:f>
              <c:strCache>
                <c:ptCount val="1"/>
                <c:pt idx="0">
                  <c:v>CO2 captured and stored</c:v>
                </c:pt>
              </c:strCache>
            </c:strRef>
          </c:tx>
          <c:spPr>
            <a:solidFill>
              <a:schemeClr val="tx2">
                <a:lumMod val="20000"/>
                <a:lumOff val="80000"/>
              </a:schemeClr>
            </a:solidFill>
            <a:ln>
              <a:noFill/>
            </a:ln>
            <a:effectLst/>
          </c:spPr>
          <c:invertIfNegative val="0"/>
          <c:cat>
            <c:numRef>
              <c:f>'Results ReCiPe (H) - ESD'!$AC$131:$BA$131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ESD'!$AC$139:$BA$139</c:f>
              <c:numCache>
                <c:formatCode>0.00E+00</c:formatCode>
                <c:ptCount val="25"/>
                <c:pt idx="0">
                  <c:v>-2.8000764999999998E-4</c:v>
                </c:pt>
                <c:pt idx="1">
                  <c:v>-2.8000764999999998E-4</c:v>
                </c:pt>
                <c:pt idx="2">
                  <c:v>-2.8000764999999998E-4</c:v>
                </c:pt>
                <c:pt idx="3">
                  <c:v>-2.8000764999999998E-4</c:v>
                </c:pt>
                <c:pt idx="4">
                  <c:v>-2.8000764999999998E-4</c:v>
                </c:pt>
                <c:pt idx="5">
                  <c:v>-2.8000764999999998E-4</c:v>
                </c:pt>
                <c:pt idx="6">
                  <c:v>-2.8000764999999998E-4</c:v>
                </c:pt>
                <c:pt idx="7">
                  <c:v>-2.8000764999999998E-4</c:v>
                </c:pt>
                <c:pt idx="8">
                  <c:v>-2.8000764999999998E-4</c:v>
                </c:pt>
                <c:pt idx="9">
                  <c:v>-2.8000764999999998E-4</c:v>
                </c:pt>
                <c:pt idx="10">
                  <c:v>-2.8000764999999998E-4</c:v>
                </c:pt>
                <c:pt idx="11">
                  <c:v>-2.8000764999999998E-4</c:v>
                </c:pt>
                <c:pt idx="12">
                  <c:v>-2.8000764999999998E-4</c:v>
                </c:pt>
                <c:pt idx="13">
                  <c:v>-2.8000764999999998E-4</c:v>
                </c:pt>
                <c:pt idx="14">
                  <c:v>-2.8000764999999998E-4</c:v>
                </c:pt>
                <c:pt idx="15">
                  <c:v>-2.8000764999999998E-4</c:v>
                </c:pt>
                <c:pt idx="16">
                  <c:v>-2.8000764999999998E-4</c:v>
                </c:pt>
                <c:pt idx="17">
                  <c:v>-2.8000764999999998E-4</c:v>
                </c:pt>
                <c:pt idx="18">
                  <c:v>-2.8000764999999998E-4</c:v>
                </c:pt>
                <c:pt idx="19">
                  <c:v>-2.8000764999999998E-4</c:v>
                </c:pt>
                <c:pt idx="20">
                  <c:v>-2.8000764999999998E-4</c:v>
                </c:pt>
                <c:pt idx="21">
                  <c:v>-2.8000764999999998E-4</c:v>
                </c:pt>
                <c:pt idx="22">
                  <c:v>-2.8000764999999998E-4</c:v>
                </c:pt>
                <c:pt idx="23">
                  <c:v>-2.8000764999999998E-4</c:v>
                </c:pt>
                <c:pt idx="24">
                  <c:v>-2.8000764999999998E-4</c:v>
                </c:pt>
              </c:numCache>
            </c:numRef>
          </c:val>
          <c:extLst>
            <c:ext xmlns:c16="http://schemas.microsoft.com/office/drawing/2014/chart" uri="{C3380CC4-5D6E-409C-BE32-E72D297353CC}">
              <c16:uniqueId val="{00000007-129E-401E-9F11-F1C8D983C407}"/>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ESD'!$AB$140</c:f>
              <c:strCache>
                <c:ptCount val="1"/>
                <c:pt idx="0">
                  <c:v>TOTAL per year</c:v>
                </c:pt>
              </c:strCache>
            </c:strRef>
          </c:tx>
          <c:spPr>
            <a:ln w="28575" cap="rnd">
              <a:noFill/>
              <a:round/>
            </a:ln>
            <a:effectLst/>
          </c:spPr>
          <c:marker>
            <c:symbol val="circle"/>
            <c:size val="5"/>
            <c:spPr>
              <a:solidFill>
                <a:schemeClr val="tx1"/>
              </a:solidFill>
              <a:ln w="9525">
                <a:solidFill>
                  <a:schemeClr val="accent3">
                    <a:lumMod val="60000"/>
                  </a:schemeClr>
                </a:solidFill>
              </a:ln>
              <a:effectLst/>
            </c:spPr>
          </c:marker>
          <c:cat>
            <c:numRef>
              <c:f>'Results ReCiPe (H) - ESD'!$AC$131:$BA$131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ESD'!$AC$140:$BA$140</c:f>
              <c:numCache>
                <c:formatCode>0.00E+00</c:formatCode>
                <c:ptCount val="25"/>
                <c:pt idx="0">
                  <c:v>5.6703292190357104E-5</c:v>
                </c:pt>
                <c:pt idx="1">
                  <c:v>-1.5435619168096737E-4</c:v>
                </c:pt>
                <c:pt idx="2">
                  <c:v>-1.5483462451112767E-4</c:v>
                </c:pt>
                <c:pt idx="3">
                  <c:v>-1.5093806302987292E-4</c:v>
                </c:pt>
                <c:pt idx="4">
                  <c:v>-1.5591879920413222E-4</c:v>
                </c:pt>
                <c:pt idx="5">
                  <c:v>-1.5640193910098707E-4</c:v>
                </c:pt>
                <c:pt idx="6">
                  <c:v>-1.4344382363605296E-4</c:v>
                </c:pt>
                <c:pt idx="7">
                  <c:v>-1.3947769136449879E-4</c:v>
                </c:pt>
                <c:pt idx="8">
                  <c:v>-1.3110337331185268E-4</c:v>
                </c:pt>
                <c:pt idx="9">
                  <c:v>-1.1816513174568114E-4</c:v>
                </c:pt>
                <c:pt idx="10">
                  <c:v>-1.1423145529565015E-4</c:v>
                </c:pt>
                <c:pt idx="11">
                  <c:v>-9.8330786007012476E-5</c:v>
                </c:pt>
                <c:pt idx="12">
                  <c:v>-7.7866783953171859E-5</c:v>
                </c:pt>
                <c:pt idx="13">
                  <c:v>-6.6417941785469717E-5</c:v>
                </c:pt>
                <c:pt idx="14">
                  <c:v>-5.0384307494637606E-5</c:v>
                </c:pt>
                <c:pt idx="15">
                  <c:v>-2.9751128007118584E-5</c:v>
                </c:pt>
                <c:pt idx="16">
                  <c:v>-3.2584951226975821E-5</c:v>
                </c:pt>
                <c:pt idx="17">
                  <c:v>-3.0849951304458062E-5</c:v>
                </c:pt>
                <c:pt idx="18">
                  <c:v>-2.4618629020282544E-5</c:v>
                </c:pt>
                <c:pt idx="19">
                  <c:v>-2.7346675386650014E-5</c:v>
                </c:pt>
                <c:pt idx="20">
                  <c:v>-2.5565505496032311E-5</c:v>
                </c:pt>
                <c:pt idx="21">
                  <c:v>-2.4377144623902874E-5</c:v>
                </c:pt>
                <c:pt idx="22">
                  <c:v>-3.5834797269134713E-5</c:v>
                </c:pt>
                <c:pt idx="23">
                  <c:v>-4.2865187554284417E-5</c:v>
                </c:pt>
                <c:pt idx="24">
                  <c:v>-4.2633419433718561E-5</c:v>
                </c:pt>
              </c:numCache>
            </c:numRef>
          </c:val>
          <c:smooth val="0"/>
          <c:extLst>
            <c:ext xmlns:c16="http://schemas.microsoft.com/office/drawing/2014/chart" uri="{C3380CC4-5D6E-409C-BE32-E72D297353CC}">
              <c16:uniqueId val="{00000008-129E-401E-9F11-F1C8D983C407}"/>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Ecosystem damage </a:t>
                </a:r>
              </a:p>
              <a:p>
                <a:pPr algn="ctr" rtl="0">
                  <a:defRPr/>
                </a:pPr>
                <a:r>
                  <a:rPr lang="nl-NL"/>
                  <a:t>[PDF*yr/ton CO2 captured and stored)</a:t>
                </a:r>
                <a:endParaRPr lang="en-NL"/>
              </a:p>
              <a:p>
                <a:pPr algn="ctr" rtl="0">
                  <a:defRPr/>
                </a:pPr>
                <a:endParaRPr lang="nl-NL"/>
              </a:p>
            </c:rich>
          </c:tx>
          <c:layout>
            <c:manualLayout>
              <c:xMode val="edge"/>
              <c:yMode val="edge"/>
              <c:x val="7.9702420389474969E-3"/>
              <c:y val="0.1809137471468788"/>
            </c:manualLayout>
          </c:layout>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ESD'!$AB$173</c:f>
              <c:strCache>
                <c:ptCount val="1"/>
                <c:pt idx="0">
                  <c:v>Construction - DAC</c:v>
                </c:pt>
              </c:strCache>
            </c:strRef>
          </c:tx>
          <c:spPr>
            <a:solidFill>
              <a:schemeClr val="accent4">
                <a:lumMod val="75000"/>
              </a:schemeClr>
            </a:solidFill>
            <a:ln>
              <a:noFill/>
            </a:ln>
            <a:effectLst/>
          </c:spPr>
          <c:invertIfNegative val="0"/>
          <c:cat>
            <c:numRef>
              <c:f>'Results ReCiPe (H) - ESD'!$AC$172:$BA$172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ESD'!$AC$173:$BA$173</c:f>
              <c:numCache>
                <c:formatCode>0.00E+00</c:formatCode>
                <c:ptCount val="25"/>
                <c:pt idx="0">
                  <c:v>1.8346526921509307E-4</c:v>
                </c:pt>
              </c:numCache>
            </c:numRef>
          </c:val>
          <c:extLst>
            <c:ext xmlns:c16="http://schemas.microsoft.com/office/drawing/2014/chart" uri="{C3380CC4-5D6E-409C-BE32-E72D297353CC}">
              <c16:uniqueId val="{00000000-B8CE-4F93-AA81-324AAC64DEC2}"/>
            </c:ext>
          </c:extLst>
        </c:ser>
        <c:ser>
          <c:idx val="1"/>
          <c:order val="1"/>
          <c:tx>
            <c:strRef>
              <c:f>'Results ReCiPe (H) - ESD'!$AB$174</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(H) - ESD'!$AC$172:$BA$172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ESD'!$AC$174:$BA$174</c:f>
              <c:numCache>
                <c:formatCode>0.00E+00</c:formatCode>
                <c:ptCount val="25"/>
                <c:pt idx="0">
                  <c:v>1.0765797689579158E-5</c:v>
                </c:pt>
              </c:numCache>
            </c:numRef>
          </c:val>
          <c:extLst>
            <c:ext xmlns:c16="http://schemas.microsoft.com/office/drawing/2014/chart" uri="{C3380CC4-5D6E-409C-BE32-E72D297353CC}">
              <c16:uniqueId val="{00000001-B8CE-4F93-AA81-324AAC64DEC2}"/>
            </c:ext>
          </c:extLst>
        </c:ser>
        <c:ser>
          <c:idx val="2"/>
          <c:order val="2"/>
          <c:tx>
            <c:strRef>
              <c:f>'Results ReCiPe (H) - ESD'!$AB$175</c:f>
              <c:strCache>
                <c:ptCount val="1"/>
                <c:pt idx="0">
                  <c:v>Deconstruction - DAC</c:v>
                </c:pt>
              </c:strCache>
            </c:strRef>
          </c:tx>
          <c:spPr>
            <a:solidFill>
              <a:schemeClr val="accent2">
                <a:lumMod val="40000"/>
                <a:lumOff val="60000"/>
              </a:schemeClr>
            </a:solidFill>
            <a:ln>
              <a:noFill/>
            </a:ln>
            <a:effectLst/>
          </c:spPr>
          <c:invertIfNegative val="0"/>
          <c:cat>
            <c:numRef>
              <c:f>'Results ReCiPe (H) - ESD'!$AC$172:$BA$172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ESD'!$AC$175:$BA$175</c:f>
              <c:numCache>
                <c:formatCode>0.00E+00</c:formatCode>
                <c:ptCount val="25"/>
                <c:pt idx="24">
                  <c:v>2.5814369390254752E-6</c:v>
                </c:pt>
              </c:numCache>
            </c:numRef>
          </c:val>
          <c:extLst>
            <c:ext xmlns:c16="http://schemas.microsoft.com/office/drawing/2014/chart" uri="{C3380CC4-5D6E-409C-BE32-E72D297353CC}">
              <c16:uniqueId val="{00000002-B8CE-4F93-AA81-324AAC64DEC2}"/>
            </c:ext>
          </c:extLst>
        </c:ser>
        <c:ser>
          <c:idx val="3"/>
          <c:order val="3"/>
          <c:tx>
            <c:strRef>
              <c:f>'Results ReCiPe (H) - ESD'!$AB$176</c:f>
              <c:strCache>
                <c:ptCount val="1"/>
                <c:pt idx="0">
                  <c:v>Deconstruction - geological storage</c:v>
                </c:pt>
              </c:strCache>
            </c:strRef>
          </c:tx>
          <c:spPr>
            <a:solidFill>
              <a:srgbClr val="FF9900"/>
            </a:solidFill>
            <a:ln>
              <a:noFill/>
            </a:ln>
            <a:effectLst/>
          </c:spPr>
          <c:invertIfNegative val="0"/>
          <c:cat>
            <c:numRef>
              <c:f>'Results ReCiPe (H) - ESD'!$AC$172:$BA$172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ESD'!$AC$176:$BA$176</c:f>
              <c:numCache>
                <c:formatCode>0.00E+00</c:formatCode>
                <c:ptCount val="25"/>
                <c:pt idx="24">
                  <c:v>8.9177657234606268E-8</c:v>
                </c:pt>
              </c:numCache>
            </c:numRef>
          </c:val>
          <c:extLst>
            <c:ext xmlns:c16="http://schemas.microsoft.com/office/drawing/2014/chart" uri="{C3380CC4-5D6E-409C-BE32-E72D297353CC}">
              <c16:uniqueId val="{00000003-B8CE-4F93-AA81-324AAC64DEC2}"/>
            </c:ext>
          </c:extLst>
        </c:ser>
        <c:ser>
          <c:idx val="4"/>
          <c:order val="4"/>
          <c:tx>
            <c:strRef>
              <c:f>'Results ReCiPe (H) - ESD'!$AB$177</c:f>
              <c:strCache>
                <c:ptCount val="1"/>
                <c:pt idx="0">
                  <c:v>Sorbent material</c:v>
                </c:pt>
              </c:strCache>
            </c:strRef>
          </c:tx>
          <c:spPr>
            <a:solidFill>
              <a:srgbClr val="FF8F8F"/>
            </a:solidFill>
            <a:ln>
              <a:noFill/>
            </a:ln>
            <a:effectLst/>
          </c:spPr>
          <c:invertIfNegative val="0"/>
          <c:cat>
            <c:numRef>
              <c:f>'Results ReCiPe (H) - ESD'!$AC$172:$BA$172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ESD'!$AC$177:$BA$177</c:f>
              <c:numCache>
                <c:formatCode>0.00E+00</c:formatCode>
                <c:ptCount val="25"/>
                <c:pt idx="0">
                  <c:v>4.3941155135361717E-6</c:v>
                </c:pt>
                <c:pt idx="3">
                  <c:v>4.2507924568478764E-6</c:v>
                </c:pt>
                <c:pt idx="6">
                  <c:v>4.1207843305059888E-6</c:v>
                </c:pt>
                <c:pt idx="9">
                  <c:v>3.961479922998473E-6</c:v>
                </c:pt>
                <c:pt idx="12">
                  <c:v>3.782659921523485E-6</c:v>
                </c:pt>
                <c:pt idx="15">
                  <c:v>3.5852486401048028E-6</c:v>
                </c:pt>
                <c:pt idx="18">
                  <c:v>3.4498744880293848E-6</c:v>
                </c:pt>
                <c:pt idx="21">
                  <c:v>3.372986237475297E-6</c:v>
                </c:pt>
                <c:pt idx="24">
                  <c:v>3.3539861692443772E-6</c:v>
                </c:pt>
              </c:numCache>
            </c:numRef>
          </c:val>
          <c:extLst>
            <c:ext xmlns:c16="http://schemas.microsoft.com/office/drawing/2014/chart" uri="{C3380CC4-5D6E-409C-BE32-E72D297353CC}">
              <c16:uniqueId val="{00000004-B8CE-4F93-AA81-324AAC64DEC2}"/>
            </c:ext>
          </c:extLst>
        </c:ser>
        <c:ser>
          <c:idx val="5"/>
          <c:order val="5"/>
          <c:tx>
            <c:strRef>
              <c:f>'Results ReCiPe (H) - ESD'!$AB$178</c:f>
              <c:strCache>
                <c:ptCount val="1"/>
                <c:pt idx="0">
                  <c:v>Operation - DAC</c:v>
                </c:pt>
              </c:strCache>
            </c:strRef>
          </c:tx>
          <c:spPr>
            <a:solidFill>
              <a:schemeClr val="accent2">
                <a:lumMod val="75000"/>
              </a:schemeClr>
            </a:solidFill>
            <a:ln>
              <a:noFill/>
            </a:ln>
            <a:effectLst/>
          </c:spPr>
          <c:invertIfNegative val="0"/>
          <c:cat>
            <c:numRef>
              <c:f>'Results ReCiPe (H) - ESD'!$AC$172:$BA$172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ESD'!$AC$178:$BA$178</c:f>
              <c:numCache>
                <c:formatCode>0.00E+00</c:formatCode>
                <c:ptCount val="25"/>
                <c:pt idx="0">
                  <c:v>1.0631386695713137E-4</c:v>
                </c:pt>
                <c:pt idx="1">
                  <c:v>9.9195492323323346E-5</c:v>
                </c:pt>
                <c:pt idx="2">
                  <c:v>9.2071055427469641E-5</c:v>
                </c:pt>
                <c:pt idx="3">
                  <c:v>8.480967982117366E-5</c:v>
                </c:pt>
                <c:pt idx="4">
                  <c:v>7.7671362794186723E-5</c:v>
                </c:pt>
                <c:pt idx="5">
                  <c:v>7.0526797329012271E-5</c:v>
                </c:pt>
                <c:pt idx="6">
                  <c:v>6.6021432869089867E-5</c:v>
                </c:pt>
                <c:pt idx="7">
                  <c:v>6.1518250126262004E-5</c:v>
                </c:pt>
                <c:pt idx="8">
                  <c:v>5.6915220684311279E-5</c:v>
                </c:pt>
                <c:pt idx="9">
                  <c:v>5.2397405095628239E-5</c:v>
                </c:pt>
                <c:pt idx="10">
                  <c:v>4.787080628765045E-5</c:v>
                </c:pt>
                <c:pt idx="11">
                  <c:v>4.4823461488432227E-5</c:v>
                </c:pt>
                <c:pt idx="12">
                  <c:v>4.1761576383950526E-5</c:v>
                </c:pt>
                <c:pt idx="13">
                  <c:v>3.865316298722266E-5</c:v>
                </c:pt>
                <c:pt idx="14">
                  <c:v>3.5556269763647242E-5</c:v>
                </c:pt>
                <c:pt idx="15">
                  <c:v>3.2445173908467337E-5</c:v>
                </c:pt>
                <c:pt idx="16">
                  <c:v>3.1057485592137793E-5</c:v>
                </c:pt>
                <c:pt idx="17">
                  <c:v>2.967422560339777E-5</c:v>
                </c:pt>
                <c:pt idx="18">
                  <c:v>2.8268104320533644E-5</c:v>
                </c:pt>
                <c:pt idx="19">
                  <c:v>2.6892810437179852E-5</c:v>
                </c:pt>
                <c:pt idx="20">
                  <c:v>2.5316103019982918E-5</c:v>
                </c:pt>
                <c:pt idx="21">
                  <c:v>2.5353384783025232E-5</c:v>
                </c:pt>
                <c:pt idx="22">
                  <c:v>2.4706877807295189E-5</c:v>
                </c:pt>
                <c:pt idx="23">
                  <c:v>2.405735843545893E-5</c:v>
                </c:pt>
                <c:pt idx="24">
                  <c:v>2.340475868104593E-5</c:v>
                </c:pt>
              </c:numCache>
            </c:numRef>
          </c:val>
          <c:extLst>
            <c:ext xmlns:c16="http://schemas.microsoft.com/office/drawing/2014/chart" uri="{C3380CC4-5D6E-409C-BE32-E72D297353CC}">
              <c16:uniqueId val="{00000005-B8CE-4F93-AA81-324AAC64DEC2}"/>
            </c:ext>
          </c:extLst>
        </c:ser>
        <c:ser>
          <c:idx val="6"/>
          <c:order val="6"/>
          <c:tx>
            <c:strRef>
              <c:f>'Results ReCiPe (H) - ESD'!$AB$179</c:f>
              <c:strCache>
                <c:ptCount val="1"/>
                <c:pt idx="0">
                  <c:v>Operation - geological storage</c:v>
                </c:pt>
              </c:strCache>
            </c:strRef>
          </c:tx>
          <c:spPr>
            <a:solidFill>
              <a:schemeClr val="accent2">
                <a:lumMod val="50000"/>
              </a:schemeClr>
            </a:solidFill>
            <a:ln>
              <a:noFill/>
            </a:ln>
            <a:effectLst/>
          </c:spPr>
          <c:invertIfNegative val="0"/>
          <c:cat>
            <c:numRef>
              <c:f>'Results ReCiPe (H) - ESD'!$AC$172:$BA$172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ESD'!$AC$179:$BA$179</c:f>
              <c:numCache>
                <c:formatCode>0.00E+00</c:formatCode>
                <c:ptCount val="25"/>
                <c:pt idx="0">
                  <c:v>2.7148136611198738E-8</c:v>
                </c:pt>
                <c:pt idx="1">
                  <c:v>2.546825848109242E-8</c:v>
                </c:pt>
                <c:pt idx="2">
                  <c:v>2.3794443559640535E-8</c:v>
                </c:pt>
                <c:pt idx="3">
                  <c:v>2.2097648995380839E-8</c:v>
                </c:pt>
                <c:pt idx="4">
                  <c:v>2.043556304860846E-8</c:v>
                </c:pt>
                <c:pt idx="5">
                  <c:v>1.8779495671654271E-8</c:v>
                </c:pt>
                <c:pt idx="6">
                  <c:v>1.7738645483685198E-8</c:v>
                </c:pt>
                <c:pt idx="7">
                  <c:v>1.6699401048933684E-8</c:v>
                </c:pt>
                <c:pt idx="8">
                  <c:v>1.5639345232595664E-8</c:v>
                </c:pt>
                <c:pt idx="9">
                  <c:v>1.4600449454182411E-8</c:v>
                </c:pt>
                <c:pt idx="10">
                  <c:v>1.3561644547151368E-8</c:v>
                </c:pt>
                <c:pt idx="11">
                  <c:v>1.2860827180258062E-8</c:v>
                </c:pt>
                <c:pt idx="12">
                  <c:v>1.2156895349869529E-8</c:v>
                </c:pt>
                <c:pt idx="13">
                  <c:v>1.1442685567027167E-8</c:v>
                </c:pt>
                <c:pt idx="14">
                  <c:v>1.0731127486874594E-8</c:v>
                </c:pt>
                <c:pt idx="15">
                  <c:v>1.0016442799030954E-8</c:v>
                </c:pt>
                <c:pt idx="16">
                  <c:v>9.6965617355981594E-9</c:v>
                </c:pt>
                <c:pt idx="17">
                  <c:v>9.3768349441888888E-9</c:v>
                </c:pt>
                <c:pt idx="18">
                  <c:v>9.0511779091148139E-9</c:v>
                </c:pt>
                <c:pt idx="19">
                  <c:v>8.7314126347114447E-9</c:v>
                </c:pt>
                <c:pt idx="20">
                  <c:v>8.4118378455451377E-9</c:v>
                </c:pt>
                <c:pt idx="21">
                  <c:v>8.4362155285598362E-9</c:v>
                </c:pt>
                <c:pt idx="22">
                  <c:v>8.2868632416206325E-9</c:v>
                </c:pt>
                <c:pt idx="23">
                  <c:v>8.1372672241856571E-9</c:v>
                </c:pt>
                <c:pt idx="24">
                  <c:v>7.9874059113008565E-9</c:v>
                </c:pt>
              </c:numCache>
            </c:numRef>
          </c:val>
          <c:extLst>
            <c:ext xmlns:c16="http://schemas.microsoft.com/office/drawing/2014/chart" uri="{C3380CC4-5D6E-409C-BE32-E72D297353CC}">
              <c16:uniqueId val="{00000006-B8CE-4F93-AA81-324AAC64DEC2}"/>
            </c:ext>
          </c:extLst>
        </c:ser>
        <c:ser>
          <c:idx val="7"/>
          <c:order val="7"/>
          <c:tx>
            <c:strRef>
              <c:f>'Results ReCiPe (H) - ESD'!$AB$180</c:f>
              <c:strCache>
                <c:ptCount val="1"/>
                <c:pt idx="0">
                  <c:v>CO2 captured and stored</c:v>
                </c:pt>
              </c:strCache>
            </c:strRef>
          </c:tx>
          <c:spPr>
            <a:solidFill>
              <a:schemeClr val="tx2">
                <a:lumMod val="20000"/>
                <a:lumOff val="80000"/>
              </a:schemeClr>
            </a:solidFill>
            <a:ln>
              <a:noFill/>
            </a:ln>
            <a:effectLst/>
          </c:spPr>
          <c:invertIfNegative val="0"/>
          <c:cat>
            <c:numRef>
              <c:f>'Results ReCiPe (H) - ESD'!$AC$172:$BA$172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ESD'!$AC$180:$BA$180</c:f>
              <c:numCache>
                <c:formatCode>0.00E+00</c:formatCode>
                <c:ptCount val="25"/>
                <c:pt idx="0">
                  <c:v>-2.8000764999999998E-4</c:v>
                </c:pt>
                <c:pt idx="1">
                  <c:v>-2.8000764999999998E-4</c:v>
                </c:pt>
                <c:pt idx="2">
                  <c:v>-2.8000764999999998E-4</c:v>
                </c:pt>
                <c:pt idx="3">
                  <c:v>-2.8000764999999998E-4</c:v>
                </c:pt>
                <c:pt idx="4">
                  <c:v>-2.8000764999999998E-4</c:v>
                </c:pt>
                <c:pt idx="5">
                  <c:v>-2.8000764999999998E-4</c:v>
                </c:pt>
                <c:pt idx="6">
                  <c:v>-2.8000764999999998E-4</c:v>
                </c:pt>
                <c:pt idx="7">
                  <c:v>-2.8000764999999998E-4</c:v>
                </c:pt>
                <c:pt idx="8">
                  <c:v>-2.8000764999999998E-4</c:v>
                </c:pt>
                <c:pt idx="9">
                  <c:v>-2.8000764999999998E-4</c:v>
                </c:pt>
                <c:pt idx="10">
                  <c:v>-2.8000764999999998E-4</c:v>
                </c:pt>
                <c:pt idx="11">
                  <c:v>-2.8000764999999998E-4</c:v>
                </c:pt>
                <c:pt idx="12">
                  <c:v>-2.8000764999999998E-4</c:v>
                </c:pt>
                <c:pt idx="13">
                  <c:v>-2.8000764999999998E-4</c:v>
                </c:pt>
                <c:pt idx="14">
                  <c:v>-2.8000764999999998E-4</c:v>
                </c:pt>
                <c:pt idx="15">
                  <c:v>-2.8000764999999998E-4</c:v>
                </c:pt>
                <c:pt idx="16">
                  <c:v>-2.8000764999999998E-4</c:v>
                </c:pt>
                <c:pt idx="17">
                  <c:v>-2.8000764999999998E-4</c:v>
                </c:pt>
                <c:pt idx="18">
                  <c:v>-2.8000764999999998E-4</c:v>
                </c:pt>
                <c:pt idx="19">
                  <c:v>-2.8000764999999998E-4</c:v>
                </c:pt>
                <c:pt idx="20">
                  <c:v>-2.8000764999999998E-4</c:v>
                </c:pt>
                <c:pt idx="21">
                  <c:v>-2.8000764999999998E-4</c:v>
                </c:pt>
                <c:pt idx="22">
                  <c:v>-2.8000764999999998E-4</c:v>
                </c:pt>
                <c:pt idx="23">
                  <c:v>-2.8000764999999998E-4</c:v>
                </c:pt>
                <c:pt idx="24">
                  <c:v>-2.8000764999999998E-4</c:v>
                </c:pt>
              </c:numCache>
            </c:numRef>
          </c:val>
          <c:extLst>
            <c:ext xmlns:c16="http://schemas.microsoft.com/office/drawing/2014/chart" uri="{C3380CC4-5D6E-409C-BE32-E72D297353CC}">
              <c16:uniqueId val="{00000007-B8CE-4F93-AA81-324AAC64DEC2}"/>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ESD'!$AB$181</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cat>
            <c:numRef>
              <c:f>'Results ReCiPe (H) - ESD'!$AC$172:$BA$172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ESD'!$AC$181:$BA$181</c:f>
              <c:numCache>
                <c:formatCode>0.00E+00</c:formatCode>
                <c:ptCount val="25"/>
                <c:pt idx="0">
                  <c:v>2.4958547511950979E-5</c:v>
                </c:pt>
                <c:pt idx="1">
                  <c:v>-1.8078668941819555E-4</c:v>
                </c:pt>
                <c:pt idx="2">
                  <c:v>-1.8791280012897071E-4</c:v>
                </c:pt>
                <c:pt idx="3">
                  <c:v>-1.9092508007298307E-4</c:v>
                </c:pt>
                <c:pt idx="4">
                  <c:v>-2.0231585164276467E-4</c:v>
                </c:pt>
                <c:pt idx="5">
                  <c:v>-2.0946207317531606E-4</c:v>
                </c:pt>
                <c:pt idx="6">
                  <c:v>-2.0984769415492043E-4</c:v>
                </c:pt>
                <c:pt idx="7">
                  <c:v>-2.1847270047268904E-4</c:v>
                </c:pt>
                <c:pt idx="8">
                  <c:v>-2.2307678997045611E-4</c:v>
                </c:pt>
                <c:pt idx="9">
                  <c:v>-2.2363416453191908E-4</c:v>
                </c:pt>
                <c:pt idx="10">
                  <c:v>-2.3212328206780237E-4</c:v>
                </c:pt>
                <c:pt idx="11">
                  <c:v>-2.3517132768438749E-4</c:v>
                </c:pt>
                <c:pt idx="12">
                  <c:v>-2.344512567991761E-4</c:v>
                </c:pt>
                <c:pt idx="13">
                  <c:v>-2.4134304432721029E-4</c:v>
                </c:pt>
                <c:pt idx="14">
                  <c:v>-2.4444064910886584E-4</c:v>
                </c:pt>
                <c:pt idx="15">
                  <c:v>-2.439672110086288E-4</c:v>
                </c:pt>
                <c:pt idx="16">
                  <c:v>-2.489404678461266E-4</c:v>
                </c:pt>
                <c:pt idx="17">
                  <c:v>-2.5032404756165802E-4</c:v>
                </c:pt>
                <c:pt idx="18">
                  <c:v>-2.4828062001352785E-4</c:v>
                </c:pt>
                <c:pt idx="19">
                  <c:v>-2.5310610815018543E-4</c:v>
                </c:pt>
                <c:pt idx="20">
                  <c:v>-2.546831351421715E-4</c:v>
                </c:pt>
                <c:pt idx="21">
                  <c:v>-2.5127284276397089E-4</c:v>
                </c:pt>
                <c:pt idx="22">
                  <c:v>-2.5529248532946315E-4</c:v>
                </c:pt>
                <c:pt idx="23">
                  <c:v>-2.5594215429731689E-4</c:v>
                </c:pt>
                <c:pt idx="24">
                  <c:v>-2.505703031475383E-4</c:v>
                </c:pt>
              </c:numCache>
            </c:numRef>
          </c:val>
          <c:smooth val="0"/>
          <c:extLst>
            <c:ext xmlns:c16="http://schemas.microsoft.com/office/drawing/2014/chart" uri="{C3380CC4-5D6E-409C-BE32-E72D297353CC}">
              <c16:uniqueId val="{00000008-B8CE-4F93-AA81-324AAC64DEC2}"/>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nl-NL"/>
                  <a:t>years</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NL"/>
            </a:p>
          </c:txPr>
        </c:title>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Ecosystem damage </a:t>
                </a:r>
              </a:p>
              <a:p>
                <a:pPr algn="ctr" rtl="0">
                  <a:defRPr/>
                </a:pPr>
                <a:r>
                  <a:rPr lang="nl-NL"/>
                  <a:t>[PDF*yr/ton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ESD'!$AB$214</c:f>
              <c:strCache>
                <c:ptCount val="1"/>
                <c:pt idx="0">
                  <c:v>Construction - DAC</c:v>
                </c:pt>
              </c:strCache>
            </c:strRef>
          </c:tx>
          <c:spPr>
            <a:solidFill>
              <a:schemeClr val="accent4">
                <a:lumMod val="75000"/>
              </a:schemeClr>
            </a:solidFill>
            <a:ln>
              <a:noFill/>
            </a:ln>
            <a:effectLst/>
          </c:spPr>
          <c:invertIfNegative val="0"/>
          <c:cat>
            <c:numRef>
              <c:f>'Results ReCiPe (H) - ESD'!$AC$213:$BA$213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ESD'!$AC$214:$BA$214</c:f>
              <c:numCache>
                <c:formatCode>0.00E+00</c:formatCode>
                <c:ptCount val="25"/>
                <c:pt idx="0">
                  <c:v>1.5226911141711527E-4</c:v>
                </c:pt>
              </c:numCache>
            </c:numRef>
          </c:val>
          <c:extLst>
            <c:ext xmlns:c16="http://schemas.microsoft.com/office/drawing/2014/chart" uri="{C3380CC4-5D6E-409C-BE32-E72D297353CC}">
              <c16:uniqueId val="{00000000-CD66-4D4A-A922-7C23521FCE2D}"/>
            </c:ext>
          </c:extLst>
        </c:ser>
        <c:ser>
          <c:idx val="1"/>
          <c:order val="1"/>
          <c:tx>
            <c:strRef>
              <c:f>'Results ReCiPe (H) - ESD'!$AB$215</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(H) - ESD'!$AC$213:$BA$213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ESD'!$AC$215:$BA$215</c:f>
              <c:numCache>
                <c:formatCode>0.00E+00</c:formatCode>
                <c:ptCount val="25"/>
                <c:pt idx="0">
                  <c:v>9.7865963272845992E-6</c:v>
                </c:pt>
              </c:numCache>
            </c:numRef>
          </c:val>
          <c:extLst>
            <c:ext xmlns:c16="http://schemas.microsoft.com/office/drawing/2014/chart" uri="{C3380CC4-5D6E-409C-BE32-E72D297353CC}">
              <c16:uniqueId val="{00000001-CD66-4D4A-A922-7C23521FCE2D}"/>
            </c:ext>
          </c:extLst>
        </c:ser>
        <c:ser>
          <c:idx val="2"/>
          <c:order val="2"/>
          <c:tx>
            <c:strRef>
              <c:f>'Results ReCiPe (H) - ESD'!$AB$216</c:f>
              <c:strCache>
                <c:ptCount val="1"/>
                <c:pt idx="0">
                  <c:v>Deconstruction - DAC</c:v>
                </c:pt>
              </c:strCache>
            </c:strRef>
          </c:tx>
          <c:spPr>
            <a:solidFill>
              <a:schemeClr val="accent2">
                <a:lumMod val="40000"/>
                <a:lumOff val="60000"/>
              </a:schemeClr>
            </a:solidFill>
            <a:ln>
              <a:noFill/>
            </a:ln>
            <a:effectLst/>
          </c:spPr>
          <c:invertIfNegative val="0"/>
          <c:cat>
            <c:numRef>
              <c:f>'Results ReCiPe (H) - ESD'!$AC$213:$BA$213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ESD'!$AC$216:$BA$216</c:f>
              <c:numCache>
                <c:formatCode>0.00E+00</c:formatCode>
                <c:ptCount val="25"/>
                <c:pt idx="24">
                  <c:v>2.4979772832792044E-6</c:v>
                </c:pt>
              </c:numCache>
            </c:numRef>
          </c:val>
          <c:extLst>
            <c:ext xmlns:c16="http://schemas.microsoft.com/office/drawing/2014/chart" uri="{C3380CC4-5D6E-409C-BE32-E72D297353CC}">
              <c16:uniqueId val="{00000002-CD66-4D4A-A922-7C23521FCE2D}"/>
            </c:ext>
          </c:extLst>
        </c:ser>
        <c:ser>
          <c:idx val="3"/>
          <c:order val="3"/>
          <c:tx>
            <c:strRef>
              <c:f>'Results ReCiPe (H) - ESD'!$AB$217</c:f>
              <c:strCache>
                <c:ptCount val="1"/>
                <c:pt idx="0">
                  <c:v>Deconstruction - geological storage</c:v>
                </c:pt>
              </c:strCache>
            </c:strRef>
          </c:tx>
          <c:spPr>
            <a:solidFill>
              <a:srgbClr val="FF9900"/>
            </a:solidFill>
            <a:ln>
              <a:noFill/>
            </a:ln>
            <a:effectLst/>
          </c:spPr>
          <c:invertIfNegative val="0"/>
          <c:cat>
            <c:numRef>
              <c:f>'Results ReCiPe (H) - ESD'!$AC$213:$BA$213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ESD'!$AC$217:$BA$217</c:f>
              <c:numCache>
                <c:formatCode>0.00E+00</c:formatCode>
                <c:ptCount val="25"/>
                <c:pt idx="24">
                  <c:v>8.9291412421487725E-8</c:v>
                </c:pt>
              </c:numCache>
            </c:numRef>
          </c:val>
          <c:extLst>
            <c:ext xmlns:c16="http://schemas.microsoft.com/office/drawing/2014/chart" uri="{C3380CC4-5D6E-409C-BE32-E72D297353CC}">
              <c16:uniqueId val="{00000003-CD66-4D4A-A922-7C23521FCE2D}"/>
            </c:ext>
          </c:extLst>
        </c:ser>
        <c:ser>
          <c:idx val="4"/>
          <c:order val="4"/>
          <c:tx>
            <c:strRef>
              <c:f>'Results ReCiPe (H) - ESD'!$AB$218</c:f>
              <c:strCache>
                <c:ptCount val="1"/>
                <c:pt idx="0">
                  <c:v>Sorbent material</c:v>
                </c:pt>
              </c:strCache>
            </c:strRef>
          </c:tx>
          <c:spPr>
            <a:solidFill>
              <a:srgbClr val="FF8F8F"/>
            </a:solidFill>
            <a:ln>
              <a:noFill/>
            </a:ln>
            <a:effectLst/>
          </c:spPr>
          <c:invertIfNegative val="0"/>
          <c:cat>
            <c:numRef>
              <c:f>'Results ReCiPe (H) - ESD'!$AC$213:$BA$213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ESD'!$AC$218:$BA$218</c:f>
              <c:numCache>
                <c:formatCode>0.00E+00</c:formatCode>
                <c:ptCount val="25"/>
                <c:pt idx="0">
                  <c:v>3.715731652454359E-6</c:v>
                </c:pt>
                <c:pt idx="3">
                  <c:v>3.5013590415283682E-6</c:v>
                </c:pt>
                <c:pt idx="6">
                  <c:v>3.359625974222981E-6</c:v>
                </c:pt>
                <c:pt idx="9">
                  <c:v>3.3222042704526711E-6</c:v>
                </c:pt>
                <c:pt idx="12">
                  <c:v>3.3098090978734569E-6</c:v>
                </c:pt>
                <c:pt idx="15">
                  <c:v>3.2987119954850761E-6</c:v>
                </c:pt>
                <c:pt idx="18">
                  <c:v>3.278896138541998E-6</c:v>
                </c:pt>
                <c:pt idx="21">
                  <c:v>3.2828870256197742E-6</c:v>
                </c:pt>
                <c:pt idx="24">
                  <c:v>3.2779455111866361E-6</c:v>
                </c:pt>
              </c:numCache>
            </c:numRef>
          </c:val>
          <c:extLst>
            <c:ext xmlns:c16="http://schemas.microsoft.com/office/drawing/2014/chart" uri="{C3380CC4-5D6E-409C-BE32-E72D297353CC}">
              <c16:uniqueId val="{00000004-CD66-4D4A-A922-7C23521FCE2D}"/>
            </c:ext>
          </c:extLst>
        </c:ser>
        <c:ser>
          <c:idx val="5"/>
          <c:order val="5"/>
          <c:tx>
            <c:strRef>
              <c:f>'Results ReCiPe (H) - ESD'!$AB$219</c:f>
              <c:strCache>
                <c:ptCount val="1"/>
                <c:pt idx="0">
                  <c:v>Operation - DAC</c:v>
                </c:pt>
              </c:strCache>
            </c:strRef>
          </c:tx>
          <c:spPr>
            <a:solidFill>
              <a:schemeClr val="accent2">
                <a:lumMod val="75000"/>
              </a:schemeClr>
            </a:solidFill>
            <a:ln>
              <a:noFill/>
            </a:ln>
            <a:effectLst/>
          </c:spPr>
          <c:invertIfNegative val="0"/>
          <c:cat>
            <c:numRef>
              <c:f>'Results ReCiPe (H) - ESD'!$AC$213:$BA$213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ESD'!$AC$219:$BA$219</c:f>
              <c:numCache>
                <c:formatCode>0.00E+00</c:formatCode>
                <c:ptCount val="25"/>
                <c:pt idx="0">
                  <c:v>5.2485260841158965E-5</c:v>
                </c:pt>
                <c:pt idx="1">
                  <c:v>4.6583975863190444E-5</c:v>
                </c:pt>
                <c:pt idx="2">
                  <c:v>4.0663143243011243E-5</c:v>
                </c:pt>
                <c:pt idx="3">
                  <c:v>3.4569009498929191E-5</c:v>
                </c:pt>
                <c:pt idx="4">
                  <c:v>2.8598997412621645E-5</c:v>
                </c:pt>
                <c:pt idx="5">
                  <c:v>2.2609504784310214E-5</c:v>
                </c:pt>
                <c:pt idx="6">
                  <c:v>2.2122737058492591E-5</c:v>
                </c:pt>
                <c:pt idx="7">
                  <c:v>2.1628060529237967E-5</c:v>
                </c:pt>
                <c:pt idx="8">
                  <c:v>2.09927647023118E-5</c:v>
                </c:pt>
                <c:pt idx="9">
                  <c:v>2.0475342199917643E-5</c:v>
                </c:pt>
                <c:pt idx="10">
                  <c:v>1.9949701852944732E-5</c:v>
                </c:pt>
                <c:pt idx="11">
                  <c:v>1.9601621350894765E-5</c:v>
                </c:pt>
                <c:pt idx="12">
                  <c:v>1.9252652744242143E-5</c:v>
                </c:pt>
                <c:pt idx="13">
                  <c:v>1.8862663357652828E-5</c:v>
                </c:pt>
                <c:pt idx="14">
                  <c:v>1.850290418822944E-5</c:v>
                </c:pt>
                <c:pt idx="15">
                  <c:v>1.8138975887903136E-5</c:v>
                </c:pt>
                <c:pt idx="16">
                  <c:v>1.6766178772234577E-5</c:v>
                </c:pt>
                <c:pt idx="17">
                  <c:v>1.5409740495097621E-5</c:v>
                </c:pt>
                <c:pt idx="18">
                  <c:v>1.4037994594488492E-5</c:v>
                </c:pt>
                <c:pt idx="19">
                  <c:v>1.2711488092123848E-5</c:v>
                </c:pt>
                <c:pt idx="20">
                  <c:v>1.139266720179935E-5</c:v>
                </c:pt>
                <c:pt idx="21">
                  <c:v>1.1217420733954137E-5</c:v>
                </c:pt>
                <c:pt idx="22">
                  <c:v>1.0297012768990355E-5</c:v>
                </c:pt>
                <c:pt idx="23">
                  <c:v>9.3752170203539572E-6</c:v>
                </c:pt>
                <c:pt idx="24">
                  <c:v>8.4518779018362923E-6</c:v>
                </c:pt>
              </c:numCache>
            </c:numRef>
          </c:val>
          <c:extLst>
            <c:ext xmlns:c16="http://schemas.microsoft.com/office/drawing/2014/chart" uri="{C3380CC4-5D6E-409C-BE32-E72D297353CC}">
              <c16:uniqueId val="{00000005-CD66-4D4A-A922-7C23521FCE2D}"/>
            </c:ext>
          </c:extLst>
        </c:ser>
        <c:ser>
          <c:idx val="6"/>
          <c:order val="6"/>
          <c:tx>
            <c:strRef>
              <c:f>'Results ReCiPe (H) - ESD'!$AB$220</c:f>
              <c:strCache>
                <c:ptCount val="1"/>
                <c:pt idx="0">
                  <c:v>Operation - geological storage</c:v>
                </c:pt>
              </c:strCache>
            </c:strRef>
          </c:tx>
          <c:spPr>
            <a:solidFill>
              <a:schemeClr val="accent2">
                <a:lumMod val="50000"/>
              </a:schemeClr>
            </a:solidFill>
            <a:ln>
              <a:noFill/>
            </a:ln>
            <a:effectLst/>
          </c:spPr>
          <c:invertIfNegative val="0"/>
          <c:cat>
            <c:numRef>
              <c:f>'Results ReCiPe (H) - ESD'!$AC$213:$BA$213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ESD'!$AC$220:$BA$220</c:f>
              <c:numCache>
                <c:formatCode>0.00E+00</c:formatCode>
                <c:ptCount val="25"/>
                <c:pt idx="0">
                  <c:v>1.4678012901466101E-8</c:v>
                </c:pt>
                <c:pt idx="1">
                  <c:v>1.3298966379161942E-8</c:v>
                </c:pt>
                <c:pt idx="2">
                  <c:v>1.1924221919941876E-8</c:v>
                </c:pt>
                <c:pt idx="3">
                  <c:v>1.0519853748956411E-8</c:v>
                </c:pt>
                <c:pt idx="4">
                  <c:v>9.1518516112025191E-9</c:v>
                </c:pt>
                <c:pt idx="5">
                  <c:v>7.7881366176614895E-9</c:v>
                </c:pt>
                <c:pt idx="6">
                  <c:v>7.6761768790104546E-9</c:v>
                </c:pt>
                <c:pt idx="7">
                  <c:v>7.5627611847416821E-9</c:v>
                </c:pt>
                <c:pt idx="8">
                  <c:v>7.4183410376750901E-9</c:v>
                </c:pt>
                <c:pt idx="9">
                  <c:v>7.3005865109069637E-9</c:v>
                </c:pt>
                <c:pt idx="10">
                  <c:v>7.181324088670552E-9</c:v>
                </c:pt>
                <c:pt idx="11">
                  <c:v>7.101350788309446E-9</c:v>
                </c:pt>
                <c:pt idx="12">
                  <c:v>7.0210808973302529E-9</c:v>
                </c:pt>
                <c:pt idx="13">
                  <c:v>6.9316449839044142E-9</c:v>
                </c:pt>
                <c:pt idx="14">
                  <c:v>6.8488691452263691E-9</c:v>
                </c:pt>
                <c:pt idx="15">
                  <c:v>6.7651487540608562E-9</c:v>
                </c:pt>
                <c:pt idx="16">
                  <c:v>6.4506085321636263E-9</c:v>
                </c:pt>
                <c:pt idx="17">
                  <c:v>6.1370004998321311E-9</c:v>
                </c:pt>
                <c:pt idx="18">
                  <c:v>5.8173260354893832E-9</c:v>
                </c:pt>
                <c:pt idx="19">
                  <c:v>5.505123758482006E-9</c:v>
                </c:pt>
                <c:pt idx="20">
                  <c:v>5.1926399308285846E-9</c:v>
                </c:pt>
                <c:pt idx="21">
                  <c:v>5.173021388221013E-9</c:v>
                </c:pt>
                <c:pt idx="22">
                  <c:v>4.9658886745655036E-9</c:v>
                </c:pt>
                <c:pt idx="23">
                  <c:v>4.7590596234075303E-9</c:v>
                </c:pt>
                <c:pt idx="24">
                  <c:v>4.5524932536729508E-9</c:v>
                </c:pt>
              </c:numCache>
            </c:numRef>
          </c:val>
          <c:extLst>
            <c:ext xmlns:c16="http://schemas.microsoft.com/office/drawing/2014/chart" uri="{C3380CC4-5D6E-409C-BE32-E72D297353CC}">
              <c16:uniqueId val="{00000006-CD66-4D4A-A922-7C23521FCE2D}"/>
            </c:ext>
          </c:extLst>
        </c:ser>
        <c:ser>
          <c:idx val="7"/>
          <c:order val="7"/>
          <c:tx>
            <c:strRef>
              <c:f>'Results ReCiPe (H) - ESD'!$AB$221</c:f>
              <c:strCache>
                <c:ptCount val="1"/>
                <c:pt idx="0">
                  <c:v>CO2 captured and stored</c:v>
                </c:pt>
              </c:strCache>
            </c:strRef>
          </c:tx>
          <c:spPr>
            <a:solidFill>
              <a:schemeClr val="tx2">
                <a:lumMod val="20000"/>
                <a:lumOff val="80000"/>
              </a:schemeClr>
            </a:solidFill>
            <a:ln>
              <a:noFill/>
            </a:ln>
            <a:effectLst/>
          </c:spPr>
          <c:invertIfNegative val="0"/>
          <c:cat>
            <c:numRef>
              <c:f>'Results ReCiPe (H) - ESD'!$AC$213:$BA$213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ESD'!$AC$221:$BA$221</c:f>
              <c:numCache>
                <c:formatCode>0.00E+00</c:formatCode>
                <c:ptCount val="25"/>
                <c:pt idx="0">
                  <c:v>-2.8000764999999998E-4</c:v>
                </c:pt>
                <c:pt idx="1">
                  <c:v>-2.8000764999999998E-4</c:v>
                </c:pt>
                <c:pt idx="2">
                  <c:v>-2.8000764999999998E-4</c:v>
                </c:pt>
                <c:pt idx="3">
                  <c:v>-2.8000764999999998E-4</c:v>
                </c:pt>
                <c:pt idx="4">
                  <c:v>-2.8000764999999998E-4</c:v>
                </c:pt>
                <c:pt idx="5">
                  <c:v>-2.8000764999999998E-4</c:v>
                </c:pt>
                <c:pt idx="6">
                  <c:v>-2.8000764999999998E-4</c:v>
                </c:pt>
                <c:pt idx="7">
                  <c:v>-2.8000764999999998E-4</c:v>
                </c:pt>
                <c:pt idx="8">
                  <c:v>-2.8000764999999998E-4</c:v>
                </c:pt>
                <c:pt idx="9">
                  <c:v>-2.8000764999999998E-4</c:v>
                </c:pt>
                <c:pt idx="10">
                  <c:v>-2.8000764999999998E-4</c:v>
                </c:pt>
                <c:pt idx="11">
                  <c:v>-2.8000764999999998E-4</c:v>
                </c:pt>
                <c:pt idx="12">
                  <c:v>-2.8000764999999998E-4</c:v>
                </c:pt>
                <c:pt idx="13">
                  <c:v>-2.8000764999999998E-4</c:v>
                </c:pt>
                <c:pt idx="14">
                  <c:v>-2.8000764999999998E-4</c:v>
                </c:pt>
                <c:pt idx="15">
                  <c:v>-2.8000764999999998E-4</c:v>
                </c:pt>
                <c:pt idx="16">
                  <c:v>-2.8000764999999998E-4</c:v>
                </c:pt>
                <c:pt idx="17">
                  <c:v>-2.8000764999999998E-4</c:v>
                </c:pt>
                <c:pt idx="18">
                  <c:v>-2.8000764999999998E-4</c:v>
                </c:pt>
                <c:pt idx="19">
                  <c:v>-2.8000764999999998E-4</c:v>
                </c:pt>
                <c:pt idx="20">
                  <c:v>-2.8000764999999998E-4</c:v>
                </c:pt>
                <c:pt idx="21">
                  <c:v>-2.8000764999999998E-4</c:v>
                </c:pt>
                <c:pt idx="22">
                  <c:v>-2.8000764999999998E-4</c:v>
                </c:pt>
                <c:pt idx="23">
                  <c:v>-2.8000764999999998E-4</c:v>
                </c:pt>
                <c:pt idx="24">
                  <c:v>-2.8000764999999998E-4</c:v>
                </c:pt>
              </c:numCache>
            </c:numRef>
          </c:val>
          <c:extLst>
            <c:ext xmlns:c16="http://schemas.microsoft.com/office/drawing/2014/chart" uri="{C3380CC4-5D6E-409C-BE32-E72D297353CC}">
              <c16:uniqueId val="{00000007-CD66-4D4A-A922-7C23521FCE2D}"/>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ESD'!$AB$222</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cat>
            <c:numRef>
              <c:f>'Results ReCiPe (H) - ESD'!$AC$213:$BA$213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ESD'!$AC$222:$BA$222</c:f>
              <c:numCache>
                <c:formatCode>0.00E+00</c:formatCode>
                <c:ptCount val="25"/>
                <c:pt idx="0">
                  <c:v>-6.1736271749085318E-5</c:v>
                </c:pt>
                <c:pt idx="1">
                  <c:v>-2.3341037517043037E-4</c:v>
                </c:pt>
                <c:pt idx="2">
                  <c:v>-2.393325825350688E-4</c:v>
                </c:pt>
                <c:pt idx="3">
                  <c:v>-2.4192676160579346E-4</c:v>
                </c:pt>
                <c:pt idx="4">
                  <c:v>-2.5139950073576711E-4</c:v>
                </c:pt>
                <c:pt idx="5">
                  <c:v>-2.5739035707907212E-4</c:v>
                </c:pt>
                <c:pt idx="6">
                  <c:v>-2.545176107904054E-4</c:v>
                </c:pt>
                <c:pt idx="7">
                  <c:v>-2.583720267095773E-4</c:v>
                </c:pt>
                <c:pt idx="8">
                  <c:v>-2.5900746695665049E-4</c:v>
                </c:pt>
                <c:pt idx="9">
                  <c:v>-2.5620280294311876E-4</c:v>
                </c:pt>
                <c:pt idx="10">
                  <c:v>-2.6005076682296657E-4</c:v>
                </c:pt>
                <c:pt idx="11">
                  <c:v>-2.6039892729831692E-4</c:v>
                </c:pt>
                <c:pt idx="12">
                  <c:v>-2.5743816707698704E-4</c:v>
                </c:pt>
                <c:pt idx="13">
                  <c:v>-2.6113805499736328E-4</c:v>
                </c:pt>
                <c:pt idx="14">
                  <c:v>-2.6149789694262534E-4</c:v>
                </c:pt>
                <c:pt idx="15">
                  <c:v>-2.5856319696785773E-4</c:v>
                </c:pt>
                <c:pt idx="16">
                  <c:v>-2.6323502061923322E-4</c:v>
                </c:pt>
                <c:pt idx="17">
                  <c:v>-2.6459177250440252E-4</c:v>
                </c:pt>
                <c:pt idx="18">
                  <c:v>-2.6268494194093401E-4</c:v>
                </c:pt>
                <c:pt idx="19">
                  <c:v>-2.6729065678411765E-4</c:v>
                </c:pt>
                <c:pt idx="20">
                  <c:v>-2.6860979015826982E-4</c:v>
                </c:pt>
                <c:pt idx="21">
                  <c:v>-2.6550216921903785E-4</c:v>
                </c:pt>
                <c:pt idx="22">
                  <c:v>-2.6970567134233504E-4</c:v>
                </c:pt>
                <c:pt idx="23">
                  <c:v>-2.7062767392002261E-4</c:v>
                </c:pt>
                <c:pt idx="24">
                  <c:v>-2.6568600539802269E-4</c:v>
                </c:pt>
              </c:numCache>
            </c:numRef>
          </c:val>
          <c:smooth val="0"/>
          <c:extLst>
            <c:ext xmlns:c16="http://schemas.microsoft.com/office/drawing/2014/chart" uri="{C3380CC4-5D6E-409C-BE32-E72D297353CC}">
              <c16:uniqueId val="{00000008-CD66-4D4A-A922-7C23521FCE2D}"/>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nl-NL"/>
                  <a:t>years</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NL"/>
            </a:p>
          </c:txPr>
        </c:title>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Ecosystem damage</a:t>
                </a:r>
              </a:p>
              <a:p>
                <a:pPr algn="ctr" rtl="0">
                  <a:defRPr/>
                </a:pPr>
                <a:r>
                  <a:rPr lang="nl-NL"/>
                  <a:t>[PDF*yr/ton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26879729621161"/>
          <c:y val="5.4106329588493672E-2"/>
          <c:w val="0.87797394606685986"/>
          <c:h val="0.72010707666758345"/>
        </c:manualLayout>
      </c:layout>
      <c:barChart>
        <c:barDir val="col"/>
        <c:grouping val="stacked"/>
        <c:varyColors val="0"/>
        <c:ser>
          <c:idx val="0"/>
          <c:order val="0"/>
          <c:tx>
            <c:strRef>
              <c:f>'Results ReCiPe (H) - ESD'!$AB$274</c:f>
              <c:strCache>
                <c:ptCount val="1"/>
                <c:pt idx="0">
                  <c:v>Construction - DAC</c:v>
                </c:pt>
              </c:strCache>
            </c:strRef>
          </c:tx>
          <c:spPr>
            <a:solidFill>
              <a:schemeClr val="accent4">
                <a:lumMod val="75000"/>
              </a:schemeClr>
            </a:solidFill>
            <a:ln>
              <a:noFill/>
            </a:ln>
            <a:effectLst/>
          </c:spPr>
          <c:invertIfNegative val="0"/>
          <c:cat>
            <c:numRef>
              <c:f>'Results ReCiPe (H) - ESD'!$AC$273:$BA$273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ESD'!$AC$274:$BA$274</c:f>
              <c:numCache>
                <c:formatCode>0.00E+00</c:formatCode>
                <c:ptCount val="25"/>
                <c:pt idx="0">
                  <c:v>1.7996708147025861E-4</c:v>
                </c:pt>
              </c:numCache>
            </c:numRef>
          </c:val>
          <c:extLst>
            <c:ext xmlns:c16="http://schemas.microsoft.com/office/drawing/2014/chart" uri="{C3380CC4-5D6E-409C-BE32-E72D297353CC}">
              <c16:uniqueId val="{00000000-0D7A-46A5-A554-F87F1D51C577}"/>
            </c:ext>
          </c:extLst>
        </c:ser>
        <c:ser>
          <c:idx val="1"/>
          <c:order val="1"/>
          <c:tx>
            <c:strRef>
              <c:f>'Results ReCiPe (H) - ESD'!$AB$275</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(H) - ESD'!$AC$273:$BA$273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ESD'!$AC$275:$BA$275</c:f>
              <c:numCache>
                <c:formatCode>0.00E+00</c:formatCode>
                <c:ptCount val="25"/>
                <c:pt idx="0">
                  <c:v>5.6810366865446284E-6</c:v>
                </c:pt>
              </c:numCache>
            </c:numRef>
          </c:val>
          <c:extLst>
            <c:ext xmlns:c16="http://schemas.microsoft.com/office/drawing/2014/chart" uri="{C3380CC4-5D6E-409C-BE32-E72D297353CC}">
              <c16:uniqueId val="{00000001-0D7A-46A5-A554-F87F1D51C577}"/>
            </c:ext>
          </c:extLst>
        </c:ser>
        <c:ser>
          <c:idx val="2"/>
          <c:order val="2"/>
          <c:tx>
            <c:strRef>
              <c:f>'Results ReCiPe (H) - ESD'!$AB$276</c:f>
              <c:strCache>
                <c:ptCount val="1"/>
                <c:pt idx="0">
                  <c:v>Deconstruction - DAC</c:v>
                </c:pt>
              </c:strCache>
            </c:strRef>
          </c:tx>
          <c:spPr>
            <a:solidFill>
              <a:schemeClr val="accent2">
                <a:lumMod val="40000"/>
                <a:lumOff val="60000"/>
              </a:schemeClr>
            </a:solidFill>
            <a:ln>
              <a:noFill/>
            </a:ln>
            <a:effectLst/>
          </c:spPr>
          <c:invertIfNegative val="0"/>
          <c:cat>
            <c:numRef>
              <c:f>'Results ReCiPe (H) - ESD'!$AC$273:$BA$273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ESD'!$AC$276:$BA$276</c:f>
              <c:numCache>
                <c:formatCode>0.00E+00</c:formatCode>
                <c:ptCount val="25"/>
                <c:pt idx="24">
                  <c:v>2.8327516247168551E-6</c:v>
                </c:pt>
              </c:numCache>
            </c:numRef>
          </c:val>
          <c:extLst>
            <c:ext xmlns:c16="http://schemas.microsoft.com/office/drawing/2014/chart" uri="{C3380CC4-5D6E-409C-BE32-E72D297353CC}">
              <c16:uniqueId val="{00000002-0D7A-46A5-A554-F87F1D51C577}"/>
            </c:ext>
          </c:extLst>
        </c:ser>
        <c:ser>
          <c:idx val="3"/>
          <c:order val="3"/>
          <c:tx>
            <c:strRef>
              <c:f>'Results ReCiPe (H) - ESD'!$AB$277</c:f>
              <c:strCache>
                <c:ptCount val="1"/>
                <c:pt idx="0">
                  <c:v>Deconstruction - geological storage</c:v>
                </c:pt>
              </c:strCache>
            </c:strRef>
          </c:tx>
          <c:spPr>
            <a:solidFill>
              <a:srgbClr val="FF9900"/>
            </a:solidFill>
            <a:ln>
              <a:noFill/>
            </a:ln>
            <a:effectLst/>
          </c:spPr>
          <c:invertIfNegative val="0"/>
          <c:cat>
            <c:numRef>
              <c:f>'Results ReCiPe (H) - ESD'!$AC$273:$BA$273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ESD'!$AC$277:$BA$277</c:f>
              <c:numCache>
                <c:formatCode>0.00E+00</c:formatCode>
                <c:ptCount val="25"/>
                <c:pt idx="24">
                  <c:v>4.6307778141739816E-8</c:v>
                </c:pt>
              </c:numCache>
            </c:numRef>
          </c:val>
          <c:extLst>
            <c:ext xmlns:c16="http://schemas.microsoft.com/office/drawing/2014/chart" uri="{C3380CC4-5D6E-409C-BE32-E72D297353CC}">
              <c16:uniqueId val="{00000003-0D7A-46A5-A554-F87F1D51C577}"/>
            </c:ext>
          </c:extLst>
        </c:ser>
        <c:ser>
          <c:idx val="4"/>
          <c:order val="4"/>
          <c:tx>
            <c:strRef>
              <c:f>'Results ReCiPe (H) - ESD'!$AB$278</c:f>
              <c:strCache>
                <c:ptCount val="1"/>
                <c:pt idx="0">
                  <c:v>Sorbent material</c:v>
                </c:pt>
              </c:strCache>
            </c:strRef>
          </c:tx>
          <c:spPr>
            <a:solidFill>
              <a:srgbClr val="FF8F8F"/>
            </a:solidFill>
            <a:ln>
              <a:noFill/>
            </a:ln>
            <a:effectLst/>
          </c:spPr>
          <c:invertIfNegative val="0"/>
          <c:cat>
            <c:numRef>
              <c:f>'Results ReCiPe (H) - ESD'!$AC$273:$BA$273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ESD'!$AC$278:$BA$278</c:f>
              <c:numCache>
                <c:formatCode>0.00E+00</c:formatCode>
                <c:ptCount val="25"/>
                <c:pt idx="0">
                  <c:v>4.5446143489064019E-6</c:v>
                </c:pt>
                <c:pt idx="3">
                  <c:v>4.4990771841472508E-6</c:v>
                </c:pt>
                <c:pt idx="6">
                  <c:v>4.4904228129143327E-6</c:v>
                </c:pt>
                <c:pt idx="9">
                  <c:v>4.4944994140002021E-6</c:v>
                </c:pt>
                <c:pt idx="12">
                  <c:v>4.5214378334785092E-6</c:v>
                </c:pt>
                <c:pt idx="15">
                  <c:v>4.5497134383595956E-6</c:v>
                </c:pt>
                <c:pt idx="18">
                  <c:v>4.4955793454683717E-6</c:v>
                </c:pt>
                <c:pt idx="21">
                  <c:v>4.4518098931988601E-6</c:v>
                </c:pt>
                <c:pt idx="24">
                  <c:v>4.3615476020125354E-6</c:v>
                </c:pt>
              </c:numCache>
            </c:numRef>
          </c:val>
          <c:extLst>
            <c:ext xmlns:c16="http://schemas.microsoft.com/office/drawing/2014/chart" uri="{C3380CC4-5D6E-409C-BE32-E72D297353CC}">
              <c16:uniqueId val="{00000004-0D7A-46A5-A554-F87F1D51C577}"/>
            </c:ext>
          </c:extLst>
        </c:ser>
        <c:ser>
          <c:idx val="5"/>
          <c:order val="5"/>
          <c:tx>
            <c:strRef>
              <c:f>'Results ReCiPe (H) - ESD'!$AB$279</c:f>
              <c:strCache>
                <c:ptCount val="1"/>
                <c:pt idx="0">
                  <c:v>Battery</c:v>
                </c:pt>
              </c:strCache>
            </c:strRef>
          </c:tx>
          <c:spPr>
            <a:solidFill>
              <a:schemeClr val="accent6">
                <a:lumMod val="50000"/>
              </a:schemeClr>
            </a:solidFill>
            <a:ln>
              <a:noFill/>
            </a:ln>
            <a:effectLst/>
          </c:spPr>
          <c:invertIfNegative val="0"/>
          <c:cat>
            <c:numRef>
              <c:f>'Results ReCiPe (H) - ESD'!$AC$273:$BA$273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ESD'!$AC$279:$BA$279</c:f>
              <c:numCache>
                <c:formatCode>0.00E+00</c:formatCode>
                <c:ptCount val="25"/>
                <c:pt idx="0">
                  <c:v>4.2493836061690516E-5</c:v>
                </c:pt>
                <c:pt idx="1">
                  <c:v>4.2493836061690516E-5</c:v>
                </c:pt>
                <c:pt idx="2">
                  <c:v>4.2493836061690516E-5</c:v>
                </c:pt>
                <c:pt idx="3">
                  <c:v>4.2493836061690516E-5</c:v>
                </c:pt>
                <c:pt idx="4">
                  <c:v>4.2493836061690516E-5</c:v>
                </c:pt>
                <c:pt idx="5">
                  <c:v>4.2493836061690516E-5</c:v>
                </c:pt>
                <c:pt idx="6">
                  <c:v>4.2493836061690516E-5</c:v>
                </c:pt>
                <c:pt idx="7">
                  <c:v>4.2493836061690516E-5</c:v>
                </c:pt>
                <c:pt idx="8">
                  <c:v>4.2493836061690516E-5</c:v>
                </c:pt>
                <c:pt idx="9">
                  <c:v>4.2493836061690516E-5</c:v>
                </c:pt>
                <c:pt idx="10">
                  <c:v>4.2493836061690516E-5</c:v>
                </c:pt>
                <c:pt idx="11">
                  <c:v>4.2493836061690516E-5</c:v>
                </c:pt>
                <c:pt idx="12">
                  <c:v>4.2493836061690516E-5</c:v>
                </c:pt>
                <c:pt idx="13">
                  <c:v>4.2493836061690516E-5</c:v>
                </c:pt>
                <c:pt idx="14">
                  <c:v>4.2493836061690516E-5</c:v>
                </c:pt>
                <c:pt idx="15">
                  <c:v>4.2493836061690516E-5</c:v>
                </c:pt>
                <c:pt idx="16">
                  <c:v>4.2493836061690516E-5</c:v>
                </c:pt>
                <c:pt idx="17">
                  <c:v>4.2493836061690516E-5</c:v>
                </c:pt>
                <c:pt idx="18">
                  <c:v>4.2493836061690516E-5</c:v>
                </c:pt>
                <c:pt idx="19">
                  <c:v>4.2493836061690516E-5</c:v>
                </c:pt>
                <c:pt idx="20">
                  <c:v>4.2493836061690516E-5</c:v>
                </c:pt>
                <c:pt idx="21">
                  <c:v>4.2493836061690516E-5</c:v>
                </c:pt>
                <c:pt idx="22">
                  <c:v>4.2493836061690516E-5</c:v>
                </c:pt>
                <c:pt idx="23">
                  <c:v>4.2493836061690516E-5</c:v>
                </c:pt>
                <c:pt idx="24">
                  <c:v>4.2493836061690516E-5</c:v>
                </c:pt>
              </c:numCache>
            </c:numRef>
          </c:val>
          <c:extLst>
            <c:ext xmlns:c16="http://schemas.microsoft.com/office/drawing/2014/chart" uri="{C3380CC4-5D6E-409C-BE32-E72D297353CC}">
              <c16:uniqueId val="{00000005-0D7A-46A5-A554-F87F1D51C577}"/>
            </c:ext>
          </c:extLst>
        </c:ser>
        <c:ser>
          <c:idx val="6"/>
          <c:order val="6"/>
          <c:tx>
            <c:strRef>
              <c:f>'Results ReCiPe (H) - ESD'!$AB$280</c:f>
              <c:strCache>
                <c:ptCount val="1"/>
                <c:pt idx="0">
                  <c:v>Operation - DAC</c:v>
                </c:pt>
              </c:strCache>
            </c:strRef>
          </c:tx>
          <c:spPr>
            <a:solidFill>
              <a:schemeClr val="accent2">
                <a:lumMod val="75000"/>
              </a:schemeClr>
            </a:solidFill>
            <a:ln>
              <a:noFill/>
            </a:ln>
            <a:effectLst/>
          </c:spPr>
          <c:invertIfNegative val="0"/>
          <c:cat>
            <c:numRef>
              <c:f>'Results ReCiPe (H) - ESD'!$AC$273:$BA$273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ESD'!$AC$280:$BA$280</c:f>
              <c:numCache>
                <c:formatCode>0.00E+00</c:formatCode>
                <c:ptCount val="25"/>
                <c:pt idx="0">
                  <c:v>3.184798946166635E-5</c:v>
                </c:pt>
                <c:pt idx="1">
                  <c:v>3.1806032877991928E-5</c:v>
                </c:pt>
                <c:pt idx="2">
                  <c:v>3.1765312078523924E-5</c:v>
                </c:pt>
                <c:pt idx="3">
                  <c:v>3.1606481672953891E-5</c:v>
                </c:pt>
                <c:pt idx="4">
                  <c:v>3.1568126153756075E-5</c:v>
                </c:pt>
                <c:pt idx="5">
                  <c:v>3.1530486474513787E-5</c:v>
                </c:pt>
                <c:pt idx="6">
                  <c:v>3.1511761031868211E-5</c:v>
                </c:pt>
                <c:pt idx="7">
                  <c:v>3.1496425567667984E-5</c:v>
                </c:pt>
                <c:pt idx="8">
                  <c:v>3.1420825663209868E-5</c:v>
                </c:pt>
                <c:pt idx="9">
                  <c:v>3.1411240204703013E-5</c:v>
                </c:pt>
                <c:pt idx="10">
                  <c:v>3.1403903493023348E-5</c:v>
                </c:pt>
                <c:pt idx="11">
                  <c:v>3.1425309713637459E-5</c:v>
                </c:pt>
                <c:pt idx="12">
                  <c:v>3.1448944412737935E-5</c:v>
                </c:pt>
                <c:pt idx="13">
                  <c:v>3.145791964250943E-5</c:v>
                </c:pt>
                <c:pt idx="14">
                  <c:v>3.1486039859722046E-5</c:v>
                </c:pt>
                <c:pt idx="15">
                  <c:v>3.1517756957661743E-5</c:v>
                </c:pt>
                <c:pt idx="16">
                  <c:v>3.1463245411885644E-5</c:v>
                </c:pt>
                <c:pt idx="17">
                  <c:v>3.1407925977443708E-5</c:v>
                </c:pt>
                <c:pt idx="18">
                  <c:v>3.1334348442988149E-5</c:v>
                </c:pt>
                <c:pt idx="19">
                  <c:v>3.1277501431985654E-5</c:v>
                </c:pt>
                <c:pt idx="20">
                  <c:v>3.1219928460264509E-5</c:v>
                </c:pt>
                <c:pt idx="21">
                  <c:v>3.128880014268202E-5</c:v>
                </c:pt>
                <c:pt idx="22">
                  <c:v>3.1187723593284688E-5</c:v>
                </c:pt>
                <c:pt idx="23">
                  <c:v>3.1085884766006009E-5</c:v>
                </c:pt>
                <c:pt idx="24">
                  <c:v>3.0983268037809624E-5</c:v>
                </c:pt>
              </c:numCache>
            </c:numRef>
          </c:val>
          <c:extLst>
            <c:ext xmlns:c16="http://schemas.microsoft.com/office/drawing/2014/chart" uri="{C3380CC4-5D6E-409C-BE32-E72D297353CC}">
              <c16:uniqueId val="{00000006-0D7A-46A5-A554-F87F1D51C577}"/>
            </c:ext>
          </c:extLst>
        </c:ser>
        <c:ser>
          <c:idx val="7"/>
          <c:order val="7"/>
          <c:tx>
            <c:strRef>
              <c:f>'Results ReCiPe (H) - ESD'!$AB$281</c:f>
              <c:strCache>
                <c:ptCount val="1"/>
                <c:pt idx="0">
                  <c:v>Operation - geological storage</c:v>
                </c:pt>
              </c:strCache>
            </c:strRef>
          </c:tx>
          <c:spPr>
            <a:solidFill>
              <a:schemeClr val="accent2">
                <a:lumMod val="50000"/>
              </a:schemeClr>
            </a:solidFill>
            <a:ln>
              <a:noFill/>
            </a:ln>
            <a:effectLst/>
          </c:spPr>
          <c:invertIfNegative val="0"/>
          <c:cat>
            <c:numRef>
              <c:f>'Results ReCiPe (H) - ESD'!$AC$273:$BA$273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ESD'!$AC$281:$BA$281</c:f>
              <c:numCache>
                <c:formatCode>0.00E+00</c:formatCode>
                <c:ptCount val="25"/>
                <c:pt idx="0">
                  <c:v>6.9125613403088854E-6</c:v>
                </c:pt>
                <c:pt idx="1">
                  <c:v>6.8799514589637059E-6</c:v>
                </c:pt>
                <c:pt idx="2">
                  <c:v>6.8473478086552709E-6</c:v>
                </c:pt>
                <c:pt idx="3">
                  <c:v>6.808827596784774E-6</c:v>
                </c:pt>
                <c:pt idx="4">
                  <c:v>6.7761656035571803E-6</c:v>
                </c:pt>
                <c:pt idx="5">
                  <c:v>6.7434868753126753E-6</c:v>
                </c:pt>
                <c:pt idx="6">
                  <c:v>7.1568323686655904E-6</c:v>
                </c:pt>
                <c:pt idx="7">
                  <c:v>7.5684121582221205E-6</c:v>
                </c:pt>
                <c:pt idx="8">
                  <c:v>7.9747723845834702E-6</c:v>
                </c:pt>
                <c:pt idx="9">
                  <c:v>8.3833102988143491E-6</c:v>
                </c:pt>
                <c:pt idx="10">
                  <c:v>8.7898795821569062E-6</c:v>
                </c:pt>
                <c:pt idx="11">
                  <c:v>9.5655395543395995E-6</c:v>
                </c:pt>
                <c:pt idx="12">
                  <c:v>1.034146326178456E-5</c:v>
                </c:pt>
                <c:pt idx="13">
                  <c:v>1.111695415721059E-5</c:v>
                </c:pt>
                <c:pt idx="14">
                  <c:v>1.1893756497483955E-5</c:v>
                </c:pt>
                <c:pt idx="15">
                  <c:v>1.2671183121723571E-5</c:v>
                </c:pt>
                <c:pt idx="16">
                  <c:v>1.2743875216320746E-5</c:v>
                </c:pt>
                <c:pt idx="17">
                  <c:v>1.2817327444836695E-5</c:v>
                </c:pt>
                <c:pt idx="18">
                  <c:v>1.2890645774769871E-5</c:v>
                </c:pt>
                <c:pt idx="19">
                  <c:v>1.2965339430894809E-5</c:v>
                </c:pt>
                <c:pt idx="20">
                  <c:v>1.3040521968538935E-5</c:v>
                </c:pt>
                <c:pt idx="21">
                  <c:v>1.2861924807263455E-5</c:v>
                </c:pt>
                <c:pt idx="22">
                  <c:v>1.2497972885738744E-5</c:v>
                </c:pt>
                <c:pt idx="23">
                  <c:v>1.2134183583397369E-5</c:v>
                </c:pt>
                <c:pt idx="24">
                  <c:v>1.1770550097793056E-5</c:v>
                </c:pt>
              </c:numCache>
            </c:numRef>
          </c:val>
          <c:extLst>
            <c:ext xmlns:c16="http://schemas.microsoft.com/office/drawing/2014/chart" uri="{C3380CC4-5D6E-409C-BE32-E72D297353CC}">
              <c16:uniqueId val="{00000007-0D7A-46A5-A554-F87F1D51C577}"/>
            </c:ext>
          </c:extLst>
        </c:ser>
        <c:ser>
          <c:idx val="8"/>
          <c:order val="8"/>
          <c:tx>
            <c:strRef>
              <c:f>'Results ReCiPe (H) - ESD'!$AB$282</c:f>
              <c:strCache>
                <c:ptCount val="1"/>
                <c:pt idx="0">
                  <c:v>CO2 captured and stored</c:v>
                </c:pt>
              </c:strCache>
            </c:strRef>
          </c:tx>
          <c:spPr>
            <a:solidFill>
              <a:schemeClr val="tx2">
                <a:lumMod val="20000"/>
                <a:lumOff val="80000"/>
              </a:schemeClr>
            </a:solidFill>
            <a:ln>
              <a:noFill/>
            </a:ln>
            <a:effectLst/>
          </c:spPr>
          <c:invertIfNegative val="0"/>
          <c:cat>
            <c:numRef>
              <c:f>'Results ReCiPe (H) - ESD'!$AC$273:$BA$273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ESD'!$AC$282:$BA$282</c:f>
              <c:numCache>
                <c:formatCode>0.00E+00</c:formatCode>
                <c:ptCount val="25"/>
                <c:pt idx="0">
                  <c:v>-1.4000382499999999E-4</c:v>
                </c:pt>
                <c:pt idx="1">
                  <c:v>-1.4000382499999999E-4</c:v>
                </c:pt>
                <c:pt idx="2">
                  <c:v>-1.4000382499999999E-4</c:v>
                </c:pt>
                <c:pt idx="3">
                  <c:v>-1.4000382499999999E-4</c:v>
                </c:pt>
                <c:pt idx="4">
                  <c:v>-1.4000382499999999E-4</c:v>
                </c:pt>
                <c:pt idx="5">
                  <c:v>-1.4000382499999999E-4</c:v>
                </c:pt>
                <c:pt idx="6">
                  <c:v>-1.4000382499999999E-4</c:v>
                </c:pt>
                <c:pt idx="7">
                  <c:v>-1.4000382499999999E-4</c:v>
                </c:pt>
                <c:pt idx="8">
                  <c:v>-1.4000382499999999E-4</c:v>
                </c:pt>
                <c:pt idx="9">
                  <c:v>-1.4000382499999999E-4</c:v>
                </c:pt>
                <c:pt idx="10">
                  <c:v>-1.4000382499999999E-4</c:v>
                </c:pt>
                <c:pt idx="11">
                  <c:v>-1.4000382499999999E-4</c:v>
                </c:pt>
                <c:pt idx="12">
                  <c:v>-1.4000382499999999E-4</c:v>
                </c:pt>
                <c:pt idx="13">
                  <c:v>-1.4000382499999999E-4</c:v>
                </c:pt>
                <c:pt idx="14">
                  <c:v>-1.4000382499999999E-4</c:v>
                </c:pt>
                <c:pt idx="15">
                  <c:v>-1.4000382499999999E-4</c:v>
                </c:pt>
                <c:pt idx="16">
                  <c:v>-1.4000382499999999E-4</c:v>
                </c:pt>
                <c:pt idx="17">
                  <c:v>-1.4000382499999999E-4</c:v>
                </c:pt>
                <c:pt idx="18">
                  <c:v>-1.4000382499999999E-4</c:v>
                </c:pt>
                <c:pt idx="19">
                  <c:v>-1.4000382499999999E-4</c:v>
                </c:pt>
                <c:pt idx="20">
                  <c:v>-1.4000382499999999E-4</c:v>
                </c:pt>
                <c:pt idx="21">
                  <c:v>-1.4000382499999999E-4</c:v>
                </c:pt>
                <c:pt idx="22">
                  <c:v>-1.4000382499999999E-4</c:v>
                </c:pt>
                <c:pt idx="23">
                  <c:v>-1.4000382499999999E-4</c:v>
                </c:pt>
                <c:pt idx="24">
                  <c:v>-1.4000382499999999E-4</c:v>
                </c:pt>
              </c:numCache>
            </c:numRef>
          </c:val>
          <c:extLst>
            <c:ext xmlns:c16="http://schemas.microsoft.com/office/drawing/2014/chart" uri="{C3380CC4-5D6E-409C-BE32-E72D297353CC}">
              <c16:uniqueId val="{00000008-0D7A-46A5-A554-F87F1D51C577}"/>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(H) - ESD'!$AB$283</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cat>
            <c:numRef>
              <c:f>'Results ReCiPe (H) - ESD'!$AC$273:$BA$273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ESD'!$AC$283:$BA$283</c:f>
              <c:numCache>
                <c:formatCode>0.00E+00</c:formatCode>
                <c:ptCount val="25"/>
                <c:pt idx="0">
                  <c:v>1.3144329436937541E-4</c:v>
                </c:pt>
                <c:pt idx="1">
                  <c:v>-5.8824004601353848E-5</c:v>
                </c:pt>
                <c:pt idx="2">
                  <c:v>-5.8897329051130272E-5</c:v>
                </c:pt>
                <c:pt idx="3">
                  <c:v>-5.4595602484423572E-5</c:v>
                </c:pt>
                <c:pt idx="4">
                  <c:v>-5.9165697180996223E-5</c:v>
                </c:pt>
                <c:pt idx="5">
                  <c:v>-5.9236015588483019E-5</c:v>
                </c:pt>
                <c:pt idx="6">
                  <c:v>-5.4350972724861332E-5</c:v>
                </c:pt>
                <c:pt idx="7">
                  <c:v>-5.8445151212419377E-5</c:v>
                </c:pt>
                <c:pt idx="8">
                  <c:v>-5.8114390890516129E-5</c:v>
                </c:pt>
                <c:pt idx="9">
                  <c:v>-5.3220939020791919E-5</c:v>
                </c:pt>
                <c:pt idx="10">
                  <c:v>-5.7316205863129215E-5</c:v>
                </c:pt>
                <c:pt idx="11">
                  <c:v>-5.6519139670332421E-5</c:v>
                </c:pt>
                <c:pt idx="12">
                  <c:v>-5.1198143430308476E-5</c:v>
                </c:pt>
                <c:pt idx="13">
                  <c:v>-5.4935115138589447E-5</c:v>
                </c:pt>
                <c:pt idx="14">
                  <c:v>-5.4130192581103488E-5</c:v>
                </c:pt>
                <c:pt idx="15">
                  <c:v>-4.8771335420564571E-5</c:v>
                </c:pt>
                <c:pt idx="16">
                  <c:v>-5.3302868310103085E-5</c:v>
                </c:pt>
                <c:pt idx="17">
                  <c:v>-5.3284735516029077E-5</c:v>
                </c:pt>
                <c:pt idx="18">
                  <c:v>-4.8789415375083081E-5</c:v>
                </c:pt>
                <c:pt idx="19">
                  <c:v>-5.3267148075429024E-5</c:v>
                </c:pt>
                <c:pt idx="20">
                  <c:v>-5.3249538509506035E-5</c:v>
                </c:pt>
                <c:pt idx="21">
                  <c:v>-4.8907454095165141E-5</c:v>
                </c:pt>
                <c:pt idx="22">
                  <c:v>-5.3824292459286055E-5</c:v>
                </c:pt>
                <c:pt idx="23">
                  <c:v>-5.4289920588906099E-5</c:v>
                </c:pt>
                <c:pt idx="24">
                  <c:v>-4.7515563797835656E-5</c:v>
                </c:pt>
              </c:numCache>
            </c:numRef>
          </c:val>
          <c:smooth val="0"/>
          <c:extLst>
            <c:ext xmlns:c16="http://schemas.microsoft.com/office/drawing/2014/chart" uri="{C3380CC4-5D6E-409C-BE32-E72D297353CC}">
              <c16:uniqueId val="{00000009-0D7A-46A5-A554-F87F1D51C577}"/>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Ecosystem damage </a:t>
                </a:r>
              </a:p>
              <a:p>
                <a:pPr algn="ctr" rtl="0">
                  <a:defRPr/>
                </a:pPr>
                <a:r>
                  <a:rPr lang="nl-NL"/>
                  <a:t>[PDF*yr/ton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ESD'!$AB$334</c:f>
              <c:strCache>
                <c:ptCount val="1"/>
                <c:pt idx="0">
                  <c:v>Construction - DAC</c:v>
                </c:pt>
              </c:strCache>
            </c:strRef>
          </c:tx>
          <c:spPr>
            <a:solidFill>
              <a:schemeClr val="accent4">
                <a:lumMod val="75000"/>
              </a:schemeClr>
            </a:solidFill>
            <a:ln>
              <a:noFill/>
            </a:ln>
            <a:effectLst/>
          </c:spPr>
          <c:invertIfNegative val="0"/>
          <c:cat>
            <c:numRef>
              <c:f>'Results ReCiPe (H) - ESD'!$AC$333:$BA$333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ESD'!$AC$334:$BA$334</c:f>
              <c:numCache>
                <c:formatCode>0.00E+00</c:formatCode>
                <c:ptCount val="25"/>
                <c:pt idx="0">
                  <c:v>1.6886495556759864E-4</c:v>
                </c:pt>
              </c:numCache>
            </c:numRef>
          </c:val>
          <c:extLst>
            <c:ext xmlns:c16="http://schemas.microsoft.com/office/drawing/2014/chart" uri="{C3380CC4-5D6E-409C-BE32-E72D297353CC}">
              <c16:uniqueId val="{00000000-FBFB-40C2-9F32-84DBD31B69A5}"/>
            </c:ext>
          </c:extLst>
        </c:ser>
        <c:ser>
          <c:idx val="1"/>
          <c:order val="1"/>
          <c:tx>
            <c:strRef>
              <c:f>'Results ReCiPe (H) - ESD'!$AB$335</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(H) - ESD'!$AC$333:$BA$333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ESD'!$AC$335:$BA$335</c:f>
              <c:numCache>
                <c:formatCode>0.00E+00</c:formatCode>
                <c:ptCount val="25"/>
                <c:pt idx="0">
                  <c:v>5.3828988447895789E-6</c:v>
                </c:pt>
              </c:numCache>
            </c:numRef>
          </c:val>
          <c:extLst>
            <c:ext xmlns:c16="http://schemas.microsoft.com/office/drawing/2014/chart" uri="{C3380CC4-5D6E-409C-BE32-E72D297353CC}">
              <c16:uniqueId val="{00000001-FBFB-40C2-9F32-84DBD31B69A5}"/>
            </c:ext>
          </c:extLst>
        </c:ser>
        <c:ser>
          <c:idx val="2"/>
          <c:order val="2"/>
          <c:tx>
            <c:strRef>
              <c:f>'Results ReCiPe (H) - ESD'!$AB$336</c:f>
              <c:strCache>
                <c:ptCount val="1"/>
                <c:pt idx="0">
                  <c:v>Deconstruction - DAC</c:v>
                </c:pt>
              </c:strCache>
            </c:strRef>
          </c:tx>
          <c:spPr>
            <a:solidFill>
              <a:schemeClr val="accent2">
                <a:lumMod val="40000"/>
                <a:lumOff val="60000"/>
              </a:schemeClr>
            </a:solidFill>
            <a:ln>
              <a:noFill/>
            </a:ln>
            <a:effectLst/>
          </c:spPr>
          <c:invertIfNegative val="0"/>
          <c:cat>
            <c:numRef>
              <c:f>'Results ReCiPe (H) - ESD'!$AC$333:$BA$333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ESD'!$AC$336:$BA$336</c:f>
              <c:numCache>
                <c:formatCode>0.00E+00</c:formatCode>
                <c:ptCount val="25"/>
                <c:pt idx="24">
                  <c:v>2.5814369390254752E-6</c:v>
                </c:pt>
              </c:numCache>
            </c:numRef>
          </c:val>
          <c:extLst>
            <c:ext xmlns:c16="http://schemas.microsoft.com/office/drawing/2014/chart" uri="{C3380CC4-5D6E-409C-BE32-E72D297353CC}">
              <c16:uniqueId val="{00000002-FBFB-40C2-9F32-84DBD31B69A5}"/>
            </c:ext>
          </c:extLst>
        </c:ser>
        <c:ser>
          <c:idx val="3"/>
          <c:order val="3"/>
          <c:tx>
            <c:strRef>
              <c:f>'Results ReCiPe (H) - ESD'!$AB$337</c:f>
              <c:strCache>
                <c:ptCount val="1"/>
                <c:pt idx="0">
                  <c:v>Deconstruction - geological storage</c:v>
                </c:pt>
              </c:strCache>
            </c:strRef>
          </c:tx>
          <c:spPr>
            <a:solidFill>
              <a:srgbClr val="FF9900"/>
            </a:solidFill>
            <a:ln>
              <a:noFill/>
            </a:ln>
            <a:effectLst/>
          </c:spPr>
          <c:invertIfNegative val="0"/>
          <c:cat>
            <c:numRef>
              <c:f>'Results ReCiPe (H) - ESD'!$AC$333:$BA$333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ESD'!$AC$337:$BA$337</c:f>
              <c:numCache>
                <c:formatCode>0.00E+00</c:formatCode>
                <c:ptCount val="25"/>
                <c:pt idx="24">
                  <c:v>4.4588828617303134E-8</c:v>
                </c:pt>
              </c:numCache>
            </c:numRef>
          </c:val>
          <c:extLst>
            <c:ext xmlns:c16="http://schemas.microsoft.com/office/drawing/2014/chart" uri="{C3380CC4-5D6E-409C-BE32-E72D297353CC}">
              <c16:uniqueId val="{00000003-FBFB-40C2-9F32-84DBD31B69A5}"/>
            </c:ext>
          </c:extLst>
        </c:ser>
        <c:ser>
          <c:idx val="4"/>
          <c:order val="4"/>
          <c:tx>
            <c:strRef>
              <c:f>'Results ReCiPe (H) - ESD'!$AB$338</c:f>
              <c:strCache>
                <c:ptCount val="1"/>
                <c:pt idx="0">
                  <c:v>Sorbent material</c:v>
                </c:pt>
              </c:strCache>
            </c:strRef>
          </c:tx>
          <c:spPr>
            <a:solidFill>
              <a:srgbClr val="FF8F8F"/>
            </a:solidFill>
            <a:ln>
              <a:noFill/>
            </a:ln>
            <a:effectLst/>
          </c:spPr>
          <c:invertIfNegative val="0"/>
          <c:cat>
            <c:numRef>
              <c:f>'Results ReCiPe (H) - ESD'!$AC$333:$BA$333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ESD'!$AC$338:$BA$338</c:f>
              <c:numCache>
                <c:formatCode>0.00E+00</c:formatCode>
                <c:ptCount val="25"/>
                <c:pt idx="0">
                  <c:v>4.3941155135361717E-6</c:v>
                </c:pt>
                <c:pt idx="3">
                  <c:v>4.2507924568478764E-6</c:v>
                </c:pt>
                <c:pt idx="6">
                  <c:v>4.1207843305059888E-6</c:v>
                </c:pt>
                <c:pt idx="9">
                  <c:v>3.961479922998473E-6</c:v>
                </c:pt>
                <c:pt idx="12">
                  <c:v>3.782659921523485E-6</c:v>
                </c:pt>
                <c:pt idx="15">
                  <c:v>3.5852486401048028E-6</c:v>
                </c:pt>
                <c:pt idx="18">
                  <c:v>3.4498744880293848E-6</c:v>
                </c:pt>
                <c:pt idx="21">
                  <c:v>3.372986237475297E-6</c:v>
                </c:pt>
                <c:pt idx="24">
                  <c:v>3.3539861692443772E-6</c:v>
                </c:pt>
              </c:numCache>
            </c:numRef>
          </c:val>
          <c:extLst>
            <c:ext xmlns:c16="http://schemas.microsoft.com/office/drawing/2014/chart" uri="{C3380CC4-5D6E-409C-BE32-E72D297353CC}">
              <c16:uniqueId val="{00000004-FBFB-40C2-9F32-84DBD31B69A5}"/>
            </c:ext>
          </c:extLst>
        </c:ser>
        <c:ser>
          <c:idx val="5"/>
          <c:order val="5"/>
          <c:tx>
            <c:strRef>
              <c:f>'Results ReCiPe (H) - ESD'!$AB$339</c:f>
              <c:strCache>
                <c:ptCount val="1"/>
                <c:pt idx="0">
                  <c:v>Battery</c:v>
                </c:pt>
              </c:strCache>
            </c:strRef>
          </c:tx>
          <c:spPr>
            <a:solidFill>
              <a:schemeClr val="accent6">
                <a:lumMod val="50000"/>
              </a:schemeClr>
            </a:solidFill>
            <a:ln>
              <a:noFill/>
            </a:ln>
            <a:effectLst/>
          </c:spPr>
          <c:invertIfNegative val="0"/>
          <c:cat>
            <c:numRef>
              <c:f>'Results ReCiPe (H) - ESD'!$AC$333:$BA$333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ESD'!$AC$339:$BA$339</c:f>
              <c:numCache>
                <c:formatCode>0.00E+00</c:formatCode>
                <c:ptCount val="25"/>
                <c:pt idx="0">
                  <c:v>4.0871761583502129E-5</c:v>
                </c:pt>
                <c:pt idx="1">
                  <c:v>4.0871761583502129E-5</c:v>
                </c:pt>
                <c:pt idx="2">
                  <c:v>4.0871761583502129E-5</c:v>
                </c:pt>
                <c:pt idx="3">
                  <c:v>4.0871761583502129E-5</c:v>
                </c:pt>
                <c:pt idx="4">
                  <c:v>4.0871761583502129E-5</c:v>
                </c:pt>
                <c:pt idx="5">
                  <c:v>4.0871761583502129E-5</c:v>
                </c:pt>
                <c:pt idx="6">
                  <c:v>4.0871761583502129E-5</c:v>
                </c:pt>
                <c:pt idx="7">
                  <c:v>4.0871761583502129E-5</c:v>
                </c:pt>
                <c:pt idx="8">
                  <c:v>4.0871761583502129E-5</c:v>
                </c:pt>
                <c:pt idx="9">
                  <c:v>4.0871761583502129E-5</c:v>
                </c:pt>
                <c:pt idx="10">
                  <c:v>4.0871761583502129E-5</c:v>
                </c:pt>
                <c:pt idx="11">
                  <c:v>4.0871761583502129E-5</c:v>
                </c:pt>
                <c:pt idx="12">
                  <c:v>4.0871761583502129E-5</c:v>
                </c:pt>
                <c:pt idx="13">
                  <c:v>4.0871761583502129E-5</c:v>
                </c:pt>
                <c:pt idx="14">
                  <c:v>4.0871761583502129E-5</c:v>
                </c:pt>
                <c:pt idx="15">
                  <c:v>4.0871761583502129E-5</c:v>
                </c:pt>
                <c:pt idx="16">
                  <c:v>4.0871761583502129E-5</c:v>
                </c:pt>
                <c:pt idx="17">
                  <c:v>4.0871761583502129E-5</c:v>
                </c:pt>
                <c:pt idx="18">
                  <c:v>4.0871761583502129E-5</c:v>
                </c:pt>
                <c:pt idx="19">
                  <c:v>4.0871761583502129E-5</c:v>
                </c:pt>
                <c:pt idx="20">
                  <c:v>4.0871761583502129E-5</c:v>
                </c:pt>
                <c:pt idx="21">
                  <c:v>4.0871761583502129E-5</c:v>
                </c:pt>
                <c:pt idx="22">
                  <c:v>4.0871761583502129E-5</c:v>
                </c:pt>
                <c:pt idx="23">
                  <c:v>4.0871761583502129E-5</c:v>
                </c:pt>
                <c:pt idx="24">
                  <c:v>4.0871761583502129E-5</c:v>
                </c:pt>
              </c:numCache>
            </c:numRef>
          </c:val>
          <c:extLst>
            <c:ext xmlns:c16="http://schemas.microsoft.com/office/drawing/2014/chart" uri="{C3380CC4-5D6E-409C-BE32-E72D297353CC}">
              <c16:uniqueId val="{00000005-FBFB-40C2-9F32-84DBD31B69A5}"/>
            </c:ext>
          </c:extLst>
        </c:ser>
        <c:ser>
          <c:idx val="6"/>
          <c:order val="6"/>
          <c:tx>
            <c:strRef>
              <c:f>'Results ReCiPe (H) - ESD'!$AB$340</c:f>
              <c:strCache>
                <c:ptCount val="1"/>
                <c:pt idx="0">
                  <c:v>Operation - DAC</c:v>
                </c:pt>
              </c:strCache>
            </c:strRef>
          </c:tx>
          <c:spPr>
            <a:solidFill>
              <a:schemeClr val="accent2">
                <a:lumMod val="75000"/>
              </a:schemeClr>
            </a:solidFill>
            <a:ln>
              <a:noFill/>
            </a:ln>
            <a:effectLst/>
          </c:spPr>
          <c:invertIfNegative val="0"/>
          <c:cat>
            <c:numRef>
              <c:f>'Results ReCiPe (H) - ESD'!$AC$333:$BA$333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ESD'!$AC$340:$BA$340</c:f>
              <c:numCache>
                <c:formatCode>0.00E+00</c:formatCode>
                <c:ptCount val="25"/>
                <c:pt idx="0">
                  <c:v>3.0579456005944634E-5</c:v>
                </c:pt>
                <c:pt idx="1">
                  <c:v>3.0315643832565207E-5</c:v>
                </c:pt>
                <c:pt idx="2">
                  <c:v>3.0046365533739365E-5</c:v>
                </c:pt>
                <c:pt idx="3">
                  <c:v>2.9653165190446102E-5</c:v>
                </c:pt>
                <c:pt idx="4">
                  <c:v>2.9373937522208305E-5</c:v>
                </c:pt>
                <c:pt idx="5">
                  <c:v>2.9089544483119878E-5</c:v>
                </c:pt>
                <c:pt idx="6">
                  <c:v>2.8840085357698996E-5</c:v>
                </c:pt>
                <c:pt idx="7">
                  <c:v>2.8608301239059106E-5</c:v>
                </c:pt>
                <c:pt idx="8">
                  <c:v>2.831758934022452E-5</c:v>
                </c:pt>
                <c:pt idx="9">
                  <c:v>2.8090522022836749E-5</c:v>
                </c:pt>
                <c:pt idx="10">
                  <c:v>2.7860475996081412E-5</c:v>
                </c:pt>
                <c:pt idx="11">
                  <c:v>2.766695455824348E-5</c:v>
                </c:pt>
                <c:pt idx="12">
                  <c:v>2.7475377909819686E-5</c:v>
                </c:pt>
                <c:pt idx="13">
                  <c:v>2.7262409843764254E-5</c:v>
                </c:pt>
                <c:pt idx="14">
                  <c:v>2.7074838495933675E-5</c:v>
                </c:pt>
                <c:pt idx="15">
                  <c:v>2.6890005070460946E-5</c:v>
                </c:pt>
                <c:pt idx="16">
                  <c:v>2.6770678435611011E-5</c:v>
                </c:pt>
                <c:pt idx="17">
                  <c:v>2.665474441709669E-5</c:v>
                </c:pt>
                <c:pt idx="18">
                  <c:v>2.652096826349867E-5</c:v>
                </c:pt>
                <c:pt idx="19">
                  <c:v>2.6414375250292009E-5</c:v>
                </c:pt>
                <c:pt idx="20">
                  <c:v>2.6213526345897014E-5</c:v>
                </c:pt>
                <c:pt idx="21">
                  <c:v>2.6339167912679071E-5</c:v>
                </c:pt>
                <c:pt idx="22">
                  <c:v>2.6313040975251445E-5</c:v>
                </c:pt>
                <c:pt idx="23">
                  <c:v>2.6287217030870466E-5</c:v>
                </c:pt>
                <c:pt idx="24">
                  <c:v>2.6261726102380168E-5</c:v>
                </c:pt>
              </c:numCache>
            </c:numRef>
          </c:val>
          <c:extLst>
            <c:ext xmlns:c16="http://schemas.microsoft.com/office/drawing/2014/chart" uri="{C3380CC4-5D6E-409C-BE32-E72D297353CC}">
              <c16:uniqueId val="{00000006-FBFB-40C2-9F32-84DBD31B69A5}"/>
            </c:ext>
          </c:extLst>
        </c:ser>
        <c:ser>
          <c:idx val="7"/>
          <c:order val="7"/>
          <c:tx>
            <c:strRef>
              <c:f>'Results ReCiPe (H) - ESD'!$AB$341</c:f>
              <c:strCache>
                <c:ptCount val="1"/>
                <c:pt idx="0">
                  <c:v>Operation - geological storage</c:v>
                </c:pt>
              </c:strCache>
            </c:strRef>
          </c:tx>
          <c:spPr>
            <a:solidFill>
              <a:schemeClr val="accent2">
                <a:lumMod val="50000"/>
              </a:schemeClr>
            </a:solidFill>
            <a:ln>
              <a:noFill/>
            </a:ln>
            <a:effectLst/>
          </c:spPr>
          <c:invertIfNegative val="0"/>
          <c:cat>
            <c:numRef>
              <c:f>'Results ReCiPe (H) - ESD'!$AC$333:$BA$333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ESD'!$AC$341:$BA$341</c:f>
              <c:numCache>
                <c:formatCode>0.00E+00</c:formatCode>
                <c:ptCount val="25"/>
                <c:pt idx="0">
                  <c:v>5.9017688285214648E-6</c:v>
                </c:pt>
                <c:pt idx="1">
                  <c:v>5.5365779306722645E-6</c:v>
                </c:pt>
                <c:pt idx="2">
                  <c:v>5.1727051216609854E-6</c:v>
                </c:pt>
                <c:pt idx="3">
                  <c:v>4.8038367381262686E-6</c:v>
                </c:pt>
                <c:pt idx="4">
                  <c:v>4.4425137062192297E-6</c:v>
                </c:pt>
                <c:pt idx="5">
                  <c:v>4.0824990590552761E-6</c:v>
                </c:pt>
                <c:pt idx="6">
                  <c:v>3.8562272790619994E-6</c:v>
                </c:pt>
                <c:pt idx="7">
                  <c:v>3.6303045758551483E-6</c:v>
                </c:pt>
                <c:pt idx="8">
                  <c:v>3.3998576592599265E-6</c:v>
                </c:pt>
                <c:pt idx="9">
                  <c:v>3.1740107509092194E-6</c:v>
                </c:pt>
                <c:pt idx="10">
                  <c:v>2.9481835972068193E-6</c:v>
                </c:pt>
                <c:pt idx="11">
                  <c:v>2.7958319957082742E-6</c:v>
                </c:pt>
                <c:pt idx="12">
                  <c:v>2.6428033369281585E-6</c:v>
                </c:pt>
                <c:pt idx="13">
                  <c:v>2.4875403406580795E-6</c:v>
                </c:pt>
                <c:pt idx="14">
                  <c:v>2.3328538014944768E-6</c:v>
                </c:pt>
                <c:pt idx="15">
                  <c:v>2.1774875650067288E-6</c:v>
                </c:pt>
                <c:pt idx="16">
                  <c:v>2.1079482033909038E-6</c:v>
                </c:pt>
                <c:pt idx="17">
                  <c:v>2.0384423791714974E-6</c:v>
                </c:pt>
                <c:pt idx="18">
                  <c:v>1.9676473715466984E-6</c:v>
                </c:pt>
                <c:pt idx="19">
                  <c:v>1.8981331814590096E-6</c:v>
                </c:pt>
                <c:pt idx="20">
                  <c:v>1.8286604012054646E-6</c:v>
                </c:pt>
                <c:pt idx="21">
                  <c:v>1.8339598975130079E-6</c:v>
                </c:pt>
                <c:pt idx="22">
                  <c:v>1.8014920090479636E-6</c:v>
                </c:pt>
                <c:pt idx="23">
                  <c:v>1.7689711356925339E-6</c:v>
                </c:pt>
                <c:pt idx="24">
                  <c:v>1.7363925894132296E-6</c:v>
                </c:pt>
              </c:numCache>
            </c:numRef>
          </c:val>
          <c:extLst>
            <c:ext xmlns:c16="http://schemas.microsoft.com/office/drawing/2014/chart" uri="{C3380CC4-5D6E-409C-BE32-E72D297353CC}">
              <c16:uniqueId val="{00000007-FBFB-40C2-9F32-84DBD31B69A5}"/>
            </c:ext>
          </c:extLst>
        </c:ser>
        <c:ser>
          <c:idx val="8"/>
          <c:order val="8"/>
          <c:tx>
            <c:strRef>
              <c:f>'Results ReCiPe (H) - ESD'!$AB$342</c:f>
              <c:strCache>
                <c:ptCount val="1"/>
                <c:pt idx="0">
                  <c:v>CO2 captured and stored</c:v>
                </c:pt>
              </c:strCache>
            </c:strRef>
          </c:tx>
          <c:spPr>
            <a:solidFill>
              <a:schemeClr val="tx2">
                <a:lumMod val="20000"/>
                <a:lumOff val="80000"/>
              </a:schemeClr>
            </a:solidFill>
            <a:ln>
              <a:noFill/>
            </a:ln>
            <a:effectLst/>
          </c:spPr>
          <c:invertIfNegative val="0"/>
          <c:cat>
            <c:numRef>
              <c:f>'Results ReCiPe (H) - ESD'!$AC$333:$BA$333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ESD'!$AC$342:$BA$342</c:f>
              <c:numCache>
                <c:formatCode>0.00E+00</c:formatCode>
                <c:ptCount val="25"/>
                <c:pt idx="0">
                  <c:v>-1.4000382499999999E-4</c:v>
                </c:pt>
                <c:pt idx="1">
                  <c:v>-1.4000382499999999E-4</c:v>
                </c:pt>
                <c:pt idx="2">
                  <c:v>-1.4000382499999999E-4</c:v>
                </c:pt>
                <c:pt idx="3">
                  <c:v>-1.4000382499999999E-4</c:v>
                </c:pt>
                <c:pt idx="4">
                  <c:v>-1.4000382499999999E-4</c:v>
                </c:pt>
                <c:pt idx="5">
                  <c:v>-1.4000382499999999E-4</c:v>
                </c:pt>
                <c:pt idx="6">
                  <c:v>-1.4000382499999999E-4</c:v>
                </c:pt>
                <c:pt idx="7">
                  <c:v>-1.4000382499999999E-4</c:v>
                </c:pt>
                <c:pt idx="8">
                  <c:v>-1.4000382499999999E-4</c:v>
                </c:pt>
                <c:pt idx="9">
                  <c:v>-1.4000382499999999E-4</c:v>
                </c:pt>
                <c:pt idx="10">
                  <c:v>-1.4000382499999999E-4</c:v>
                </c:pt>
                <c:pt idx="11">
                  <c:v>-1.4000382499999999E-4</c:v>
                </c:pt>
                <c:pt idx="12">
                  <c:v>-1.4000382499999999E-4</c:v>
                </c:pt>
                <c:pt idx="13">
                  <c:v>-1.4000382499999999E-4</c:v>
                </c:pt>
                <c:pt idx="14">
                  <c:v>-1.4000382499999999E-4</c:v>
                </c:pt>
                <c:pt idx="15">
                  <c:v>-1.4000382499999999E-4</c:v>
                </c:pt>
                <c:pt idx="16">
                  <c:v>-1.4000382499999999E-4</c:v>
                </c:pt>
                <c:pt idx="17">
                  <c:v>-1.4000382499999999E-4</c:v>
                </c:pt>
                <c:pt idx="18">
                  <c:v>-1.4000382499999999E-4</c:v>
                </c:pt>
                <c:pt idx="19">
                  <c:v>-1.4000382499999999E-4</c:v>
                </c:pt>
                <c:pt idx="20">
                  <c:v>-1.4000382499999999E-4</c:v>
                </c:pt>
                <c:pt idx="21">
                  <c:v>-1.4000382499999999E-4</c:v>
                </c:pt>
                <c:pt idx="22">
                  <c:v>-1.4000382499999999E-4</c:v>
                </c:pt>
                <c:pt idx="23">
                  <c:v>-1.4000382499999999E-4</c:v>
                </c:pt>
                <c:pt idx="24">
                  <c:v>-1.4000382499999999E-4</c:v>
                </c:pt>
              </c:numCache>
            </c:numRef>
          </c:val>
          <c:extLst>
            <c:ext xmlns:c16="http://schemas.microsoft.com/office/drawing/2014/chart" uri="{C3380CC4-5D6E-409C-BE32-E72D297353CC}">
              <c16:uniqueId val="{00000008-FBFB-40C2-9F32-84DBD31B69A5}"/>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(H) - ESD'!$AB$343</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cat>
            <c:numRef>
              <c:f>'Results ReCiPe (H) - ESD'!$AC$333:$BA$333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ESD'!$AC$343:$BA$343</c:f>
              <c:numCache>
                <c:formatCode>0.00E+00</c:formatCode>
                <c:ptCount val="25"/>
                <c:pt idx="0">
                  <c:v>1.159911313438926E-4</c:v>
                </c:pt>
                <c:pt idx="1">
                  <c:v>-6.327984165326038E-5</c:v>
                </c:pt>
                <c:pt idx="2">
                  <c:v>-6.3912992761097512E-5</c:v>
                </c:pt>
                <c:pt idx="3">
                  <c:v>-6.042426903107761E-5</c:v>
                </c:pt>
                <c:pt idx="4">
                  <c:v>-6.5315612188070332E-5</c:v>
                </c:pt>
                <c:pt idx="5">
                  <c:v>-6.5960019874322713E-5</c:v>
                </c:pt>
                <c:pt idx="6">
                  <c:v>-6.2314966449230879E-5</c:v>
                </c:pt>
                <c:pt idx="7">
                  <c:v>-6.6893457601583604E-5</c:v>
                </c:pt>
                <c:pt idx="8">
                  <c:v>-6.7414616417013423E-5</c:v>
                </c:pt>
                <c:pt idx="9">
                  <c:v>-6.3906050719753424E-5</c:v>
                </c:pt>
                <c:pt idx="10">
                  <c:v>-6.8323403823209643E-5</c:v>
                </c:pt>
                <c:pt idx="11">
                  <c:v>-6.8669276862546103E-5</c:v>
                </c:pt>
                <c:pt idx="12">
                  <c:v>-6.5231222248226536E-5</c:v>
                </c:pt>
                <c:pt idx="13">
                  <c:v>-6.9382113232075538E-5</c:v>
                </c:pt>
                <c:pt idx="14">
                  <c:v>-6.9724371119069705E-5</c:v>
                </c:pt>
                <c:pt idx="15">
                  <c:v>-6.6479322140925384E-5</c:v>
                </c:pt>
                <c:pt idx="16">
                  <c:v>-7.0253436777495959E-5</c:v>
                </c:pt>
                <c:pt idx="17">
                  <c:v>-7.0438876620229672E-5</c:v>
                </c:pt>
                <c:pt idx="18">
                  <c:v>-6.7193573293423102E-5</c:v>
                </c:pt>
                <c:pt idx="19">
                  <c:v>-7.081955498474684E-5</c:v>
                </c:pt>
                <c:pt idx="20">
                  <c:v>-7.1089876669395386E-5</c:v>
                </c:pt>
                <c:pt idx="21">
                  <c:v>-6.7585949368830482E-5</c:v>
                </c:pt>
                <c:pt idx="22">
                  <c:v>-7.1017530432198451E-5</c:v>
                </c:pt>
                <c:pt idx="23">
                  <c:v>-7.1075875249934859E-5</c:v>
                </c:pt>
                <c:pt idx="24">
                  <c:v>-6.5153932787817301E-5</c:v>
                </c:pt>
              </c:numCache>
            </c:numRef>
          </c:val>
          <c:smooth val="0"/>
          <c:extLst>
            <c:ext xmlns:c16="http://schemas.microsoft.com/office/drawing/2014/chart" uri="{C3380CC4-5D6E-409C-BE32-E72D297353CC}">
              <c16:uniqueId val="{00000009-FBFB-40C2-9F32-84DBD31B69A5}"/>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Ecosystem damage</a:t>
                </a:r>
              </a:p>
              <a:p>
                <a:pPr algn="ctr" rtl="0">
                  <a:defRPr/>
                </a:pPr>
                <a:r>
                  <a:rPr lang="nl-NL"/>
                  <a:t>[PDF*yr/ton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baseline="0">
                <a:solidFill>
                  <a:schemeClr val="tx1"/>
                </a:solidFill>
                <a:latin typeface="Verdana Pro" panose="020B0604030504040204" pitchFamily="34" charset="0"/>
                <a:ea typeface="+mn-ea"/>
                <a:cs typeface="Times New Roman" panose="02020603050405020304" pitchFamily="18" charset="0"/>
              </a:defRPr>
            </a:pPr>
            <a:r>
              <a:rPr lang="en-GB" b="0" i="1"/>
              <a:t>Benefits 		Burdens</a:t>
            </a:r>
          </a:p>
        </c:rich>
      </c:tx>
      <c:layout>
        <c:manualLayout>
          <c:xMode val="edge"/>
          <c:yMode val="edge"/>
          <c:x val="0.41617777436685638"/>
          <c:y val="4.1461155214611465E-3"/>
        </c:manualLayout>
      </c:layout>
      <c:overlay val="0"/>
      <c:spPr>
        <a:noFill/>
        <a:ln>
          <a:noFill/>
        </a:ln>
        <a:effectLst/>
      </c:spPr>
      <c:txPr>
        <a:bodyPr rot="0" spcFirstLastPara="1" vertOverflow="ellipsis" vert="horz" wrap="square" anchor="ctr" anchorCtr="1"/>
        <a:lstStyle/>
        <a:p>
          <a:pPr>
            <a:defRPr sz="1440" b="1"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title>
    <c:autoTitleDeleted val="0"/>
    <c:plotArea>
      <c:layout>
        <c:manualLayout>
          <c:layoutTarget val="inner"/>
          <c:xMode val="edge"/>
          <c:yMode val="edge"/>
          <c:x val="0.1062528150229942"/>
          <c:y val="0.11409636871261428"/>
          <c:w val="0.87030657315031501"/>
          <c:h val="0.58068260610820854"/>
        </c:manualLayout>
      </c:layout>
      <c:barChart>
        <c:barDir val="bar"/>
        <c:grouping val="stacked"/>
        <c:varyColors val="0"/>
        <c:ser>
          <c:idx val="0"/>
          <c:order val="0"/>
          <c:tx>
            <c:strRef>
              <c:f>'Figure Results ReCiPe (E)'!$C$5</c:f>
              <c:strCache>
                <c:ptCount val="1"/>
                <c:pt idx="0">
                  <c:v>Construction - DAC</c:v>
                </c:pt>
              </c:strCache>
            </c:strRef>
          </c:tx>
          <c:spPr>
            <a:solidFill>
              <a:schemeClr val="accent4">
                <a:lumMod val="75000"/>
              </a:schemeClr>
            </a:solidFill>
            <a:ln>
              <a:noFill/>
            </a:ln>
            <a:effectLst/>
          </c:spPr>
          <c:invertIfNegative val="0"/>
          <c:cat>
            <c:multiLvlStrRef>
              <c:f>'Figure Results ReCiPe (E)'!$A$34:$B$42</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(E)'!$C$34:$C$42</c:f>
              <c:numCache>
                <c:formatCode>0</c:formatCode>
                <c:ptCount val="9"/>
                <c:pt idx="0">
                  <c:v>6.1856398999458051</c:v>
                </c:pt>
                <c:pt idx="1">
                  <c:v>6.065450135278466</c:v>
                </c:pt>
                <c:pt idx="2">
                  <c:v>5.8953516980141547</c:v>
                </c:pt>
                <c:pt idx="3">
                  <c:v>6.1856398999458051</c:v>
                </c:pt>
                <c:pt idx="4">
                  <c:v>6.065450135278466</c:v>
                </c:pt>
                <c:pt idx="5">
                  <c:v>5.8953516980141547</c:v>
                </c:pt>
                <c:pt idx="6">
                  <c:v>12.074302023961396</c:v>
                </c:pt>
                <c:pt idx="7">
                  <c:v>11.836542748911091</c:v>
                </c:pt>
                <c:pt idx="8">
                  <c:v>11.499632518513906</c:v>
                </c:pt>
              </c:numCache>
            </c:numRef>
          </c:val>
          <c:extLst>
            <c:ext xmlns:c16="http://schemas.microsoft.com/office/drawing/2014/chart" uri="{C3380CC4-5D6E-409C-BE32-E72D297353CC}">
              <c16:uniqueId val="{00000000-A036-4AF1-A2CD-0F6C45C848C7}"/>
            </c:ext>
          </c:extLst>
        </c:ser>
        <c:ser>
          <c:idx val="1"/>
          <c:order val="1"/>
          <c:tx>
            <c:strRef>
              <c:f>'Figure Results ReCiPe (E)'!$D$5</c:f>
              <c:strCache>
                <c:ptCount val="1"/>
                <c:pt idx="0">
                  <c:v>Construction - geological storage</c:v>
                </c:pt>
              </c:strCache>
            </c:strRef>
          </c:tx>
          <c:spPr>
            <a:solidFill>
              <a:schemeClr val="accent4">
                <a:lumMod val="60000"/>
                <a:lumOff val="40000"/>
              </a:schemeClr>
            </a:solidFill>
            <a:ln>
              <a:noFill/>
            </a:ln>
            <a:effectLst/>
          </c:spPr>
          <c:invertIfNegative val="0"/>
          <c:cat>
            <c:multiLvlStrRef>
              <c:f>'Figure Results ReCiPe (E)'!$A$34:$B$42</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(E)'!$D$34:$D$42</c:f>
              <c:numCache>
                <c:formatCode>0</c:formatCode>
                <c:ptCount val="9"/>
                <c:pt idx="0">
                  <c:v>0.23736856971768738</c:v>
                </c:pt>
                <c:pt idx="1">
                  <c:v>0.22730135326480799</c:v>
                </c:pt>
                <c:pt idx="2">
                  <c:v>0.22026478703469121</c:v>
                </c:pt>
                <c:pt idx="3">
                  <c:v>0.23736856971768738</c:v>
                </c:pt>
                <c:pt idx="4">
                  <c:v>0.22730135326480799</c:v>
                </c:pt>
                <c:pt idx="5">
                  <c:v>0.22026478703469121</c:v>
                </c:pt>
                <c:pt idx="6">
                  <c:v>0.23736856971768738</c:v>
                </c:pt>
                <c:pt idx="7">
                  <c:v>0.22730135326480799</c:v>
                </c:pt>
                <c:pt idx="8">
                  <c:v>0.22026478703469121</c:v>
                </c:pt>
              </c:numCache>
            </c:numRef>
          </c:val>
          <c:extLst>
            <c:ext xmlns:c16="http://schemas.microsoft.com/office/drawing/2014/chart" uri="{C3380CC4-5D6E-409C-BE32-E72D297353CC}">
              <c16:uniqueId val="{00000001-A036-4AF1-A2CD-0F6C45C848C7}"/>
            </c:ext>
          </c:extLst>
        </c:ser>
        <c:ser>
          <c:idx val="3"/>
          <c:order val="2"/>
          <c:tx>
            <c:strRef>
              <c:f>'Figure Results ReCiPe (E)'!$E$5</c:f>
              <c:strCache>
                <c:ptCount val="1"/>
                <c:pt idx="0">
                  <c:v>Deconstruction - DAC</c:v>
                </c:pt>
              </c:strCache>
            </c:strRef>
          </c:tx>
          <c:spPr>
            <a:solidFill>
              <a:schemeClr val="accent2">
                <a:lumMod val="40000"/>
                <a:lumOff val="60000"/>
              </a:schemeClr>
            </a:solidFill>
            <a:ln>
              <a:noFill/>
            </a:ln>
            <a:effectLst/>
          </c:spPr>
          <c:invertIfNegative val="0"/>
          <c:cat>
            <c:multiLvlStrRef>
              <c:f>'Figure Results ReCiPe (E)'!$A$34:$B$42</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(E)'!$E$34:$E$42</c:f>
              <c:numCache>
                <c:formatCode>0</c:formatCode>
                <c:ptCount val="9"/>
                <c:pt idx="0">
                  <c:v>5.1813372048564774E-2</c:v>
                </c:pt>
                <c:pt idx="1">
                  <c:v>5.0224336999571441E-2</c:v>
                </c:pt>
                <c:pt idx="2">
                  <c:v>4.9926887196575398E-2</c:v>
                </c:pt>
                <c:pt idx="3">
                  <c:v>5.1813372048564774E-2</c:v>
                </c:pt>
                <c:pt idx="4">
                  <c:v>5.0224336999571441E-2</c:v>
                </c:pt>
                <c:pt idx="5">
                  <c:v>4.9926887196575398E-2</c:v>
                </c:pt>
                <c:pt idx="6">
                  <c:v>0.10362674409712955</c:v>
                </c:pt>
                <c:pt idx="7">
                  <c:v>0.10044867399914288</c:v>
                </c:pt>
                <c:pt idx="8">
                  <c:v>9.9853774393150796E-2</c:v>
                </c:pt>
              </c:numCache>
            </c:numRef>
          </c:val>
          <c:extLst>
            <c:ext xmlns:c16="http://schemas.microsoft.com/office/drawing/2014/chart" uri="{C3380CC4-5D6E-409C-BE32-E72D297353CC}">
              <c16:uniqueId val="{00000002-A036-4AF1-A2CD-0F6C45C848C7}"/>
            </c:ext>
          </c:extLst>
        </c:ser>
        <c:ser>
          <c:idx val="4"/>
          <c:order val="3"/>
          <c:tx>
            <c:strRef>
              <c:f>'Figure Results ReCiPe (E)'!$F$5</c:f>
              <c:strCache>
                <c:ptCount val="1"/>
                <c:pt idx="0">
                  <c:v>Deconstruction - geological storage</c:v>
                </c:pt>
              </c:strCache>
            </c:strRef>
          </c:tx>
          <c:spPr>
            <a:solidFill>
              <a:srgbClr val="FF9900"/>
            </a:solidFill>
            <a:ln>
              <a:noFill/>
            </a:ln>
            <a:effectLst/>
          </c:spPr>
          <c:invertIfNegative val="0"/>
          <c:cat>
            <c:multiLvlStrRef>
              <c:f>'Figure Results ReCiPe (E)'!$A$34:$B$42</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(E)'!$F$34:$F$42</c:f>
              <c:numCache>
                <c:formatCode>0</c:formatCode>
                <c:ptCount val="9"/>
                <c:pt idx="0">
                  <c:v>7.4457936210623995E-4</c:v>
                </c:pt>
                <c:pt idx="1">
                  <c:v>7.2060673589576007E-4</c:v>
                </c:pt>
                <c:pt idx="2">
                  <c:v>7.1540342543945405E-4</c:v>
                </c:pt>
                <c:pt idx="3">
                  <c:v>7.4457936210623995E-4</c:v>
                </c:pt>
                <c:pt idx="4">
                  <c:v>7.2060673589576007E-4</c:v>
                </c:pt>
                <c:pt idx="5">
                  <c:v>7.1540342543945405E-4</c:v>
                </c:pt>
                <c:pt idx="6">
                  <c:v>7.4457936210623995E-4</c:v>
                </c:pt>
                <c:pt idx="7">
                  <c:v>7.2060673589576007E-4</c:v>
                </c:pt>
                <c:pt idx="8">
                  <c:v>7.1540342543945405E-4</c:v>
                </c:pt>
              </c:numCache>
            </c:numRef>
          </c:val>
          <c:extLst>
            <c:ext xmlns:c16="http://schemas.microsoft.com/office/drawing/2014/chart" uri="{C3380CC4-5D6E-409C-BE32-E72D297353CC}">
              <c16:uniqueId val="{00000003-A036-4AF1-A2CD-0F6C45C848C7}"/>
            </c:ext>
          </c:extLst>
        </c:ser>
        <c:ser>
          <c:idx val="5"/>
          <c:order val="4"/>
          <c:tx>
            <c:strRef>
              <c:f>'Figure Results ReCiPe (E)'!$G$5</c:f>
              <c:strCache>
                <c:ptCount val="1"/>
                <c:pt idx="0">
                  <c:v>Sorbent material</c:v>
                </c:pt>
              </c:strCache>
            </c:strRef>
          </c:tx>
          <c:spPr>
            <a:solidFill>
              <a:srgbClr val="FF8F8F"/>
            </a:solidFill>
            <a:ln>
              <a:noFill/>
            </a:ln>
            <a:effectLst/>
          </c:spPr>
          <c:invertIfNegative val="0"/>
          <c:cat>
            <c:multiLvlStrRef>
              <c:f>'Figure Results ReCiPe (E)'!$A$34:$B$42</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(E)'!$G$34:$G$42</c:f>
              <c:numCache>
                <c:formatCode>0</c:formatCode>
                <c:ptCount val="9"/>
                <c:pt idx="0">
                  <c:v>0.54087599333583036</c:v>
                </c:pt>
                <c:pt idx="1">
                  <c:v>0.5064937346607693</c:v>
                </c:pt>
                <c:pt idx="2">
                  <c:v>0.49198881672725742</c:v>
                </c:pt>
                <c:pt idx="3">
                  <c:v>0.54087599333583036</c:v>
                </c:pt>
                <c:pt idx="4">
                  <c:v>0.5064937346607693</c:v>
                </c:pt>
                <c:pt idx="5">
                  <c:v>0.49198881672725742</c:v>
                </c:pt>
                <c:pt idx="6">
                  <c:v>1.0817519866716607</c:v>
                </c:pt>
                <c:pt idx="7">
                  <c:v>1.0129874693215386</c:v>
                </c:pt>
                <c:pt idx="8">
                  <c:v>0.98397763345451483</c:v>
                </c:pt>
              </c:numCache>
            </c:numRef>
          </c:val>
          <c:extLst>
            <c:ext xmlns:c16="http://schemas.microsoft.com/office/drawing/2014/chart" uri="{C3380CC4-5D6E-409C-BE32-E72D297353CC}">
              <c16:uniqueId val="{00000004-A036-4AF1-A2CD-0F6C45C848C7}"/>
            </c:ext>
          </c:extLst>
        </c:ser>
        <c:ser>
          <c:idx val="6"/>
          <c:order val="5"/>
          <c:tx>
            <c:strRef>
              <c:f>'Figure Results ReCiPe (E)'!$I$5</c:f>
              <c:strCache>
                <c:ptCount val="1"/>
                <c:pt idx="0">
                  <c:v>Operation - DAC</c:v>
                </c:pt>
              </c:strCache>
            </c:strRef>
          </c:tx>
          <c:spPr>
            <a:solidFill>
              <a:schemeClr val="accent2">
                <a:lumMod val="75000"/>
              </a:schemeClr>
            </a:solidFill>
            <a:ln>
              <a:noFill/>
            </a:ln>
            <a:effectLst/>
          </c:spPr>
          <c:invertIfNegative val="0"/>
          <c:cat>
            <c:multiLvlStrRef>
              <c:f>'Figure Results ReCiPe (E)'!$A$34:$B$42</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(E)'!$I$34:$I$42</c:f>
              <c:numCache>
                <c:formatCode>0</c:formatCode>
                <c:ptCount val="9"/>
                <c:pt idx="0">
                  <c:v>53.48003803483401</c:v>
                </c:pt>
                <c:pt idx="1">
                  <c:v>13.164398138698337</c:v>
                </c:pt>
                <c:pt idx="2">
                  <c:v>9.5196055823756645</c:v>
                </c:pt>
                <c:pt idx="3">
                  <c:v>43.777477849085102</c:v>
                </c:pt>
                <c:pt idx="4">
                  <c:v>12.901387339406217</c:v>
                </c:pt>
                <c:pt idx="5">
                  <c:v>10.069475651227652</c:v>
                </c:pt>
                <c:pt idx="6">
                  <c:v>42.219567915144154</c:v>
                </c:pt>
                <c:pt idx="7">
                  <c:v>41.030747936407508</c:v>
                </c:pt>
                <c:pt idx="8">
                  <c:v>40.528017239822574</c:v>
                </c:pt>
              </c:numCache>
            </c:numRef>
          </c:val>
          <c:extLst>
            <c:ext xmlns:c16="http://schemas.microsoft.com/office/drawing/2014/chart" uri="{C3380CC4-5D6E-409C-BE32-E72D297353CC}">
              <c16:uniqueId val="{00000005-A036-4AF1-A2CD-0F6C45C848C7}"/>
            </c:ext>
          </c:extLst>
        </c:ser>
        <c:ser>
          <c:idx val="7"/>
          <c:order val="6"/>
          <c:tx>
            <c:strRef>
              <c:f>'Figure Results ReCiPe (E)'!$J$5</c:f>
              <c:strCache>
                <c:ptCount val="1"/>
                <c:pt idx="0">
                  <c:v>Operation - geological storage</c:v>
                </c:pt>
              </c:strCache>
            </c:strRef>
          </c:tx>
          <c:spPr>
            <a:solidFill>
              <a:schemeClr val="accent2">
                <a:lumMod val="50000"/>
              </a:schemeClr>
            </a:solidFill>
            <a:ln>
              <a:noFill/>
            </a:ln>
            <a:effectLst/>
          </c:spPr>
          <c:invertIfNegative val="0"/>
          <c:cat>
            <c:multiLvlStrRef>
              <c:f>'Figure Results ReCiPe (E)'!$A$34:$B$42</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(E)'!$J$34:$J$42</c:f>
              <c:numCache>
                <c:formatCode>0</c:formatCode>
                <c:ptCount val="9"/>
                <c:pt idx="0">
                  <c:v>5.5171453370358536</c:v>
                </c:pt>
                <c:pt idx="1">
                  <c:v>2.3520784467059221</c:v>
                </c:pt>
                <c:pt idx="2">
                  <c:v>2.2088799157929073</c:v>
                </c:pt>
                <c:pt idx="3">
                  <c:v>5.5171453370358536</c:v>
                </c:pt>
                <c:pt idx="4">
                  <c:v>2.4847264117793162</c:v>
                </c:pt>
                <c:pt idx="5">
                  <c:v>2.2088799157929073</c:v>
                </c:pt>
                <c:pt idx="6">
                  <c:v>5.5171453370358536</c:v>
                </c:pt>
                <c:pt idx="7">
                  <c:v>2.3520784467059221</c:v>
                </c:pt>
                <c:pt idx="8">
                  <c:v>2.2088799157929073</c:v>
                </c:pt>
              </c:numCache>
            </c:numRef>
          </c:val>
          <c:extLst>
            <c:ext xmlns:c16="http://schemas.microsoft.com/office/drawing/2014/chart" uri="{C3380CC4-5D6E-409C-BE32-E72D297353CC}">
              <c16:uniqueId val="{00000006-A036-4AF1-A2CD-0F6C45C848C7}"/>
            </c:ext>
          </c:extLst>
        </c:ser>
        <c:ser>
          <c:idx val="2"/>
          <c:order val="7"/>
          <c:tx>
            <c:strRef>
              <c:f>'Figure Results ReCiPe (E)'!$K$5</c:f>
              <c:strCache>
                <c:ptCount val="1"/>
                <c:pt idx="0">
                  <c:v>CO2 captured and stored</c:v>
                </c:pt>
              </c:strCache>
            </c:strRef>
          </c:tx>
          <c:spPr>
            <a:solidFill>
              <a:schemeClr val="tx2">
                <a:lumMod val="20000"/>
                <a:lumOff val="80000"/>
              </a:schemeClr>
            </a:solidFill>
            <a:ln w="19050">
              <a:noFill/>
            </a:ln>
            <a:effectLst/>
          </c:spPr>
          <c:invertIfNegative val="0"/>
          <c:cat>
            <c:multiLvlStrRef>
              <c:f>'Figure Results ReCiPe (E)'!$A$34:$B$42</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(E)'!$K$34:$K$42</c:f>
              <c:numCache>
                <c:formatCode>0</c:formatCode>
                <c:ptCount val="9"/>
                <c:pt idx="0">
                  <c:v>-12.5</c:v>
                </c:pt>
                <c:pt idx="1">
                  <c:v>-12.5</c:v>
                </c:pt>
                <c:pt idx="2">
                  <c:v>-12.5</c:v>
                </c:pt>
                <c:pt idx="3">
                  <c:v>-12.5</c:v>
                </c:pt>
                <c:pt idx="4">
                  <c:v>-12.5</c:v>
                </c:pt>
                <c:pt idx="5">
                  <c:v>-12.5</c:v>
                </c:pt>
                <c:pt idx="6">
                  <c:v>-12.5</c:v>
                </c:pt>
                <c:pt idx="7">
                  <c:v>-12.5</c:v>
                </c:pt>
                <c:pt idx="8">
                  <c:v>-12.5</c:v>
                </c:pt>
              </c:numCache>
            </c:numRef>
          </c:val>
          <c:extLst>
            <c:ext xmlns:c16="http://schemas.microsoft.com/office/drawing/2014/chart" uri="{C3380CC4-5D6E-409C-BE32-E72D297353CC}">
              <c16:uniqueId val="{00000007-A036-4AF1-A2CD-0F6C45C848C7}"/>
            </c:ext>
          </c:extLst>
        </c:ser>
        <c:ser>
          <c:idx val="9"/>
          <c:order val="9"/>
          <c:tx>
            <c:strRef>
              <c:f>'Figure Results ReCiPe (E)'!$H$33</c:f>
              <c:strCache>
                <c:ptCount val="1"/>
                <c:pt idx="0">
                  <c:v>Battery</c:v>
                </c:pt>
              </c:strCache>
            </c:strRef>
          </c:tx>
          <c:spPr>
            <a:solidFill>
              <a:schemeClr val="accent6">
                <a:lumMod val="75000"/>
              </a:schemeClr>
            </a:solidFill>
            <a:ln w="19050">
              <a:noFill/>
            </a:ln>
            <a:effectLst/>
          </c:spPr>
          <c:invertIfNegative val="0"/>
          <c:cat>
            <c:multiLvlStrRef>
              <c:f>'Figure Results ReCiPe (E)'!$A$34:$B$42</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(E)'!$H$34:$H$42</c:f>
              <c:numCache>
                <c:formatCode>0</c:formatCode>
                <c:ptCount val="9"/>
                <c:pt idx="0">
                  <c:v>0</c:v>
                </c:pt>
                <c:pt idx="1">
                  <c:v>0</c:v>
                </c:pt>
                <c:pt idx="2">
                  <c:v>0</c:v>
                </c:pt>
                <c:pt idx="3">
                  <c:v>0</c:v>
                </c:pt>
                <c:pt idx="4">
                  <c:v>0</c:v>
                </c:pt>
                <c:pt idx="5">
                  <c:v>0</c:v>
                </c:pt>
                <c:pt idx="6">
                  <c:v>75.521153324716877</c:v>
                </c:pt>
                <c:pt idx="7">
                  <c:v>74.793228807015836</c:v>
                </c:pt>
                <c:pt idx="8">
                  <c:v>73.402514692256091</c:v>
                </c:pt>
              </c:numCache>
            </c:numRef>
          </c:val>
          <c:extLst>
            <c:ext xmlns:c16="http://schemas.microsoft.com/office/drawing/2014/chart" uri="{C3380CC4-5D6E-409C-BE32-E72D297353CC}">
              <c16:uniqueId val="{00000008-A036-4AF1-A2CD-0F6C45C848C7}"/>
            </c:ext>
          </c:extLst>
        </c:ser>
        <c:dLbls>
          <c:showLegendKey val="0"/>
          <c:showVal val="0"/>
          <c:showCatName val="0"/>
          <c:showSerName val="0"/>
          <c:showPercent val="0"/>
          <c:showBubbleSize val="0"/>
        </c:dLbls>
        <c:gapWidth val="150"/>
        <c:overlap val="100"/>
        <c:axId val="134262272"/>
        <c:axId val="135299072"/>
      </c:barChart>
      <c:scatterChart>
        <c:scatterStyle val="lineMarker"/>
        <c:varyColors val="0"/>
        <c:ser>
          <c:idx val="8"/>
          <c:order val="8"/>
          <c:tx>
            <c:strRef>
              <c:f>'Figure Results ReCiPe (E)'!$L$33</c:f>
              <c:strCache>
                <c:ptCount val="1"/>
                <c:pt idx="0">
                  <c:v>Total</c:v>
                </c:pt>
              </c:strCache>
            </c:strRef>
          </c:tx>
          <c:spPr>
            <a:ln w="19050" cap="rnd" cmpd="sng" algn="ctr">
              <a:noFill/>
              <a:prstDash val="solid"/>
              <a:round/>
            </a:ln>
            <a:effectLst/>
          </c:spPr>
          <c:marker>
            <c:symbol val="circle"/>
            <c:size val="7"/>
            <c:spPr>
              <a:solidFill>
                <a:schemeClr val="tx1"/>
              </a:solidFill>
              <a:ln w="6350" cap="flat" cmpd="sng" algn="ctr">
                <a:noFill/>
                <a:prstDash val="solid"/>
                <a:round/>
              </a:ln>
              <a:effectLst/>
            </c:spPr>
          </c:marker>
          <c:dLbls>
            <c:spPr>
              <a:noFill/>
              <a:ln>
                <a:noFill/>
              </a:ln>
              <a:effectLst/>
            </c:spPr>
            <c:txPr>
              <a:bodyPr rot="0" spcFirstLastPara="1" vertOverflow="ellipsis" vert="horz" wrap="square" lIns="0" tIns="0" rIns="0" bIns="0" anchor="ctr" anchorCtr="1"/>
              <a:lstStyle/>
              <a:p>
                <a:pPr>
                  <a:defRPr sz="1200" b="0"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dLblPos val="t"/>
            <c:showLegendKey val="0"/>
            <c:showVal val="0"/>
            <c:showCatName val="1"/>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LeaderLines val="1"/>
                <c15:leaderLines>
                  <c:spPr>
                    <a:ln w="6350" cap="flat" cmpd="sng" algn="ctr">
                      <a:solidFill>
                        <a:schemeClr val="tx1"/>
                      </a:solidFill>
                      <a:prstDash val="solid"/>
                      <a:round/>
                    </a:ln>
                    <a:effectLst/>
                  </c:spPr>
                </c15:leaderLines>
              </c:ext>
            </c:extLst>
          </c:dLbls>
          <c:xVal>
            <c:numRef>
              <c:f>'Figure Results ReCiPe (E)'!$L$34:$L$42</c:f>
              <c:numCache>
                <c:formatCode>0</c:formatCode>
                <c:ptCount val="9"/>
                <c:pt idx="0">
                  <c:v>53.513625786279867</c:v>
                </c:pt>
                <c:pt idx="1">
                  <c:v>9.8666667523437681</c:v>
                </c:pt>
                <c:pt idx="2">
                  <c:v>5.8867330905666941</c:v>
                </c:pt>
                <c:pt idx="3">
                  <c:v>43.811065600530952</c:v>
                </c:pt>
                <c:pt idx="4">
                  <c:v>9.7363039181250421</c:v>
                </c:pt>
                <c:pt idx="5">
                  <c:v>6.4366031594186737</c:v>
                </c:pt>
                <c:pt idx="6">
                  <c:v>124.25566048070687</c:v>
                </c:pt>
                <c:pt idx="7">
                  <c:v>118.85405604236179</c:v>
                </c:pt>
                <c:pt idx="8">
                  <c:v>116.44385596469324</c:v>
                </c:pt>
              </c:numCache>
            </c:numRef>
          </c:xVal>
          <c:yVal>
            <c:numRef>
              <c:f>'Figure Results ReCiPe (E)'!$M$34:$M$42</c:f>
              <c:numCache>
                <c:formatCode>General</c:formatCode>
                <c:ptCount val="9"/>
                <c:pt idx="0" formatCode="0.0">
                  <c:v>8.5</c:v>
                </c:pt>
                <c:pt idx="1">
                  <c:v>7.5</c:v>
                </c:pt>
                <c:pt idx="2">
                  <c:v>6.5</c:v>
                </c:pt>
                <c:pt idx="3">
                  <c:v>5.5</c:v>
                </c:pt>
                <c:pt idx="4">
                  <c:v>4.5</c:v>
                </c:pt>
                <c:pt idx="5">
                  <c:v>3.5</c:v>
                </c:pt>
                <c:pt idx="6">
                  <c:v>2.5</c:v>
                </c:pt>
                <c:pt idx="7">
                  <c:v>1.5</c:v>
                </c:pt>
                <c:pt idx="8">
                  <c:v>0.5</c:v>
                </c:pt>
              </c:numCache>
            </c:numRef>
          </c:yVal>
          <c:smooth val="0"/>
          <c:extLst>
            <c:ext xmlns:c16="http://schemas.microsoft.com/office/drawing/2014/chart" uri="{C3380CC4-5D6E-409C-BE32-E72D297353CC}">
              <c16:uniqueId val="{00000009-A036-4AF1-A2CD-0F6C45C848C7}"/>
            </c:ext>
          </c:extLst>
        </c:ser>
        <c:dLbls>
          <c:showLegendKey val="0"/>
          <c:showVal val="0"/>
          <c:showCatName val="0"/>
          <c:showSerName val="0"/>
          <c:showPercent val="0"/>
          <c:showBubbleSize val="0"/>
        </c:dLbls>
        <c:axId val="620675072"/>
        <c:axId val="620677376"/>
      </c:scatterChart>
      <c:catAx>
        <c:axId val="134262272"/>
        <c:scaling>
          <c:orientation val="maxMin"/>
        </c:scaling>
        <c:delete val="0"/>
        <c:axPos val="l"/>
        <c:numFmt formatCode="@" sourceLinked="0"/>
        <c:majorTickMark val="none"/>
        <c:minorTickMark val="none"/>
        <c:tickLblPos val="low"/>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200" b="1"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crossAx val="135299072"/>
        <c:crossesAt val="0"/>
        <c:auto val="1"/>
        <c:lblAlgn val="ctr"/>
        <c:lblOffset val="100"/>
        <c:noMultiLvlLbl val="0"/>
      </c:catAx>
      <c:valAx>
        <c:axId val="135299072"/>
        <c:scaling>
          <c:orientation val="minMax"/>
          <c:max val="150"/>
          <c:min val="-150"/>
        </c:scaling>
        <c:delete val="0"/>
        <c:axPos val="b"/>
        <c:title>
          <c:tx>
            <c:rich>
              <a:bodyPr rot="0" spcFirstLastPara="1" vertOverflow="ellipsis" vert="horz" wrap="square" anchor="ctr" anchorCtr="1"/>
              <a:lstStyle/>
              <a:p>
                <a:pPr>
                  <a:defRPr sz="1200" b="1" i="0" u="none" strike="noStrike" kern="1200" baseline="0">
                    <a:solidFill>
                      <a:schemeClr val="tx1"/>
                    </a:solidFill>
                    <a:latin typeface="Verdana Pro" panose="020B0604030504040204" pitchFamily="34" charset="0"/>
                    <a:ea typeface="+mn-ea"/>
                    <a:cs typeface="Times New Roman" panose="02020603050405020304" pitchFamily="18" charset="0"/>
                  </a:defRPr>
                </a:pPr>
                <a:r>
                  <a:rPr lang="en-GB"/>
                  <a:t>Human health damage [10</a:t>
                </a:r>
                <a:r>
                  <a:rPr lang="en-GB" baseline="30000"/>
                  <a:t>-3</a:t>
                </a:r>
                <a:r>
                  <a:rPr lang="en-GB"/>
                  <a:t> DALY/ton CO</a:t>
                </a:r>
                <a:r>
                  <a:rPr lang="en-GB" baseline="-25000"/>
                  <a:t>2</a:t>
                </a:r>
                <a:r>
                  <a:rPr lang="en-GB"/>
                  <a:t> captured and stored]</a:t>
                </a:r>
              </a:p>
            </c:rich>
          </c:tx>
          <c:layout>
            <c:manualLayout>
              <c:xMode val="edge"/>
              <c:yMode val="edge"/>
              <c:x val="0.27594482503754775"/>
              <c:y val="0.78871841109294127"/>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title>
        <c:numFmt formatCode="0" sourceLinked="0"/>
        <c:majorTickMark val="out"/>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200" b="0"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crossAx val="134262272"/>
        <c:crosses val="max"/>
        <c:crossBetween val="between"/>
      </c:valAx>
      <c:valAx>
        <c:axId val="620677376"/>
        <c:scaling>
          <c:orientation val="minMax"/>
        </c:scaling>
        <c:delete val="1"/>
        <c:axPos val="r"/>
        <c:numFmt formatCode="0.0" sourceLinked="1"/>
        <c:majorTickMark val="out"/>
        <c:minorTickMark val="none"/>
        <c:tickLblPos val="nextTo"/>
        <c:crossAx val="620675072"/>
        <c:crosses val="max"/>
        <c:crossBetween val="midCat"/>
      </c:valAx>
      <c:valAx>
        <c:axId val="620675072"/>
        <c:scaling>
          <c:orientation val="minMax"/>
        </c:scaling>
        <c:delete val="1"/>
        <c:axPos val="b"/>
        <c:numFmt formatCode="0" sourceLinked="1"/>
        <c:majorTickMark val="out"/>
        <c:minorTickMark val="none"/>
        <c:tickLblPos val="nextTo"/>
        <c:crossAx val="620677376"/>
        <c:crossesAt val="0"/>
        <c:crossBetween val="midCat"/>
      </c:valAx>
      <c:spPr>
        <a:solidFill>
          <a:schemeClr val="bg1"/>
        </a:solidFill>
        <a:ln>
          <a:noFill/>
        </a:ln>
        <a:effectLst/>
      </c:spPr>
    </c:plotArea>
    <c:plotVisOnly val="1"/>
    <c:dispBlanksAs val="gap"/>
    <c:showDLblsOverMax val="0"/>
  </c:chart>
  <c:spPr>
    <a:noFill/>
    <a:ln w="6350" cap="flat" cmpd="sng" algn="ctr">
      <a:noFill/>
      <a:prstDash val="solid"/>
      <a:round/>
    </a:ln>
    <a:effectLst/>
  </c:spPr>
  <c:txPr>
    <a:bodyPr/>
    <a:lstStyle/>
    <a:p>
      <a:pPr>
        <a:defRPr sz="1200">
          <a:solidFill>
            <a:schemeClr val="tx1"/>
          </a:solidFill>
          <a:latin typeface="Verdana Pro" panose="020B0604030504040204" pitchFamily="34" charset="0"/>
          <a:cs typeface="Times New Roman" panose="02020603050405020304" pitchFamily="18" charset="0"/>
        </a:defRPr>
      </a:pPr>
      <a:endParaRPr lang="en-NL"/>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ESD'!$AB$395</c:f>
              <c:strCache>
                <c:ptCount val="1"/>
                <c:pt idx="0">
                  <c:v>Construction - DAC</c:v>
                </c:pt>
              </c:strCache>
            </c:strRef>
          </c:tx>
          <c:spPr>
            <a:solidFill>
              <a:schemeClr val="accent4">
                <a:lumMod val="75000"/>
              </a:schemeClr>
            </a:solidFill>
            <a:ln>
              <a:noFill/>
            </a:ln>
            <a:effectLst/>
          </c:spPr>
          <c:invertIfNegative val="0"/>
          <c:cat>
            <c:numRef>
              <c:f>'Results ReCiPe (H) - ESD'!$AC$394:$BA$394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ESD'!$AC$395:$BA$395</c:f>
              <c:numCache>
                <c:formatCode>0.00E+00</c:formatCode>
                <c:ptCount val="25"/>
                <c:pt idx="0">
                  <c:v>1.3798038147677175E-4</c:v>
                </c:pt>
              </c:numCache>
            </c:numRef>
          </c:val>
          <c:extLst>
            <c:ext xmlns:c16="http://schemas.microsoft.com/office/drawing/2014/chart" uri="{C3380CC4-5D6E-409C-BE32-E72D297353CC}">
              <c16:uniqueId val="{00000000-AB8B-40D6-A79F-99F0A2DD08B2}"/>
            </c:ext>
          </c:extLst>
        </c:ser>
        <c:ser>
          <c:idx val="1"/>
          <c:order val="1"/>
          <c:tx>
            <c:strRef>
              <c:f>'Results ReCiPe (H) - ESD'!$AB$396</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(H) - ESD'!$AC$394:$BA$394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ESD'!$AC$396:$BA$396</c:f>
              <c:numCache>
                <c:formatCode>0.00E+00</c:formatCode>
                <c:ptCount val="25"/>
                <c:pt idx="0">
                  <c:v>4.8932981636422996E-6</c:v>
                </c:pt>
              </c:numCache>
            </c:numRef>
          </c:val>
          <c:extLst>
            <c:ext xmlns:c16="http://schemas.microsoft.com/office/drawing/2014/chart" uri="{C3380CC4-5D6E-409C-BE32-E72D297353CC}">
              <c16:uniqueId val="{00000001-AB8B-40D6-A79F-99F0A2DD08B2}"/>
            </c:ext>
          </c:extLst>
        </c:ser>
        <c:ser>
          <c:idx val="2"/>
          <c:order val="2"/>
          <c:tx>
            <c:strRef>
              <c:f>'Results ReCiPe (H) - ESD'!$AB$397</c:f>
              <c:strCache>
                <c:ptCount val="1"/>
                <c:pt idx="0">
                  <c:v>Deconstruction - DAC</c:v>
                </c:pt>
              </c:strCache>
            </c:strRef>
          </c:tx>
          <c:spPr>
            <a:solidFill>
              <a:schemeClr val="accent2">
                <a:lumMod val="40000"/>
                <a:lumOff val="60000"/>
              </a:schemeClr>
            </a:solidFill>
            <a:ln>
              <a:noFill/>
            </a:ln>
            <a:effectLst/>
          </c:spPr>
          <c:invertIfNegative val="0"/>
          <c:cat>
            <c:numRef>
              <c:f>'Results ReCiPe (H) - ESD'!$AC$394:$BA$394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ESD'!$AC$397:$BA$397</c:f>
              <c:numCache>
                <c:formatCode>0.00E+00</c:formatCode>
                <c:ptCount val="25"/>
                <c:pt idx="24">
                  <c:v>2.4979772832792044E-6</c:v>
                </c:pt>
              </c:numCache>
            </c:numRef>
          </c:val>
          <c:extLst>
            <c:ext xmlns:c16="http://schemas.microsoft.com/office/drawing/2014/chart" uri="{C3380CC4-5D6E-409C-BE32-E72D297353CC}">
              <c16:uniqueId val="{00000002-AB8B-40D6-A79F-99F0A2DD08B2}"/>
            </c:ext>
          </c:extLst>
        </c:ser>
        <c:ser>
          <c:idx val="3"/>
          <c:order val="3"/>
          <c:tx>
            <c:strRef>
              <c:f>'Results ReCiPe (H) - ESD'!$AB$398</c:f>
              <c:strCache>
                <c:ptCount val="1"/>
                <c:pt idx="0">
                  <c:v>Deconstruction - geological storage</c:v>
                </c:pt>
              </c:strCache>
            </c:strRef>
          </c:tx>
          <c:spPr>
            <a:solidFill>
              <a:srgbClr val="FF9900"/>
            </a:solidFill>
            <a:ln>
              <a:noFill/>
            </a:ln>
            <a:effectLst/>
          </c:spPr>
          <c:invertIfNegative val="0"/>
          <c:cat>
            <c:numRef>
              <c:f>'Results ReCiPe (H) - ESD'!$AC$394:$BA$394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ESD'!$AC$398:$BA$398</c:f>
              <c:numCache>
                <c:formatCode>0.00E+00</c:formatCode>
                <c:ptCount val="25"/>
                <c:pt idx="24">
                  <c:v>4.4645706210743862E-8</c:v>
                </c:pt>
              </c:numCache>
            </c:numRef>
          </c:val>
          <c:extLst>
            <c:ext xmlns:c16="http://schemas.microsoft.com/office/drawing/2014/chart" uri="{C3380CC4-5D6E-409C-BE32-E72D297353CC}">
              <c16:uniqueId val="{00000003-AB8B-40D6-A79F-99F0A2DD08B2}"/>
            </c:ext>
          </c:extLst>
        </c:ser>
        <c:ser>
          <c:idx val="4"/>
          <c:order val="4"/>
          <c:tx>
            <c:strRef>
              <c:f>'Results ReCiPe (H) - ESD'!$AB$399</c:f>
              <c:strCache>
                <c:ptCount val="1"/>
                <c:pt idx="0">
                  <c:v>Sorbent material</c:v>
                </c:pt>
              </c:strCache>
            </c:strRef>
          </c:tx>
          <c:spPr>
            <a:solidFill>
              <a:srgbClr val="FF8F8F"/>
            </a:solidFill>
            <a:ln>
              <a:noFill/>
            </a:ln>
            <a:effectLst/>
          </c:spPr>
          <c:invertIfNegative val="0"/>
          <c:cat>
            <c:numRef>
              <c:f>'Results ReCiPe (H) - ESD'!$AC$394:$BA$394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ESD'!$AC$399:$BA$399</c:f>
              <c:numCache>
                <c:formatCode>0.00E+00</c:formatCode>
                <c:ptCount val="25"/>
                <c:pt idx="0">
                  <c:v>3.715731652454359E-6</c:v>
                </c:pt>
                <c:pt idx="3">
                  <c:v>3.5013590415283682E-6</c:v>
                </c:pt>
                <c:pt idx="6">
                  <c:v>3.359625974222981E-6</c:v>
                </c:pt>
                <c:pt idx="9">
                  <c:v>3.3222042704526711E-6</c:v>
                </c:pt>
                <c:pt idx="12">
                  <c:v>3.3098090978734569E-6</c:v>
                </c:pt>
                <c:pt idx="15">
                  <c:v>3.2987119954850761E-6</c:v>
                </c:pt>
                <c:pt idx="18">
                  <c:v>3.278896138541998E-6</c:v>
                </c:pt>
                <c:pt idx="21">
                  <c:v>3.2828870256197742E-6</c:v>
                </c:pt>
                <c:pt idx="24">
                  <c:v>3.2779455111866361E-6</c:v>
                </c:pt>
              </c:numCache>
            </c:numRef>
          </c:val>
          <c:extLst>
            <c:ext xmlns:c16="http://schemas.microsoft.com/office/drawing/2014/chart" uri="{C3380CC4-5D6E-409C-BE32-E72D297353CC}">
              <c16:uniqueId val="{00000004-AB8B-40D6-A79F-99F0A2DD08B2}"/>
            </c:ext>
          </c:extLst>
        </c:ser>
        <c:ser>
          <c:idx val="5"/>
          <c:order val="5"/>
          <c:tx>
            <c:strRef>
              <c:f>'Results ReCiPe (H) - ESD'!$AB$400</c:f>
              <c:strCache>
                <c:ptCount val="1"/>
                <c:pt idx="0">
                  <c:v>Battery</c:v>
                </c:pt>
              </c:strCache>
            </c:strRef>
          </c:tx>
          <c:spPr>
            <a:solidFill>
              <a:schemeClr val="accent6">
                <a:lumMod val="50000"/>
              </a:schemeClr>
            </a:solidFill>
            <a:ln>
              <a:noFill/>
            </a:ln>
            <a:effectLst/>
          </c:spPr>
          <c:invertIfNegative val="0"/>
          <c:cat>
            <c:numRef>
              <c:f>'Results ReCiPe (H) - ESD'!$AC$394:$BA$394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ESD'!$AC$400:$BA$400</c:f>
              <c:numCache>
                <c:formatCode>0.00E+00</c:formatCode>
                <c:ptCount val="25"/>
                <c:pt idx="0">
                  <c:v>3.5391838353938991E-5</c:v>
                </c:pt>
                <c:pt idx="1">
                  <c:v>3.5391838353938991E-5</c:v>
                </c:pt>
                <c:pt idx="2">
                  <c:v>3.5391838353938991E-5</c:v>
                </c:pt>
                <c:pt idx="3">
                  <c:v>3.5391838353938991E-5</c:v>
                </c:pt>
                <c:pt idx="4">
                  <c:v>3.5391838353938991E-5</c:v>
                </c:pt>
                <c:pt idx="5">
                  <c:v>3.5391838353938991E-5</c:v>
                </c:pt>
                <c:pt idx="6">
                  <c:v>3.5391838353938991E-5</c:v>
                </c:pt>
                <c:pt idx="7">
                  <c:v>3.5391838353938991E-5</c:v>
                </c:pt>
                <c:pt idx="8">
                  <c:v>3.5391838353938991E-5</c:v>
                </c:pt>
                <c:pt idx="9">
                  <c:v>3.5391838353938991E-5</c:v>
                </c:pt>
                <c:pt idx="10">
                  <c:v>3.5391838353938991E-5</c:v>
                </c:pt>
                <c:pt idx="11">
                  <c:v>3.5391838353938991E-5</c:v>
                </c:pt>
                <c:pt idx="12">
                  <c:v>3.5391838353938991E-5</c:v>
                </c:pt>
                <c:pt idx="13">
                  <c:v>3.5391838353938991E-5</c:v>
                </c:pt>
                <c:pt idx="14">
                  <c:v>3.5391838353938991E-5</c:v>
                </c:pt>
                <c:pt idx="15">
                  <c:v>3.5391838353938991E-5</c:v>
                </c:pt>
                <c:pt idx="16">
                  <c:v>3.5391838353938991E-5</c:v>
                </c:pt>
                <c:pt idx="17">
                  <c:v>3.5391838353938991E-5</c:v>
                </c:pt>
                <c:pt idx="18">
                  <c:v>3.5391838353938991E-5</c:v>
                </c:pt>
                <c:pt idx="19">
                  <c:v>3.5391838353938991E-5</c:v>
                </c:pt>
                <c:pt idx="20">
                  <c:v>3.5391838353938991E-5</c:v>
                </c:pt>
                <c:pt idx="21">
                  <c:v>3.5391838353938991E-5</c:v>
                </c:pt>
                <c:pt idx="22">
                  <c:v>3.5391838353938991E-5</c:v>
                </c:pt>
                <c:pt idx="23">
                  <c:v>3.5391838353938991E-5</c:v>
                </c:pt>
                <c:pt idx="24">
                  <c:v>3.5391838353938991E-5</c:v>
                </c:pt>
              </c:numCache>
            </c:numRef>
          </c:val>
          <c:extLst>
            <c:ext xmlns:c16="http://schemas.microsoft.com/office/drawing/2014/chart" uri="{C3380CC4-5D6E-409C-BE32-E72D297353CC}">
              <c16:uniqueId val="{00000005-AB8B-40D6-A79F-99F0A2DD08B2}"/>
            </c:ext>
          </c:extLst>
        </c:ser>
        <c:ser>
          <c:idx val="6"/>
          <c:order val="6"/>
          <c:tx>
            <c:strRef>
              <c:f>'Results ReCiPe (H) - ESD'!$AB$401</c:f>
              <c:strCache>
                <c:ptCount val="1"/>
                <c:pt idx="0">
                  <c:v>Operation - DAC</c:v>
                </c:pt>
              </c:strCache>
            </c:strRef>
          </c:tx>
          <c:spPr>
            <a:solidFill>
              <a:schemeClr val="accent2">
                <a:lumMod val="75000"/>
              </a:schemeClr>
            </a:solidFill>
            <a:ln>
              <a:noFill/>
            </a:ln>
            <a:effectLst/>
          </c:spPr>
          <c:invertIfNegative val="0"/>
          <c:cat>
            <c:numRef>
              <c:f>'Results ReCiPe (H) - ESD'!$AC$394:$BA$394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ESD'!$AC$401:$BA$401</c:f>
              <c:numCache>
                <c:formatCode>0.00E+00</c:formatCode>
                <c:ptCount val="25"/>
                <c:pt idx="0">
                  <c:v>2.799474380680289E-5</c:v>
                </c:pt>
                <c:pt idx="1">
                  <c:v>2.7678158887883355E-5</c:v>
                </c:pt>
                <c:pt idx="2">
                  <c:v>2.7356905758340147E-5</c:v>
                </c:pt>
                <c:pt idx="3">
                  <c:v>2.6908114255842618E-5</c:v>
                </c:pt>
                <c:pt idx="4">
                  <c:v>2.6570793414369379E-5</c:v>
                </c:pt>
                <c:pt idx="5">
                  <c:v>2.6228782386745567E-5</c:v>
                </c:pt>
                <c:pt idx="6">
                  <c:v>2.6162431768583067E-5</c:v>
                </c:pt>
                <c:pt idx="7">
                  <c:v>2.6095891012387027E-5</c:v>
                </c:pt>
                <c:pt idx="8">
                  <c:v>2.5962917182790027E-5</c:v>
                </c:pt>
                <c:pt idx="9">
                  <c:v>2.5895776925025042E-5</c:v>
                </c:pt>
                <c:pt idx="10">
                  <c:v>2.5829312673375157E-5</c:v>
                </c:pt>
                <c:pt idx="11">
                  <c:v>2.5804262908942239E-5</c:v>
                </c:pt>
                <c:pt idx="12">
                  <c:v>2.5780459778227925E-5</c:v>
                </c:pt>
                <c:pt idx="13">
                  <c:v>2.5733670272860495E-5</c:v>
                </c:pt>
                <c:pt idx="14">
                  <c:v>2.5709867187306292E-5</c:v>
                </c:pt>
                <c:pt idx="15">
                  <c:v>2.5685162055894327E-5</c:v>
                </c:pt>
                <c:pt idx="16">
                  <c:v>2.5655767215887149E-5</c:v>
                </c:pt>
                <c:pt idx="17">
                  <c:v>2.5626884571953715E-5</c:v>
                </c:pt>
                <c:pt idx="18">
                  <c:v>2.5577541066413494E-5</c:v>
                </c:pt>
                <c:pt idx="19">
                  <c:v>2.5548471842133846E-5</c:v>
                </c:pt>
                <c:pt idx="20">
                  <c:v>2.5506543880165256E-5</c:v>
                </c:pt>
                <c:pt idx="21">
                  <c:v>2.5665889134127306E-5</c:v>
                </c:pt>
                <c:pt idx="22">
                  <c:v>2.5659663863316576E-5</c:v>
                </c:pt>
                <c:pt idx="23">
                  <c:v>2.5653454404168285E-5</c:v>
                </c:pt>
                <c:pt idx="24">
                  <c:v>2.5647258080522851E-5</c:v>
                </c:pt>
              </c:numCache>
            </c:numRef>
          </c:val>
          <c:extLst>
            <c:ext xmlns:c16="http://schemas.microsoft.com/office/drawing/2014/chart" uri="{C3380CC4-5D6E-409C-BE32-E72D297353CC}">
              <c16:uniqueId val="{00000006-AB8B-40D6-A79F-99F0A2DD08B2}"/>
            </c:ext>
          </c:extLst>
        </c:ser>
        <c:ser>
          <c:idx val="7"/>
          <c:order val="7"/>
          <c:tx>
            <c:strRef>
              <c:f>'Results ReCiPe (H) - ESD'!$AB$402</c:f>
              <c:strCache>
                <c:ptCount val="1"/>
                <c:pt idx="0">
                  <c:v>Operation - geological storage</c:v>
                </c:pt>
              </c:strCache>
            </c:strRef>
          </c:tx>
          <c:spPr>
            <a:solidFill>
              <a:schemeClr val="accent2">
                <a:lumMod val="50000"/>
              </a:schemeClr>
            </a:solidFill>
            <a:ln>
              <a:noFill/>
            </a:ln>
            <a:effectLst/>
          </c:spPr>
          <c:invertIfNegative val="0"/>
          <c:cat>
            <c:numRef>
              <c:f>'Results ReCiPe (H) - ESD'!$AC$394:$BA$394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ESD'!$AC$402:$BA$402</c:f>
              <c:numCache>
                <c:formatCode>0.00E+00</c:formatCode>
                <c:ptCount val="25"/>
                <c:pt idx="0">
                  <c:v>3.1908723698839351E-6</c:v>
                </c:pt>
                <c:pt idx="1">
                  <c:v>2.8910796476439006E-6</c:v>
                </c:pt>
                <c:pt idx="2">
                  <c:v>2.5922221565091035E-6</c:v>
                </c:pt>
                <c:pt idx="3">
                  <c:v>2.286924728034002E-6</c:v>
                </c:pt>
                <c:pt idx="4">
                  <c:v>1.989532958957069E-6</c:v>
                </c:pt>
                <c:pt idx="5">
                  <c:v>1.6930731777524974E-6</c:v>
                </c:pt>
                <c:pt idx="6">
                  <c:v>1.6687341041327075E-6</c:v>
                </c:pt>
                <c:pt idx="7">
                  <c:v>1.6440785184221045E-6</c:v>
                </c:pt>
                <c:pt idx="8">
                  <c:v>1.6126828342771935E-6</c:v>
                </c:pt>
                <c:pt idx="9">
                  <c:v>1.5870840241102094E-6</c:v>
                </c:pt>
                <c:pt idx="10">
                  <c:v>1.5611574105805548E-6</c:v>
                </c:pt>
                <c:pt idx="11">
                  <c:v>1.5437719105020533E-6</c:v>
                </c:pt>
                <c:pt idx="12">
                  <c:v>1.5263219342022287E-6</c:v>
                </c:pt>
                <c:pt idx="13">
                  <c:v>1.5068793443270464E-6</c:v>
                </c:pt>
                <c:pt idx="14">
                  <c:v>1.4888845967883411E-6</c:v>
                </c:pt>
                <c:pt idx="15">
                  <c:v>1.4706845117523601E-6</c:v>
                </c:pt>
                <c:pt idx="16">
                  <c:v>1.4023062026442665E-6</c:v>
                </c:pt>
                <c:pt idx="17">
                  <c:v>1.3341305434417675E-6</c:v>
                </c:pt>
                <c:pt idx="18">
                  <c:v>1.264636094671605E-6</c:v>
                </c:pt>
                <c:pt idx="19">
                  <c:v>1.1967660344526099E-6</c:v>
                </c:pt>
                <c:pt idx="20">
                  <c:v>1.1288347675714314E-6</c:v>
                </c:pt>
                <c:pt idx="21">
                  <c:v>1.1245698670045679E-6</c:v>
                </c:pt>
                <c:pt idx="22">
                  <c:v>1.0795410162098919E-6</c:v>
                </c:pt>
                <c:pt idx="23">
                  <c:v>1.0345781790016371E-6</c:v>
                </c:pt>
                <c:pt idx="24">
                  <c:v>9.8967244645064146E-7</c:v>
                </c:pt>
              </c:numCache>
            </c:numRef>
          </c:val>
          <c:extLst>
            <c:ext xmlns:c16="http://schemas.microsoft.com/office/drawing/2014/chart" uri="{C3380CC4-5D6E-409C-BE32-E72D297353CC}">
              <c16:uniqueId val="{00000007-AB8B-40D6-A79F-99F0A2DD08B2}"/>
            </c:ext>
          </c:extLst>
        </c:ser>
        <c:ser>
          <c:idx val="8"/>
          <c:order val="8"/>
          <c:tx>
            <c:strRef>
              <c:f>'Results ReCiPe (H) - ESD'!$AB$403</c:f>
              <c:strCache>
                <c:ptCount val="1"/>
                <c:pt idx="0">
                  <c:v>CO2 captured and stored</c:v>
                </c:pt>
              </c:strCache>
            </c:strRef>
          </c:tx>
          <c:spPr>
            <a:solidFill>
              <a:schemeClr val="tx2">
                <a:lumMod val="20000"/>
                <a:lumOff val="80000"/>
              </a:schemeClr>
            </a:solidFill>
            <a:ln>
              <a:noFill/>
            </a:ln>
            <a:effectLst/>
          </c:spPr>
          <c:invertIfNegative val="0"/>
          <c:cat>
            <c:numRef>
              <c:f>'Results ReCiPe (H) - ESD'!$AC$394:$BA$394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ESD'!$AC$403:$BA$403</c:f>
              <c:numCache>
                <c:formatCode>0.00E+00</c:formatCode>
                <c:ptCount val="25"/>
                <c:pt idx="0">
                  <c:v>-1.4000382499999999E-4</c:v>
                </c:pt>
                <c:pt idx="1">
                  <c:v>-1.4000382499999999E-4</c:v>
                </c:pt>
                <c:pt idx="2">
                  <c:v>-1.4000382499999999E-4</c:v>
                </c:pt>
                <c:pt idx="3">
                  <c:v>-1.4000382499999999E-4</c:v>
                </c:pt>
                <c:pt idx="4">
                  <c:v>-1.4000382499999999E-4</c:v>
                </c:pt>
                <c:pt idx="5">
                  <c:v>-1.4000382499999999E-4</c:v>
                </c:pt>
                <c:pt idx="6">
                  <c:v>-1.4000382499999999E-4</c:v>
                </c:pt>
                <c:pt idx="7">
                  <c:v>-1.4000382499999999E-4</c:v>
                </c:pt>
                <c:pt idx="8">
                  <c:v>-1.4000382499999999E-4</c:v>
                </c:pt>
                <c:pt idx="9">
                  <c:v>-1.4000382499999999E-4</c:v>
                </c:pt>
                <c:pt idx="10">
                  <c:v>-1.4000382499999999E-4</c:v>
                </c:pt>
                <c:pt idx="11">
                  <c:v>-1.4000382499999999E-4</c:v>
                </c:pt>
                <c:pt idx="12">
                  <c:v>-1.4000382499999999E-4</c:v>
                </c:pt>
                <c:pt idx="13">
                  <c:v>-1.4000382499999999E-4</c:v>
                </c:pt>
                <c:pt idx="14">
                  <c:v>-1.4000382499999999E-4</c:v>
                </c:pt>
                <c:pt idx="15">
                  <c:v>-1.4000382499999999E-4</c:v>
                </c:pt>
                <c:pt idx="16">
                  <c:v>-1.4000382499999999E-4</c:v>
                </c:pt>
                <c:pt idx="17">
                  <c:v>-1.4000382499999999E-4</c:v>
                </c:pt>
                <c:pt idx="18">
                  <c:v>-1.4000382499999999E-4</c:v>
                </c:pt>
                <c:pt idx="19">
                  <c:v>-1.4000382499999999E-4</c:v>
                </c:pt>
                <c:pt idx="20">
                  <c:v>-1.4000382499999999E-4</c:v>
                </c:pt>
                <c:pt idx="21">
                  <c:v>-1.4000382499999999E-4</c:v>
                </c:pt>
                <c:pt idx="22">
                  <c:v>-1.4000382499999999E-4</c:v>
                </c:pt>
                <c:pt idx="23">
                  <c:v>-1.4000382499999999E-4</c:v>
                </c:pt>
                <c:pt idx="24">
                  <c:v>-1.4000382499999999E-4</c:v>
                </c:pt>
              </c:numCache>
            </c:numRef>
          </c:val>
          <c:extLst>
            <c:ext xmlns:c16="http://schemas.microsoft.com/office/drawing/2014/chart" uri="{C3380CC4-5D6E-409C-BE32-E72D297353CC}">
              <c16:uniqueId val="{00000008-AB8B-40D6-A79F-99F0A2DD08B2}"/>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(H) - ESD'!$AB$404</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cat>
            <c:numRef>
              <c:f>'Results ReCiPe (H) - ESD'!$AC$394:$BA$394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ESD'!$AC$404:$BA$404</c:f>
              <c:numCache>
                <c:formatCode>0.00E+00</c:formatCode>
                <c:ptCount val="25"/>
                <c:pt idx="0">
                  <c:v>7.3163040823494247E-5</c:v>
                </c:pt>
                <c:pt idx="1">
                  <c:v>-7.4042748110533747E-5</c:v>
                </c:pt>
                <c:pt idx="2">
                  <c:v>-7.4662858731211747E-5</c:v>
                </c:pt>
                <c:pt idx="3">
                  <c:v>-7.191558862065602E-5</c:v>
                </c:pt>
                <c:pt idx="4">
                  <c:v>-7.6051660272734553E-5</c:v>
                </c:pt>
                <c:pt idx="5">
                  <c:v>-7.6690131081562935E-5</c:v>
                </c:pt>
                <c:pt idx="6">
                  <c:v>-7.3421194799122241E-5</c:v>
                </c:pt>
                <c:pt idx="7">
                  <c:v>-7.6872017115251862E-5</c:v>
                </c:pt>
                <c:pt idx="8">
                  <c:v>-7.703638662899378E-5</c:v>
                </c:pt>
                <c:pt idx="9">
                  <c:v>-7.380692142647309E-5</c:v>
                </c:pt>
                <c:pt idx="10">
                  <c:v>-7.722151656210529E-5</c:v>
                </c:pt>
                <c:pt idx="11">
                  <c:v>-7.7263951826616706E-5</c:v>
                </c:pt>
                <c:pt idx="12">
                  <c:v>-7.39953958357574E-5</c:v>
                </c:pt>
                <c:pt idx="13">
                  <c:v>-7.737143702887346E-5</c:v>
                </c:pt>
                <c:pt idx="14">
                  <c:v>-7.7413234861966368E-5</c:v>
                </c:pt>
                <c:pt idx="15">
                  <c:v>-7.4157428082929241E-5</c:v>
                </c:pt>
                <c:pt idx="16">
                  <c:v>-7.7553913227529589E-5</c:v>
                </c:pt>
                <c:pt idx="17">
                  <c:v>-7.7650971530665518E-5</c:v>
                </c:pt>
                <c:pt idx="18">
                  <c:v>-7.4490913346433911E-5</c:v>
                </c:pt>
                <c:pt idx="19">
                  <c:v>-7.786674876947454E-5</c:v>
                </c:pt>
                <c:pt idx="20">
                  <c:v>-7.7976607998324322E-5</c:v>
                </c:pt>
                <c:pt idx="21">
                  <c:v>-7.453864061930936E-5</c:v>
                </c:pt>
                <c:pt idx="22">
                  <c:v>-7.7872781766534526E-5</c:v>
                </c:pt>
                <c:pt idx="23">
                  <c:v>-7.7923954062891074E-5</c:v>
                </c:pt>
                <c:pt idx="24">
                  <c:v>-7.2154487618410928E-5</c:v>
                </c:pt>
              </c:numCache>
            </c:numRef>
          </c:val>
          <c:smooth val="0"/>
          <c:extLst>
            <c:ext xmlns:c16="http://schemas.microsoft.com/office/drawing/2014/chart" uri="{C3380CC4-5D6E-409C-BE32-E72D297353CC}">
              <c16:uniqueId val="{00000009-AB8B-40D6-A79F-99F0A2DD08B2}"/>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Ecosystem damage </a:t>
                </a:r>
              </a:p>
              <a:p>
                <a:pPr algn="ctr" rtl="0">
                  <a:defRPr/>
                </a:pPr>
                <a:r>
                  <a:rPr lang="nl-NL"/>
                  <a:t>[PDF*yr/ton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RD'!$AB$10</c:f>
              <c:strCache>
                <c:ptCount val="1"/>
                <c:pt idx="0">
                  <c:v>Construction - DAC</c:v>
                </c:pt>
              </c:strCache>
            </c:strRef>
          </c:tx>
          <c:spPr>
            <a:solidFill>
              <a:schemeClr val="accent4">
                <a:lumMod val="75000"/>
              </a:schemeClr>
            </a:solidFill>
            <a:ln>
              <a:noFill/>
            </a:ln>
            <a:effectLst/>
          </c:spPr>
          <c:invertIfNegative val="0"/>
          <c:cat>
            <c:numRef>
              <c:f>'Results ReCiPe (H) - RD'!$AC$9:$BA$9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RD'!$AC$10:$BA$10</c:f>
              <c:numCache>
                <c:formatCode>0.00E+00</c:formatCode>
                <c:ptCount val="25"/>
                <c:pt idx="0">
                  <c:v>2893.1840673783981</c:v>
                </c:pt>
              </c:numCache>
            </c:numRef>
          </c:val>
          <c:extLst>
            <c:ext xmlns:c16="http://schemas.microsoft.com/office/drawing/2014/chart" uri="{C3380CC4-5D6E-409C-BE32-E72D297353CC}">
              <c16:uniqueId val="{00000000-32CF-4A85-8E93-A25ECF6887C1}"/>
            </c:ext>
          </c:extLst>
        </c:ser>
        <c:ser>
          <c:idx val="1"/>
          <c:order val="1"/>
          <c:tx>
            <c:strRef>
              <c:f>'Results ReCiPe (H) - RD'!$AB$11</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(H) - RD'!$AC$9:$BA$9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RD'!$AC$11:$BA$11</c:f>
              <c:numCache>
                <c:formatCode>0.00E+00</c:formatCode>
                <c:ptCount val="25"/>
                <c:pt idx="0">
                  <c:v>269.67676540478124</c:v>
                </c:pt>
              </c:numCache>
            </c:numRef>
          </c:val>
          <c:extLst>
            <c:ext xmlns:c16="http://schemas.microsoft.com/office/drawing/2014/chart" uri="{C3380CC4-5D6E-409C-BE32-E72D297353CC}">
              <c16:uniqueId val="{00000001-32CF-4A85-8E93-A25ECF6887C1}"/>
            </c:ext>
          </c:extLst>
        </c:ser>
        <c:ser>
          <c:idx val="2"/>
          <c:order val="2"/>
          <c:tx>
            <c:strRef>
              <c:f>'Results ReCiPe (H) - RD'!$AB$12</c:f>
              <c:strCache>
                <c:ptCount val="1"/>
                <c:pt idx="0">
                  <c:v>Deconstruction - DAC</c:v>
                </c:pt>
              </c:strCache>
            </c:strRef>
          </c:tx>
          <c:spPr>
            <a:solidFill>
              <a:schemeClr val="accent2">
                <a:lumMod val="40000"/>
                <a:lumOff val="60000"/>
              </a:schemeClr>
            </a:solidFill>
            <a:ln>
              <a:noFill/>
            </a:ln>
            <a:effectLst/>
          </c:spPr>
          <c:invertIfNegative val="0"/>
          <c:cat>
            <c:numRef>
              <c:f>'Results ReCiPe (H) - RD'!$AC$9:$BA$9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RD'!$AC$12:$BA$12</c:f>
              <c:numCache>
                <c:formatCode>0.00E+00</c:formatCode>
                <c:ptCount val="25"/>
                <c:pt idx="24">
                  <c:v>45.635874346592793</c:v>
                </c:pt>
              </c:numCache>
            </c:numRef>
          </c:val>
          <c:extLst>
            <c:ext xmlns:c16="http://schemas.microsoft.com/office/drawing/2014/chart" uri="{C3380CC4-5D6E-409C-BE32-E72D297353CC}">
              <c16:uniqueId val="{00000002-32CF-4A85-8E93-A25ECF6887C1}"/>
            </c:ext>
          </c:extLst>
        </c:ser>
        <c:ser>
          <c:idx val="3"/>
          <c:order val="3"/>
          <c:tx>
            <c:strRef>
              <c:f>'Results ReCiPe (H) - RD'!$AB$13</c:f>
              <c:strCache>
                <c:ptCount val="1"/>
                <c:pt idx="0">
                  <c:v>Deconstruction - geological storage</c:v>
                </c:pt>
              </c:strCache>
            </c:strRef>
          </c:tx>
          <c:spPr>
            <a:solidFill>
              <a:srgbClr val="FF9900"/>
            </a:solidFill>
            <a:ln>
              <a:noFill/>
            </a:ln>
            <a:effectLst/>
          </c:spPr>
          <c:invertIfNegative val="0"/>
          <c:cat>
            <c:numRef>
              <c:f>'Results ReCiPe (H) - RD'!$AC$9:$BA$9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RD'!$AC$13:$BA$13</c:f>
              <c:numCache>
                <c:formatCode>0.00E+00</c:formatCode>
                <c:ptCount val="25"/>
                <c:pt idx="24">
                  <c:v>5.3706297748739608E-4</c:v>
                </c:pt>
              </c:numCache>
            </c:numRef>
          </c:val>
          <c:extLst>
            <c:ext xmlns:c16="http://schemas.microsoft.com/office/drawing/2014/chart" uri="{C3380CC4-5D6E-409C-BE32-E72D297353CC}">
              <c16:uniqueId val="{00000003-32CF-4A85-8E93-A25ECF6887C1}"/>
            </c:ext>
          </c:extLst>
        </c:ser>
        <c:ser>
          <c:idx val="4"/>
          <c:order val="4"/>
          <c:tx>
            <c:strRef>
              <c:f>'Results ReCiPe (H) - RD'!$AB$14</c:f>
              <c:strCache>
                <c:ptCount val="1"/>
                <c:pt idx="0">
                  <c:v>Sorbent material</c:v>
                </c:pt>
              </c:strCache>
            </c:strRef>
          </c:tx>
          <c:spPr>
            <a:solidFill>
              <a:srgbClr val="FF8F8F"/>
            </a:solidFill>
            <a:ln>
              <a:noFill/>
            </a:ln>
            <a:effectLst/>
          </c:spPr>
          <c:invertIfNegative val="0"/>
          <c:cat>
            <c:numRef>
              <c:f>'Results ReCiPe (H) - RD'!$AC$9:$BA$9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RD'!$AC$14:$BA$14</c:f>
              <c:numCache>
                <c:formatCode>0.00E+00</c:formatCode>
                <c:ptCount val="25"/>
                <c:pt idx="0">
                  <c:v>118.1930543229993</c:v>
                </c:pt>
                <c:pt idx="3">
                  <c:v>117.3708968791351</c:v>
                </c:pt>
                <c:pt idx="6">
                  <c:v>117.2479070799383</c:v>
                </c:pt>
                <c:pt idx="9">
                  <c:v>116.65080958776529</c:v>
                </c:pt>
                <c:pt idx="12">
                  <c:v>116.5694194979278</c:v>
                </c:pt>
                <c:pt idx="15">
                  <c:v>116.3562974875733</c:v>
                </c:pt>
                <c:pt idx="18">
                  <c:v>116.0610845903859</c:v>
                </c:pt>
                <c:pt idx="21">
                  <c:v>115.9379738654637</c:v>
                </c:pt>
                <c:pt idx="24">
                  <c:v>115.8757111011497</c:v>
                </c:pt>
              </c:numCache>
            </c:numRef>
          </c:val>
          <c:extLst>
            <c:ext xmlns:c16="http://schemas.microsoft.com/office/drawing/2014/chart" uri="{C3380CC4-5D6E-409C-BE32-E72D297353CC}">
              <c16:uniqueId val="{00000004-32CF-4A85-8E93-A25ECF6887C1}"/>
            </c:ext>
          </c:extLst>
        </c:ser>
        <c:ser>
          <c:idx val="5"/>
          <c:order val="5"/>
          <c:tx>
            <c:strRef>
              <c:f>'Results ReCiPe (H) - RD'!$AB$15</c:f>
              <c:strCache>
                <c:ptCount val="1"/>
                <c:pt idx="0">
                  <c:v>Operation - DAC</c:v>
                </c:pt>
              </c:strCache>
            </c:strRef>
          </c:tx>
          <c:spPr>
            <a:solidFill>
              <a:schemeClr val="accent2">
                <a:lumMod val="75000"/>
              </a:schemeClr>
            </a:solidFill>
            <a:ln>
              <a:noFill/>
            </a:ln>
            <a:effectLst/>
          </c:spPr>
          <c:invertIfNegative val="0"/>
          <c:cat>
            <c:numRef>
              <c:f>'Results ReCiPe (H) - RD'!$AC$9:$BA$9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RD'!$AC$15:$BA$15</c:f>
              <c:numCache>
                <c:formatCode>0.00E+00</c:formatCode>
                <c:ptCount val="25"/>
                <c:pt idx="0">
                  <c:v>2322.1156028821961</c:v>
                </c:pt>
                <c:pt idx="1">
                  <c:v>2332.8507557548551</c:v>
                </c:pt>
                <c:pt idx="2">
                  <c:v>2343.6747205671109</c:v>
                </c:pt>
                <c:pt idx="3">
                  <c:v>2350.4325473014642</c:v>
                </c:pt>
                <c:pt idx="4">
                  <c:v>2361.4920858946348</c:v>
                </c:pt>
                <c:pt idx="5">
                  <c:v>2372.6374563349809</c:v>
                </c:pt>
                <c:pt idx="6">
                  <c:v>2414.344422470358</c:v>
                </c:pt>
                <c:pt idx="7">
                  <c:v>2455.9963773549689</c:v>
                </c:pt>
                <c:pt idx="8">
                  <c:v>2494.5087850326322</c:v>
                </c:pt>
                <c:pt idx="9">
                  <c:v>2536.1990872373349</c:v>
                </c:pt>
                <c:pt idx="10">
                  <c:v>2577.858450231492</c:v>
                </c:pt>
                <c:pt idx="11">
                  <c:v>2582.8506304151101</c:v>
                </c:pt>
                <c:pt idx="12">
                  <c:v>2587.7225433079388</c:v>
                </c:pt>
                <c:pt idx="13">
                  <c:v>2591.7642004254149</c:v>
                </c:pt>
                <c:pt idx="14">
                  <c:v>2596.3863005575281</c:v>
                </c:pt>
                <c:pt idx="15">
                  <c:v>2600.8698419603979</c:v>
                </c:pt>
                <c:pt idx="16">
                  <c:v>2696.0408363239512</c:v>
                </c:pt>
                <c:pt idx="17">
                  <c:v>2791.256276568382</c:v>
                </c:pt>
                <c:pt idx="18">
                  <c:v>2885.9126654099659</c:v>
                </c:pt>
                <c:pt idx="19">
                  <c:v>2981.278530338298</c:v>
                </c:pt>
                <c:pt idx="20">
                  <c:v>3076.7277878244122</c:v>
                </c:pt>
                <c:pt idx="21">
                  <c:v>3096.471757898084</c:v>
                </c:pt>
                <c:pt idx="22">
                  <c:v>3116.3989502358882</c:v>
                </c:pt>
                <c:pt idx="23">
                  <c:v>3136.458086324692</c:v>
                </c:pt>
                <c:pt idx="24">
                  <c:v>3156.6485629656809</c:v>
                </c:pt>
              </c:numCache>
            </c:numRef>
          </c:val>
          <c:extLst>
            <c:ext xmlns:c16="http://schemas.microsoft.com/office/drawing/2014/chart" uri="{C3380CC4-5D6E-409C-BE32-E72D297353CC}">
              <c16:uniqueId val="{00000005-32CF-4A85-8E93-A25ECF6887C1}"/>
            </c:ext>
          </c:extLst>
        </c:ser>
        <c:ser>
          <c:idx val="6"/>
          <c:order val="6"/>
          <c:tx>
            <c:strRef>
              <c:f>'Results ReCiPe (H) - RD'!$AB$16</c:f>
              <c:strCache>
                <c:ptCount val="1"/>
                <c:pt idx="0">
                  <c:v>Operation - geological storage</c:v>
                </c:pt>
              </c:strCache>
            </c:strRef>
          </c:tx>
          <c:spPr>
            <a:solidFill>
              <a:schemeClr val="accent2">
                <a:lumMod val="50000"/>
              </a:schemeClr>
            </a:solidFill>
            <a:ln>
              <a:noFill/>
            </a:ln>
            <a:effectLst/>
          </c:spPr>
          <c:invertIfNegative val="0"/>
          <c:cat>
            <c:numRef>
              <c:f>'Results ReCiPe (H) - RD'!$AC$9:$BA$9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RD'!$AC$16:$BA$16</c:f>
              <c:numCache>
                <c:formatCode>0.00E+00</c:formatCode>
                <c:ptCount val="25"/>
                <c:pt idx="0">
                  <c:v>185.90075000036092</c:v>
                </c:pt>
                <c:pt idx="1">
                  <c:v>186.44341735269589</c:v>
                </c:pt>
                <c:pt idx="2">
                  <c:v>186.9896757298913</c:v>
                </c:pt>
                <c:pt idx="3">
                  <c:v>187.16380062399421</c:v>
                </c:pt>
                <c:pt idx="4">
                  <c:v>187.72187690121831</c:v>
                </c:pt>
                <c:pt idx="5">
                  <c:v>188.28311646103978</c:v>
                </c:pt>
                <c:pt idx="6">
                  <c:v>191.1994067536547</c:v>
                </c:pt>
                <c:pt idx="7">
                  <c:v>194.1025024434831</c:v>
                </c:pt>
                <c:pt idx="8">
                  <c:v>196.7156053866911</c:v>
                </c:pt>
                <c:pt idx="9">
                  <c:v>199.60405009769181</c:v>
                </c:pt>
                <c:pt idx="10">
                  <c:v>202.48112027895232</c:v>
                </c:pt>
                <c:pt idx="11">
                  <c:v>202.65472948507261</c:v>
                </c:pt>
                <c:pt idx="12">
                  <c:v>202.8184607768753</c:v>
                </c:pt>
                <c:pt idx="13">
                  <c:v>202.90630237366008</c:v>
                </c:pt>
                <c:pt idx="14">
                  <c:v>203.04981229974581</c:v>
                </c:pt>
                <c:pt idx="15">
                  <c:v>203.1821735744829</c:v>
                </c:pt>
                <c:pt idx="16">
                  <c:v>210.11444656444689</c:v>
                </c:pt>
                <c:pt idx="17">
                  <c:v>217.03630147466822</c:v>
                </c:pt>
                <c:pt idx="18">
                  <c:v>223.89040087752917</c:v>
                </c:pt>
                <c:pt idx="19">
                  <c:v>230.79612969701321</c:v>
                </c:pt>
                <c:pt idx="20">
                  <c:v>237.69429769501582</c:v>
                </c:pt>
                <c:pt idx="21">
                  <c:v>238.73233230194808</c:v>
                </c:pt>
                <c:pt idx="22">
                  <c:v>239.78248583214003</c:v>
                </c:pt>
                <c:pt idx="23">
                  <c:v>240.83638711718072</c:v>
                </c:pt>
                <c:pt idx="24">
                  <c:v>241.89383285728749</c:v>
                </c:pt>
              </c:numCache>
            </c:numRef>
          </c:val>
          <c:extLst>
            <c:ext xmlns:c16="http://schemas.microsoft.com/office/drawing/2014/chart" uri="{C3380CC4-5D6E-409C-BE32-E72D297353CC}">
              <c16:uniqueId val="{00000006-32CF-4A85-8E93-A25ECF6887C1}"/>
            </c:ext>
          </c:extLst>
        </c:ser>
        <c:ser>
          <c:idx val="7"/>
          <c:order val="7"/>
          <c:tx>
            <c:strRef>
              <c:f>'Results ReCiPe (H) - RD'!$AB$17</c:f>
              <c:strCache>
                <c:ptCount val="1"/>
                <c:pt idx="0">
                  <c:v>CO2 captured and stored</c:v>
                </c:pt>
              </c:strCache>
            </c:strRef>
          </c:tx>
          <c:spPr>
            <a:solidFill>
              <a:schemeClr val="tx2">
                <a:lumMod val="20000"/>
                <a:lumOff val="80000"/>
              </a:schemeClr>
            </a:solidFill>
            <a:ln>
              <a:noFill/>
            </a:ln>
            <a:effectLst/>
          </c:spPr>
          <c:invertIfNegative val="0"/>
          <c:cat>
            <c:numRef>
              <c:f>'Results ReCiPe (H) - RD'!$AC$9:$BA$9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RD'!$AC$17:$BA$17</c:f>
              <c:numCache>
                <c:formatCode>0.00E+00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7-32CF-4A85-8E93-A25ECF6887C1}"/>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RD'!$AB$18</c:f>
              <c:strCache>
                <c:ptCount val="1"/>
                <c:pt idx="0">
                  <c:v>TOTAL per year</c:v>
                </c:pt>
              </c:strCache>
            </c:strRef>
          </c:tx>
          <c:spPr>
            <a:ln w="25400" cap="rnd">
              <a:noFill/>
              <a:round/>
            </a:ln>
            <a:effectLst/>
          </c:spPr>
          <c:marker>
            <c:symbol val="circle"/>
            <c:size val="5"/>
            <c:spPr>
              <a:solidFill>
                <a:schemeClr val="tx1"/>
              </a:solidFill>
              <a:ln w="9525">
                <a:solidFill>
                  <a:schemeClr val="tx1"/>
                </a:solidFill>
              </a:ln>
              <a:effectLst/>
            </c:spPr>
          </c:marker>
          <c:cat>
            <c:numRef>
              <c:f>'Results ReCiPe (H) - RD'!$AC$9:$BA$9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RD'!$AC$18:$BA$18</c:f>
              <c:numCache>
                <c:formatCode>0.00E+00</c:formatCode>
                <c:ptCount val="25"/>
                <c:pt idx="0">
                  <c:v>5789.0702399887359</c:v>
                </c:pt>
                <c:pt idx="1">
                  <c:v>2519.2941731075512</c:v>
                </c:pt>
                <c:pt idx="2">
                  <c:v>2530.664396297002</c:v>
                </c:pt>
                <c:pt idx="3">
                  <c:v>2654.9672448045935</c:v>
                </c:pt>
                <c:pt idx="4">
                  <c:v>2549.2139627958531</c:v>
                </c:pt>
                <c:pt idx="5">
                  <c:v>2560.9205727960207</c:v>
                </c:pt>
                <c:pt idx="6">
                  <c:v>2722.791736303951</c:v>
                </c:pt>
                <c:pt idx="7">
                  <c:v>2650.0988797984519</c:v>
                </c:pt>
                <c:pt idx="8">
                  <c:v>2691.2243904193233</c:v>
                </c:pt>
                <c:pt idx="9">
                  <c:v>2852.4539469227921</c:v>
                </c:pt>
                <c:pt idx="10">
                  <c:v>2780.3395705104444</c:v>
                </c:pt>
                <c:pt idx="11">
                  <c:v>2785.5053599001826</c:v>
                </c:pt>
                <c:pt idx="12">
                  <c:v>2907.110423582742</c:v>
                </c:pt>
                <c:pt idx="13">
                  <c:v>2794.6705027990747</c:v>
                </c:pt>
                <c:pt idx="14">
                  <c:v>2799.4361128572741</c:v>
                </c:pt>
                <c:pt idx="15">
                  <c:v>2920.408313022454</c:v>
                </c:pt>
                <c:pt idx="16">
                  <c:v>2906.1552828883982</c:v>
                </c:pt>
                <c:pt idx="17">
                  <c:v>3008.2925780430501</c:v>
                </c:pt>
                <c:pt idx="18">
                  <c:v>3225.864150877881</c:v>
                </c:pt>
                <c:pt idx="19">
                  <c:v>3212.0746600353114</c:v>
                </c:pt>
                <c:pt idx="20">
                  <c:v>3314.422085519428</c:v>
                </c:pt>
                <c:pt idx="21">
                  <c:v>3451.142064065496</c:v>
                </c:pt>
                <c:pt idx="22">
                  <c:v>3356.1814360680282</c:v>
                </c:pt>
                <c:pt idx="23">
                  <c:v>3377.2944734418725</c:v>
                </c:pt>
                <c:pt idx="24">
                  <c:v>3560.0545183336885</c:v>
                </c:pt>
              </c:numCache>
            </c:numRef>
          </c:val>
          <c:smooth val="0"/>
          <c:extLst>
            <c:ext xmlns:c16="http://schemas.microsoft.com/office/drawing/2014/chart" uri="{C3380CC4-5D6E-409C-BE32-E72D297353CC}">
              <c16:uniqueId val="{00000008-32CF-4A85-8E93-A25ECF6887C1}"/>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Resource damage</a:t>
                </a:r>
              </a:p>
              <a:p>
                <a:pPr algn="ctr" rtl="0">
                  <a:defRPr/>
                </a:pPr>
                <a:r>
                  <a:rPr lang="nl-NL"/>
                  <a:t>[USD2013/ton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RD'!$AB$50</c:f>
              <c:strCache>
                <c:ptCount val="1"/>
                <c:pt idx="0">
                  <c:v>Construction - DAC</c:v>
                </c:pt>
              </c:strCache>
            </c:strRef>
          </c:tx>
          <c:spPr>
            <a:solidFill>
              <a:schemeClr val="accent4">
                <a:lumMod val="75000"/>
              </a:schemeClr>
            </a:solidFill>
            <a:ln>
              <a:noFill/>
            </a:ln>
            <a:effectLst/>
          </c:spPr>
          <c:invertIfNegative val="0"/>
          <c:cat>
            <c:numRef>
              <c:f>'Results ReCiPe (H) - RD'!$AC$49:$BA$49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RD'!$AC$50:$BA$50</c:f>
              <c:numCache>
                <c:formatCode>0.00E+00</c:formatCode>
                <c:ptCount val="25"/>
                <c:pt idx="0">
                  <c:v>2837.5515154411646</c:v>
                </c:pt>
              </c:numCache>
            </c:numRef>
          </c:val>
          <c:extLst>
            <c:ext xmlns:c16="http://schemas.microsoft.com/office/drawing/2014/chart" uri="{C3380CC4-5D6E-409C-BE32-E72D297353CC}">
              <c16:uniqueId val="{00000000-F25B-4773-ACB1-BC841CA0776B}"/>
            </c:ext>
          </c:extLst>
        </c:ser>
        <c:ser>
          <c:idx val="1"/>
          <c:order val="1"/>
          <c:tx>
            <c:strRef>
              <c:f>'Results ReCiPe (H) - RD'!$AB$51</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(H) - RD'!$AC$49:$BA$49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RD'!$AC$51:$BA$51</c:f>
              <c:numCache>
                <c:formatCode>0.00E+00</c:formatCode>
                <c:ptCount val="25"/>
                <c:pt idx="0">
                  <c:v>266.94496473340826</c:v>
                </c:pt>
              </c:numCache>
            </c:numRef>
          </c:val>
          <c:extLst>
            <c:ext xmlns:c16="http://schemas.microsoft.com/office/drawing/2014/chart" uri="{C3380CC4-5D6E-409C-BE32-E72D297353CC}">
              <c16:uniqueId val="{00000001-F25B-4773-ACB1-BC841CA0776B}"/>
            </c:ext>
          </c:extLst>
        </c:ser>
        <c:ser>
          <c:idx val="2"/>
          <c:order val="2"/>
          <c:tx>
            <c:strRef>
              <c:f>'Results ReCiPe (H) - RD'!$AB$52</c:f>
              <c:strCache>
                <c:ptCount val="1"/>
                <c:pt idx="0">
                  <c:v>Deconstruction - DAC</c:v>
                </c:pt>
              </c:strCache>
            </c:strRef>
          </c:tx>
          <c:spPr>
            <a:solidFill>
              <a:schemeClr val="accent2">
                <a:lumMod val="40000"/>
                <a:lumOff val="60000"/>
              </a:schemeClr>
            </a:solidFill>
            <a:ln>
              <a:noFill/>
            </a:ln>
            <a:effectLst/>
          </c:spPr>
          <c:invertIfNegative val="0"/>
          <c:cat>
            <c:numRef>
              <c:f>'Results ReCiPe (H) - RD'!$AC$49:$BA$49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RD'!$AC$52:$BA$52</c:f>
              <c:numCache>
                <c:formatCode>0.00E+00</c:formatCode>
                <c:ptCount val="25"/>
                <c:pt idx="24">
                  <c:v>41.794125692809452</c:v>
                </c:pt>
              </c:numCache>
            </c:numRef>
          </c:val>
          <c:extLst>
            <c:ext xmlns:c16="http://schemas.microsoft.com/office/drawing/2014/chart" uri="{C3380CC4-5D6E-409C-BE32-E72D297353CC}">
              <c16:uniqueId val="{00000002-F25B-4773-ACB1-BC841CA0776B}"/>
            </c:ext>
          </c:extLst>
        </c:ser>
        <c:ser>
          <c:idx val="3"/>
          <c:order val="3"/>
          <c:tx>
            <c:strRef>
              <c:f>'Results ReCiPe (H) - RD'!$AB$53</c:f>
              <c:strCache>
                <c:ptCount val="1"/>
                <c:pt idx="0">
                  <c:v>Deconstruction - geological storage</c:v>
                </c:pt>
              </c:strCache>
            </c:strRef>
          </c:tx>
          <c:spPr>
            <a:solidFill>
              <a:srgbClr val="FF9900"/>
            </a:solidFill>
            <a:ln>
              <a:noFill/>
            </a:ln>
            <a:effectLst/>
          </c:spPr>
          <c:invertIfNegative val="0"/>
          <c:cat>
            <c:numRef>
              <c:f>'Results ReCiPe (H) - RD'!$AC$49:$BA$49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RD'!$AC$53:$BA$53</c:f>
              <c:numCache>
                <c:formatCode>0.00E+00</c:formatCode>
                <c:ptCount val="25"/>
                <c:pt idx="24">
                  <c:v>1.2962860497828945</c:v>
                </c:pt>
              </c:numCache>
            </c:numRef>
          </c:val>
          <c:extLst>
            <c:ext xmlns:c16="http://schemas.microsoft.com/office/drawing/2014/chart" uri="{C3380CC4-5D6E-409C-BE32-E72D297353CC}">
              <c16:uniqueId val="{00000003-F25B-4773-ACB1-BC841CA0776B}"/>
            </c:ext>
          </c:extLst>
        </c:ser>
        <c:ser>
          <c:idx val="4"/>
          <c:order val="4"/>
          <c:tx>
            <c:strRef>
              <c:f>'Results ReCiPe (H) - RD'!$AB$54</c:f>
              <c:strCache>
                <c:ptCount val="1"/>
                <c:pt idx="0">
                  <c:v>Sorbent material</c:v>
                </c:pt>
              </c:strCache>
            </c:strRef>
          </c:tx>
          <c:spPr>
            <a:solidFill>
              <a:srgbClr val="FF8F8F"/>
            </a:solidFill>
            <a:ln>
              <a:noFill/>
            </a:ln>
            <a:effectLst/>
          </c:spPr>
          <c:invertIfNegative val="0"/>
          <c:cat>
            <c:numRef>
              <c:f>'Results ReCiPe (H) - RD'!$AC$49:$BA$49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RD'!$AC$54:$BA$54</c:f>
              <c:numCache>
                <c:formatCode>0.00E+00</c:formatCode>
                <c:ptCount val="25"/>
                <c:pt idx="0">
                  <c:v>117.4164153447413</c:v>
                </c:pt>
                <c:pt idx="3">
                  <c:v>116.14482404943</c:v>
                </c:pt>
                <c:pt idx="6">
                  <c:v>115.85431461269189</c:v>
                </c:pt>
                <c:pt idx="9">
                  <c:v>115.7060268138878</c:v>
                </c:pt>
                <c:pt idx="12">
                  <c:v>115.22430296168601</c:v>
                </c:pt>
                <c:pt idx="15">
                  <c:v>114.21787004973891</c:v>
                </c:pt>
                <c:pt idx="18">
                  <c:v>113.3881732416237</c:v>
                </c:pt>
                <c:pt idx="21">
                  <c:v>112.8508899058024</c:v>
                </c:pt>
                <c:pt idx="24">
                  <c:v>112.6235531268987</c:v>
                </c:pt>
              </c:numCache>
            </c:numRef>
          </c:val>
          <c:extLst>
            <c:ext xmlns:c16="http://schemas.microsoft.com/office/drawing/2014/chart" uri="{C3380CC4-5D6E-409C-BE32-E72D297353CC}">
              <c16:uniqueId val="{00000004-F25B-4773-ACB1-BC841CA0776B}"/>
            </c:ext>
          </c:extLst>
        </c:ser>
        <c:ser>
          <c:idx val="5"/>
          <c:order val="5"/>
          <c:tx>
            <c:strRef>
              <c:f>'Results ReCiPe (H) - RD'!$AB$55</c:f>
              <c:strCache>
                <c:ptCount val="1"/>
                <c:pt idx="0">
                  <c:v>Operation - DAC</c:v>
                </c:pt>
              </c:strCache>
            </c:strRef>
          </c:tx>
          <c:spPr>
            <a:solidFill>
              <a:schemeClr val="accent2">
                <a:lumMod val="75000"/>
              </a:schemeClr>
            </a:solidFill>
            <a:ln>
              <a:noFill/>
            </a:ln>
            <a:effectLst/>
          </c:spPr>
          <c:invertIfNegative val="0"/>
          <c:cat>
            <c:numRef>
              <c:f>'Results ReCiPe (H) - RD'!$AC$49:$BA$49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RD'!$AC$55:$BA$55</c:f>
              <c:numCache>
                <c:formatCode>0.00E+00</c:formatCode>
                <c:ptCount val="25"/>
                <c:pt idx="0">
                  <c:v>2397.063593199709</c:v>
                </c:pt>
                <c:pt idx="1">
                  <c:v>2379.6134774011311</c:v>
                </c:pt>
                <c:pt idx="2">
                  <c:v>2362.188629716703</c:v>
                </c:pt>
                <c:pt idx="3">
                  <c:v>2340.3044915874762</c:v>
                </c:pt>
                <c:pt idx="4">
                  <c:v>2322.9440845460231</c:v>
                </c:pt>
                <c:pt idx="5">
                  <c:v>2305.605553690335</c:v>
                </c:pt>
                <c:pt idx="6">
                  <c:v>2300.808644434393</c:v>
                </c:pt>
                <c:pt idx="7">
                  <c:v>2295.8854356329139</c:v>
                </c:pt>
                <c:pt idx="8">
                  <c:v>2286.8703410958919</c:v>
                </c:pt>
                <c:pt idx="9">
                  <c:v>2281.515543203242</c:v>
                </c:pt>
                <c:pt idx="10">
                  <c:v>2275.968512933965</c:v>
                </c:pt>
                <c:pt idx="11">
                  <c:v>2261.0406552066361</c:v>
                </c:pt>
                <c:pt idx="12">
                  <c:v>2245.842790154612</c:v>
                </c:pt>
                <c:pt idx="13">
                  <c:v>2229.4525728716731</c:v>
                </c:pt>
                <c:pt idx="14">
                  <c:v>2213.7291686234798</c:v>
                </c:pt>
                <c:pt idx="15">
                  <c:v>2197.7407664790348</c:v>
                </c:pt>
                <c:pt idx="16">
                  <c:v>2211.2953173476822</c:v>
                </c:pt>
                <c:pt idx="17">
                  <c:v>2224.5851349859472</c:v>
                </c:pt>
                <c:pt idx="18">
                  <c:v>2236.7044559808719</c:v>
                </c:pt>
                <c:pt idx="19">
                  <c:v>2249.4766981934999</c:v>
                </c:pt>
                <c:pt idx="20">
                  <c:v>2261.9944338859809</c:v>
                </c:pt>
                <c:pt idx="21">
                  <c:v>2240.5891057678832</c:v>
                </c:pt>
                <c:pt idx="22">
                  <c:v>2219.186363062181</c:v>
                </c:pt>
                <c:pt idx="23">
                  <c:v>2197.694707669616</c:v>
                </c:pt>
                <c:pt idx="24">
                  <c:v>2176.1108391783118</c:v>
                </c:pt>
              </c:numCache>
            </c:numRef>
          </c:val>
          <c:extLst>
            <c:ext xmlns:c16="http://schemas.microsoft.com/office/drawing/2014/chart" uri="{C3380CC4-5D6E-409C-BE32-E72D297353CC}">
              <c16:uniqueId val="{00000005-F25B-4773-ACB1-BC841CA0776B}"/>
            </c:ext>
          </c:extLst>
        </c:ser>
        <c:ser>
          <c:idx val="6"/>
          <c:order val="6"/>
          <c:tx>
            <c:strRef>
              <c:f>'Results ReCiPe (H) - RD'!$AB$56</c:f>
              <c:strCache>
                <c:ptCount val="1"/>
                <c:pt idx="0">
                  <c:v>Operation - geological storage</c:v>
                </c:pt>
              </c:strCache>
            </c:strRef>
          </c:tx>
          <c:spPr>
            <a:solidFill>
              <a:schemeClr val="accent2">
                <a:lumMod val="50000"/>
              </a:schemeClr>
            </a:solidFill>
            <a:ln>
              <a:noFill/>
            </a:ln>
            <a:effectLst/>
          </c:spPr>
          <c:invertIfNegative val="0"/>
          <c:cat>
            <c:numRef>
              <c:f>'Results ReCiPe (H) - RD'!$AC$49:$BA$49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RD'!$AC$56:$BA$56</c:f>
              <c:numCache>
                <c:formatCode>0.00E+00</c:formatCode>
                <c:ptCount val="25"/>
                <c:pt idx="0">
                  <c:v>190.80831926169219</c:v>
                </c:pt>
                <c:pt idx="1">
                  <c:v>189.05559074903729</c:v>
                </c:pt>
                <c:pt idx="2">
                  <c:v>187.3092236952279</c:v>
                </c:pt>
                <c:pt idx="3">
                  <c:v>185.16993614052569</c:v>
                </c:pt>
                <c:pt idx="4">
                  <c:v>183.4380456107173</c:v>
                </c:pt>
                <c:pt idx="5">
                  <c:v>181.71214162802769</c:v>
                </c:pt>
                <c:pt idx="6">
                  <c:v>181.17559912768741</c:v>
                </c:pt>
                <c:pt idx="7">
                  <c:v>180.63019576564861</c:v>
                </c:pt>
                <c:pt idx="8">
                  <c:v>179.73481702796158</c:v>
                </c:pt>
                <c:pt idx="9">
                  <c:v>179.1588306038729</c:v>
                </c:pt>
                <c:pt idx="10">
                  <c:v>178.56890291118251</c:v>
                </c:pt>
                <c:pt idx="11">
                  <c:v>177.4089420359019</c:v>
                </c:pt>
                <c:pt idx="12">
                  <c:v>176.22960903326171</c:v>
                </c:pt>
                <c:pt idx="13">
                  <c:v>174.9496902502498</c:v>
                </c:pt>
                <c:pt idx="14">
                  <c:v>173.73281654623028</c:v>
                </c:pt>
                <c:pt idx="15">
                  <c:v>172.4968265332175</c:v>
                </c:pt>
                <c:pt idx="16">
                  <c:v>173.75058357926031</c:v>
                </c:pt>
                <c:pt idx="17">
                  <c:v>174.99066308481841</c:v>
                </c:pt>
                <c:pt idx="18">
                  <c:v>176.13761272032221</c:v>
                </c:pt>
                <c:pt idx="19">
                  <c:v>177.3507746092007</c:v>
                </c:pt>
                <c:pt idx="20">
                  <c:v>178.55047238069631</c:v>
                </c:pt>
                <c:pt idx="21">
                  <c:v>176.68801572539721</c:v>
                </c:pt>
                <c:pt idx="22">
                  <c:v>174.8344594576121</c:v>
                </c:pt>
                <c:pt idx="23">
                  <c:v>172.97929612138142</c:v>
                </c:pt>
                <c:pt idx="24">
                  <c:v>171.1222224813973</c:v>
                </c:pt>
              </c:numCache>
            </c:numRef>
          </c:val>
          <c:extLst>
            <c:ext xmlns:c16="http://schemas.microsoft.com/office/drawing/2014/chart" uri="{C3380CC4-5D6E-409C-BE32-E72D297353CC}">
              <c16:uniqueId val="{00000006-F25B-4773-ACB1-BC841CA0776B}"/>
            </c:ext>
          </c:extLst>
        </c:ser>
        <c:ser>
          <c:idx val="7"/>
          <c:order val="7"/>
          <c:tx>
            <c:strRef>
              <c:f>'Results ReCiPe (H) - RD'!$AB$57</c:f>
              <c:strCache>
                <c:ptCount val="1"/>
                <c:pt idx="0">
                  <c:v>CO2 captured and stored</c:v>
                </c:pt>
              </c:strCache>
            </c:strRef>
          </c:tx>
          <c:spPr>
            <a:solidFill>
              <a:schemeClr val="tx2">
                <a:lumMod val="20000"/>
                <a:lumOff val="80000"/>
              </a:schemeClr>
            </a:solidFill>
            <a:ln>
              <a:noFill/>
            </a:ln>
            <a:effectLst/>
          </c:spPr>
          <c:invertIfNegative val="0"/>
          <c:cat>
            <c:numRef>
              <c:f>'Results ReCiPe (H) - RD'!$AC$49:$BA$49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RD'!$AC$57:$BA$57</c:f>
              <c:numCache>
                <c:formatCode>0.00E+00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7-F25B-4773-ACB1-BC841CA0776B}"/>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RD'!$AB$58</c:f>
              <c:strCache>
                <c:ptCount val="1"/>
                <c:pt idx="0">
                  <c:v>TOTAL per year</c:v>
                </c:pt>
              </c:strCache>
            </c:strRef>
          </c:tx>
          <c:spPr>
            <a:ln w="25400" cap="rnd">
              <a:noFill/>
              <a:round/>
            </a:ln>
            <a:effectLst/>
          </c:spPr>
          <c:marker>
            <c:symbol val="circle"/>
            <c:size val="5"/>
            <c:spPr>
              <a:solidFill>
                <a:schemeClr val="tx1"/>
              </a:solidFill>
              <a:ln w="9525">
                <a:solidFill>
                  <a:schemeClr val="tx1"/>
                </a:solidFill>
              </a:ln>
              <a:effectLst/>
            </c:spPr>
          </c:marker>
          <c:cat>
            <c:numRef>
              <c:f>'Results ReCiPe (H) - RD'!$AC$49:$BA$49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RD'!$AC$58:$BA$58</c:f>
              <c:numCache>
                <c:formatCode>0.00E+00</c:formatCode>
                <c:ptCount val="25"/>
                <c:pt idx="0">
                  <c:v>5809.7848079807154</c:v>
                </c:pt>
                <c:pt idx="1">
                  <c:v>2568.6690681501686</c:v>
                </c:pt>
                <c:pt idx="2">
                  <c:v>2549.4978534119309</c:v>
                </c:pt>
                <c:pt idx="3">
                  <c:v>2641.6192517774321</c:v>
                </c:pt>
                <c:pt idx="4">
                  <c:v>2506.3821301567405</c:v>
                </c:pt>
                <c:pt idx="5">
                  <c:v>2487.3176953183629</c:v>
                </c:pt>
                <c:pt idx="6">
                  <c:v>2597.8385581747721</c:v>
                </c:pt>
                <c:pt idx="7">
                  <c:v>2476.5156313985626</c:v>
                </c:pt>
                <c:pt idx="8">
                  <c:v>2466.6051581238535</c:v>
                </c:pt>
                <c:pt idx="9">
                  <c:v>2576.380400621003</c:v>
                </c:pt>
                <c:pt idx="10">
                  <c:v>2454.5374158451477</c:v>
                </c:pt>
                <c:pt idx="11">
                  <c:v>2438.4495972425379</c:v>
                </c:pt>
                <c:pt idx="12">
                  <c:v>2537.2967021495597</c:v>
                </c:pt>
                <c:pt idx="13">
                  <c:v>2404.4022631219227</c:v>
                </c:pt>
                <c:pt idx="14">
                  <c:v>2387.4619851697103</c:v>
                </c:pt>
                <c:pt idx="15">
                  <c:v>2484.4554630619914</c:v>
                </c:pt>
                <c:pt idx="16">
                  <c:v>2385.0459009269425</c:v>
                </c:pt>
                <c:pt idx="17">
                  <c:v>2399.5757980707658</c:v>
                </c:pt>
                <c:pt idx="18">
                  <c:v>2526.2302419428179</c:v>
                </c:pt>
                <c:pt idx="19">
                  <c:v>2426.8274728027009</c:v>
                </c:pt>
                <c:pt idx="20">
                  <c:v>2440.5449062666771</c:v>
                </c:pt>
                <c:pt idx="21">
                  <c:v>2530.1280113990829</c:v>
                </c:pt>
                <c:pt idx="22">
                  <c:v>2394.020822519793</c:v>
                </c:pt>
                <c:pt idx="23">
                  <c:v>2370.6740037909976</c:v>
                </c:pt>
                <c:pt idx="24">
                  <c:v>2502.9470265292002</c:v>
                </c:pt>
              </c:numCache>
            </c:numRef>
          </c:val>
          <c:smooth val="0"/>
          <c:extLst>
            <c:ext xmlns:c16="http://schemas.microsoft.com/office/drawing/2014/chart" uri="{C3380CC4-5D6E-409C-BE32-E72D297353CC}">
              <c16:uniqueId val="{00000008-F25B-4773-ACB1-BC841CA0776B}"/>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Resource damage</a:t>
                </a:r>
              </a:p>
              <a:p>
                <a:pPr algn="ctr" rtl="0">
                  <a:defRPr/>
                </a:pPr>
                <a:r>
                  <a:rPr lang="nl-NL"/>
                  <a:t>[USD2013/ton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RD'!$AB$90</c:f>
              <c:strCache>
                <c:ptCount val="1"/>
                <c:pt idx="0">
                  <c:v>Construction - DAC</c:v>
                </c:pt>
              </c:strCache>
            </c:strRef>
          </c:tx>
          <c:spPr>
            <a:solidFill>
              <a:schemeClr val="accent4">
                <a:lumMod val="75000"/>
              </a:schemeClr>
            </a:solidFill>
            <a:ln>
              <a:noFill/>
            </a:ln>
            <a:effectLst/>
          </c:spPr>
          <c:invertIfNegative val="0"/>
          <c:cat>
            <c:numRef>
              <c:f>'Results ReCiPe (H) - RD'!$AC$89:$BA$89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RD'!$AC$90:$BA$90</c:f>
              <c:numCache>
                <c:formatCode>0.00E+00</c:formatCode>
                <c:ptCount val="25"/>
                <c:pt idx="0">
                  <c:v>2681.9296561792253</c:v>
                </c:pt>
              </c:numCache>
            </c:numRef>
          </c:val>
          <c:extLst>
            <c:ext xmlns:c16="http://schemas.microsoft.com/office/drawing/2014/chart" uri="{C3380CC4-5D6E-409C-BE32-E72D297353CC}">
              <c16:uniqueId val="{00000000-8A5A-4044-87AE-99F35B1A8C6B}"/>
            </c:ext>
          </c:extLst>
        </c:ser>
        <c:ser>
          <c:idx val="1"/>
          <c:order val="1"/>
          <c:tx>
            <c:strRef>
              <c:f>'Results ReCiPe (H) - RD'!$AB$91</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(H) - RD'!$AC$89:$BA$89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RD'!$AC$91:$BA$91</c:f>
              <c:numCache>
                <c:formatCode>0.00E+00</c:formatCode>
                <c:ptCount val="25"/>
                <c:pt idx="0">
                  <c:v>258.88808240632699</c:v>
                </c:pt>
              </c:numCache>
            </c:numRef>
          </c:val>
          <c:extLst>
            <c:ext xmlns:c16="http://schemas.microsoft.com/office/drawing/2014/chart" uri="{C3380CC4-5D6E-409C-BE32-E72D297353CC}">
              <c16:uniqueId val="{00000001-8A5A-4044-87AE-99F35B1A8C6B}"/>
            </c:ext>
          </c:extLst>
        </c:ser>
        <c:ser>
          <c:idx val="2"/>
          <c:order val="2"/>
          <c:tx>
            <c:strRef>
              <c:f>'Results ReCiPe (H) - RD'!$AB$92</c:f>
              <c:strCache>
                <c:ptCount val="1"/>
                <c:pt idx="0">
                  <c:v>Deconstruction - DAC</c:v>
                </c:pt>
              </c:strCache>
            </c:strRef>
          </c:tx>
          <c:spPr>
            <a:solidFill>
              <a:schemeClr val="accent2">
                <a:lumMod val="40000"/>
                <a:lumOff val="60000"/>
              </a:schemeClr>
            </a:solidFill>
            <a:ln>
              <a:noFill/>
            </a:ln>
            <a:effectLst/>
          </c:spPr>
          <c:invertIfNegative val="0"/>
          <c:cat>
            <c:numRef>
              <c:f>'Results ReCiPe (H) - RD'!$AC$89:$BA$89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RD'!$AC$92:$BA$92</c:f>
              <c:numCache>
                <c:formatCode>0.00E+00</c:formatCode>
                <c:ptCount val="25"/>
                <c:pt idx="24">
                  <c:v>38.789621318581062</c:v>
                </c:pt>
              </c:numCache>
            </c:numRef>
          </c:val>
          <c:extLst>
            <c:ext xmlns:c16="http://schemas.microsoft.com/office/drawing/2014/chart" uri="{C3380CC4-5D6E-409C-BE32-E72D297353CC}">
              <c16:uniqueId val="{00000002-8A5A-4044-87AE-99F35B1A8C6B}"/>
            </c:ext>
          </c:extLst>
        </c:ser>
        <c:ser>
          <c:idx val="3"/>
          <c:order val="3"/>
          <c:tx>
            <c:strRef>
              <c:f>'Results ReCiPe (H) - RD'!$AB$93</c:f>
              <c:strCache>
                <c:ptCount val="1"/>
                <c:pt idx="0">
                  <c:v>Deconstruction - geological storage</c:v>
                </c:pt>
              </c:strCache>
            </c:strRef>
          </c:tx>
          <c:spPr>
            <a:solidFill>
              <a:srgbClr val="FF9900"/>
            </a:solidFill>
            <a:ln>
              <a:noFill/>
            </a:ln>
            <a:effectLst/>
          </c:spPr>
          <c:invertIfNegative val="0"/>
          <c:cat>
            <c:numRef>
              <c:f>'Results ReCiPe (H) - RD'!$AC$89:$BA$89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RD'!$AC$93:$BA$93</c:f>
              <c:numCache>
                <c:formatCode>0.00E+00</c:formatCode>
                <c:ptCount val="25"/>
                <c:pt idx="24">
                  <c:v>1.2288061080708204</c:v>
                </c:pt>
              </c:numCache>
            </c:numRef>
          </c:val>
          <c:extLst>
            <c:ext xmlns:c16="http://schemas.microsoft.com/office/drawing/2014/chart" uri="{C3380CC4-5D6E-409C-BE32-E72D297353CC}">
              <c16:uniqueId val="{00000003-8A5A-4044-87AE-99F35B1A8C6B}"/>
            </c:ext>
          </c:extLst>
        </c:ser>
        <c:ser>
          <c:idx val="4"/>
          <c:order val="4"/>
          <c:tx>
            <c:strRef>
              <c:f>'Results ReCiPe (H) - RD'!$AB$94</c:f>
              <c:strCache>
                <c:ptCount val="1"/>
                <c:pt idx="0">
                  <c:v>Sorbent material</c:v>
                </c:pt>
              </c:strCache>
            </c:strRef>
          </c:tx>
          <c:spPr>
            <a:solidFill>
              <a:srgbClr val="FF8F8F"/>
            </a:solidFill>
            <a:ln>
              <a:noFill/>
            </a:ln>
            <a:effectLst/>
          </c:spPr>
          <c:invertIfNegative val="0"/>
          <c:cat>
            <c:numRef>
              <c:f>'Results ReCiPe (H) - RD'!$AC$89:$BA$89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RD'!$AC$94:$BA$94</c:f>
              <c:numCache>
                <c:formatCode>0.00E+00</c:formatCode>
                <c:ptCount val="25"/>
                <c:pt idx="0">
                  <c:v>114.06781731957111</c:v>
                </c:pt>
                <c:pt idx="3">
                  <c:v>112.3911675049322</c:v>
                </c:pt>
                <c:pt idx="6">
                  <c:v>112.2010947204887</c:v>
                </c:pt>
                <c:pt idx="9">
                  <c:v>113.21958271568749</c:v>
                </c:pt>
                <c:pt idx="12">
                  <c:v>113.61473943331841</c:v>
                </c:pt>
                <c:pt idx="15">
                  <c:v>113.3787859326078</c:v>
                </c:pt>
                <c:pt idx="18">
                  <c:v>112.2791950057142</c:v>
                </c:pt>
                <c:pt idx="21">
                  <c:v>111.5739444092645</c:v>
                </c:pt>
                <c:pt idx="24">
                  <c:v>111.3824079888096</c:v>
                </c:pt>
              </c:numCache>
            </c:numRef>
          </c:val>
          <c:extLst>
            <c:ext xmlns:c16="http://schemas.microsoft.com/office/drawing/2014/chart" uri="{C3380CC4-5D6E-409C-BE32-E72D297353CC}">
              <c16:uniqueId val="{00000004-8A5A-4044-87AE-99F35B1A8C6B}"/>
            </c:ext>
          </c:extLst>
        </c:ser>
        <c:ser>
          <c:idx val="5"/>
          <c:order val="5"/>
          <c:tx>
            <c:strRef>
              <c:f>'Results ReCiPe (H) - RD'!$AB$95</c:f>
              <c:strCache>
                <c:ptCount val="1"/>
                <c:pt idx="0">
                  <c:v>Operation - DAC</c:v>
                </c:pt>
              </c:strCache>
            </c:strRef>
          </c:tx>
          <c:spPr>
            <a:solidFill>
              <a:schemeClr val="accent2">
                <a:lumMod val="75000"/>
              </a:schemeClr>
            </a:solidFill>
            <a:ln>
              <a:noFill/>
            </a:ln>
            <a:effectLst/>
          </c:spPr>
          <c:invertIfNegative val="0"/>
          <c:cat>
            <c:numRef>
              <c:f>'Results ReCiPe (H) - RD'!$AC$89:$BA$89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RD'!$AC$95:$BA$95</c:f>
              <c:numCache>
                <c:formatCode>0.00E+00</c:formatCode>
                <c:ptCount val="25"/>
                <c:pt idx="0">
                  <c:v>1455.687748477927</c:v>
                </c:pt>
                <c:pt idx="1">
                  <c:v>1339.645737547816</c:v>
                </c:pt>
                <c:pt idx="2">
                  <c:v>1222.675011660074</c:v>
                </c:pt>
                <c:pt idx="3">
                  <c:v>1099.534974399809</c:v>
                </c:pt>
                <c:pt idx="4">
                  <c:v>980.47081032114079</c:v>
                </c:pt>
                <c:pt idx="5">
                  <c:v>860.4793665866838</c:v>
                </c:pt>
                <c:pt idx="6">
                  <c:v>1005.289588531566</c:v>
                </c:pt>
                <c:pt idx="7">
                  <c:v>1149.7418175598309</c:v>
                </c:pt>
                <c:pt idx="8">
                  <c:v>1288.456695966383</c:v>
                </c:pt>
                <c:pt idx="9">
                  <c:v>1431.999072853238</c:v>
                </c:pt>
                <c:pt idx="10">
                  <c:v>1575.21075673582</c:v>
                </c:pt>
                <c:pt idx="11">
                  <c:v>1753.703160579762</c:v>
                </c:pt>
                <c:pt idx="12">
                  <c:v>1931.6196135305711</c:v>
                </c:pt>
                <c:pt idx="13">
                  <c:v>2107.76787666581</c:v>
                </c:pt>
                <c:pt idx="14">
                  <c:v>2284.5657414806878</c:v>
                </c:pt>
                <c:pt idx="15">
                  <c:v>2460.785537350293</c:v>
                </c:pt>
                <c:pt idx="16">
                  <c:v>2396.8942909969978</c:v>
                </c:pt>
                <c:pt idx="17">
                  <c:v>2333.3347117691819</c:v>
                </c:pt>
                <c:pt idx="18">
                  <c:v>2269.02736425892</c:v>
                </c:pt>
                <c:pt idx="19">
                  <c:v>2206.1493943655678</c:v>
                </c:pt>
                <c:pt idx="20">
                  <c:v>2143.5839547228379</c:v>
                </c:pt>
                <c:pt idx="21">
                  <c:v>2144.336140023961</c:v>
                </c:pt>
                <c:pt idx="22">
                  <c:v>2145.1607906176441</c:v>
                </c:pt>
                <c:pt idx="23">
                  <c:v>2145.969509880611</c:v>
                </c:pt>
                <c:pt idx="24">
                  <c:v>2146.7604743306729</c:v>
                </c:pt>
              </c:numCache>
            </c:numRef>
          </c:val>
          <c:extLst>
            <c:ext xmlns:c16="http://schemas.microsoft.com/office/drawing/2014/chart" uri="{C3380CC4-5D6E-409C-BE32-E72D297353CC}">
              <c16:uniqueId val="{00000005-8A5A-4044-87AE-99F35B1A8C6B}"/>
            </c:ext>
          </c:extLst>
        </c:ser>
        <c:ser>
          <c:idx val="6"/>
          <c:order val="6"/>
          <c:tx>
            <c:strRef>
              <c:f>'Results ReCiPe (H) - RD'!$AB$96</c:f>
              <c:strCache>
                <c:ptCount val="1"/>
                <c:pt idx="0">
                  <c:v>Operation - geological storage</c:v>
                </c:pt>
              </c:strCache>
            </c:strRef>
          </c:tx>
          <c:spPr>
            <a:solidFill>
              <a:schemeClr val="accent2">
                <a:lumMod val="50000"/>
              </a:schemeClr>
            </a:solidFill>
            <a:ln>
              <a:noFill/>
            </a:ln>
            <a:effectLst/>
          </c:spPr>
          <c:invertIfNegative val="0"/>
          <c:cat>
            <c:numRef>
              <c:f>'Results ReCiPe (H) - RD'!$AC$89:$BA$89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RD'!$AC$96:$BA$96</c:f>
              <c:numCache>
                <c:formatCode>0.00E+00</c:formatCode>
                <c:ptCount val="25"/>
                <c:pt idx="0">
                  <c:v>118.7649636998278</c:v>
                </c:pt>
                <c:pt idx="1">
                  <c:v>109.5932384447962</c:v>
                </c:pt>
                <c:pt idx="2">
                  <c:v>100.41460012870719</c:v>
                </c:pt>
                <c:pt idx="3">
                  <c:v>90.777455527861918</c:v>
                </c:pt>
                <c:pt idx="4">
                  <c:v>81.570934765721915</c:v>
                </c:pt>
                <c:pt idx="5">
                  <c:v>72.359798079795141</c:v>
                </c:pt>
                <c:pt idx="6">
                  <c:v>83.090067110340485</c:v>
                </c:pt>
                <c:pt idx="7">
                  <c:v>93.746280998158767</c:v>
                </c:pt>
                <c:pt idx="8">
                  <c:v>103.88763060054831</c:v>
                </c:pt>
                <c:pt idx="9">
                  <c:v>114.38321113321291</c:v>
                </c:pt>
                <c:pt idx="10">
                  <c:v>124.8073148894706</c:v>
                </c:pt>
                <c:pt idx="11">
                  <c:v>138.0260259358314</c:v>
                </c:pt>
                <c:pt idx="12">
                  <c:v>151.2246892594209</c:v>
                </c:pt>
                <c:pt idx="13">
                  <c:v>164.30326053808798</c:v>
                </c:pt>
                <c:pt idx="14">
                  <c:v>177.4640980001044</c:v>
                </c:pt>
                <c:pt idx="15">
                  <c:v>190.60431325869141</c:v>
                </c:pt>
                <c:pt idx="16">
                  <c:v>186.55163632819099</c:v>
                </c:pt>
                <c:pt idx="17">
                  <c:v>182.4817186104238</c:v>
                </c:pt>
                <c:pt idx="18">
                  <c:v>178.30313445153249</c:v>
                </c:pt>
                <c:pt idx="19">
                  <c:v>174.20067305803809</c:v>
                </c:pt>
                <c:pt idx="20">
                  <c:v>170.08012725792042</c:v>
                </c:pt>
                <c:pt idx="21">
                  <c:v>169.9149619203435</c:v>
                </c:pt>
                <c:pt idx="22">
                  <c:v>169.75846340264729</c:v>
                </c:pt>
                <c:pt idx="23">
                  <c:v>169.60054526307579</c:v>
                </c:pt>
                <c:pt idx="24">
                  <c:v>169.44099770029101</c:v>
                </c:pt>
              </c:numCache>
            </c:numRef>
          </c:val>
          <c:extLst>
            <c:ext xmlns:c16="http://schemas.microsoft.com/office/drawing/2014/chart" uri="{C3380CC4-5D6E-409C-BE32-E72D297353CC}">
              <c16:uniqueId val="{00000006-8A5A-4044-87AE-99F35B1A8C6B}"/>
            </c:ext>
          </c:extLst>
        </c:ser>
        <c:ser>
          <c:idx val="7"/>
          <c:order val="7"/>
          <c:tx>
            <c:strRef>
              <c:f>'Results ReCiPe (H) - RD'!$AB$97</c:f>
              <c:strCache>
                <c:ptCount val="1"/>
                <c:pt idx="0">
                  <c:v>CO2 captured and stored</c:v>
                </c:pt>
              </c:strCache>
            </c:strRef>
          </c:tx>
          <c:spPr>
            <a:solidFill>
              <a:schemeClr val="tx2">
                <a:lumMod val="20000"/>
                <a:lumOff val="80000"/>
              </a:schemeClr>
            </a:solidFill>
            <a:ln>
              <a:noFill/>
            </a:ln>
            <a:effectLst/>
          </c:spPr>
          <c:invertIfNegative val="0"/>
          <c:cat>
            <c:numRef>
              <c:f>'Results ReCiPe (H) - RD'!$AC$89:$BA$89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RD'!$AC$97:$BA$97</c:f>
              <c:numCache>
                <c:formatCode>0.00E+00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7-8A5A-4044-87AE-99F35B1A8C6B}"/>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RD'!$AB$98</c:f>
              <c:strCache>
                <c:ptCount val="1"/>
                <c:pt idx="0">
                  <c:v>TOTAL per year</c:v>
                </c:pt>
              </c:strCache>
            </c:strRef>
          </c:tx>
          <c:spPr>
            <a:ln w="25400" cap="rnd">
              <a:noFill/>
              <a:round/>
            </a:ln>
            <a:effectLst/>
          </c:spPr>
          <c:marker>
            <c:symbol val="circle"/>
            <c:size val="5"/>
            <c:spPr>
              <a:solidFill>
                <a:schemeClr val="tx1"/>
              </a:solidFill>
              <a:ln w="9525">
                <a:solidFill>
                  <a:schemeClr val="tx1"/>
                </a:solidFill>
              </a:ln>
              <a:effectLst/>
            </c:spPr>
          </c:marker>
          <c:cat>
            <c:numRef>
              <c:f>'Results ReCiPe (H) - RD'!$AC$89:$BA$89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RD'!$AC$98:$BA$98</c:f>
              <c:numCache>
                <c:formatCode>0.00E+00</c:formatCode>
                <c:ptCount val="25"/>
                <c:pt idx="0">
                  <c:v>4629.3382680828781</c:v>
                </c:pt>
                <c:pt idx="1">
                  <c:v>1449.2389759926123</c:v>
                </c:pt>
                <c:pt idx="2">
                  <c:v>1323.0896117887812</c:v>
                </c:pt>
                <c:pt idx="3">
                  <c:v>1302.7035974326031</c:v>
                </c:pt>
                <c:pt idx="4">
                  <c:v>1062.0417450868626</c:v>
                </c:pt>
                <c:pt idx="5">
                  <c:v>932.83916466647895</c:v>
                </c:pt>
                <c:pt idx="6">
                  <c:v>1200.5807503623951</c:v>
                </c:pt>
                <c:pt idx="7">
                  <c:v>1243.4880985579896</c:v>
                </c:pt>
                <c:pt idx="8">
                  <c:v>1392.3443265669314</c:v>
                </c:pt>
                <c:pt idx="9">
                  <c:v>1659.6018667021383</c:v>
                </c:pt>
                <c:pt idx="10">
                  <c:v>1700.0180716252908</c:v>
                </c:pt>
                <c:pt idx="11">
                  <c:v>1891.7291865155935</c:v>
                </c:pt>
                <c:pt idx="12">
                  <c:v>2196.4590422233105</c:v>
                </c:pt>
                <c:pt idx="13">
                  <c:v>2272.0711372038982</c:v>
                </c:pt>
                <c:pt idx="14">
                  <c:v>2462.0298394807924</c:v>
                </c:pt>
                <c:pt idx="15">
                  <c:v>2764.7686365415925</c:v>
                </c:pt>
                <c:pt idx="16">
                  <c:v>2583.4459273251887</c:v>
                </c:pt>
                <c:pt idx="17">
                  <c:v>2515.8164303796057</c:v>
                </c:pt>
                <c:pt idx="18">
                  <c:v>2559.6096937161669</c:v>
                </c:pt>
                <c:pt idx="19">
                  <c:v>2380.3500674236057</c:v>
                </c:pt>
                <c:pt idx="20">
                  <c:v>2313.6640819807585</c:v>
                </c:pt>
                <c:pt idx="21">
                  <c:v>2425.8250463535692</c:v>
                </c:pt>
                <c:pt idx="22">
                  <c:v>2314.9192540202912</c:v>
                </c:pt>
                <c:pt idx="23">
                  <c:v>2315.5700551436867</c:v>
                </c:pt>
                <c:pt idx="24">
                  <c:v>2467.6023074464256</c:v>
                </c:pt>
              </c:numCache>
            </c:numRef>
          </c:val>
          <c:smooth val="0"/>
          <c:extLst>
            <c:ext xmlns:c16="http://schemas.microsoft.com/office/drawing/2014/chart" uri="{C3380CC4-5D6E-409C-BE32-E72D297353CC}">
              <c16:uniqueId val="{00000008-8A5A-4044-87AE-99F35B1A8C6B}"/>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Resource damage</a:t>
                </a:r>
              </a:p>
              <a:p>
                <a:pPr algn="ctr" rtl="0">
                  <a:defRPr/>
                </a:pPr>
                <a:r>
                  <a:rPr lang="nl-NL"/>
                  <a:t>[USD2013/ton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RD'!$AB$132</c:f>
              <c:strCache>
                <c:ptCount val="1"/>
                <c:pt idx="0">
                  <c:v>Construction - DAC</c:v>
                </c:pt>
              </c:strCache>
            </c:strRef>
          </c:tx>
          <c:spPr>
            <a:solidFill>
              <a:schemeClr val="accent4">
                <a:lumMod val="75000"/>
              </a:schemeClr>
            </a:solidFill>
            <a:ln>
              <a:noFill/>
            </a:ln>
            <a:effectLst/>
          </c:spPr>
          <c:invertIfNegative val="0"/>
          <c:cat>
            <c:numRef>
              <c:f>'Results ReCiPe (H) - RD'!$AC$131:$BA$131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RD'!$AC$132:$BA$132</c:f>
              <c:numCache>
                <c:formatCode>0.00E+00</c:formatCode>
                <c:ptCount val="25"/>
                <c:pt idx="0">
                  <c:v>2893.1840673783981</c:v>
                </c:pt>
              </c:numCache>
            </c:numRef>
          </c:val>
          <c:extLst>
            <c:ext xmlns:c16="http://schemas.microsoft.com/office/drawing/2014/chart" uri="{C3380CC4-5D6E-409C-BE32-E72D297353CC}">
              <c16:uniqueId val="{00000000-9A35-45C1-AFF9-046498CF87B8}"/>
            </c:ext>
          </c:extLst>
        </c:ser>
        <c:ser>
          <c:idx val="1"/>
          <c:order val="1"/>
          <c:tx>
            <c:strRef>
              <c:f>'Results ReCiPe (H) - RD'!$AB$133</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(H) - RD'!$AC$131:$BA$131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RD'!$AC$133:$BA$133</c:f>
              <c:numCache>
                <c:formatCode>0.00E+00</c:formatCode>
                <c:ptCount val="25"/>
                <c:pt idx="0">
                  <c:v>269.67676540478124</c:v>
                </c:pt>
              </c:numCache>
            </c:numRef>
          </c:val>
          <c:extLst>
            <c:ext xmlns:c16="http://schemas.microsoft.com/office/drawing/2014/chart" uri="{C3380CC4-5D6E-409C-BE32-E72D297353CC}">
              <c16:uniqueId val="{00000001-9A35-45C1-AFF9-046498CF87B8}"/>
            </c:ext>
          </c:extLst>
        </c:ser>
        <c:ser>
          <c:idx val="2"/>
          <c:order val="2"/>
          <c:tx>
            <c:strRef>
              <c:f>'Results ReCiPe (H) - RD'!$AB$134</c:f>
              <c:strCache>
                <c:ptCount val="1"/>
                <c:pt idx="0">
                  <c:v>Deconstruction - DAC</c:v>
                </c:pt>
              </c:strCache>
            </c:strRef>
          </c:tx>
          <c:spPr>
            <a:solidFill>
              <a:schemeClr val="accent2">
                <a:lumMod val="40000"/>
                <a:lumOff val="60000"/>
              </a:schemeClr>
            </a:solidFill>
            <a:ln>
              <a:noFill/>
            </a:ln>
            <a:effectLst/>
          </c:spPr>
          <c:invertIfNegative val="0"/>
          <c:cat>
            <c:numRef>
              <c:f>'Results ReCiPe (H) - RD'!$AC$131:$BA$131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RD'!$AC$134:$BA$134</c:f>
              <c:numCache>
                <c:formatCode>0.00E+00</c:formatCode>
                <c:ptCount val="25"/>
                <c:pt idx="24">
                  <c:v>45.635874346592793</c:v>
                </c:pt>
              </c:numCache>
            </c:numRef>
          </c:val>
          <c:extLst>
            <c:ext xmlns:c16="http://schemas.microsoft.com/office/drawing/2014/chart" uri="{C3380CC4-5D6E-409C-BE32-E72D297353CC}">
              <c16:uniqueId val="{00000002-9A35-45C1-AFF9-046498CF87B8}"/>
            </c:ext>
          </c:extLst>
        </c:ser>
        <c:ser>
          <c:idx val="3"/>
          <c:order val="3"/>
          <c:tx>
            <c:strRef>
              <c:f>'Results ReCiPe (H) - RD'!$AB$135</c:f>
              <c:strCache>
                <c:ptCount val="1"/>
                <c:pt idx="0">
                  <c:v>Deconstruction - geological storage</c:v>
                </c:pt>
              </c:strCache>
            </c:strRef>
          </c:tx>
          <c:spPr>
            <a:solidFill>
              <a:srgbClr val="FF9900"/>
            </a:solidFill>
            <a:ln>
              <a:noFill/>
            </a:ln>
            <a:effectLst/>
          </c:spPr>
          <c:invertIfNegative val="0"/>
          <c:cat>
            <c:numRef>
              <c:f>'Results ReCiPe (H) - RD'!$AC$131:$BA$131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RD'!$AC$135:$BA$135</c:f>
              <c:numCache>
                <c:formatCode>0.00E+00</c:formatCode>
                <c:ptCount val="25"/>
                <c:pt idx="24">
                  <c:v>1.3426574437184902</c:v>
                </c:pt>
              </c:numCache>
            </c:numRef>
          </c:val>
          <c:extLst>
            <c:ext xmlns:c16="http://schemas.microsoft.com/office/drawing/2014/chart" uri="{C3380CC4-5D6E-409C-BE32-E72D297353CC}">
              <c16:uniqueId val="{00000003-9A35-45C1-AFF9-046498CF87B8}"/>
            </c:ext>
          </c:extLst>
        </c:ser>
        <c:ser>
          <c:idx val="4"/>
          <c:order val="4"/>
          <c:tx>
            <c:strRef>
              <c:f>'Results ReCiPe (H) - RD'!$AB$136</c:f>
              <c:strCache>
                <c:ptCount val="1"/>
                <c:pt idx="0">
                  <c:v>Sorbent material</c:v>
                </c:pt>
              </c:strCache>
            </c:strRef>
          </c:tx>
          <c:spPr>
            <a:solidFill>
              <a:srgbClr val="FF8F8F"/>
            </a:solidFill>
            <a:ln>
              <a:noFill/>
            </a:ln>
            <a:effectLst/>
          </c:spPr>
          <c:invertIfNegative val="0"/>
          <c:cat>
            <c:numRef>
              <c:f>'Results ReCiPe (H) - RD'!$AC$131:$BA$131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RD'!$AC$136:$BA$136</c:f>
              <c:numCache>
                <c:formatCode>0.00E+00</c:formatCode>
                <c:ptCount val="25"/>
                <c:pt idx="0">
                  <c:v>118.1930543229993</c:v>
                </c:pt>
                <c:pt idx="3">
                  <c:v>117.3708968791351</c:v>
                </c:pt>
                <c:pt idx="6">
                  <c:v>117.2479070799383</c:v>
                </c:pt>
                <c:pt idx="9">
                  <c:v>116.65080958776529</c:v>
                </c:pt>
                <c:pt idx="12">
                  <c:v>116.5694194979278</c:v>
                </c:pt>
                <c:pt idx="15">
                  <c:v>116.3562974875733</c:v>
                </c:pt>
                <c:pt idx="18">
                  <c:v>116.0610845903859</c:v>
                </c:pt>
                <c:pt idx="21">
                  <c:v>115.9379738654637</c:v>
                </c:pt>
                <c:pt idx="24">
                  <c:v>115.8757111011497</c:v>
                </c:pt>
              </c:numCache>
            </c:numRef>
          </c:val>
          <c:extLst>
            <c:ext xmlns:c16="http://schemas.microsoft.com/office/drawing/2014/chart" uri="{C3380CC4-5D6E-409C-BE32-E72D297353CC}">
              <c16:uniqueId val="{00000004-9A35-45C1-AFF9-046498CF87B8}"/>
            </c:ext>
          </c:extLst>
        </c:ser>
        <c:ser>
          <c:idx val="5"/>
          <c:order val="5"/>
          <c:tx>
            <c:strRef>
              <c:f>'Results ReCiPe (H) - RD'!$AB$137</c:f>
              <c:strCache>
                <c:ptCount val="1"/>
                <c:pt idx="0">
                  <c:v>Operation - DAC</c:v>
                </c:pt>
              </c:strCache>
            </c:strRef>
          </c:tx>
          <c:spPr>
            <a:solidFill>
              <a:schemeClr val="accent2">
                <a:lumMod val="75000"/>
              </a:schemeClr>
            </a:solidFill>
            <a:ln>
              <a:noFill/>
            </a:ln>
            <a:effectLst/>
          </c:spPr>
          <c:invertIfNegative val="0"/>
          <c:cat>
            <c:numRef>
              <c:f>'Results ReCiPe (H) - RD'!$AC$131:$BA$131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RD'!$AC$137:$BA$137</c:f>
              <c:numCache>
                <c:formatCode>0.00E+00</c:formatCode>
                <c:ptCount val="25"/>
                <c:pt idx="0">
                  <c:v>1839.3449357343477</c:v>
                </c:pt>
                <c:pt idx="1">
                  <c:v>1847.3513936994136</c:v>
                </c:pt>
                <c:pt idx="2">
                  <c:v>1855.4295959568169</c:v>
                </c:pt>
                <c:pt idx="3">
                  <c:v>1859.703558427419</c:v>
                </c:pt>
                <c:pt idx="4">
                  <c:v>1867.9709163799405</c:v>
                </c:pt>
                <c:pt idx="5">
                  <c:v>1876.306514134126</c:v>
                </c:pt>
                <c:pt idx="6">
                  <c:v>1907.948299444816</c:v>
                </c:pt>
                <c:pt idx="7">
                  <c:v>1939.5544371942856</c:v>
                </c:pt>
                <c:pt idx="8">
                  <c:v>1968.282277329135</c:v>
                </c:pt>
                <c:pt idx="9">
                  <c:v>1999.9319314688889</c:v>
                </c:pt>
                <c:pt idx="10">
                  <c:v>2031.5627063350501</c:v>
                </c:pt>
                <c:pt idx="11">
                  <c:v>2035.2554294482479</c:v>
                </c:pt>
                <c:pt idx="12">
                  <c:v>2038.8616388868502</c:v>
                </c:pt>
                <c:pt idx="13">
                  <c:v>2041.6999854561732</c:v>
                </c:pt>
                <c:pt idx="14">
                  <c:v>2045.1258920077817</c:v>
                </c:pt>
                <c:pt idx="15">
                  <c:v>2048.4529491289159</c:v>
                </c:pt>
                <c:pt idx="16">
                  <c:v>2120.9738547707802</c:v>
                </c:pt>
                <c:pt idx="17">
                  <c:v>2193.5292893363185</c:v>
                </c:pt>
                <c:pt idx="18">
                  <c:v>2265.5241417441844</c:v>
                </c:pt>
                <c:pt idx="19">
                  <c:v>2338.1968350458656</c:v>
                </c:pt>
                <c:pt idx="20">
                  <c:v>2410.9335818739069</c:v>
                </c:pt>
                <c:pt idx="21">
                  <c:v>2425.9539149219522</c:v>
                </c:pt>
                <c:pt idx="22">
                  <c:v>2441.1153330716429</c:v>
                </c:pt>
                <c:pt idx="23">
                  <c:v>2456.378620962304</c:v>
                </c:pt>
                <c:pt idx="24">
                  <c:v>2471.7432703896347</c:v>
                </c:pt>
              </c:numCache>
            </c:numRef>
          </c:val>
          <c:extLst>
            <c:ext xmlns:c16="http://schemas.microsoft.com/office/drawing/2014/chart" uri="{C3380CC4-5D6E-409C-BE32-E72D297353CC}">
              <c16:uniqueId val="{00000005-9A35-45C1-AFF9-046498CF87B8}"/>
            </c:ext>
          </c:extLst>
        </c:ser>
        <c:ser>
          <c:idx val="6"/>
          <c:order val="6"/>
          <c:tx>
            <c:strRef>
              <c:f>'Results ReCiPe (H) - RD'!$AB$138</c:f>
              <c:strCache>
                <c:ptCount val="1"/>
                <c:pt idx="0">
                  <c:v>Operation - geological storage</c:v>
                </c:pt>
              </c:strCache>
            </c:strRef>
          </c:tx>
          <c:spPr>
            <a:solidFill>
              <a:schemeClr val="accent2">
                <a:lumMod val="50000"/>
              </a:schemeClr>
            </a:solidFill>
            <a:ln>
              <a:noFill/>
            </a:ln>
            <a:effectLst/>
          </c:spPr>
          <c:invertIfNegative val="0"/>
          <c:cat>
            <c:numRef>
              <c:f>'Results ReCiPe (H) - RD'!$AC$131:$BA$131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RD'!$AC$138:$BA$138</c:f>
              <c:numCache>
                <c:formatCode>0.00E+00</c:formatCode>
                <c:ptCount val="25"/>
                <c:pt idx="0">
                  <c:v>185.90075000036092</c:v>
                </c:pt>
                <c:pt idx="1">
                  <c:v>186.44341735269589</c:v>
                </c:pt>
                <c:pt idx="2">
                  <c:v>186.9896757298913</c:v>
                </c:pt>
                <c:pt idx="3">
                  <c:v>187.16380062399421</c:v>
                </c:pt>
                <c:pt idx="4">
                  <c:v>187.72187690121831</c:v>
                </c:pt>
                <c:pt idx="5">
                  <c:v>188.28311646103978</c:v>
                </c:pt>
                <c:pt idx="6">
                  <c:v>191.1994067536547</c:v>
                </c:pt>
                <c:pt idx="7">
                  <c:v>194.1025024434831</c:v>
                </c:pt>
                <c:pt idx="8">
                  <c:v>196.7156053866911</c:v>
                </c:pt>
                <c:pt idx="9">
                  <c:v>199.60405009769181</c:v>
                </c:pt>
                <c:pt idx="10">
                  <c:v>202.48112027895232</c:v>
                </c:pt>
                <c:pt idx="11">
                  <c:v>202.65472948507261</c:v>
                </c:pt>
                <c:pt idx="12">
                  <c:v>202.8184607768753</c:v>
                </c:pt>
                <c:pt idx="13">
                  <c:v>202.90630237366008</c:v>
                </c:pt>
                <c:pt idx="14">
                  <c:v>203.04981229974581</c:v>
                </c:pt>
                <c:pt idx="15">
                  <c:v>203.1821735744829</c:v>
                </c:pt>
                <c:pt idx="16">
                  <c:v>210.11444656444689</c:v>
                </c:pt>
                <c:pt idx="17">
                  <c:v>217.03630147466822</c:v>
                </c:pt>
                <c:pt idx="18">
                  <c:v>223.89040087752917</c:v>
                </c:pt>
                <c:pt idx="19">
                  <c:v>230.79612969701321</c:v>
                </c:pt>
                <c:pt idx="20">
                  <c:v>237.69429769501582</c:v>
                </c:pt>
                <c:pt idx="21">
                  <c:v>238.73233230194808</c:v>
                </c:pt>
                <c:pt idx="22">
                  <c:v>239.78248583214003</c:v>
                </c:pt>
                <c:pt idx="23">
                  <c:v>240.83638711718072</c:v>
                </c:pt>
                <c:pt idx="24">
                  <c:v>241.89383285728749</c:v>
                </c:pt>
              </c:numCache>
            </c:numRef>
          </c:val>
          <c:extLst>
            <c:ext xmlns:c16="http://schemas.microsoft.com/office/drawing/2014/chart" uri="{C3380CC4-5D6E-409C-BE32-E72D297353CC}">
              <c16:uniqueId val="{00000006-9A35-45C1-AFF9-046498CF87B8}"/>
            </c:ext>
          </c:extLst>
        </c:ser>
        <c:ser>
          <c:idx val="7"/>
          <c:order val="7"/>
          <c:tx>
            <c:strRef>
              <c:f>'Results ReCiPe (H) - RD'!$AB$139</c:f>
              <c:strCache>
                <c:ptCount val="1"/>
                <c:pt idx="0">
                  <c:v>CO2 captured and stored</c:v>
                </c:pt>
              </c:strCache>
            </c:strRef>
          </c:tx>
          <c:spPr>
            <a:solidFill>
              <a:schemeClr val="tx2">
                <a:lumMod val="20000"/>
                <a:lumOff val="80000"/>
              </a:schemeClr>
            </a:solidFill>
            <a:ln>
              <a:noFill/>
            </a:ln>
            <a:effectLst/>
          </c:spPr>
          <c:invertIfNegative val="0"/>
          <c:cat>
            <c:numRef>
              <c:f>'Results ReCiPe (H) - RD'!$AC$131:$BA$131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RD'!$AC$139:$BA$139</c:f>
              <c:numCache>
                <c:formatCode>0.00E+00</c:formatCode>
                <c:ptCount val="25"/>
              </c:numCache>
            </c:numRef>
          </c:val>
          <c:extLst>
            <c:ext xmlns:c16="http://schemas.microsoft.com/office/drawing/2014/chart" uri="{C3380CC4-5D6E-409C-BE32-E72D297353CC}">
              <c16:uniqueId val="{00000007-9A35-45C1-AFF9-046498CF87B8}"/>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RD'!$AB$140</c:f>
              <c:strCache>
                <c:ptCount val="1"/>
                <c:pt idx="0">
                  <c:v>TOTAL per year</c:v>
                </c:pt>
              </c:strCache>
            </c:strRef>
          </c:tx>
          <c:spPr>
            <a:ln w="28575" cap="rnd">
              <a:noFill/>
              <a:round/>
            </a:ln>
            <a:effectLst/>
          </c:spPr>
          <c:marker>
            <c:symbol val="circle"/>
            <c:size val="5"/>
            <c:spPr>
              <a:solidFill>
                <a:schemeClr val="tx1"/>
              </a:solidFill>
              <a:ln w="9525">
                <a:solidFill>
                  <a:schemeClr val="accent3">
                    <a:lumMod val="60000"/>
                  </a:schemeClr>
                </a:solidFill>
              </a:ln>
              <a:effectLst/>
            </c:spPr>
          </c:marker>
          <c:cat>
            <c:numRef>
              <c:f>'Results ReCiPe (H) - RD'!$AC$131:$BA$131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RD'!$AC$140:$BA$140</c:f>
              <c:numCache>
                <c:formatCode>0.00E+00</c:formatCode>
                <c:ptCount val="25"/>
                <c:pt idx="0">
                  <c:v>5306.2995728408869</c:v>
                </c:pt>
                <c:pt idx="1">
                  <c:v>2033.7948110521095</c:v>
                </c:pt>
                <c:pt idx="2">
                  <c:v>2042.4192716867083</c:v>
                </c:pt>
                <c:pt idx="3">
                  <c:v>2164.2382559305483</c:v>
                </c:pt>
                <c:pt idx="4">
                  <c:v>2055.6927932811586</c:v>
                </c:pt>
                <c:pt idx="5">
                  <c:v>2064.589630595166</c:v>
                </c:pt>
                <c:pt idx="6">
                  <c:v>2216.3956132784092</c:v>
                </c:pt>
                <c:pt idx="7">
                  <c:v>2133.6569396377686</c:v>
                </c:pt>
                <c:pt idx="8">
                  <c:v>2164.9978827158261</c:v>
                </c:pt>
                <c:pt idx="9">
                  <c:v>2316.1867911543463</c:v>
                </c:pt>
                <c:pt idx="10">
                  <c:v>2234.0438266140022</c:v>
                </c:pt>
                <c:pt idx="11">
                  <c:v>2237.9101589333204</c:v>
                </c:pt>
                <c:pt idx="12">
                  <c:v>2358.2495191616531</c:v>
                </c:pt>
                <c:pt idx="13">
                  <c:v>2244.6062878298335</c:v>
                </c:pt>
                <c:pt idx="14">
                  <c:v>2248.1757043075277</c:v>
                </c:pt>
                <c:pt idx="15">
                  <c:v>2367.9914201909719</c:v>
                </c:pt>
                <c:pt idx="16">
                  <c:v>2331.0883013352272</c:v>
                </c:pt>
                <c:pt idx="17">
                  <c:v>2410.5655908109866</c:v>
                </c:pt>
                <c:pt idx="18">
                  <c:v>2605.4756272120994</c:v>
                </c:pt>
                <c:pt idx="19">
                  <c:v>2568.9929647428789</c:v>
                </c:pt>
                <c:pt idx="20">
                  <c:v>2648.6278795689227</c:v>
                </c:pt>
                <c:pt idx="21">
                  <c:v>2780.6242210893643</c:v>
                </c:pt>
                <c:pt idx="22">
                  <c:v>2680.897818903783</c:v>
                </c:pt>
                <c:pt idx="23">
                  <c:v>2697.2150080794845</c:v>
                </c:pt>
                <c:pt idx="24">
                  <c:v>2876.4913461383835</c:v>
                </c:pt>
              </c:numCache>
            </c:numRef>
          </c:val>
          <c:smooth val="0"/>
          <c:extLst>
            <c:ext xmlns:c16="http://schemas.microsoft.com/office/drawing/2014/chart" uri="{C3380CC4-5D6E-409C-BE32-E72D297353CC}">
              <c16:uniqueId val="{00000008-9A35-45C1-AFF9-046498CF87B8}"/>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Resource damage</a:t>
                </a:r>
              </a:p>
              <a:p>
                <a:pPr algn="ctr" rtl="0">
                  <a:defRPr/>
                </a:pPr>
                <a:r>
                  <a:rPr lang="nl-NL"/>
                  <a:t>[USD2013/ton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RD'!$AB$173</c:f>
              <c:strCache>
                <c:ptCount val="1"/>
                <c:pt idx="0">
                  <c:v>Construction - DAC</c:v>
                </c:pt>
              </c:strCache>
            </c:strRef>
          </c:tx>
          <c:spPr>
            <a:solidFill>
              <a:schemeClr val="accent4">
                <a:lumMod val="75000"/>
              </a:schemeClr>
            </a:solidFill>
            <a:ln>
              <a:noFill/>
            </a:ln>
            <a:effectLst/>
          </c:spPr>
          <c:invertIfNegative val="0"/>
          <c:cat>
            <c:numRef>
              <c:f>'Results ReCiPe (H) - RD'!$AC$172:$BA$172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RD'!$AC$173:$BA$173</c:f>
              <c:numCache>
                <c:formatCode>0.00E+00</c:formatCode>
                <c:ptCount val="25"/>
                <c:pt idx="0">
                  <c:v>2837.5515154411646</c:v>
                </c:pt>
              </c:numCache>
            </c:numRef>
          </c:val>
          <c:extLst>
            <c:ext xmlns:c16="http://schemas.microsoft.com/office/drawing/2014/chart" uri="{C3380CC4-5D6E-409C-BE32-E72D297353CC}">
              <c16:uniqueId val="{00000000-4651-4383-8895-92E4F26787A2}"/>
            </c:ext>
          </c:extLst>
        </c:ser>
        <c:ser>
          <c:idx val="1"/>
          <c:order val="1"/>
          <c:tx>
            <c:strRef>
              <c:f>'Results ReCiPe (H) - RD'!$AB$174</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(H) - RD'!$AC$172:$BA$172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RD'!$AC$174:$BA$174</c:f>
              <c:numCache>
                <c:formatCode>0.00E+00</c:formatCode>
                <c:ptCount val="25"/>
                <c:pt idx="0">
                  <c:v>266.94496473340826</c:v>
                </c:pt>
              </c:numCache>
            </c:numRef>
          </c:val>
          <c:extLst>
            <c:ext xmlns:c16="http://schemas.microsoft.com/office/drawing/2014/chart" uri="{C3380CC4-5D6E-409C-BE32-E72D297353CC}">
              <c16:uniqueId val="{00000001-4651-4383-8895-92E4F26787A2}"/>
            </c:ext>
          </c:extLst>
        </c:ser>
        <c:ser>
          <c:idx val="2"/>
          <c:order val="2"/>
          <c:tx>
            <c:strRef>
              <c:f>'Results ReCiPe (H) - RD'!$AB$175</c:f>
              <c:strCache>
                <c:ptCount val="1"/>
                <c:pt idx="0">
                  <c:v>Deconstruction - DAC</c:v>
                </c:pt>
              </c:strCache>
            </c:strRef>
          </c:tx>
          <c:spPr>
            <a:solidFill>
              <a:schemeClr val="accent2">
                <a:lumMod val="40000"/>
                <a:lumOff val="60000"/>
              </a:schemeClr>
            </a:solidFill>
            <a:ln>
              <a:noFill/>
            </a:ln>
            <a:effectLst/>
          </c:spPr>
          <c:invertIfNegative val="0"/>
          <c:cat>
            <c:numRef>
              <c:f>'Results ReCiPe (H) - RD'!$AC$172:$BA$172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RD'!$AC$175:$BA$175</c:f>
              <c:numCache>
                <c:formatCode>0.00E+00</c:formatCode>
                <c:ptCount val="25"/>
                <c:pt idx="24">
                  <c:v>41.794125692809452</c:v>
                </c:pt>
              </c:numCache>
            </c:numRef>
          </c:val>
          <c:extLst>
            <c:ext xmlns:c16="http://schemas.microsoft.com/office/drawing/2014/chart" uri="{C3380CC4-5D6E-409C-BE32-E72D297353CC}">
              <c16:uniqueId val="{00000002-4651-4383-8895-92E4F26787A2}"/>
            </c:ext>
          </c:extLst>
        </c:ser>
        <c:ser>
          <c:idx val="3"/>
          <c:order val="3"/>
          <c:tx>
            <c:strRef>
              <c:f>'Results ReCiPe (H) - RD'!$AB$176</c:f>
              <c:strCache>
                <c:ptCount val="1"/>
                <c:pt idx="0">
                  <c:v>Deconstruction - geological storage</c:v>
                </c:pt>
              </c:strCache>
            </c:strRef>
          </c:tx>
          <c:spPr>
            <a:solidFill>
              <a:srgbClr val="FF9900"/>
            </a:solidFill>
            <a:ln>
              <a:noFill/>
            </a:ln>
            <a:effectLst/>
          </c:spPr>
          <c:invertIfNegative val="0"/>
          <c:cat>
            <c:numRef>
              <c:f>'Results ReCiPe (H) - RD'!$AC$172:$BA$172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RD'!$AC$176:$BA$176</c:f>
              <c:numCache>
                <c:formatCode>0.00E+00</c:formatCode>
                <c:ptCount val="25"/>
                <c:pt idx="24">
                  <c:v>1.2962860497828945</c:v>
                </c:pt>
              </c:numCache>
            </c:numRef>
          </c:val>
          <c:extLst>
            <c:ext xmlns:c16="http://schemas.microsoft.com/office/drawing/2014/chart" uri="{C3380CC4-5D6E-409C-BE32-E72D297353CC}">
              <c16:uniqueId val="{00000003-4651-4383-8895-92E4F26787A2}"/>
            </c:ext>
          </c:extLst>
        </c:ser>
        <c:ser>
          <c:idx val="4"/>
          <c:order val="4"/>
          <c:tx>
            <c:strRef>
              <c:f>'Results ReCiPe (H) - RD'!$AB$177</c:f>
              <c:strCache>
                <c:ptCount val="1"/>
                <c:pt idx="0">
                  <c:v>Sorbent material</c:v>
                </c:pt>
              </c:strCache>
            </c:strRef>
          </c:tx>
          <c:spPr>
            <a:solidFill>
              <a:srgbClr val="FF8F8F"/>
            </a:solidFill>
            <a:ln>
              <a:noFill/>
            </a:ln>
            <a:effectLst/>
          </c:spPr>
          <c:invertIfNegative val="0"/>
          <c:cat>
            <c:numRef>
              <c:f>'Results ReCiPe (H) - RD'!$AC$172:$BA$172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RD'!$AC$177:$BA$177</c:f>
              <c:numCache>
                <c:formatCode>0.00E+00</c:formatCode>
                <c:ptCount val="25"/>
                <c:pt idx="0">
                  <c:v>117.4164153447413</c:v>
                </c:pt>
                <c:pt idx="3">
                  <c:v>116.14482404943</c:v>
                </c:pt>
                <c:pt idx="6">
                  <c:v>115.85431461269189</c:v>
                </c:pt>
                <c:pt idx="9">
                  <c:v>115.7060268138878</c:v>
                </c:pt>
                <c:pt idx="12">
                  <c:v>115.22430296168601</c:v>
                </c:pt>
                <c:pt idx="15">
                  <c:v>114.21787004973891</c:v>
                </c:pt>
                <c:pt idx="18">
                  <c:v>113.3881732416237</c:v>
                </c:pt>
                <c:pt idx="21">
                  <c:v>112.8508899058024</c:v>
                </c:pt>
                <c:pt idx="24">
                  <c:v>112.6235531268987</c:v>
                </c:pt>
              </c:numCache>
            </c:numRef>
          </c:val>
          <c:extLst>
            <c:ext xmlns:c16="http://schemas.microsoft.com/office/drawing/2014/chart" uri="{C3380CC4-5D6E-409C-BE32-E72D297353CC}">
              <c16:uniqueId val="{00000004-4651-4383-8895-92E4F26787A2}"/>
            </c:ext>
          </c:extLst>
        </c:ser>
        <c:ser>
          <c:idx val="5"/>
          <c:order val="5"/>
          <c:tx>
            <c:strRef>
              <c:f>'Results ReCiPe (H) - RD'!$AB$178</c:f>
              <c:strCache>
                <c:ptCount val="1"/>
                <c:pt idx="0">
                  <c:v>Operation - DAC</c:v>
                </c:pt>
              </c:strCache>
            </c:strRef>
          </c:tx>
          <c:spPr>
            <a:solidFill>
              <a:schemeClr val="accent2">
                <a:lumMod val="75000"/>
              </a:schemeClr>
            </a:solidFill>
            <a:ln>
              <a:noFill/>
            </a:ln>
            <a:effectLst/>
          </c:spPr>
          <c:invertIfNegative val="0"/>
          <c:cat>
            <c:numRef>
              <c:f>'Results ReCiPe (H) - RD'!$AC$172:$BA$172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RD'!$AC$178:$BA$178</c:f>
              <c:numCache>
                <c:formatCode>0.00E+00</c:formatCode>
                <c:ptCount val="25"/>
                <c:pt idx="0">
                  <c:v>1896.4731859753776</c:v>
                </c:pt>
                <c:pt idx="1">
                  <c:v>1883.0280045309073</c:v>
                </c:pt>
                <c:pt idx="2">
                  <c:v>1869.5947872097088</c:v>
                </c:pt>
                <c:pt idx="3">
                  <c:v>1852.0556255314921</c:v>
                </c:pt>
                <c:pt idx="4">
                  <c:v>1838.6596783462332</c:v>
                </c:pt>
                <c:pt idx="5">
                  <c:v>1825.2704563907971</c:v>
                </c:pt>
                <c:pt idx="6">
                  <c:v>1821.4805795570646</c:v>
                </c:pt>
                <c:pt idx="7">
                  <c:v>1817.6236908543658</c:v>
                </c:pt>
                <c:pt idx="8">
                  <c:v>1810.183649328512</c:v>
                </c:pt>
                <c:pt idx="9">
                  <c:v>1806.0149675403545</c:v>
                </c:pt>
                <c:pt idx="10">
                  <c:v>1801.6963338431206</c:v>
                </c:pt>
                <c:pt idx="11">
                  <c:v>1790.0305919538512</c:v>
                </c:pt>
                <c:pt idx="12">
                  <c:v>1778.1616071811923</c:v>
                </c:pt>
                <c:pt idx="13">
                  <c:v>1765.2538378409279</c:v>
                </c:pt>
                <c:pt idx="14">
                  <c:v>1752.9904831156948</c:v>
                </c:pt>
                <c:pt idx="15">
                  <c:v>1740.5260527134133</c:v>
                </c:pt>
                <c:pt idx="16">
                  <c:v>1750.6190305006162</c:v>
                </c:pt>
                <c:pt idx="17">
                  <c:v>1760.5135391731683</c:v>
                </c:pt>
                <c:pt idx="18">
                  <c:v>1769.3936271178084</c:v>
                </c:pt>
                <c:pt idx="19">
                  <c:v>1778.9029692110787</c:v>
                </c:pt>
                <c:pt idx="20">
                  <c:v>1788.2181978358021</c:v>
                </c:pt>
                <c:pt idx="21">
                  <c:v>1771.8327195018851</c:v>
                </c:pt>
                <c:pt idx="22">
                  <c:v>1755.4500545425747</c:v>
                </c:pt>
                <c:pt idx="23">
                  <c:v>1739.0002212587565</c:v>
                </c:pt>
                <c:pt idx="24">
                  <c:v>1722.4806429923171</c:v>
                </c:pt>
              </c:numCache>
            </c:numRef>
          </c:val>
          <c:extLst>
            <c:ext xmlns:c16="http://schemas.microsoft.com/office/drawing/2014/chart" uri="{C3380CC4-5D6E-409C-BE32-E72D297353CC}">
              <c16:uniqueId val="{00000005-4651-4383-8895-92E4F26787A2}"/>
            </c:ext>
          </c:extLst>
        </c:ser>
        <c:ser>
          <c:idx val="6"/>
          <c:order val="6"/>
          <c:tx>
            <c:strRef>
              <c:f>'Results ReCiPe (H) - RD'!$AB$179</c:f>
              <c:strCache>
                <c:ptCount val="1"/>
                <c:pt idx="0">
                  <c:v>Operation - geological storage</c:v>
                </c:pt>
              </c:strCache>
            </c:strRef>
          </c:tx>
          <c:spPr>
            <a:solidFill>
              <a:schemeClr val="accent2">
                <a:lumMod val="50000"/>
              </a:schemeClr>
            </a:solidFill>
            <a:ln>
              <a:noFill/>
            </a:ln>
            <a:effectLst/>
          </c:spPr>
          <c:invertIfNegative val="0"/>
          <c:cat>
            <c:numRef>
              <c:f>'Results ReCiPe (H) - RD'!$AC$172:$BA$172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RD'!$AC$179:$BA$179</c:f>
              <c:numCache>
                <c:formatCode>0.00E+00</c:formatCode>
                <c:ptCount val="25"/>
                <c:pt idx="0">
                  <c:v>190.80831926169219</c:v>
                </c:pt>
                <c:pt idx="1">
                  <c:v>189.05559074903729</c:v>
                </c:pt>
                <c:pt idx="2">
                  <c:v>187.3092236952279</c:v>
                </c:pt>
                <c:pt idx="3">
                  <c:v>185.16993614052569</c:v>
                </c:pt>
                <c:pt idx="4">
                  <c:v>183.4380456107173</c:v>
                </c:pt>
                <c:pt idx="5">
                  <c:v>181.71214162802769</c:v>
                </c:pt>
                <c:pt idx="6">
                  <c:v>181.17559912768741</c:v>
                </c:pt>
                <c:pt idx="7">
                  <c:v>180.63019576564861</c:v>
                </c:pt>
                <c:pt idx="8">
                  <c:v>179.73481702796158</c:v>
                </c:pt>
                <c:pt idx="9">
                  <c:v>179.1588306038729</c:v>
                </c:pt>
                <c:pt idx="10">
                  <c:v>178.56890291118251</c:v>
                </c:pt>
                <c:pt idx="11">
                  <c:v>177.4089420359019</c:v>
                </c:pt>
                <c:pt idx="12">
                  <c:v>176.22960903326171</c:v>
                </c:pt>
                <c:pt idx="13">
                  <c:v>174.9496902502498</c:v>
                </c:pt>
                <c:pt idx="14">
                  <c:v>173.73281654623028</c:v>
                </c:pt>
                <c:pt idx="15">
                  <c:v>172.4968265332175</c:v>
                </c:pt>
                <c:pt idx="16">
                  <c:v>173.75058357926031</c:v>
                </c:pt>
                <c:pt idx="17">
                  <c:v>174.99066308481841</c:v>
                </c:pt>
                <c:pt idx="18">
                  <c:v>176.13761272032221</c:v>
                </c:pt>
                <c:pt idx="19">
                  <c:v>177.3507746092007</c:v>
                </c:pt>
                <c:pt idx="20">
                  <c:v>178.55047238069631</c:v>
                </c:pt>
                <c:pt idx="21">
                  <c:v>176.68801572539721</c:v>
                </c:pt>
                <c:pt idx="22">
                  <c:v>174.8344594576121</c:v>
                </c:pt>
                <c:pt idx="23">
                  <c:v>172.97929612138142</c:v>
                </c:pt>
                <c:pt idx="24">
                  <c:v>171.1222224813973</c:v>
                </c:pt>
              </c:numCache>
            </c:numRef>
          </c:val>
          <c:extLst>
            <c:ext xmlns:c16="http://schemas.microsoft.com/office/drawing/2014/chart" uri="{C3380CC4-5D6E-409C-BE32-E72D297353CC}">
              <c16:uniqueId val="{00000006-4651-4383-8895-92E4F26787A2}"/>
            </c:ext>
          </c:extLst>
        </c:ser>
        <c:ser>
          <c:idx val="7"/>
          <c:order val="7"/>
          <c:tx>
            <c:strRef>
              <c:f>'Results ReCiPe (H) - RD'!$AB$180</c:f>
              <c:strCache>
                <c:ptCount val="1"/>
                <c:pt idx="0">
                  <c:v>CO2 captured and stored</c:v>
                </c:pt>
              </c:strCache>
            </c:strRef>
          </c:tx>
          <c:spPr>
            <a:solidFill>
              <a:schemeClr val="tx2">
                <a:lumMod val="20000"/>
                <a:lumOff val="80000"/>
              </a:schemeClr>
            </a:solidFill>
            <a:ln>
              <a:noFill/>
            </a:ln>
            <a:effectLst/>
          </c:spPr>
          <c:invertIfNegative val="0"/>
          <c:cat>
            <c:numRef>
              <c:f>'Results ReCiPe (H) - RD'!$AC$172:$BA$172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RD'!$AC$180:$BA$180</c:f>
              <c:numCache>
                <c:formatCode>0.00E+00</c:formatCode>
                <c:ptCount val="25"/>
              </c:numCache>
            </c:numRef>
          </c:val>
          <c:extLst>
            <c:ext xmlns:c16="http://schemas.microsoft.com/office/drawing/2014/chart" uri="{C3380CC4-5D6E-409C-BE32-E72D297353CC}">
              <c16:uniqueId val="{00000007-4651-4383-8895-92E4F26787A2}"/>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RD'!$AB$181</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cat>
            <c:numRef>
              <c:f>'Results ReCiPe (H) - RD'!$AC$172:$BA$172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RD'!$AC$181:$BA$181</c:f>
              <c:numCache>
                <c:formatCode>0.00E+00</c:formatCode>
                <c:ptCount val="25"/>
                <c:pt idx="0">
                  <c:v>5309.1944007563843</c:v>
                </c:pt>
                <c:pt idx="1">
                  <c:v>2072.0835952799448</c:v>
                </c:pt>
                <c:pt idx="2">
                  <c:v>2056.9040109049365</c:v>
                </c:pt>
                <c:pt idx="3">
                  <c:v>2153.3703857214477</c:v>
                </c:pt>
                <c:pt idx="4">
                  <c:v>2022.0977239569506</c:v>
                </c:pt>
                <c:pt idx="5">
                  <c:v>2006.9825980188248</c:v>
                </c:pt>
                <c:pt idx="6">
                  <c:v>2118.5104932974441</c:v>
                </c:pt>
                <c:pt idx="7">
                  <c:v>1998.2538866200143</c:v>
                </c:pt>
                <c:pt idx="8">
                  <c:v>1989.9184663564736</c:v>
                </c:pt>
                <c:pt idx="9">
                  <c:v>2100.879824958115</c:v>
                </c:pt>
                <c:pt idx="10">
                  <c:v>1980.265236754303</c:v>
                </c:pt>
                <c:pt idx="11">
                  <c:v>1967.439533989753</c:v>
                </c:pt>
                <c:pt idx="12">
                  <c:v>2069.61551917614</c:v>
                </c:pt>
                <c:pt idx="13">
                  <c:v>1940.2035280911778</c:v>
                </c:pt>
                <c:pt idx="14">
                  <c:v>1926.723299661925</c:v>
                </c:pt>
                <c:pt idx="15">
                  <c:v>2027.2407492963696</c:v>
                </c:pt>
                <c:pt idx="16">
                  <c:v>1924.3696140798766</c:v>
                </c:pt>
                <c:pt idx="17">
                  <c:v>1935.5042022579867</c:v>
                </c:pt>
                <c:pt idx="18">
                  <c:v>2058.9194130797541</c:v>
                </c:pt>
                <c:pt idx="19">
                  <c:v>1956.2537438202794</c:v>
                </c:pt>
                <c:pt idx="20">
                  <c:v>1966.7686702164983</c:v>
                </c:pt>
                <c:pt idx="21">
                  <c:v>2061.3716251330848</c:v>
                </c:pt>
                <c:pt idx="22">
                  <c:v>1930.2845140001868</c:v>
                </c:pt>
                <c:pt idx="23">
                  <c:v>1911.9795173801378</c:v>
                </c:pt>
                <c:pt idx="24">
                  <c:v>2049.3168303432053</c:v>
                </c:pt>
              </c:numCache>
            </c:numRef>
          </c:val>
          <c:smooth val="0"/>
          <c:extLst>
            <c:ext xmlns:c16="http://schemas.microsoft.com/office/drawing/2014/chart" uri="{C3380CC4-5D6E-409C-BE32-E72D297353CC}">
              <c16:uniqueId val="{00000008-4651-4383-8895-92E4F26787A2}"/>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Resource damage</a:t>
                </a:r>
              </a:p>
              <a:p>
                <a:pPr algn="ctr" rtl="0">
                  <a:defRPr/>
                </a:pPr>
                <a:r>
                  <a:rPr lang="nl-NL"/>
                  <a:t>[USD2013/ton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RD'!$AB$214</c:f>
              <c:strCache>
                <c:ptCount val="1"/>
                <c:pt idx="0">
                  <c:v>Construction - DAC</c:v>
                </c:pt>
              </c:strCache>
            </c:strRef>
          </c:tx>
          <c:spPr>
            <a:solidFill>
              <a:schemeClr val="accent4">
                <a:lumMod val="75000"/>
              </a:schemeClr>
            </a:solidFill>
            <a:ln>
              <a:noFill/>
            </a:ln>
            <a:effectLst/>
          </c:spPr>
          <c:invertIfNegative val="0"/>
          <c:cat>
            <c:numRef>
              <c:f>'Results ReCiPe (H) - RD'!$AC$213:$BA$213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RD'!$AC$214:$BA$214</c:f>
              <c:numCache>
                <c:formatCode>0.00E+00</c:formatCode>
                <c:ptCount val="25"/>
                <c:pt idx="0">
                  <c:v>2681.9296561792253</c:v>
                </c:pt>
              </c:numCache>
            </c:numRef>
          </c:val>
          <c:extLst>
            <c:ext xmlns:c16="http://schemas.microsoft.com/office/drawing/2014/chart" uri="{C3380CC4-5D6E-409C-BE32-E72D297353CC}">
              <c16:uniqueId val="{00000000-F6C5-4816-9D87-F6C7C4AA4758}"/>
            </c:ext>
          </c:extLst>
        </c:ser>
        <c:ser>
          <c:idx val="1"/>
          <c:order val="1"/>
          <c:tx>
            <c:strRef>
              <c:f>'Results ReCiPe (H) - RD'!$AB$215</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(H) - RD'!$AC$213:$BA$213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RD'!$AC$215:$BA$215</c:f>
              <c:numCache>
                <c:formatCode>0.00E+00</c:formatCode>
                <c:ptCount val="25"/>
                <c:pt idx="0">
                  <c:v>258.88808240632699</c:v>
                </c:pt>
              </c:numCache>
            </c:numRef>
          </c:val>
          <c:extLst>
            <c:ext xmlns:c16="http://schemas.microsoft.com/office/drawing/2014/chart" uri="{C3380CC4-5D6E-409C-BE32-E72D297353CC}">
              <c16:uniqueId val="{00000001-F6C5-4816-9D87-F6C7C4AA4758}"/>
            </c:ext>
          </c:extLst>
        </c:ser>
        <c:ser>
          <c:idx val="2"/>
          <c:order val="2"/>
          <c:tx>
            <c:strRef>
              <c:f>'Results ReCiPe (H) - RD'!$AB$216</c:f>
              <c:strCache>
                <c:ptCount val="1"/>
                <c:pt idx="0">
                  <c:v>Deconstruction - DAC</c:v>
                </c:pt>
              </c:strCache>
            </c:strRef>
          </c:tx>
          <c:spPr>
            <a:solidFill>
              <a:schemeClr val="accent2">
                <a:lumMod val="40000"/>
                <a:lumOff val="60000"/>
              </a:schemeClr>
            </a:solidFill>
            <a:ln>
              <a:noFill/>
            </a:ln>
            <a:effectLst/>
          </c:spPr>
          <c:invertIfNegative val="0"/>
          <c:cat>
            <c:numRef>
              <c:f>'Results ReCiPe (H) - RD'!$AC$213:$BA$213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RD'!$AC$216:$BA$216</c:f>
              <c:numCache>
                <c:formatCode>0.00E+00</c:formatCode>
                <c:ptCount val="25"/>
                <c:pt idx="24">
                  <c:v>38.789621318581062</c:v>
                </c:pt>
              </c:numCache>
            </c:numRef>
          </c:val>
          <c:extLst>
            <c:ext xmlns:c16="http://schemas.microsoft.com/office/drawing/2014/chart" uri="{C3380CC4-5D6E-409C-BE32-E72D297353CC}">
              <c16:uniqueId val="{00000002-F6C5-4816-9D87-F6C7C4AA4758}"/>
            </c:ext>
          </c:extLst>
        </c:ser>
        <c:ser>
          <c:idx val="3"/>
          <c:order val="3"/>
          <c:tx>
            <c:strRef>
              <c:f>'Results ReCiPe (H) - RD'!$AB$217</c:f>
              <c:strCache>
                <c:ptCount val="1"/>
                <c:pt idx="0">
                  <c:v>Deconstruction - geological storage</c:v>
                </c:pt>
              </c:strCache>
            </c:strRef>
          </c:tx>
          <c:spPr>
            <a:solidFill>
              <a:srgbClr val="FF9900"/>
            </a:solidFill>
            <a:ln>
              <a:noFill/>
            </a:ln>
            <a:effectLst/>
          </c:spPr>
          <c:invertIfNegative val="0"/>
          <c:cat>
            <c:numRef>
              <c:f>'Results ReCiPe (H) - RD'!$AC$213:$BA$213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RD'!$AC$217:$BA$217</c:f>
              <c:numCache>
                <c:formatCode>0.00E+00</c:formatCode>
                <c:ptCount val="25"/>
                <c:pt idx="24">
                  <c:v>1.2288061080708204</c:v>
                </c:pt>
              </c:numCache>
            </c:numRef>
          </c:val>
          <c:extLst>
            <c:ext xmlns:c16="http://schemas.microsoft.com/office/drawing/2014/chart" uri="{C3380CC4-5D6E-409C-BE32-E72D297353CC}">
              <c16:uniqueId val="{00000003-F6C5-4816-9D87-F6C7C4AA4758}"/>
            </c:ext>
          </c:extLst>
        </c:ser>
        <c:ser>
          <c:idx val="4"/>
          <c:order val="4"/>
          <c:tx>
            <c:strRef>
              <c:f>'Results ReCiPe (H) - RD'!$AB$218</c:f>
              <c:strCache>
                <c:ptCount val="1"/>
                <c:pt idx="0">
                  <c:v>Sorbent material</c:v>
                </c:pt>
              </c:strCache>
            </c:strRef>
          </c:tx>
          <c:spPr>
            <a:solidFill>
              <a:srgbClr val="FF9900"/>
            </a:solidFill>
            <a:ln>
              <a:noFill/>
            </a:ln>
            <a:effectLst/>
          </c:spPr>
          <c:invertIfNegative val="0"/>
          <c:cat>
            <c:numRef>
              <c:f>'Results ReCiPe (H) - RD'!$AC$213:$BA$213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RD'!$AC$218:$BA$218</c:f>
              <c:numCache>
                <c:formatCode>0.00E+00</c:formatCode>
                <c:ptCount val="25"/>
                <c:pt idx="0">
                  <c:v>114.06781731957111</c:v>
                </c:pt>
                <c:pt idx="3">
                  <c:v>112.3911675049322</c:v>
                </c:pt>
                <c:pt idx="6">
                  <c:v>112.2010947204887</c:v>
                </c:pt>
                <c:pt idx="9">
                  <c:v>113.21958271568749</c:v>
                </c:pt>
                <c:pt idx="12">
                  <c:v>113.61473943331841</c:v>
                </c:pt>
                <c:pt idx="15">
                  <c:v>113.3787859326078</c:v>
                </c:pt>
                <c:pt idx="18">
                  <c:v>112.2791950057142</c:v>
                </c:pt>
                <c:pt idx="21">
                  <c:v>111.5739444092645</c:v>
                </c:pt>
                <c:pt idx="24">
                  <c:v>111.3824079888096</c:v>
                </c:pt>
              </c:numCache>
            </c:numRef>
          </c:val>
          <c:extLst>
            <c:ext xmlns:c16="http://schemas.microsoft.com/office/drawing/2014/chart" uri="{C3380CC4-5D6E-409C-BE32-E72D297353CC}">
              <c16:uniqueId val="{00000004-F6C5-4816-9D87-F6C7C4AA4758}"/>
            </c:ext>
          </c:extLst>
        </c:ser>
        <c:ser>
          <c:idx val="5"/>
          <c:order val="5"/>
          <c:tx>
            <c:strRef>
              <c:f>'Results ReCiPe (H) - RD'!$AB$219</c:f>
              <c:strCache>
                <c:ptCount val="1"/>
                <c:pt idx="0">
                  <c:v>Operation - DAC</c:v>
                </c:pt>
              </c:strCache>
            </c:strRef>
          </c:tx>
          <c:spPr>
            <a:solidFill>
              <a:schemeClr val="accent2">
                <a:lumMod val="75000"/>
              </a:schemeClr>
            </a:solidFill>
            <a:ln>
              <a:noFill/>
            </a:ln>
            <a:effectLst/>
          </c:spPr>
          <c:invertIfNegative val="0"/>
          <c:cat>
            <c:numRef>
              <c:f>'Results ReCiPe (H) - RD'!$AC$213:$BA$213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RD'!$AC$219:$BA$219</c:f>
              <c:numCache>
                <c:formatCode>0.00E+00</c:formatCode>
                <c:ptCount val="25"/>
                <c:pt idx="0">
                  <c:v>1175.8452241785824</c:v>
                </c:pt>
                <c:pt idx="1">
                  <c:v>1087.0891072007541</c:v>
                </c:pt>
                <c:pt idx="2">
                  <c:v>997.62082450104299</c:v>
                </c:pt>
                <c:pt idx="3">
                  <c:v>902.77080385259717</c:v>
                </c:pt>
                <c:pt idx="4">
                  <c:v>811.69338552061743</c:v>
                </c:pt>
                <c:pt idx="5">
                  <c:v>719.90952411155206</c:v>
                </c:pt>
                <c:pt idx="6">
                  <c:v>830.5494196246367</c:v>
                </c:pt>
                <c:pt idx="7">
                  <c:v>940.90859230346416</c:v>
                </c:pt>
                <c:pt idx="8">
                  <c:v>1046.4356996736349</c:v>
                </c:pt>
                <c:pt idx="9">
                  <c:v>1156.0917592662138</c:v>
                </c:pt>
                <c:pt idx="10">
                  <c:v>1265.4894480400476</c:v>
                </c:pt>
                <c:pt idx="11">
                  <c:v>1401.5236823982696</c:v>
                </c:pt>
                <c:pt idx="12">
                  <c:v>1537.1204937656278</c:v>
                </c:pt>
                <c:pt idx="13">
                  <c:v>1671.2453102185493</c:v>
                </c:pt>
                <c:pt idx="14">
                  <c:v>1805.9907176359361</c:v>
                </c:pt>
                <c:pt idx="15">
                  <c:v>1940.2936655372544</c:v>
                </c:pt>
                <c:pt idx="16">
                  <c:v>1891.2598128052794</c:v>
                </c:pt>
                <c:pt idx="17">
                  <c:v>1842.4822013892767</c:v>
                </c:pt>
                <c:pt idx="18">
                  <c:v>1793.0190339898018</c:v>
                </c:pt>
                <c:pt idx="19">
                  <c:v>1744.7644437652114</c:v>
                </c:pt>
                <c:pt idx="20">
                  <c:v>1696.7334797357501</c:v>
                </c:pt>
                <c:pt idx="21">
                  <c:v>1697.2356339225128</c:v>
                </c:pt>
                <c:pt idx="22">
                  <c:v>1697.7935834059967</c:v>
                </c:pt>
                <c:pt idx="23">
                  <c:v>1698.3396815294088</c:v>
                </c:pt>
                <c:pt idx="24">
                  <c:v>1698.8725316497232</c:v>
                </c:pt>
              </c:numCache>
            </c:numRef>
          </c:val>
          <c:extLst>
            <c:ext xmlns:c16="http://schemas.microsoft.com/office/drawing/2014/chart" uri="{C3380CC4-5D6E-409C-BE32-E72D297353CC}">
              <c16:uniqueId val="{00000005-F6C5-4816-9D87-F6C7C4AA4758}"/>
            </c:ext>
          </c:extLst>
        </c:ser>
        <c:ser>
          <c:idx val="6"/>
          <c:order val="6"/>
          <c:tx>
            <c:strRef>
              <c:f>'Results ReCiPe (H) - RD'!$AB$220</c:f>
              <c:strCache>
                <c:ptCount val="1"/>
                <c:pt idx="0">
                  <c:v>Operation - geological storage</c:v>
                </c:pt>
              </c:strCache>
            </c:strRef>
          </c:tx>
          <c:spPr>
            <a:solidFill>
              <a:schemeClr val="accent2">
                <a:lumMod val="50000"/>
              </a:schemeClr>
            </a:solidFill>
            <a:ln>
              <a:noFill/>
            </a:ln>
            <a:effectLst/>
          </c:spPr>
          <c:invertIfNegative val="0"/>
          <c:cat>
            <c:numRef>
              <c:f>'Results ReCiPe (H) - RD'!$AC$213:$BA$213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RD'!$AC$220:$BA$220</c:f>
              <c:numCache>
                <c:formatCode>0.00E+00</c:formatCode>
                <c:ptCount val="25"/>
                <c:pt idx="0">
                  <c:v>118.7649636998278</c:v>
                </c:pt>
                <c:pt idx="1">
                  <c:v>109.5932384447962</c:v>
                </c:pt>
                <c:pt idx="2">
                  <c:v>100.41460012870719</c:v>
                </c:pt>
                <c:pt idx="3">
                  <c:v>90.777455527861918</c:v>
                </c:pt>
                <c:pt idx="4">
                  <c:v>81.570934765721915</c:v>
                </c:pt>
                <c:pt idx="5">
                  <c:v>72.359798079795141</c:v>
                </c:pt>
                <c:pt idx="6">
                  <c:v>83.090067110340485</c:v>
                </c:pt>
                <c:pt idx="7">
                  <c:v>93.746280998158767</c:v>
                </c:pt>
                <c:pt idx="8">
                  <c:v>103.88763060054831</c:v>
                </c:pt>
                <c:pt idx="9">
                  <c:v>114.38321113321291</c:v>
                </c:pt>
                <c:pt idx="10">
                  <c:v>124.8073148894706</c:v>
                </c:pt>
                <c:pt idx="11">
                  <c:v>138.0260259358314</c:v>
                </c:pt>
                <c:pt idx="12">
                  <c:v>151.2246892594209</c:v>
                </c:pt>
                <c:pt idx="13">
                  <c:v>164.30326053808798</c:v>
                </c:pt>
                <c:pt idx="14">
                  <c:v>177.4640980001044</c:v>
                </c:pt>
                <c:pt idx="15">
                  <c:v>190.60431325869141</c:v>
                </c:pt>
                <c:pt idx="16">
                  <c:v>186.55163632819099</c:v>
                </c:pt>
                <c:pt idx="17">
                  <c:v>182.4817186104238</c:v>
                </c:pt>
                <c:pt idx="18">
                  <c:v>178.30313445153249</c:v>
                </c:pt>
                <c:pt idx="19">
                  <c:v>174.20067305803809</c:v>
                </c:pt>
                <c:pt idx="20">
                  <c:v>170.08012725792042</c:v>
                </c:pt>
                <c:pt idx="21">
                  <c:v>169.9149619203435</c:v>
                </c:pt>
                <c:pt idx="22">
                  <c:v>169.75846340264729</c:v>
                </c:pt>
                <c:pt idx="23">
                  <c:v>169.60054526307579</c:v>
                </c:pt>
                <c:pt idx="24">
                  <c:v>169.44099770029101</c:v>
                </c:pt>
              </c:numCache>
            </c:numRef>
          </c:val>
          <c:extLst>
            <c:ext xmlns:c16="http://schemas.microsoft.com/office/drawing/2014/chart" uri="{C3380CC4-5D6E-409C-BE32-E72D297353CC}">
              <c16:uniqueId val="{00000006-F6C5-4816-9D87-F6C7C4AA4758}"/>
            </c:ext>
          </c:extLst>
        </c:ser>
        <c:ser>
          <c:idx val="7"/>
          <c:order val="7"/>
          <c:tx>
            <c:strRef>
              <c:f>'Results ReCiPe (H) - RD'!$AB$221</c:f>
              <c:strCache>
                <c:ptCount val="1"/>
                <c:pt idx="0">
                  <c:v>CO2 captured and stored</c:v>
                </c:pt>
              </c:strCache>
            </c:strRef>
          </c:tx>
          <c:spPr>
            <a:solidFill>
              <a:schemeClr val="tx2">
                <a:lumMod val="20000"/>
                <a:lumOff val="80000"/>
              </a:schemeClr>
            </a:solidFill>
            <a:ln>
              <a:noFill/>
            </a:ln>
            <a:effectLst/>
          </c:spPr>
          <c:invertIfNegative val="0"/>
          <c:cat>
            <c:numRef>
              <c:f>'Results ReCiPe (H) - RD'!$AC$213:$BA$213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RD'!$AC$221:$BA$221</c:f>
              <c:numCache>
                <c:formatCode>0.00E+00</c:formatCode>
                <c:ptCount val="25"/>
              </c:numCache>
            </c:numRef>
          </c:val>
          <c:extLst>
            <c:ext xmlns:c16="http://schemas.microsoft.com/office/drawing/2014/chart" uri="{C3380CC4-5D6E-409C-BE32-E72D297353CC}">
              <c16:uniqueId val="{00000007-F6C5-4816-9D87-F6C7C4AA4758}"/>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RD'!$AB$222</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cat>
            <c:numRef>
              <c:f>'Results ReCiPe (H) - RD'!$AC$213:$BA$213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RD'!$AC$222:$BA$222</c:f>
              <c:numCache>
                <c:formatCode>0.00E+00</c:formatCode>
                <c:ptCount val="25"/>
                <c:pt idx="0">
                  <c:v>4349.4957437835337</c:v>
                </c:pt>
                <c:pt idx="1">
                  <c:v>1196.6823456455504</c:v>
                </c:pt>
                <c:pt idx="2">
                  <c:v>1098.0354246297502</c:v>
                </c:pt>
                <c:pt idx="3">
                  <c:v>1105.9394268853914</c:v>
                </c:pt>
                <c:pt idx="4">
                  <c:v>893.2643202863394</c:v>
                </c:pt>
                <c:pt idx="5">
                  <c:v>792.26932219134721</c:v>
                </c:pt>
                <c:pt idx="6">
                  <c:v>1025.8405814554658</c:v>
                </c:pt>
                <c:pt idx="7">
                  <c:v>1034.654873301623</c:v>
                </c:pt>
                <c:pt idx="8">
                  <c:v>1150.3233302741833</c:v>
                </c:pt>
                <c:pt idx="9">
                  <c:v>1383.6945531151141</c:v>
                </c:pt>
                <c:pt idx="10">
                  <c:v>1390.2967629295181</c:v>
                </c:pt>
                <c:pt idx="11">
                  <c:v>1539.5497083341011</c:v>
                </c:pt>
                <c:pt idx="12">
                  <c:v>1801.9599224583671</c:v>
                </c:pt>
                <c:pt idx="13">
                  <c:v>1835.5485707566372</c:v>
                </c:pt>
                <c:pt idx="14">
                  <c:v>1983.4548156360406</c:v>
                </c:pt>
                <c:pt idx="15">
                  <c:v>2244.2767647285536</c:v>
                </c:pt>
                <c:pt idx="16">
                  <c:v>2077.8114491334704</c:v>
                </c:pt>
                <c:pt idx="17">
                  <c:v>2024.9639199997005</c:v>
                </c:pt>
                <c:pt idx="18">
                  <c:v>2083.6013634470482</c:v>
                </c:pt>
                <c:pt idx="19">
                  <c:v>1918.9651168232494</c:v>
                </c:pt>
                <c:pt idx="20">
                  <c:v>1866.8136069936704</c:v>
                </c:pt>
                <c:pt idx="21">
                  <c:v>1978.7245402521207</c:v>
                </c:pt>
                <c:pt idx="22">
                  <c:v>1867.552046808644</c:v>
                </c:pt>
                <c:pt idx="23">
                  <c:v>1867.9402267924847</c:v>
                </c:pt>
                <c:pt idx="24">
                  <c:v>2019.7143647654757</c:v>
                </c:pt>
              </c:numCache>
            </c:numRef>
          </c:val>
          <c:smooth val="0"/>
          <c:extLst>
            <c:ext xmlns:c16="http://schemas.microsoft.com/office/drawing/2014/chart" uri="{C3380CC4-5D6E-409C-BE32-E72D297353CC}">
              <c16:uniqueId val="{00000008-F6C5-4816-9D87-F6C7C4AA4758}"/>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Resource damage </a:t>
                </a:r>
              </a:p>
              <a:p>
                <a:pPr algn="ctr" rtl="0">
                  <a:defRPr/>
                </a:pPr>
                <a:r>
                  <a:rPr lang="nl-NL"/>
                  <a:t>[USD2013/ton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26879729621161"/>
          <c:y val="5.4106329588493672E-2"/>
          <c:w val="0.87797394606685986"/>
          <c:h val="0.75500483548693564"/>
        </c:manualLayout>
      </c:layout>
      <c:barChart>
        <c:barDir val="col"/>
        <c:grouping val="stacked"/>
        <c:varyColors val="0"/>
        <c:ser>
          <c:idx val="0"/>
          <c:order val="0"/>
          <c:tx>
            <c:strRef>
              <c:f>'Results ReCiPe (H) - RD'!$AB$274</c:f>
              <c:strCache>
                <c:ptCount val="1"/>
                <c:pt idx="0">
                  <c:v>Construction - DAC</c:v>
                </c:pt>
              </c:strCache>
            </c:strRef>
          </c:tx>
          <c:spPr>
            <a:solidFill>
              <a:schemeClr val="accent4">
                <a:lumMod val="75000"/>
              </a:schemeClr>
            </a:solidFill>
            <a:ln>
              <a:noFill/>
            </a:ln>
            <a:effectLst/>
          </c:spPr>
          <c:invertIfNegative val="0"/>
          <c:cat>
            <c:numRef>
              <c:f>'Results ReCiPe (H) - RD'!$AC$273:$BA$273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RD'!$AC$274:$BA$274</c:f>
              <c:numCache>
                <c:formatCode>0.00E+00</c:formatCode>
                <c:ptCount val="25"/>
                <c:pt idx="0">
                  <c:v>2845.7346061175544</c:v>
                </c:pt>
              </c:numCache>
            </c:numRef>
          </c:val>
          <c:extLst>
            <c:ext xmlns:c16="http://schemas.microsoft.com/office/drawing/2014/chart" uri="{C3380CC4-5D6E-409C-BE32-E72D297353CC}">
              <c16:uniqueId val="{00000000-A29B-4890-8DC2-E7B03630687E}"/>
            </c:ext>
          </c:extLst>
        </c:ser>
        <c:ser>
          <c:idx val="1"/>
          <c:order val="1"/>
          <c:tx>
            <c:strRef>
              <c:f>'Results ReCiPe (H) - RD'!$AB$275</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(H) - RD'!$AC$273:$BA$273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RD'!$AC$275:$BA$275</c:f>
              <c:numCache>
                <c:formatCode>0.00E+00</c:formatCode>
                <c:ptCount val="25"/>
                <c:pt idx="0">
                  <c:v>134.83838270239062</c:v>
                </c:pt>
              </c:numCache>
            </c:numRef>
          </c:val>
          <c:extLst>
            <c:ext xmlns:c16="http://schemas.microsoft.com/office/drawing/2014/chart" uri="{C3380CC4-5D6E-409C-BE32-E72D297353CC}">
              <c16:uniqueId val="{00000001-A29B-4890-8DC2-E7B03630687E}"/>
            </c:ext>
          </c:extLst>
        </c:ser>
        <c:ser>
          <c:idx val="2"/>
          <c:order val="2"/>
          <c:tx>
            <c:strRef>
              <c:f>'Results ReCiPe (H) - RD'!$AB$276</c:f>
              <c:strCache>
                <c:ptCount val="1"/>
                <c:pt idx="0">
                  <c:v>Deconstruction - DAC</c:v>
                </c:pt>
              </c:strCache>
            </c:strRef>
          </c:tx>
          <c:spPr>
            <a:solidFill>
              <a:schemeClr val="accent2">
                <a:lumMod val="40000"/>
                <a:lumOff val="60000"/>
              </a:schemeClr>
            </a:solidFill>
            <a:ln>
              <a:noFill/>
            </a:ln>
            <a:effectLst/>
          </c:spPr>
          <c:invertIfNegative val="0"/>
          <c:cat>
            <c:numRef>
              <c:f>'Results ReCiPe (H) - RD'!$AC$273:$BA$273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RD'!$AC$276:$BA$276</c:f>
              <c:numCache>
                <c:formatCode>0.00E+00</c:formatCode>
                <c:ptCount val="25"/>
                <c:pt idx="24">
                  <c:v>45.635874346592793</c:v>
                </c:pt>
              </c:numCache>
            </c:numRef>
          </c:val>
          <c:extLst>
            <c:ext xmlns:c16="http://schemas.microsoft.com/office/drawing/2014/chart" uri="{C3380CC4-5D6E-409C-BE32-E72D297353CC}">
              <c16:uniqueId val="{00000002-A29B-4890-8DC2-E7B03630687E}"/>
            </c:ext>
          </c:extLst>
        </c:ser>
        <c:ser>
          <c:idx val="3"/>
          <c:order val="3"/>
          <c:tx>
            <c:strRef>
              <c:f>'Results ReCiPe (H) - RD'!$AB$277</c:f>
              <c:strCache>
                <c:ptCount val="1"/>
                <c:pt idx="0">
                  <c:v>Deconstruction - geological storage</c:v>
                </c:pt>
              </c:strCache>
            </c:strRef>
          </c:tx>
          <c:spPr>
            <a:solidFill>
              <a:srgbClr val="FF9900"/>
            </a:solidFill>
            <a:ln>
              <a:noFill/>
            </a:ln>
            <a:effectLst/>
          </c:spPr>
          <c:invertIfNegative val="0"/>
          <c:cat>
            <c:numRef>
              <c:f>'Results ReCiPe (H) - RD'!$AC$273:$BA$273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RD'!$AC$277:$BA$277</c:f>
              <c:numCache>
                <c:formatCode>0.00E+00</c:formatCode>
                <c:ptCount val="25"/>
                <c:pt idx="24">
                  <c:v>2.6853148874369804E-4</c:v>
                </c:pt>
              </c:numCache>
            </c:numRef>
          </c:val>
          <c:extLst>
            <c:ext xmlns:c16="http://schemas.microsoft.com/office/drawing/2014/chart" uri="{C3380CC4-5D6E-409C-BE32-E72D297353CC}">
              <c16:uniqueId val="{00000003-A29B-4890-8DC2-E7B03630687E}"/>
            </c:ext>
          </c:extLst>
        </c:ser>
        <c:ser>
          <c:idx val="4"/>
          <c:order val="4"/>
          <c:tx>
            <c:strRef>
              <c:f>'Results ReCiPe (H) - RD'!$AB$278</c:f>
              <c:strCache>
                <c:ptCount val="1"/>
                <c:pt idx="0">
                  <c:v>Sorbent material</c:v>
                </c:pt>
              </c:strCache>
            </c:strRef>
          </c:tx>
          <c:spPr>
            <a:solidFill>
              <a:srgbClr val="FF8F8F"/>
            </a:solidFill>
            <a:ln>
              <a:noFill/>
            </a:ln>
            <a:effectLst/>
          </c:spPr>
          <c:invertIfNegative val="0"/>
          <c:cat>
            <c:numRef>
              <c:f>'Results ReCiPe (H) - RD'!$AC$273:$BA$273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RD'!$AC$278:$BA$278</c:f>
              <c:numCache>
                <c:formatCode>0.00E+00</c:formatCode>
                <c:ptCount val="25"/>
                <c:pt idx="0">
                  <c:v>118.1930543229993</c:v>
                </c:pt>
                <c:pt idx="3">
                  <c:v>117.3708968791351</c:v>
                </c:pt>
                <c:pt idx="6">
                  <c:v>117.2479070799383</c:v>
                </c:pt>
                <c:pt idx="9">
                  <c:v>116.65080958776529</c:v>
                </c:pt>
                <c:pt idx="12">
                  <c:v>116.5694194979278</c:v>
                </c:pt>
                <c:pt idx="15">
                  <c:v>116.3562974875733</c:v>
                </c:pt>
                <c:pt idx="18">
                  <c:v>116.0610845903859</c:v>
                </c:pt>
                <c:pt idx="21">
                  <c:v>115.9379738654637</c:v>
                </c:pt>
                <c:pt idx="24">
                  <c:v>115.8757111011497</c:v>
                </c:pt>
              </c:numCache>
            </c:numRef>
          </c:val>
          <c:extLst>
            <c:ext xmlns:c16="http://schemas.microsoft.com/office/drawing/2014/chart" uri="{C3380CC4-5D6E-409C-BE32-E72D297353CC}">
              <c16:uniqueId val="{00000004-A29B-4890-8DC2-E7B03630687E}"/>
            </c:ext>
          </c:extLst>
        </c:ser>
        <c:ser>
          <c:idx val="5"/>
          <c:order val="5"/>
          <c:tx>
            <c:strRef>
              <c:f>'Results ReCiPe (H) - RD'!$AB$279</c:f>
              <c:strCache>
                <c:ptCount val="1"/>
                <c:pt idx="0">
                  <c:v>Battery</c:v>
                </c:pt>
              </c:strCache>
            </c:strRef>
          </c:tx>
          <c:spPr>
            <a:solidFill>
              <a:schemeClr val="accent6">
                <a:lumMod val="50000"/>
              </a:schemeClr>
            </a:solidFill>
            <a:ln>
              <a:noFill/>
            </a:ln>
            <a:effectLst/>
          </c:spPr>
          <c:invertIfNegative val="0"/>
          <c:cat>
            <c:numRef>
              <c:f>'Results ReCiPe (H) - RD'!$AC$273:$BA$273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RD'!$AC$279:$BA$279</c:f>
              <c:numCache>
                <c:formatCode>0.00E+00</c:formatCode>
                <c:ptCount val="25"/>
                <c:pt idx="0">
                  <c:v>426.28778307629489</c:v>
                </c:pt>
                <c:pt idx="1">
                  <c:v>426.28778307629489</c:v>
                </c:pt>
                <c:pt idx="2">
                  <c:v>426.28778307629489</c:v>
                </c:pt>
                <c:pt idx="3">
                  <c:v>426.28778307629489</c:v>
                </c:pt>
                <c:pt idx="4">
                  <c:v>426.28778307629489</c:v>
                </c:pt>
                <c:pt idx="5">
                  <c:v>426.28778307629489</c:v>
                </c:pt>
                <c:pt idx="6">
                  <c:v>426.28778307629489</c:v>
                </c:pt>
                <c:pt idx="7">
                  <c:v>426.28778307629489</c:v>
                </c:pt>
                <c:pt idx="8">
                  <c:v>426.28778307629489</c:v>
                </c:pt>
                <c:pt idx="9">
                  <c:v>426.28778307629489</c:v>
                </c:pt>
                <c:pt idx="10">
                  <c:v>426.28778307629489</c:v>
                </c:pt>
                <c:pt idx="11">
                  <c:v>426.28778307629489</c:v>
                </c:pt>
                <c:pt idx="12">
                  <c:v>426.28778307629489</c:v>
                </c:pt>
                <c:pt idx="13">
                  <c:v>426.28778307629489</c:v>
                </c:pt>
                <c:pt idx="14">
                  <c:v>426.28778307629489</c:v>
                </c:pt>
                <c:pt idx="15">
                  <c:v>426.28778307629489</c:v>
                </c:pt>
                <c:pt idx="16">
                  <c:v>426.28778307629489</c:v>
                </c:pt>
                <c:pt idx="17">
                  <c:v>426.28778307629489</c:v>
                </c:pt>
                <c:pt idx="18">
                  <c:v>426.28778307629489</c:v>
                </c:pt>
                <c:pt idx="19">
                  <c:v>426.28778307629489</c:v>
                </c:pt>
                <c:pt idx="20">
                  <c:v>426.28778307629489</c:v>
                </c:pt>
                <c:pt idx="21">
                  <c:v>426.28778307629489</c:v>
                </c:pt>
                <c:pt idx="22">
                  <c:v>426.28778307629489</c:v>
                </c:pt>
                <c:pt idx="23">
                  <c:v>426.28778307629489</c:v>
                </c:pt>
                <c:pt idx="24">
                  <c:v>426.28778307629489</c:v>
                </c:pt>
              </c:numCache>
            </c:numRef>
          </c:val>
          <c:extLst>
            <c:ext xmlns:c16="http://schemas.microsoft.com/office/drawing/2014/chart" uri="{C3380CC4-5D6E-409C-BE32-E72D297353CC}">
              <c16:uniqueId val="{00000005-A29B-4890-8DC2-E7B03630687E}"/>
            </c:ext>
          </c:extLst>
        </c:ser>
        <c:ser>
          <c:idx val="6"/>
          <c:order val="6"/>
          <c:tx>
            <c:strRef>
              <c:f>'Results ReCiPe (H) - RD'!$AB$280</c:f>
              <c:strCache>
                <c:ptCount val="1"/>
                <c:pt idx="0">
                  <c:v>Operation - DAC</c:v>
                </c:pt>
              </c:strCache>
            </c:strRef>
          </c:tx>
          <c:spPr>
            <a:solidFill>
              <a:schemeClr val="accent2">
                <a:lumMod val="75000"/>
              </a:schemeClr>
            </a:solidFill>
            <a:ln>
              <a:noFill/>
            </a:ln>
            <a:effectLst/>
          </c:spPr>
          <c:invertIfNegative val="0"/>
          <c:cat>
            <c:numRef>
              <c:f>'Results ReCiPe (H) - RD'!$AC$273:$BA$273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RD'!$AC$280:$BA$280</c:f>
              <c:numCache>
                <c:formatCode>0.00E+00</c:formatCode>
                <c:ptCount val="25"/>
                <c:pt idx="0">
                  <c:v>355.06709500227214</c:v>
                </c:pt>
                <c:pt idx="1">
                  <c:v>354.19660016448358</c:v>
                </c:pt>
                <c:pt idx="2">
                  <c:v>353.34419684002478</c:v>
                </c:pt>
                <c:pt idx="3">
                  <c:v>349.0528051523429</c:v>
                </c:pt>
                <c:pt idx="4">
                  <c:v>348.24279769795908</c:v>
                </c:pt>
                <c:pt idx="5">
                  <c:v>347.44487151081171</c:v>
                </c:pt>
                <c:pt idx="6">
                  <c:v>346.58675503038023</c:v>
                </c:pt>
                <c:pt idx="7">
                  <c:v>345.75691753661886</c:v>
                </c:pt>
                <c:pt idx="8">
                  <c:v>342.55486383826599</c:v>
                </c:pt>
                <c:pt idx="9">
                  <c:v>341.79004706784241</c:v>
                </c:pt>
                <c:pt idx="10">
                  <c:v>341.04628736630411</c:v>
                </c:pt>
                <c:pt idx="11">
                  <c:v>340.52055802487507</c:v>
                </c:pt>
                <c:pt idx="12">
                  <c:v>340.01830292474386</c:v>
                </c:pt>
                <c:pt idx="13">
                  <c:v>338.85271620991568</c:v>
                </c:pt>
                <c:pt idx="14">
                  <c:v>338.39703159987977</c:v>
                </c:pt>
                <c:pt idx="15">
                  <c:v>337.97210643680307</c:v>
                </c:pt>
                <c:pt idx="16">
                  <c:v>337.57355636967867</c:v>
                </c:pt>
                <c:pt idx="17">
                  <c:v>337.17758756895904</c:v>
                </c:pt>
                <c:pt idx="18">
                  <c:v>336.12211547093705</c:v>
                </c:pt>
                <c:pt idx="19">
                  <c:v>335.7375865267951</c:v>
                </c:pt>
                <c:pt idx="20">
                  <c:v>335.35481622262466</c:v>
                </c:pt>
                <c:pt idx="21">
                  <c:v>335.15939462535141</c:v>
                </c:pt>
                <c:pt idx="22">
                  <c:v>334.97033942590645</c:v>
                </c:pt>
                <c:pt idx="23">
                  <c:v>334.78715509001483</c:v>
                </c:pt>
                <c:pt idx="24">
                  <c:v>334.60963094972175</c:v>
                </c:pt>
              </c:numCache>
            </c:numRef>
          </c:val>
          <c:extLst>
            <c:ext xmlns:c16="http://schemas.microsoft.com/office/drawing/2014/chart" uri="{C3380CC4-5D6E-409C-BE32-E72D297353CC}">
              <c16:uniqueId val="{00000006-A29B-4890-8DC2-E7B03630687E}"/>
            </c:ext>
          </c:extLst>
        </c:ser>
        <c:ser>
          <c:idx val="7"/>
          <c:order val="7"/>
          <c:tx>
            <c:strRef>
              <c:f>'Results ReCiPe (H) - RD'!$AB$281</c:f>
              <c:strCache>
                <c:ptCount val="1"/>
                <c:pt idx="0">
                  <c:v>Operation - geological storage</c:v>
                </c:pt>
              </c:strCache>
            </c:strRef>
          </c:tx>
          <c:spPr>
            <a:solidFill>
              <a:schemeClr val="accent2">
                <a:lumMod val="50000"/>
              </a:schemeClr>
            </a:solidFill>
            <a:ln>
              <a:noFill/>
            </a:ln>
            <a:effectLst/>
          </c:spPr>
          <c:invertIfNegative val="0"/>
          <c:cat>
            <c:numRef>
              <c:f>'Results ReCiPe (H) - RD'!$AC$273:$BA$273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RD'!$AC$281:$BA$281</c:f>
              <c:numCache>
                <c:formatCode>0.00E+00</c:formatCode>
                <c:ptCount val="25"/>
                <c:pt idx="0">
                  <c:v>92.950375000180458</c:v>
                </c:pt>
                <c:pt idx="1">
                  <c:v>93.221708676347944</c:v>
                </c:pt>
                <c:pt idx="2">
                  <c:v>93.494837864945652</c:v>
                </c:pt>
                <c:pt idx="3">
                  <c:v>93.581900311997103</c:v>
                </c:pt>
                <c:pt idx="4">
                  <c:v>93.860938450609154</c:v>
                </c:pt>
                <c:pt idx="5">
                  <c:v>94.141558230519891</c:v>
                </c:pt>
                <c:pt idx="6">
                  <c:v>95.59970337682735</c:v>
                </c:pt>
                <c:pt idx="7">
                  <c:v>97.051251221741552</c:v>
                </c:pt>
                <c:pt idx="8">
                  <c:v>98.357802693345548</c:v>
                </c:pt>
                <c:pt idx="9">
                  <c:v>99.802025048845906</c:v>
                </c:pt>
                <c:pt idx="10">
                  <c:v>101.24056013947616</c:v>
                </c:pt>
                <c:pt idx="11">
                  <c:v>101.3273647425363</c:v>
                </c:pt>
                <c:pt idx="12">
                  <c:v>101.40923038843765</c:v>
                </c:pt>
                <c:pt idx="13">
                  <c:v>101.45315118683004</c:v>
                </c:pt>
                <c:pt idx="14">
                  <c:v>101.5249061498729</c:v>
                </c:pt>
                <c:pt idx="15">
                  <c:v>101.59108678724145</c:v>
                </c:pt>
                <c:pt idx="16">
                  <c:v>105.05722328222345</c:v>
                </c:pt>
                <c:pt idx="17">
                  <c:v>108.51815073733411</c:v>
                </c:pt>
                <c:pt idx="18">
                  <c:v>111.94520043876459</c:v>
                </c:pt>
                <c:pt idx="19">
                  <c:v>115.39806484850661</c:v>
                </c:pt>
                <c:pt idx="20">
                  <c:v>118.84714884750791</c:v>
                </c:pt>
                <c:pt idx="21">
                  <c:v>119.36616615097404</c:v>
                </c:pt>
                <c:pt idx="22">
                  <c:v>119.89124291607001</c:v>
                </c:pt>
                <c:pt idx="23">
                  <c:v>120.41819355859036</c:v>
                </c:pt>
                <c:pt idx="24">
                  <c:v>120.94691642864375</c:v>
                </c:pt>
              </c:numCache>
            </c:numRef>
          </c:val>
          <c:extLst>
            <c:ext xmlns:c16="http://schemas.microsoft.com/office/drawing/2014/chart" uri="{C3380CC4-5D6E-409C-BE32-E72D297353CC}">
              <c16:uniqueId val="{00000007-A29B-4890-8DC2-E7B03630687E}"/>
            </c:ext>
          </c:extLst>
        </c:ser>
        <c:ser>
          <c:idx val="8"/>
          <c:order val="8"/>
          <c:tx>
            <c:strRef>
              <c:f>'Results ReCiPe (H) - RD'!$AB$282</c:f>
              <c:strCache>
                <c:ptCount val="1"/>
                <c:pt idx="0">
                  <c:v>CO2 captured and stored</c:v>
                </c:pt>
              </c:strCache>
            </c:strRef>
          </c:tx>
          <c:spPr>
            <a:solidFill>
              <a:schemeClr val="tx2">
                <a:lumMod val="20000"/>
                <a:lumOff val="80000"/>
              </a:schemeClr>
            </a:solidFill>
            <a:ln>
              <a:noFill/>
            </a:ln>
            <a:effectLst/>
          </c:spPr>
          <c:invertIfNegative val="0"/>
          <c:cat>
            <c:numRef>
              <c:f>'Results ReCiPe (H) - RD'!$AC$273:$BA$273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RD'!$AC$282:$BA$282</c:f>
              <c:numCache>
                <c:formatCode>0.00E+00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8-A29B-4890-8DC2-E7B03630687E}"/>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(H) - RD'!$AB$283</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cat>
            <c:numRef>
              <c:f>'Results ReCiPe (H) - RD'!$AC$273:$BA$273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RD'!$AC$283:$BA$283</c:f>
              <c:numCache>
                <c:formatCode>0.00E+00</c:formatCode>
                <c:ptCount val="25"/>
                <c:pt idx="0">
                  <c:v>3973.0712962216917</c:v>
                </c:pt>
                <c:pt idx="1">
                  <c:v>873.7060919171264</c:v>
                </c:pt>
                <c:pt idx="2">
                  <c:v>873.12681778126534</c:v>
                </c:pt>
                <c:pt idx="3">
                  <c:v>986.29338541976995</c:v>
                </c:pt>
                <c:pt idx="4">
                  <c:v>868.39151922486315</c:v>
                </c:pt>
                <c:pt idx="5">
                  <c:v>867.87421281762647</c:v>
                </c:pt>
                <c:pt idx="6">
                  <c:v>985.72214856344078</c:v>
                </c:pt>
                <c:pt idx="7">
                  <c:v>869.09595183465535</c:v>
                </c:pt>
                <c:pt idx="8">
                  <c:v>867.20044960790642</c:v>
                </c:pt>
                <c:pt idx="9">
                  <c:v>984.53066478074857</c:v>
                </c:pt>
                <c:pt idx="10">
                  <c:v>868.5746305820752</c:v>
                </c:pt>
                <c:pt idx="11">
                  <c:v>868.13570584370632</c:v>
                </c:pt>
                <c:pt idx="12">
                  <c:v>984.28473588740417</c:v>
                </c:pt>
                <c:pt idx="13">
                  <c:v>866.59365047304061</c:v>
                </c:pt>
                <c:pt idx="14">
                  <c:v>866.2097208260476</c:v>
                </c:pt>
                <c:pt idx="15">
                  <c:v>982.20727378791275</c:v>
                </c:pt>
                <c:pt idx="16">
                  <c:v>868.918562728197</c:v>
                </c:pt>
                <c:pt idx="17">
                  <c:v>871.98352138258792</c:v>
                </c:pt>
                <c:pt idx="18">
                  <c:v>990.41618357638242</c:v>
                </c:pt>
                <c:pt idx="19">
                  <c:v>877.42343445159656</c:v>
                </c:pt>
                <c:pt idx="20">
                  <c:v>880.48974814642747</c:v>
                </c:pt>
                <c:pt idx="21">
                  <c:v>996.75131771808401</c:v>
                </c:pt>
                <c:pt idx="22">
                  <c:v>881.14936541827137</c:v>
                </c:pt>
                <c:pt idx="23">
                  <c:v>881.49313172490008</c:v>
                </c:pt>
                <c:pt idx="24">
                  <c:v>1043.3561844338917</c:v>
                </c:pt>
              </c:numCache>
            </c:numRef>
          </c:val>
          <c:smooth val="0"/>
          <c:extLst>
            <c:ext xmlns:c16="http://schemas.microsoft.com/office/drawing/2014/chart" uri="{C3380CC4-5D6E-409C-BE32-E72D297353CC}">
              <c16:uniqueId val="{00000009-A29B-4890-8DC2-E7B03630687E}"/>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Resource damage </a:t>
                </a:r>
              </a:p>
              <a:p>
                <a:pPr algn="ctr" rtl="0">
                  <a:defRPr/>
                </a:pPr>
                <a:r>
                  <a:rPr lang="nl-NL"/>
                  <a:t>[USD2013/ton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RD'!$AB$334</c:f>
              <c:strCache>
                <c:ptCount val="1"/>
                <c:pt idx="0">
                  <c:v>Construction - DAC</c:v>
                </c:pt>
              </c:strCache>
            </c:strRef>
          </c:tx>
          <c:spPr>
            <a:solidFill>
              <a:schemeClr val="accent4">
                <a:lumMod val="75000"/>
              </a:schemeClr>
            </a:solidFill>
            <a:ln>
              <a:noFill/>
            </a:ln>
            <a:effectLst/>
          </c:spPr>
          <c:invertIfNegative val="0"/>
          <c:cat>
            <c:numRef>
              <c:f>'Results ReCiPe (H) - RD'!$AC$333:$BA$333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RD'!$AC$334:$BA$334</c:f>
              <c:numCache>
                <c:formatCode>0.00E+00</c:formatCode>
                <c:ptCount val="25"/>
                <c:pt idx="0">
                  <c:v>2790.777108402302</c:v>
                </c:pt>
              </c:numCache>
            </c:numRef>
          </c:val>
          <c:extLst>
            <c:ext xmlns:c16="http://schemas.microsoft.com/office/drawing/2014/chart" uri="{C3380CC4-5D6E-409C-BE32-E72D297353CC}">
              <c16:uniqueId val="{00000000-106A-4161-8500-52A6EA9F1FB8}"/>
            </c:ext>
          </c:extLst>
        </c:ser>
        <c:ser>
          <c:idx val="1"/>
          <c:order val="1"/>
          <c:tx>
            <c:strRef>
              <c:f>'Results ReCiPe (H) - RD'!$AB$335</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(H) - RD'!$AC$333:$BA$333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RD'!$AC$335:$BA$335</c:f>
              <c:numCache>
                <c:formatCode>0.00E+00</c:formatCode>
                <c:ptCount val="25"/>
                <c:pt idx="0">
                  <c:v>133.47248236670413</c:v>
                </c:pt>
              </c:numCache>
            </c:numRef>
          </c:val>
          <c:extLst>
            <c:ext xmlns:c16="http://schemas.microsoft.com/office/drawing/2014/chart" uri="{C3380CC4-5D6E-409C-BE32-E72D297353CC}">
              <c16:uniqueId val="{00000001-106A-4161-8500-52A6EA9F1FB8}"/>
            </c:ext>
          </c:extLst>
        </c:ser>
        <c:ser>
          <c:idx val="2"/>
          <c:order val="2"/>
          <c:tx>
            <c:strRef>
              <c:f>'Results ReCiPe (H) - RD'!$AB$336</c:f>
              <c:strCache>
                <c:ptCount val="1"/>
                <c:pt idx="0">
                  <c:v>Deconstruction - DAC</c:v>
                </c:pt>
              </c:strCache>
            </c:strRef>
          </c:tx>
          <c:spPr>
            <a:solidFill>
              <a:schemeClr val="accent2">
                <a:lumMod val="40000"/>
                <a:lumOff val="60000"/>
              </a:schemeClr>
            </a:solidFill>
            <a:ln>
              <a:noFill/>
            </a:ln>
            <a:effectLst/>
          </c:spPr>
          <c:invertIfNegative val="0"/>
          <c:cat>
            <c:numRef>
              <c:f>'Results ReCiPe (H) - RD'!$AC$333:$BA$333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RD'!$AC$336:$BA$336</c:f>
              <c:numCache>
                <c:formatCode>0.00E+00</c:formatCode>
                <c:ptCount val="25"/>
                <c:pt idx="24">
                  <c:v>41.794125692809452</c:v>
                </c:pt>
              </c:numCache>
            </c:numRef>
          </c:val>
          <c:extLst>
            <c:ext xmlns:c16="http://schemas.microsoft.com/office/drawing/2014/chart" uri="{C3380CC4-5D6E-409C-BE32-E72D297353CC}">
              <c16:uniqueId val="{00000002-106A-4161-8500-52A6EA9F1FB8}"/>
            </c:ext>
          </c:extLst>
        </c:ser>
        <c:ser>
          <c:idx val="3"/>
          <c:order val="3"/>
          <c:tx>
            <c:strRef>
              <c:f>'Results ReCiPe (H) - RD'!$AB$337</c:f>
              <c:strCache>
                <c:ptCount val="1"/>
                <c:pt idx="0">
                  <c:v>Deconstruction - geological storage</c:v>
                </c:pt>
              </c:strCache>
            </c:strRef>
          </c:tx>
          <c:spPr>
            <a:solidFill>
              <a:srgbClr val="FF9900"/>
            </a:solidFill>
            <a:ln>
              <a:noFill/>
            </a:ln>
            <a:effectLst/>
          </c:spPr>
          <c:invertIfNegative val="0"/>
          <c:cat>
            <c:numRef>
              <c:f>'Results ReCiPe (H) - RD'!$AC$333:$BA$333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RD'!$AC$337:$BA$337</c:f>
              <c:numCache>
                <c:formatCode>0.00E+00</c:formatCode>
                <c:ptCount val="25"/>
                <c:pt idx="24">
                  <c:v>0.64814302489144726</c:v>
                </c:pt>
              </c:numCache>
            </c:numRef>
          </c:val>
          <c:extLst>
            <c:ext xmlns:c16="http://schemas.microsoft.com/office/drawing/2014/chart" uri="{C3380CC4-5D6E-409C-BE32-E72D297353CC}">
              <c16:uniqueId val="{00000003-106A-4161-8500-52A6EA9F1FB8}"/>
            </c:ext>
          </c:extLst>
        </c:ser>
        <c:ser>
          <c:idx val="4"/>
          <c:order val="4"/>
          <c:tx>
            <c:strRef>
              <c:f>'Results ReCiPe (H) - RD'!$AB$338</c:f>
              <c:strCache>
                <c:ptCount val="1"/>
                <c:pt idx="0">
                  <c:v>Sorbent material</c:v>
                </c:pt>
              </c:strCache>
            </c:strRef>
          </c:tx>
          <c:spPr>
            <a:solidFill>
              <a:srgbClr val="FF8F8F"/>
            </a:solidFill>
            <a:ln>
              <a:noFill/>
            </a:ln>
            <a:effectLst/>
          </c:spPr>
          <c:invertIfNegative val="0"/>
          <c:cat>
            <c:numRef>
              <c:f>'Results ReCiPe (H) - RD'!$AC$333:$BA$333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RD'!$AC$338:$BA$338</c:f>
              <c:numCache>
                <c:formatCode>0.00E+00</c:formatCode>
                <c:ptCount val="25"/>
                <c:pt idx="0">
                  <c:v>117.4164153447413</c:v>
                </c:pt>
                <c:pt idx="3">
                  <c:v>116.14482404943</c:v>
                </c:pt>
                <c:pt idx="6">
                  <c:v>115.85431461269189</c:v>
                </c:pt>
                <c:pt idx="9">
                  <c:v>115.7060268138878</c:v>
                </c:pt>
                <c:pt idx="12">
                  <c:v>115.22430296168601</c:v>
                </c:pt>
                <c:pt idx="15">
                  <c:v>114.21787004973891</c:v>
                </c:pt>
                <c:pt idx="18">
                  <c:v>113.3881732416237</c:v>
                </c:pt>
                <c:pt idx="21">
                  <c:v>112.8508899058024</c:v>
                </c:pt>
                <c:pt idx="24">
                  <c:v>112.6235531268987</c:v>
                </c:pt>
              </c:numCache>
            </c:numRef>
          </c:val>
          <c:extLst>
            <c:ext xmlns:c16="http://schemas.microsoft.com/office/drawing/2014/chart" uri="{C3380CC4-5D6E-409C-BE32-E72D297353CC}">
              <c16:uniqueId val="{00000004-106A-4161-8500-52A6EA9F1FB8}"/>
            </c:ext>
          </c:extLst>
        </c:ser>
        <c:ser>
          <c:idx val="5"/>
          <c:order val="5"/>
          <c:tx>
            <c:strRef>
              <c:f>'Results ReCiPe (H) - RD'!$AB$339</c:f>
              <c:strCache>
                <c:ptCount val="1"/>
                <c:pt idx="0">
                  <c:v>Battery</c:v>
                </c:pt>
              </c:strCache>
            </c:strRef>
          </c:tx>
          <c:spPr>
            <a:solidFill>
              <a:schemeClr val="accent6">
                <a:lumMod val="50000"/>
              </a:schemeClr>
            </a:solidFill>
            <a:ln>
              <a:noFill/>
            </a:ln>
            <a:effectLst/>
          </c:spPr>
          <c:invertIfNegative val="0"/>
          <c:cat>
            <c:numRef>
              <c:f>'Results ReCiPe (H) - RD'!$AC$333:$BA$333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RD'!$AC$339:$BA$339</c:f>
              <c:numCache>
                <c:formatCode>0.00E+00</c:formatCode>
                <c:ptCount val="25"/>
                <c:pt idx="0">
                  <c:v>417.62441233697382</c:v>
                </c:pt>
                <c:pt idx="1">
                  <c:v>417.62441233697382</c:v>
                </c:pt>
                <c:pt idx="2">
                  <c:v>417.62441233697382</c:v>
                </c:pt>
                <c:pt idx="3">
                  <c:v>417.62441233697382</c:v>
                </c:pt>
                <c:pt idx="4">
                  <c:v>417.62441233697382</c:v>
                </c:pt>
                <c:pt idx="5">
                  <c:v>417.62441233697382</c:v>
                </c:pt>
                <c:pt idx="6">
                  <c:v>417.62441233697382</c:v>
                </c:pt>
                <c:pt idx="7">
                  <c:v>417.62441233697382</c:v>
                </c:pt>
                <c:pt idx="8">
                  <c:v>417.62441233697382</c:v>
                </c:pt>
                <c:pt idx="9">
                  <c:v>417.62441233697382</c:v>
                </c:pt>
                <c:pt idx="10">
                  <c:v>417.62441233697382</c:v>
                </c:pt>
                <c:pt idx="11">
                  <c:v>417.62441233697382</c:v>
                </c:pt>
                <c:pt idx="12">
                  <c:v>417.62441233697382</c:v>
                </c:pt>
                <c:pt idx="13">
                  <c:v>417.62441233697382</c:v>
                </c:pt>
                <c:pt idx="14">
                  <c:v>417.62441233697382</c:v>
                </c:pt>
                <c:pt idx="15">
                  <c:v>417.62441233697382</c:v>
                </c:pt>
                <c:pt idx="16">
                  <c:v>417.62441233697382</c:v>
                </c:pt>
                <c:pt idx="17">
                  <c:v>417.62441233697382</c:v>
                </c:pt>
                <c:pt idx="18">
                  <c:v>417.62441233697382</c:v>
                </c:pt>
                <c:pt idx="19">
                  <c:v>417.62441233697382</c:v>
                </c:pt>
                <c:pt idx="20">
                  <c:v>417.62441233697382</c:v>
                </c:pt>
                <c:pt idx="21">
                  <c:v>417.62441233697382</c:v>
                </c:pt>
                <c:pt idx="22">
                  <c:v>417.62441233697382</c:v>
                </c:pt>
                <c:pt idx="23">
                  <c:v>417.62441233697382</c:v>
                </c:pt>
                <c:pt idx="24">
                  <c:v>417.62441233697382</c:v>
                </c:pt>
              </c:numCache>
            </c:numRef>
          </c:val>
          <c:extLst>
            <c:ext xmlns:c16="http://schemas.microsoft.com/office/drawing/2014/chart" uri="{C3380CC4-5D6E-409C-BE32-E72D297353CC}">
              <c16:uniqueId val="{00000005-106A-4161-8500-52A6EA9F1FB8}"/>
            </c:ext>
          </c:extLst>
        </c:ser>
        <c:ser>
          <c:idx val="6"/>
          <c:order val="6"/>
          <c:tx>
            <c:strRef>
              <c:f>'Results ReCiPe (H) - RD'!$AB$340</c:f>
              <c:strCache>
                <c:ptCount val="1"/>
                <c:pt idx="0">
                  <c:v>Operation - DAC</c:v>
                </c:pt>
              </c:strCache>
            </c:strRef>
          </c:tx>
          <c:spPr>
            <a:solidFill>
              <a:schemeClr val="accent2">
                <a:lumMod val="75000"/>
              </a:schemeClr>
            </a:solidFill>
            <a:ln>
              <a:noFill/>
            </a:ln>
            <a:effectLst/>
          </c:spPr>
          <c:invertIfNegative val="0"/>
          <c:cat>
            <c:numRef>
              <c:f>'Results ReCiPe (H) - RD'!$AC$333:$BA$333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RD'!$AC$340:$BA$340</c:f>
              <c:numCache>
                <c:formatCode>0.00E+00</c:formatCode>
                <c:ptCount val="25"/>
                <c:pt idx="0">
                  <c:v>354.4648899632698</c:v>
                </c:pt>
                <c:pt idx="1">
                  <c:v>353.71478819889768</c:v>
                </c:pt>
                <c:pt idx="2">
                  <c:v>352.92922431729039</c:v>
                </c:pt>
                <c:pt idx="3">
                  <c:v>348.6957023841901</c:v>
                </c:pt>
                <c:pt idx="4">
                  <c:v>347.85253593847449</c:v>
                </c:pt>
                <c:pt idx="5">
                  <c:v>346.96180504320296</c:v>
                </c:pt>
                <c:pt idx="6">
                  <c:v>346.33531203737613</c:v>
                </c:pt>
                <c:pt idx="7">
                  <c:v>345.83961865755384</c:v>
                </c:pt>
                <c:pt idx="8">
                  <c:v>343.07237326169815</c:v>
                </c:pt>
                <c:pt idx="9">
                  <c:v>342.65491840642301</c:v>
                </c:pt>
                <c:pt idx="10">
                  <c:v>342.22122157552343</c:v>
                </c:pt>
                <c:pt idx="11">
                  <c:v>340.86013308007722</c:v>
                </c:pt>
                <c:pt idx="12">
                  <c:v>339.5118108226186</c:v>
                </c:pt>
                <c:pt idx="13">
                  <c:v>337.52762012279896</c:v>
                </c:pt>
                <c:pt idx="14">
                  <c:v>336.2106341944322</c:v>
                </c:pt>
                <c:pt idx="15">
                  <c:v>334.89894136242748</c:v>
                </c:pt>
                <c:pt idx="16">
                  <c:v>333.69004655307322</c:v>
                </c:pt>
                <c:pt idx="17">
                  <c:v>332.49684890940244</c:v>
                </c:pt>
                <c:pt idx="18">
                  <c:v>330.70547806044175</c:v>
                </c:pt>
                <c:pt idx="19">
                  <c:v>329.55656201289327</c:v>
                </c:pt>
                <c:pt idx="20">
                  <c:v>328.40784538291626</c:v>
                </c:pt>
                <c:pt idx="21">
                  <c:v>328.13042559222492</c:v>
                </c:pt>
                <c:pt idx="22">
                  <c:v>327.85712170631302</c:v>
                </c:pt>
                <c:pt idx="23">
                  <c:v>327.58703535119508</c:v>
                </c:pt>
                <c:pt idx="24">
                  <c:v>327.31987314210204</c:v>
                </c:pt>
              </c:numCache>
            </c:numRef>
          </c:val>
          <c:extLst>
            <c:ext xmlns:c16="http://schemas.microsoft.com/office/drawing/2014/chart" uri="{C3380CC4-5D6E-409C-BE32-E72D297353CC}">
              <c16:uniqueId val="{00000006-106A-4161-8500-52A6EA9F1FB8}"/>
            </c:ext>
          </c:extLst>
        </c:ser>
        <c:ser>
          <c:idx val="7"/>
          <c:order val="7"/>
          <c:tx>
            <c:strRef>
              <c:f>'Results ReCiPe (H) - RD'!$AB$341</c:f>
              <c:strCache>
                <c:ptCount val="1"/>
                <c:pt idx="0">
                  <c:v>Operation - geological storage</c:v>
                </c:pt>
              </c:strCache>
            </c:strRef>
          </c:tx>
          <c:spPr>
            <a:solidFill>
              <a:schemeClr val="accent2">
                <a:lumMod val="50000"/>
              </a:schemeClr>
            </a:solidFill>
            <a:ln>
              <a:noFill/>
            </a:ln>
            <a:effectLst/>
          </c:spPr>
          <c:invertIfNegative val="0"/>
          <c:cat>
            <c:numRef>
              <c:f>'Results ReCiPe (H) - RD'!$AC$333:$BA$333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RD'!$AC$341:$BA$341</c:f>
              <c:numCache>
                <c:formatCode>0.00E+00</c:formatCode>
                <c:ptCount val="25"/>
                <c:pt idx="0">
                  <c:v>95.404159630846095</c:v>
                </c:pt>
                <c:pt idx="1">
                  <c:v>94.527795374518647</c:v>
                </c:pt>
                <c:pt idx="2">
                  <c:v>93.65461184761395</c:v>
                </c:pt>
                <c:pt idx="3">
                  <c:v>92.584968070262846</c:v>
                </c:pt>
                <c:pt idx="4">
                  <c:v>91.719022805358648</c:v>
                </c:pt>
                <c:pt idx="5">
                  <c:v>90.856070814013847</c:v>
                </c:pt>
                <c:pt idx="6">
                  <c:v>90.587799563843703</c:v>
                </c:pt>
                <c:pt idx="7">
                  <c:v>90.315097882824304</c:v>
                </c:pt>
                <c:pt idx="8">
                  <c:v>89.867408513980791</c:v>
                </c:pt>
                <c:pt idx="9">
                  <c:v>89.57941530193645</c:v>
                </c:pt>
                <c:pt idx="10">
                  <c:v>89.284451455591253</c:v>
                </c:pt>
                <c:pt idx="11">
                  <c:v>88.704471017950951</c:v>
                </c:pt>
                <c:pt idx="12">
                  <c:v>88.114804516630855</c:v>
                </c:pt>
                <c:pt idx="13">
                  <c:v>87.474845125124901</c:v>
                </c:pt>
                <c:pt idx="14">
                  <c:v>86.866408273115141</c:v>
                </c:pt>
                <c:pt idx="15">
                  <c:v>86.24841326660875</c:v>
                </c:pt>
                <c:pt idx="16">
                  <c:v>86.875291789630154</c:v>
                </c:pt>
                <c:pt idx="17">
                  <c:v>87.495331542409204</c:v>
                </c:pt>
                <c:pt idx="18">
                  <c:v>88.068806360161105</c:v>
                </c:pt>
                <c:pt idx="19">
                  <c:v>88.675387304600349</c:v>
                </c:pt>
                <c:pt idx="20">
                  <c:v>89.275236190348153</c:v>
                </c:pt>
                <c:pt idx="21">
                  <c:v>88.344007862698604</c:v>
                </c:pt>
                <c:pt idx="22">
                  <c:v>87.417229728806049</c:v>
                </c:pt>
                <c:pt idx="23">
                  <c:v>86.489648060690712</c:v>
                </c:pt>
                <c:pt idx="24">
                  <c:v>85.561111240698651</c:v>
                </c:pt>
              </c:numCache>
            </c:numRef>
          </c:val>
          <c:extLst>
            <c:ext xmlns:c16="http://schemas.microsoft.com/office/drawing/2014/chart" uri="{C3380CC4-5D6E-409C-BE32-E72D297353CC}">
              <c16:uniqueId val="{00000007-106A-4161-8500-52A6EA9F1FB8}"/>
            </c:ext>
          </c:extLst>
        </c:ser>
        <c:ser>
          <c:idx val="8"/>
          <c:order val="8"/>
          <c:tx>
            <c:strRef>
              <c:f>'Results ReCiPe (H) - RD'!$AB$342</c:f>
              <c:strCache>
                <c:ptCount val="1"/>
                <c:pt idx="0">
                  <c:v>CO2 captured and stored</c:v>
                </c:pt>
              </c:strCache>
            </c:strRef>
          </c:tx>
          <c:spPr>
            <a:solidFill>
              <a:schemeClr val="tx2">
                <a:lumMod val="20000"/>
                <a:lumOff val="80000"/>
              </a:schemeClr>
            </a:solidFill>
            <a:ln>
              <a:noFill/>
            </a:ln>
            <a:effectLst/>
          </c:spPr>
          <c:invertIfNegative val="0"/>
          <c:cat>
            <c:numRef>
              <c:f>'Results ReCiPe (H) - RD'!$AC$333:$BA$333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RD'!$AC$342:$BA$342</c:f>
              <c:numCache>
                <c:formatCode>0.00E+00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8-106A-4161-8500-52A6EA9F1FB8}"/>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(H) - RD'!$AB$343</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cat>
            <c:numRef>
              <c:f>'Results ReCiPe (H) - RD'!$AC$333:$BA$333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RD'!$AC$343:$BA$343</c:f>
              <c:numCache>
                <c:formatCode>0.00E+00</c:formatCode>
                <c:ptCount val="25"/>
                <c:pt idx="0">
                  <c:v>3909.1594680448375</c:v>
                </c:pt>
                <c:pt idx="1">
                  <c:v>865.86699591039007</c:v>
                </c:pt>
                <c:pt idx="2">
                  <c:v>864.20824850187819</c:v>
                </c:pt>
                <c:pt idx="3">
                  <c:v>975.04990684085669</c:v>
                </c:pt>
                <c:pt idx="4">
                  <c:v>857.195971080807</c:v>
                </c:pt>
                <c:pt idx="5">
                  <c:v>855.44228819419061</c:v>
                </c:pt>
                <c:pt idx="6">
                  <c:v>970.40183855088549</c:v>
                </c:pt>
                <c:pt idx="7">
                  <c:v>853.77912887735192</c:v>
                </c:pt>
                <c:pt idx="8">
                  <c:v>850.56419411265279</c:v>
                </c:pt>
                <c:pt idx="9">
                  <c:v>965.56477285922108</c:v>
                </c:pt>
                <c:pt idx="10">
                  <c:v>849.13008536808854</c:v>
                </c:pt>
                <c:pt idx="11">
                  <c:v>847.18901643500203</c:v>
                </c:pt>
                <c:pt idx="12">
                  <c:v>960.47533063790934</c:v>
                </c:pt>
                <c:pt idx="13">
                  <c:v>842.62687758489767</c:v>
                </c:pt>
                <c:pt idx="14">
                  <c:v>840.70145480452118</c:v>
                </c:pt>
                <c:pt idx="15">
                  <c:v>952.98963701574883</c:v>
                </c:pt>
                <c:pt idx="16">
                  <c:v>838.18975067967722</c:v>
                </c:pt>
                <c:pt idx="17">
                  <c:v>837.6165927887854</c:v>
                </c:pt>
                <c:pt idx="18">
                  <c:v>949.78686999920035</c:v>
                </c:pt>
                <c:pt idx="19">
                  <c:v>835.85636165446738</c:v>
                </c:pt>
                <c:pt idx="20">
                  <c:v>835.30749391023824</c:v>
                </c:pt>
                <c:pt idx="21">
                  <c:v>946.94973569769979</c:v>
                </c:pt>
                <c:pt idx="22">
                  <c:v>832.89876377209293</c:v>
                </c:pt>
                <c:pt idx="23">
                  <c:v>831.70109574885953</c:v>
                </c:pt>
                <c:pt idx="24">
                  <c:v>985.57121856437425</c:v>
                </c:pt>
              </c:numCache>
            </c:numRef>
          </c:val>
          <c:smooth val="0"/>
          <c:extLst>
            <c:ext xmlns:c16="http://schemas.microsoft.com/office/drawing/2014/chart" uri="{C3380CC4-5D6E-409C-BE32-E72D297353CC}">
              <c16:uniqueId val="{00000009-106A-4161-8500-52A6EA9F1FB8}"/>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Resource</a:t>
                </a:r>
                <a:r>
                  <a:rPr lang="nl-NL" baseline="0"/>
                  <a:t> damage</a:t>
                </a:r>
              </a:p>
              <a:p>
                <a:pPr algn="ctr" rtl="0">
                  <a:defRPr/>
                </a:pPr>
                <a:r>
                  <a:rPr lang="nl-NL" baseline="0"/>
                  <a:t>[USD2013</a:t>
                </a:r>
                <a:r>
                  <a:rPr lang="nl-NL"/>
                  <a:t>/ton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RD'!$AB$395</c:f>
              <c:strCache>
                <c:ptCount val="1"/>
                <c:pt idx="0">
                  <c:v>Construction - DAC</c:v>
                </c:pt>
              </c:strCache>
            </c:strRef>
          </c:tx>
          <c:spPr>
            <a:solidFill>
              <a:schemeClr val="accent4">
                <a:lumMod val="75000"/>
              </a:schemeClr>
            </a:solidFill>
            <a:ln>
              <a:noFill/>
            </a:ln>
            <a:effectLst/>
          </c:spPr>
          <c:invertIfNegative val="0"/>
          <c:cat>
            <c:numRef>
              <c:f>'Results ReCiPe (H) - RD'!$AC$394:$BA$394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RD'!$AC$395:$BA$395</c:f>
              <c:numCache>
                <c:formatCode>0.00E+00</c:formatCode>
                <c:ptCount val="25"/>
                <c:pt idx="0">
                  <c:v>2636.5958501448285</c:v>
                </c:pt>
              </c:numCache>
            </c:numRef>
          </c:val>
          <c:extLst>
            <c:ext xmlns:c16="http://schemas.microsoft.com/office/drawing/2014/chart" uri="{C3380CC4-5D6E-409C-BE32-E72D297353CC}">
              <c16:uniqueId val="{00000000-4483-43F4-8740-7CC350A3A61C}"/>
            </c:ext>
          </c:extLst>
        </c:ser>
        <c:ser>
          <c:idx val="1"/>
          <c:order val="1"/>
          <c:tx>
            <c:strRef>
              <c:f>'Results ReCiPe (H) - RD'!$AB$396</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(H) - RD'!$AC$394:$BA$394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RD'!$AC$396:$BA$396</c:f>
              <c:numCache>
                <c:formatCode>0.00E+00</c:formatCode>
                <c:ptCount val="25"/>
                <c:pt idx="0">
                  <c:v>129.44404120316349</c:v>
                </c:pt>
              </c:numCache>
            </c:numRef>
          </c:val>
          <c:extLst>
            <c:ext xmlns:c16="http://schemas.microsoft.com/office/drawing/2014/chart" uri="{C3380CC4-5D6E-409C-BE32-E72D297353CC}">
              <c16:uniqueId val="{00000001-4483-43F4-8740-7CC350A3A61C}"/>
            </c:ext>
          </c:extLst>
        </c:ser>
        <c:ser>
          <c:idx val="2"/>
          <c:order val="2"/>
          <c:tx>
            <c:strRef>
              <c:f>'Results ReCiPe (H) - RD'!$AB$397</c:f>
              <c:strCache>
                <c:ptCount val="1"/>
                <c:pt idx="0">
                  <c:v>Deconstruction - DAC</c:v>
                </c:pt>
              </c:strCache>
            </c:strRef>
          </c:tx>
          <c:spPr>
            <a:solidFill>
              <a:schemeClr val="accent2">
                <a:lumMod val="40000"/>
                <a:lumOff val="60000"/>
              </a:schemeClr>
            </a:solidFill>
            <a:ln>
              <a:noFill/>
            </a:ln>
            <a:effectLst/>
          </c:spPr>
          <c:invertIfNegative val="0"/>
          <c:cat>
            <c:numRef>
              <c:f>'Results ReCiPe (H) - RD'!$AC$394:$BA$394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RD'!$AC$397:$BA$397</c:f>
              <c:numCache>
                <c:formatCode>0.00E+00</c:formatCode>
                <c:ptCount val="25"/>
                <c:pt idx="24">
                  <c:v>38.789621318581062</c:v>
                </c:pt>
              </c:numCache>
            </c:numRef>
          </c:val>
          <c:extLst>
            <c:ext xmlns:c16="http://schemas.microsoft.com/office/drawing/2014/chart" uri="{C3380CC4-5D6E-409C-BE32-E72D297353CC}">
              <c16:uniqueId val="{00000002-4483-43F4-8740-7CC350A3A61C}"/>
            </c:ext>
          </c:extLst>
        </c:ser>
        <c:ser>
          <c:idx val="3"/>
          <c:order val="3"/>
          <c:tx>
            <c:strRef>
              <c:f>'Results ReCiPe (H) - RD'!$AB$398</c:f>
              <c:strCache>
                <c:ptCount val="1"/>
                <c:pt idx="0">
                  <c:v>Deconstruction - geological storage</c:v>
                </c:pt>
              </c:strCache>
            </c:strRef>
          </c:tx>
          <c:spPr>
            <a:solidFill>
              <a:srgbClr val="FF9900"/>
            </a:solidFill>
            <a:ln>
              <a:noFill/>
            </a:ln>
            <a:effectLst/>
          </c:spPr>
          <c:invertIfNegative val="0"/>
          <c:cat>
            <c:numRef>
              <c:f>'Results ReCiPe (H) - RD'!$AC$394:$BA$394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RD'!$AC$398:$BA$398</c:f>
              <c:numCache>
                <c:formatCode>0.00E+00</c:formatCode>
                <c:ptCount val="25"/>
                <c:pt idx="24">
                  <c:v>0.61440305403541018</c:v>
                </c:pt>
              </c:numCache>
            </c:numRef>
          </c:val>
          <c:extLst>
            <c:ext xmlns:c16="http://schemas.microsoft.com/office/drawing/2014/chart" uri="{C3380CC4-5D6E-409C-BE32-E72D297353CC}">
              <c16:uniqueId val="{00000003-4483-43F4-8740-7CC350A3A61C}"/>
            </c:ext>
          </c:extLst>
        </c:ser>
        <c:ser>
          <c:idx val="4"/>
          <c:order val="4"/>
          <c:tx>
            <c:strRef>
              <c:f>'Results ReCiPe (H) - RD'!$AB$399</c:f>
              <c:strCache>
                <c:ptCount val="1"/>
                <c:pt idx="0">
                  <c:v>Sorbent material</c:v>
                </c:pt>
              </c:strCache>
            </c:strRef>
          </c:tx>
          <c:spPr>
            <a:solidFill>
              <a:srgbClr val="FF8F8F"/>
            </a:solidFill>
            <a:ln>
              <a:noFill/>
            </a:ln>
            <a:effectLst/>
          </c:spPr>
          <c:invertIfNegative val="0"/>
          <c:cat>
            <c:numRef>
              <c:f>'Results ReCiPe (H) - RD'!$AC$394:$BA$394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RD'!$AC$399:$BA$399</c:f>
              <c:numCache>
                <c:formatCode>0.00E+00</c:formatCode>
                <c:ptCount val="25"/>
                <c:pt idx="0">
                  <c:v>114.06781731957111</c:v>
                </c:pt>
                <c:pt idx="3">
                  <c:v>112.3911675049322</c:v>
                </c:pt>
                <c:pt idx="6">
                  <c:v>112.2010947204887</c:v>
                </c:pt>
                <c:pt idx="9">
                  <c:v>113.21958271568749</c:v>
                </c:pt>
                <c:pt idx="12">
                  <c:v>113.61473943331841</c:v>
                </c:pt>
                <c:pt idx="15">
                  <c:v>113.3787859326078</c:v>
                </c:pt>
                <c:pt idx="18">
                  <c:v>112.2791950057142</c:v>
                </c:pt>
                <c:pt idx="21">
                  <c:v>111.5739444092645</c:v>
                </c:pt>
                <c:pt idx="24">
                  <c:v>111.3824079888096</c:v>
                </c:pt>
              </c:numCache>
            </c:numRef>
          </c:val>
          <c:extLst>
            <c:ext xmlns:c16="http://schemas.microsoft.com/office/drawing/2014/chart" uri="{C3380CC4-5D6E-409C-BE32-E72D297353CC}">
              <c16:uniqueId val="{00000004-4483-43F4-8740-7CC350A3A61C}"/>
            </c:ext>
          </c:extLst>
        </c:ser>
        <c:ser>
          <c:idx val="5"/>
          <c:order val="5"/>
          <c:tx>
            <c:strRef>
              <c:f>'Results ReCiPe (H) - RD'!$AB$400</c:f>
              <c:strCache>
                <c:ptCount val="1"/>
                <c:pt idx="0">
                  <c:v>Battery</c:v>
                </c:pt>
              </c:strCache>
            </c:strRef>
          </c:tx>
          <c:spPr>
            <a:solidFill>
              <a:schemeClr val="accent6">
                <a:lumMod val="50000"/>
              </a:schemeClr>
            </a:solidFill>
            <a:ln>
              <a:noFill/>
            </a:ln>
            <a:effectLst/>
          </c:spPr>
          <c:invertIfNegative val="0"/>
          <c:cat>
            <c:numRef>
              <c:f>'Results ReCiPe (H) - RD'!$AC$394:$BA$394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RD'!$AC$400:$BA$400</c:f>
              <c:numCache>
                <c:formatCode>0.00E+00</c:formatCode>
                <c:ptCount val="25"/>
                <c:pt idx="0">
                  <c:v>391.12436279725841</c:v>
                </c:pt>
                <c:pt idx="1">
                  <c:v>391.12436279725841</c:v>
                </c:pt>
                <c:pt idx="2">
                  <c:v>391.12436279725841</c:v>
                </c:pt>
                <c:pt idx="3">
                  <c:v>391.12436279725841</c:v>
                </c:pt>
                <c:pt idx="4">
                  <c:v>391.12436279725841</c:v>
                </c:pt>
                <c:pt idx="5">
                  <c:v>391.12436279725841</c:v>
                </c:pt>
                <c:pt idx="6">
                  <c:v>391.12436279725841</c:v>
                </c:pt>
                <c:pt idx="7">
                  <c:v>391.12436279725841</c:v>
                </c:pt>
                <c:pt idx="8">
                  <c:v>391.12436279725841</c:v>
                </c:pt>
                <c:pt idx="9">
                  <c:v>391.12436279725841</c:v>
                </c:pt>
                <c:pt idx="10">
                  <c:v>391.12436279725841</c:v>
                </c:pt>
                <c:pt idx="11">
                  <c:v>391.12436279725841</c:v>
                </c:pt>
                <c:pt idx="12">
                  <c:v>391.12436279725841</c:v>
                </c:pt>
                <c:pt idx="13">
                  <c:v>391.12436279725841</c:v>
                </c:pt>
                <c:pt idx="14">
                  <c:v>391.12436279725841</c:v>
                </c:pt>
                <c:pt idx="15">
                  <c:v>391.12436279725841</c:v>
                </c:pt>
                <c:pt idx="16">
                  <c:v>391.12436279725841</c:v>
                </c:pt>
                <c:pt idx="17">
                  <c:v>391.12436279725841</c:v>
                </c:pt>
                <c:pt idx="18">
                  <c:v>391.12436279725841</c:v>
                </c:pt>
                <c:pt idx="19">
                  <c:v>391.12436279725841</c:v>
                </c:pt>
                <c:pt idx="20">
                  <c:v>391.12436279725841</c:v>
                </c:pt>
                <c:pt idx="21">
                  <c:v>391.12436279725841</c:v>
                </c:pt>
                <c:pt idx="22">
                  <c:v>391.12436279725841</c:v>
                </c:pt>
                <c:pt idx="23">
                  <c:v>391.12436279725841</c:v>
                </c:pt>
                <c:pt idx="24">
                  <c:v>391.12436279725841</c:v>
                </c:pt>
              </c:numCache>
            </c:numRef>
          </c:val>
          <c:extLst>
            <c:ext xmlns:c16="http://schemas.microsoft.com/office/drawing/2014/chart" uri="{C3380CC4-5D6E-409C-BE32-E72D297353CC}">
              <c16:uniqueId val="{00000005-4483-43F4-8740-7CC350A3A61C}"/>
            </c:ext>
          </c:extLst>
        </c:ser>
        <c:ser>
          <c:idx val="6"/>
          <c:order val="6"/>
          <c:tx>
            <c:strRef>
              <c:f>'Results ReCiPe (H) - RD'!$AB$401</c:f>
              <c:strCache>
                <c:ptCount val="1"/>
                <c:pt idx="0">
                  <c:v>Operation - DAC</c:v>
                </c:pt>
              </c:strCache>
            </c:strRef>
          </c:tx>
          <c:spPr>
            <a:solidFill>
              <a:schemeClr val="accent2">
                <a:lumMod val="75000"/>
              </a:schemeClr>
            </a:solidFill>
            <a:ln>
              <a:noFill/>
            </a:ln>
            <a:effectLst/>
          </c:spPr>
          <c:invertIfNegative val="0"/>
          <c:cat>
            <c:numRef>
              <c:f>'Results ReCiPe (H) - RD'!$AC$394:$BA$394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RD'!$AC$401:$BA$401</c:f>
              <c:numCache>
                <c:formatCode>0.00E+00</c:formatCode>
                <c:ptCount val="25"/>
                <c:pt idx="0">
                  <c:v>342.06057346102455</c:v>
                </c:pt>
                <c:pt idx="1">
                  <c:v>340.79265489021151</c:v>
                </c:pt>
                <c:pt idx="2">
                  <c:v>339.50338787328121</c:v>
                </c:pt>
                <c:pt idx="3">
                  <c:v>334.90545691545429</c:v>
                </c:pt>
                <c:pt idx="4">
                  <c:v>333.55358695307848</c:v>
                </c:pt>
                <c:pt idx="5">
                  <c:v>332.20269132138816</c:v>
                </c:pt>
                <c:pt idx="6">
                  <c:v>333.06599341828917</c:v>
                </c:pt>
                <c:pt idx="7">
                  <c:v>333.89092652969049</c:v>
                </c:pt>
                <c:pt idx="8">
                  <c:v>332.48153941788775</c:v>
                </c:pt>
                <c:pt idx="9">
                  <c:v>333.26058787049283</c:v>
                </c:pt>
                <c:pt idx="10">
                  <c:v>334.00835882653439</c:v>
                </c:pt>
                <c:pt idx="11">
                  <c:v>333.38088707198386</c:v>
                </c:pt>
                <c:pt idx="12">
                  <c:v>332.76206358895985</c:v>
                </c:pt>
                <c:pt idx="13">
                  <c:v>331.53763744536172</c:v>
                </c:pt>
                <c:pt idx="14">
                  <c:v>330.92844736523415</c:v>
                </c:pt>
                <c:pt idx="15">
                  <c:v>330.31248161658857</c:v>
                </c:pt>
                <c:pt idx="16">
                  <c:v>328.83877564617239</c:v>
                </c:pt>
                <c:pt idx="17">
                  <c:v>327.38039608044772</c:v>
                </c:pt>
                <c:pt idx="18">
                  <c:v>325.35638183755327</c:v>
                </c:pt>
                <c:pt idx="19">
                  <c:v>323.9140988352205</c:v>
                </c:pt>
                <c:pt idx="20">
                  <c:v>322.40607780393708</c:v>
                </c:pt>
                <c:pt idx="21">
                  <c:v>322.05583431739825</c:v>
                </c:pt>
                <c:pt idx="22">
                  <c:v>321.70816822842056</c:v>
                </c:pt>
                <c:pt idx="23">
                  <c:v>321.36199873353911</c:v>
                </c:pt>
                <c:pt idx="24">
                  <c:v>321.01729869105526</c:v>
                </c:pt>
              </c:numCache>
            </c:numRef>
          </c:val>
          <c:extLst>
            <c:ext xmlns:c16="http://schemas.microsoft.com/office/drawing/2014/chart" uri="{C3380CC4-5D6E-409C-BE32-E72D297353CC}">
              <c16:uniqueId val="{00000006-4483-43F4-8740-7CC350A3A61C}"/>
            </c:ext>
          </c:extLst>
        </c:ser>
        <c:ser>
          <c:idx val="7"/>
          <c:order val="7"/>
          <c:tx>
            <c:strRef>
              <c:f>'Results ReCiPe (H) - RD'!$AB$402</c:f>
              <c:strCache>
                <c:ptCount val="1"/>
                <c:pt idx="0">
                  <c:v>Operation - geological storage</c:v>
                </c:pt>
              </c:strCache>
            </c:strRef>
          </c:tx>
          <c:spPr>
            <a:solidFill>
              <a:schemeClr val="accent2">
                <a:lumMod val="50000"/>
              </a:schemeClr>
            </a:solidFill>
            <a:ln>
              <a:noFill/>
            </a:ln>
            <a:effectLst/>
          </c:spPr>
          <c:invertIfNegative val="0"/>
          <c:cat>
            <c:numRef>
              <c:f>'Results ReCiPe (H) - RD'!$AC$394:$BA$394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RD'!$AC$402:$BA$402</c:f>
              <c:numCache>
                <c:formatCode>0.00E+00</c:formatCode>
                <c:ptCount val="25"/>
                <c:pt idx="0">
                  <c:v>59.382481849913901</c:v>
                </c:pt>
                <c:pt idx="1">
                  <c:v>54.7966192223981</c:v>
                </c:pt>
                <c:pt idx="2">
                  <c:v>50.207300064353596</c:v>
                </c:pt>
                <c:pt idx="3">
                  <c:v>45.388727763930959</c:v>
                </c:pt>
                <c:pt idx="4">
                  <c:v>40.785467382860958</c:v>
                </c:pt>
                <c:pt idx="5">
                  <c:v>36.17989903989757</c:v>
                </c:pt>
                <c:pt idx="6">
                  <c:v>41.545033555170242</c:v>
                </c:pt>
                <c:pt idx="7">
                  <c:v>46.873140499079383</c:v>
                </c:pt>
                <c:pt idx="8">
                  <c:v>51.943815300274153</c:v>
                </c:pt>
                <c:pt idx="9">
                  <c:v>57.191605566606455</c:v>
                </c:pt>
                <c:pt idx="10">
                  <c:v>62.403657444735302</c:v>
                </c:pt>
                <c:pt idx="11">
                  <c:v>69.013012967915699</c:v>
                </c:pt>
                <c:pt idx="12">
                  <c:v>75.612344629710449</c:v>
                </c:pt>
                <c:pt idx="13">
                  <c:v>82.151630269043991</c:v>
                </c:pt>
                <c:pt idx="14">
                  <c:v>88.7320490000522</c:v>
                </c:pt>
                <c:pt idx="15">
                  <c:v>95.302156629345703</c:v>
                </c:pt>
                <c:pt idx="16">
                  <c:v>93.275818164095497</c:v>
                </c:pt>
                <c:pt idx="17">
                  <c:v>91.240859305211899</c:v>
                </c:pt>
                <c:pt idx="18">
                  <c:v>89.151567225766243</c:v>
                </c:pt>
                <c:pt idx="19">
                  <c:v>87.100336529019046</c:v>
                </c:pt>
                <c:pt idx="20">
                  <c:v>85.040063628960212</c:v>
                </c:pt>
                <c:pt idx="21">
                  <c:v>84.95748096017175</c:v>
                </c:pt>
                <c:pt idx="22">
                  <c:v>84.879231701323647</c:v>
                </c:pt>
                <c:pt idx="23">
                  <c:v>84.800272631537894</c:v>
                </c:pt>
                <c:pt idx="24">
                  <c:v>84.720498850145503</c:v>
                </c:pt>
              </c:numCache>
            </c:numRef>
          </c:val>
          <c:extLst>
            <c:ext xmlns:c16="http://schemas.microsoft.com/office/drawing/2014/chart" uri="{C3380CC4-5D6E-409C-BE32-E72D297353CC}">
              <c16:uniqueId val="{00000007-4483-43F4-8740-7CC350A3A61C}"/>
            </c:ext>
          </c:extLst>
        </c:ser>
        <c:ser>
          <c:idx val="8"/>
          <c:order val="8"/>
          <c:tx>
            <c:strRef>
              <c:f>'Results ReCiPe (H) - RD'!$AB$403</c:f>
              <c:strCache>
                <c:ptCount val="1"/>
                <c:pt idx="0">
                  <c:v>CO2 captured and stored</c:v>
                </c:pt>
              </c:strCache>
            </c:strRef>
          </c:tx>
          <c:spPr>
            <a:solidFill>
              <a:schemeClr val="tx2">
                <a:lumMod val="20000"/>
                <a:lumOff val="80000"/>
              </a:schemeClr>
            </a:solidFill>
            <a:ln>
              <a:noFill/>
            </a:ln>
            <a:effectLst/>
          </c:spPr>
          <c:invertIfNegative val="0"/>
          <c:cat>
            <c:numRef>
              <c:f>'Results ReCiPe (H) - RD'!$AC$394:$BA$394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RD'!$AC$403:$BA$403</c:f>
              <c:numCache>
                <c:formatCode>0.00E+00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8-4483-43F4-8740-7CC350A3A61C}"/>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(H) - RD'!$AB$404</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cat>
            <c:numRef>
              <c:f>'Results ReCiPe (H) - RD'!$AC$394:$BA$394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RD'!$AC$404:$BA$404</c:f>
              <c:numCache>
                <c:formatCode>0.00E+00</c:formatCode>
                <c:ptCount val="25"/>
                <c:pt idx="0">
                  <c:v>3672.67512677576</c:v>
                </c:pt>
                <c:pt idx="1">
                  <c:v>786.71363690986811</c:v>
                </c:pt>
                <c:pt idx="2">
                  <c:v>780.83505073489323</c:v>
                </c:pt>
                <c:pt idx="3">
                  <c:v>883.80971498157589</c:v>
                </c:pt>
                <c:pt idx="4">
                  <c:v>765.46341713319782</c:v>
                </c:pt>
                <c:pt idx="5">
                  <c:v>759.50695315854421</c:v>
                </c:pt>
                <c:pt idx="6">
                  <c:v>877.93648449120656</c:v>
                </c:pt>
                <c:pt idx="7">
                  <c:v>771.8884298260283</c:v>
                </c:pt>
                <c:pt idx="8">
                  <c:v>775.54971751542041</c:v>
                </c:pt>
                <c:pt idx="9">
                  <c:v>894.79613895004513</c:v>
                </c:pt>
                <c:pt idx="10">
                  <c:v>787.53637906852805</c:v>
                </c:pt>
                <c:pt idx="11">
                  <c:v>793.51826283715809</c:v>
                </c:pt>
                <c:pt idx="12">
                  <c:v>913.1135104492472</c:v>
                </c:pt>
                <c:pt idx="13">
                  <c:v>804.81363051166409</c:v>
                </c:pt>
                <c:pt idx="14">
                  <c:v>810.78485916254476</c:v>
                </c:pt>
                <c:pt idx="15">
                  <c:v>930.11778697580053</c:v>
                </c:pt>
                <c:pt idx="16">
                  <c:v>813.23895660752635</c:v>
                </c:pt>
                <c:pt idx="17">
                  <c:v>809.74561818291795</c:v>
                </c:pt>
                <c:pt idx="18">
                  <c:v>917.91150686629214</c:v>
                </c:pt>
                <c:pt idx="19">
                  <c:v>802.1387981614979</c:v>
                </c:pt>
                <c:pt idx="20">
                  <c:v>798.57050423015573</c:v>
                </c:pt>
                <c:pt idx="21">
                  <c:v>909.71162248409291</c:v>
                </c:pt>
                <c:pt idx="22">
                  <c:v>797.71176272700257</c:v>
                </c:pt>
                <c:pt idx="23">
                  <c:v>797.2866341623353</c:v>
                </c:pt>
                <c:pt idx="24">
                  <c:v>947.64859269988528</c:v>
                </c:pt>
              </c:numCache>
            </c:numRef>
          </c:val>
          <c:smooth val="0"/>
          <c:extLst>
            <c:ext xmlns:c16="http://schemas.microsoft.com/office/drawing/2014/chart" uri="{C3380CC4-5D6E-409C-BE32-E72D297353CC}">
              <c16:uniqueId val="{00000009-4483-43F4-8740-7CC350A3A61C}"/>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Resource damage</a:t>
                </a:r>
              </a:p>
              <a:p>
                <a:pPr algn="ctr" rtl="0">
                  <a:defRPr/>
                </a:pPr>
                <a:r>
                  <a:rPr lang="nl-NL"/>
                  <a:t>[USD2013/ton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baseline="0">
                <a:solidFill>
                  <a:schemeClr val="tx1"/>
                </a:solidFill>
                <a:latin typeface="Verdana Pro" panose="020B0604030504040204" pitchFamily="34" charset="0"/>
                <a:ea typeface="+mn-ea"/>
                <a:cs typeface="Times New Roman" panose="02020603050405020304" pitchFamily="18" charset="0"/>
              </a:defRPr>
            </a:pPr>
            <a:r>
              <a:rPr lang="en-GB" b="0" i="1"/>
              <a:t>Burdens</a:t>
            </a:r>
          </a:p>
        </c:rich>
      </c:tx>
      <c:layout>
        <c:manualLayout>
          <c:xMode val="edge"/>
          <c:yMode val="edge"/>
          <c:x val="0.46478834991237816"/>
          <c:y val="1.3166656074587136E-3"/>
        </c:manualLayout>
      </c:layout>
      <c:overlay val="0"/>
      <c:spPr>
        <a:noFill/>
        <a:ln>
          <a:noFill/>
        </a:ln>
        <a:effectLst/>
      </c:spPr>
      <c:txPr>
        <a:bodyPr rot="0" spcFirstLastPara="1" vertOverflow="ellipsis" vert="horz" wrap="square" anchor="ctr" anchorCtr="1"/>
        <a:lstStyle/>
        <a:p>
          <a:pPr>
            <a:defRPr sz="1440" b="1"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title>
    <c:autoTitleDeleted val="0"/>
    <c:plotArea>
      <c:layout>
        <c:manualLayout>
          <c:layoutTarget val="inner"/>
          <c:xMode val="edge"/>
          <c:yMode val="edge"/>
          <c:x val="0.1047142168661446"/>
          <c:y val="0.11409636871261428"/>
          <c:w val="0.8751178201873161"/>
          <c:h val="0.62003214894480652"/>
        </c:manualLayout>
      </c:layout>
      <c:barChart>
        <c:barDir val="bar"/>
        <c:grouping val="stacked"/>
        <c:varyColors val="0"/>
        <c:ser>
          <c:idx val="0"/>
          <c:order val="0"/>
          <c:tx>
            <c:strRef>
              <c:f>'Figure Results ReCiPe (E)'!$C$5</c:f>
              <c:strCache>
                <c:ptCount val="1"/>
                <c:pt idx="0">
                  <c:v>Construction - DAC</c:v>
                </c:pt>
              </c:strCache>
            </c:strRef>
          </c:tx>
          <c:spPr>
            <a:solidFill>
              <a:schemeClr val="accent4">
                <a:lumMod val="75000"/>
              </a:schemeClr>
            </a:solidFill>
            <a:ln>
              <a:noFill/>
            </a:ln>
            <a:effectLst/>
          </c:spPr>
          <c:invertIfNegative val="0"/>
          <c:cat>
            <c:multiLvlStrRef>
              <c:f>'Figure Results ReCiPe (E)'!$A$48:$B$56</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(E)'!$C$48:$C$56</c:f>
              <c:numCache>
                <c:formatCode>0.00E+00</c:formatCode>
                <c:ptCount val="9"/>
                <c:pt idx="0">
                  <c:v>1.186012057134346</c:v>
                </c:pt>
                <c:pt idx="1">
                  <c:v>1.157063722997238</c:v>
                </c:pt>
                <c:pt idx="2">
                  <c:v>1.0808954106731399</c:v>
                </c:pt>
                <c:pt idx="3">
                  <c:v>1.186012057134346</c:v>
                </c:pt>
                <c:pt idx="4">
                  <c:v>1.157063722997238</c:v>
                </c:pt>
                <c:pt idx="5">
                  <c:v>1.0808954106731399</c:v>
                </c:pt>
                <c:pt idx="6">
                  <c:v>2.3336130001008182</c:v>
                </c:pt>
                <c:pt idx="7">
                  <c:v>2.27636576183634</c:v>
                </c:pt>
                <c:pt idx="8">
                  <c:v>2.1253860334053551</c:v>
                </c:pt>
              </c:numCache>
            </c:numRef>
          </c:val>
          <c:extLst>
            <c:ext xmlns:c16="http://schemas.microsoft.com/office/drawing/2014/chart" uri="{C3380CC4-5D6E-409C-BE32-E72D297353CC}">
              <c16:uniqueId val="{00000000-07B6-4ECA-9BF5-67597C7048CF}"/>
            </c:ext>
          </c:extLst>
        </c:ser>
        <c:ser>
          <c:idx val="1"/>
          <c:order val="1"/>
          <c:tx>
            <c:strRef>
              <c:f>'Figure Results ReCiPe (E)'!$D$5</c:f>
              <c:strCache>
                <c:ptCount val="1"/>
                <c:pt idx="0">
                  <c:v>Construction - geological storage</c:v>
                </c:pt>
              </c:strCache>
            </c:strRef>
          </c:tx>
          <c:spPr>
            <a:solidFill>
              <a:schemeClr val="accent4">
                <a:lumMod val="60000"/>
                <a:lumOff val="40000"/>
              </a:schemeClr>
            </a:solidFill>
            <a:ln>
              <a:noFill/>
            </a:ln>
            <a:effectLst/>
          </c:spPr>
          <c:invertIfNegative val="0"/>
          <c:cat>
            <c:multiLvlStrRef>
              <c:f>'Figure Results ReCiPe (E)'!$A$48:$B$56</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(E)'!$D$48:$D$56</c:f>
              <c:numCache>
                <c:formatCode>0.00E+00</c:formatCode>
                <c:ptCount val="9"/>
                <c:pt idx="0">
                  <c:v>0.10893344159114481</c:v>
                </c:pt>
                <c:pt idx="1">
                  <c:v>0.10757851995532861</c:v>
                </c:pt>
                <c:pt idx="2">
                  <c:v>0.1038814101950728</c:v>
                </c:pt>
                <c:pt idx="3">
                  <c:v>0.10893344159114481</c:v>
                </c:pt>
                <c:pt idx="4">
                  <c:v>0.10757851995532861</c:v>
                </c:pt>
                <c:pt idx="5">
                  <c:v>0.1038814101950728</c:v>
                </c:pt>
                <c:pt idx="6">
                  <c:v>0.10893344159114481</c:v>
                </c:pt>
                <c:pt idx="7">
                  <c:v>0.10757851995532861</c:v>
                </c:pt>
                <c:pt idx="8">
                  <c:v>0.1038814101950728</c:v>
                </c:pt>
              </c:numCache>
            </c:numRef>
          </c:val>
          <c:extLst>
            <c:ext xmlns:c16="http://schemas.microsoft.com/office/drawing/2014/chart" uri="{C3380CC4-5D6E-409C-BE32-E72D297353CC}">
              <c16:uniqueId val="{00000001-07B6-4ECA-9BF5-67597C7048CF}"/>
            </c:ext>
          </c:extLst>
        </c:ser>
        <c:ser>
          <c:idx val="3"/>
          <c:order val="2"/>
          <c:tx>
            <c:strRef>
              <c:f>'Figure Results ReCiPe (E)'!$E$5</c:f>
              <c:strCache>
                <c:ptCount val="1"/>
                <c:pt idx="0">
                  <c:v>Deconstruction - DAC</c:v>
                </c:pt>
              </c:strCache>
            </c:strRef>
          </c:tx>
          <c:spPr>
            <a:solidFill>
              <a:schemeClr val="accent2">
                <a:lumMod val="20000"/>
                <a:lumOff val="80000"/>
              </a:schemeClr>
            </a:solidFill>
            <a:ln>
              <a:noFill/>
            </a:ln>
            <a:effectLst/>
          </c:spPr>
          <c:invertIfNegative val="0"/>
          <c:cat>
            <c:multiLvlStrRef>
              <c:f>'Figure Results ReCiPe (E)'!$A$48:$B$56</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(E)'!$E$48:$E$56</c:f>
              <c:numCache>
                <c:formatCode>0.00E+00</c:formatCode>
                <c:ptCount val="9"/>
                <c:pt idx="0">
                  <c:v>1.8465261582675644E-2</c:v>
                </c:pt>
                <c:pt idx="1">
                  <c:v>1.6729882887585364E-2</c:v>
                </c:pt>
                <c:pt idx="2">
                  <c:v>1.5521589480191562E-2</c:v>
                </c:pt>
                <c:pt idx="3">
                  <c:v>1.8465261582675644E-2</c:v>
                </c:pt>
                <c:pt idx="4">
                  <c:v>1.6729882887585364E-2</c:v>
                </c:pt>
                <c:pt idx="5">
                  <c:v>1.5521589480191562E-2</c:v>
                </c:pt>
                <c:pt idx="6">
                  <c:v>3.6930523165351288E-2</c:v>
                </c:pt>
                <c:pt idx="7">
                  <c:v>3.3459765775170729E-2</c:v>
                </c:pt>
                <c:pt idx="8">
                  <c:v>3.1043178960383125E-2</c:v>
                </c:pt>
              </c:numCache>
            </c:numRef>
          </c:val>
          <c:extLst>
            <c:ext xmlns:c16="http://schemas.microsoft.com/office/drawing/2014/chart" uri="{C3380CC4-5D6E-409C-BE32-E72D297353CC}">
              <c16:uniqueId val="{00000002-07B6-4ECA-9BF5-67597C7048CF}"/>
            </c:ext>
          </c:extLst>
        </c:ser>
        <c:ser>
          <c:idx val="4"/>
          <c:order val="3"/>
          <c:tx>
            <c:strRef>
              <c:f>'Figure Results ReCiPe (E)'!$F$5</c:f>
              <c:strCache>
                <c:ptCount val="1"/>
                <c:pt idx="0">
                  <c:v>Deconstruction - geological storage</c:v>
                </c:pt>
              </c:strCache>
            </c:strRef>
          </c:tx>
          <c:spPr>
            <a:solidFill>
              <a:srgbClr val="FF9900"/>
            </a:solidFill>
            <a:ln>
              <a:noFill/>
            </a:ln>
            <a:effectLst/>
          </c:spPr>
          <c:invertIfNegative val="0"/>
          <c:cat>
            <c:multiLvlStrRef>
              <c:f>'Figure Results ReCiPe (E)'!$A$48:$B$56</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(E)'!$F$48:$F$56</c:f>
              <c:numCache>
                <c:formatCode>0.00E+00</c:formatCode>
                <c:ptCount val="9"/>
                <c:pt idx="0">
                  <c:v>5.4014217469741817E-4</c:v>
                </c:pt>
                <c:pt idx="1">
                  <c:v>5.1880680171746349E-4</c:v>
                </c:pt>
                <c:pt idx="2">
                  <c:v>4.9169034518989601E-4</c:v>
                </c:pt>
                <c:pt idx="3">
                  <c:v>5.4014217469741817E-4</c:v>
                </c:pt>
                <c:pt idx="4">
                  <c:v>5.1880680171746349E-4</c:v>
                </c:pt>
                <c:pt idx="5">
                  <c:v>4.9169034518989601E-4</c:v>
                </c:pt>
                <c:pt idx="6">
                  <c:v>5.4014217469741817E-4</c:v>
                </c:pt>
                <c:pt idx="7">
                  <c:v>5.1880680171746349E-4</c:v>
                </c:pt>
                <c:pt idx="8">
                  <c:v>4.9169034518989601E-4</c:v>
                </c:pt>
              </c:numCache>
            </c:numRef>
          </c:val>
          <c:extLst>
            <c:ext xmlns:c16="http://schemas.microsoft.com/office/drawing/2014/chart" uri="{C3380CC4-5D6E-409C-BE32-E72D297353CC}">
              <c16:uniqueId val="{00000003-07B6-4ECA-9BF5-67597C7048CF}"/>
            </c:ext>
          </c:extLst>
        </c:ser>
        <c:ser>
          <c:idx val="5"/>
          <c:order val="4"/>
          <c:tx>
            <c:strRef>
              <c:f>'Figure Results ReCiPe (E)'!$G$5</c:f>
              <c:strCache>
                <c:ptCount val="1"/>
                <c:pt idx="0">
                  <c:v>Sorbent material</c:v>
                </c:pt>
              </c:strCache>
            </c:strRef>
          </c:tx>
          <c:spPr>
            <a:solidFill>
              <a:srgbClr val="FF8F8F"/>
            </a:solidFill>
            <a:ln>
              <a:noFill/>
            </a:ln>
            <a:effectLst/>
          </c:spPr>
          <c:invertIfNegative val="0"/>
          <c:cat>
            <c:multiLvlStrRef>
              <c:f>'Figure Results ReCiPe (E)'!$A$48:$B$56</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(E)'!$G$48:$G$56</c:f>
              <c:numCache>
                <c:formatCode>0.00E+00</c:formatCode>
                <c:ptCount val="9"/>
                <c:pt idx="0">
                  <c:v>0.42473420511842591</c:v>
                </c:pt>
                <c:pt idx="1">
                  <c:v>0.41442176653533608</c:v>
                </c:pt>
                <c:pt idx="2">
                  <c:v>0.40610070649230723</c:v>
                </c:pt>
                <c:pt idx="3">
                  <c:v>0.42473420511842591</c:v>
                </c:pt>
                <c:pt idx="4">
                  <c:v>0.41442176653533608</c:v>
                </c:pt>
                <c:pt idx="5">
                  <c:v>0.40610070649230723</c:v>
                </c:pt>
                <c:pt idx="6">
                  <c:v>0.84946841023685182</c:v>
                </c:pt>
                <c:pt idx="7">
                  <c:v>0.82884353307067216</c:v>
                </c:pt>
                <c:pt idx="8">
                  <c:v>0.81220141298461446</c:v>
                </c:pt>
              </c:numCache>
            </c:numRef>
          </c:val>
          <c:extLst>
            <c:ext xmlns:c16="http://schemas.microsoft.com/office/drawing/2014/chart" uri="{C3380CC4-5D6E-409C-BE32-E72D297353CC}">
              <c16:uniqueId val="{00000004-07B6-4ECA-9BF5-67597C7048CF}"/>
            </c:ext>
          </c:extLst>
        </c:ser>
        <c:ser>
          <c:idx val="6"/>
          <c:order val="5"/>
          <c:tx>
            <c:strRef>
              <c:f>'Figure Results ReCiPe (E)'!$I$5</c:f>
              <c:strCache>
                <c:ptCount val="1"/>
                <c:pt idx="0">
                  <c:v>Operation - DAC</c:v>
                </c:pt>
              </c:strCache>
            </c:strRef>
          </c:tx>
          <c:spPr>
            <a:solidFill>
              <a:schemeClr val="accent2">
                <a:lumMod val="75000"/>
              </a:schemeClr>
            </a:solidFill>
            <a:ln>
              <a:noFill/>
            </a:ln>
            <a:effectLst/>
          </c:spPr>
          <c:invertIfNegative val="0"/>
          <c:cat>
            <c:multiLvlStrRef>
              <c:f>'Figure Results ReCiPe (E)'!$A$48:$B$56</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(E)'!$I$48:$I$56</c:f>
              <c:numCache>
                <c:formatCode>0.00E+00</c:formatCode>
                <c:ptCount val="9"/>
                <c:pt idx="0">
                  <c:v>33.825868815022822</c:v>
                </c:pt>
                <c:pt idx="1">
                  <c:v>23.254130190429287</c:v>
                </c:pt>
                <c:pt idx="2">
                  <c:v>17.681175766916773</c:v>
                </c:pt>
                <c:pt idx="3">
                  <c:v>26.467355623738076</c:v>
                </c:pt>
                <c:pt idx="4">
                  <c:v>18.390080068075431</c:v>
                </c:pt>
                <c:pt idx="5">
                  <c:v>14.119587652558842</c:v>
                </c:pt>
                <c:pt idx="6">
                  <c:v>6.9605431078849334</c:v>
                </c:pt>
                <c:pt idx="7">
                  <c:v>6.8147062633059354</c:v>
                </c:pt>
                <c:pt idx="8">
                  <c:v>6.6208669670753917</c:v>
                </c:pt>
              </c:numCache>
            </c:numRef>
          </c:val>
          <c:extLst>
            <c:ext xmlns:c16="http://schemas.microsoft.com/office/drawing/2014/chart" uri="{C3380CC4-5D6E-409C-BE32-E72D297353CC}">
              <c16:uniqueId val="{00000005-07B6-4ECA-9BF5-67597C7048CF}"/>
            </c:ext>
          </c:extLst>
        </c:ser>
        <c:ser>
          <c:idx val="7"/>
          <c:order val="6"/>
          <c:tx>
            <c:strRef>
              <c:f>'Figure Results ReCiPe (E)'!$J$5</c:f>
              <c:strCache>
                <c:ptCount val="1"/>
                <c:pt idx="0">
                  <c:v>Operation - geological storage</c:v>
                </c:pt>
              </c:strCache>
            </c:strRef>
          </c:tx>
          <c:spPr>
            <a:solidFill>
              <a:schemeClr val="accent2">
                <a:lumMod val="50000"/>
              </a:schemeClr>
            </a:solidFill>
            <a:ln>
              <a:noFill/>
            </a:ln>
            <a:effectLst/>
          </c:spPr>
          <c:invertIfNegative val="0"/>
          <c:cat>
            <c:multiLvlStrRef>
              <c:f>'Figure Results ReCiPe (E)'!$A$48:$B$56</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(E)'!$J$48:$J$56</c:f>
              <c:numCache>
                <c:formatCode>0.00E+00</c:formatCode>
                <c:ptCount val="9"/>
                <c:pt idx="0">
                  <c:v>2.6255774119610105</c:v>
                </c:pt>
                <c:pt idx="1">
                  <c:v>1.8308153145585815E-2</c:v>
                </c:pt>
                <c:pt idx="2">
                  <c:v>1.4042504423184488</c:v>
                </c:pt>
                <c:pt idx="3">
                  <c:v>2.6255774119610105</c:v>
                </c:pt>
                <c:pt idx="4">
                  <c:v>1.8308153145585815</c:v>
                </c:pt>
                <c:pt idx="5">
                  <c:v>1.4042504423184488</c:v>
                </c:pt>
                <c:pt idx="6">
                  <c:v>2.6255774119610105</c:v>
                </c:pt>
                <c:pt idx="7">
                  <c:v>1.8308153145585815E-2</c:v>
                </c:pt>
                <c:pt idx="8">
                  <c:v>1.4042504423184488</c:v>
                </c:pt>
              </c:numCache>
            </c:numRef>
          </c:val>
          <c:extLst>
            <c:ext xmlns:c16="http://schemas.microsoft.com/office/drawing/2014/chart" uri="{C3380CC4-5D6E-409C-BE32-E72D297353CC}">
              <c16:uniqueId val="{00000006-07B6-4ECA-9BF5-67597C7048CF}"/>
            </c:ext>
          </c:extLst>
        </c:ser>
        <c:ser>
          <c:idx val="2"/>
          <c:order val="7"/>
          <c:tx>
            <c:strRef>
              <c:f>'Figure Results ReCiPe (E)'!$K$5</c:f>
              <c:strCache>
                <c:ptCount val="1"/>
                <c:pt idx="0">
                  <c:v>CO2 captured and stored</c:v>
                </c:pt>
              </c:strCache>
            </c:strRef>
          </c:tx>
          <c:spPr>
            <a:solidFill>
              <a:schemeClr val="tx2">
                <a:lumMod val="20000"/>
                <a:lumOff val="80000"/>
              </a:schemeClr>
            </a:solidFill>
            <a:ln>
              <a:noFill/>
            </a:ln>
            <a:effectLst/>
          </c:spPr>
          <c:invertIfNegative val="0"/>
          <c:cat>
            <c:multiLvlStrRef>
              <c:f>'Figure Results ReCiPe (E)'!$A$48:$B$56</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(E)'!$K$48:$K$56</c:f>
              <c:numCache>
                <c:formatCode>0.00E+00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7-07B6-4ECA-9BF5-67597C7048CF}"/>
            </c:ext>
          </c:extLst>
        </c:ser>
        <c:ser>
          <c:idx val="9"/>
          <c:order val="8"/>
          <c:tx>
            <c:strRef>
              <c:f>'Figure Results ReCiPe (E)'!$H$33</c:f>
              <c:strCache>
                <c:ptCount val="1"/>
                <c:pt idx="0">
                  <c:v>Battery</c:v>
                </c:pt>
              </c:strCache>
            </c:strRef>
          </c:tx>
          <c:spPr>
            <a:solidFill>
              <a:schemeClr val="accent6">
                <a:lumMod val="75000"/>
              </a:schemeClr>
            </a:solidFill>
            <a:ln>
              <a:noFill/>
            </a:ln>
            <a:effectLst/>
          </c:spPr>
          <c:invertIfNegative val="0"/>
          <c:cat>
            <c:multiLvlStrRef>
              <c:f>'Figure Results ReCiPe (E)'!$A$48:$B$56</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(E)'!$H$48:$H$56</c:f>
              <c:numCache>
                <c:formatCode>0.00E+00</c:formatCode>
                <c:ptCount val="9"/>
                <c:pt idx="0">
                  <c:v>0</c:v>
                </c:pt>
                <c:pt idx="1">
                  <c:v>0</c:v>
                </c:pt>
                <c:pt idx="2">
                  <c:v>0</c:v>
                </c:pt>
                <c:pt idx="3">
                  <c:v>0</c:v>
                </c:pt>
                <c:pt idx="4">
                  <c:v>0</c:v>
                </c:pt>
                <c:pt idx="5">
                  <c:v>0</c:v>
                </c:pt>
                <c:pt idx="6">
                  <c:v>8.7749969655497608</c:v>
                </c:pt>
                <c:pt idx="7">
                  <c:v>8.5473331583172651</c:v>
                </c:pt>
                <c:pt idx="8">
                  <c:v>7.8987260007031379</c:v>
                </c:pt>
              </c:numCache>
            </c:numRef>
          </c:val>
          <c:extLst>
            <c:ext xmlns:c16="http://schemas.microsoft.com/office/drawing/2014/chart" uri="{C3380CC4-5D6E-409C-BE32-E72D297353CC}">
              <c16:uniqueId val="{00000008-07B6-4ECA-9BF5-67597C7048CF}"/>
            </c:ext>
          </c:extLst>
        </c:ser>
        <c:dLbls>
          <c:showLegendKey val="0"/>
          <c:showVal val="0"/>
          <c:showCatName val="0"/>
          <c:showSerName val="0"/>
          <c:showPercent val="0"/>
          <c:showBubbleSize val="0"/>
        </c:dLbls>
        <c:gapWidth val="150"/>
        <c:overlap val="100"/>
        <c:axId val="134262272"/>
        <c:axId val="135299072"/>
      </c:barChart>
      <c:scatterChart>
        <c:scatterStyle val="lineMarker"/>
        <c:varyColors val="0"/>
        <c:ser>
          <c:idx val="8"/>
          <c:order val="9"/>
          <c:tx>
            <c:strRef>
              <c:f>'Figure Results ReCiPe (E)'!$L$33</c:f>
              <c:strCache>
                <c:ptCount val="1"/>
                <c:pt idx="0">
                  <c:v>Total</c:v>
                </c:pt>
              </c:strCache>
            </c:strRef>
          </c:tx>
          <c:spPr>
            <a:ln w="19050" cap="rnd" cmpd="sng" algn="ctr">
              <a:noFill/>
              <a:prstDash val="solid"/>
              <a:round/>
            </a:ln>
            <a:effectLst/>
          </c:spPr>
          <c:marker>
            <c:symbol val="circle"/>
            <c:size val="7"/>
            <c:spPr>
              <a:solidFill>
                <a:schemeClr val="tx1"/>
              </a:solidFill>
              <a:ln w="6350" cap="flat" cmpd="sng" algn="ctr">
                <a:no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showLegendKey val="0"/>
            <c:showVal val="0"/>
            <c:showCatName val="1"/>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numRef>
              <c:f>'Figure Results ReCiPe (E)'!$L$48:$L$56</c:f>
              <c:numCache>
                <c:formatCode>0</c:formatCode>
                <c:ptCount val="9"/>
                <c:pt idx="0">
                  <c:v>38.190131334585118</c:v>
                </c:pt>
                <c:pt idx="1">
                  <c:v>24.968751042752078</c:v>
                </c:pt>
                <c:pt idx="2">
                  <c:v>20.692317016421125</c:v>
                </c:pt>
                <c:pt idx="3">
                  <c:v>30.831618143300386</c:v>
                </c:pt>
                <c:pt idx="4">
                  <c:v>21.917208081811218</c:v>
                </c:pt>
                <c:pt idx="5">
                  <c:v>17.13072890206319</c:v>
                </c:pt>
                <c:pt idx="6">
                  <c:v>21.690603002664567</c:v>
                </c:pt>
                <c:pt idx="7">
                  <c:v>18.627113962208011</c:v>
                </c:pt>
                <c:pt idx="8">
                  <c:v>18.996847135987597</c:v>
                </c:pt>
              </c:numCache>
            </c:numRef>
          </c:xVal>
          <c:yVal>
            <c:numRef>
              <c:f>'Figure Results ReCiPe (E)'!$M$48:$M$56</c:f>
              <c:numCache>
                <c:formatCode>General</c:formatCode>
                <c:ptCount val="9"/>
                <c:pt idx="0" formatCode="0.0">
                  <c:v>8.5</c:v>
                </c:pt>
                <c:pt idx="1">
                  <c:v>7.5</c:v>
                </c:pt>
                <c:pt idx="2">
                  <c:v>6.5</c:v>
                </c:pt>
                <c:pt idx="3">
                  <c:v>5.5</c:v>
                </c:pt>
                <c:pt idx="4">
                  <c:v>4.5</c:v>
                </c:pt>
                <c:pt idx="5">
                  <c:v>3.5</c:v>
                </c:pt>
                <c:pt idx="6">
                  <c:v>2.5</c:v>
                </c:pt>
                <c:pt idx="7">
                  <c:v>1.5</c:v>
                </c:pt>
                <c:pt idx="8">
                  <c:v>0.5</c:v>
                </c:pt>
              </c:numCache>
            </c:numRef>
          </c:yVal>
          <c:smooth val="0"/>
          <c:extLst>
            <c:ext xmlns:c16="http://schemas.microsoft.com/office/drawing/2014/chart" uri="{C3380CC4-5D6E-409C-BE32-E72D297353CC}">
              <c16:uniqueId val="{00000009-07B6-4ECA-9BF5-67597C7048CF}"/>
            </c:ext>
          </c:extLst>
        </c:ser>
        <c:dLbls>
          <c:showLegendKey val="0"/>
          <c:showVal val="0"/>
          <c:showCatName val="0"/>
          <c:showSerName val="0"/>
          <c:showPercent val="0"/>
          <c:showBubbleSize val="0"/>
        </c:dLbls>
        <c:axId val="620675072"/>
        <c:axId val="620677376"/>
      </c:scatterChart>
      <c:catAx>
        <c:axId val="134262272"/>
        <c:scaling>
          <c:orientation val="maxMin"/>
        </c:scaling>
        <c:delete val="0"/>
        <c:axPos val="l"/>
        <c:numFmt formatCode="@" sourceLinked="0"/>
        <c:majorTickMark val="none"/>
        <c:minorTickMark val="none"/>
        <c:tickLblPos val="low"/>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200" b="1"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crossAx val="135299072"/>
        <c:crossesAt val="0"/>
        <c:auto val="1"/>
        <c:lblAlgn val="ctr"/>
        <c:lblOffset val="100"/>
        <c:noMultiLvlLbl val="0"/>
      </c:catAx>
      <c:valAx>
        <c:axId val="135299072"/>
        <c:scaling>
          <c:orientation val="minMax"/>
        </c:scaling>
        <c:delete val="0"/>
        <c:axPos val="b"/>
        <c:title>
          <c:tx>
            <c:rich>
              <a:bodyPr rot="0" spcFirstLastPara="1" vertOverflow="ellipsis" vert="horz" wrap="square" anchor="ctr" anchorCtr="1"/>
              <a:lstStyle/>
              <a:p>
                <a:pPr>
                  <a:defRPr sz="1200" b="1" i="0" u="none" strike="noStrike" kern="1200" baseline="0">
                    <a:solidFill>
                      <a:schemeClr val="tx1"/>
                    </a:solidFill>
                    <a:latin typeface="Verdana Pro" panose="020B0604030504040204" pitchFamily="34" charset="0"/>
                    <a:ea typeface="+mn-ea"/>
                    <a:cs typeface="Times New Roman" panose="02020603050405020304" pitchFamily="18" charset="0"/>
                  </a:defRPr>
                </a:pPr>
                <a:r>
                  <a:rPr lang="en-GB"/>
                  <a:t>Resource damage [USD2013/ton CO</a:t>
                </a:r>
                <a:r>
                  <a:rPr lang="en-GB" baseline="-25000"/>
                  <a:t>2</a:t>
                </a:r>
                <a:r>
                  <a:rPr lang="en-GB"/>
                  <a:t> captured and stored]</a:t>
                </a:r>
              </a:p>
            </c:rich>
          </c:tx>
          <c:layout>
            <c:manualLayout>
              <c:xMode val="edge"/>
              <c:yMode val="edge"/>
              <c:x val="0.31385493215413457"/>
              <c:y val="0.79713960707739873"/>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title>
        <c:numFmt formatCode="#,##0" sourceLinked="0"/>
        <c:majorTickMark val="out"/>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200" b="0"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crossAx val="134262272"/>
        <c:crosses val="max"/>
        <c:crossBetween val="between"/>
      </c:valAx>
      <c:valAx>
        <c:axId val="620677376"/>
        <c:scaling>
          <c:orientation val="minMax"/>
        </c:scaling>
        <c:delete val="1"/>
        <c:axPos val="r"/>
        <c:numFmt formatCode="0.0" sourceLinked="1"/>
        <c:majorTickMark val="out"/>
        <c:minorTickMark val="none"/>
        <c:tickLblPos val="nextTo"/>
        <c:crossAx val="620675072"/>
        <c:crosses val="max"/>
        <c:crossBetween val="midCat"/>
      </c:valAx>
      <c:valAx>
        <c:axId val="620675072"/>
        <c:scaling>
          <c:orientation val="minMax"/>
        </c:scaling>
        <c:delete val="1"/>
        <c:axPos val="b"/>
        <c:numFmt formatCode="0" sourceLinked="1"/>
        <c:majorTickMark val="out"/>
        <c:minorTickMark val="none"/>
        <c:tickLblPos val="nextTo"/>
        <c:crossAx val="620677376"/>
        <c:crossesAt val="0"/>
        <c:crossBetween val="midCat"/>
      </c:valAx>
      <c:spPr>
        <a:solidFill>
          <a:schemeClr val="bg1"/>
        </a:solidFill>
        <a:ln>
          <a:noFill/>
        </a:ln>
        <a:effectLst/>
      </c:spPr>
    </c:plotArea>
    <c:legend>
      <c:legendPos val="b"/>
      <c:layout>
        <c:manualLayout>
          <c:xMode val="edge"/>
          <c:yMode val="edge"/>
          <c:x val="0"/>
          <c:y val="0.86203167888848709"/>
          <c:w val="1"/>
          <c:h val="0.13623551334266348"/>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legend>
    <c:plotVisOnly val="1"/>
    <c:dispBlanksAs val="gap"/>
    <c:showDLblsOverMax val="0"/>
  </c:chart>
  <c:spPr>
    <a:noFill/>
    <a:ln w="6350" cap="flat" cmpd="sng" algn="ctr">
      <a:noFill/>
      <a:prstDash val="solid"/>
      <a:round/>
    </a:ln>
    <a:effectLst/>
  </c:spPr>
  <c:txPr>
    <a:bodyPr/>
    <a:lstStyle/>
    <a:p>
      <a:pPr>
        <a:defRPr sz="1200">
          <a:latin typeface="Verdana Pro" panose="020B0604030504040204" pitchFamily="34" charset="0"/>
          <a:cs typeface="Times New Roman" panose="02020603050405020304" pitchFamily="18" charset="0"/>
        </a:defRPr>
      </a:pPr>
      <a:endParaRPr lang="en-NL"/>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CC'!$AB$10</c:f>
              <c:strCache>
                <c:ptCount val="1"/>
                <c:pt idx="0">
                  <c:v>Construction - DAC</c:v>
                </c:pt>
              </c:strCache>
            </c:strRef>
          </c:tx>
          <c:spPr>
            <a:solidFill>
              <a:schemeClr val="accent4">
                <a:lumMod val="75000"/>
              </a:schemeClr>
            </a:solidFill>
            <a:ln>
              <a:noFill/>
            </a:ln>
            <a:effectLst/>
          </c:spPr>
          <c:invertIfNegative val="0"/>
          <c:val>
            <c:numRef>
              <c:f>'Results ReCiPe (H) - CC'!$AC$10:$BA$10</c:f>
              <c:numCache>
                <c:formatCode>0.00E+00</c:formatCode>
                <c:ptCount val="25"/>
                <c:pt idx="0">
                  <c:v>38347.290835764303</c:v>
                </c:pt>
              </c:numCache>
            </c:numRef>
          </c:val>
          <c:extLst>
            <c:ext xmlns:c15="http://schemas.microsoft.com/office/drawing/2012/chart" uri="{02D57815-91ED-43cb-92C2-25804820EDAC}">
              <c15:filteredCategoryTitle>
                <c15:cat>
                  <c:numRef>
                    <c:extLst>
                      <c:ext uri="{02D57815-91ED-43cb-92C2-25804820EDAC}">
                        <c15:formulaRef>
                          <c15:sqref>'Results ReCiPe (H) - CC'!$AC$9:$BA$9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0-4415-46A6-A346-924D7AAAA2FE}"/>
            </c:ext>
          </c:extLst>
        </c:ser>
        <c:ser>
          <c:idx val="1"/>
          <c:order val="1"/>
          <c:tx>
            <c:strRef>
              <c:f>'Results ReCiPe (H) - CC'!$AB$11</c:f>
              <c:strCache>
                <c:ptCount val="1"/>
                <c:pt idx="0">
                  <c:v>Construction - geological storage</c:v>
                </c:pt>
              </c:strCache>
            </c:strRef>
          </c:tx>
          <c:spPr>
            <a:solidFill>
              <a:schemeClr val="accent4">
                <a:lumMod val="60000"/>
                <a:lumOff val="40000"/>
              </a:schemeClr>
            </a:solidFill>
            <a:ln>
              <a:noFill/>
            </a:ln>
            <a:effectLst/>
          </c:spPr>
          <c:invertIfNegative val="0"/>
          <c:val>
            <c:numRef>
              <c:f>'Results ReCiPe (H) - CC'!$AC$11:$BA$11</c:f>
              <c:numCache>
                <c:formatCode>0.00E+00</c:formatCode>
                <c:ptCount val="25"/>
                <c:pt idx="0">
                  <c:v>2481.0563584021374</c:v>
                </c:pt>
              </c:numCache>
            </c:numRef>
          </c:val>
          <c:extLst>
            <c:ext xmlns:c15="http://schemas.microsoft.com/office/drawing/2012/chart" uri="{02D57815-91ED-43cb-92C2-25804820EDAC}">
              <c15:filteredCategoryTitle>
                <c15:cat>
                  <c:numRef>
                    <c:extLst>
                      <c:ext uri="{02D57815-91ED-43cb-92C2-25804820EDAC}">
                        <c15:formulaRef>
                          <c15:sqref>'Results ReCiPe (H) - CC'!$AC$9:$BA$9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1-4415-46A6-A346-924D7AAAA2FE}"/>
            </c:ext>
          </c:extLst>
        </c:ser>
        <c:ser>
          <c:idx val="2"/>
          <c:order val="2"/>
          <c:tx>
            <c:strRef>
              <c:f>'Results ReCiPe (H) - CC'!$AB$12</c:f>
              <c:strCache>
                <c:ptCount val="1"/>
                <c:pt idx="0">
                  <c:v>Deconstruction - DAC</c:v>
                </c:pt>
              </c:strCache>
            </c:strRef>
          </c:tx>
          <c:spPr>
            <a:solidFill>
              <a:schemeClr val="accent2">
                <a:lumMod val="40000"/>
                <a:lumOff val="60000"/>
              </a:schemeClr>
            </a:solidFill>
            <a:ln>
              <a:noFill/>
            </a:ln>
            <a:effectLst/>
          </c:spPr>
          <c:invertIfNegative val="0"/>
          <c:val>
            <c:numRef>
              <c:f>'Results ReCiPe (H) - CC'!$AC$12:$BA$12</c:f>
              <c:numCache>
                <c:formatCode>0.00E+00</c:formatCode>
                <c:ptCount val="25"/>
                <c:pt idx="24">
                  <c:v>691.18373370688425</c:v>
                </c:pt>
              </c:numCache>
            </c:numRef>
          </c:val>
          <c:extLst>
            <c:ext xmlns:c15="http://schemas.microsoft.com/office/drawing/2012/chart" uri="{02D57815-91ED-43cb-92C2-25804820EDAC}">
              <c15:filteredCategoryTitle>
                <c15:cat>
                  <c:numRef>
                    <c:extLst>
                      <c:ext uri="{02D57815-91ED-43cb-92C2-25804820EDAC}">
                        <c15:formulaRef>
                          <c15:sqref>'Results ReCiPe (H) - CC'!$AC$9:$BA$9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2-4415-46A6-A346-924D7AAAA2FE}"/>
            </c:ext>
          </c:extLst>
        </c:ser>
        <c:ser>
          <c:idx val="3"/>
          <c:order val="3"/>
          <c:tx>
            <c:strRef>
              <c:f>'Results ReCiPe (H) - CC'!$AB$13</c:f>
              <c:strCache>
                <c:ptCount val="1"/>
                <c:pt idx="0">
                  <c:v>Deconstruction - geological storage</c:v>
                </c:pt>
              </c:strCache>
            </c:strRef>
          </c:tx>
          <c:spPr>
            <a:solidFill>
              <a:srgbClr val="FF9900"/>
            </a:solidFill>
            <a:ln>
              <a:noFill/>
            </a:ln>
            <a:effectLst/>
          </c:spPr>
          <c:invertIfNegative val="0"/>
          <c:val>
            <c:numRef>
              <c:f>'Results ReCiPe (H) - CC'!$AC$13:$BA$13</c:f>
              <c:numCache>
                <c:formatCode>0.00E+00</c:formatCode>
                <c:ptCount val="25"/>
                <c:pt idx="24">
                  <c:v>22.494520912096178</c:v>
                </c:pt>
              </c:numCache>
            </c:numRef>
          </c:val>
          <c:extLst>
            <c:ext xmlns:c15="http://schemas.microsoft.com/office/drawing/2012/chart" uri="{02D57815-91ED-43cb-92C2-25804820EDAC}">
              <c15:filteredCategoryTitle>
                <c15:cat>
                  <c:numRef>
                    <c:extLst>
                      <c:ext uri="{02D57815-91ED-43cb-92C2-25804820EDAC}">
                        <c15:formulaRef>
                          <c15:sqref>'Results ReCiPe (H) - CC'!$AC$9:$BA$9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3-4415-46A6-A346-924D7AAAA2FE}"/>
            </c:ext>
          </c:extLst>
        </c:ser>
        <c:ser>
          <c:idx val="4"/>
          <c:order val="4"/>
          <c:tx>
            <c:strRef>
              <c:f>'Results ReCiPe (H) - CC'!$AB$14</c:f>
              <c:strCache>
                <c:ptCount val="1"/>
                <c:pt idx="0">
                  <c:v>Sorbent material</c:v>
                </c:pt>
              </c:strCache>
            </c:strRef>
          </c:tx>
          <c:spPr>
            <a:solidFill>
              <a:srgbClr val="FF8F8F"/>
            </a:solidFill>
            <a:ln>
              <a:noFill/>
            </a:ln>
            <a:effectLst/>
          </c:spPr>
          <c:invertIfNegative val="0"/>
          <c:val>
            <c:numRef>
              <c:f>'Results ReCiPe (H) - CC'!$AC$14:$BA$14</c:f>
              <c:numCache>
                <c:formatCode>0.00E+00</c:formatCode>
                <c:ptCount val="25"/>
                <c:pt idx="0">
                  <c:v>1186.4815932558031</c:v>
                </c:pt>
                <c:pt idx="3">
                  <c:v>1175.2724845293581</c:v>
                </c:pt>
                <c:pt idx="6">
                  <c:v>1172.0887619145631</c:v>
                </c:pt>
                <c:pt idx="9">
                  <c:v>1171.5419235181971</c:v>
                </c:pt>
                <c:pt idx="12">
                  <c:v>1176.0346869666</c:v>
                </c:pt>
                <c:pt idx="15">
                  <c:v>1180.8592879535349</c:v>
                </c:pt>
                <c:pt idx="18">
                  <c:v>1165.597336992987</c:v>
                </c:pt>
                <c:pt idx="21">
                  <c:v>1149.242533712596</c:v>
                </c:pt>
                <c:pt idx="24">
                  <c:v>1126.377758844686</c:v>
                </c:pt>
              </c:numCache>
            </c:numRef>
          </c:val>
          <c:extLst>
            <c:ext xmlns:c15="http://schemas.microsoft.com/office/drawing/2012/chart" uri="{02D57815-91ED-43cb-92C2-25804820EDAC}">
              <c15:filteredCategoryTitle>
                <c15:cat>
                  <c:numRef>
                    <c:extLst>
                      <c:ext uri="{02D57815-91ED-43cb-92C2-25804820EDAC}">
                        <c15:formulaRef>
                          <c15:sqref>'Results ReCiPe (H) - CC'!$AC$9:$BA$9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4-4415-46A6-A346-924D7AAAA2FE}"/>
            </c:ext>
          </c:extLst>
        </c:ser>
        <c:ser>
          <c:idx val="5"/>
          <c:order val="5"/>
          <c:tx>
            <c:strRef>
              <c:f>'Results ReCiPe (H) - CC'!$AB$15</c:f>
              <c:strCache>
                <c:ptCount val="1"/>
                <c:pt idx="0">
                  <c:v>Operation - DAC</c:v>
                </c:pt>
              </c:strCache>
            </c:strRef>
          </c:tx>
          <c:spPr>
            <a:solidFill>
              <a:schemeClr val="accent2">
                <a:lumMod val="75000"/>
              </a:schemeClr>
            </a:solidFill>
            <a:ln>
              <a:noFill/>
            </a:ln>
            <a:effectLst/>
          </c:spPr>
          <c:invertIfNegative val="0"/>
          <c:val>
            <c:numRef>
              <c:f>'Results ReCiPe (H) - CC'!$AC$15:$BA$15</c:f>
              <c:numCache>
                <c:formatCode>0.00E+00</c:formatCode>
                <c:ptCount val="25"/>
                <c:pt idx="0">
                  <c:v>36734.495656845553</c:v>
                </c:pt>
                <c:pt idx="1">
                  <c:v>36705.802152032702</c:v>
                </c:pt>
                <c:pt idx="2">
                  <c:v>36677.329936227477</c:v>
                </c:pt>
                <c:pt idx="3">
                  <c:v>36618.99229773604</c:v>
                </c:pt>
                <c:pt idx="4">
                  <c:v>36591.105469856782</c:v>
                </c:pt>
                <c:pt idx="5">
                  <c:v>36563.265309828312</c:v>
                </c:pt>
                <c:pt idx="6">
                  <c:v>39240.319498199191</c:v>
                </c:pt>
                <c:pt idx="7">
                  <c:v>41911.667239019072</c:v>
                </c:pt>
                <c:pt idx="8">
                  <c:v>44557.764024419906</c:v>
                </c:pt>
                <c:pt idx="9">
                  <c:v>47220.629336551283</c:v>
                </c:pt>
                <c:pt idx="10">
                  <c:v>49875.089223622163</c:v>
                </c:pt>
                <c:pt idx="11">
                  <c:v>54558.265422112207</c:v>
                </c:pt>
                <c:pt idx="12">
                  <c:v>59242.823156922459</c:v>
                </c:pt>
                <c:pt idx="13">
                  <c:v>63925.13543891225</c:v>
                </c:pt>
                <c:pt idx="14">
                  <c:v>68612.132681845673</c:v>
                </c:pt>
                <c:pt idx="15">
                  <c:v>73300.410775560464</c:v>
                </c:pt>
                <c:pt idx="16">
                  <c:v>74130.070039558923</c:v>
                </c:pt>
                <c:pt idx="17">
                  <c:v>74959.304908222664</c:v>
                </c:pt>
                <c:pt idx="18">
                  <c:v>75785.007711992759</c:v>
                </c:pt>
                <c:pt idx="19">
                  <c:v>76613.765501983973</c:v>
                </c:pt>
                <c:pt idx="20">
                  <c:v>77442.351857305272</c:v>
                </c:pt>
                <c:pt idx="21">
                  <c:v>76929.198465091424</c:v>
                </c:pt>
                <c:pt idx="22">
                  <c:v>75047.062913840171</c:v>
                </c:pt>
                <c:pt idx="23">
                  <c:v>73158.834712232681</c:v>
                </c:pt>
                <c:pt idx="24">
                  <c:v>71264.45297187168</c:v>
                </c:pt>
              </c:numCache>
            </c:numRef>
          </c:val>
          <c:extLst>
            <c:ext xmlns:c15="http://schemas.microsoft.com/office/drawing/2012/chart" uri="{02D57815-91ED-43cb-92C2-25804820EDAC}">
              <c15:filteredCategoryTitle>
                <c15:cat>
                  <c:numRef>
                    <c:extLst>
                      <c:ext uri="{02D57815-91ED-43cb-92C2-25804820EDAC}">
                        <c15:formulaRef>
                          <c15:sqref>'Results ReCiPe (H) - CC'!$AC$9:$BA$9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5-4415-46A6-A346-924D7AAAA2FE}"/>
            </c:ext>
          </c:extLst>
        </c:ser>
        <c:ser>
          <c:idx val="6"/>
          <c:order val="6"/>
          <c:tx>
            <c:strRef>
              <c:f>'Results ReCiPe (H) - CC'!$AB$16</c:f>
              <c:strCache>
                <c:ptCount val="1"/>
                <c:pt idx="0">
                  <c:v>Operation - geological storage</c:v>
                </c:pt>
              </c:strCache>
            </c:strRef>
          </c:tx>
          <c:spPr>
            <a:solidFill>
              <a:schemeClr val="accent2">
                <a:lumMod val="50000"/>
              </a:schemeClr>
            </a:solidFill>
            <a:ln>
              <a:noFill/>
            </a:ln>
            <a:effectLst/>
          </c:spPr>
          <c:invertIfNegative val="0"/>
          <c:val>
            <c:numRef>
              <c:f>'Results ReCiPe (H) - CC'!$AC$16:$BA$16</c:f>
              <c:numCache>
                <c:formatCode>0.00E+00</c:formatCode>
                <c:ptCount val="25"/>
                <c:pt idx="0">
                  <c:v>2943.7924966964761</c:v>
                </c:pt>
                <c:pt idx="1">
                  <c:v>2937.0897191785971</c:v>
                </c:pt>
                <c:pt idx="2">
                  <c:v>2930.4084088828381</c:v>
                </c:pt>
                <c:pt idx="3">
                  <c:v>2921.021975351232</c:v>
                </c:pt>
                <c:pt idx="4">
                  <c:v>2914.389295446806</c:v>
                </c:pt>
                <c:pt idx="5">
                  <c:v>2907.7604797022491</c:v>
                </c:pt>
                <c:pt idx="6">
                  <c:v>3106.8746566307573</c:v>
                </c:pt>
                <c:pt idx="7">
                  <c:v>3304.9923424910412</c:v>
                </c:pt>
                <c:pt idx="8">
                  <c:v>3500.3497219968858</c:v>
                </c:pt>
                <c:pt idx="9">
                  <c:v>3696.7044926235994</c:v>
                </c:pt>
                <c:pt idx="10">
                  <c:v>3891.8630991223208</c:v>
                </c:pt>
                <c:pt idx="11">
                  <c:v>4240.1167474471504</c:v>
                </c:pt>
                <c:pt idx="12">
                  <c:v>4587.6836565978592</c:v>
                </c:pt>
                <c:pt idx="13">
                  <c:v>4934.2265970799035</c:v>
                </c:pt>
                <c:pt idx="14">
                  <c:v>5280.3949676992415</c:v>
                </c:pt>
                <c:pt idx="15">
                  <c:v>5625.8671452773069</c:v>
                </c:pt>
                <c:pt idx="16">
                  <c:v>5682.121447840932</c:v>
                </c:pt>
                <c:pt idx="17">
                  <c:v>5738.221994802364</c:v>
                </c:pt>
                <c:pt idx="18">
                  <c:v>5793.8709780279114</c:v>
                </c:pt>
                <c:pt idx="19">
                  <c:v>5849.6896665628428</c:v>
                </c:pt>
                <c:pt idx="20">
                  <c:v>5905.3714353417108</c:v>
                </c:pt>
                <c:pt idx="21">
                  <c:v>5855.2184391963192</c:v>
                </c:pt>
                <c:pt idx="22">
                  <c:v>5703.600290289929</c:v>
                </c:pt>
                <c:pt idx="23">
                  <c:v>5552.0855705983431</c:v>
                </c:pt>
                <c:pt idx="24">
                  <c:v>5400.6707487977674</c:v>
                </c:pt>
              </c:numCache>
            </c:numRef>
          </c:val>
          <c:extLst>
            <c:ext xmlns:c15="http://schemas.microsoft.com/office/drawing/2012/chart" uri="{02D57815-91ED-43cb-92C2-25804820EDAC}">
              <c15:filteredCategoryTitle>
                <c15:cat>
                  <c:numRef>
                    <c:extLst>
                      <c:ext uri="{02D57815-91ED-43cb-92C2-25804820EDAC}">
                        <c15:formulaRef>
                          <c15:sqref>'Results ReCiPe (H) - CC'!$AC$9:$BA$9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6-4415-46A6-A346-924D7AAAA2FE}"/>
            </c:ext>
          </c:extLst>
        </c:ser>
        <c:ser>
          <c:idx val="7"/>
          <c:order val="7"/>
          <c:tx>
            <c:strRef>
              <c:f>'Results ReCiPe (H) - CC'!$AB$17</c:f>
              <c:strCache>
                <c:ptCount val="1"/>
                <c:pt idx="0">
                  <c:v>CO2 captured and stored</c:v>
                </c:pt>
              </c:strCache>
            </c:strRef>
          </c:tx>
          <c:spPr>
            <a:solidFill>
              <a:schemeClr val="tx2">
                <a:lumMod val="20000"/>
                <a:lumOff val="80000"/>
              </a:schemeClr>
            </a:solidFill>
            <a:ln>
              <a:noFill/>
            </a:ln>
            <a:effectLst/>
          </c:spPr>
          <c:invertIfNegative val="0"/>
          <c:val>
            <c:numRef>
              <c:f>'Results ReCiPe (H) - CC'!$AC$17:$BA$17</c:f>
              <c:numCache>
                <c:formatCode>0.00E+00</c:formatCode>
                <c:ptCount val="25"/>
                <c:pt idx="0">
                  <c:v>-100000</c:v>
                </c:pt>
                <c:pt idx="1">
                  <c:v>-100000</c:v>
                </c:pt>
                <c:pt idx="2">
                  <c:v>-100000</c:v>
                </c:pt>
                <c:pt idx="3">
                  <c:v>-100000</c:v>
                </c:pt>
                <c:pt idx="4">
                  <c:v>-100000</c:v>
                </c:pt>
                <c:pt idx="5">
                  <c:v>-100000</c:v>
                </c:pt>
                <c:pt idx="6">
                  <c:v>-100000</c:v>
                </c:pt>
                <c:pt idx="7">
                  <c:v>-100000</c:v>
                </c:pt>
                <c:pt idx="8">
                  <c:v>-100000</c:v>
                </c:pt>
                <c:pt idx="9">
                  <c:v>-100000</c:v>
                </c:pt>
                <c:pt idx="10">
                  <c:v>-100000</c:v>
                </c:pt>
                <c:pt idx="11">
                  <c:v>-100000</c:v>
                </c:pt>
                <c:pt idx="12">
                  <c:v>-100000</c:v>
                </c:pt>
                <c:pt idx="13">
                  <c:v>-100000</c:v>
                </c:pt>
                <c:pt idx="14">
                  <c:v>-100000</c:v>
                </c:pt>
                <c:pt idx="15">
                  <c:v>-100000</c:v>
                </c:pt>
                <c:pt idx="16">
                  <c:v>-100000</c:v>
                </c:pt>
                <c:pt idx="17">
                  <c:v>-100000</c:v>
                </c:pt>
                <c:pt idx="18">
                  <c:v>-100000</c:v>
                </c:pt>
                <c:pt idx="19">
                  <c:v>-100000</c:v>
                </c:pt>
                <c:pt idx="20">
                  <c:v>-100000</c:v>
                </c:pt>
                <c:pt idx="21">
                  <c:v>-100000</c:v>
                </c:pt>
                <c:pt idx="22">
                  <c:v>-100000</c:v>
                </c:pt>
                <c:pt idx="23">
                  <c:v>-100000</c:v>
                </c:pt>
                <c:pt idx="24">
                  <c:v>-100000</c:v>
                </c:pt>
              </c:numCache>
            </c:numRef>
          </c:val>
          <c:extLst>
            <c:ext xmlns:c15="http://schemas.microsoft.com/office/drawing/2012/chart" uri="{02D57815-91ED-43cb-92C2-25804820EDAC}">
              <c15:filteredCategoryTitle>
                <c15:cat>
                  <c:numRef>
                    <c:extLst>
                      <c:ext uri="{02D57815-91ED-43cb-92C2-25804820EDAC}">
                        <c15:formulaRef>
                          <c15:sqref>'Results ReCiPe (H) - CC'!$AC$9:$BA$9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7-4415-46A6-A346-924D7AAAA2FE}"/>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CC'!$AB$18</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val>
            <c:numRef>
              <c:f>'Results ReCiPe (H) - CC'!$AC$18:$BA$18</c:f>
              <c:numCache>
                <c:formatCode>0.00E+00</c:formatCode>
                <c:ptCount val="25"/>
                <c:pt idx="0">
                  <c:v>-18306.883059035725</c:v>
                </c:pt>
                <c:pt idx="1">
                  <c:v>-60357.108128788699</c:v>
                </c:pt>
                <c:pt idx="2">
                  <c:v>-60392.261654889684</c:v>
                </c:pt>
                <c:pt idx="3">
                  <c:v>-59284.713242383368</c:v>
                </c:pt>
                <c:pt idx="4">
                  <c:v>-60494.505234696415</c:v>
                </c:pt>
                <c:pt idx="5">
                  <c:v>-60528.974210469438</c:v>
                </c:pt>
                <c:pt idx="6">
                  <c:v>-56480.717083255484</c:v>
                </c:pt>
                <c:pt idx="7">
                  <c:v>-54783.340418489883</c:v>
                </c:pt>
                <c:pt idx="8">
                  <c:v>-51941.886253583209</c:v>
                </c:pt>
                <c:pt idx="9">
                  <c:v>-47911.124247306921</c:v>
                </c:pt>
                <c:pt idx="10">
                  <c:v>-46233.047677255519</c:v>
                </c:pt>
                <c:pt idx="11">
                  <c:v>-41201.617830440642</c:v>
                </c:pt>
                <c:pt idx="12">
                  <c:v>-34993.458499513079</c:v>
                </c:pt>
                <c:pt idx="13">
                  <c:v>-31140.637964007852</c:v>
                </c:pt>
                <c:pt idx="14">
                  <c:v>-26107.472350455093</c:v>
                </c:pt>
                <c:pt idx="15">
                  <c:v>-19892.862791208696</c:v>
                </c:pt>
                <c:pt idx="16">
                  <c:v>-20187.808512600139</c:v>
                </c:pt>
                <c:pt idx="17">
                  <c:v>-19302.473096974965</c:v>
                </c:pt>
                <c:pt idx="18">
                  <c:v>-17255.523972986339</c:v>
                </c:pt>
                <c:pt idx="19">
                  <c:v>-17536.544831453182</c:v>
                </c:pt>
                <c:pt idx="20">
                  <c:v>-16652.276707353012</c:v>
                </c:pt>
                <c:pt idx="21">
                  <c:v>-16066.340561999663</c:v>
                </c:pt>
                <c:pt idx="22">
                  <c:v>-19249.336795869895</c:v>
                </c:pt>
                <c:pt idx="23">
                  <c:v>-21289.079717168977</c:v>
                </c:pt>
                <c:pt idx="24">
                  <c:v>-21494.820265866889</c:v>
                </c:pt>
              </c:numCache>
            </c:numRef>
          </c:val>
          <c:smooth val="0"/>
          <c:extLst>
            <c:ext xmlns:c15="http://schemas.microsoft.com/office/drawing/2012/chart" uri="{02D57815-91ED-43cb-92C2-25804820EDAC}">
              <c15:filteredCategoryTitle>
                <c15:cat>
                  <c:numRef>
                    <c:extLst>
                      <c:ext uri="{02D57815-91ED-43cb-92C2-25804820EDAC}">
                        <c15:formulaRef>
                          <c15:sqref>'Results ReCiPe (H) - CC'!$AC$9:$BA$9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8-4415-46A6-A346-924D7AAAA2FE}"/>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mn-ea"/>
                    <a:cs typeface="+mn-cs"/>
                  </a:defRPr>
                </a:pPr>
                <a:r>
                  <a:rPr lang="nl-NL"/>
                  <a:t>years</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mn-ea"/>
                  <a:cs typeface="+mn-cs"/>
                </a:defRPr>
              </a:pPr>
              <a:endParaRPr lang="en-NL"/>
            </a:p>
          </c:txPr>
        </c:title>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Verdana Pro" panose="020B0604030504040204" pitchFamily="34" charset="0"/>
                    <a:ea typeface="+mn-ea"/>
                    <a:cs typeface="+mn-cs"/>
                  </a:defRPr>
                </a:pPr>
                <a:r>
                  <a:rPr lang="nl-NL"/>
                  <a:t>Climate change</a:t>
                </a:r>
              </a:p>
              <a:p>
                <a:pPr algn="ctr" rtl="0">
                  <a:defRPr/>
                </a:pPr>
                <a:r>
                  <a:rPr lang="nl-NL"/>
                  <a:t>(kg CO2-eq/ton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Verdana Pro" panose="020B0604030504040204" pitchFamily="34" charset="0"/>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Verdana Pro" panose="020B0604030504040204" pitchFamily="34" charset="0"/>
        </a:defRPr>
      </a:pPr>
      <a:endParaRPr lang="en-NL"/>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CC'!$AB$50</c:f>
              <c:strCache>
                <c:ptCount val="1"/>
                <c:pt idx="0">
                  <c:v>Construction - DAC</c:v>
                </c:pt>
              </c:strCache>
            </c:strRef>
          </c:tx>
          <c:spPr>
            <a:solidFill>
              <a:schemeClr val="accent4">
                <a:lumMod val="75000"/>
              </a:schemeClr>
            </a:solidFill>
            <a:ln>
              <a:noFill/>
            </a:ln>
            <a:effectLst/>
          </c:spPr>
          <c:invertIfNegative val="0"/>
          <c:val>
            <c:numRef>
              <c:f>'Results ReCiPe (H) - CC'!$AC$50:$BA$50</c:f>
              <c:numCache>
                <c:formatCode>0.00E+00</c:formatCode>
                <c:ptCount val="25"/>
                <c:pt idx="0">
                  <c:v>35571.801809533943</c:v>
                </c:pt>
              </c:numCache>
            </c:numRef>
          </c:val>
          <c:extLst>
            <c:ext xmlns:c15="http://schemas.microsoft.com/office/drawing/2012/chart" uri="{02D57815-91ED-43cb-92C2-25804820EDAC}">
              <c15:filteredCategoryTitle>
                <c15:cat>
                  <c:numRef>
                    <c:extLst>
                      <c:ext uri="{02D57815-91ED-43cb-92C2-25804820EDAC}">
                        <c15:formulaRef>
                          <c15:sqref>'Results ReCiPe (H) - CC'!$AC$49:$BA$49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0-CB1A-4DE2-857B-43337C10BB02}"/>
            </c:ext>
          </c:extLst>
        </c:ser>
        <c:ser>
          <c:idx val="1"/>
          <c:order val="1"/>
          <c:tx>
            <c:strRef>
              <c:f>'Results ReCiPe (H) - CC'!$AB$51</c:f>
              <c:strCache>
                <c:ptCount val="1"/>
                <c:pt idx="0">
                  <c:v>Construction - geological storage</c:v>
                </c:pt>
              </c:strCache>
            </c:strRef>
          </c:tx>
          <c:spPr>
            <a:solidFill>
              <a:schemeClr val="accent4">
                <a:lumMod val="60000"/>
                <a:lumOff val="40000"/>
              </a:schemeClr>
            </a:solidFill>
            <a:ln>
              <a:noFill/>
            </a:ln>
            <a:effectLst/>
          </c:spPr>
          <c:invertIfNegative val="0"/>
          <c:val>
            <c:numRef>
              <c:f>'Results ReCiPe (H) - CC'!$AC$51:$BA$51</c:f>
              <c:numCache>
                <c:formatCode>0.00E+00</c:formatCode>
                <c:ptCount val="25"/>
                <c:pt idx="0">
                  <c:v>2321.3557239996653</c:v>
                </c:pt>
              </c:numCache>
            </c:numRef>
          </c:val>
          <c:extLst>
            <c:ext xmlns:c15="http://schemas.microsoft.com/office/drawing/2012/chart" uri="{02D57815-91ED-43cb-92C2-25804820EDAC}">
              <c15:filteredCategoryTitle>
                <c15:cat>
                  <c:numRef>
                    <c:extLst>
                      <c:ext uri="{02D57815-91ED-43cb-92C2-25804820EDAC}">
                        <c15:formulaRef>
                          <c15:sqref>'Results ReCiPe (H) - CC'!$AC$49:$BA$49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1-CB1A-4DE2-857B-43337C10BB02}"/>
            </c:ext>
          </c:extLst>
        </c:ser>
        <c:ser>
          <c:idx val="2"/>
          <c:order val="2"/>
          <c:tx>
            <c:strRef>
              <c:f>'Results ReCiPe (H) - CC'!$AB$52</c:f>
              <c:strCache>
                <c:ptCount val="1"/>
                <c:pt idx="0">
                  <c:v>Deconstruction - DAC</c:v>
                </c:pt>
              </c:strCache>
            </c:strRef>
          </c:tx>
          <c:spPr>
            <a:solidFill>
              <a:schemeClr val="accent2">
                <a:lumMod val="40000"/>
                <a:lumOff val="60000"/>
              </a:schemeClr>
            </a:solidFill>
            <a:ln>
              <a:noFill/>
            </a:ln>
            <a:effectLst/>
          </c:spPr>
          <c:invertIfNegative val="0"/>
          <c:val>
            <c:numRef>
              <c:f>'Results ReCiPe (H) - CC'!$AC$52:$BA$52</c:f>
              <c:numCache>
                <c:formatCode>0.00E+00</c:formatCode>
                <c:ptCount val="25"/>
                <c:pt idx="24">
                  <c:v>578.38595176265494</c:v>
                </c:pt>
              </c:numCache>
            </c:numRef>
          </c:val>
          <c:extLst>
            <c:ext xmlns:c15="http://schemas.microsoft.com/office/drawing/2012/chart" uri="{02D57815-91ED-43cb-92C2-25804820EDAC}">
              <c15:filteredCategoryTitle>
                <c15:cat>
                  <c:numRef>
                    <c:extLst>
                      <c:ext uri="{02D57815-91ED-43cb-92C2-25804820EDAC}">
                        <c15:formulaRef>
                          <c15:sqref>'Results ReCiPe (H) - CC'!$AC$49:$BA$49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2-CB1A-4DE2-857B-43337C10BB02}"/>
            </c:ext>
          </c:extLst>
        </c:ser>
        <c:ser>
          <c:idx val="3"/>
          <c:order val="3"/>
          <c:tx>
            <c:strRef>
              <c:f>'Results ReCiPe (H) - CC'!$AB$53</c:f>
              <c:strCache>
                <c:ptCount val="1"/>
                <c:pt idx="0">
                  <c:v>Deconstruction - geological storage</c:v>
                </c:pt>
              </c:strCache>
            </c:strRef>
          </c:tx>
          <c:spPr>
            <a:solidFill>
              <a:srgbClr val="FF9900"/>
            </a:solidFill>
            <a:ln>
              <a:noFill/>
            </a:ln>
            <a:effectLst/>
          </c:spPr>
          <c:invertIfNegative val="0"/>
          <c:val>
            <c:numRef>
              <c:f>'Results ReCiPe (H) - CC'!$AC$53:$BA$53</c:f>
              <c:numCache>
                <c:formatCode>0.00E+00</c:formatCode>
                <c:ptCount val="25"/>
                <c:pt idx="24">
                  <c:v>20.958999559062121</c:v>
                </c:pt>
              </c:numCache>
            </c:numRef>
          </c:val>
          <c:extLst>
            <c:ext xmlns:c15="http://schemas.microsoft.com/office/drawing/2012/chart" uri="{02D57815-91ED-43cb-92C2-25804820EDAC}">
              <c15:filteredCategoryTitle>
                <c15:cat>
                  <c:numRef>
                    <c:extLst>
                      <c:ext uri="{02D57815-91ED-43cb-92C2-25804820EDAC}">
                        <c15:formulaRef>
                          <c15:sqref>'Results ReCiPe (H) - CC'!$AC$49:$BA$49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3-CB1A-4DE2-857B-43337C10BB02}"/>
            </c:ext>
          </c:extLst>
        </c:ser>
        <c:ser>
          <c:idx val="4"/>
          <c:order val="4"/>
          <c:tx>
            <c:strRef>
              <c:f>'Results ReCiPe (H) - CC'!$AB$54</c:f>
              <c:strCache>
                <c:ptCount val="1"/>
                <c:pt idx="0">
                  <c:v>Sorbent material</c:v>
                </c:pt>
              </c:strCache>
            </c:strRef>
          </c:tx>
          <c:spPr>
            <a:solidFill>
              <a:srgbClr val="FF8F8F"/>
            </a:solidFill>
            <a:ln>
              <a:noFill/>
            </a:ln>
            <a:effectLst/>
          </c:spPr>
          <c:invertIfNegative val="0"/>
          <c:val>
            <c:numRef>
              <c:f>'Results ReCiPe (H) - CC'!$AC$54:$BA$54</c:f>
              <c:numCache>
                <c:formatCode>0.00E+00</c:formatCode>
                <c:ptCount val="25"/>
                <c:pt idx="0">
                  <c:v>1148.3409729516229</c:v>
                </c:pt>
                <c:pt idx="3">
                  <c:v>1112.2182425813739</c:v>
                </c:pt>
                <c:pt idx="6">
                  <c:v>1076.9191461281321</c:v>
                </c:pt>
                <c:pt idx="9">
                  <c:v>1031.286216035297</c:v>
                </c:pt>
                <c:pt idx="12">
                  <c:v>977.44851845379105</c:v>
                </c:pt>
                <c:pt idx="15">
                  <c:v>917.987027187487</c:v>
                </c:pt>
                <c:pt idx="18">
                  <c:v>875.86379727760391</c:v>
                </c:pt>
                <c:pt idx="21">
                  <c:v>846.3879160889735</c:v>
                </c:pt>
                <c:pt idx="24">
                  <c:v>839.0363303143256</c:v>
                </c:pt>
              </c:numCache>
            </c:numRef>
          </c:val>
          <c:extLst>
            <c:ext xmlns:c15="http://schemas.microsoft.com/office/drawing/2012/chart" uri="{02D57815-91ED-43cb-92C2-25804820EDAC}">
              <c15:filteredCategoryTitle>
                <c15:cat>
                  <c:numRef>
                    <c:extLst>
                      <c:ext uri="{02D57815-91ED-43cb-92C2-25804820EDAC}">
                        <c15:formulaRef>
                          <c15:sqref>'Results ReCiPe (H) - CC'!$AC$49:$BA$49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4-CB1A-4DE2-857B-43337C10BB02}"/>
            </c:ext>
          </c:extLst>
        </c:ser>
        <c:ser>
          <c:idx val="5"/>
          <c:order val="5"/>
          <c:tx>
            <c:strRef>
              <c:f>'Results ReCiPe (H) - CC'!$AB$55</c:f>
              <c:strCache>
                <c:ptCount val="1"/>
                <c:pt idx="0">
                  <c:v>Operation - DAC</c:v>
                </c:pt>
              </c:strCache>
            </c:strRef>
          </c:tx>
          <c:spPr>
            <a:solidFill>
              <a:schemeClr val="accent2">
                <a:lumMod val="75000"/>
              </a:schemeClr>
            </a:solidFill>
            <a:ln>
              <a:noFill/>
            </a:ln>
            <a:effectLst/>
          </c:spPr>
          <c:invertIfNegative val="0"/>
          <c:val>
            <c:numRef>
              <c:f>'Results ReCiPe (H) - CC'!$AC$55:$BA$55</c:f>
              <c:numCache>
                <c:formatCode>0.00E+00</c:formatCode>
                <c:ptCount val="25"/>
                <c:pt idx="0">
                  <c:v>31719.42420891019</c:v>
                </c:pt>
                <c:pt idx="1">
                  <c:v>29615.067212715021</c:v>
                </c:pt>
                <c:pt idx="2">
                  <c:v>27511.55424373363</c:v>
                </c:pt>
                <c:pt idx="3">
                  <c:v>25376.522327277871</c:v>
                </c:pt>
                <c:pt idx="4">
                  <c:v>23274.096743693699</c:v>
                </c:pt>
                <c:pt idx="5">
                  <c:v>21171.9224630998</c:v>
                </c:pt>
                <c:pt idx="6">
                  <c:v>19494.08719520552</c:v>
                </c:pt>
                <c:pt idx="7">
                  <c:v>17819.456292159281</c:v>
                </c:pt>
                <c:pt idx="8">
                  <c:v>16120.37980492665</c:v>
                </c:pt>
                <c:pt idx="9">
                  <c:v>14447.550212391679</c:v>
                </c:pt>
                <c:pt idx="10">
                  <c:v>12774.972356630589</c:v>
                </c:pt>
                <c:pt idx="11">
                  <c:v>11430.748925640561</c:v>
                </c:pt>
                <c:pt idx="12">
                  <c:v>10081.27410312286</c:v>
                </c:pt>
                <c:pt idx="13">
                  <c:v>8721.1894502593204</c:v>
                </c:pt>
                <c:pt idx="14">
                  <c:v>7361.43824243366</c:v>
                </c:pt>
                <c:pt idx="15">
                  <c:v>5996.6556679204514</c:v>
                </c:pt>
                <c:pt idx="16">
                  <c:v>5258.5143779775881</c:v>
                </c:pt>
                <c:pt idx="17">
                  <c:v>4520.3310015196421</c:v>
                </c:pt>
                <c:pt idx="18">
                  <c:v>3777.4875783923999</c:v>
                </c:pt>
                <c:pt idx="19">
                  <c:v>3039.441726812468</c:v>
                </c:pt>
                <c:pt idx="20">
                  <c:v>2301.7728813207682</c:v>
                </c:pt>
                <c:pt idx="21">
                  <c:v>2034.41682845842</c:v>
                </c:pt>
                <c:pt idx="22">
                  <c:v>1744.3514068857951</c:v>
                </c:pt>
                <c:pt idx="23">
                  <c:v>1453.308202973933</c:v>
                </c:pt>
                <c:pt idx="24">
                  <c:v>1161.2637139228491</c:v>
                </c:pt>
              </c:numCache>
            </c:numRef>
          </c:val>
          <c:extLst>
            <c:ext xmlns:c15="http://schemas.microsoft.com/office/drawing/2012/chart" uri="{02D57815-91ED-43cb-92C2-25804820EDAC}">
              <c15:filteredCategoryTitle>
                <c15:cat>
                  <c:numRef>
                    <c:extLst>
                      <c:ext uri="{02D57815-91ED-43cb-92C2-25804820EDAC}">
                        <c15:formulaRef>
                          <c15:sqref>'Results ReCiPe (H) - CC'!$AC$49:$BA$49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5-CB1A-4DE2-857B-43337C10BB02}"/>
            </c:ext>
          </c:extLst>
        </c:ser>
        <c:ser>
          <c:idx val="6"/>
          <c:order val="6"/>
          <c:tx>
            <c:strRef>
              <c:f>'Results ReCiPe (H) - CC'!$AB$56</c:f>
              <c:strCache>
                <c:ptCount val="1"/>
                <c:pt idx="0">
                  <c:v>Operation - geological storage</c:v>
                </c:pt>
              </c:strCache>
            </c:strRef>
          </c:tx>
          <c:spPr>
            <a:solidFill>
              <a:schemeClr val="accent2">
                <a:lumMod val="50000"/>
              </a:schemeClr>
            </a:solidFill>
            <a:ln>
              <a:noFill/>
            </a:ln>
            <a:effectLst/>
          </c:spPr>
          <c:invertIfNegative val="0"/>
          <c:val>
            <c:numRef>
              <c:f>'Results ReCiPe (H) - CC'!$AC$56:$BA$56</c:f>
              <c:numCache>
                <c:formatCode>0.00E+00</c:formatCode>
                <c:ptCount val="25"/>
                <c:pt idx="0">
                  <c:v>2542.97481093942</c:v>
                </c:pt>
                <c:pt idx="1">
                  <c:v>2376.1908223022351</c:v>
                </c:pt>
                <c:pt idx="2">
                  <c:v>2210.198356481329</c:v>
                </c:pt>
                <c:pt idx="3">
                  <c:v>2042.1089575522349</c:v>
                </c:pt>
                <c:pt idx="4">
                  <c:v>1877.6504775339711</c:v>
                </c:pt>
                <c:pt idx="5">
                  <c:v>1713.9317286688911</c:v>
                </c:pt>
                <c:pt idx="6">
                  <c:v>1584.1543394014241</c:v>
                </c:pt>
                <c:pt idx="7">
                  <c:v>1454.8948646449719</c:v>
                </c:pt>
                <c:pt idx="8">
                  <c:v>1323.7820438900601</c:v>
                </c:pt>
                <c:pt idx="9">
                  <c:v>1195.1988527569281</c:v>
                </c:pt>
                <c:pt idx="10">
                  <c:v>1066.8976244184651</c:v>
                </c:pt>
                <c:pt idx="11">
                  <c:v>963.58440519466842</c:v>
                </c:pt>
                <c:pt idx="12">
                  <c:v>859.91567497999529</c:v>
                </c:pt>
                <c:pt idx="13">
                  <c:v>755.41292956805273</c:v>
                </c:pt>
                <c:pt idx="14">
                  <c:v>651.04604210442778</c:v>
                </c:pt>
                <c:pt idx="15">
                  <c:v>546.33480393535831</c:v>
                </c:pt>
                <c:pt idx="16">
                  <c:v>489.39242557480054</c:v>
                </c:pt>
                <c:pt idx="17">
                  <c:v>432.29621235982074</c:v>
                </c:pt>
                <c:pt idx="18">
                  <c:v>374.6375724780944</c:v>
                </c:pt>
                <c:pt idx="19">
                  <c:v>317.244406053852</c:v>
                </c:pt>
                <c:pt idx="20">
                  <c:v>259.72292994022592</c:v>
                </c:pt>
                <c:pt idx="21">
                  <c:v>239.30004870743892</c:v>
                </c:pt>
                <c:pt idx="22">
                  <c:v>217.20126571922478</c:v>
                </c:pt>
                <c:pt idx="23">
                  <c:v>195.09716023618199</c:v>
                </c:pt>
                <c:pt idx="24">
                  <c:v>172.9858048397322</c:v>
                </c:pt>
              </c:numCache>
            </c:numRef>
          </c:val>
          <c:extLst>
            <c:ext xmlns:c15="http://schemas.microsoft.com/office/drawing/2012/chart" uri="{02D57815-91ED-43cb-92C2-25804820EDAC}">
              <c15:filteredCategoryTitle>
                <c15:cat>
                  <c:numRef>
                    <c:extLst>
                      <c:ext uri="{02D57815-91ED-43cb-92C2-25804820EDAC}">
                        <c15:formulaRef>
                          <c15:sqref>'Results ReCiPe (H) - CC'!$AC$49:$BA$49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6-CB1A-4DE2-857B-43337C10BB02}"/>
            </c:ext>
          </c:extLst>
        </c:ser>
        <c:ser>
          <c:idx val="7"/>
          <c:order val="7"/>
          <c:tx>
            <c:strRef>
              <c:f>'Results ReCiPe (H) - CC'!$AB$57</c:f>
              <c:strCache>
                <c:ptCount val="1"/>
                <c:pt idx="0">
                  <c:v>CO2 captured and stored</c:v>
                </c:pt>
              </c:strCache>
            </c:strRef>
          </c:tx>
          <c:spPr>
            <a:solidFill>
              <a:schemeClr val="tx2">
                <a:lumMod val="20000"/>
                <a:lumOff val="80000"/>
              </a:schemeClr>
            </a:solidFill>
            <a:ln>
              <a:noFill/>
            </a:ln>
            <a:effectLst/>
          </c:spPr>
          <c:invertIfNegative val="0"/>
          <c:val>
            <c:numRef>
              <c:f>'Results ReCiPe (H) - CC'!$AC$57:$BA$57</c:f>
              <c:numCache>
                <c:formatCode>0.00E+00</c:formatCode>
                <c:ptCount val="25"/>
                <c:pt idx="0">
                  <c:v>-100000</c:v>
                </c:pt>
                <c:pt idx="1">
                  <c:v>-100000</c:v>
                </c:pt>
                <c:pt idx="2">
                  <c:v>-100000</c:v>
                </c:pt>
                <c:pt idx="3">
                  <c:v>-100000</c:v>
                </c:pt>
                <c:pt idx="4">
                  <c:v>-100000</c:v>
                </c:pt>
                <c:pt idx="5">
                  <c:v>-100000</c:v>
                </c:pt>
                <c:pt idx="6">
                  <c:v>-100000</c:v>
                </c:pt>
                <c:pt idx="7">
                  <c:v>-100000</c:v>
                </c:pt>
                <c:pt idx="8">
                  <c:v>-100000</c:v>
                </c:pt>
                <c:pt idx="9">
                  <c:v>-100000</c:v>
                </c:pt>
                <c:pt idx="10">
                  <c:v>-100000</c:v>
                </c:pt>
                <c:pt idx="11">
                  <c:v>-100000</c:v>
                </c:pt>
                <c:pt idx="12">
                  <c:v>-100000</c:v>
                </c:pt>
                <c:pt idx="13">
                  <c:v>-100000</c:v>
                </c:pt>
                <c:pt idx="14">
                  <c:v>-100000</c:v>
                </c:pt>
                <c:pt idx="15">
                  <c:v>-100000</c:v>
                </c:pt>
                <c:pt idx="16">
                  <c:v>-100000</c:v>
                </c:pt>
                <c:pt idx="17">
                  <c:v>-100000</c:v>
                </c:pt>
                <c:pt idx="18">
                  <c:v>-100000</c:v>
                </c:pt>
                <c:pt idx="19">
                  <c:v>-100000</c:v>
                </c:pt>
                <c:pt idx="20">
                  <c:v>-100000</c:v>
                </c:pt>
                <c:pt idx="21">
                  <c:v>-100000</c:v>
                </c:pt>
                <c:pt idx="22">
                  <c:v>-100000</c:v>
                </c:pt>
                <c:pt idx="23">
                  <c:v>-100000</c:v>
                </c:pt>
                <c:pt idx="24">
                  <c:v>-100000</c:v>
                </c:pt>
              </c:numCache>
            </c:numRef>
          </c:val>
          <c:extLst>
            <c:ext xmlns:c15="http://schemas.microsoft.com/office/drawing/2012/chart" uri="{02D57815-91ED-43cb-92C2-25804820EDAC}">
              <c15:filteredCategoryTitle>
                <c15:cat>
                  <c:numRef>
                    <c:extLst>
                      <c:ext uri="{02D57815-91ED-43cb-92C2-25804820EDAC}">
                        <c15:formulaRef>
                          <c15:sqref>'Results ReCiPe (H) - CC'!$AC$49:$BA$49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7-CB1A-4DE2-857B-43337C10BB02}"/>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CC'!$AB$58</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val>
            <c:numRef>
              <c:f>'Results ReCiPe (H) - CC'!$AC$58:$BA$58</c:f>
              <c:numCache>
                <c:formatCode>0.00E+00</c:formatCode>
                <c:ptCount val="25"/>
                <c:pt idx="0">
                  <c:v>-26696.10247366516</c:v>
                </c:pt>
                <c:pt idx="1">
                  <c:v>-68008.741964982735</c:v>
                </c:pt>
                <c:pt idx="2">
                  <c:v>-70278.247399785032</c:v>
                </c:pt>
                <c:pt idx="3">
                  <c:v>-71469.150472588517</c:v>
                </c:pt>
                <c:pt idx="4">
                  <c:v>-74848.252778772323</c:v>
                </c:pt>
                <c:pt idx="5">
                  <c:v>-77114.145808231318</c:v>
                </c:pt>
                <c:pt idx="6">
                  <c:v>-77844.839319264924</c:v>
                </c:pt>
                <c:pt idx="7">
                  <c:v>-80725.648843195755</c:v>
                </c:pt>
                <c:pt idx="8">
                  <c:v>-82555.838151183285</c:v>
                </c:pt>
                <c:pt idx="9">
                  <c:v>-83325.964718816103</c:v>
                </c:pt>
                <c:pt idx="10">
                  <c:v>-86158.130018950949</c:v>
                </c:pt>
                <c:pt idx="11">
                  <c:v>-87605.66666916477</c:v>
                </c:pt>
                <c:pt idx="12">
                  <c:v>-88081.361703443356</c:v>
                </c:pt>
                <c:pt idx="13">
                  <c:v>-90523.397620172633</c:v>
                </c:pt>
                <c:pt idx="14">
                  <c:v>-91987.515715461908</c:v>
                </c:pt>
                <c:pt idx="15">
                  <c:v>-92539.022500956708</c:v>
                </c:pt>
                <c:pt idx="16">
                  <c:v>-94252.093196447619</c:v>
                </c:pt>
                <c:pt idx="17">
                  <c:v>-95047.372786120541</c:v>
                </c:pt>
                <c:pt idx="18">
                  <c:v>-94972.011051851907</c:v>
                </c:pt>
                <c:pt idx="19">
                  <c:v>-96643.313867133678</c:v>
                </c:pt>
                <c:pt idx="20">
                  <c:v>-97438.504188739011</c:v>
                </c:pt>
                <c:pt idx="21">
                  <c:v>-96879.895206745161</c:v>
                </c:pt>
                <c:pt idx="22">
                  <c:v>-98038.447327394984</c:v>
                </c:pt>
                <c:pt idx="23">
                  <c:v>-98351.594636789887</c:v>
                </c:pt>
                <c:pt idx="24">
                  <c:v>-97227.36919960138</c:v>
                </c:pt>
              </c:numCache>
            </c:numRef>
          </c:val>
          <c:smooth val="0"/>
          <c:extLst>
            <c:ext xmlns:c15="http://schemas.microsoft.com/office/drawing/2012/chart" uri="{02D57815-91ED-43cb-92C2-25804820EDAC}">
              <c15:filteredCategoryTitle>
                <c15:cat>
                  <c:numRef>
                    <c:extLst>
                      <c:ext uri="{02D57815-91ED-43cb-92C2-25804820EDAC}">
                        <c15:formulaRef>
                          <c15:sqref>'Results ReCiPe (H) - CC'!$AC$49:$BA$49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8-CB1A-4DE2-857B-43337C10BB02}"/>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mn-ea"/>
                    <a:cs typeface="Times New Roman" panose="02020603050405020304" pitchFamily="18" charset="0"/>
                  </a:defRPr>
                </a:pPr>
                <a:r>
                  <a:rPr lang="nl-NL"/>
                  <a:t>years</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mn-ea"/>
                  <a:cs typeface="Times New Roman" panose="02020603050405020304" pitchFamily="18" charset="0"/>
                </a:defRPr>
              </a:pPr>
              <a:endParaRPr lang="en-NL"/>
            </a:p>
          </c:txPr>
        </c:title>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mn-ea"/>
                <a:cs typeface="Times New Roman" panose="02020603050405020304" pitchFamily="18" charset="0"/>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Verdana Pro" panose="020B0604030504040204" pitchFamily="34" charset="0"/>
                    <a:ea typeface="+mn-ea"/>
                    <a:cs typeface="Times New Roman" panose="02020603050405020304" pitchFamily="18" charset="0"/>
                  </a:defRPr>
                </a:pPr>
                <a:r>
                  <a:rPr lang="nl-NL"/>
                  <a:t>Climate change</a:t>
                </a:r>
              </a:p>
              <a:p>
                <a:pPr algn="ctr" rtl="0">
                  <a:defRPr/>
                </a:pPr>
                <a:r>
                  <a:rPr lang="nl-NL"/>
                  <a:t>(kg CO2-eq/ton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Verdana Pro" panose="020B0604030504040204" pitchFamily="34" charset="0"/>
                  <a:ea typeface="+mn-ea"/>
                  <a:cs typeface="Times New Roman" panose="02020603050405020304" pitchFamily="18" charset="0"/>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mn-ea"/>
                <a:cs typeface="Times New Roman" panose="02020603050405020304" pitchFamily="18" charset="0"/>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mn-ea"/>
              <a:cs typeface="Times New Roman" panose="02020603050405020304" pitchFamily="18" charset="0"/>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Verdana Pro" panose="020B0604030504040204" pitchFamily="34" charset="0"/>
          <a:cs typeface="Times New Roman" panose="02020603050405020304" pitchFamily="18" charset="0"/>
        </a:defRPr>
      </a:pPr>
      <a:endParaRPr lang="en-NL"/>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CC'!$AB$90</c:f>
              <c:strCache>
                <c:ptCount val="1"/>
                <c:pt idx="0">
                  <c:v>Construction - DAC</c:v>
                </c:pt>
              </c:strCache>
            </c:strRef>
          </c:tx>
          <c:spPr>
            <a:solidFill>
              <a:schemeClr val="accent4">
                <a:lumMod val="75000"/>
              </a:schemeClr>
            </a:solidFill>
            <a:ln>
              <a:noFill/>
            </a:ln>
            <a:effectLst/>
          </c:spPr>
          <c:invertIfNegative val="0"/>
          <c:val>
            <c:numRef>
              <c:f>'Results ReCiPe (H) - CC'!$AC$90:$BA$90</c:f>
              <c:numCache>
                <c:formatCode>0.00E+00</c:formatCode>
                <c:ptCount val="25"/>
                <c:pt idx="0">
                  <c:v>27769.199509564176</c:v>
                </c:pt>
              </c:numCache>
            </c:numRef>
          </c:val>
          <c:extLst>
            <c:ext xmlns:c15="http://schemas.microsoft.com/office/drawing/2012/chart" uri="{02D57815-91ED-43cb-92C2-25804820EDAC}">
              <c15:filteredCategoryTitle>
                <c15:cat>
                  <c:numRef>
                    <c:extLst>
                      <c:ext uri="{02D57815-91ED-43cb-92C2-25804820EDAC}">
                        <c15:formulaRef>
                          <c15:sqref>'Results ReCiPe (H) - CC'!$AC$89:$BA$89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0-7D02-4101-BFFF-A3D3962697CC}"/>
            </c:ext>
          </c:extLst>
        </c:ser>
        <c:ser>
          <c:idx val="1"/>
          <c:order val="1"/>
          <c:tx>
            <c:strRef>
              <c:f>'Results ReCiPe (H) - CC'!$AB$91</c:f>
              <c:strCache>
                <c:ptCount val="1"/>
                <c:pt idx="0">
                  <c:v>Construction - geological storage</c:v>
                </c:pt>
              </c:strCache>
            </c:strRef>
          </c:tx>
          <c:spPr>
            <a:solidFill>
              <a:schemeClr val="accent4">
                <a:lumMod val="60000"/>
                <a:lumOff val="40000"/>
              </a:schemeClr>
            </a:solidFill>
            <a:ln>
              <a:noFill/>
            </a:ln>
            <a:effectLst/>
          </c:spPr>
          <c:invertIfNegative val="0"/>
          <c:val>
            <c:numRef>
              <c:f>'Results ReCiPe (H) - CC'!$AC$91:$BA$91</c:f>
              <c:numCache>
                <c:formatCode>0.00E+00</c:formatCode>
                <c:ptCount val="25"/>
                <c:pt idx="0">
                  <c:v>2030.6156444302903</c:v>
                </c:pt>
              </c:numCache>
            </c:numRef>
          </c:val>
          <c:extLst>
            <c:ext xmlns:c15="http://schemas.microsoft.com/office/drawing/2012/chart" uri="{02D57815-91ED-43cb-92C2-25804820EDAC}">
              <c15:filteredCategoryTitle>
                <c15:cat>
                  <c:numRef>
                    <c:extLst>
                      <c:ext uri="{02D57815-91ED-43cb-92C2-25804820EDAC}">
                        <c15:formulaRef>
                          <c15:sqref>'Results ReCiPe (H) - CC'!$AC$89:$BA$89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1-7D02-4101-BFFF-A3D3962697CC}"/>
            </c:ext>
          </c:extLst>
        </c:ser>
        <c:ser>
          <c:idx val="2"/>
          <c:order val="2"/>
          <c:tx>
            <c:strRef>
              <c:f>'Results ReCiPe (H) - CC'!$AB$92</c:f>
              <c:strCache>
                <c:ptCount val="1"/>
                <c:pt idx="0">
                  <c:v>Deconstruction - DAC</c:v>
                </c:pt>
              </c:strCache>
            </c:strRef>
          </c:tx>
          <c:spPr>
            <a:solidFill>
              <a:schemeClr val="accent2">
                <a:lumMod val="40000"/>
                <a:lumOff val="60000"/>
              </a:schemeClr>
            </a:solidFill>
            <a:ln>
              <a:noFill/>
            </a:ln>
            <a:effectLst/>
          </c:spPr>
          <c:invertIfNegative val="0"/>
          <c:val>
            <c:numRef>
              <c:f>'Results ReCiPe (H) - CC'!$AC$92:$BA$92</c:f>
              <c:numCache>
                <c:formatCode>0.00E+00</c:formatCode>
                <c:ptCount val="25"/>
                <c:pt idx="24">
                  <c:v>506.10170544819584</c:v>
                </c:pt>
              </c:numCache>
            </c:numRef>
          </c:val>
          <c:extLst>
            <c:ext xmlns:c15="http://schemas.microsoft.com/office/drawing/2012/chart" uri="{02D57815-91ED-43cb-92C2-25804820EDAC}">
              <c15:filteredCategoryTitle>
                <c15:cat>
                  <c:numRef>
                    <c:extLst>
                      <c:ext uri="{02D57815-91ED-43cb-92C2-25804820EDAC}">
                        <c15:formulaRef>
                          <c15:sqref>'Results ReCiPe (H) - CC'!$AC$89:$BA$89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2-7D02-4101-BFFF-A3D3962697CC}"/>
            </c:ext>
          </c:extLst>
        </c:ser>
        <c:ser>
          <c:idx val="3"/>
          <c:order val="3"/>
          <c:tx>
            <c:strRef>
              <c:f>'Results ReCiPe (H) - CC'!$AB$93</c:f>
              <c:strCache>
                <c:ptCount val="1"/>
                <c:pt idx="0">
                  <c:v>Deconstruction - geological storage</c:v>
                </c:pt>
              </c:strCache>
            </c:strRef>
          </c:tx>
          <c:spPr>
            <a:solidFill>
              <a:srgbClr val="FF9900"/>
            </a:solidFill>
            <a:ln>
              <a:noFill/>
            </a:ln>
            <a:effectLst/>
          </c:spPr>
          <c:invertIfNegative val="0"/>
          <c:val>
            <c:numRef>
              <c:f>'Results ReCiPe (H) - CC'!$AC$93:$BA$93</c:f>
              <c:numCache>
                <c:formatCode>0.00E+00</c:formatCode>
                <c:ptCount val="25"/>
                <c:pt idx="24">
                  <c:v>19.710037603247073</c:v>
                </c:pt>
              </c:numCache>
            </c:numRef>
          </c:val>
          <c:extLst>
            <c:ext xmlns:c15="http://schemas.microsoft.com/office/drawing/2012/chart" uri="{02D57815-91ED-43cb-92C2-25804820EDAC}">
              <c15:filteredCategoryTitle>
                <c15:cat>
                  <c:numRef>
                    <c:extLst>
                      <c:ext uri="{02D57815-91ED-43cb-92C2-25804820EDAC}">
                        <c15:formulaRef>
                          <c15:sqref>'Results ReCiPe (H) - CC'!$AC$89:$BA$89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3-7D02-4101-BFFF-A3D3962697CC}"/>
            </c:ext>
          </c:extLst>
        </c:ser>
        <c:ser>
          <c:idx val="4"/>
          <c:order val="4"/>
          <c:tx>
            <c:strRef>
              <c:f>'Results ReCiPe (H) - CC'!$AB$94</c:f>
              <c:strCache>
                <c:ptCount val="1"/>
                <c:pt idx="0">
                  <c:v>Sorbent material</c:v>
                </c:pt>
              </c:strCache>
            </c:strRef>
          </c:tx>
          <c:spPr>
            <a:solidFill>
              <a:srgbClr val="FF8F8F"/>
            </a:solidFill>
            <a:ln>
              <a:noFill/>
            </a:ln>
            <a:effectLst/>
          </c:spPr>
          <c:invertIfNegative val="0"/>
          <c:val>
            <c:numRef>
              <c:f>'Results ReCiPe (H) - CC'!$AC$94:$BA$94</c:f>
              <c:numCache>
                <c:formatCode>0.00E+00</c:formatCode>
                <c:ptCount val="25"/>
                <c:pt idx="0">
                  <c:v>960.18627888201729</c:v>
                </c:pt>
                <c:pt idx="3">
                  <c:v>894.9053469828998</c:v>
                </c:pt>
                <c:pt idx="6">
                  <c:v>847.74542197239737</c:v>
                </c:pt>
                <c:pt idx="9">
                  <c:v>829.74040861154253</c:v>
                </c:pt>
                <c:pt idx="12">
                  <c:v>821.41329377436136</c:v>
                </c:pt>
                <c:pt idx="15">
                  <c:v>815.75248373031479</c:v>
                </c:pt>
                <c:pt idx="18">
                  <c:v>808.99669973300752</c:v>
                </c:pt>
                <c:pt idx="21">
                  <c:v>803.6131276705886</c:v>
                </c:pt>
                <c:pt idx="24">
                  <c:v>799.02195316520056</c:v>
                </c:pt>
              </c:numCache>
            </c:numRef>
          </c:val>
          <c:extLst>
            <c:ext xmlns:c15="http://schemas.microsoft.com/office/drawing/2012/chart" uri="{02D57815-91ED-43cb-92C2-25804820EDAC}">
              <c15:filteredCategoryTitle>
                <c15:cat>
                  <c:numRef>
                    <c:extLst>
                      <c:ext uri="{02D57815-91ED-43cb-92C2-25804820EDAC}">
                        <c15:formulaRef>
                          <c15:sqref>'Results ReCiPe (H) - CC'!$AC$89:$BA$89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4-7D02-4101-BFFF-A3D3962697CC}"/>
            </c:ext>
          </c:extLst>
        </c:ser>
        <c:ser>
          <c:idx val="5"/>
          <c:order val="5"/>
          <c:tx>
            <c:strRef>
              <c:f>'Results ReCiPe (H) - CC'!$AB$95</c:f>
              <c:strCache>
                <c:ptCount val="1"/>
                <c:pt idx="0">
                  <c:v>Operation - DAC</c:v>
                </c:pt>
              </c:strCache>
            </c:strRef>
          </c:tx>
          <c:spPr>
            <a:solidFill>
              <a:schemeClr val="accent2">
                <a:lumMod val="75000"/>
              </a:schemeClr>
            </a:solidFill>
            <a:ln>
              <a:noFill/>
            </a:ln>
            <a:effectLst/>
          </c:spPr>
          <c:invertIfNegative val="0"/>
          <c:val>
            <c:numRef>
              <c:f>'Results ReCiPe (H) - CC'!$AC$95:$BA$95</c:f>
              <c:numCache>
                <c:formatCode>0.00E+00</c:formatCode>
                <c:ptCount val="25"/>
                <c:pt idx="0">
                  <c:v>14058.151241733231</c:v>
                </c:pt>
                <c:pt idx="1">
                  <c:v>11676.388562983941</c:v>
                </c:pt>
                <c:pt idx="2">
                  <c:v>9292.1219783832294</c:v>
                </c:pt>
                <c:pt idx="3">
                  <c:v>6869.3139490106896</c:v>
                </c:pt>
                <c:pt idx="4">
                  <c:v>4476.9179466587984</c:v>
                </c:pt>
                <c:pt idx="5">
                  <c:v>2080.6598667221319</c:v>
                </c:pt>
                <c:pt idx="6">
                  <c:v>1508.785692189296</c:v>
                </c:pt>
                <c:pt idx="7">
                  <c:v>933.81585913307208</c:v>
                </c:pt>
                <c:pt idx="8">
                  <c:v>323.7764311484641</c:v>
                </c:pt>
                <c:pt idx="9">
                  <c:v>-258.54024816438982</c:v>
                </c:pt>
                <c:pt idx="10">
                  <c:v>-844.05884908758617</c:v>
                </c:pt>
                <c:pt idx="11">
                  <c:v>-1130.399070685854</c:v>
                </c:pt>
                <c:pt idx="12">
                  <c:v>-1416.030637130893</c:v>
                </c:pt>
                <c:pt idx="13">
                  <c:v>-1706.88274508276</c:v>
                </c:pt>
                <c:pt idx="14">
                  <c:v>-1991.0542411399681</c:v>
                </c:pt>
                <c:pt idx="15">
                  <c:v>-2274.6784292096272</c:v>
                </c:pt>
                <c:pt idx="16">
                  <c:v>-2855.499764819207</c:v>
                </c:pt>
                <c:pt idx="17">
                  <c:v>-3431.837072750604</c:v>
                </c:pt>
                <c:pt idx="18">
                  <c:v>-4007.8147292090771</c:v>
                </c:pt>
                <c:pt idx="19">
                  <c:v>-4574.9912372336912</c:v>
                </c:pt>
                <c:pt idx="20">
                  <c:v>-5137.4611042113993</c:v>
                </c:pt>
                <c:pt idx="21">
                  <c:v>-5657.6340595571864</c:v>
                </c:pt>
                <c:pt idx="22">
                  <c:v>-6192.4213061538921</c:v>
                </c:pt>
                <c:pt idx="23">
                  <c:v>-6728.6682576076137</c:v>
                </c:pt>
                <c:pt idx="24">
                  <c:v>-7266.3962600142286</c:v>
                </c:pt>
              </c:numCache>
            </c:numRef>
          </c:val>
          <c:extLst>
            <c:ext xmlns:c15="http://schemas.microsoft.com/office/drawing/2012/chart" uri="{02D57815-91ED-43cb-92C2-25804820EDAC}">
              <c15:filteredCategoryTitle>
                <c15:cat>
                  <c:numRef>
                    <c:extLst>
                      <c:ext uri="{02D57815-91ED-43cb-92C2-25804820EDAC}">
                        <c15:formulaRef>
                          <c15:sqref>'Results ReCiPe (H) - CC'!$AC$89:$BA$89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5-7D02-4101-BFFF-A3D3962697CC}"/>
            </c:ext>
          </c:extLst>
        </c:ser>
        <c:ser>
          <c:idx val="6"/>
          <c:order val="6"/>
          <c:tx>
            <c:strRef>
              <c:f>'Results ReCiPe (H) - CC'!$AB$96</c:f>
              <c:strCache>
                <c:ptCount val="1"/>
                <c:pt idx="0">
                  <c:v>Operation - geological storage</c:v>
                </c:pt>
              </c:strCache>
            </c:strRef>
          </c:tx>
          <c:spPr>
            <a:solidFill>
              <a:schemeClr val="accent2">
                <a:lumMod val="50000"/>
              </a:schemeClr>
            </a:solidFill>
            <a:ln>
              <a:noFill/>
            </a:ln>
            <a:effectLst/>
          </c:spPr>
          <c:invertIfNegative val="0"/>
          <c:val>
            <c:numRef>
              <c:f>'Results ReCiPe (H) - CC'!$AC$96:$BA$96</c:f>
              <c:numCache>
                <c:formatCode>0.00E+00</c:formatCode>
                <c:ptCount val="25"/>
                <c:pt idx="0">
                  <c:v>1171.75360790124</c:v>
                </c:pt>
                <c:pt idx="1">
                  <c:v>985.51848325044398</c:v>
                </c:pt>
                <c:pt idx="2">
                  <c:v>800.31926123191045</c:v>
                </c:pt>
                <c:pt idx="3">
                  <c:v>613.03530748482558</c:v>
                </c:pt>
                <c:pt idx="4">
                  <c:v>429.65944414908608</c:v>
                </c:pt>
                <c:pt idx="5">
                  <c:v>247.19654517566713</c:v>
                </c:pt>
                <c:pt idx="6">
                  <c:v>203.72460308086019</c:v>
                </c:pt>
                <c:pt idx="7">
                  <c:v>160.20421119621818</c:v>
                </c:pt>
                <c:pt idx="8">
                  <c:v>114.01691925412281</c:v>
                </c:pt>
                <c:pt idx="9">
                  <c:v>70.328108989120295</c:v>
                </c:pt>
                <c:pt idx="10">
                  <c:v>26.586889365791922</c:v>
                </c:pt>
                <c:pt idx="11">
                  <c:v>4.7592472154073473</c:v>
                </c:pt>
                <c:pt idx="12">
                  <c:v>-17.042266268320962</c:v>
                </c:pt>
                <c:pt idx="13">
                  <c:v>-39.31984498306106</c:v>
                </c:pt>
                <c:pt idx="14">
                  <c:v>-61.06491878989204</c:v>
                </c:pt>
                <c:pt idx="15">
                  <c:v>-82.796745892243422</c:v>
                </c:pt>
                <c:pt idx="16">
                  <c:v>-128.24040253891349</c:v>
                </c:pt>
                <c:pt idx="17">
                  <c:v>-173.74520002908028</c:v>
                </c:pt>
                <c:pt idx="18">
                  <c:v>-219.65990731184971</c:v>
                </c:pt>
                <c:pt idx="19">
                  <c:v>-265.25926317957271</c:v>
                </c:pt>
                <c:pt idx="20">
                  <c:v>-310.8897424868058</c:v>
                </c:pt>
                <c:pt idx="21">
                  <c:v>-349.61909568361528</c:v>
                </c:pt>
                <c:pt idx="22">
                  <c:v>-389.36755041297459</c:v>
                </c:pt>
                <c:pt idx="23">
                  <c:v>-429.10525550438609</c:v>
                </c:pt>
                <c:pt idx="24">
                  <c:v>-468.83374695402216</c:v>
                </c:pt>
              </c:numCache>
            </c:numRef>
          </c:val>
          <c:extLst>
            <c:ext xmlns:c15="http://schemas.microsoft.com/office/drawing/2012/chart" uri="{02D57815-91ED-43cb-92C2-25804820EDAC}">
              <c15:filteredCategoryTitle>
                <c15:cat>
                  <c:numRef>
                    <c:extLst>
                      <c:ext uri="{02D57815-91ED-43cb-92C2-25804820EDAC}">
                        <c15:formulaRef>
                          <c15:sqref>'Results ReCiPe (H) - CC'!$AC$89:$BA$89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6-7D02-4101-BFFF-A3D3962697CC}"/>
            </c:ext>
          </c:extLst>
        </c:ser>
        <c:ser>
          <c:idx val="7"/>
          <c:order val="7"/>
          <c:tx>
            <c:strRef>
              <c:f>'Results ReCiPe (H) - CC'!$AB$97</c:f>
              <c:strCache>
                <c:ptCount val="1"/>
                <c:pt idx="0">
                  <c:v>CO2 captured and stored</c:v>
                </c:pt>
              </c:strCache>
            </c:strRef>
          </c:tx>
          <c:spPr>
            <a:solidFill>
              <a:schemeClr val="tx2">
                <a:lumMod val="20000"/>
                <a:lumOff val="80000"/>
              </a:schemeClr>
            </a:solidFill>
            <a:ln>
              <a:noFill/>
            </a:ln>
            <a:effectLst/>
          </c:spPr>
          <c:invertIfNegative val="0"/>
          <c:val>
            <c:numRef>
              <c:f>'Results ReCiPe (H) - CC'!$AC$97:$BA$97</c:f>
              <c:numCache>
                <c:formatCode>0.00E+00</c:formatCode>
                <c:ptCount val="25"/>
                <c:pt idx="0">
                  <c:v>-100000</c:v>
                </c:pt>
                <c:pt idx="1">
                  <c:v>-100000</c:v>
                </c:pt>
                <c:pt idx="2">
                  <c:v>-100000</c:v>
                </c:pt>
                <c:pt idx="3">
                  <c:v>-100000</c:v>
                </c:pt>
                <c:pt idx="4">
                  <c:v>-100000</c:v>
                </c:pt>
                <c:pt idx="5">
                  <c:v>-100000</c:v>
                </c:pt>
                <c:pt idx="6">
                  <c:v>-100000</c:v>
                </c:pt>
                <c:pt idx="7">
                  <c:v>-100000</c:v>
                </c:pt>
                <c:pt idx="8">
                  <c:v>-100000</c:v>
                </c:pt>
                <c:pt idx="9">
                  <c:v>-100000</c:v>
                </c:pt>
                <c:pt idx="10">
                  <c:v>-100000</c:v>
                </c:pt>
                <c:pt idx="11">
                  <c:v>-100000</c:v>
                </c:pt>
                <c:pt idx="12">
                  <c:v>-100000</c:v>
                </c:pt>
                <c:pt idx="13">
                  <c:v>-100000</c:v>
                </c:pt>
                <c:pt idx="14">
                  <c:v>-100000</c:v>
                </c:pt>
                <c:pt idx="15">
                  <c:v>-100000</c:v>
                </c:pt>
                <c:pt idx="16">
                  <c:v>-100000</c:v>
                </c:pt>
                <c:pt idx="17">
                  <c:v>-100000</c:v>
                </c:pt>
                <c:pt idx="18">
                  <c:v>-100000</c:v>
                </c:pt>
                <c:pt idx="19">
                  <c:v>-100000</c:v>
                </c:pt>
                <c:pt idx="20">
                  <c:v>-100000</c:v>
                </c:pt>
                <c:pt idx="21">
                  <c:v>-100000</c:v>
                </c:pt>
                <c:pt idx="22">
                  <c:v>-100000</c:v>
                </c:pt>
                <c:pt idx="23">
                  <c:v>-100000</c:v>
                </c:pt>
                <c:pt idx="24">
                  <c:v>-100000</c:v>
                </c:pt>
              </c:numCache>
            </c:numRef>
          </c:val>
          <c:extLst>
            <c:ext xmlns:c15="http://schemas.microsoft.com/office/drawing/2012/chart" uri="{02D57815-91ED-43cb-92C2-25804820EDAC}">
              <c15:filteredCategoryTitle>
                <c15:cat>
                  <c:numRef>
                    <c:extLst>
                      <c:ext uri="{02D57815-91ED-43cb-92C2-25804820EDAC}">
                        <c15:formulaRef>
                          <c15:sqref>'Results ReCiPe (H) - CC'!$AC$89:$BA$89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7-7D02-4101-BFFF-A3D3962697CC}"/>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CC'!$AB$98</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val>
            <c:numRef>
              <c:f>'Results ReCiPe (H) - CC'!$AC$98:$BA$98</c:f>
              <c:numCache>
                <c:formatCode>0.00E+00</c:formatCode>
                <c:ptCount val="25"/>
                <c:pt idx="0">
                  <c:v>-54010.093717489042</c:v>
                </c:pt>
                <c:pt idx="1">
                  <c:v>-87338.092953765619</c:v>
                </c:pt>
                <c:pt idx="2">
                  <c:v>-89907.558760384854</c:v>
                </c:pt>
                <c:pt idx="3">
                  <c:v>-91622.745396521583</c:v>
                </c:pt>
                <c:pt idx="4">
                  <c:v>-95093.422609192115</c:v>
                </c:pt>
                <c:pt idx="5">
                  <c:v>-97672.143588102204</c:v>
                </c:pt>
                <c:pt idx="6">
                  <c:v>-97439.744282757441</c:v>
                </c:pt>
                <c:pt idx="7">
                  <c:v>-98905.979929670706</c:v>
                </c:pt>
                <c:pt idx="8">
                  <c:v>-99562.206649597414</c:v>
                </c:pt>
                <c:pt idx="9">
                  <c:v>-99358.471730563731</c:v>
                </c:pt>
                <c:pt idx="10">
                  <c:v>-100817.47195972179</c:v>
                </c:pt>
                <c:pt idx="11">
                  <c:v>-101125.63982347044</c:v>
                </c:pt>
                <c:pt idx="12">
                  <c:v>-100611.65960962485</c:v>
                </c:pt>
                <c:pt idx="13">
                  <c:v>-101746.20259006582</c:v>
                </c:pt>
                <c:pt idx="14">
                  <c:v>-102052.11915992986</c:v>
                </c:pt>
                <c:pt idx="15">
                  <c:v>-101541.72269137156</c:v>
                </c:pt>
                <c:pt idx="16">
                  <c:v>-102983.74016735812</c:v>
                </c:pt>
                <c:pt idx="17">
                  <c:v>-103605.58227277969</c:v>
                </c:pt>
                <c:pt idx="18">
                  <c:v>-103418.47793678792</c:v>
                </c:pt>
                <c:pt idx="19">
                  <c:v>-104840.25050041327</c:v>
                </c:pt>
                <c:pt idx="20">
                  <c:v>-105448.3508466982</c:v>
                </c:pt>
                <c:pt idx="21">
                  <c:v>-105203.64002757022</c:v>
                </c:pt>
                <c:pt idx="22">
                  <c:v>-106581.78885656687</c:v>
                </c:pt>
                <c:pt idx="23">
                  <c:v>-107157.773513112</c:v>
                </c:pt>
                <c:pt idx="24">
                  <c:v>-106410.3963107516</c:v>
                </c:pt>
              </c:numCache>
            </c:numRef>
          </c:val>
          <c:smooth val="0"/>
          <c:extLst>
            <c:ext xmlns:c15="http://schemas.microsoft.com/office/drawing/2012/chart" uri="{02D57815-91ED-43cb-92C2-25804820EDAC}">
              <c15:filteredCategoryTitle>
                <c15:cat>
                  <c:numRef>
                    <c:extLst>
                      <c:ext uri="{02D57815-91ED-43cb-92C2-25804820EDAC}">
                        <c15:formulaRef>
                          <c15:sqref>'Results ReCiPe (H) - CC'!$AC$89:$BA$89</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8-7D02-4101-BFFF-A3D3962697CC}"/>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mn-ea"/>
                    <a:cs typeface="+mn-cs"/>
                  </a:defRPr>
                </a:pPr>
                <a:r>
                  <a:rPr lang="nl-NL"/>
                  <a:t>years</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Verdana Pro" panose="020B0604030504040204" pitchFamily="34" charset="0"/>
                  <a:ea typeface="+mn-ea"/>
                  <a:cs typeface="+mn-cs"/>
                </a:defRPr>
              </a:pPr>
              <a:endParaRPr lang="en-NL"/>
            </a:p>
          </c:txPr>
        </c:title>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Verdana Pro" panose="020B0604030504040204" pitchFamily="34" charset="0"/>
                    <a:ea typeface="+mn-ea"/>
                    <a:cs typeface="+mn-cs"/>
                  </a:defRPr>
                </a:pPr>
                <a:r>
                  <a:rPr lang="nl-NL"/>
                  <a:t>Climate change</a:t>
                </a:r>
              </a:p>
              <a:p>
                <a:pPr algn="ctr" rtl="0">
                  <a:defRPr/>
                </a:pPr>
                <a:r>
                  <a:rPr lang="nl-NL"/>
                  <a:t>(kg CO2-eq/ton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Verdana Pro" panose="020B0604030504040204" pitchFamily="34" charset="0"/>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Verdana Pro" panose="020B0604030504040204" pitchFamily="34" charset="0"/>
        </a:defRPr>
      </a:pPr>
      <a:endParaRPr lang="en-NL"/>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CC'!$AB$132</c:f>
              <c:strCache>
                <c:ptCount val="1"/>
                <c:pt idx="0">
                  <c:v>Construction - DAC</c:v>
                </c:pt>
              </c:strCache>
            </c:strRef>
          </c:tx>
          <c:spPr>
            <a:solidFill>
              <a:schemeClr val="accent4">
                <a:lumMod val="75000"/>
              </a:schemeClr>
            </a:solidFill>
            <a:ln>
              <a:noFill/>
            </a:ln>
            <a:effectLst/>
          </c:spPr>
          <c:invertIfNegative val="0"/>
          <c:cat>
            <c:numRef>
              <c:f>'Results ReCiPe (H) - CC'!$AC$131:$BA$131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CC'!$AC$132:$BA$132</c:f>
              <c:numCache>
                <c:formatCode>0.00E+00</c:formatCode>
                <c:ptCount val="25"/>
                <c:pt idx="0">
                  <c:v>38347.290835764303</c:v>
                </c:pt>
              </c:numCache>
            </c:numRef>
          </c:val>
          <c:extLst>
            <c:ext xmlns:c16="http://schemas.microsoft.com/office/drawing/2014/chart" uri="{C3380CC4-5D6E-409C-BE32-E72D297353CC}">
              <c16:uniqueId val="{00000000-F15D-4A53-9D12-645E5E9EA0C3}"/>
            </c:ext>
          </c:extLst>
        </c:ser>
        <c:ser>
          <c:idx val="1"/>
          <c:order val="1"/>
          <c:tx>
            <c:strRef>
              <c:f>'Results ReCiPe (H) - CC'!$AB$133</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(H) - CC'!$AC$131:$BA$131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CC'!$AC$133:$BA$133</c:f>
              <c:numCache>
                <c:formatCode>0.00E+00</c:formatCode>
                <c:ptCount val="25"/>
                <c:pt idx="0">
                  <c:v>2481.0563584021374</c:v>
                </c:pt>
              </c:numCache>
            </c:numRef>
          </c:val>
          <c:extLst>
            <c:ext xmlns:c16="http://schemas.microsoft.com/office/drawing/2014/chart" uri="{C3380CC4-5D6E-409C-BE32-E72D297353CC}">
              <c16:uniqueId val="{00000001-F15D-4A53-9D12-645E5E9EA0C3}"/>
            </c:ext>
          </c:extLst>
        </c:ser>
        <c:ser>
          <c:idx val="2"/>
          <c:order val="2"/>
          <c:tx>
            <c:strRef>
              <c:f>'Results ReCiPe (H) - CC'!$AB$134</c:f>
              <c:strCache>
                <c:ptCount val="1"/>
                <c:pt idx="0">
                  <c:v>Deconstruction - DAC</c:v>
                </c:pt>
              </c:strCache>
            </c:strRef>
          </c:tx>
          <c:spPr>
            <a:solidFill>
              <a:schemeClr val="accent2">
                <a:lumMod val="40000"/>
                <a:lumOff val="60000"/>
              </a:schemeClr>
            </a:solidFill>
            <a:ln>
              <a:noFill/>
            </a:ln>
            <a:effectLst/>
          </c:spPr>
          <c:invertIfNegative val="0"/>
          <c:cat>
            <c:numRef>
              <c:f>'Results ReCiPe (H) - CC'!$AC$131:$BA$131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CC'!$AC$134:$BA$134</c:f>
              <c:numCache>
                <c:formatCode>0.00E+00</c:formatCode>
                <c:ptCount val="25"/>
                <c:pt idx="24">
                  <c:v>691.18373370688425</c:v>
                </c:pt>
              </c:numCache>
            </c:numRef>
          </c:val>
          <c:extLst>
            <c:ext xmlns:c16="http://schemas.microsoft.com/office/drawing/2014/chart" uri="{C3380CC4-5D6E-409C-BE32-E72D297353CC}">
              <c16:uniqueId val="{00000002-F15D-4A53-9D12-645E5E9EA0C3}"/>
            </c:ext>
          </c:extLst>
        </c:ser>
        <c:ser>
          <c:idx val="3"/>
          <c:order val="3"/>
          <c:tx>
            <c:strRef>
              <c:f>'Results ReCiPe (H) - CC'!$AB$135</c:f>
              <c:strCache>
                <c:ptCount val="1"/>
                <c:pt idx="0">
                  <c:v>Deconstruction - geological storage</c:v>
                </c:pt>
              </c:strCache>
            </c:strRef>
          </c:tx>
          <c:spPr>
            <a:solidFill>
              <a:srgbClr val="FF9900"/>
            </a:solidFill>
            <a:ln>
              <a:noFill/>
            </a:ln>
            <a:effectLst/>
          </c:spPr>
          <c:invertIfNegative val="0"/>
          <c:cat>
            <c:numRef>
              <c:f>'Results ReCiPe (H) - CC'!$AC$131:$BA$131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CC'!$AC$135:$BA$135</c:f>
              <c:numCache>
                <c:formatCode>0.00E+00</c:formatCode>
                <c:ptCount val="25"/>
                <c:pt idx="24">
                  <c:v>22.494520912096178</c:v>
                </c:pt>
              </c:numCache>
            </c:numRef>
          </c:val>
          <c:extLst>
            <c:ext xmlns:c16="http://schemas.microsoft.com/office/drawing/2014/chart" uri="{C3380CC4-5D6E-409C-BE32-E72D297353CC}">
              <c16:uniqueId val="{00000003-F15D-4A53-9D12-645E5E9EA0C3}"/>
            </c:ext>
          </c:extLst>
        </c:ser>
        <c:ser>
          <c:idx val="4"/>
          <c:order val="4"/>
          <c:tx>
            <c:strRef>
              <c:f>'Results ReCiPe (H) - CC'!$AB$136</c:f>
              <c:strCache>
                <c:ptCount val="1"/>
                <c:pt idx="0">
                  <c:v>Sorbent material</c:v>
                </c:pt>
              </c:strCache>
            </c:strRef>
          </c:tx>
          <c:spPr>
            <a:solidFill>
              <a:srgbClr val="FF8F8F"/>
            </a:solidFill>
            <a:ln>
              <a:noFill/>
            </a:ln>
            <a:effectLst/>
          </c:spPr>
          <c:invertIfNegative val="0"/>
          <c:cat>
            <c:numRef>
              <c:f>'Results ReCiPe (H) - CC'!$AC$131:$BA$131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CC'!$AC$136:$BA$136</c:f>
              <c:numCache>
                <c:formatCode>0.00E+00</c:formatCode>
                <c:ptCount val="25"/>
                <c:pt idx="0">
                  <c:v>1186.4815932558031</c:v>
                </c:pt>
                <c:pt idx="3">
                  <c:v>1175.2724845293581</c:v>
                </c:pt>
                <c:pt idx="6">
                  <c:v>1172.0887619145631</c:v>
                </c:pt>
                <c:pt idx="9">
                  <c:v>1171.5419235181971</c:v>
                </c:pt>
                <c:pt idx="12">
                  <c:v>1176.0346869666</c:v>
                </c:pt>
                <c:pt idx="15">
                  <c:v>1180.8592879535349</c:v>
                </c:pt>
                <c:pt idx="18">
                  <c:v>1165.597336992987</c:v>
                </c:pt>
                <c:pt idx="21">
                  <c:v>1149.242533712596</c:v>
                </c:pt>
                <c:pt idx="24">
                  <c:v>1126.377758844686</c:v>
                </c:pt>
              </c:numCache>
            </c:numRef>
          </c:val>
          <c:extLst>
            <c:ext xmlns:c16="http://schemas.microsoft.com/office/drawing/2014/chart" uri="{C3380CC4-5D6E-409C-BE32-E72D297353CC}">
              <c16:uniqueId val="{00000004-F15D-4A53-9D12-645E5E9EA0C3}"/>
            </c:ext>
          </c:extLst>
        </c:ser>
        <c:ser>
          <c:idx val="5"/>
          <c:order val="5"/>
          <c:tx>
            <c:strRef>
              <c:f>'Results ReCiPe (H) - CC'!$AB$137</c:f>
              <c:strCache>
                <c:ptCount val="1"/>
                <c:pt idx="0">
                  <c:v>Operation - DAC</c:v>
                </c:pt>
              </c:strCache>
            </c:strRef>
          </c:tx>
          <c:spPr>
            <a:solidFill>
              <a:schemeClr val="accent2">
                <a:lumMod val="75000"/>
              </a:schemeClr>
            </a:solidFill>
            <a:ln>
              <a:noFill/>
            </a:ln>
            <a:effectLst/>
          </c:spPr>
          <c:invertIfNegative val="0"/>
          <c:cat>
            <c:numRef>
              <c:f>'Results ReCiPe (H) - CC'!$AC$131:$BA$131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CC'!$AC$137:$BA$137</c:f>
              <c:numCache>
                <c:formatCode>0.00E+00</c:formatCode>
                <c:ptCount val="25"/>
                <c:pt idx="0">
                  <c:v>28531.349319324079</c:v>
                </c:pt>
                <c:pt idx="1">
                  <c:v>28506.995685263922</c:v>
                </c:pt>
                <c:pt idx="2">
                  <c:v>28482.901475237042</c:v>
                </c:pt>
                <c:pt idx="3">
                  <c:v>28430.865012883762</c:v>
                </c:pt>
                <c:pt idx="4">
                  <c:v>28407.4088652508</c:v>
                </c:pt>
                <c:pt idx="5">
                  <c:v>28384.042112015875</c:v>
                </c:pt>
                <c:pt idx="6">
                  <c:v>30424.177244495266</c:v>
                </c:pt>
                <c:pt idx="7">
                  <c:v>32460.195246589479</c:v>
                </c:pt>
                <c:pt idx="8">
                  <c:v>34473.950782978718</c:v>
                </c:pt>
                <c:pt idx="9">
                  <c:v>36503.927780663369</c:v>
                </c:pt>
                <c:pt idx="10">
                  <c:v>38527.656098677326</c:v>
                </c:pt>
                <c:pt idx="11">
                  <c:v>42099.945078060722</c:v>
                </c:pt>
                <c:pt idx="12">
                  <c:v>45673.470681205581</c:v>
                </c:pt>
                <c:pt idx="13">
                  <c:v>49244.80916022259</c:v>
                </c:pt>
                <c:pt idx="14">
                  <c:v>52820.531686011316</c:v>
                </c:pt>
                <c:pt idx="15">
                  <c:v>56397.47818301693</c:v>
                </c:pt>
                <c:pt idx="16">
                  <c:v>57027.199122352409</c:v>
                </c:pt>
                <c:pt idx="17">
                  <c:v>57656.610622852109</c:v>
                </c:pt>
                <c:pt idx="18">
                  <c:v>58282.680978138909</c:v>
                </c:pt>
                <c:pt idx="19">
                  <c:v>58911.741062602756</c:v>
                </c:pt>
                <c:pt idx="20">
                  <c:v>59540.667752487025</c:v>
                </c:pt>
                <c:pt idx="21">
                  <c:v>59145.583527843606</c:v>
                </c:pt>
                <c:pt idx="22">
                  <c:v>57705.077483114423</c:v>
                </c:pt>
                <c:pt idx="23">
                  <c:v>56259.922235753504</c:v>
                </c:pt>
                <c:pt idx="24">
                  <c:v>54810.069670257966</c:v>
                </c:pt>
              </c:numCache>
            </c:numRef>
          </c:val>
          <c:extLst>
            <c:ext xmlns:c16="http://schemas.microsoft.com/office/drawing/2014/chart" uri="{C3380CC4-5D6E-409C-BE32-E72D297353CC}">
              <c16:uniqueId val="{00000005-F15D-4A53-9D12-645E5E9EA0C3}"/>
            </c:ext>
          </c:extLst>
        </c:ser>
        <c:ser>
          <c:idx val="6"/>
          <c:order val="6"/>
          <c:tx>
            <c:strRef>
              <c:f>'Results ReCiPe (H) - CC'!$AB$138</c:f>
              <c:strCache>
                <c:ptCount val="1"/>
                <c:pt idx="0">
                  <c:v>Operation - geological storage</c:v>
                </c:pt>
              </c:strCache>
            </c:strRef>
          </c:tx>
          <c:spPr>
            <a:solidFill>
              <a:schemeClr val="accent2">
                <a:lumMod val="50000"/>
              </a:schemeClr>
            </a:solidFill>
            <a:ln>
              <a:noFill/>
            </a:ln>
            <a:effectLst/>
          </c:spPr>
          <c:invertIfNegative val="0"/>
          <c:cat>
            <c:numRef>
              <c:f>'Results ReCiPe (H) - CC'!$AC$131:$BA$131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CC'!$AC$138:$BA$138</c:f>
              <c:numCache>
                <c:formatCode>0.00E+00</c:formatCode>
                <c:ptCount val="25"/>
                <c:pt idx="0">
                  <c:v>2943.7924966964761</c:v>
                </c:pt>
                <c:pt idx="1">
                  <c:v>2937.0897191785971</c:v>
                </c:pt>
                <c:pt idx="2">
                  <c:v>2930.4084088828381</c:v>
                </c:pt>
                <c:pt idx="3">
                  <c:v>2921.021975351232</c:v>
                </c:pt>
                <c:pt idx="4">
                  <c:v>2914.389295446806</c:v>
                </c:pt>
                <c:pt idx="5">
                  <c:v>2907.7604797022491</c:v>
                </c:pt>
                <c:pt idx="6">
                  <c:v>3106.8746566307573</c:v>
                </c:pt>
                <c:pt idx="7">
                  <c:v>3304.9923424910412</c:v>
                </c:pt>
                <c:pt idx="8">
                  <c:v>3500.3497219968858</c:v>
                </c:pt>
                <c:pt idx="9">
                  <c:v>3696.7044926235994</c:v>
                </c:pt>
                <c:pt idx="10">
                  <c:v>3891.8630991223208</c:v>
                </c:pt>
                <c:pt idx="11">
                  <c:v>4240.1167474471504</c:v>
                </c:pt>
                <c:pt idx="12">
                  <c:v>4587.6836565978592</c:v>
                </c:pt>
                <c:pt idx="13">
                  <c:v>4934.2265970799035</c:v>
                </c:pt>
                <c:pt idx="14">
                  <c:v>5280.3949676992415</c:v>
                </c:pt>
                <c:pt idx="15">
                  <c:v>5625.8671452773069</c:v>
                </c:pt>
                <c:pt idx="16">
                  <c:v>5682.121447840932</c:v>
                </c:pt>
                <c:pt idx="17">
                  <c:v>5738.221994802364</c:v>
                </c:pt>
                <c:pt idx="18">
                  <c:v>5793.8709780279114</c:v>
                </c:pt>
                <c:pt idx="19">
                  <c:v>5849.6896665628428</c:v>
                </c:pt>
                <c:pt idx="20">
                  <c:v>5905.3714353417108</c:v>
                </c:pt>
                <c:pt idx="21">
                  <c:v>5855.2184391963192</c:v>
                </c:pt>
                <c:pt idx="22">
                  <c:v>5703.600290289929</c:v>
                </c:pt>
                <c:pt idx="23">
                  <c:v>5552.0855705983431</c:v>
                </c:pt>
                <c:pt idx="24">
                  <c:v>5400.6707487977674</c:v>
                </c:pt>
              </c:numCache>
            </c:numRef>
          </c:val>
          <c:extLst>
            <c:ext xmlns:c16="http://schemas.microsoft.com/office/drawing/2014/chart" uri="{C3380CC4-5D6E-409C-BE32-E72D297353CC}">
              <c16:uniqueId val="{00000006-F15D-4A53-9D12-645E5E9EA0C3}"/>
            </c:ext>
          </c:extLst>
        </c:ser>
        <c:ser>
          <c:idx val="7"/>
          <c:order val="7"/>
          <c:tx>
            <c:strRef>
              <c:f>'Results ReCiPe (H) - CC'!$AB$139</c:f>
              <c:strCache>
                <c:ptCount val="1"/>
                <c:pt idx="0">
                  <c:v>CO2 captured and stored</c:v>
                </c:pt>
              </c:strCache>
            </c:strRef>
          </c:tx>
          <c:spPr>
            <a:solidFill>
              <a:schemeClr val="tx2">
                <a:lumMod val="20000"/>
                <a:lumOff val="80000"/>
              </a:schemeClr>
            </a:solidFill>
            <a:ln>
              <a:noFill/>
            </a:ln>
            <a:effectLst/>
          </c:spPr>
          <c:invertIfNegative val="0"/>
          <c:cat>
            <c:numRef>
              <c:f>'Results ReCiPe (H) - CC'!$AC$131:$BA$131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CC'!$AC$139:$BA$139</c:f>
              <c:numCache>
                <c:formatCode>0.00E+00</c:formatCode>
                <c:ptCount val="25"/>
                <c:pt idx="0">
                  <c:v>-100000</c:v>
                </c:pt>
                <c:pt idx="1">
                  <c:v>-100000</c:v>
                </c:pt>
                <c:pt idx="2">
                  <c:v>-100000</c:v>
                </c:pt>
                <c:pt idx="3">
                  <c:v>-100000</c:v>
                </c:pt>
                <c:pt idx="4">
                  <c:v>-100000</c:v>
                </c:pt>
                <c:pt idx="5">
                  <c:v>-100000</c:v>
                </c:pt>
                <c:pt idx="6">
                  <c:v>-100000</c:v>
                </c:pt>
                <c:pt idx="7">
                  <c:v>-100000</c:v>
                </c:pt>
                <c:pt idx="8">
                  <c:v>-100000</c:v>
                </c:pt>
                <c:pt idx="9">
                  <c:v>-100000</c:v>
                </c:pt>
                <c:pt idx="10">
                  <c:v>-100000</c:v>
                </c:pt>
                <c:pt idx="11">
                  <c:v>-100000</c:v>
                </c:pt>
                <c:pt idx="12">
                  <c:v>-100000</c:v>
                </c:pt>
                <c:pt idx="13">
                  <c:v>-100000</c:v>
                </c:pt>
                <c:pt idx="14">
                  <c:v>-100000</c:v>
                </c:pt>
                <c:pt idx="15">
                  <c:v>-100000</c:v>
                </c:pt>
                <c:pt idx="16">
                  <c:v>-100000</c:v>
                </c:pt>
                <c:pt idx="17">
                  <c:v>-100000</c:v>
                </c:pt>
                <c:pt idx="18">
                  <c:v>-100000</c:v>
                </c:pt>
                <c:pt idx="19">
                  <c:v>-100000</c:v>
                </c:pt>
                <c:pt idx="20">
                  <c:v>-100000</c:v>
                </c:pt>
                <c:pt idx="21">
                  <c:v>-100000</c:v>
                </c:pt>
                <c:pt idx="22">
                  <c:v>-100000</c:v>
                </c:pt>
                <c:pt idx="23">
                  <c:v>-100000</c:v>
                </c:pt>
                <c:pt idx="24">
                  <c:v>-100000</c:v>
                </c:pt>
              </c:numCache>
            </c:numRef>
          </c:val>
          <c:extLst>
            <c:ext xmlns:c16="http://schemas.microsoft.com/office/drawing/2014/chart" uri="{C3380CC4-5D6E-409C-BE32-E72D297353CC}">
              <c16:uniqueId val="{00000007-F15D-4A53-9D12-645E5E9EA0C3}"/>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CC'!$AB$140</c:f>
              <c:strCache>
                <c:ptCount val="1"/>
                <c:pt idx="0">
                  <c:v>TOTAL per year</c:v>
                </c:pt>
              </c:strCache>
            </c:strRef>
          </c:tx>
          <c:spPr>
            <a:ln w="28575" cap="rnd">
              <a:noFill/>
              <a:round/>
            </a:ln>
            <a:effectLst/>
          </c:spPr>
          <c:marker>
            <c:symbol val="circle"/>
            <c:size val="5"/>
            <c:spPr>
              <a:solidFill>
                <a:schemeClr val="tx1"/>
              </a:solidFill>
              <a:ln w="9525">
                <a:solidFill>
                  <a:schemeClr val="accent3">
                    <a:lumMod val="60000"/>
                  </a:schemeClr>
                </a:solidFill>
              </a:ln>
              <a:effectLst/>
            </c:spPr>
          </c:marker>
          <c:cat>
            <c:numRef>
              <c:f>'Results ReCiPe (H) - CC'!$AC$131:$BA$131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CC'!$AC$140:$BA$140</c:f>
              <c:numCache>
                <c:formatCode>0.00E+00</c:formatCode>
                <c:ptCount val="25"/>
                <c:pt idx="0">
                  <c:v>-26510.029396557205</c:v>
                </c:pt>
                <c:pt idx="1">
                  <c:v>-68555.914595557479</c:v>
                </c:pt>
                <c:pt idx="2">
                  <c:v>-68586.690115880119</c:v>
                </c:pt>
                <c:pt idx="3">
                  <c:v>-67472.840527235647</c:v>
                </c:pt>
                <c:pt idx="4">
                  <c:v>-68678.20183930239</c:v>
                </c:pt>
                <c:pt idx="5">
                  <c:v>-68708.197408281878</c:v>
                </c:pt>
                <c:pt idx="6">
                  <c:v>-65296.859336959416</c:v>
                </c:pt>
                <c:pt idx="7">
                  <c:v>-64234.812410919476</c:v>
                </c:pt>
                <c:pt idx="8">
                  <c:v>-62025.699495024397</c:v>
                </c:pt>
                <c:pt idx="9">
                  <c:v>-58627.825803194835</c:v>
                </c:pt>
                <c:pt idx="10">
                  <c:v>-57580.480802200356</c:v>
                </c:pt>
                <c:pt idx="11">
                  <c:v>-53659.938174492127</c:v>
                </c:pt>
                <c:pt idx="12">
                  <c:v>-48562.810975229957</c:v>
                </c:pt>
                <c:pt idx="13">
                  <c:v>-45820.964242697504</c:v>
                </c:pt>
                <c:pt idx="14">
                  <c:v>-41899.073346289442</c:v>
                </c:pt>
                <c:pt idx="15">
                  <c:v>-36795.795383752229</c:v>
                </c:pt>
                <c:pt idx="16">
                  <c:v>-37290.67942980666</c:v>
                </c:pt>
                <c:pt idx="17">
                  <c:v>-36605.167382345528</c:v>
                </c:pt>
                <c:pt idx="18">
                  <c:v>-34757.850706840196</c:v>
                </c:pt>
                <c:pt idx="19">
                  <c:v>-35238.5692708344</c:v>
                </c:pt>
                <c:pt idx="20">
                  <c:v>-34553.960812171266</c:v>
                </c:pt>
                <c:pt idx="21">
                  <c:v>-33849.955499247473</c:v>
                </c:pt>
                <c:pt idx="22">
                  <c:v>-36591.32222659565</c:v>
                </c:pt>
                <c:pt idx="23">
                  <c:v>-38187.992193648155</c:v>
                </c:pt>
                <c:pt idx="24">
                  <c:v>-37949.203567480596</c:v>
                </c:pt>
              </c:numCache>
            </c:numRef>
          </c:val>
          <c:smooth val="0"/>
          <c:extLst>
            <c:ext xmlns:c16="http://schemas.microsoft.com/office/drawing/2014/chart" uri="{C3380CC4-5D6E-409C-BE32-E72D297353CC}">
              <c16:uniqueId val="{00000008-F15D-4A53-9D12-645E5E9EA0C3}"/>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Verdana Pro" panose="020B0604030504040204" pitchFamily="34" charset="0"/>
                    <a:ea typeface="+mn-ea"/>
                    <a:cs typeface="+mn-cs"/>
                  </a:defRPr>
                </a:pPr>
                <a:r>
                  <a:rPr lang="nl-NL"/>
                  <a:t>Climate</a:t>
                </a:r>
                <a:r>
                  <a:rPr lang="nl-NL" baseline="0"/>
                  <a:t> change </a:t>
                </a:r>
              </a:p>
              <a:p>
                <a:pPr algn="ctr" rtl="0">
                  <a:defRPr/>
                </a:pPr>
                <a:r>
                  <a:rPr lang="nl-NL" baseline="0"/>
                  <a:t>[kg CO2-eq</a:t>
                </a:r>
                <a:r>
                  <a:rPr lang="nl-NL"/>
                  <a:t>/ton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Verdana Pro" panose="020B0604030504040204" pitchFamily="34" charset="0"/>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Verdana Pro" panose="020B0604030504040204" pitchFamily="34" charset="0"/>
        </a:defRPr>
      </a:pPr>
      <a:endParaRPr lang="en-NL"/>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CC'!$AB$173</c:f>
              <c:strCache>
                <c:ptCount val="1"/>
                <c:pt idx="0">
                  <c:v>Construction - DAC</c:v>
                </c:pt>
              </c:strCache>
            </c:strRef>
          </c:tx>
          <c:spPr>
            <a:solidFill>
              <a:schemeClr val="accent4">
                <a:lumMod val="75000"/>
              </a:schemeClr>
            </a:solidFill>
            <a:ln>
              <a:noFill/>
            </a:ln>
            <a:effectLst/>
          </c:spPr>
          <c:invertIfNegative val="0"/>
          <c:cat>
            <c:numRef>
              <c:f>'Results ReCiPe (H) - CC'!$AC$172:$BA$172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CC'!$AC$173:$BA$173</c:f>
              <c:numCache>
                <c:formatCode>0.00E+00</c:formatCode>
                <c:ptCount val="25"/>
                <c:pt idx="0">
                  <c:v>35571.801809533943</c:v>
                </c:pt>
              </c:numCache>
            </c:numRef>
          </c:val>
          <c:extLst>
            <c:ext xmlns:c16="http://schemas.microsoft.com/office/drawing/2014/chart" uri="{C3380CC4-5D6E-409C-BE32-E72D297353CC}">
              <c16:uniqueId val="{00000000-4A2A-4049-9571-76AE7705EA5C}"/>
            </c:ext>
          </c:extLst>
        </c:ser>
        <c:ser>
          <c:idx val="1"/>
          <c:order val="1"/>
          <c:tx>
            <c:strRef>
              <c:f>'Results ReCiPe (H) - CC'!$AB$174</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(H) - CC'!$AC$172:$BA$172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CC'!$AC$174:$BA$174</c:f>
              <c:numCache>
                <c:formatCode>0.00E+00</c:formatCode>
                <c:ptCount val="25"/>
                <c:pt idx="0">
                  <c:v>2321.3557239996653</c:v>
                </c:pt>
              </c:numCache>
            </c:numRef>
          </c:val>
          <c:extLst>
            <c:ext xmlns:c16="http://schemas.microsoft.com/office/drawing/2014/chart" uri="{C3380CC4-5D6E-409C-BE32-E72D297353CC}">
              <c16:uniqueId val="{00000001-4A2A-4049-9571-76AE7705EA5C}"/>
            </c:ext>
          </c:extLst>
        </c:ser>
        <c:ser>
          <c:idx val="2"/>
          <c:order val="2"/>
          <c:tx>
            <c:strRef>
              <c:f>'Results ReCiPe (H) - CC'!$AB$175</c:f>
              <c:strCache>
                <c:ptCount val="1"/>
                <c:pt idx="0">
                  <c:v>Deconstruction - DAC</c:v>
                </c:pt>
              </c:strCache>
            </c:strRef>
          </c:tx>
          <c:spPr>
            <a:solidFill>
              <a:schemeClr val="accent2">
                <a:lumMod val="40000"/>
                <a:lumOff val="60000"/>
              </a:schemeClr>
            </a:solidFill>
            <a:ln>
              <a:noFill/>
            </a:ln>
            <a:effectLst/>
          </c:spPr>
          <c:invertIfNegative val="0"/>
          <c:cat>
            <c:numRef>
              <c:f>'Results ReCiPe (H) - CC'!$AC$172:$BA$172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CC'!$AC$175:$BA$175</c:f>
              <c:numCache>
                <c:formatCode>0.00E+00</c:formatCode>
                <c:ptCount val="25"/>
                <c:pt idx="24">
                  <c:v>578.38595176265494</c:v>
                </c:pt>
              </c:numCache>
            </c:numRef>
          </c:val>
          <c:extLst>
            <c:ext xmlns:c16="http://schemas.microsoft.com/office/drawing/2014/chart" uri="{C3380CC4-5D6E-409C-BE32-E72D297353CC}">
              <c16:uniqueId val="{00000002-4A2A-4049-9571-76AE7705EA5C}"/>
            </c:ext>
          </c:extLst>
        </c:ser>
        <c:ser>
          <c:idx val="3"/>
          <c:order val="3"/>
          <c:tx>
            <c:strRef>
              <c:f>'Results ReCiPe (H) - CC'!$AB$176</c:f>
              <c:strCache>
                <c:ptCount val="1"/>
                <c:pt idx="0">
                  <c:v>Deconstruction - geological storage</c:v>
                </c:pt>
              </c:strCache>
            </c:strRef>
          </c:tx>
          <c:spPr>
            <a:solidFill>
              <a:srgbClr val="FF9900"/>
            </a:solidFill>
            <a:ln>
              <a:noFill/>
            </a:ln>
            <a:effectLst/>
          </c:spPr>
          <c:invertIfNegative val="0"/>
          <c:cat>
            <c:numRef>
              <c:f>'Results ReCiPe (H) - CC'!$AC$172:$BA$172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CC'!$AC$176:$BA$176</c:f>
              <c:numCache>
                <c:formatCode>0.00E+00</c:formatCode>
                <c:ptCount val="25"/>
                <c:pt idx="24">
                  <c:v>20.958999559062121</c:v>
                </c:pt>
              </c:numCache>
            </c:numRef>
          </c:val>
          <c:extLst>
            <c:ext xmlns:c16="http://schemas.microsoft.com/office/drawing/2014/chart" uri="{C3380CC4-5D6E-409C-BE32-E72D297353CC}">
              <c16:uniqueId val="{00000003-4A2A-4049-9571-76AE7705EA5C}"/>
            </c:ext>
          </c:extLst>
        </c:ser>
        <c:ser>
          <c:idx val="4"/>
          <c:order val="4"/>
          <c:tx>
            <c:strRef>
              <c:f>'Results ReCiPe (H) - CC'!$AB$177</c:f>
              <c:strCache>
                <c:ptCount val="1"/>
                <c:pt idx="0">
                  <c:v>Sorbent material</c:v>
                </c:pt>
              </c:strCache>
            </c:strRef>
          </c:tx>
          <c:spPr>
            <a:solidFill>
              <a:srgbClr val="FF8F8F"/>
            </a:solidFill>
            <a:ln>
              <a:noFill/>
            </a:ln>
            <a:effectLst/>
          </c:spPr>
          <c:invertIfNegative val="0"/>
          <c:cat>
            <c:numRef>
              <c:f>'Results ReCiPe (H) - CC'!$AC$172:$BA$172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CC'!$AC$177:$BA$177</c:f>
              <c:numCache>
                <c:formatCode>0.00E+00</c:formatCode>
                <c:ptCount val="25"/>
                <c:pt idx="0">
                  <c:v>1148.3409729516229</c:v>
                </c:pt>
                <c:pt idx="3">
                  <c:v>1112.2182425813739</c:v>
                </c:pt>
                <c:pt idx="6">
                  <c:v>1076.9191461281321</c:v>
                </c:pt>
                <c:pt idx="9">
                  <c:v>1031.286216035297</c:v>
                </c:pt>
                <c:pt idx="12">
                  <c:v>977.44851845379105</c:v>
                </c:pt>
                <c:pt idx="15">
                  <c:v>917.987027187487</c:v>
                </c:pt>
                <c:pt idx="18">
                  <c:v>875.86379727760391</c:v>
                </c:pt>
                <c:pt idx="21">
                  <c:v>846.3879160889735</c:v>
                </c:pt>
                <c:pt idx="24">
                  <c:v>839.0363303143256</c:v>
                </c:pt>
              </c:numCache>
            </c:numRef>
          </c:val>
          <c:extLst>
            <c:ext xmlns:c16="http://schemas.microsoft.com/office/drawing/2014/chart" uri="{C3380CC4-5D6E-409C-BE32-E72D297353CC}">
              <c16:uniqueId val="{00000004-4A2A-4049-9571-76AE7705EA5C}"/>
            </c:ext>
          </c:extLst>
        </c:ser>
        <c:ser>
          <c:idx val="5"/>
          <c:order val="5"/>
          <c:tx>
            <c:strRef>
              <c:f>'Results ReCiPe (H) - CC'!$AB$178</c:f>
              <c:strCache>
                <c:ptCount val="1"/>
                <c:pt idx="0">
                  <c:v>Operation - DAC</c:v>
                </c:pt>
              </c:strCache>
            </c:strRef>
          </c:tx>
          <c:spPr>
            <a:solidFill>
              <a:schemeClr val="accent2">
                <a:lumMod val="75000"/>
              </a:schemeClr>
            </a:solidFill>
            <a:ln>
              <a:noFill/>
            </a:ln>
            <a:effectLst/>
          </c:spPr>
          <c:invertIfNegative val="0"/>
          <c:cat>
            <c:numRef>
              <c:f>'Results ReCiPe (H) - CC'!$AC$172:$BA$172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CC'!$AC$178:$BA$178</c:f>
              <c:numCache>
                <c:formatCode>0.00E+00</c:formatCode>
                <c:ptCount val="25"/>
                <c:pt idx="0">
                  <c:v>24627.814808356317</c:v>
                </c:pt>
                <c:pt idx="1">
                  <c:v>23007.574703896466</c:v>
                </c:pt>
                <c:pt idx="2">
                  <c:v>21387.85072454179</c:v>
                </c:pt>
                <c:pt idx="3">
                  <c:v>19738.878919805309</c:v>
                </c:pt>
                <c:pt idx="4">
                  <c:v>18119.795331705423</c:v>
                </c:pt>
                <c:pt idx="5">
                  <c:v>16500.781925507643</c:v>
                </c:pt>
                <c:pt idx="6">
                  <c:v>15206.746184268166</c:v>
                </c:pt>
                <c:pt idx="7">
                  <c:v>13916.397148752201</c:v>
                </c:pt>
                <c:pt idx="8">
                  <c:v>12604.873895513982</c:v>
                </c:pt>
                <c:pt idx="9">
                  <c:v>11316.529406602853</c:v>
                </c:pt>
                <c:pt idx="10">
                  <c:v>10028.310983538013</c:v>
                </c:pt>
                <c:pt idx="11">
                  <c:v>8990.5088123138648</c:v>
                </c:pt>
                <c:pt idx="12">
                  <c:v>7948.861731494726</c:v>
                </c:pt>
                <c:pt idx="13">
                  <c:v>6898.4647369356317</c:v>
                </c:pt>
                <c:pt idx="14">
                  <c:v>5849.3154489777635</c:v>
                </c:pt>
                <c:pt idx="15">
                  <c:v>4796.5068628817398</c:v>
                </c:pt>
                <c:pt idx="16">
                  <c:v>4225.1533278487022</c:v>
                </c:pt>
                <c:pt idx="17">
                  <c:v>3653.9692003727459</c:v>
                </c:pt>
                <c:pt idx="18">
                  <c:v>3078.7515053568495</c:v>
                </c:pt>
                <c:pt idx="19">
                  <c:v>2508.1437076971797</c:v>
                </c:pt>
                <c:pt idx="20">
                  <c:v>1938.210334315145</c:v>
                </c:pt>
                <c:pt idx="21">
                  <c:v>1732.6538356380768</c:v>
                </c:pt>
                <c:pt idx="22">
                  <c:v>1509.3500111451742</c:v>
                </c:pt>
                <c:pt idx="23">
                  <c:v>1285.3212344800988</c:v>
                </c:pt>
                <c:pt idx="24">
                  <c:v>1060.5511180190729</c:v>
                </c:pt>
              </c:numCache>
            </c:numRef>
          </c:val>
          <c:extLst>
            <c:ext xmlns:c16="http://schemas.microsoft.com/office/drawing/2014/chart" uri="{C3380CC4-5D6E-409C-BE32-E72D297353CC}">
              <c16:uniqueId val="{00000005-4A2A-4049-9571-76AE7705EA5C}"/>
            </c:ext>
          </c:extLst>
        </c:ser>
        <c:ser>
          <c:idx val="6"/>
          <c:order val="6"/>
          <c:tx>
            <c:strRef>
              <c:f>'Results ReCiPe (H) - CC'!$AB$179</c:f>
              <c:strCache>
                <c:ptCount val="1"/>
                <c:pt idx="0">
                  <c:v>Operation - geological storage</c:v>
                </c:pt>
              </c:strCache>
            </c:strRef>
          </c:tx>
          <c:spPr>
            <a:solidFill>
              <a:schemeClr val="accent2">
                <a:lumMod val="50000"/>
              </a:schemeClr>
            </a:solidFill>
            <a:ln>
              <a:noFill/>
            </a:ln>
            <a:effectLst/>
          </c:spPr>
          <c:invertIfNegative val="0"/>
          <c:cat>
            <c:numRef>
              <c:f>'Results ReCiPe (H) - CC'!$AC$172:$BA$172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CC'!$AC$179:$BA$179</c:f>
              <c:numCache>
                <c:formatCode>0.00E+00</c:formatCode>
                <c:ptCount val="25"/>
                <c:pt idx="0">
                  <c:v>2542.97481093942</c:v>
                </c:pt>
                <c:pt idx="1">
                  <c:v>2376.1908223022351</c:v>
                </c:pt>
                <c:pt idx="2">
                  <c:v>2210.198356481329</c:v>
                </c:pt>
                <c:pt idx="3">
                  <c:v>2042.1089575522349</c:v>
                </c:pt>
                <c:pt idx="4">
                  <c:v>1877.6504775339711</c:v>
                </c:pt>
                <c:pt idx="5">
                  <c:v>1713.9317286688911</c:v>
                </c:pt>
                <c:pt idx="6">
                  <c:v>1584.1543394014241</c:v>
                </c:pt>
                <c:pt idx="7">
                  <c:v>1454.8948646449719</c:v>
                </c:pt>
                <c:pt idx="8">
                  <c:v>1323.7820438900601</c:v>
                </c:pt>
                <c:pt idx="9">
                  <c:v>1195.1988527569281</c:v>
                </c:pt>
                <c:pt idx="10">
                  <c:v>1066.8976244184651</c:v>
                </c:pt>
                <c:pt idx="11">
                  <c:v>963.58440519466842</c:v>
                </c:pt>
                <c:pt idx="12">
                  <c:v>859.91567497999529</c:v>
                </c:pt>
                <c:pt idx="13">
                  <c:v>755.41292956805273</c:v>
                </c:pt>
                <c:pt idx="14">
                  <c:v>651.04604210442778</c:v>
                </c:pt>
                <c:pt idx="15">
                  <c:v>546.33480393535831</c:v>
                </c:pt>
                <c:pt idx="16">
                  <c:v>489.39242557480054</c:v>
                </c:pt>
                <c:pt idx="17">
                  <c:v>432.29621235982074</c:v>
                </c:pt>
                <c:pt idx="18">
                  <c:v>374.6375724780944</c:v>
                </c:pt>
                <c:pt idx="19">
                  <c:v>317.244406053852</c:v>
                </c:pt>
                <c:pt idx="20">
                  <c:v>259.72292994022592</c:v>
                </c:pt>
                <c:pt idx="21">
                  <c:v>239.30004870743892</c:v>
                </c:pt>
                <c:pt idx="22">
                  <c:v>217.20126571922478</c:v>
                </c:pt>
                <c:pt idx="23">
                  <c:v>195.09716023618199</c:v>
                </c:pt>
                <c:pt idx="24">
                  <c:v>172.9858048397322</c:v>
                </c:pt>
              </c:numCache>
            </c:numRef>
          </c:val>
          <c:extLst>
            <c:ext xmlns:c16="http://schemas.microsoft.com/office/drawing/2014/chart" uri="{C3380CC4-5D6E-409C-BE32-E72D297353CC}">
              <c16:uniqueId val="{00000006-4A2A-4049-9571-76AE7705EA5C}"/>
            </c:ext>
          </c:extLst>
        </c:ser>
        <c:ser>
          <c:idx val="7"/>
          <c:order val="7"/>
          <c:tx>
            <c:strRef>
              <c:f>'Results ReCiPe (H) - CC'!$AB$180</c:f>
              <c:strCache>
                <c:ptCount val="1"/>
                <c:pt idx="0">
                  <c:v>CO2 captured and stored</c:v>
                </c:pt>
              </c:strCache>
            </c:strRef>
          </c:tx>
          <c:spPr>
            <a:solidFill>
              <a:schemeClr val="tx2">
                <a:lumMod val="20000"/>
                <a:lumOff val="80000"/>
              </a:schemeClr>
            </a:solidFill>
            <a:ln>
              <a:noFill/>
            </a:ln>
            <a:effectLst/>
          </c:spPr>
          <c:invertIfNegative val="0"/>
          <c:cat>
            <c:numRef>
              <c:f>'Results ReCiPe (H) - CC'!$AC$172:$BA$172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CC'!$AC$180:$BA$180</c:f>
              <c:numCache>
                <c:formatCode>0.00E+00</c:formatCode>
                <c:ptCount val="25"/>
                <c:pt idx="0">
                  <c:v>-100000</c:v>
                </c:pt>
                <c:pt idx="1">
                  <c:v>-100000</c:v>
                </c:pt>
                <c:pt idx="2">
                  <c:v>-100000</c:v>
                </c:pt>
                <c:pt idx="3">
                  <c:v>-100000</c:v>
                </c:pt>
                <c:pt idx="4">
                  <c:v>-100000</c:v>
                </c:pt>
                <c:pt idx="5">
                  <c:v>-100000</c:v>
                </c:pt>
                <c:pt idx="6">
                  <c:v>-100000</c:v>
                </c:pt>
                <c:pt idx="7">
                  <c:v>-100000</c:v>
                </c:pt>
                <c:pt idx="8">
                  <c:v>-100000</c:v>
                </c:pt>
                <c:pt idx="9">
                  <c:v>-100000</c:v>
                </c:pt>
                <c:pt idx="10">
                  <c:v>-100000</c:v>
                </c:pt>
                <c:pt idx="11">
                  <c:v>-100000</c:v>
                </c:pt>
                <c:pt idx="12">
                  <c:v>-100000</c:v>
                </c:pt>
                <c:pt idx="13">
                  <c:v>-100000</c:v>
                </c:pt>
                <c:pt idx="14">
                  <c:v>-100000</c:v>
                </c:pt>
                <c:pt idx="15">
                  <c:v>-100000</c:v>
                </c:pt>
                <c:pt idx="16">
                  <c:v>-100000</c:v>
                </c:pt>
                <c:pt idx="17">
                  <c:v>-100000</c:v>
                </c:pt>
                <c:pt idx="18">
                  <c:v>-100000</c:v>
                </c:pt>
                <c:pt idx="19">
                  <c:v>-100000</c:v>
                </c:pt>
                <c:pt idx="20">
                  <c:v>-100000</c:v>
                </c:pt>
                <c:pt idx="21">
                  <c:v>-100000</c:v>
                </c:pt>
                <c:pt idx="22">
                  <c:v>-100000</c:v>
                </c:pt>
                <c:pt idx="23">
                  <c:v>-100000</c:v>
                </c:pt>
                <c:pt idx="24">
                  <c:v>-100000</c:v>
                </c:pt>
              </c:numCache>
            </c:numRef>
          </c:val>
          <c:extLst>
            <c:ext xmlns:c16="http://schemas.microsoft.com/office/drawing/2014/chart" uri="{C3380CC4-5D6E-409C-BE32-E72D297353CC}">
              <c16:uniqueId val="{00000007-4A2A-4049-9571-76AE7705EA5C}"/>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CC'!$AB$181</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cat>
            <c:numRef>
              <c:f>'Results ReCiPe (H) - CC'!$AC$172:$BA$172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CC'!$AC$181:$BA$181</c:f>
              <c:numCache>
                <c:formatCode>0.00E+00</c:formatCode>
                <c:ptCount val="25"/>
                <c:pt idx="0">
                  <c:v>-33787.711874219036</c:v>
                </c:pt>
                <c:pt idx="1">
                  <c:v>-74616.234473801305</c:v>
                </c:pt>
                <c:pt idx="2">
                  <c:v>-76401.950918976887</c:v>
                </c:pt>
                <c:pt idx="3">
                  <c:v>-77106.793880061086</c:v>
                </c:pt>
                <c:pt idx="4">
                  <c:v>-80002.554190760609</c:v>
                </c:pt>
                <c:pt idx="5">
                  <c:v>-81785.286345823464</c:v>
                </c:pt>
                <c:pt idx="6">
                  <c:v>-82132.180330202274</c:v>
                </c:pt>
                <c:pt idx="7">
                  <c:v>-84628.707986602822</c:v>
                </c:pt>
                <c:pt idx="8">
                  <c:v>-86071.344060595962</c:v>
                </c:pt>
                <c:pt idx="9">
                  <c:v>-86456.985524604926</c:v>
                </c:pt>
                <c:pt idx="10">
                  <c:v>-88904.791392043524</c:v>
                </c:pt>
                <c:pt idx="11">
                  <c:v>-90045.906782491467</c:v>
                </c:pt>
                <c:pt idx="12">
                  <c:v>-90213.774075071487</c:v>
                </c:pt>
                <c:pt idx="13">
                  <c:v>-92346.122333496314</c:v>
                </c:pt>
                <c:pt idx="14">
                  <c:v>-93499.638508917807</c:v>
                </c:pt>
                <c:pt idx="15">
                  <c:v>-93739.17130599542</c:v>
                </c:pt>
                <c:pt idx="16">
                  <c:v>-95285.454246576497</c:v>
                </c:pt>
                <c:pt idx="17">
                  <c:v>-95913.734587267434</c:v>
                </c:pt>
                <c:pt idx="18">
                  <c:v>-95670.74712488745</c:v>
                </c:pt>
                <c:pt idx="19">
                  <c:v>-97174.611886248967</c:v>
                </c:pt>
                <c:pt idx="20">
                  <c:v>-97802.066735744622</c:v>
                </c:pt>
                <c:pt idx="21">
                  <c:v>-97181.658199565514</c:v>
                </c:pt>
                <c:pt idx="22">
                  <c:v>-98273.448723135603</c:v>
                </c:pt>
                <c:pt idx="23">
                  <c:v>-98519.581605283718</c:v>
                </c:pt>
                <c:pt idx="24">
                  <c:v>-97328.081795505146</c:v>
                </c:pt>
              </c:numCache>
            </c:numRef>
          </c:val>
          <c:smooth val="0"/>
          <c:extLst>
            <c:ext xmlns:c16="http://schemas.microsoft.com/office/drawing/2014/chart" uri="{C3380CC4-5D6E-409C-BE32-E72D297353CC}">
              <c16:uniqueId val="{00000008-4A2A-4049-9571-76AE7705EA5C}"/>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Verdana Pro" panose="020B0604030504040204" pitchFamily="34" charset="0"/>
                    <a:ea typeface="+mn-ea"/>
                    <a:cs typeface="+mn-cs"/>
                  </a:defRPr>
                </a:pPr>
                <a:r>
                  <a:rPr lang="nl-NL"/>
                  <a:t>Climate change </a:t>
                </a:r>
              </a:p>
              <a:p>
                <a:pPr algn="ctr" rtl="0">
                  <a:defRPr/>
                </a:pPr>
                <a:r>
                  <a:rPr lang="nl-NL"/>
                  <a:t>[kg</a:t>
                </a:r>
                <a:r>
                  <a:rPr lang="nl-NL" baseline="0"/>
                  <a:t> CO2-eq</a:t>
                </a:r>
                <a:r>
                  <a:rPr lang="nl-NL"/>
                  <a:t>/ton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Verdana Pro" panose="020B0604030504040204" pitchFamily="34" charset="0"/>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ro" panose="020B0604030504040204" pitchFamily="34" charset="0"/>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Verdana Pro" panose="020B0604030504040204" pitchFamily="34" charset="0"/>
        </a:defRPr>
      </a:pPr>
      <a:endParaRPr lang="en-NL"/>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CC'!$AB$214</c:f>
              <c:strCache>
                <c:ptCount val="1"/>
                <c:pt idx="0">
                  <c:v>Construction - DAC</c:v>
                </c:pt>
              </c:strCache>
            </c:strRef>
          </c:tx>
          <c:spPr>
            <a:solidFill>
              <a:schemeClr val="accent4">
                <a:lumMod val="75000"/>
              </a:schemeClr>
            </a:solidFill>
            <a:ln>
              <a:noFill/>
            </a:ln>
            <a:effectLst/>
          </c:spPr>
          <c:invertIfNegative val="0"/>
          <c:cat>
            <c:numRef>
              <c:f>'Results ReCiPe (H) - CC'!$AC$213:$BA$213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CC'!$AC$214:$BA$214</c:f>
              <c:numCache>
                <c:formatCode>0.00E+00</c:formatCode>
                <c:ptCount val="25"/>
                <c:pt idx="0">
                  <c:v>27769.199509564176</c:v>
                </c:pt>
              </c:numCache>
            </c:numRef>
          </c:val>
          <c:extLst>
            <c:ext xmlns:c16="http://schemas.microsoft.com/office/drawing/2014/chart" uri="{C3380CC4-5D6E-409C-BE32-E72D297353CC}">
              <c16:uniqueId val="{00000000-3A1A-493F-83CD-6884F051FAFF}"/>
            </c:ext>
          </c:extLst>
        </c:ser>
        <c:ser>
          <c:idx val="1"/>
          <c:order val="1"/>
          <c:tx>
            <c:strRef>
              <c:f>'Results ReCiPe (H) - CC'!$AB$215</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(H) - CC'!$AC$213:$BA$213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CC'!$AC$215:$BA$215</c:f>
              <c:numCache>
                <c:formatCode>0.00E+00</c:formatCode>
                <c:ptCount val="25"/>
                <c:pt idx="0">
                  <c:v>2030.6156444302903</c:v>
                </c:pt>
              </c:numCache>
            </c:numRef>
          </c:val>
          <c:extLst>
            <c:ext xmlns:c16="http://schemas.microsoft.com/office/drawing/2014/chart" uri="{C3380CC4-5D6E-409C-BE32-E72D297353CC}">
              <c16:uniqueId val="{00000001-3A1A-493F-83CD-6884F051FAFF}"/>
            </c:ext>
          </c:extLst>
        </c:ser>
        <c:ser>
          <c:idx val="2"/>
          <c:order val="2"/>
          <c:tx>
            <c:strRef>
              <c:f>'Results ReCiPe (H) - CC'!$AB$216</c:f>
              <c:strCache>
                <c:ptCount val="1"/>
                <c:pt idx="0">
                  <c:v>Deconstruction - DAC</c:v>
                </c:pt>
              </c:strCache>
            </c:strRef>
          </c:tx>
          <c:spPr>
            <a:solidFill>
              <a:schemeClr val="accent2">
                <a:lumMod val="40000"/>
                <a:lumOff val="60000"/>
              </a:schemeClr>
            </a:solidFill>
            <a:ln>
              <a:noFill/>
            </a:ln>
            <a:effectLst/>
          </c:spPr>
          <c:invertIfNegative val="0"/>
          <c:cat>
            <c:numRef>
              <c:f>'Results ReCiPe (H) - CC'!$AC$213:$BA$213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CC'!$AC$216:$BA$216</c:f>
              <c:numCache>
                <c:formatCode>0.00E+00</c:formatCode>
                <c:ptCount val="25"/>
                <c:pt idx="24">
                  <c:v>506.10170544819584</c:v>
                </c:pt>
              </c:numCache>
            </c:numRef>
          </c:val>
          <c:extLst>
            <c:ext xmlns:c16="http://schemas.microsoft.com/office/drawing/2014/chart" uri="{C3380CC4-5D6E-409C-BE32-E72D297353CC}">
              <c16:uniqueId val="{00000002-3A1A-493F-83CD-6884F051FAFF}"/>
            </c:ext>
          </c:extLst>
        </c:ser>
        <c:ser>
          <c:idx val="3"/>
          <c:order val="3"/>
          <c:tx>
            <c:strRef>
              <c:f>'Results ReCiPe (H) - CC'!$AB$217</c:f>
              <c:strCache>
                <c:ptCount val="1"/>
                <c:pt idx="0">
                  <c:v>Deconstruction - geological storage</c:v>
                </c:pt>
              </c:strCache>
            </c:strRef>
          </c:tx>
          <c:spPr>
            <a:solidFill>
              <a:srgbClr val="FF9900"/>
            </a:solidFill>
            <a:ln>
              <a:noFill/>
            </a:ln>
            <a:effectLst/>
          </c:spPr>
          <c:invertIfNegative val="0"/>
          <c:cat>
            <c:numRef>
              <c:f>'Results ReCiPe (H) - CC'!$AC$213:$BA$213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CC'!$AC$217:$BA$217</c:f>
              <c:numCache>
                <c:formatCode>0.00E+00</c:formatCode>
                <c:ptCount val="25"/>
                <c:pt idx="24">
                  <c:v>19.710037603247073</c:v>
                </c:pt>
              </c:numCache>
            </c:numRef>
          </c:val>
          <c:extLst>
            <c:ext xmlns:c16="http://schemas.microsoft.com/office/drawing/2014/chart" uri="{C3380CC4-5D6E-409C-BE32-E72D297353CC}">
              <c16:uniqueId val="{00000003-3A1A-493F-83CD-6884F051FAFF}"/>
            </c:ext>
          </c:extLst>
        </c:ser>
        <c:ser>
          <c:idx val="4"/>
          <c:order val="4"/>
          <c:tx>
            <c:strRef>
              <c:f>'Results ReCiPe (H) - CC'!$AB$218</c:f>
              <c:strCache>
                <c:ptCount val="1"/>
                <c:pt idx="0">
                  <c:v>Sorbent material</c:v>
                </c:pt>
              </c:strCache>
            </c:strRef>
          </c:tx>
          <c:spPr>
            <a:solidFill>
              <a:srgbClr val="FF8F8F"/>
            </a:solidFill>
            <a:ln>
              <a:noFill/>
            </a:ln>
            <a:effectLst/>
          </c:spPr>
          <c:invertIfNegative val="0"/>
          <c:cat>
            <c:numRef>
              <c:f>'Results ReCiPe (H) - CC'!$AC$213:$BA$213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CC'!$AC$218:$BA$218</c:f>
              <c:numCache>
                <c:formatCode>0.00E+00</c:formatCode>
                <c:ptCount val="25"/>
                <c:pt idx="0">
                  <c:v>960.18627888201729</c:v>
                </c:pt>
                <c:pt idx="3">
                  <c:v>894.9053469828998</c:v>
                </c:pt>
                <c:pt idx="6">
                  <c:v>847.74542197239737</c:v>
                </c:pt>
                <c:pt idx="9">
                  <c:v>829.74040861154253</c:v>
                </c:pt>
                <c:pt idx="12">
                  <c:v>821.41329377436136</c:v>
                </c:pt>
                <c:pt idx="15">
                  <c:v>815.75248373031479</c:v>
                </c:pt>
                <c:pt idx="18">
                  <c:v>808.99669973300752</c:v>
                </c:pt>
                <c:pt idx="21">
                  <c:v>803.6131276705886</c:v>
                </c:pt>
                <c:pt idx="24">
                  <c:v>799.02195316520056</c:v>
                </c:pt>
              </c:numCache>
            </c:numRef>
          </c:val>
          <c:extLst>
            <c:ext xmlns:c16="http://schemas.microsoft.com/office/drawing/2014/chart" uri="{C3380CC4-5D6E-409C-BE32-E72D297353CC}">
              <c16:uniqueId val="{00000004-3A1A-493F-83CD-6884F051FAFF}"/>
            </c:ext>
          </c:extLst>
        </c:ser>
        <c:ser>
          <c:idx val="5"/>
          <c:order val="5"/>
          <c:tx>
            <c:strRef>
              <c:f>'Results ReCiPe (H) - CC'!$AB$219</c:f>
              <c:strCache>
                <c:ptCount val="1"/>
                <c:pt idx="0">
                  <c:v>Operation - DAC</c:v>
                </c:pt>
              </c:strCache>
            </c:strRef>
          </c:tx>
          <c:spPr>
            <a:solidFill>
              <a:schemeClr val="accent2">
                <a:lumMod val="75000"/>
              </a:schemeClr>
            </a:solidFill>
            <a:ln>
              <a:noFill/>
            </a:ln>
            <a:effectLst/>
          </c:spPr>
          <c:invertIfNegative val="0"/>
          <c:cat>
            <c:numRef>
              <c:f>'Results ReCiPe (H) - CC'!$AC$213:$BA$213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CC'!$AC$219:$BA$219</c:f>
              <c:numCache>
                <c:formatCode>0.00E+00</c:formatCode>
                <c:ptCount val="25"/>
                <c:pt idx="0">
                  <c:v>11024.857156526728</c:v>
                </c:pt>
                <c:pt idx="1">
                  <c:v>9185.8782755909288</c:v>
                </c:pt>
                <c:pt idx="2">
                  <c:v>7344.9844773557661</c:v>
                </c:pt>
                <c:pt idx="3">
                  <c:v>5469.8500489065809</c:v>
                </c:pt>
                <c:pt idx="4">
                  <c:v>3622.4073211066702</c:v>
                </c:pt>
                <c:pt idx="5">
                  <c:v>1771.980395382936</c:v>
                </c:pt>
                <c:pt idx="6">
                  <c:v>1327.699050118043</c:v>
                </c:pt>
                <c:pt idx="7">
                  <c:v>881.14390050608438</c:v>
                </c:pt>
                <c:pt idx="8">
                  <c:v>405.27841188045232</c:v>
                </c:pt>
                <c:pt idx="9">
                  <c:v>-46.667982551286791</c:v>
                </c:pt>
                <c:pt idx="10">
                  <c:v>-500.9368146306947</c:v>
                </c:pt>
                <c:pt idx="11">
                  <c:v>-723.35272473267014</c:v>
                </c:pt>
                <c:pt idx="12">
                  <c:v>-945.12137292297871</c:v>
                </c:pt>
                <c:pt idx="13">
                  <c:v>-1171.4854932803871</c:v>
                </c:pt>
                <c:pt idx="14">
                  <c:v>-1392.0118316093128</c:v>
                </c:pt>
                <c:pt idx="15">
                  <c:v>-1612.0752359330575</c:v>
                </c:pt>
                <c:pt idx="16">
                  <c:v>-2058.2850638112991</c:v>
                </c:pt>
                <c:pt idx="17">
                  <c:v>-2501.0095170393915</c:v>
                </c:pt>
                <c:pt idx="18">
                  <c:v>-2943.8993456864819</c:v>
                </c:pt>
                <c:pt idx="19">
                  <c:v>-3379.513237691961</c:v>
                </c:pt>
                <c:pt idx="20">
                  <c:v>-3811.3481027277517</c:v>
                </c:pt>
                <c:pt idx="21">
                  <c:v>-4209.4254679884725</c:v>
                </c:pt>
                <c:pt idx="22">
                  <c:v>-4618.9651469212013</c:v>
                </c:pt>
                <c:pt idx="23">
                  <c:v>-5029.5958992950982</c:v>
                </c:pt>
                <c:pt idx="24">
                  <c:v>-5441.3343575957424</c:v>
                </c:pt>
              </c:numCache>
            </c:numRef>
          </c:val>
          <c:extLst>
            <c:ext xmlns:c16="http://schemas.microsoft.com/office/drawing/2014/chart" uri="{C3380CC4-5D6E-409C-BE32-E72D297353CC}">
              <c16:uniqueId val="{00000005-3A1A-493F-83CD-6884F051FAFF}"/>
            </c:ext>
          </c:extLst>
        </c:ser>
        <c:ser>
          <c:idx val="6"/>
          <c:order val="6"/>
          <c:tx>
            <c:strRef>
              <c:f>'Results ReCiPe (H) - CC'!$AB$220</c:f>
              <c:strCache>
                <c:ptCount val="1"/>
                <c:pt idx="0">
                  <c:v>Operation - geological storage</c:v>
                </c:pt>
              </c:strCache>
            </c:strRef>
          </c:tx>
          <c:spPr>
            <a:solidFill>
              <a:schemeClr val="accent2">
                <a:lumMod val="50000"/>
              </a:schemeClr>
            </a:solidFill>
            <a:ln>
              <a:noFill/>
            </a:ln>
            <a:effectLst/>
          </c:spPr>
          <c:invertIfNegative val="0"/>
          <c:cat>
            <c:numRef>
              <c:f>'Results ReCiPe (H) - CC'!$AC$213:$BA$213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CC'!$AC$220:$BA$220</c:f>
              <c:numCache>
                <c:formatCode>0.00E+00</c:formatCode>
                <c:ptCount val="25"/>
                <c:pt idx="0">
                  <c:v>1171.75360790124</c:v>
                </c:pt>
                <c:pt idx="1">
                  <c:v>985.51848325044398</c:v>
                </c:pt>
                <c:pt idx="2">
                  <c:v>800.31926123191045</c:v>
                </c:pt>
                <c:pt idx="3">
                  <c:v>613.03530748482558</c:v>
                </c:pt>
                <c:pt idx="4">
                  <c:v>429.65944414908608</c:v>
                </c:pt>
                <c:pt idx="5">
                  <c:v>247.19654517566713</c:v>
                </c:pt>
                <c:pt idx="6">
                  <c:v>203.72460308086019</c:v>
                </c:pt>
                <c:pt idx="7">
                  <c:v>160.20421119621818</c:v>
                </c:pt>
                <c:pt idx="8">
                  <c:v>114.01691925412281</c:v>
                </c:pt>
                <c:pt idx="9">
                  <c:v>70.328108989120295</c:v>
                </c:pt>
                <c:pt idx="10">
                  <c:v>26.586889365791922</c:v>
                </c:pt>
                <c:pt idx="11">
                  <c:v>4.7592472154073473</c:v>
                </c:pt>
                <c:pt idx="12">
                  <c:v>-17.042266268320962</c:v>
                </c:pt>
                <c:pt idx="13">
                  <c:v>-39.31984498306106</c:v>
                </c:pt>
                <c:pt idx="14">
                  <c:v>-61.06491878989204</c:v>
                </c:pt>
                <c:pt idx="15">
                  <c:v>-82.796745892243422</c:v>
                </c:pt>
                <c:pt idx="16">
                  <c:v>-128.24040253891349</c:v>
                </c:pt>
                <c:pt idx="17">
                  <c:v>-173.74520002908028</c:v>
                </c:pt>
                <c:pt idx="18">
                  <c:v>-219.65990731184971</c:v>
                </c:pt>
                <c:pt idx="19">
                  <c:v>-265.25926317957271</c:v>
                </c:pt>
                <c:pt idx="20">
                  <c:v>-310.8897424868058</c:v>
                </c:pt>
                <c:pt idx="21">
                  <c:v>-349.61909568361528</c:v>
                </c:pt>
                <c:pt idx="22">
                  <c:v>-389.36755041297459</c:v>
                </c:pt>
                <c:pt idx="23">
                  <c:v>-429.10525550438609</c:v>
                </c:pt>
                <c:pt idx="24">
                  <c:v>-468.83374695402216</c:v>
                </c:pt>
              </c:numCache>
            </c:numRef>
          </c:val>
          <c:extLst>
            <c:ext xmlns:c16="http://schemas.microsoft.com/office/drawing/2014/chart" uri="{C3380CC4-5D6E-409C-BE32-E72D297353CC}">
              <c16:uniqueId val="{00000006-3A1A-493F-83CD-6884F051FAFF}"/>
            </c:ext>
          </c:extLst>
        </c:ser>
        <c:ser>
          <c:idx val="7"/>
          <c:order val="7"/>
          <c:tx>
            <c:strRef>
              <c:f>'Results ReCiPe (H) - CC'!$AB$221</c:f>
              <c:strCache>
                <c:ptCount val="1"/>
                <c:pt idx="0">
                  <c:v>CO2 captured and stored</c:v>
                </c:pt>
              </c:strCache>
            </c:strRef>
          </c:tx>
          <c:spPr>
            <a:solidFill>
              <a:schemeClr val="tx2">
                <a:lumMod val="20000"/>
                <a:lumOff val="80000"/>
              </a:schemeClr>
            </a:solidFill>
            <a:ln>
              <a:noFill/>
            </a:ln>
            <a:effectLst/>
          </c:spPr>
          <c:invertIfNegative val="0"/>
          <c:cat>
            <c:numRef>
              <c:f>'Results ReCiPe (H) - CC'!$AC$213:$BA$213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CC'!$AC$221:$BA$221</c:f>
              <c:numCache>
                <c:formatCode>0.00E+00</c:formatCode>
                <c:ptCount val="25"/>
                <c:pt idx="0">
                  <c:v>-100000</c:v>
                </c:pt>
                <c:pt idx="1">
                  <c:v>-100000</c:v>
                </c:pt>
                <c:pt idx="2">
                  <c:v>-100000</c:v>
                </c:pt>
                <c:pt idx="3">
                  <c:v>-100000</c:v>
                </c:pt>
                <c:pt idx="4">
                  <c:v>-100000</c:v>
                </c:pt>
                <c:pt idx="5">
                  <c:v>-100000</c:v>
                </c:pt>
                <c:pt idx="6">
                  <c:v>-100000</c:v>
                </c:pt>
                <c:pt idx="7">
                  <c:v>-100000</c:v>
                </c:pt>
                <c:pt idx="8">
                  <c:v>-100000</c:v>
                </c:pt>
                <c:pt idx="9">
                  <c:v>-100000</c:v>
                </c:pt>
                <c:pt idx="10">
                  <c:v>-100000</c:v>
                </c:pt>
                <c:pt idx="11">
                  <c:v>-100000</c:v>
                </c:pt>
                <c:pt idx="12">
                  <c:v>-100000</c:v>
                </c:pt>
                <c:pt idx="13">
                  <c:v>-100000</c:v>
                </c:pt>
                <c:pt idx="14">
                  <c:v>-100000</c:v>
                </c:pt>
                <c:pt idx="15">
                  <c:v>-100000</c:v>
                </c:pt>
                <c:pt idx="16">
                  <c:v>-100000</c:v>
                </c:pt>
                <c:pt idx="17">
                  <c:v>-100000</c:v>
                </c:pt>
                <c:pt idx="18">
                  <c:v>-100000</c:v>
                </c:pt>
                <c:pt idx="19">
                  <c:v>-100000</c:v>
                </c:pt>
                <c:pt idx="20">
                  <c:v>-100000</c:v>
                </c:pt>
                <c:pt idx="21">
                  <c:v>-100000</c:v>
                </c:pt>
                <c:pt idx="22">
                  <c:v>-100000</c:v>
                </c:pt>
                <c:pt idx="23">
                  <c:v>-100000</c:v>
                </c:pt>
                <c:pt idx="24">
                  <c:v>-100000</c:v>
                </c:pt>
              </c:numCache>
            </c:numRef>
          </c:val>
          <c:extLst>
            <c:ext xmlns:c16="http://schemas.microsoft.com/office/drawing/2014/chart" uri="{C3380CC4-5D6E-409C-BE32-E72D297353CC}">
              <c16:uniqueId val="{00000007-3A1A-493F-83CD-6884F051FAFF}"/>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(H) - CC'!$AB$222</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cat>
            <c:numRef>
              <c:f>'Results ReCiPe (H) - CC'!$AC$213:$BA$213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CC'!$AC$222:$BA$222</c:f>
              <c:numCache>
                <c:formatCode>0.00E+00</c:formatCode>
                <c:ptCount val="25"/>
                <c:pt idx="0">
                  <c:v>-57043.387802695543</c:v>
                </c:pt>
                <c:pt idx="1">
                  <c:v>-89828.60324115862</c:v>
                </c:pt>
                <c:pt idx="2">
                  <c:v>-91854.696261412319</c:v>
                </c:pt>
                <c:pt idx="3">
                  <c:v>-93022.20929662569</c:v>
                </c:pt>
                <c:pt idx="4">
                  <c:v>-95947.93323474424</c:v>
                </c:pt>
                <c:pt idx="5">
                  <c:v>-97980.823059441391</c:v>
                </c:pt>
                <c:pt idx="6">
                  <c:v>-97620.830924828697</c:v>
                </c:pt>
                <c:pt idx="7">
                  <c:v>-98958.651888297696</c:v>
                </c:pt>
                <c:pt idx="8">
                  <c:v>-99480.704668865423</c:v>
                </c:pt>
                <c:pt idx="9">
                  <c:v>-99146.599464950617</c:v>
                </c:pt>
                <c:pt idx="10">
                  <c:v>-100474.34992526491</c:v>
                </c:pt>
                <c:pt idx="11">
                  <c:v>-100718.59347751726</c:v>
                </c:pt>
                <c:pt idx="12">
                  <c:v>-100140.75034541693</c:v>
                </c:pt>
                <c:pt idx="13">
                  <c:v>-101210.80533826345</c:v>
                </c:pt>
                <c:pt idx="14">
                  <c:v>-101453.07675039921</c:v>
                </c:pt>
                <c:pt idx="15">
                  <c:v>-100879.11949809498</c:v>
                </c:pt>
                <c:pt idx="16">
                  <c:v>-102186.52546635021</c:v>
                </c:pt>
                <c:pt idx="17">
                  <c:v>-102674.75471706847</c:v>
                </c:pt>
                <c:pt idx="18">
                  <c:v>-102354.56255326532</c:v>
                </c:pt>
                <c:pt idx="19">
                  <c:v>-103644.77250087154</c:v>
                </c:pt>
                <c:pt idx="20">
                  <c:v>-104122.23784521456</c:v>
                </c:pt>
                <c:pt idx="21">
                  <c:v>-103755.4314360015</c:v>
                </c:pt>
                <c:pt idx="22">
                  <c:v>-105008.33269733418</c:v>
                </c:pt>
                <c:pt idx="23">
                  <c:v>-105458.70115479949</c:v>
                </c:pt>
                <c:pt idx="24">
                  <c:v>-104585.33440833312</c:v>
                </c:pt>
              </c:numCache>
            </c:numRef>
          </c:val>
          <c:smooth val="0"/>
          <c:extLst>
            <c:ext xmlns:c16="http://schemas.microsoft.com/office/drawing/2014/chart" uri="{C3380CC4-5D6E-409C-BE32-E72D297353CC}">
              <c16:uniqueId val="{00000008-3A1A-493F-83CD-6884F051FAFF}"/>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Climate change</a:t>
                </a:r>
              </a:p>
              <a:p>
                <a:pPr algn="ctr" rtl="0">
                  <a:defRPr/>
                </a:pPr>
                <a:r>
                  <a:rPr lang="nl-NL"/>
                  <a:t>[kg CO@-eq/ton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26879729621161"/>
          <c:y val="5.4106329588493672E-2"/>
          <c:w val="0.87797394606685986"/>
          <c:h val="0.7097653982896005"/>
        </c:manualLayout>
      </c:layout>
      <c:barChart>
        <c:barDir val="col"/>
        <c:grouping val="stacked"/>
        <c:varyColors val="0"/>
        <c:ser>
          <c:idx val="0"/>
          <c:order val="0"/>
          <c:tx>
            <c:strRef>
              <c:f>'Results ReCiPe (H) - CC'!$AB$274</c:f>
              <c:strCache>
                <c:ptCount val="1"/>
                <c:pt idx="0">
                  <c:v>Construction - DAC</c:v>
                </c:pt>
              </c:strCache>
            </c:strRef>
          </c:tx>
          <c:spPr>
            <a:solidFill>
              <a:schemeClr val="accent4">
                <a:lumMod val="75000"/>
              </a:schemeClr>
            </a:solidFill>
            <a:ln>
              <a:noFill/>
            </a:ln>
            <a:effectLst/>
          </c:spPr>
          <c:invertIfNegative val="0"/>
          <c:cat>
            <c:numRef>
              <c:f>'Results ReCiPe (H) - CC'!$AC$273:$BA$273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CC'!$AC$274:$BA$274</c:f>
              <c:numCache>
                <c:formatCode>0.00E+00</c:formatCode>
                <c:ptCount val="25"/>
                <c:pt idx="0">
                  <c:v>34126.372886235426</c:v>
                </c:pt>
              </c:numCache>
            </c:numRef>
          </c:val>
          <c:extLst>
            <c:ext xmlns:c16="http://schemas.microsoft.com/office/drawing/2014/chart" uri="{C3380CC4-5D6E-409C-BE32-E72D297353CC}">
              <c16:uniqueId val="{00000000-15A8-4C8A-A0AF-2E22627591C2}"/>
            </c:ext>
          </c:extLst>
        </c:ser>
        <c:ser>
          <c:idx val="1"/>
          <c:order val="1"/>
          <c:tx>
            <c:strRef>
              <c:f>'Results ReCiPe (H) - CC'!$AB$275</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(H) - CC'!$AC$273:$BA$273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CC'!$AC$275:$BA$275</c:f>
              <c:numCache>
                <c:formatCode>0.00E+00</c:formatCode>
                <c:ptCount val="25"/>
                <c:pt idx="0">
                  <c:v>1240.5281792010687</c:v>
                </c:pt>
              </c:numCache>
            </c:numRef>
          </c:val>
          <c:extLst>
            <c:ext xmlns:c16="http://schemas.microsoft.com/office/drawing/2014/chart" uri="{C3380CC4-5D6E-409C-BE32-E72D297353CC}">
              <c16:uniqueId val="{00000001-15A8-4C8A-A0AF-2E22627591C2}"/>
            </c:ext>
          </c:extLst>
        </c:ser>
        <c:ser>
          <c:idx val="2"/>
          <c:order val="2"/>
          <c:tx>
            <c:strRef>
              <c:f>'Results ReCiPe (H) - CC'!$AB$276</c:f>
              <c:strCache>
                <c:ptCount val="1"/>
                <c:pt idx="0">
                  <c:v>Deconstruction - DAC</c:v>
                </c:pt>
              </c:strCache>
            </c:strRef>
          </c:tx>
          <c:spPr>
            <a:solidFill>
              <a:schemeClr val="accent2">
                <a:lumMod val="40000"/>
                <a:lumOff val="60000"/>
              </a:schemeClr>
            </a:solidFill>
            <a:ln>
              <a:noFill/>
            </a:ln>
            <a:effectLst/>
          </c:spPr>
          <c:invertIfNegative val="0"/>
          <c:cat>
            <c:numRef>
              <c:f>'Results ReCiPe (H) - CC'!$AC$273:$BA$273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CC'!$AC$276:$BA$276</c:f>
              <c:numCache>
                <c:formatCode>0.00E+00</c:formatCode>
                <c:ptCount val="25"/>
                <c:pt idx="24">
                  <c:v>691.18373370688425</c:v>
                </c:pt>
              </c:numCache>
            </c:numRef>
          </c:val>
          <c:extLst>
            <c:ext xmlns:c16="http://schemas.microsoft.com/office/drawing/2014/chart" uri="{C3380CC4-5D6E-409C-BE32-E72D297353CC}">
              <c16:uniqueId val="{00000002-15A8-4C8A-A0AF-2E22627591C2}"/>
            </c:ext>
          </c:extLst>
        </c:ser>
        <c:ser>
          <c:idx val="3"/>
          <c:order val="3"/>
          <c:tx>
            <c:strRef>
              <c:f>'Results ReCiPe (H) - CC'!$AB$277</c:f>
              <c:strCache>
                <c:ptCount val="1"/>
                <c:pt idx="0">
                  <c:v>Deconstruction - geological storage</c:v>
                </c:pt>
              </c:strCache>
            </c:strRef>
          </c:tx>
          <c:spPr>
            <a:solidFill>
              <a:srgbClr val="FF9900"/>
            </a:solidFill>
            <a:ln>
              <a:noFill/>
            </a:ln>
            <a:effectLst/>
          </c:spPr>
          <c:invertIfNegative val="0"/>
          <c:cat>
            <c:numRef>
              <c:f>'Results ReCiPe (H) - CC'!$AC$273:$BA$273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CC'!$AC$277:$BA$277</c:f>
              <c:numCache>
                <c:formatCode>0.00E+00</c:formatCode>
                <c:ptCount val="25"/>
                <c:pt idx="24">
                  <c:v>11.247260456048089</c:v>
                </c:pt>
              </c:numCache>
            </c:numRef>
          </c:val>
          <c:extLst>
            <c:ext xmlns:c16="http://schemas.microsoft.com/office/drawing/2014/chart" uri="{C3380CC4-5D6E-409C-BE32-E72D297353CC}">
              <c16:uniqueId val="{00000003-15A8-4C8A-A0AF-2E22627591C2}"/>
            </c:ext>
          </c:extLst>
        </c:ser>
        <c:ser>
          <c:idx val="4"/>
          <c:order val="4"/>
          <c:tx>
            <c:strRef>
              <c:f>'Results ReCiPe (H) - CC'!$AB$278</c:f>
              <c:strCache>
                <c:ptCount val="1"/>
                <c:pt idx="0">
                  <c:v>Sorbent material</c:v>
                </c:pt>
              </c:strCache>
            </c:strRef>
          </c:tx>
          <c:spPr>
            <a:solidFill>
              <a:srgbClr val="FF8F8F"/>
            </a:solidFill>
            <a:ln>
              <a:noFill/>
            </a:ln>
            <a:effectLst/>
          </c:spPr>
          <c:invertIfNegative val="0"/>
          <c:cat>
            <c:numRef>
              <c:f>'Results ReCiPe (H) - CC'!$AC$273:$BA$273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CC'!$AC$278:$BA$278</c:f>
              <c:numCache>
                <c:formatCode>0.00E+00</c:formatCode>
                <c:ptCount val="25"/>
                <c:pt idx="0">
                  <c:v>1186.4815932558031</c:v>
                </c:pt>
                <c:pt idx="3">
                  <c:v>1175.2724845293581</c:v>
                </c:pt>
                <c:pt idx="6">
                  <c:v>1172.0887619145631</c:v>
                </c:pt>
                <c:pt idx="9">
                  <c:v>1171.5419235181971</c:v>
                </c:pt>
                <c:pt idx="12">
                  <c:v>1176.0346869666</c:v>
                </c:pt>
                <c:pt idx="15">
                  <c:v>1180.8592879535349</c:v>
                </c:pt>
                <c:pt idx="18">
                  <c:v>1165.597336992987</c:v>
                </c:pt>
                <c:pt idx="21">
                  <c:v>1149.242533712596</c:v>
                </c:pt>
                <c:pt idx="24">
                  <c:v>1126.377758844686</c:v>
                </c:pt>
              </c:numCache>
            </c:numRef>
          </c:val>
          <c:extLst>
            <c:ext xmlns:c16="http://schemas.microsoft.com/office/drawing/2014/chart" uri="{C3380CC4-5D6E-409C-BE32-E72D297353CC}">
              <c16:uniqueId val="{00000004-15A8-4C8A-A0AF-2E22627591C2}"/>
            </c:ext>
          </c:extLst>
        </c:ser>
        <c:ser>
          <c:idx val="5"/>
          <c:order val="5"/>
          <c:tx>
            <c:strRef>
              <c:f>'Results ReCiPe (H) - CC'!$AB$279</c:f>
              <c:strCache>
                <c:ptCount val="1"/>
                <c:pt idx="0">
                  <c:v>Battery</c:v>
                </c:pt>
              </c:strCache>
            </c:strRef>
          </c:tx>
          <c:spPr>
            <a:solidFill>
              <a:schemeClr val="accent6">
                <a:lumMod val="50000"/>
              </a:schemeClr>
            </a:solidFill>
            <a:ln>
              <a:noFill/>
            </a:ln>
            <a:effectLst/>
          </c:spPr>
          <c:invertIfNegative val="0"/>
          <c:cat>
            <c:numRef>
              <c:f>'Results ReCiPe (H) - CC'!$AC$273:$BA$273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CC'!$AC$279:$BA$279</c:f>
              <c:numCache>
                <c:formatCode>0.00E+00</c:formatCode>
                <c:ptCount val="25"/>
                <c:pt idx="0">
                  <c:v>4515.9392966314808</c:v>
                </c:pt>
                <c:pt idx="1">
                  <c:v>4515.9392966314808</c:v>
                </c:pt>
                <c:pt idx="2">
                  <c:v>4515.9392966314808</c:v>
                </c:pt>
                <c:pt idx="3">
                  <c:v>4515.9392966314808</c:v>
                </c:pt>
                <c:pt idx="4">
                  <c:v>4515.9392966314808</c:v>
                </c:pt>
                <c:pt idx="5">
                  <c:v>4515.9392966314808</c:v>
                </c:pt>
                <c:pt idx="6">
                  <c:v>4515.9392966314808</c:v>
                </c:pt>
                <c:pt idx="7">
                  <c:v>4515.9392966314808</c:v>
                </c:pt>
                <c:pt idx="8">
                  <c:v>4515.9392966314808</c:v>
                </c:pt>
                <c:pt idx="9">
                  <c:v>4515.9392966314808</c:v>
                </c:pt>
                <c:pt idx="10">
                  <c:v>4515.9392966314808</c:v>
                </c:pt>
                <c:pt idx="11">
                  <c:v>4515.9392966314808</c:v>
                </c:pt>
                <c:pt idx="12">
                  <c:v>4515.9392966314808</c:v>
                </c:pt>
                <c:pt idx="13">
                  <c:v>4515.9392966314808</c:v>
                </c:pt>
                <c:pt idx="14">
                  <c:v>4515.9392966314808</c:v>
                </c:pt>
                <c:pt idx="15">
                  <c:v>4515.9392966314808</c:v>
                </c:pt>
                <c:pt idx="16">
                  <c:v>4515.9392966314808</c:v>
                </c:pt>
                <c:pt idx="17">
                  <c:v>4515.9392966314808</c:v>
                </c:pt>
                <c:pt idx="18">
                  <c:v>4515.9392966314808</c:v>
                </c:pt>
                <c:pt idx="19">
                  <c:v>4515.9392966314808</c:v>
                </c:pt>
                <c:pt idx="20">
                  <c:v>4515.9392966314808</c:v>
                </c:pt>
                <c:pt idx="21">
                  <c:v>4515.9392966314808</c:v>
                </c:pt>
                <c:pt idx="22">
                  <c:v>4515.9392966314808</c:v>
                </c:pt>
                <c:pt idx="23">
                  <c:v>4515.9392966314808</c:v>
                </c:pt>
                <c:pt idx="24">
                  <c:v>4515.9392966314808</c:v>
                </c:pt>
              </c:numCache>
            </c:numRef>
          </c:val>
          <c:extLst>
            <c:ext xmlns:c16="http://schemas.microsoft.com/office/drawing/2014/chart" uri="{C3380CC4-5D6E-409C-BE32-E72D297353CC}">
              <c16:uniqueId val="{00000005-15A8-4C8A-A0AF-2E22627591C2}"/>
            </c:ext>
          </c:extLst>
        </c:ser>
        <c:ser>
          <c:idx val="6"/>
          <c:order val="6"/>
          <c:tx>
            <c:strRef>
              <c:f>'Results ReCiPe (H) - CC'!$AB$280</c:f>
              <c:strCache>
                <c:ptCount val="1"/>
                <c:pt idx="0">
                  <c:v>Operation - DAC</c:v>
                </c:pt>
              </c:strCache>
            </c:strRef>
          </c:tx>
          <c:spPr>
            <a:solidFill>
              <a:schemeClr val="accent2">
                <a:lumMod val="75000"/>
              </a:schemeClr>
            </a:solidFill>
            <a:ln>
              <a:noFill/>
            </a:ln>
            <a:effectLst/>
          </c:spPr>
          <c:invertIfNegative val="0"/>
          <c:cat>
            <c:numRef>
              <c:f>'Results ReCiPe (H) - CC'!$AC$273:$BA$273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CC'!$AC$280:$BA$280</c:f>
              <c:numCache>
                <c:formatCode>0.00E+00</c:formatCode>
                <c:ptCount val="25"/>
                <c:pt idx="0">
                  <c:v>3688.2452017680725</c:v>
                </c:pt>
                <c:pt idx="1">
                  <c:v>3675.8205937827111</c:v>
                </c:pt>
                <c:pt idx="2">
                  <c:v>3663.8310480628961</c:v>
                </c:pt>
                <c:pt idx="3">
                  <c:v>3626.593906818468</c:v>
                </c:pt>
                <c:pt idx="4">
                  <c:v>3615.4772000801463</c:v>
                </c:pt>
                <c:pt idx="5">
                  <c:v>3604.6067784165925</c:v>
                </c:pt>
                <c:pt idx="6">
                  <c:v>3594.7608071511313</c:v>
                </c:pt>
                <c:pt idx="7">
                  <c:v>3585.9837734558346</c:v>
                </c:pt>
                <c:pt idx="8">
                  <c:v>3562.4173921213983</c:v>
                </c:pt>
                <c:pt idx="9">
                  <c:v>3555.5994251745328</c:v>
                </c:pt>
                <c:pt idx="10">
                  <c:v>3549.519813279031</c:v>
                </c:pt>
                <c:pt idx="11">
                  <c:v>3548.6130655427942</c:v>
                </c:pt>
                <c:pt idx="12">
                  <c:v>3548.535688171366</c:v>
                </c:pt>
                <c:pt idx="13">
                  <c:v>3546.0463840654647</c:v>
                </c:pt>
                <c:pt idx="14">
                  <c:v>3547.5016394068757</c:v>
                </c:pt>
                <c:pt idx="15">
                  <c:v>3550.0707945772447</c:v>
                </c:pt>
                <c:pt idx="16">
                  <c:v>3533.6910608556559</c:v>
                </c:pt>
                <c:pt idx="17">
                  <c:v>3517.3717389818739</c:v>
                </c:pt>
                <c:pt idx="18">
                  <c:v>3497.8489227098994</c:v>
                </c:pt>
                <c:pt idx="19">
                  <c:v>3481.573852388558</c:v>
                </c:pt>
                <c:pt idx="20">
                  <c:v>3465.2779136270888</c:v>
                </c:pt>
                <c:pt idx="21">
                  <c:v>3446.7871999109675</c:v>
                </c:pt>
                <c:pt idx="22">
                  <c:v>3422.8707819419415</c:v>
                </c:pt>
                <c:pt idx="23">
                  <c:v>3398.9424407258107</c:v>
                </c:pt>
                <c:pt idx="24">
                  <c:v>3374.994199095675</c:v>
                </c:pt>
              </c:numCache>
            </c:numRef>
          </c:val>
          <c:extLst>
            <c:ext xmlns:c16="http://schemas.microsoft.com/office/drawing/2014/chart" uri="{C3380CC4-5D6E-409C-BE32-E72D297353CC}">
              <c16:uniqueId val="{00000006-15A8-4C8A-A0AF-2E22627591C2}"/>
            </c:ext>
          </c:extLst>
        </c:ser>
        <c:ser>
          <c:idx val="7"/>
          <c:order val="7"/>
          <c:tx>
            <c:strRef>
              <c:f>'Results ReCiPe (H) - CC'!$AB$281</c:f>
              <c:strCache>
                <c:ptCount val="1"/>
                <c:pt idx="0">
                  <c:v>Operation - geological storage</c:v>
                </c:pt>
              </c:strCache>
            </c:strRef>
          </c:tx>
          <c:spPr>
            <a:solidFill>
              <a:schemeClr val="accent2">
                <a:lumMod val="50000"/>
              </a:schemeClr>
            </a:solidFill>
            <a:ln>
              <a:noFill/>
            </a:ln>
            <a:effectLst/>
          </c:spPr>
          <c:invertIfNegative val="0"/>
          <c:cat>
            <c:numRef>
              <c:f>'Results ReCiPe (H) - CC'!$AC$273:$BA$273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CC'!$AC$281:$BA$281</c:f>
              <c:numCache>
                <c:formatCode>0.00E+00</c:formatCode>
                <c:ptCount val="25"/>
                <c:pt idx="0">
                  <c:v>1471.896248348238</c:v>
                </c:pt>
                <c:pt idx="1">
                  <c:v>1468.5448595892985</c:v>
                </c:pt>
                <c:pt idx="2">
                  <c:v>1465.2042044414191</c:v>
                </c:pt>
                <c:pt idx="3">
                  <c:v>1460.510987675616</c:v>
                </c:pt>
                <c:pt idx="4">
                  <c:v>1457.194647723403</c:v>
                </c:pt>
                <c:pt idx="5">
                  <c:v>1453.8802398511245</c:v>
                </c:pt>
                <c:pt idx="6">
                  <c:v>1553.4373283153786</c:v>
                </c:pt>
                <c:pt idx="7">
                  <c:v>1652.4961712455206</c:v>
                </c:pt>
                <c:pt idx="8">
                  <c:v>1750.1748609984429</c:v>
                </c:pt>
                <c:pt idx="9">
                  <c:v>1848.3522463117997</c:v>
                </c:pt>
                <c:pt idx="10">
                  <c:v>1945.9315495611604</c:v>
                </c:pt>
                <c:pt idx="11">
                  <c:v>2120.0583737235752</c:v>
                </c:pt>
                <c:pt idx="12">
                  <c:v>2293.8418282989296</c:v>
                </c:pt>
                <c:pt idx="13">
                  <c:v>2467.1132985399518</c:v>
                </c:pt>
                <c:pt idx="14">
                  <c:v>2640.1974838496208</c:v>
                </c:pt>
                <c:pt idx="15">
                  <c:v>2812.9335726386535</c:v>
                </c:pt>
                <c:pt idx="16">
                  <c:v>2841.060723920466</c:v>
                </c:pt>
                <c:pt idx="17">
                  <c:v>2869.110997401182</c:v>
                </c:pt>
                <c:pt idx="18">
                  <c:v>2896.9354890139557</c:v>
                </c:pt>
                <c:pt idx="19">
                  <c:v>2924.8448332814214</c:v>
                </c:pt>
                <c:pt idx="20">
                  <c:v>2952.6857176708554</c:v>
                </c:pt>
                <c:pt idx="21">
                  <c:v>2927.6092195981596</c:v>
                </c:pt>
                <c:pt idx="22">
                  <c:v>2851.8001451449645</c:v>
                </c:pt>
                <c:pt idx="23">
                  <c:v>2776.0427852991716</c:v>
                </c:pt>
                <c:pt idx="24">
                  <c:v>2700.3353743988837</c:v>
                </c:pt>
              </c:numCache>
            </c:numRef>
          </c:val>
          <c:extLst>
            <c:ext xmlns:c16="http://schemas.microsoft.com/office/drawing/2014/chart" uri="{C3380CC4-5D6E-409C-BE32-E72D297353CC}">
              <c16:uniqueId val="{00000007-15A8-4C8A-A0AF-2E22627591C2}"/>
            </c:ext>
          </c:extLst>
        </c:ser>
        <c:ser>
          <c:idx val="8"/>
          <c:order val="8"/>
          <c:tx>
            <c:strRef>
              <c:f>'Results ReCiPe (H) - CC'!$AB$282</c:f>
              <c:strCache>
                <c:ptCount val="1"/>
                <c:pt idx="0">
                  <c:v>CO2 captured and stored</c:v>
                </c:pt>
              </c:strCache>
            </c:strRef>
          </c:tx>
          <c:spPr>
            <a:solidFill>
              <a:schemeClr val="tx2">
                <a:lumMod val="20000"/>
                <a:lumOff val="80000"/>
              </a:schemeClr>
            </a:solidFill>
            <a:ln>
              <a:noFill/>
            </a:ln>
            <a:effectLst/>
          </c:spPr>
          <c:invertIfNegative val="0"/>
          <c:cat>
            <c:numRef>
              <c:f>'Results ReCiPe (H) - CC'!$AC$273:$BA$273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CC'!$AC$282:$BA$282</c:f>
              <c:numCache>
                <c:formatCode>0.00E+00</c:formatCode>
                <c:ptCount val="25"/>
                <c:pt idx="0">
                  <c:v>-50000</c:v>
                </c:pt>
                <c:pt idx="1">
                  <c:v>-50000</c:v>
                </c:pt>
                <c:pt idx="2">
                  <c:v>-50000</c:v>
                </c:pt>
                <c:pt idx="3">
                  <c:v>-50000</c:v>
                </c:pt>
                <c:pt idx="4">
                  <c:v>-50000</c:v>
                </c:pt>
                <c:pt idx="5">
                  <c:v>-50000</c:v>
                </c:pt>
                <c:pt idx="6">
                  <c:v>-50000</c:v>
                </c:pt>
                <c:pt idx="7">
                  <c:v>-50000</c:v>
                </c:pt>
                <c:pt idx="8">
                  <c:v>-50000</c:v>
                </c:pt>
                <c:pt idx="9">
                  <c:v>-50000</c:v>
                </c:pt>
                <c:pt idx="10">
                  <c:v>-50000</c:v>
                </c:pt>
                <c:pt idx="11">
                  <c:v>-50000</c:v>
                </c:pt>
                <c:pt idx="12">
                  <c:v>-50000</c:v>
                </c:pt>
                <c:pt idx="13">
                  <c:v>-50000</c:v>
                </c:pt>
                <c:pt idx="14">
                  <c:v>-50000</c:v>
                </c:pt>
                <c:pt idx="15">
                  <c:v>-50000</c:v>
                </c:pt>
                <c:pt idx="16">
                  <c:v>-50000</c:v>
                </c:pt>
                <c:pt idx="17">
                  <c:v>-50000</c:v>
                </c:pt>
                <c:pt idx="18">
                  <c:v>-50000</c:v>
                </c:pt>
                <c:pt idx="19">
                  <c:v>-50000</c:v>
                </c:pt>
                <c:pt idx="20">
                  <c:v>-50000</c:v>
                </c:pt>
                <c:pt idx="21">
                  <c:v>-50000</c:v>
                </c:pt>
                <c:pt idx="22">
                  <c:v>-50000</c:v>
                </c:pt>
                <c:pt idx="23">
                  <c:v>-50000</c:v>
                </c:pt>
                <c:pt idx="24">
                  <c:v>-50000</c:v>
                </c:pt>
              </c:numCache>
            </c:numRef>
          </c:val>
          <c:extLst>
            <c:ext xmlns:c16="http://schemas.microsoft.com/office/drawing/2014/chart" uri="{C3380CC4-5D6E-409C-BE32-E72D297353CC}">
              <c16:uniqueId val="{00000008-15A8-4C8A-A0AF-2E22627591C2}"/>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(H) - CC'!$AB$283</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cat>
            <c:numRef>
              <c:f>'Results ReCiPe (H) - CC'!$AC$273:$BA$273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(H) - CC'!$AC$283:$BA$283</c:f>
              <c:numCache>
                <c:formatCode>0.00E+00</c:formatCode>
                <c:ptCount val="25"/>
                <c:pt idx="0">
                  <c:v>-3770.5365945599042</c:v>
                </c:pt>
                <c:pt idx="1">
                  <c:v>-40339.695249996512</c:v>
                </c:pt>
                <c:pt idx="2">
                  <c:v>-40355.025450864203</c:v>
                </c:pt>
                <c:pt idx="3">
                  <c:v>-39221.683324345075</c:v>
                </c:pt>
                <c:pt idx="4">
                  <c:v>-40411.388855564968</c:v>
                </c:pt>
                <c:pt idx="5">
                  <c:v>-40425.573685100804</c:v>
                </c:pt>
                <c:pt idx="6">
                  <c:v>-39163.773805987446</c:v>
                </c:pt>
                <c:pt idx="7">
                  <c:v>-40245.580758667165</c:v>
                </c:pt>
                <c:pt idx="8">
                  <c:v>-40171.468450248678</c:v>
                </c:pt>
                <c:pt idx="9">
                  <c:v>-38908.56710836399</c:v>
                </c:pt>
                <c:pt idx="10">
                  <c:v>-39988.609340528332</c:v>
                </c:pt>
                <c:pt idx="11">
                  <c:v>-39815.389264102152</c:v>
                </c:pt>
                <c:pt idx="12">
                  <c:v>-38465.648499931624</c:v>
                </c:pt>
                <c:pt idx="13">
                  <c:v>-39470.901020763107</c:v>
                </c:pt>
                <c:pt idx="14">
                  <c:v>-39296.361580112025</c:v>
                </c:pt>
                <c:pt idx="15">
                  <c:v>-37940.197048199087</c:v>
                </c:pt>
                <c:pt idx="16">
                  <c:v>-39109.308918592396</c:v>
                </c:pt>
                <c:pt idx="17">
                  <c:v>-39097.577966985467</c:v>
                </c:pt>
                <c:pt idx="18">
                  <c:v>-37923.678954651681</c:v>
                </c:pt>
                <c:pt idx="19">
                  <c:v>-39077.642017698541</c:v>
                </c:pt>
                <c:pt idx="20">
                  <c:v>-39066.097072070574</c:v>
                </c:pt>
                <c:pt idx="21">
                  <c:v>-37960.421750146794</c:v>
                </c:pt>
                <c:pt idx="22">
                  <c:v>-39209.389776281612</c:v>
                </c:pt>
                <c:pt idx="23">
                  <c:v>-39309.075477343533</c:v>
                </c:pt>
                <c:pt idx="24">
                  <c:v>-37579.922376866343</c:v>
                </c:pt>
              </c:numCache>
            </c:numRef>
          </c:val>
          <c:smooth val="0"/>
          <c:extLst>
            <c:ext xmlns:c16="http://schemas.microsoft.com/office/drawing/2014/chart" uri="{C3380CC4-5D6E-409C-BE32-E72D297353CC}">
              <c16:uniqueId val="{00000009-15A8-4C8A-A0AF-2E22627591C2}"/>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Climate change</a:t>
                </a:r>
              </a:p>
              <a:p>
                <a:pPr algn="ctr" rtl="0">
                  <a:defRPr/>
                </a:pPr>
                <a:r>
                  <a:rPr lang="nl-NL"/>
                  <a:t>[kg CO2-eq/ton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CC'!$AB$334</c:f>
              <c:strCache>
                <c:ptCount val="1"/>
                <c:pt idx="0">
                  <c:v>Construction - DAC</c:v>
                </c:pt>
              </c:strCache>
            </c:strRef>
          </c:tx>
          <c:spPr>
            <a:solidFill>
              <a:schemeClr val="accent4">
                <a:lumMod val="75000"/>
              </a:schemeClr>
            </a:solidFill>
            <a:ln>
              <a:noFill/>
            </a:ln>
            <a:effectLst/>
          </c:spPr>
          <c:invertIfNegative val="0"/>
          <c:val>
            <c:numRef>
              <c:f>'Results ReCiPe (H) - CC'!$AC$334:$BA$334</c:f>
              <c:numCache>
                <c:formatCode>0.00E+00</c:formatCode>
                <c:ptCount val="25"/>
                <c:pt idx="0">
                  <c:v>31378.879876764171</c:v>
                </c:pt>
              </c:numCache>
            </c:numRef>
          </c:val>
          <c:extLst>
            <c:ext xmlns:c15="http://schemas.microsoft.com/office/drawing/2012/chart" uri="{02D57815-91ED-43cb-92C2-25804820EDAC}">
              <c15:filteredCategoryTitle>
                <c15:cat>
                  <c:numRef>
                    <c:extLst>
                      <c:ext uri="{02D57815-91ED-43cb-92C2-25804820EDAC}">
                        <c15:formulaRef>
                          <c15:sqref>'Results ReCiPe (H) - CC'!$AC$333:$BA$333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0-C4E1-4916-B2EF-E21CCF580A60}"/>
            </c:ext>
          </c:extLst>
        </c:ser>
        <c:ser>
          <c:idx val="1"/>
          <c:order val="1"/>
          <c:tx>
            <c:strRef>
              <c:f>'Results ReCiPe (H) - CC'!$AB$335</c:f>
              <c:strCache>
                <c:ptCount val="1"/>
                <c:pt idx="0">
                  <c:v>Construction - geological storage</c:v>
                </c:pt>
              </c:strCache>
            </c:strRef>
          </c:tx>
          <c:spPr>
            <a:solidFill>
              <a:schemeClr val="accent4">
                <a:lumMod val="60000"/>
                <a:lumOff val="40000"/>
              </a:schemeClr>
            </a:solidFill>
            <a:ln>
              <a:noFill/>
            </a:ln>
            <a:effectLst/>
          </c:spPr>
          <c:invertIfNegative val="0"/>
          <c:val>
            <c:numRef>
              <c:f>'Results ReCiPe (H) - CC'!$AC$335:$BA$335</c:f>
              <c:numCache>
                <c:formatCode>0.00E+00</c:formatCode>
                <c:ptCount val="25"/>
                <c:pt idx="0">
                  <c:v>1160.6778619998327</c:v>
                </c:pt>
              </c:numCache>
            </c:numRef>
          </c:val>
          <c:extLst>
            <c:ext xmlns:c15="http://schemas.microsoft.com/office/drawing/2012/chart" uri="{02D57815-91ED-43cb-92C2-25804820EDAC}">
              <c15:filteredCategoryTitle>
                <c15:cat>
                  <c:numRef>
                    <c:extLst>
                      <c:ext uri="{02D57815-91ED-43cb-92C2-25804820EDAC}">
                        <c15:formulaRef>
                          <c15:sqref>'Results ReCiPe (H) - CC'!$AC$333:$BA$333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1-C4E1-4916-B2EF-E21CCF580A60}"/>
            </c:ext>
          </c:extLst>
        </c:ser>
        <c:ser>
          <c:idx val="2"/>
          <c:order val="2"/>
          <c:tx>
            <c:strRef>
              <c:f>'Results ReCiPe (H) - CC'!$AB$336</c:f>
              <c:strCache>
                <c:ptCount val="1"/>
                <c:pt idx="0">
                  <c:v>Deconstruction - DAC</c:v>
                </c:pt>
              </c:strCache>
            </c:strRef>
          </c:tx>
          <c:spPr>
            <a:solidFill>
              <a:schemeClr val="accent2">
                <a:lumMod val="40000"/>
                <a:lumOff val="60000"/>
              </a:schemeClr>
            </a:solidFill>
            <a:ln>
              <a:noFill/>
            </a:ln>
            <a:effectLst/>
          </c:spPr>
          <c:invertIfNegative val="0"/>
          <c:val>
            <c:numRef>
              <c:f>'Results ReCiPe (H) - CC'!$AC$336:$BA$336</c:f>
              <c:numCache>
                <c:formatCode>0.00E+00</c:formatCode>
                <c:ptCount val="25"/>
                <c:pt idx="24">
                  <c:v>578.38595176265494</c:v>
                </c:pt>
              </c:numCache>
            </c:numRef>
          </c:val>
          <c:extLst>
            <c:ext xmlns:c15="http://schemas.microsoft.com/office/drawing/2012/chart" uri="{02D57815-91ED-43cb-92C2-25804820EDAC}">
              <c15:filteredCategoryTitle>
                <c15:cat>
                  <c:numRef>
                    <c:extLst>
                      <c:ext uri="{02D57815-91ED-43cb-92C2-25804820EDAC}">
                        <c15:formulaRef>
                          <c15:sqref>'Results ReCiPe (H) - CC'!$AC$333:$BA$333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2-C4E1-4916-B2EF-E21CCF580A60}"/>
            </c:ext>
          </c:extLst>
        </c:ser>
        <c:ser>
          <c:idx val="3"/>
          <c:order val="3"/>
          <c:tx>
            <c:strRef>
              <c:f>'Results ReCiPe (H) - CC'!$AB$337</c:f>
              <c:strCache>
                <c:ptCount val="1"/>
                <c:pt idx="0">
                  <c:v>Deconstruction - geological storage</c:v>
                </c:pt>
              </c:strCache>
            </c:strRef>
          </c:tx>
          <c:spPr>
            <a:solidFill>
              <a:srgbClr val="FF9900"/>
            </a:solidFill>
            <a:ln>
              <a:noFill/>
            </a:ln>
            <a:effectLst/>
          </c:spPr>
          <c:invertIfNegative val="0"/>
          <c:val>
            <c:numRef>
              <c:f>'Results ReCiPe (H) - CC'!$AC$337:$BA$337</c:f>
              <c:numCache>
                <c:formatCode>0.00E+00</c:formatCode>
                <c:ptCount val="25"/>
                <c:pt idx="24">
                  <c:v>10.479499779531061</c:v>
                </c:pt>
              </c:numCache>
            </c:numRef>
          </c:val>
          <c:extLst>
            <c:ext xmlns:c15="http://schemas.microsoft.com/office/drawing/2012/chart" uri="{02D57815-91ED-43cb-92C2-25804820EDAC}">
              <c15:filteredCategoryTitle>
                <c15:cat>
                  <c:numRef>
                    <c:extLst>
                      <c:ext uri="{02D57815-91ED-43cb-92C2-25804820EDAC}">
                        <c15:formulaRef>
                          <c15:sqref>'Results ReCiPe (H) - CC'!$AC$333:$BA$333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3-C4E1-4916-B2EF-E21CCF580A60}"/>
            </c:ext>
          </c:extLst>
        </c:ser>
        <c:ser>
          <c:idx val="4"/>
          <c:order val="4"/>
          <c:tx>
            <c:strRef>
              <c:f>'Results ReCiPe (H) - CC'!$AB$338</c:f>
              <c:strCache>
                <c:ptCount val="1"/>
                <c:pt idx="0">
                  <c:v>Sorbent material</c:v>
                </c:pt>
              </c:strCache>
            </c:strRef>
          </c:tx>
          <c:spPr>
            <a:solidFill>
              <a:srgbClr val="FF8F8F"/>
            </a:solidFill>
            <a:ln>
              <a:noFill/>
            </a:ln>
            <a:effectLst/>
          </c:spPr>
          <c:invertIfNegative val="0"/>
          <c:val>
            <c:numRef>
              <c:f>'Results ReCiPe (H) - CC'!$AC$338:$BA$338</c:f>
              <c:numCache>
                <c:formatCode>0.00E+00</c:formatCode>
                <c:ptCount val="25"/>
                <c:pt idx="0">
                  <c:v>1148.3409729516229</c:v>
                </c:pt>
                <c:pt idx="3">
                  <c:v>1112.2182425813739</c:v>
                </c:pt>
                <c:pt idx="6">
                  <c:v>1076.9191461281321</c:v>
                </c:pt>
                <c:pt idx="9">
                  <c:v>1031.286216035297</c:v>
                </c:pt>
                <c:pt idx="12">
                  <c:v>977.44851845379105</c:v>
                </c:pt>
                <c:pt idx="15">
                  <c:v>917.987027187487</c:v>
                </c:pt>
                <c:pt idx="18">
                  <c:v>875.86379727760391</c:v>
                </c:pt>
                <c:pt idx="21">
                  <c:v>846.3879160889735</c:v>
                </c:pt>
                <c:pt idx="24">
                  <c:v>839.0363303143256</c:v>
                </c:pt>
              </c:numCache>
            </c:numRef>
          </c:val>
          <c:extLst>
            <c:ext xmlns:c15="http://schemas.microsoft.com/office/drawing/2012/chart" uri="{02D57815-91ED-43cb-92C2-25804820EDAC}">
              <c15:filteredCategoryTitle>
                <c15:cat>
                  <c:numRef>
                    <c:extLst>
                      <c:ext uri="{02D57815-91ED-43cb-92C2-25804820EDAC}">
                        <c15:formulaRef>
                          <c15:sqref>'Results ReCiPe (H) - CC'!$AC$333:$BA$333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4-C4E1-4916-B2EF-E21CCF580A60}"/>
            </c:ext>
          </c:extLst>
        </c:ser>
        <c:ser>
          <c:idx val="5"/>
          <c:order val="5"/>
          <c:tx>
            <c:strRef>
              <c:f>'Results ReCiPe (H) - CC'!$AB$339</c:f>
              <c:strCache>
                <c:ptCount val="1"/>
                <c:pt idx="0">
                  <c:v>Battery</c:v>
                </c:pt>
              </c:strCache>
            </c:strRef>
          </c:tx>
          <c:spPr>
            <a:solidFill>
              <a:schemeClr val="accent6">
                <a:lumMod val="50000"/>
              </a:schemeClr>
            </a:solidFill>
            <a:ln>
              <a:noFill/>
            </a:ln>
            <a:effectLst/>
          </c:spPr>
          <c:invertIfNegative val="0"/>
          <c:val>
            <c:numRef>
              <c:f>'Results ReCiPe (H) - CC'!$AC$339:$BA$339</c:f>
              <c:numCache>
                <c:formatCode>0.00E+00</c:formatCode>
                <c:ptCount val="25"/>
                <c:pt idx="0">
                  <c:v>4114.5057284244558</c:v>
                </c:pt>
                <c:pt idx="1">
                  <c:v>4114.5057284244558</c:v>
                </c:pt>
                <c:pt idx="2">
                  <c:v>4114.5057284244558</c:v>
                </c:pt>
                <c:pt idx="3">
                  <c:v>4114.5057284244558</c:v>
                </c:pt>
                <c:pt idx="4">
                  <c:v>4114.5057284244558</c:v>
                </c:pt>
                <c:pt idx="5">
                  <c:v>4114.5057284244558</c:v>
                </c:pt>
                <c:pt idx="6">
                  <c:v>4114.5057284244558</c:v>
                </c:pt>
                <c:pt idx="7">
                  <c:v>4114.5057284244558</c:v>
                </c:pt>
                <c:pt idx="8">
                  <c:v>4114.5057284244558</c:v>
                </c:pt>
                <c:pt idx="9">
                  <c:v>4114.5057284244558</c:v>
                </c:pt>
                <c:pt idx="10">
                  <c:v>4114.5057284244558</c:v>
                </c:pt>
                <c:pt idx="11">
                  <c:v>4114.5057284244558</c:v>
                </c:pt>
                <c:pt idx="12">
                  <c:v>4114.5057284244558</c:v>
                </c:pt>
                <c:pt idx="13">
                  <c:v>4114.5057284244558</c:v>
                </c:pt>
                <c:pt idx="14">
                  <c:v>4114.5057284244558</c:v>
                </c:pt>
                <c:pt idx="15">
                  <c:v>4114.5057284244558</c:v>
                </c:pt>
                <c:pt idx="16">
                  <c:v>4114.5057284244558</c:v>
                </c:pt>
                <c:pt idx="17">
                  <c:v>4114.5057284244558</c:v>
                </c:pt>
                <c:pt idx="18">
                  <c:v>4114.5057284244558</c:v>
                </c:pt>
                <c:pt idx="19">
                  <c:v>4114.5057284244558</c:v>
                </c:pt>
                <c:pt idx="20">
                  <c:v>4114.5057284244558</c:v>
                </c:pt>
                <c:pt idx="21">
                  <c:v>4114.5057284244558</c:v>
                </c:pt>
                <c:pt idx="22">
                  <c:v>4114.5057284244558</c:v>
                </c:pt>
                <c:pt idx="23">
                  <c:v>4114.5057284244558</c:v>
                </c:pt>
                <c:pt idx="24">
                  <c:v>4114.5057284244558</c:v>
                </c:pt>
              </c:numCache>
            </c:numRef>
          </c:val>
          <c:extLst>
            <c:ext xmlns:c15="http://schemas.microsoft.com/office/drawing/2012/chart" uri="{02D57815-91ED-43cb-92C2-25804820EDAC}">
              <c15:filteredCategoryTitle>
                <c15:cat>
                  <c:numRef>
                    <c:extLst>
                      <c:ext uri="{02D57815-91ED-43cb-92C2-25804820EDAC}">
                        <c15:formulaRef>
                          <c15:sqref>'Results ReCiPe (H) - CC'!$AC$333:$BA$333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5-C4E1-4916-B2EF-E21CCF580A60}"/>
            </c:ext>
          </c:extLst>
        </c:ser>
        <c:ser>
          <c:idx val="6"/>
          <c:order val="6"/>
          <c:tx>
            <c:strRef>
              <c:f>'Results ReCiPe (H) - CC'!$AB$340</c:f>
              <c:strCache>
                <c:ptCount val="1"/>
                <c:pt idx="0">
                  <c:v>Operation - DAC</c:v>
                </c:pt>
              </c:strCache>
            </c:strRef>
          </c:tx>
          <c:spPr>
            <a:solidFill>
              <a:schemeClr val="accent2">
                <a:lumMod val="75000"/>
              </a:schemeClr>
            </a:solidFill>
            <a:ln>
              <a:noFill/>
            </a:ln>
            <a:effectLst/>
          </c:spPr>
          <c:invertIfNegative val="0"/>
          <c:val>
            <c:numRef>
              <c:f>'Results ReCiPe (H) - CC'!$AC$340:$BA$340</c:f>
              <c:numCache>
                <c:formatCode>0.00E+00</c:formatCode>
                <c:ptCount val="25"/>
                <c:pt idx="0">
                  <c:v>3313.2534927617353</c:v>
                </c:pt>
                <c:pt idx="1">
                  <c:v>3239.2026947697987</c:v>
                </c:pt>
                <c:pt idx="2">
                  <c:v>3164.5240281555916</c:v>
                </c:pt>
                <c:pt idx="3">
                  <c:v>3064.341512418373</c:v>
                </c:pt>
                <c:pt idx="4">
                  <c:v>2988.6838258902621</c:v>
                </c:pt>
                <c:pt idx="5">
                  <c:v>2912.405223199416</c:v>
                </c:pt>
                <c:pt idx="6">
                  <c:v>2842.0069077299704</c:v>
                </c:pt>
                <c:pt idx="7">
                  <c:v>2777.195727888542</c:v>
                </c:pt>
                <c:pt idx="8">
                  <c:v>2699.7264849987537</c:v>
                </c:pt>
                <c:pt idx="9">
                  <c:v>2637.7492458362362</c:v>
                </c:pt>
                <c:pt idx="10">
                  <c:v>2575.4588627098487</c:v>
                </c:pt>
                <c:pt idx="11">
                  <c:v>2512.7013701418518</c:v>
                </c:pt>
                <c:pt idx="12">
                  <c:v>2450.7214607923779</c:v>
                </c:pt>
                <c:pt idx="13">
                  <c:v>2385.4975303762108</c:v>
                </c:pt>
                <c:pt idx="14">
                  <c:v>2325.1444141701259</c:v>
                </c:pt>
                <c:pt idx="15">
                  <c:v>2265.6454568774971</c:v>
                </c:pt>
                <c:pt idx="16">
                  <c:v>2223.2871447864327</c:v>
                </c:pt>
                <c:pt idx="17">
                  <c:v>2181.872516864637</c:v>
                </c:pt>
                <c:pt idx="18">
                  <c:v>2138.0676515326049</c:v>
                </c:pt>
                <c:pt idx="19">
                  <c:v>2098.8526181997881</c:v>
                </c:pt>
                <c:pt idx="20">
                  <c:v>2061.4120163942912</c:v>
                </c:pt>
                <c:pt idx="21">
                  <c:v>2053.4092350889641</c:v>
                </c:pt>
                <c:pt idx="22">
                  <c:v>2043.2361129798248</c:v>
                </c:pt>
                <c:pt idx="23">
                  <c:v>2033.1659809171524</c:v>
                </c:pt>
                <c:pt idx="24">
                  <c:v>2023.2055707318491</c:v>
                </c:pt>
              </c:numCache>
            </c:numRef>
          </c:val>
          <c:extLst>
            <c:ext xmlns:c15="http://schemas.microsoft.com/office/drawing/2012/chart" uri="{02D57815-91ED-43cb-92C2-25804820EDAC}">
              <c15:filteredCategoryTitle>
                <c15:cat>
                  <c:numRef>
                    <c:extLst>
                      <c:ext uri="{02D57815-91ED-43cb-92C2-25804820EDAC}">
                        <c15:formulaRef>
                          <c15:sqref>'Results ReCiPe (H) - CC'!$AC$333:$BA$333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6-C4E1-4916-B2EF-E21CCF580A60}"/>
            </c:ext>
          </c:extLst>
        </c:ser>
        <c:ser>
          <c:idx val="7"/>
          <c:order val="7"/>
          <c:tx>
            <c:strRef>
              <c:f>'Results ReCiPe (H) - CC'!$AB$341</c:f>
              <c:strCache>
                <c:ptCount val="1"/>
                <c:pt idx="0">
                  <c:v>Operation - geological storage</c:v>
                </c:pt>
              </c:strCache>
            </c:strRef>
          </c:tx>
          <c:spPr>
            <a:solidFill>
              <a:schemeClr val="accent2">
                <a:lumMod val="50000"/>
              </a:schemeClr>
            </a:solidFill>
            <a:ln>
              <a:noFill/>
            </a:ln>
            <a:effectLst/>
          </c:spPr>
          <c:invertIfNegative val="0"/>
          <c:val>
            <c:numRef>
              <c:f>'Results ReCiPe (H) - CC'!$AC$341:$BA$341</c:f>
              <c:numCache>
                <c:formatCode>0.00E+00</c:formatCode>
                <c:ptCount val="25"/>
                <c:pt idx="0">
                  <c:v>1271.48740546971</c:v>
                </c:pt>
                <c:pt idx="1">
                  <c:v>1188.0954111511176</c:v>
                </c:pt>
                <c:pt idx="2">
                  <c:v>1105.0991782406645</c:v>
                </c:pt>
                <c:pt idx="3">
                  <c:v>1021.0544787761174</c:v>
                </c:pt>
                <c:pt idx="4">
                  <c:v>938.82523876698554</c:v>
                </c:pt>
                <c:pt idx="5">
                  <c:v>856.96586433444554</c:v>
                </c:pt>
                <c:pt idx="6">
                  <c:v>792.07716970071203</c:v>
                </c:pt>
                <c:pt idx="7">
                  <c:v>727.44743232248595</c:v>
                </c:pt>
                <c:pt idx="8">
                  <c:v>661.89102194503005</c:v>
                </c:pt>
                <c:pt idx="9">
                  <c:v>597.59942637846405</c:v>
                </c:pt>
                <c:pt idx="10">
                  <c:v>533.44881220923253</c:v>
                </c:pt>
                <c:pt idx="11">
                  <c:v>481.79220259733421</c:v>
                </c:pt>
                <c:pt idx="12">
                  <c:v>429.95783748999764</c:v>
                </c:pt>
                <c:pt idx="13">
                  <c:v>377.70646478402637</c:v>
                </c:pt>
                <c:pt idx="14">
                  <c:v>325.52302105221389</c:v>
                </c:pt>
                <c:pt idx="15">
                  <c:v>273.16740196767915</c:v>
                </c:pt>
                <c:pt idx="16">
                  <c:v>244.69621278740027</c:v>
                </c:pt>
                <c:pt idx="17">
                  <c:v>216.14810617991037</c:v>
                </c:pt>
                <c:pt idx="18">
                  <c:v>187.3187862390472</c:v>
                </c:pt>
                <c:pt idx="19">
                  <c:v>158.622203026926</c:v>
                </c:pt>
                <c:pt idx="20">
                  <c:v>129.86146497011296</c:v>
                </c:pt>
                <c:pt idx="21">
                  <c:v>119.65002435371946</c:v>
                </c:pt>
                <c:pt idx="22">
                  <c:v>108.60063285961239</c:v>
                </c:pt>
                <c:pt idx="23">
                  <c:v>97.548580118090996</c:v>
                </c:pt>
                <c:pt idx="24">
                  <c:v>86.492902419866098</c:v>
                </c:pt>
              </c:numCache>
            </c:numRef>
          </c:val>
          <c:extLst>
            <c:ext xmlns:c15="http://schemas.microsoft.com/office/drawing/2012/chart" uri="{02D57815-91ED-43cb-92C2-25804820EDAC}">
              <c15:filteredCategoryTitle>
                <c15:cat>
                  <c:numRef>
                    <c:extLst>
                      <c:ext uri="{02D57815-91ED-43cb-92C2-25804820EDAC}">
                        <c15:formulaRef>
                          <c15:sqref>'Results ReCiPe (H) - CC'!$AC$333:$BA$333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7-C4E1-4916-B2EF-E21CCF580A60}"/>
            </c:ext>
          </c:extLst>
        </c:ser>
        <c:ser>
          <c:idx val="8"/>
          <c:order val="8"/>
          <c:tx>
            <c:strRef>
              <c:f>'Results ReCiPe (H) - CC'!$AB$342</c:f>
              <c:strCache>
                <c:ptCount val="1"/>
                <c:pt idx="0">
                  <c:v>CO2 captured and stored</c:v>
                </c:pt>
              </c:strCache>
            </c:strRef>
          </c:tx>
          <c:spPr>
            <a:solidFill>
              <a:schemeClr val="tx2">
                <a:lumMod val="20000"/>
                <a:lumOff val="80000"/>
              </a:schemeClr>
            </a:solidFill>
            <a:ln>
              <a:noFill/>
            </a:ln>
            <a:effectLst/>
          </c:spPr>
          <c:invertIfNegative val="0"/>
          <c:val>
            <c:numRef>
              <c:f>'Results ReCiPe (H) - CC'!$AC$342:$BA$342</c:f>
              <c:numCache>
                <c:formatCode>0.00E+00</c:formatCode>
                <c:ptCount val="25"/>
                <c:pt idx="0">
                  <c:v>-50000</c:v>
                </c:pt>
                <c:pt idx="1">
                  <c:v>-50000</c:v>
                </c:pt>
                <c:pt idx="2">
                  <c:v>-50000</c:v>
                </c:pt>
                <c:pt idx="3">
                  <c:v>-50000</c:v>
                </c:pt>
                <c:pt idx="4">
                  <c:v>-50000</c:v>
                </c:pt>
                <c:pt idx="5">
                  <c:v>-50000</c:v>
                </c:pt>
                <c:pt idx="6">
                  <c:v>-50000</c:v>
                </c:pt>
                <c:pt idx="7">
                  <c:v>-50000</c:v>
                </c:pt>
                <c:pt idx="8">
                  <c:v>-50000</c:v>
                </c:pt>
                <c:pt idx="9">
                  <c:v>-50000</c:v>
                </c:pt>
                <c:pt idx="10">
                  <c:v>-50000</c:v>
                </c:pt>
                <c:pt idx="11">
                  <c:v>-50000</c:v>
                </c:pt>
                <c:pt idx="12">
                  <c:v>-50000</c:v>
                </c:pt>
                <c:pt idx="13">
                  <c:v>-50000</c:v>
                </c:pt>
                <c:pt idx="14">
                  <c:v>-50000</c:v>
                </c:pt>
                <c:pt idx="15">
                  <c:v>-50000</c:v>
                </c:pt>
                <c:pt idx="16">
                  <c:v>-50000</c:v>
                </c:pt>
                <c:pt idx="17">
                  <c:v>-50000</c:v>
                </c:pt>
                <c:pt idx="18">
                  <c:v>-50000</c:v>
                </c:pt>
                <c:pt idx="19">
                  <c:v>-50000</c:v>
                </c:pt>
                <c:pt idx="20">
                  <c:v>-50000</c:v>
                </c:pt>
                <c:pt idx="21">
                  <c:v>-50000</c:v>
                </c:pt>
                <c:pt idx="22">
                  <c:v>-50000</c:v>
                </c:pt>
                <c:pt idx="23">
                  <c:v>-50000</c:v>
                </c:pt>
                <c:pt idx="24">
                  <c:v>-50000</c:v>
                </c:pt>
              </c:numCache>
            </c:numRef>
          </c:val>
          <c:extLst>
            <c:ext xmlns:c15="http://schemas.microsoft.com/office/drawing/2012/chart" uri="{02D57815-91ED-43cb-92C2-25804820EDAC}">
              <c15:filteredCategoryTitle>
                <c15:cat>
                  <c:numRef>
                    <c:extLst>
                      <c:ext uri="{02D57815-91ED-43cb-92C2-25804820EDAC}">
                        <c15:formulaRef>
                          <c15:sqref>'Results ReCiPe (H) - CC'!$AC$333:$BA$333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8-C4E1-4916-B2EF-E21CCF580A60}"/>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(H) - CC'!$AB$343</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val>
            <c:numRef>
              <c:f>'Results ReCiPe (H) - CC'!$AC$343:$BA$343</c:f>
              <c:numCache>
                <c:formatCode>0.00E+00</c:formatCode>
                <c:ptCount val="25"/>
                <c:pt idx="0">
                  <c:v>-7612.854661628473</c:v>
                </c:pt>
                <c:pt idx="1">
                  <c:v>-41458.196165654626</c:v>
                </c:pt>
                <c:pt idx="2">
                  <c:v>-41615.871065179286</c:v>
                </c:pt>
                <c:pt idx="3">
                  <c:v>-40687.880037799681</c:v>
                </c:pt>
                <c:pt idx="4">
                  <c:v>-41957.985206918296</c:v>
                </c:pt>
                <c:pt idx="5">
                  <c:v>-42116.12318404168</c:v>
                </c:pt>
                <c:pt idx="6">
                  <c:v>-41174.491048016731</c:v>
                </c:pt>
                <c:pt idx="7">
                  <c:v>-42380.851111364515</c:v>
                </c:pt>
                <c:pt idx="8">
                  <c:v>-42523.876764631757</c:v>
                </c:pt>
                <c:pt idx="9">
                  <c:v>-41618.859383325544</c:v>
                </c:pt>
                <c:pt idx="10">
                  <c:v>-42776.58659665646</c:v>
                </c:pt>
                <c:pt idx="11">
                  <c:v>-42891.00069883636</c:v>
                </c:pt>
                <c:pt idx="12">
                  <c:v>-42027.366454839379</c:v>
                </c:pt>
                <c:pt idx="13">
                  <c:v>-43122.290276415304</c:v>
                </c:pt>
                <c:pt idx="14">
                  <c:v>-43234.826836353204</c:v>
                </c:pt>
                <c:pt idx="15">
                  <c:v>-42428.694385542884</c:v>
                </c:pt>
                <c:pt idx="16">
                  <c:v>-43417.510914001708</c:v>
                </c:pt>
                <c:pt idx="17">
                  <c:v>-43487.473648530999</c:v>
                </c:pt>
                <c:pt idx="18">
                  <c:v>-42684.244036526288</c:v>
                </c:pt>
                <c:pt idx="19">
                  <c:v>-43628.019450348831</c:v>
                </c:pt>
                <c:pt idx="20">
                  <c:v>-43694.22079021114</c:v>
                </c:pt>
                <c:pt idx="21">
                  <c:v>-42866.047096043883</c:v>
                </c:pt>
                <c:pt idx="22">
                  <c:v>-43733.657525736111</c:v>
                </c:pt>
                <c:pt idx="23">
                  <c:v>-43754.779710540301</c:v>
                </c:pt>
                <c:pt idx="24">
                  <c:v>-42347.894016567319</c:v>
                </c:pt>
              </c:numCache>
            </c:numRef>
          </c:val>
          <c:smooth val="0"/>
          <c:extLst>
            <c:ext xmlns:c15="http://schemas.microsoft.com/office/drawing/2012/chart" uri="{02D57815-91ED-43cb-92C2-25804820EDAC}">
              <c15:filteredCategoryTitle>
                <c15:cat>
                  <c:numRef>
                    <c:extLst>
                      <c:ext uri="{02D57815-91ED-43cb-92C2-25804820EDAC}">
                        <c15:formulaRef>
                          <c15:sqref>'Results ReCiPe (H) - CC'!$AC$333:$BA$333</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9-C4E1-4916-B2EF-E21CCF580A60}"/>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nl-NL"/>
                  <a:t>years</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NL"/>
            </a:p>
          </c:txPr>
        </c:title>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Climate change</a:t>
                </a:r>
              </a:p>
              <a:p>
                <a:pPr algn="ctr" rtl="0">
                  <a:defRPr/>
                </a:pPr>
                <a:r>
                  <a:rPr lang="nl-NL"/>
                  <a:t>[kg CO2-eq/ton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(H) - CC'!$AB$395</c:f>
              <c:strCache>
                <c:ptCount val="1"/>
                <c:pt idx="0">
                  <c:v>Construction - DAC</c:v>
                </c:pt>
              </c:strCache>
            </c:strRef>
          </c:tx>
          <c:spPr>
            <a:solidFill>
              <a:schemeClr val="accent4">
                <a:lumMod val="75000"/>
              </a:schemeClr>
            </a:solidFill>
            <a:ln>
              <a:noFill/>
            </a:ln>
            <a:effectLst/>
          </c:spPr>
          <c:invertIfNegative val="0"/>
          <c:val>
            <c:numRef>
              <c:f>'Results ReCiPe (H) - CC'!$AC$395:$BA$395</c:f>
              <c:numCache>
                <c:formatCode>0.00E+00</c:formatCode>
                <c:ptCount val="25"/>
                <c:pt idx="0">
                  <c:v>23659.708947237723</c:v>
                </c:pt>
              </c:numCache>
            </c:numRef>
          </c:val>
          <c:extLst>
            <c:ext xmlns:c15="http://schemas.microsoft.com/office/drawing/2012/chart" uri="{02D57815-91ED-43cb-92C2-25804820EDAC}">
              <c15:filteredCategoryTitle>
                <c15:cat>
                  <c:numRef>
                    <c:extLst>
                      <c:ext uri="{02D57815-91ED-43cb-92C2-25804820EDAC}">
                        <c15:formulaRef>
                          <c15:sqref>'Results ReCiPe (H) - CC'!$AC$394:$BA$394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0-08F9-4407-BA34-F24151BA11C2}"/>
            </c:ext>
          </c:extLst>
        </c:ser>
        <c:ser>
          <c:idx val="1"/>
          <c:order val="1"/>
          <c:tx>
            <c:strRef>
              <c:f>'Results ReCiPe (H) - CC'!$AB$396</c:f>
              <c:strCache>
                <c:ptCount val="1"/>
                <c:pt idx="0">
                  <c:v>Construction - geological storage</c:v>
                </c:pt>
              </c:strCache>
            </c:strRef>
          </c:tx>
          <c:spPr>
            <a:solidFill>
              <a:schemeClr val="accent4">
                <a:lumMod val="60000"/>
                <a:lumOff val="40000"/>
              </a:schemeClr>
            </a:solidFill>
            <a:ln>
              <a:noFill/>
            </a:ln>
            <a:effectLst/>
          </c:spPr>
          <c:invertIfNegative val="0"/>
          <c:val>
            <c:numRef>
              <c:f>'Results ReCiPe (H) - CC'!$AC$396:$BA$396</c:f>
              <c:numCache>
                <c:formatCode>0.00E+00</c:formatCode>
                <c:ptCount val="25"/>
                <c:pt idx="0">
                  <c:v>1015.3078222151452</c:v>
                </c:pt>
              </c:numCache>
            </c:numRef>
          </c:val>
          <c:extLst>
            <c:ext xmlns:c15="http://schemas.microsoft.com/office/drawing/2012/chart" uri="{02D57815-91ED-43cb-92C2-25804820EDAC}">
              <c15:filteredCategoryTitle>
                <c15:cat>
                  <c:numRef>
                    <c:extLst>
                      <c:ext uri="{02D57815-91ED-43cb-92C2-25804820EDAC}">
                        <c15:formulaRef>
                          <c15:sqref>'Results ReCiPe (H) - CC'!$AC$394:$BA$394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1-08F9-4407-BA34-F24151BA11C2}"/>
            </c:ext>
          </c:extLst>
        </c:ser>
        <c:ser>
          <c:idx val="2"/>
          <c:order val="2"/>
          <c:tx>
            <c:strRef>
              <c:f>'Results ReCiPe (H) - CC'!$AB$397</c:f>
              <c:strCache>
                <c:ptCount val="1"/>
                <c:pt idx="0">
                  <c:v>Deconstruction - DAC</c:v>
                </c:pt>
              </c:strCache>
            </c:strRef>
          </c:tx>
          <c:spPr>
            <a:solidFill>
              <a:schemeClr val="accent2">
                <a:lumMod val="40000"/>
                <a:lumOff val="60000"/>
              </a:schemeClr>
            </a:solidFill>
            <a:ln>
              <a:noFill/>
            </a:ln>
            <a:effectLst/>
          </c:spPr>
          <c:invertIfNegative val="0"/>
          <c:val>
            <c:numRef>
              <c:f>'Results ReCiPe (H) - CC'!$AC$397:$BA$397</c:f>
              <c:numCache>
                <c:formatCode>0.00E+00</c:formatCode>
                <c:ptCount val="25"/>
                <c:pt idx="24">
                  <c:v>506.10170544819584</c:v>
                </c:pt>
              </c:numCache>
            </c:numRef>
          </c:val>
          <c:extLst>
            <c:ext xmlns:c15="http://schemas.microsoft.com/office/drawing/2012/chart" uri="{02D57815-91ED-43cb-92C2-25804820EDAC}">
              <c15:filteredCategoryTitle>
                <c15:cat>
                  <c:numRef>
                    <c:extLst>
                      <c:ext uri="{02D57815-91ED-43cb-92C2-25804820EDAC}">
                        <c15:formulaRef>
                          <c15:sqref>'Results ReCiPe (H) - CC'!$AC$394:$BA$394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2-08F9-4407-BA34-F24151BA11C2}"/>
            </c:ext>
          </c:extLst>
        </c:ser>
        <c:ser>
          <c:idx val="3"/>
          <c:order val="3"/>
          <c:tx>
            <c:strRef>
              <c:f>'Results ReCiPe (H) - CC'!$AB$398</c:f>
              <c:strCache>
                <c:ptCount val="1"/>
                <c:pt idx="0">
                  <c:v>Deconstruction - geological storage</c:v>
                </c:pt>
              </c:strCache>
            </c:strRef>
          </c:tx>
          <c:spPr>
            <a:solidFill>
              <a:srgbClr val="FF9900"/>
            </a:solidFill>
            <a:ln>
              <a:noFill/>
            </a:ln>
            <a:effectLst/>
          </c:spPr>
          <c:invertIfNegative val="0"/>
          <c:val>
            <c:numRef>
              <c:f>'Results ReCiPe (H) - CC'!$AC$398:$BA$398</c:f>
              <c:numCache>
                <c:formatCode>0.00E+00</c:formatCode>
                <c:ptCount val="25"/>
                <c:pt idx="24">
                  <c:v>9.8550188016235367</c:v>
                </c:pt>
              </c:numCache>
            </c:numRef>
          </c:val>
          <c:extLst>
            <c:ext xmlns:c15="http://schemas.microsoft.com/office/drawing/2012/chart" uri="{02D57815-91ED-43cb-92C2-25804820EDAC}">
              <c15:filteredCategoryTitle>
                <c15:cat>
                  <c:numRef>
                    <c:extLst>
                      <c:ext uri="{02D57815-91ED-43cb-92C2-25804820EDAC}">
                        <c15:formulaRef>
                          <c15:sqref>'Results ReCiPe (H) - CC'!$AC$394:$BA$394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3-08F9-4407-BA34-F24151BA11C2}"/>
            </c:ext>
          </c:extLst>
        </c:ser>
        <c:ser>
          <c:idx val="4"/>
          <c:order val="4"/>
          <c:tx>
            <c:strRef>
              <c:f>'Results ReCiPe (H) - CC'!$AB$399</c:f>
              <c:strCache>
                <c:ptCount val="1"/>
                <c:pt idx="0">
                  <c:v>Sorbent material</c:v>
                </c:pt>
              </c:strCache>
            </c:strRef>
          </c:tx>
          <c:spPr>
            <a:solidFill>
              <a:srgbClr val="FF8F8F"/>
            </a:solidFill>
            <a:ln>
              <a:noFill/>
            </a:ln>
            <a:effectLst/>
          </c:spPr>
          <c:invertIfNegative val="0"/>
          <c:val>
            <c:numRef>
              <c:f>'Results ReCiPe (H) - CC'!$AC$399:$BA$399</c:f>
              <c:numCache>
                <c:formatCode>0.00E+00</c:formatCode>
                <c:ptCount val="25"/>
                <c:pt idx="0">
                  <c:v>960.18627888201729</c:v>
                </c:pt>
                <c:pt idx="3">
                  <c:v>894.9053469828998</c:v>
                </c:pt>
                <c:pt idx="6">
                  <c:v>847.74542197239737</c:v>
                </c:pt>
                <c:pt idx="9">
                  <c:v>829.74040861154253</c:v>
                </c:pt>
                <c:pt idx="12">
                  <c:v>821.41329377436136</c:v>
                </c:pt>
                <c:pt idx="15">
                  <c:v>815.75248373031479</c:v>
                </c:pt>
                <c:pt idx="18">
                  <c:v>808.99669973300752</c:v>
                </c:pt>
                <c:pt idx="21">
                  <c:v>803.6131276705886</c:v>
                </c:pt>
                <c:pt idx="24">
                  <c:v>799.02195316520056</c:v>
                </c:pt>
              </c:numCache>
            </c:numRef>
          </c:val>
          <c:extLst>
            <c:ext xmlns:c15="http://schemas.microsoft.com/office/drawing/2012/chart" uri="{02D57815-91ED-43cb-92C2-25804820EDAC}">
              <c15:filteredCategoryTitle>
                <c15:cat>
                  <c:numRef>
                    <c:extLst>
                      <c:ext uri="{02D57815-91ED-43cb-92C2-25804820EDAC}">
                        <c15:formulaRef>
                          <c15:sqref>'Results ReCiPe (H) - CC'!$AC$394:$BA$394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4-08F9-4407-BA34-F24151BA11C2}"/>
            </c:ext>
          </c:extLst>
        </c:ser>
        <c:ser>
          <c:idx val="5"/>
          <c:order val="5"/>
          <c:tx>
            <c:strRef>
              <c:f>'Results ReCiPe (H) - CC'!$AB$400</c:f>
              <c:strCache>
                <c:ptCount val="1"/>
                <c:pt idx="0">
                  <c:v>Battery</c:v>
                </c:pt>
              </c:strCache>
            </c:strRef>
          </c:tx>
          <c:spPr>
            <a:solidFill>
              <a:schemeClr val="accent6">
                <a:lumMod val="50000"/>
              </a:schemeClr>
            </a:solidFill>
            <a:ln>
              <a:noFill/>
            </a:ln>
            <a:effectLst/>
          </c:spPr>
          <c:invertIfNegative val="0"/>
          <c:val>
            <c:numRef>
              <c:f>'Results ReCiPe (H) - CC'!$AC$400:$BA$400</c:f>
              <c:numCache>
                <c:formatCode>0.00E+00</c:formatCode>
                <c:ptCount val="25"/>
                <c:pt idx="0">
                  <c:v>2748.4212418876773</c:v>
                </c:pt>
                <c:pt idx="1">
                  <c:v>2748.4212418876773</c:v>
                </c:pt>
                <c:pt idx="2">
                  <c:v>2748.4212418876773</c:v>
                </c:pt>
                <c:pt idx="3">
                  <c:v>2748.4212418876773</c:v>
                </c:pt>
                <c:pt idx="4">
                  <c:v>2748.4212418876773</c:v>
                </c:pt>
                <c:pt idx="5">
                  <c:v>2748.4212418876773</c:v>
                </c:pt>
                <c:pt idx="6">
                  <c:v>2748.4212418876773</c:v>
                </c:pt>
                <c:pt idx="7">
                  <c:v>2748.4212418876773</c:v>
                </c:pt>
                <c:pt idx="8">
                  <c:v>2748.4212418876773</c:v>
                </c:pt>
                <c:pt idx="9">
                  <c:v>2748.4212418876773</c:v>
                </c:pt>
                <c:pt idx="10">
                  <c:v>2748.4212418876773</c:v>
                </c:pt>
                <c:pt idx="11">
                  <c:v>2748.4212418876773</c:v>
                </c:pt>
                <c:pt idx="12">
                  <c:v>2748.4212418876773</c:v>
                </c:pt>
                <c:pt idx="13">
                  <c:v>2748.4212418876773</c:v>
                </c:pt>
                <c:pt idx="14">
                  <c:v>2748.4212418876773</c:v>
                </c:pt>
                <c:pt idx="15">
                  <c:v>2748.4212418876773</c:v>
                </c:pt>
                <c:pt idx="16">
                  <c:v>2748.4212418876773</c:v>
                </c:pt>
                <c:pt idx="17">
                  <c:v>2748.4212418876773</c:v>
                </c:pt>
                <c:pt idx="18">
                  <c:v>2748.4212418876773</c:v>
                </c:pt>
                <c:pt idx="19">
                  <c:v>2748.4212418876773</c:v>
                </c:pt>
                <c:pt idx="20">
                  <c:v>2748.4212418876773</c:v>
                </c:pt>
                <c:pt idx="21">
                  <c:v>2748.4212418876773</c:v>
                </c:pt>
                <c:pt idx="22">
                  <c:v>2748.4212418876773</c:v>
                </c:pt>
                <c:pt idx="23">
                  <c:v>2748.4212418876773</c:v>
                </c:pt>
                <c:pt idx="24">
                  <c:v>2748.4212418876773</c:v>
                </c:pt>
              </c:numCache>
            </c:numRef>
          </c:val>
          <c:extLst>
            <c:ext xmlns:c15="http://schemas.microsoft.com/office/drawing/2012/chart" uri="{02D57815-91ED-43cb-92C2-25804820EDAC}">
              <c15:filteredCategoryTitle>
                <c15:cat>
                  <c:numRef>
                    <c:extLst>
                      <c:ext uri="{02D57815-91ED-43cb-92C2-25804820EDAC}">
                        <c15:formulaRef>
                          <c15:sqref>'Results ReCiPe (H) - CC'!$AC$394:$BA$394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5-08F9-4407-BA34-F24151BA11C2}"/>
            </c:ext>
          </c:extLst>
        </c:ser>
        <c:ser>
          <c:idx val="6"/>
          <c:order val="6"/>
          <c:tx>
            <c:strRef>
              <c:f>'Results ReCiPe (H) - CC'!$AB$401</c:f>
              <c:strCache>
                <c:ptCount val="1"/>
                <c:pt idx="0">
                  <c:v>Operation - DAC</c:v>
                </c:pt>
              </c:strCache>
            </c:strRef>
          </c:tx>
          <c:spPr>
            <a:solidFill>
              <a:schemeClr val="accent2">
                <a:lumMod val="75000"/>
              </a:schemeClr>
            </a:solidFill>
            <a:ln>
              <a:noFill/>
            </a:ln>
            <a:effectLst/>
          </c:spPr>
          <c:invertIfNegative val="0"/>
          <c:val>
            <c:numRef>
              <c:f>'Results ReCiPe (H) - CC'!$AC$401:$BA$401</c:f>
              <c:numCache>
                <c:formatCode>0.00E+00</c:formatCode>
                <c:ptCount val="25"/>
                <c:pt idx="0">
                  <c:v>2650.0793843002111</c:v>
                </c:pt>
                <c:pt idx="1">
                  <c:v>2541.6073626931889</c:v>
                </c:pt>
                <c:pt idx="2">
                  <c:v>2433.0071283679886</c:v>
                </c:pt>
                <c:pt idx="3">
                  <c:v>2300.6668687623819</c:v>
                </c:pt>
                <c:pt idx="4">
                  <c:v>2190.2202785139721</c:v>
                </c:pt>
                <c:pt idx="5">
                  <c:v>2079.4641618918836</c:v>
                </c:pt>
                <c:pt idx="6">
                  <c:v>2039.8273464279516</c:v>
                </c:pt>
                <c:pt idx="7">
                  <c:v>2000.6150725035884</c:v>
                </c:pt>
                <c:pt idx="8">
                  <c:v>1948.8507496717691</c:v>
                </c:pt>
                <c:pt idx="9">
                  <c:v>1910.6794202964779</c:v>
                </c:pt>
                <c:pt idx="10">
                  <c:v>1873.072372753915</c:v>
                </c:pt>
                <c:pt idx="11">
                  <c:v>1853.7417970471508</c:v>
                </c:pt>
                <c:pt idx="12">
                  <c:v>1834.896888825285</c:v>
                </c:pt>
                <c:pt idx="13">
                  <c:v>1813.0185761161483</c:v>
                </c:pt>
                <c:pt idx="14">
                  <c:v>1794.7734566282738</c:v>
                </c:pt>
                <c:pt idx="15">
                  <c:v>1776.73743982105</c:v>
                </c:pt>
                <c:pt idx="16">
                  <c:v>1761.4690216885651</c:v>
                </c:pt>
                <c:pt idx="17">
                  <c:v>1746.5052342453239</c:v>
                </c:pt>
                <c:pt idx="18">
                  <c:v>1729.3772380843191</c:v>
                </c:pt>
                <c:pt idx="19">
                  <c:v>1714.9999937436305</c:v>
                </c:pt>
                <c:pt idx="20">
                  <c:v>1701.4844871720695</c:v>
                </c:pt>
                <c:pt idx="21">
                  <c:v>1695.2635433426133</c:v>
                </c:pt>
                <c:pt idx="22">
                  <c:v>1687.3846102100827</c:v>
                </c:pt>
                <c:pt idx="23">
                  <c:v>1679.6135338524884</c:v>
                </c:pt>
                <c:pt idx="24">
                  <c:v>1671.9487029706991</c:v>
                </c:pt>
              </c:numCache>
            </c:numRef>
          </c:val>
          <c:extLst>
            <c:ext xmlns:c15="http://schemas.microsoft.com/office/drawing/2012/chart" uri="{02D57815-91ED-43cb-92C2-25804820EDAC}">
              <c15:filteredCategoryTitle>
                <c15:cat>
                  <c:numRef>
                    <c:extLst>
                      <c:ext uri="{02D57815-91ED-43cb-92C2-25804820EDAC}">
                        <c15:formulaRef>
                          <c15:sqref>'Results ReCiPe (H) - CC'!$AC$394:$BA$394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6-08F9-4407-BA34-F24151BA11C2}"/>
            </c:ext>
          </c:extLst>
        </c:ser>
        <c:ser>
          <c:idx val="7"/>
          <c:order val="7"/>
          <c:tx>
            <c:strRef>
              <c:f>'Results ReCiPe (H) - CC'!$AB$402</c:f>
              <c:strCache>
                <c:ptCount val="1"/>
                <c:pt idx="0">
                  <c:v>Operation - geological storage</c:v>
                </c:pt>
              </c:strCache>
            </c:strRef>
          </c:tx>
          <c:spPr>
            <a:solidFill>
              <a:schemeClr val="accent2">
                <a:lumMod val="50000"/>
              </a:schemeClr>
            </a:solidFill>
            <a:ln>
              <a:noFill/>
            </a:ln>
            <a:effectLst/>
          </c:spPr>
          <c:invertIfNegative val="0"/>
          <c:val>
            <c:numRef>
              <c:f>'Results ReCiPe (H) - CC'!$AC$402:$BA$402</c:f>
              <c:numCache>
                <c:formatCode>0.00E+00</c:formatCode>
                <c:ptCount val="25"/>
                <c:pt idx="0">
                  <c:v>585.87680395062</c:v>
                </c:pt>
                <c:pt idx="1">
                  <c:v>492.75924162522199</c:v>
                </c:pt>
                <c:pt idx="2">
                  <c:v>400.15963061595522</c:v>
                </c:pt>
                <c:pt idx="3">
                  <c:v>306.51765374241279</c:v>
                </c:pt>
                <c:pt idx="4">
                  <c:v>214.82972207454304</c:v>
                </c:pt>
                <c:pt idx="5">
                  <c:v>123.59827258783356</c:v>
                </c:pt>
                <c:pt idx="6">
                  <c:v>101.8623015404301</c:v>
                </c:pt>
                <c:pt idx="7">
                  <c:v>80.102105598109091</c:v>
                </c:pt>
                <c:pt idx="8">
                  <c:v>57.008459627061406</c:v>
                </c:pt>
                <c:pt idx="9">
                  <c:v>35.164054494560148</c:v>
                </c:pt>
                <c:pt idx="10">
                  <c:v>13.293444682895961</c:v>
                </c:pt>
                <c:pt idx="11">
                  <c:v>2.3796236077036736</c:v>
                </c:pt>
                <c:pt idx="12">
                  <c:v>-8.5211331341604808</c:v>
                </c:pt>
                <c:pt idx="13">
                  <c:v>-19.65992249153053</c:v>
                </c:pt>
                <c:pt idx="14">
                  <c:v>-30.53245939494602</c:v>
                </c:pt>
                <c:pt idx="15">
                  <c:v>-41.398372946121711</c:v>
                </c:pt>
                <c:pt idx="16">
                  <c:v>-64.120201269456743</c:v>
                </c:pt>
                <c:pt idx="17">
                  <c:v>-86.87260001454014</c:v>
                </c:pt>
                <c:pt idx="18">
                  <c:v>-109.82995365592485</c:v>
                </c:pt>
                <c:pt idx="19">
                  <c:v>-132.62963158978636</c:v>
                </c:pt>
                <c:pt idx="20">
                  <c:v>-155.4448712434029</c:v>
                </c:pt>
                <c:pt idx="21">
                  <c:v>-174.80954784180764</c:v>
                </c:pt>
                <c:pt idx="22">
                  <c:v>-194.6837752064873</c:v>
                </c:pt>
                <c:pt idx="23">
                  <c:v>-214.55262775219305</c:v>
                </c:pt>
                <c:pt idx="24">
                  <c:v>-234.41687347701108</c:v>
                </c:pt>
              </c:numCache>
            </c:numRef>
          </c:val>
          <c:extLst>
            <c:ext xmlns:c15="http://schemas.microsoft.com/office/drawing/2012/chart" uri="{02D57815-91ED-43cb-92C2-25804820EDAC}">
              <c15:filteredCategoryTitle>
                <c15:cat>
                  <c:numRef>
                    <c:extLst>
                      <c:ext uri="{02D57815-91ED-43cb-92C2-25804820EDAC}">
                        <c15:formulaRef>
                          <c15:sqref>'Results ReCiPe (H) - CC'!$AC$394:$BA$394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7-08F9-4407-BA34-F24151BA11C2}"/>
            </c:ext>
          </c:extLst>
        </c:ser>
        <c:ser>
          <c:idx val="8"/>
          <c:order val="8"/>
          <c:tx>
            <c:strRef>
              <c:f>'Results ReCiPe (H) - CC'!$AB$403</c:f>
              <c:strCache>
                <c:ptCount val="1"/>
                <c:pt idx="0">
                  <c:v>CO2 captured and stored</c:v>
                </c:pt>
              </c:strCache>
            </c:strRef>
          </c:tx>
          <c:spPr>
            <a:solidFill>
              <a:schemeClr val="tx2">
                <a:lumMod val="20000"/>
                <a:lumOff val="80000"/>
              </a:schemeClr>
            </a:solidFill>
            <a:ln>
              <a:noFill/>
            </a:ln>
            <a:effectLst/>
          </c:spPr>
          <c:invertIfNegative val="0"/>
          <c:val>
            <c:numRef>
              <c:f>'Results ReCiPe (H) - CC'!$AC$403:$BA$403</c:f>
              <c:numCache>
                <c:formatCode>0.00E+00</c:formatCode>
                <c:ptCount val="25"/>
                <c:pt idx="0">
                  <c:v>-50000</c:v>
                </c:pt>
                <c:pt idx="1">
                  <c:v>-50000</c:v>
                </c:pt>
                <c:pt idx="2">
                  <c:v>-50000</c:v>
                </c:pt>
                <c:pt idx="3">
                  <c:v>-50000</c:v>
                </c:pt>
                <c:pt idx="4">
                  <c:v>-50000</c:v>
                </c:pt>
                <c:pt idx="5">
                  <c:v>-50000</c:v>
                </c:pt>
                <c:pt idx="6">
                  <c:v>-50000</c:v>
                </c:pt>
                <c:pt idx="7">
                  <c:v>-50000</c:v>
                </c:pt>
                <c:pt idx="8">
                  <c:v>-50000</c:v>
                </c:pt>
                <c:pt idx="9">
                  <c:v>-50000</c:v>
                </c:pt>
                <c:pt idx="10">
                  <c:v>-50000</c:v>
                </c:pt>
                <c:pt idx="11">
                  <c:v>-50000</c:v>
                </c:pt>
                <c:pt idx="12">
                  <c:v>-50000</c:v>
                </c:pt>
                <c:pt idx="13">
                  <c:v>-50000</c:v>
                </c:pt>
                <c:pt idx="14">
                  <c:v>-50000</c:v>
                </c:pt>
                <c:pt idx="15">
                  <c:v>-50000</c:v>
                </c:pt>
                <c:pt idx="16">
                  <c:v>-50000</c:v>
                </c:pt>
                <c:pt idx="17">
                  <c:v>-50000</c:v>
                </c:pt>
                <c:pt idx="18">
                  <c:v>-50000</c:v>
                </c:pt>
                <c:pt idx="19">
                  <c:v>-50000</c:v>
                </c:pt>
                <c:pt idx="20">
                  <c:v>-50000</c:v>
                </c:pt>
                <c:pt idx="21">
                  <c:v>-50000</c:v>
                </c:pt>
                <c:pt idx="22">
                  <c:v>-50000</c:v>
                </c:pt>
                <c:pt idx="23">
                  <c:v>-50000</c:v>
                </c:pt>
                <c:pt idx="24">
                  <c:v>-50000</c:v>
                </c:pt>
              </c:numCache>
            </c:numRef>
          </c:val>
          <c:extLst>
            <c:ext xmlns:c15="http://schemas.microsoft.com/office/drawing/2012/chart" uri="{02D57815-91ED-43cb-92C2-25804820EDAC}">
              <c15:filteredCategoryTitle>
                <c15:cat>
                  <c:numRef>
                    <c:extLst>
                      <c:ext uri="{02D57815-91ED-43cb-92C2-25804820EDAC}">
                        <c15:formulaRef>
                          <c15:sqref>'Results ReCiPe (H) - CC'!$AC$394:$BA$394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8-08F9-4407-BA34-F24151BA11C2}"/>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(H) - CC'!$AB$404</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val>
            <c:numRef>
              <c:f>'Results ReCiPe (H) - CC'!$AC$404:$BA$404</c:f>
              <c:numCache>
                <c:formatCode>0.00E+00</c:formatCode>
                <c:ptCount val="25"/>
                <c:pt idx="0">
                  <c:v>-18380.419521526605</c:v>
                </c:pt>
                <c:pt idx="1">
                  <c:v>-44217.212153793909</c:v>
                </c:pt>
                <c:pt idx="2">
                  <c:v>-44418.411999128381</c:v>
                </c:pt>
                <c:pt idx="3">
                  <c:v>-43749.488888624626</c:v>
                </c:pt>
                <c:pt idx="4">
                  <c:v>-44846.528757523804</c:v>
                </c:pt>
                <c:pt idx="5">
                  <c:v>-45048.516323632604</c:v>
                </c:pt>
                <c:pt idx="6">
                  <c:v>-44262.143688171542</c:v>
                </c:pt>
                <c:pt idx="7">
                  <c:v>-45170.861580010627</c:v>
                </c:pt>
                <c:pt idx="8">
                  <c:v>-45245.719548813489</c:v>
                </c:pt>
                <c:pt idx="9">
                  <c:v>-44475.994874709744</c:v>
                </c:pt>
                <c:pt idx="10">
                  <c:v>-45365.212940675512</c:v>
                </c:pt>
                <c:pt idx="11">
                  <c:v>-45395.457337457468</c:v>
                </c:pt>
                <c:pt idx="12">
                  <c:v>-44603.789708646837</c:v>
                </c:pt>
                <c:pt idx="13">
                  <c:v>-45458.220104487707</c:v>
                </c:pt>
                <c:pt idx="14">
                  <c:v>-45487.337760878996</c:v>
                </c:pt>
                <c:pt idx="15">
                  <c:v>-44700.487207507082</c:v>
                </c:pt>
                <c:pt idx="16">
                  <c:v>-45554.229937693213</c:v>
                </c:pt>
                <c:pt idx="17">
                  <c:v>-45591.946123881542</c:v>
                </c:pt>
                <c:pt idx="18">
                  <c:v>-44823.034773950923</c:v>
                </c:pt>
                <c:pt idx="19">
                  <c:v>-45669.208395958478</c:v>
                </c:pt>
                <c:pt idx="20">
                  <c:v>-45705.539142183654</c:v>
                </c:pt>
                <c:pt idx="21">
                  <c:v>-44927.511634940929</c:v>
                </c:pt>
                <c:pt idx="22">
                  <c:v>-45758.877923108725</c:v>
                </c:pt>
                <c:pt idx="23">
                  <c:v>-45786.517852012024</c:v>
                </c:pt>
                <c:pt idx="24">
                  <c:v>-44499.068251203615</c:v>
                </c:pt>
              </c:numCache>
            </c:numRef>
          </c:val>
          <c:smooth val="0"/>
          <c:extLst>
            <c:ext xmlns:c15="http://schemas.microsoft.com/office/drawing/2012/chart" uri="{02D57815-91ED-43cb-92C2-25804820EDAC}">
              <c15:filteredCategoryTitle>
                <c15:cat>
                  <c:numRef>
                    <c:extLst>
                      <c:ext uri="{02D57815-91ED-43cb-92C2-25804820EDAC}">
                        <c15:formulaRef>
                          <c15:sqref>'Results ReCiPe (H) - CC'!$AC$394:$BA$394</c15:sqref>
                        </c15:formulaRef>
                      </c:ext>
                    </c:extLst>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15:cat>
              </c15:filteredCategoryTitle>
            </c:ext>
            <c:ext xmlns:c16="http://schemas.microsoft.com/office/drawing/2014/chart" uri="{C3380CC4-5D6E-409C-BE32-E72D297353CC}">
              <c16:uniqueId val="{00000009-08F9-4407-BA34-F24151BA11C2}"/>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nl-NL"/>
                  <a:t>years</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NL"/>
            </a:p>
          </c:txPr>
        </c:title>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Climate</a:t>
                </a:r>
                <a:r>
                  <a:rPr lang="nl-NL" baseline="0"/>
                  <a:t> change </a:t>
                </a:r>
              </a:p>
              <a:p>
                <a:pPr algn="ctr" rtl="0">
                  <a:defRPr/>
                </a:pPr>
                <a:r>
                  <a:rPr lang="nl-NL" baseline="0"/>
                  <a:t>[kgCO2-eq</a:t>
                </a:r>
                <a:r>
                  <a:rPr lang="nl-NL"/>
                  <a:t>/ton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(E) - HHD'!$AB$10</c:f>
              <c:strCache>
                <c:ptCount val="1"/>
                <c:pt idx="0">
                  <c:v>Construction - DAC</c:v>
                </c:pt>
              </c:strCache>
            </c:strRef>
          </c:tx>
          <c:spPr>
            <a:solidFill>
              <a:schemeClr val="accent4">
                <a:lumMod val="75000"/>
              </a:schemeClr>
            </a:solidFill>
            <a:ln>
              <a:noFill/>
            </a:ln>
            <a:effectLst/>
          </c:spPr>
          <c:invertIfNegative val="0"/>
          <c:cat>
            <c:numRef>
              <c:f>'Results ReCiPe (E) - HHD'!$AC$9:$BA$9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HHD'!$AC$10:$BA$10</c:f>
              <c:numCache>
                <c:formatCode>0.00E+00</c:formatCode>
                <c:ptCount val="25"/>
                <c:pt idx="0">
                  <c:v>15.464099749864513</c:v>
                </c:pt>
              </c:numCache>
            </c:numRef>
          </c:val>
          <c:extLst>
            <c:ext xmlns:c16="http://schemas.microsoft.com/office/drawing/2014/chart" uri="{C3380CC4-5D6E-409C-BE32-E72D297353CC}">
              <c16:uniqueId val="{00000000-9EF0-481B-8370-5D0606734463}"/>
            </c:ext>
          </c:extLst>
        </c:ser>
        <c:ser>
          <c:idx val="1"/>
          <c:order val="1"/>
          <c:tx>
            <c:strRef>
              <c:f>'Results ReCiPe (E) - HHD'!$AB$11</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(E) - HHD'!$AC$9:$BA$9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HHD'!$AC$11:$BA$11</c:f>
              <c:numCache>
                <c:formatCode>0.00E+00</c:formatCode>
                <c:ptCount val="25"/>
                <c:pt idx="0">
                  <c:v>0.59342142429421851</c:v>
                </c:pt>
              </c:numCache>
            </c:numRef>
          </c:val>
          <c:extLst>
            <c:ext xmlns:c16="http://schemas.microsoft.com/office/drawing/2014/chart" uri="{C3380CC4-5D6E-409C-BE32-E72D297353CC}">
              <c16:uniqueId val="{00000001-9EF0-481B-8370-5D0606734463}"/>
            </c:ext>
          </c:extLst>
        </c:ser>
        <c:ser>
          <c:idx val="2"/>
          <c:order val="2"/>
          <c:tx>
            <c:strRef>
              <c:f>'Results ReCiPe (E) - HHD'!$AB$12</c:f>
              <c:strCache>
                <c:ptCount val="1"/>
                <c:pt idx="0">
                  <c:v>Deconstruction - DAC</c:v>
                </c:pt>
              </c:strCache>
            </c:strRef>
          </c:tx>
          <c:spPr>
            <a:solidFill>
              <a:schemeClr val="accent2">
                <a:lumMod val="40000"/>
                <a:lumOff val="60000"/>
              </a:schemeClr>
            </a:solidFill>
            <a:ln>
              <a:noFill/>
            </a:ln>
            <a:effectLst/>
          </c:spPr>
          <c:invertIfNegative val="0"/>
          <c:cat>
            <c:numRef>
              <c:f>'Results ReCiPe (E) - HHD'!$AC$9:$BA$9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HHD'!$AC$12:$BA$12</c:f>
              <c:numCache>
                <c:formatCode>0.00E+00</c:formatCode>
                <c:ptCount val="25"/>
                <c:pt idx="24">
                  <c:v>0.12953343012141194</c:v>
                </c:pt>
              </c:numCache>
            </c:numRef>
          </c:val>
          <c:extLst>
            <c:ext xmlns:c16="http://schemas.microsoft.com/office/drawing/2014/chart" uri="{C3380CC4-5D6E-409C-BE32-E72D297353CC}">
              <c16:uniqueId val="{00000002-9EF0-481B-8370-5D0606734463}"/>
            </c:ext>
          </c:extLst>
        </c:ser>
        <c:ser>
          <c:idx val="3"/>
          <c:order val="3"/>
          <c:tx>
            <c:strRef>
              <c:f>'Results ReCiPe (E) - HHD'!$AB$13</c:f>
              <c:strCache>
                <c:ptCount val="1"/>
                <c:pt idx="0">
                  <c:v>Deconstruction - geological storage</c:v>
                </c:pt>
              </c:strCache>
            </c:strRef>
          </c:tx>
          <c:spPr>
            <a:solidFill>
              <a:srgbClr val="FF9900"/>
            </a:solidFill>
            <a:ln>
              <a:noFill/>
            </a:ln>
            <a:effectLst/>
          </c:spPr>
          <c:invertIfNegative val="0"/>
          <c:cat>
            <c:numRef>
              <c:f>'Results ReCiPe (E) - HHD'!$AC$9:$BA$9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HHD'!$AC$13:$BA$13</c:f>
              <c:numCache>
                <c:formatCode>0.00E+00</c:formatCode>
                <c:ptCount val="25"/>
                <c:pt idx="24">
                  <c:v>1.8614484052655999E-3</c:v>
                </c:pt>
              </c:numCache>
            </c:numRef>
          </c:val>
          <c:extLst>
            <c:ext xmlns:c16="http://schemas.microsoft.com/office/drawing/2014/chart" uri="{C3380CC4-5D6E-409C-BE32-E72D297353CC}">
              <c16:uniqueId val="{00000003-9EF0-481B-8370-5D0606734463}"/>
            </c:ext>
          </c:extLst>
        </c:ser>
        <c:ser>
          <c:idx val="4"/>
          <c:order val="4"/>
          <c:tx>
            <c:strRef>
              <c:f>'Results ReCiPe (E) - HHD'!$AB$14</c:f>
              <c:strCache>
                <c:ptCount val="1"/>
                <c:pt idx="0">
                  <c:v>Sorbent material</c:v>
                </c:pt>
              </c:strCache>
            </c:strRef>
          </c:tx>
          <c:spPr>
            <a:solidFill>
              <a:srgbClr val="FF8F8F"/>
            </a:solidFill>
            <a:ln>
              <a:noFill/>
            </a:ln>
            <a:effectLst/>
          </c:spPr>
          <c:invertIfNegative val="0"/>
          <c:cat>
            <c:numRef>
              <c:f>'Results ReCiPe (E) - HHD'!$AC$9:$BA$9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HHD'!$AC$14:$BA$14</c:f>
              <c:numCache>
                <c:formatCode>0.00E+00</c:formatCode>
                <c:ptCount val="25"/>
                <c:pt idx="0">
                  <c:v>0.1490671536669359</c:v>
                </c:pt>
                <c:pt idx="3">
                  <c:v>0.14899675412380661</c:v>
                </c:pt>
                <c:pt idx="6">
                  <c:v>0.14913467370511721</c:v>
                </c:pt>
                <c:pt idx="9">
                  <c:v>0.14985420341785011</c:v>
                </c:pt>
                <c:pt idx="12">
                  <c:v>0.15079302716477189</c:v>
                </c:pt>
                <c:pt idx="15">
                  <c:v>0.15199232647583841</c:v>
                </c:pt>
                <c:pt idx="18">
                  <c:v>0.15162753334670259</c:v>
                </c:pt>
                <c:pt idx="21">
                  <c:v>0.15096779974777791</c:v>
                </c:pt>
                <c:pt idx="24">
                  <c:v>0.149756511690775</c:v>
                </c:pt>
              </c:numCache>
            </c:numRef>
          </c:val>
          <c:extLst>
            <c:ext xmlns:c16="http://schemas.microsoft.com/office/drawing/2014/chart" uri="{C3380CC4-5D6E-409C-BE32-E72D297353CC}">
              <c16:uniqueId val="{00000004-9EF0-481B-8370-5D0606734463}"/>
            </c:ext>
          </c:extLst>
        </c:ser>
        <c:ser>
          <c:idx val="5"/>
          <c:order val="5"/>
          <c:tx>
            <c:strRef>
              <c:f>'Results ReCiPe (E) - HHD'!$AB$15</c:f>
              <c:strCache>
                <c:ptCount val="1"/>
                <c:pt idx="0">
                  <c:v>Operation - DAC</c:v>
                </c:pt>
              </c:strCache>
            </c:strRef>
          </c:tx>
          <c:spPr>
            <a:solidFill>
              <a:schemeClr val="accent2">
                <a:lumMod val="75000"/>
              </a:schemeClr>
            </a:solidFill>
            <a:ln>
              <a:noFill/>
            </a:ln>
            <a:effectLst/>
          </c:spPr>
          <c:invertIfNegative val="0"/>
          <c:cat>
            <c:numRef>
              <c:f>'Results ReCiPe (E) - HHD'!$AC$9:$BA$9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HHD'!$AC$15:$BA$15</c:f>
              <c:numCache>
                <c:formatCode>0.00E+00</c:formatCode>
                <c:ptCount val="25"/>
                <c:pt idx="0">
                  <c:v>3.1208515547463418</c:v>
                </c:pt>
                <c:pt idx="1">
                  <c:v>3.1115894682350289</c:v>
                </c:pt>
                <c:pt idx="2">
                  <c:v>3.1022314320029989</c:v>
                </c:pt>
                <c:pt idx="3">
                  <c:v>3.0931004357287688</c:v>
                </c:pt>
                <c:pt idx="4">
                  <c:v>3.0835768071651679</c:v>
                </c:pt>
                <c:pt idx="5">
                  <c:v>3.0739787664805882</c:v>
                </c:pt>
                <c:pt idx="6">
                  <c:v>3.361270820822106</c:v>
                </c:pt>
                <c:pt idx="7">
                  <c:v>3.648172192245708</c:v>
                </c:pt>
                <c:pt idx="8">
                  <c:v>3.935221464005326</c:v>
                </c:pt>
                <c:pt idx="9">
                  <c:v>4.221588425371845</c:v>
                </c:pt>
                <c:pt idx="10">
                  <c:v>4.5076142848967349</c:v>
                </c:pt>
                <c:pt idx="11">
                  <c:v>5.066726515010334</c:v>
                </c:pt>
                <c:pt idx="12">
                  <c:v>5.6272255695301334</c:v>
                </c:pt>
                <c:pt idx="13">
                  <c:v>6.1894811024463374</c:v>
                </c:pt>
                <c:pt idx="14">
                  <c:v>6.7527515870654069</c:v>
                </c:pt>
                <c:pt idx="15">
                  <c:v>7.3174069595748454</c:v>
                </c:pt>
                <c:pt idx="16">
                  <c:v>7.3455769232231516</c:v>
                </c:pt>
                <c:pt idx="17">
                  <c:v>7.3736516581927329</c:v>
                </c:pt>
                <c:pt idx="18">
                  <c:v>7.4018525072969812</c:v>
                </c:pt>
                <c:pt idx="19">
                  <c:v>7.4297535224510574</c:v>
                </c:pt>
                <c:pt idx="20">
                  <c:v>7.4575760720479991</c:v>
                </c:pt>
                <c:pt idx="21">
                  <c:v>7.2249790251547026</c:v>
                </c:pt>
                <c:pt idx="22">
                  <c:v>6.9886881155374434</c:v>
                </c:pt>
                <c:pt idx="23">
                  <c:v>6.7515806286725528</c:v>
                </c:pt>
                <c:pt idx="24">
                  <c:v>6.513649249180772</c:v>
                </c:pt>
              </c:numCache>
            </c:numRef>
          </c:val>
          <c:extLst>
            <c:ext xmlns:c16="http://schemas.microsoft.com/office/drawing/2014/chart" uri="{C3380CC4-5D6E-409C-BE32-E72D297353CC}">
              <c16:uniqueId val="{00000005-9EF0-481B-8370-5D0606734463}"/>
            </c:ext>
          </c:extLst>
        </c:ser>
        <c:ser>
          <c:idx val="6"/>
          <c:order val="6"/>
          <c:tx>
            <c:strRef>
              <c:f>'Results ReCiPe (E) - HHD'!$AB$16</c:f>
              <c:strCache>
                <c:ptCount val="1"/>
                <c:pt idx="0">
                  <c:v>Operation - geological storage</c:v>
                </c:pt>
              </c:strCache>
            </c:strRef>
          </c:tx>
          <c:spPr>
            <a:solidFill>
              <a:schemeClr val="accent2">
                <a:lumMod val="50000"/>
              </a:schemeClr>
            </a:solidFill>
            <a:ln>
              <a:noFill/>
            </a:ln>
            <a:effectLst/>
          </c:spPr>
          <c:invertIfNegative val="0"/>
          <c:cat>
            <c:numRef>
              <c:f>'Results ReCiPe (E) - HHD'!$AC$9:$BA$9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HHD'!$AC$16:$BA$16</c:f>
              <c:numCache>
                <c:formatCode>0.00E+00</c:formatCode>
                <c:ptCount val="25"/>
                <c:pt idx="0">
                  <c:v>0.38654328795354098</c:v>
                </c:pt>
                <c:pt idx="1">
                  <c:v>0.38572536393638751</c:v>
                </c:pt>
                <c:pt idx="2">
                  <c:v>0.38490213454324318</c:v>
                </c:pt>
                <c:pt idx="3">
                  <c:v>0.38410164623840737</c:v>
                </c:pt>
                <c:pt idx="4">
                  <c:v>0.38326962225724048</c:v>
                </c:pt>
                <c:pt idx="5">
                  <c:v>0.38243395251057855</c:v>
                </c:pt>
                <c:pt idx="6">
                  <c:v>0.40410628117260966</c:v>
                </c:pt>
                <c:pt idx="7">
                  <c:v>0.42568870624606392</c:v>
                </c:pt>
                <c:pt idx="8">
                  <c:v>0.44722979323323148</c:v>
                </c:pt>
                <c:pt idx="9">
                  <c:v>0.46865143901779066</c:v>
                </c:pt>
                <c:pt idx="10">
                  <c:v>0.48998711595877492</c:v>
                </c:pt>
                <c:pt idx="11">
                  <c:v>0.53185488730925101</c:v>
                </c:pt>
                <c:pt idx="12">
                  <c:v>0.57373251784576318</c:v>
                </c:pt>
                <c:pt idx="13">
                  <c:v>0.61565370477593673</c:v>
                </c:pt>
                <c:pt idx="14">
                  <c:v>0.65754992958356884</c:v>
                </c:pt>
                <c:pt idx="15">
                  <c:v>0.69945474454131396</c:v>
                </c:pt>
                <c:pt idx="16">
                  <c:v>0.70116168458050809</c:v>
                </c:pt>
                <c:pt idx="17">
                  <c:v>0.7028572038930373</c:v>
                </c:pt>
                <c:pt idx="18">
                  <c:v>0.70456136311661077</c:v>
                </c:pt>
                <c:pt idx="19">
                  <c:v>0.70623528072684383</c:v>
                </c:pt>
                <c:pt idx="20">
                  <c:v>0.7078990325263127</c:v>
                </c:pt>
                <c:pt idx="21">
                  <c:v>0.68978541699720153</c:v>
                </c:pt>
                <c:pt idx="22">
                  <c:v>0.67146561505537805</c:v>
                </c:pt>
                <c:pt idx="23">
                  <c:v>0.65315610842109884</c:v>
                </c:pt>
                <c:pt idx="24">
                  <c:v>0.63485651014893763</c:v>
                </c:pt>
              </c:numCache>
            </c:numRef>
          </c:val>
          <c:extLst>
            <c:ext xmlns:c16="http://schemas.microsoft.com/office/drawing/2014/chart" uri="{C3380CC4-5D6E-409C-BE32-E72D297353CC}">
              <c16:uniqueId val="{00000006-9EF0-481B-8370-5D0606734463}"/>
            </c:ext>
          </c:extLst>
        </c:ser>
        <c:ser>
          <c:idx val="7"/>
          <c:order val="7"/>
          <c:tx>
            <c:strRef>
              <c:f>'Results ReCiPe (E) - HHD'!$AB$17</c:f>
              <c:strCache>
                <c:ptCount val="1"/>
                <c:pt idx="0">
                  <c:v>CO2 captured and stored</c:v>
                </c:pt>
              </c:strCache>
            </c:strRef>
          </c:tx>
          <c:spPr>
            <a:solidFill>
              <a:schemeClr val="tx2">
                <a:lumMod val="20000"/>
                <a:lumOff val="80000"/>
              </a:schemeClr>
            </a:solidFill>
            <a:ln>
              <a:noFill/>
            </a:ln>
            <a:effectLst/>
          </c:spPr>
          <c:invertIfNegative val="0"/>
          <c:cat>
            <c:numRef>
              <c:f>'Results ReCiPe (E) - HHD'!$AC$9:$BA$9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HHD'!$AC$17:$BA$17</c:f>
              <c:numCache>
                <c:formatCode>0.00E+00</c:formatCode>
                <c:ptCount val="25"/>
                <c:pt idx="0">
                  <c:v>-1.25</c:v>
                </c:pt>
                <c:pt idx="1">
                  <c:v>-1.25</c:v>
                </c:pt>
                <c:pt idx="2">
                  <c:v>-1.25</c:v>
                </c:pt>
                <c:pt idx="3">
                  <c:v>-1.25</c:v>
                </c:pt>
                <c:pt idx="4">
                  <c:v>-1.25</c:v>
                </c:pt>
                <c:pt idx="5">
                  <c:v>-1.25</c:v>
                </c:pt>
                <c:pt idx="6">
                  <c:v>-1.25</c:v>
                </c:pt>
                <c:pt idx="7">
                  <c:v>-1.25</c:v>
                </c:pt>
                <c:pt idx="8">
                  <c:v>-1.25</c:v>
                </c:pt>
                <c:pt idx="9">
                  <c:v>-1.25</c:v>
                </c:pt>
                <c:pt idx="10">
                  <c:v>-1.25</c:v>
                </c:pt>
                <c:pt idx="11">
                  <c:v>-1.25</c:v>
                </c:pt>
                <c:pt idx="12">
                  <c:v>-1.25</c:v>
                </c:pt>
                <c:pt idx="13">
                  <c:v>-1.25</c:v>
                </c:pt>
                <c:pt idx="14">
                  <c:v>-1.25</c:v>
                </c:pt>
                <c:pt idx="15">
                  <c:v>-1.25</c:v>
                </c:pt>
                <c:pt idx="16">
                  <c:v>-1.25</c:v>
                </c:pt>
                <c:pt idx="17">
                  <c:v>-1.25</c:v>
                </c:pt>
                <c:pt idx="18">
                  <c:v>-1.25</c:v>
                </c:pt>
                <c:pt idx="19">
                  <c:v>-1.25</c:v>
                </c:pt>
                <c:pt idx="20">
                  <c:v>-1.25</c:v>
                </c:pt>
                <c:pt idx="21">
                  <c:v>-1.25</c:v>
                </c:pt>
                <c:pt idx="22">
                  <c:v>-1.25</c:v>
                </c:pt>
                <c:pt idx="23">
                  <c:v>-1.25</c:v>
                </c:pt>
                <c:pt idx="24">
                  <c:v>-1.25</c:v>
                </c:pt>
              </c:numCache>
            </c:numRef>
          </c:val>
          <c:extLst>
            <c:ext xmlns:c16="http://schemas.microsoft.com/office/drawing/2014/chart" uri="{C3380CC4-5D6E-409C-BE32-E72D297353CC}">
              <c16:uniqueId val="{00000007-9EF0-481B-8370-5D0606734463}"/>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(E) - HHD'!$AB$18</c:f>
              <c:strCache>
                <c:ptCount val="1"/>
                <c:pt idx="0">
                  <c:v>TOTAL per year</c:v>
                </c:pt>
              </c:strCache>
            </c:strRef>
          </c:tx>
          <c:spPr>
            <a:ln w="25400" cap="rnd">
              <a:noFill/>
              <a:round/>
            </a:ln>
            <a:effectLst/>
          </c:spPr>
          <c:marker>
            <c:symbol val="circle"/>
            <c:size val="5"/>
            <c:spPr>
              <a:solidFill>
                <a:schemeClr val="tx1"/>
              </a:solidFill>
              <a:ln w="9525">
                <a:solidFill>
                  <a:schemeClr val="tx1"/>
                </a:solidFill>
              </a:ln>
              <a:effectLst/>
            </c:spPr>
          </c:marker>
          <c:cat>
            <c:numRef>
              <c:f>'Results ReCiPe (E) - HHD'!$AC$9:$BA$9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HHD'!$AC$18:$BA$18</c:f>
              <c:numCache>
                <c:formatCode>0.00E+00</c:formatCode>
                <c:ptCount val="25"/>
                <c:pt idx="0">
                  <c:v>18.463983170525548</c:v>
                </c:pt>
                <c:pt idx="1">
                  <c:v>2.2473148321714165</c:v>
                </c:pt>
                <c:pt idx="2">
                  <c:v>2.237133566546242</c:v>
                </c:pt>
                <c:pt idx="3">
                  <c:v>2.3761988360909827</c:v>
                </c:pt>
                <c:pt idx="4">
                  <c:v>2.2168464294224082</c:v>
                </c:pt>
                <c:pt idx="5">
                  <c:v>2.2064127189911669</c:v>
                </c:pt>
                <c:pt idx="6">
                  <c:v>2.6645117756998329</c:v>
                </c:pt>
                <c:pt idx="7">
                  <c:v>2.8238608984917715</c:v>
                </c:pt>
                <c:pt idx="8">
                  <c:v>3.1324512572385572</c:v>
                </c:pt>
                <c:pt idx="9">
                  <c:v>3.5900940678074855</c:v>
                </c:pt>
                <c:pt idx="10">
                  <c:v>3.7476014008555101</c:v>
                </c:pt>
                <c:pt idx="11">
                  <c:v>4.348581402319585</c:v>
                </c:pt>
                <c:pt idx="12">
                  <c:v>5.1017511145406687</c:v>
                </c:pt>
                <c:pt idx="13">
                  <c:v>5.5551348072222737</c:v>
                </c:pt>
                <c:pt idx="14">
                  <c:v>6.1603015166489756</c:v>
                </c:pt>
                <c:pt idx="15">
                  <c:v>6.9188540305919979</c:v>
                </c:pt>
                <c:pt idx="16">
                  <c:v>6.7967386078036593</c:v>
                </c:pt>
                <c:pt idx="17">
                  <c:v>6.8265088620857703</c:v>
                </c:pt>
                <c:pt idx="18">
                  <c:v>7.0080414037602949</c:v>
                </c:pt>
                <c:pt idx="19">
                  <c:v>6.8859888031779004</c:v>
                </c:pt>
                <c:pt idx="20">
                  <c:v>6.9154751045743126</c:v>
                </c:pt>
                <c:pt idx="21">
                  <c:v>6.8157322418996813</c:v>
                </c:pt>
                <c:pt idx="22">
                  <c:v>6.4101537305928211</c:v>
                </c:pt>
                <c:pt idx="23">
                  <c:v>6.1547367370936517</c:v>
                </c:pt>
                <c:pt idx="24">
                  <c:v>6.1796571495471619</c:v>
                </c:pt>
              </c:numCache>
            </c:numRef>
          </c:val>
          <c:smooth val="0"/>
          <c:extLst>
            <c:ext xmlns:c16="http://schemas.microsoft.com/office/drawing/2014/chart" uri="{C3380CC4-5D6E-409C-BE32-E72D297353CC}">
              <c16:uniqueId val="{00000008-9EF0-481B-8370-5D0606734463}"/>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Human</a:t>
                </a:r>
                <a:r>
                  <a:rPr lang="nl-NL" baseline="0"/>
                  <a:t> health</a:t>
                </a:r>
                <a:r>
                  <a:rPr lang="nl-NL"/>
                  <a:t> damage </a:t>
                </a:r>
                <a:br>
                  <a:rPr lang="nl-NL"/>
                </a:br>
                <a:r>
                  <a:rPr lang="nl-NL"/>
                  <a:t>(DALY/ton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baseline="0">
                <a:solidFill>
                  <a:schemeClr val="tx1"/>
                </a:solidFill>
                <a:latin typeface="Verdana Pro" panose="020B0604030504040204" pitchFamily="34" charset="0"/>
                <a:ea typeface="+mn-ea"/>
                <a:cs typeface="Times New Roman" panose="02020603050405020304" pitchFamily="18" charset="0"/>
              </a:defRPr>
            </a:pPr>
            <a:r>
              <a:rPr lang="en-GB" b="0" i="1"/>
              <a:t>Benefits		Burdens</a:t>
            </a:r>
          </a:p>
        </c:rich>
      </c:tx>
      <c:layout>
        <c:manualLayout>
          <c:xMode val="edge"/>
          <c:yMode val="edge"/>
          <c:x val="0.41634754139571833"/>
          <c:y val="6.924574569824888E-3"/>
        </c:manualLayout>
      </c:layout>
      <c:overlay val="0"/>
      <c:spPr>
        <a:noFill/>
        <a:ln>
          <a:noFill/>
        </a:ln>
        <a:effectLst/>
      </c:spPr>
      <c:txPr>
        <a:bodyPr rot="0" spcFirstLastPara="1" vertOverflow="ellipsis" vert="horz" wrap="square" anchor="ctr" anchorCtr="1"/>
        <a:lstStyle/>
        <a:p>
          <a:pPr>
            <a:defRPr sz="1440" b="1"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title>
    <c:autoTitleDeleted val="0"/>
    <c:plotArea>
      <c:layout>
        <c:manualLayout>
          <c:layoutTarget val="inner"/>
          <c:xMode val="edge"/>
          <c:yMode val="edge"/>
          <c:x val="0.10403434643237103"/>
          <c:y val="0.11409636871261428"/>
          <c:w val="0.87227127494090295"/>
          <c:h val="0.58065330177074848"/>
        </c:manualLayout>
      </c:layout>
      <c:barChart>
        <c:barDir val="bar"/>
        <c:grouping val="stacked"/>
        <c:varyColors val="0"/>
        <c:ser>
          <c:idx val="0"/>
          <c:order val="0"/>
          <c:tx>
            <c:strRef>
              <c:f>'Figure Results ReCiPe (I)'!$C$5</c:f>
              <c:strCache>
                <c:ptCount val="1"/>
                <c:pt idx="0">
                  <c:v>Construction - DAC</c:v>
                </c:pt>
              </c:strCache>
            </c:strRef>
          </c:tx>
          <c:spPr>
            <a:solidFill>
              <a:schemeClr val="accent4">
                <a:lumMod val="75000"/>
              </a:schemeClr>
            </a:solidFill>
            <a:ln>
              <a:noFill/>
            </a:ln>
            <a:effectLst/>
          </c:spPr>
          <c:invertIfNegative val="0"/>
          <c:cat>
            <c:multiLvlStrRef>
              <c:f>'Figure Results ReCiPe (I)'!$A$6:$B$14</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(I)'!$C$6:$C$14</c:f>
              <c:numCache>
                <c:formatCode>0.00E+00</c:formatCode>
                <c:ptCount val="9"/>
                <c:pt idx="0">
                  <c:v>21.648297407610993</c:v>
                </c:pt>
                <c:pt idx="1">
                  <c:v>20.397158783337506</c:v>
                </c:pt>
                <c:pt idx="2">
                  <c:v>16.834902867680867</c:v>
                </c:pt>
                <c:pt idx="3">
                  <c:v>21.648297407610993</c:v>
                </c:pt>
                <c:pt idx="4">
                  <c:v>20.397158783337506</c:v>
                </c:pt>
                <c:pt idx="5">
                  <c:v>16.834902867680867</c:v>
                </c:pt>
                <c:pt idx="6">
                  <c:v>35.571071061253775</c:v>
                </c:pt>
                <c:pt idx="7">
                  <c:v>33.094270177989991</c:v>
                </c:pt>
                <c:pt idx="8">
                  <c:v>26.047464426294315</c:v>
                </c:pt>
              </c:numCache>
            </c:numRef>
          </c:val>
          <c:extLst>
            <c:ext xmlns:c16="http://schemas.microsoft.com/office/drawing/2014/chart" uri="{C3380CC4-5D6E-409C-BE32-E72D297353CC}">
              <c16:uniqueId val="{00000000-38F7-4E24-8E0F-D03E0B3B5016}"/>
            </c:ext>
          </c:extLst>
        </c:ser>
        <c:ser>
          <c:idx val="1"/>
          <c:order val="1"/>
          <c:tx>
            <c:strRef>
              <c:f>'Figure Results ReCiPe (I)'!$D$5</c:f>
              <c:strCache>
                <c:ptCount val="1"/>
                <c:pt idx="0">
                  <c:v>Construction - geological storage</c:v>
                </c:pt>
              </c:strCache>
            </c:strRef>
          </c:tx>
          <c:spPr>
            <a:solidFill>
              <a:schemeClr val="accent4">
                <a:lumMod val="60000"/>
                <a:lumOff val="40000"/>
              </a:schemeClr>
            </a:solidFill>
            <a:ln>
              <a:noFill/>
            </a:ln>
            <a:effectLst/>
          </c:spPr>
          <c:invertIfNegative val="0"/>
          <c:cat>
            <c:multiLvlStrRef>
              <c:f>'Figure Results ReCiPe (I)'!$A$6:$B$14</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(I)'!$D$6:$D$14</c:f>
              <c:numCache>
                <c:formatCode>0.00E+00</c:formatCode>
                <c:ptCount val="9"/>
                <c:pt idx="0">
                  <c:v>1.1487692132385161</c:v>
                </c:pt>
                <c:pt idx="1">
                  <c:v>1.07578436114747</c:v>
                </c:pt>
                <c:pt idx="2">
                  <c:v>0.94528529174609632</c:v>
                </c:pt>
                <c:pt idx="3">
                  <c:v>1.1487692132385161</c:v>
                </c:pt>
                <c:pt idx="4">
                  <c:v>1.07578436114747</c:v>
                </c:pt>
                <c:pt idx="5">
                  <c:v>0.94528529174609632</c:v>
                </c:pt>
                <c:pt idx="6">
                  <c:v>1.1487692132385161</c:v>
                </c:pt>
                <c:pt idx="7">
                  <c:v>1.07578436114747</c:v>
                </c:pt>
                <c:pt idx="8">
                  <c:v>0.94528529174609632</c:v>
                </c:pt>
              </c:numCache>
            </c:numRef>
          </c:val>
          <c:extLst>
            <c:ext xmlns:c16="http://schemas.microsoft.com/office/drawing/2014/chart" uri="{C3380CC4-5D6E-409C-BE32-E72D297353CC}">
              <c16:uniqueId val="{00000001-38F7-4E24-8E0F-D03E0B3B5016}"/>
            </c:ext>
          </c:extLst>
        </c:ser>
        <c:ser>
          <c:idx val="3"/>
          <c:order val="2"/>
          <c:tx>
            <c:strRef>
              <c:f>'Figure Results ReCiPe (I)'!$E$5</c:f>
              <c:strCache>
                <c:ptCount val="1"/>
                <c:pt idx="0">
                  <c:v>Deconstruction - DAC</c:v>
                </c:pt>
              </c:strCache>
            </c:strRef>
          </c:tx>
          <c:spPr>
            <a:solidFill>
              <a:schemeClr val="accent2">
                <a:lumMod val="40000"/>
                <a:lumOff val="60000"/>
              </a:schemeClr>
            </a:solidFill>
            <a:ln>
              <a:noFill/>
            </a:ln>
            <a:effectLst/>
          </c:spPr>
          <c:invertIfNegative val="0"/>
          <c:cat>
            <c:multiLvlStrRef>
              <c:f>'Figure Results ReCiPe (I)'!$A$6:$B$14</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(I)'!$E$6:$E$14</c:f>
              <c:numCache>
                <c:formatCode>0.00E+00</c:formatCode>
                <c:ptCount val="9"/>
                <c:pt idx="0">
                  <c:v>0.3426742964977646</c:v>
                </c:pt>
                <c:pt idx="1">
                  <c:v>0.29473764507668293</c:v>
                </c:pt>
                <c:pt idx="2">
                  <c:v>0.26454183462024822</c:v>
                </c:pt>
                <c:pt idx="3">
                  <c:v>0.3426742964977646</c:v>
                </c:pt>
                <c:pt idx="4">
                  <c:v>0.29473764507668293</c:v>
                </c:pt>
                <c:pt idx="5">
                  <c:v>0.26454183462024822</c:v>
                </c:pt>
                <c:pt idx="6">
                  <c:v>0.68534859299552919</c:v>
                </c:pt>
                <c:pt idx="7">
                  <c:v>0.58947529015336586</c:v>
                </c:pt>
                <c:pt idx="8">
                  <c:v>0.52908366924049643</c:v>
                </c:pt>
              </c:numCache>
            </c:numRef>
          </c:val>
          <c:extLst>
            <c:ext xmlns:c16="http://schemas.microsoft.com/office/drawing/2014/chart" uri="{C3380CC4-5D6E-409C-BE32-E72D297353CC}">
              <c16:uniqueId val="{00000002-38F7-4E24-8E0F-D03E0B3B5016}"/>
            </c:ext>
          </c:extLst>
        </c:ser>
        <c:ser>
          <c:idx val="4"/>
          <c:order val="3"/>
          <c:tx>
            <c:strRef>
              <c:f>'Figure Results ReCiPe (I)'!$F$5</c:f>
              <c:strCache>
                <c:ptCount val="1"/>
                <c:pt idx="0">
                  <c:v>Deconstruction - geological storage</c:v>
                </c:pt>
              </c:strCache>
            </c:strRef>
          </c:tx>
          <c:spPr>
            <a:solidFill>
              <a:srgbClr val="FF9900"/>
            </a:solidFill>
            <a:ln>
              <a:noFill/>
            </a:ln>
            <a:effectLst/>
          </c:spPr>
          <c:invertIfNegative val="0"/>
          <c:cat>
            <c:multiLvlStrRef>
              <c:f>'Figure Results ReCiPe (I)'!$A$6:$B$14</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(I)'!$F$6:$F$14</c:f>
              <c:numCache>
                <c:formatCode>0.00E+00</c:formatCode>
                <c:ptCount val="9"/>
                <c:pt idx="0">
                  <c:v>9.5622005617439533E-3</c:v>
                </c:pt>
                <c:pt idx="1">
                  <c:v>8.9024847258240628E-3</c:v>
                </c:pt>
                <c:pt idx="2">
                  <c:v>8.377210918449108E-3</c:v>
                </c:pt>
                <c:pt idx="3">
                  <c:v>9.5622005617439533E-3</c:v>
                </c:pt>
                <c:pt idx="4">
                  <c:v>8.9024847258240628E-3</c:v>
                </c:pt>
                <c:pt idx="5">
                  <c:v>8.377210918449108E-3</c:v>
                </c:pt>
                <c:pt idx="6">
                  <c:v>9.5622005617439533E-3</c:v>
                </c:pt>
                <c:pt idx="7">
                  <c:v>8.9024847258240628E-3</c:v>
                </c:pt>
                <c:pt idx="8">
                  <c:v>8.377210918449108E-3</c:v>
                </c:pt>
              </c:numCache>
            </c:numRef>
          </c:val>
          <c:extLst>
            <c:ext xmlns:c16="http://schemas.microsoft.com/office/drawing/2014/chart" uri="{C3380CC4-5D6E-409C-BE32-E72D297353CC}">
              <c16:uniqueId val="{00000003-38F7-4E24-8E0F-D03E0B3B5016}"/>
            </c:ext>
          </c:extLst>
        </c:ser>
        <c:ser>
          <c:idx val="5"/>
          <c:order val="4"/>
          <c:tx>
            <c:strRef>
              <c:f>'Figure Results ReCiPe (I)'!$G$5</c:f>
              <c:strCache>
                <c:ptCount val="1"/>
                <c:pt idx="0">
                  <c:v>Sorbent material</c:v>
                </c:pt>
              </c:strCache>
            </c:strRef>
          </c:tx>
          <c:spPr>
            <a:solidFill>
              <a:srgbClr val="FF8F8F"/>
            </a:solidFill>
            <a:ln>
              <a:noFill/>
            </a:ln>
            <a:effectLst/>
          </c:spPr>
          <c:invertIfNegative val="0"/>
          <c:cat>
            <c:multiLvlStrRef>
              <c:f>'Figure Results ReCiPe (I)'!$A$6:$B$14</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(I)'!$G$6:$G$14</c:f>
              <c:numCache>
                <c:formatCode>0.00E+00</c:formatCode>
                <c:ptCount val="9"/>
                <c:pt idx="0">
                  <c:v>4.9916985219058336</c:v>
                </c:pt>
                <c:pt idx="1">
                  <c:v>4.2449532954219578</c:v>
                </c:pt>
                <c:pt idx="2">
                  <c:v>3.6680844415288685</c:v>
                </c:pt>
                <c:pt idx="3">
                  <c:v>4.9916985219058336</c:v>
                </c:pt>
                <c:pt idx="4">
                  <c:v>4.2449532954219578</c:v>
                </c:pt>
                <c:pt idx="5">
                  <c:v>3.6680844415288685</c:v>
                </c:pt>
                <c:pt idx="6">
                  <c:v>9.9833970438116673</c:v>
                </c:pt>
                <c:pt idx="7">
                  <c:v>8.4899065908439155</c:v>
                </c:pt>
                <c:pt idx="8">
                  <c:v>7.336168883057737</c:v>
                </c:pt>
              </c:numCache>
            </c:numRef>
          </c:val>
          <c:extLst>
            <c:ext xmlns:c16="http://schemas.microsoft.com/office/drawing/2014/chart" uri="{C3380CC4-5D6E-409C-BE32-E72D297353CC}">
              <c16:uniqueId val="{00000004-38F7-4E24-8E0F-D03E0B3B5016}"/>
            </c:ext>
          </c:extLst>
        </c:ser>
        <c:ser>
          <c:idx val="6"/>
          <c:order val="5"/>
          <c:tx>
            <c:strRef>
              <c:f>'Figure Results ReCiPe (I)'!$I$5</c:f>
              <c:strCache>
                <c:ptCount val="1"/>
                <c:pt idx="0">
                  <c:v>Operation - DAC</c:v>
                </c:pt>
              </c:strCache>
            </c:strRef>
          </c:tx>
          <c:spPr>
            <a:solidFill>
              <a:schemeClr val="accent2">
                <a:lumMod val="75000"/>
              </a:schemeClr>
            </a:solidFill>
            <a:ln>
              <a:noFill/>
            </a:ln>
            <a:effectLst/>
          </c:spPr>
          <c:invertIfNegative val="0"/>
          <c:cat>
            <c:multiLvlStrRef>
              <c:f>'Figure Results ReCiPe (I)'!$A$6:$B$14</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(I)'!$I$6:$I$14</c:f>
              <c:numCache>
                <c:formatCode>0.00E+00</c:formatCode>
                <c:ptCount val="9"/>
                <c:pt idx="0">
                  <c:v>620.34672931479292</c:v>
                </c:pt>
                <c:pt idx="1">
                  <c:v>152.91730482015899</c:v>
                </c:pt>
                <c:pt idx="2">
                  <c:v>20.352401064451549</c:v>
                </c:pt>
                <c:pt idx="3">
                  <c:v>479.52955576712077</c:v>
                </c:pt>
                <c:pt idx="4">
                  <c:v>120.76531338893916</c:v>
                </c:pt>
                <c:pt idx="5">
                  <c:v>18.347470538600451</c:v>
                </c:pt>
                <c:pt idx="6">
                  <c:v>81.243437969355639</c:v>
                </c:pt>
                <c:pt idx="7">
                  <c:v>59.563922572709551</c:v>
                </c:pt>
                <c:pt idx="8">
                  <c:v>46.651181660107135</c:v>
                </c:pt>
              </c:numCache>
            </c:numRef>
          </c:val>
          <c:extLst>
            <c:ext xmlns:c16="http://schemas.microsoft.com/office/drawing/2014/chart" uri="{C3380CC4-5D6E-409C-BE32-E72D297353CC}">
              <c16:uniqueId val="{00000005-38F7-4E24-8E0F-D03E0B3B5016}"/>
            </c:ext>
          </c:extLst>
        </c:ser>
        <c:ser>
          <c:idx val="7"/>
          <c:order val="6"/>
          <c:tx>
            <c:strRef>
              <c:f>'Figure Results ReCiPe (I)'!$J$5</c:f>
              <c:strCache>
                <c:ptCount val="1"/>
                <c:pt idx="0">
                  <c:v>Operation - geological storage</c:v>
                </c:pt>
              </c:strCache>
            </c:strRef>
          </c:tx>
          <c:spPr>
            <a:solidFill>
              <a:schemeClr val="accent2">
                <a:lumMod val="50000"/>
              </a:schemeClr>
            </a:solidFill>
            <a:ln>
              <a:noFill/>
            </a:ln>
            <a:effectLst/>
          </c:spPr>
          <c:invertIfNegative val="0"/>
          <c:cat>
            <c:multiLvlStrRef>
              <c:f>'Figure Results ReCiPe (I)'!$A$6:$B$14</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(I)'!$J$6:$J$14</c:f>
              <c:numCache>
                <c:formatCode>0.00E+00</c:formatCode>
                <c:ptCount val="9"/>
                <c:pt idx="0">
                  <c:v>48.013202454855644</c:v>
                </c:pt>
                <c:pt idx="1">
                  <c:v>12.681709846519183</c:v>
                </c:pt>
                <c:pt idx="2">
                  <c:v>2.4911230532034634</c:v>
                </c:pt>
                <c:pt idx="3">
                  <c:v>48.013202454855644</c:v>
                </c:pt>
                <c:pt idx="4">
                  <c:v>12.681709846519183</c:v>
                </c:pt>
                <c:pt idx="5">
                  <c:v>2.4911230532034634</c:v>
                </c:pt>
                <c:pt idx="6">
                  <c:v>48.013202454855644</c:v>
                </c:pt>
                <c:pt idx="7">
                  <c:v>12.681709846519183</c:v>
                </c:pt>
                <c:pt idx="8">
                  <c:v>2.4911230532034634</c:v>
                </c:pt>
              </c:numCache>
            </c:numRef>
          </c:val>
          <c:extLst>
            <c:ext xmlns:c16="http://schemas.microsoft.com/office/drawing/2014/chart" uri="{C3380CC4-5D6E-409C-BE32-E72D297353CC}">
              <c16:uniqueId val="{00000006-38F7-4E24-8E0F-D03E0B3B5016}"/>
            </c:ext>
          </c:extLst>
        </c:ser>
        <c:ser>
          <c:idx val="9"/>
          <c:order val="8"/>
          <c:tx>
            <c:strRef>
              <c:f>'Figure Results ReCiPe (I)'!$H$5</c:f>
              <c:strCache>
                <c:ptCount val="1"/>
                <c:pt idx="0">
                  <c:v>Battery</c:v>
                </c:pt>
              </c:strCache>
            </c:strRef>
          </c:tx>
          <c:spPr>
            <a:solidFill>
              <a:schemeClr val="accent6">
                <a:lumMod val="75000"/>
              </a:schemeClr>
            </a:solidFill>
            <a:ln w="19050">
              <a:noFill/>
            </a:ln>
            <a:effectLst/>
          </c:spPr>
          <c:invertIfNegative val="0"/>
          <c:cat>
            <c:multiLvlStrRef>
              <c:f>'Figure Results ReCiPe (I)'!$A$6:$B$14</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(I)'!$H$6:$H$14</c:f>
              <c:numCache>
                <c:formatCode>0.00E+00</c:formatCode>
                <c:ptCount val="9"/>
                <c:pt idx="0">
                  <c:v>0</c:v>
                </c:pt>
                <c:pt idx="1">
                  <c:v>0</c:v>
                </c:pt>
                <c:pt idx="2">
                  <c:v>0</c:v>
                </c:pt>
                <c:pt idx="3">
                  <c:v>0</c:v>
                </c:pt>
                <c:pt idx="4">
                  <c:v>0</c:v>
                </c:pt>
                <c:pt idx="5">
                  <c:v>0</c:v>
                </c:pt>
                <c:pt idx="6" formatCode="0.00">
                  <c:v>103.78901288942717</c:v>
                </c:pt>
                <c:pt idx="7" formatCode="0.00">
                  <c:v>94.926905277603382</c:v>
                </c:pt>
                <c:pt idx="8" formatCode="0.00">
                  <c:v>6.986301369863015</c:v>
                </c:pt>
              </c:numCache>
            </c:numRef>
          </c:val>
          <c:extLst>
            <c:ext xmlns:c16="http://schemas.microsoft.com/office/drawing/2014/chart" uri="{C3380CC4-5D6E-409C-BE32-E72D297353CC}">
              <c16:uniqueId val="{00000007-38F7-4E24-8E0F-D03E0B3B5016}"/>
            </c:ext>
          </c:extLst>
        </c:ser>
        <c:ser>
          <c:idx val="8"/>
          <c:order val="9"/>
          <c:tx>
            <c:strRef>
              <c:f>'Figure Results ReCiPe (I)'!$K$5</c:f>
              <c:strCache>
                <c:ptCount val="1"/>
                <c:pt idx="0">
                  <c:v>CO2 captured and stored</c:v>
                </c:pt>
              </c:strCache>
            </c:strRef>
          </c:tx>
          <c:spPr>
            <a:solidFill>
              <a:schemeClr val="tx2">
                <a:lumMod val="20000"/>
                <a:lumOff val="80000"/>
              </a:schemeClr>
            </a:solidFill>
            <a:ln w="19050">
              <a:noFill/>
            </a:ln>
            <a:effectLst/>
          </c:spPr>
          <c:invertIfNegative val="0"/>
          <c:cat>
            <c:multiLvlStrRef>
              <c:f>'Figure Results ReCiPe (I)'!$A$6:$B$14</c:f>
              <c:multiLvlStrCache>
                <c:ptCount val="9"/>
                <c:lvl>
                  <c:pt idx="0">
                    <c:v>3-4°C </c:v>
                  </c:pt>
                  <c:pt idx="1">
                    <c:v>1.6-1.8°C </c:v>
                  </c:pt>
                  <c:pt idx="2">
                    <c:v>1.2-1.4°C</c:v>
                  </c:pt>
                  <c:pt idx="3">
                    <c:v>3-4°C </c:v>
                  </c:pt>
                  <c:pt idx="4">
                    <c:v>1.6-1.8°C </c:v>
                  </c:pt>
                  <c:pt idx="5">
                    <c:v>1.2-1.4°C</c:v>
                  </c:pt>
                  <c:pt idx="6">
                    <c:v>3-4°C </c:v>
                  </c:pt>
                  <c:pt idx="7">
                    <c:v>1.6-1.8°C </c:v>
                  </c:pt>
                  <c:pt idx="8">
                    <c:v>1.2-1.4°C</c:v>
                  </c:pt>
                </c:lvl>
                <c:lvl>
                  <c:pt idx="0">
                    <c:v>Grid</c:v>
                  </c:pt>
                  <c:pt idx="3">
                    <c:v>Hybrid</c:v>
                  </c:pt>
                  <c:pt idx="6">
                    <c:v>Wind</c:v>
                  </c:pt>
                </c:lvl>
              </c:multiLvlStrCache>
            </c:multiLvlStrRef>
          </c:cat>
          <c:val>
            <c:numRef>
              <c:f>'Figure Results ReCiPe (I)'!$K$6:$K$14</c:f>
              <c:numCache>
                <c:formatCode>0.00E+00</c:formatCode>
                <c:ptCount val="9"/>
                <c:pt idx="0">
                  <c:v>-1000</c:v>
                </c:pt>
                <c:pt idx="1">
                  <c:v>-1000</c:v>
                </c:pt>
                <c:pt idx="2">
                  <c:v>-1000</c:v>
                </c:pt>
                <c:pt idx="3">
                  <c:v>-1000</c:v>
                </c:pt>
                <c:pt idx="4">
                  <c:v>-1000</c:v>
                </c:pt>
                <c:pt idx="5">
                  <c:v>-1000</c:v>
                </c:pt>
                <c:pt idx="6">
                  <c:v>-1000</c:v>
                </c:pt>
                <c:pt idx="7">
                  <c:v>-1000</c:v>
                </c:pt>
                <c:pt idx="8">
                  <c:v>-1000</c:v>
                </c:pt>
              </c:numCache>
            </c:numRef>
          </c:val>
          <c:extLst>
            <c:ext xmlns:c16="http://schemas.microsoft.com/office/drawing/2014/chart" uri="{C3380CC4-5D6E-409C-BE32-E72D297353CC}">
              <c16:uniqueId val="{00000008-38F7-4E24-8E0F-D03E0B3B5016}"/>
            </c:ext>
          </c:extLst>
        </c:ser>
        <c:dLbls>
          <c:showLegendKey val="0"/>
          <c:showVal val="0"/>
          <c:showCatName val="0"/>
          <c:showSerName val="0"/>
          <c:showPercent val="0"/>
          <c:showBubbleSize val="0"/>
        </c:dLbls>
        <c:gapWidth val="150"/>
        <c:overlap val="100"/>
        <c:axId val="134262272"/>
        <c:axId val="135299072"/>
      </c:barChart>
      <c:scatterChart>
        <c:scatterStyle val="lineMarker"/>
        <c:varyColors val="0"/>
        <c:ser>
          <c:idx val="2"/>
          <c:order val="7"/>
          <c:tx>
            <c:strRef>
              <c:f>'Figure Results ReCiPe (I)'!$L$5</c:f>
              <c:strCache>
                <c:ptCount val="1"/>
                <c:pt idx="0">
                  <c:v>Total</c:v>
                </c:pt>
              </c:strCache>
            </c:strRef>
          </c:tx>
          <c:spPr>
            <a:ln w="19050" cap="rnd" cmpd="sng" algn="ctr">
              <a:noFill/>
              <a:prstDash val="solid"/>
              <a:round/>
            </a:ln>
            <a:effectLst/>
          </c:spPr>
          <c:marker>
            <c:symbol val="circle"/>
            <c:size val="7"/>
            <c:spPr>
              <a:solidFill>
                <a:schemeClr val="tx1"/>
              </a:solidFill>
              <a:ln w="6350" cap="flat" cmpd="sng" algn="ctr">
                <a:noFill/>
                <a:prstDash val="solid"/>
                <a:round/>
              </a:ln>
              <a:effectLst/>
            </c:spPr>
          </c:marker>
          <c:dLbls>
            <c:spPr>
              <a:noFill/>
              <a:ln>
                <a:noFill/>
              </a:ln>
              <a:effectLst/>
            </c:spPr>
            <c:txPr>
              <a:bodyPr rot="0" spcFirstLastPara="1" vertOverflow="ellipsis" vert="horz" wrap="square" lIns="0" tIns="0" rIns="0" bIns="0" anchor="ctr" anchorCtr="1"/>
              <a:lstStyle/>
              <a:p>
                <a:pPr>
                  <a:defRPr sz="1200" b="0"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dLblPos val="t"/>
            <c:showLegendKey val="0"/>
            <c:showVal val="0"/>
            <c:showCatName val="1"/>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LeaderLines val="1"/>
                <c15:leaderLines>
                  <c:spPr>
                    <a:ln w="6350" cap="flat" cmpd="sng" algn="ctr">
                      <a:solidFill>
                        <a:schemeClr val="tx1"/>
                      </a:solidFill>
                      <a:prstDash val="solid"/>
                      <a:round/>
                    </a:ln>
                    <a:effectLst/>
                  </c:spPr>
                </c15:leaderLines>
              </c:ext>
            </c:extLst>
          </c:dLbls>
          <c:xVal>
            <c:numRef>
              <c:f>'Figure Results ReCiPe (I)'!$L$6:$L$14</c:f>
              <c:numCache>
                <c:formatCode>0</c:formatCode>
                <c:ptCount val="9"/>
                <c:pt idx="0">
                  <c:v>-303.49906659053676</c:v>
                </c:pt>
                <c:pt idx="1">
                  <c:v>-808.37944876361234</c:v>
                </c:pt>
                <c:pt idx="2">
                  <c:v>-955.43528423585042</c:v>
                </c:pt>
                <c:pt idx="3">
                  <c:v>-444.31624013820891</c:v>
                </c:pt>
                <c:pt idx="4">
                  <c:v>-840.53144019483216</c:v>
                </c:pt>
                <c:pt idx="5">
                  <c:v>-957.44021476170167</c:v>
                </c:pt>
                <c:pt idx="6">
                  <c:v>-719.5561985745004</c:v>
                </c:pt>
                <c:pt idx="7">
                  <c:v>-789.56912339830728</c:v>
                </c:pt>
                <c:pt idx="8">
                  <c:v>-909.00501443556914</c:v>
                </c:pt>
              </c:numCache>
            </c:numRef>
          </c:xVal>
          <c:yVal>
            <c:numRef>
              <c:f>'Figure Results ReCiPe (I)'!$M$6:$M$14</c:f>
              <c:numCache>
                <c:formatCode>General</c:formatCode>
                <c:ptCount val="9"/>
                <c:pt idx="0">
                  <c:v>8.5</c:v>
                </c:pt>
                <c:pt idx="1">
                  <c:v>7.5</c:v>
                </c:pt>
                <c:pt idx="2">
                  <c:v>6.5</c:v>
                </c:pt>
                <c:pt idx="3">
                  <c:v>5.5</c:v>
                </c:pt>
                <c:pt idx="4">
                  <c:v>4.5</c:v>
                </c:pt>
                <c:pt idx="5">
                  <c:v>3.5</c:v>
                </c:pt>
                <c:pt idx="6">
                  <c:v>2.5</c:v>
                </c:pt>
                <c:pt idx="7">
                  <c:v>1.5</c:v>
                </c:pt>
                <c:pt idx="8">
                  <c:v>0.5</c:v>
                </c:pt>
              </c:numCache>
            </c:numRef>
          </c:yVal>
          <c:smooth val="0"/>
          <c:extLst>
            <c:ext xmlns:c16="http://schemas.microsoft.com/office/drawing/2014/chart" uri="{C3380CC4-5D6E-409C-BE32-E72D297353CC}">
              <c16:uniqueId val="{00000009-38F7-4E24-8E0F-D03E0B3B5016}"/>
            </c:ext>
          </c:extLst>
        </c:ser>
        <c:dLbls>
          <c:showLegendKey val="0"/>
          <c:showVal val="0"/>
          <c:showCatName val="0"/>
          <c:showSerName val="0"/>
          <c:showPercent val="0"/>
          <c:showBubbleSize val="0"/>
        </c:dLbls>
        <c:axId val="620675072"/>
        <c:axId val="620677376"/>
      </c:scatterChart>
      <c:catAx>
        <c:axId val="134262272"/>
        <c:scaling>
          <c:orientation val="maxMin"/>
        </c:scaling>
        <c:delete val="0"/>
        <c:axPos val="l"/>
        <c:numFmt formatCode="@" sourceLinked="0"/>
        <c:majorTickMark val="none"/>
        <c:minorTickMark val="none"/>
        <c:tickLblPos val="low"/>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200" b="1"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crossAx val="135299072"/>
        <c:crossesAt val="0"/>
        <c:auto val="1"/>
        <c:lblAlgn val="ctr"/>
        <c:lblOffset val="100"/>
        <c:noMultiLvlLbl val="0"/>
      </c:catAx>
      <c:valAx>
        <c:axId val="135299072"/>
        <c:scaling>
          <c:orientation val="minMax"/>
          <c:max val="1200"/>
          <c:min val="-1200"/>
        </c:scaling>
        <c:delete val="0"/>
        <c:axPos val="b"/>
        <c:title>
          <c:tx>
            <c:rich>
              <a:bodyPr rot="0" spcFirstLastPara="1" vertOverflow="ellipsis" vert="horz" wrap="square" anchor="ctr" anchorCtr="1"/>
              <a:lstStyle/>
              <a:p>
                <a:pPr>
                  <a:defRPr sz="1200" b="1" i="0" u="none" strike="noStrike" kern="1200" baseline="0">
                    <a:solidFill>
                      <a:schemeClr val="tx1"/>
                    </a:solidFill>
                    <a:latin typeface="Verdana Pro" panose="020B0604030504040204" pitchFamily="34" charset="0"/>
                    <a:ea typeface="+mn-ea"/>
                    <a:cs typeface="Times New Roman" panose="02020603050405020304" pitchFamily="18" charset="0"/>
                  </a:defRPr>
                </a:pPr>
                <a:r>
                  <a:rPr lang="en-GB"/>
                  <a:t>Climate change [kg CO</a:t>
                </a:r>
                <a:r>
                  <a:rPr lang="en-GB" baseline="-25000"/>
                  <a:t>2-eq</a:t>
                </a:r>
                <a:r>
                  <a:rPr lang="en-GB"/>
                  <a:t>/ton CO</a:t>
                </a:r>
                <a:r>
                  <a:rPr lang="en-GB" baseline="-25000"/>
                  <a:t>2</a:t>
                </a:r>
                <a:r>
                  <a:rPr lang="en-GB"/>
                  <a:t> captured and stored]</a:t>
                </a:r>
              </a:p>
            </c:rich>
          </c:tx>
          <c:layout>
            <c:manualLayout>
              <c:xMode val="edge"/>
              <c:yMode val="edge"/>
              <c:x val="0.27800052377388296"/>
              <c:y val="0.78551286617398275"/>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title>
        <c:numFmt formatCode="0" sourceLinked="0"/>
        <c:majorTickMark val="out"/>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200" b="0"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crossAx val="134262272"/>
        <c:crosses val="max"/>
        <c:crossBetween val="between"/>
        <c:majorUnit val="300"/>
      </c:valAx>
      <c:valAx>
        <c:axId val="620677376"/>
        <c:scaling>
          <c:orientation val="minMax"/>
        </c:scaling>
        <c:delete val="1"/>
        <c:axPos val="r"/>
        <c:numFmt formatCode="General" sourceLinked="1"/>
        <c:majorTickMark val="out"/>
        <c:minorTickMark val="none"/>
        <c:tickLblPos val="nextTo"/>
        <c:crossAx val="620675072"/>
        <c:crosses val="max"/>
        <c:crossBetween val="midCat"/>
      </c:valAx>
      <c:valAx>
        <c:axId val="620675072"/>
        <c:scaling>
          <c:orientation val="minMax"/>
        </c:scaling>
        <c:delete val="1"/>
        <c:axPos val="b"/>
        <c:numFmt formatCode="0" sourceLinked="1"/>
        <c:majorTickMark val="out"/>
        <c:minorTickMark val="none"/>
        <c:tickLblPos val="nextTo"/>
        <c:crossAx val="620677376"/>
        <c:crossesAt val="0"/>
        <c:crossBetween val="midCat"/>
      </c:valAx>
      <c:spPr>
        <a:solidFill>
          <a:schemeClr val="bg1"/>
        </a:solidFill>
        <a:ln>
          <a:noFill/>
        </a:ln>
        <a:effectLst/>
      </c:spPr>
    </c:plotArea>
    <c:legend>
      <c:legendPos val="b"/>
      <c:layout>
        <c:manualLayout>
          <c:xMode val="edge"/>
          <c:yMode val="edge"/>
          <c:x val="0"/>
          <c:y val="0.85299752179962662"/>
          <c:w val="1"/>
          <c:h val="0.14488198973620317"/>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Verdana Pro" panose="020B0604030504040204" pitchFamily="34" charset="0"/>
              <a:ea typeface="+mn-ea"/>
              <a:cs typeface="Times New Roman" panose="02020603050405020304" pitchFamily="18" charset="0"/>
            </a:defRPr>
          </a:pPr>
          <a:endParaRPr lang="en-NL"/>
        </a:p>
      </c:txPr>
    </c:legend>
    <c:plotVisOnly val="1"/>
    <c:dispBlanksAs val="gap"/>
    <c:showDLblsOverMax val="0"/>
  </c:chart>
  <c:spPr>
    <a:noFill/>
    <a:ln w="6350" cap="flat" cmpd="sng" algn="ctr">
      <a:noFill/>
      <a:prstDash val="solid"/>
      <a:round/>
    </a:ln>
    <a:effectLst/>
  </c:spPr>
  <c:txPr>
    <a:bodyPr/>
    <a:lstStyle/>
    <a:p>
      <a:pPr>
        <a:defRPr sz="1200">
          <a:solidFill>
            <a:schemeClr val="tx1"/>
          </a:solidFill>
          <a:latin typeface="Verdana Pro" panose="020B0604030504040204" pitchFamily="34" charset="0"/>
          <a:cs typeface="Times New Roman" panose="02020603050405020304" pitchFamily="18" charset="0"/>
        </a:defRPr>
      </a:pPr>
      <a:endParaRPr lang="en-NL"/>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(E) - HHD'!$AB$50</c:f>
              <c:strCache>
                <c:ptCount val="1"/>
                <c:pt idx="0">
                  <c:v>Construction - DAC</c:v>
                </c:pt>
              </c:strCache>
            </c:strRef>
          </c:tx>
          <c:spPr>
            <a:solidFill>
              <a:schemeClr val="accent4">
                <a:lumMod val="75000"/>
              </a:schemeClr>
            </a:solidFill>
            <a:ln>
              <a:noFill/>
            </a:ln>
            <a:effectLst/>
          </c:spPr>
          <c:invertIfNegative val="0"/>
          <c:cat>
            <c:numRef>
              <c:f>'Results ReCiPe (E) - HHD'!$AC$49:$BA$49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HHD'!$AC$50:$BA$50</c:f>
              <c:numCache>
                <c:formatCode>0.00E+00</c:formatCode>
                <c:ptCount val="25"/>
                <c:pt idx="0">
                  <c:v>15.163625338196166</c:v>
                </c:pt>
              </c:numCache>
            </c:numRef>
          </c:val>
          <c:extLst>
            <c:ext xmlns:c16="http://schemas.microsoft.com/office/drawing/2014/chart" uri="{C3380CC4-5D6E-409C-BE32-E72D297353CC}">
              <c16:uniqueId val="{00000000-A24B-4AA2-B644-46432331939E}"/>
            </c:ext>
          </c:extLst>
        </c:ser>
        <c:ser>
          <c:idx val="1"/>
          <c:order val="1"/>
          <c:tx>
            <c:strRef>
              <c:f>'Results ReCiPe (E) - HHD'!$AB$51</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(E) - HHD'!$AC$49:$BA$49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HHD'!$AC$51:$BA$51</c:f>
              <c:numCache>
                <c:formatCode>0.00E+00</c:formatCode>
                <c:ptCount val="25"/>
                <c:pt idx="0">
                  <c:v>0.56825338316202001</c:v>
                </c:pt>
              </c:numCache>
            </c:numRef>
          </c:val>
          <c:extLst>
            <c:ext xmlns:c16="http://schemas.microsoft.com/office/drawing/2014/chart" uri="{C3380CC4-5D6E-409C-BE32-E72D297353CC}">
              <c16:uniqueId val="{00000001-A24B-4AA2-B644-46432331939E}"/>
            </c:ext>
          </c:extLst>
        </c:ser>
        <c:ser>
          <c:idx val="2"/>
          <c:order val="2"/>
          <c:tx>
            <c:strRef>
              <c:f>'Results ReCiPe (E) - HHD'!$AB$52</c:f>
              <c:strCache>
                <c:ptCount val="1"/>
                <c:pt idx="0">
                  <c:v>Deconstruction - DAC</c:v>
                </c:pt>
              </c:strCache>
            </c:strRef>
          </c:tx>
          <c:spPr>
            <a:solidFill>
              <a:schemeClr val="accent2">
                <a:lumMod val="40000"/>
                <a:lumOff val="60000"/>
              </a:schemeClr>
            </a:solidFill>
            <a:ln>
              <a:noFill/>
            </a:ln>
            <a:effectLst/>
          </c:spPr>
          <c:invertIfNegative val="0"/>
          <c:cat>
            <c:numRef>
              <c:f>'Results ReCiPe (E) - HHD'!$AC$49:$BA$49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HHD'!$AC$52:$BA$52</c:f>
              <c:numCache>
                <c:formatCode>0.00E+00</c:formatCode>
                <c:ptCount val="25"/>
                <c:pt idx="24">
                  <c:v>0.1255608424989286</c:v>
                </c:pt>
              </c:numCache>
            </c:numRef>
          </c:val>
          <c:extLst>
            <c:ext xmlns:c16="http://schemas.microsoft.com/office/drawing/2014/chart" uri="{C3380CC4-5D6E-409C-BE32-E72D297353CC}">
              <c16:uniqueId val="{00000002-A24B-4AA2-B644-46432331939E}"/>
            </c:ext>
          </c:extLst>
        </c:ser>
        <c:ser>
          <c:idx val="3"/>
          <c:order val="3"/>
          <c:tx>
            <c:strRef>
              <c:f>'Results ReCiPe (E) - HHD'!$AB$53</c:f>
              <c:strCache>
                <c:ptCount val="1"/>
                <c:pt idx="0">
                  <c:v>Deconstruction - geological storage</c:v>
                </c:pt>
              </c:strCache>
            </c:strRef>
          </c:tx>
          <c:spPr>
            <a:solidFill>
              <a:srgbClr val="FF9900"/>
            </a:solidFill>
            <a:ln>
              <a:noFill/>
            </a:ln>
            <a:effectLst/>
          </c:spPr>
          <c:invertIfNegative val="0"/>
          <c:cat>
            <c:numRef>
              <c:f>'Results ReCiPe (E) - HHD'!$AC$49:$BA$49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HHD'!$AC$53:$BA$53</c:f>
              <c:numCache>
                <c:formatCode>0.00E+00</c:formatCode>
                <c:ptCount val="25"/>
                <c:pt idx="24">
                  <c:v>1.8015168397394004E-3</c:v>
                </c:pt>
              </c:numCache>
            </c:numRef>
          </c:val>
          <c:extLst>
            <c:ext xmlns:c16="http://schemas.microsoft.com/office/drawing/2014/chart" uri="{C3380CC4-5D6E-409C-BE32-E72D297353CC}">
              <c16:uniqueId val="{00000003-A24B-4AA2-B644-46432331939E}"/>
            </c:ext>
          </c:extLst>
        </c:ser>
        <c:ser>
          <c:idx val="4"/>
          <c:order val="4"/>
          <c:tx>
            <c:strRef>
              <c:f>'Results ReCiPe (E) - HHD'!$AB$54</c:f>
              <c:strCache>
                <c:ptCount val="1"/>
                <c:pt idx="0">
                  <c:v>Sorbent material</c:v>
                </c:pt>
              </c:strCache>
            </c:strRef>
          </c:tx>
          <c:spPr>
            <a:solidFill>
              <a:srgbClr val="FF8F8F"/>
            </a:solidFill>
            <a:ln>
              <a:noFill/>
            </a:ln>
            <a:effectLst/>
          </c:spPr>
          <c:invertIfNegative val="0"/>
          <c:cat>
            <c:numRef>
              <c:f>'Results ReCiPe (E) - HHD'!$AC$49:$BA$49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HHD'!$AC$54:$BA$54</c:f>
              <c:numCache>
                <c:formatCode>0.00E+00</c:formatCode>
                <c:ptCount val="25"/>
                <c:pt idx="0">
                  <c:v>0.14634543908972419</c:v>
                </c:pt>
                <c:pt idx="3">
                  <c:v>0.144700117717494</c:v>
                </c:pt>
                <c:pt idx="6">
                  <c:v>0.14300322402923241</c:v>
                </c:pt>
                <c:pt idx="9">
                  <c:v>0.14146113160521259</c:v>
                </c:pt>
                <c:pt idx="12">
                  <c:v>0.13996239429028681</c:v>
                </c:pt>
                <c:pt idx="15">
                  <c:v>0.13861595410465891</c:v>
                </c:pt>
                <c:pt idx="18">
                  <c:v>0.1378128975848889</c:v>
                </c:pt>
                <c:pt idx="21">
                  <c:v>0.13722954493495951</c:v>
                </c:pt>
                <c:pt idx="24">
                  <c:v>0.13710363329546579</c:v>
                </c:pt>
              </c:numCache>
            </c:numRef>
          </c:val>
          <c:extLst>
            <c:ext xmlns:c16="http://schemas.microsoft.com/office/drawing/2014/chart" uri="{C3380CC4-5D6E-409C-BE32-E72D297353CC}">
              <c16:uniqueId val="{00000004-A24B-4AA2-B644-46432331939E}"/>
            </c:ext>
          </c:extLst>
        </c:ser>
        <c:ser>
          <c:idx val="5"/>
          <c:order val="5"/>
          <c:tx>
            <c:strRef>
              <c:f>'Results ReCiPe (E) - HHD'!$AB$55</c:f>
              <c:strCache>
                <c:ptCount val="1"/>
                <c:pt idx="0">
                  <c:v>Operation - DAC</c:v>
                </c:pt>
              </c:strCache>
            </c:strRef>
          </c:tx>
          <c:spPr>
            <a:solidFill>
              <a:schemeClr val="accent2">
                <a:lumMod val="75000"/>
              </a:schemeClr>
            </a:solidFill>
            <a:ln>
              <a:noFill/>
            </a:ln>
            <a:effectLst/>
          </c:spPr>
          <c:invertIfNegative val="0"/>
          <c:cat>
            <c:numRef>
              <c:f>'Results ReCiPe (E) - HHD'!$AC$49:$BA$49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HHD'!$AC$55:$BA$55</c:f>
              <c:numCache>
                <c:formatCode>0.00E+00</c:formatCode>
                <c:ptCount val="25"/>
                <c:pt idx="0">
                  <c:v>2.451724740800556</c:v>
                </c:pt>
                <c:pt idx="1">
                  <c:v>2.255746180971077</c:v>
                </c:pt>
                <c:pt idx="2">
                  <c:v>2.0596126680614439</c:v>
                </c:pt>
                <c:pt idx="3">
                  <c:v>1.8636891919362819</c:v>
                </c:pt>
                <c:pt idx="4">
                  <c:v>1.6672496151323251</c:v>
                </c:pt>
                <c:pt idx="5">
                  <c:v>1.470645521292405</c:v>
                </c:pt>
                <c:pt idx="6">
                  <c:v>1.399675334368562</c:v>
                </c:pt>
                <c:pt idx="7">
                  <c:v>1.3289052935042971</c:v>
                </c:pt>
                <c:pt idx="8">
                  <c:v>1.2587837316745369</c:v>
                </c:pt>
                <c:pt idx="9">
                  <c:v>1.188232150312958</c:v>
                </c:pt>
                <c:pt idx="10">
                  <c:v>1.117732072766036</c:v>
                </c:pt>
                <c:pt idx="11">
                  <c:v>1.0978572281657439</c:v>
                </c:pt>
                <c:pt idx="12">
                  <c:v>1.077903231489266</c:v>
                </c:pt>
                <c:pt idx="13">
                  <c:v>1.058207905154732</c:v>
                </c:pt>
                <c:pt idx="14">
                  <c:v>1.038049470266218</c:v>
                </c:pt>
                <c:pt idx="15">
                  <c:v>1.0177723722873919</c:v>
                </c:pt>
                <c:pt idx="16">
                  <c:v>1.0271437682999369</c:v>
                </c:pt>
                <c:pt idx="17">
                  <c:v>1.036448728542396</c:v>
                </c:pt>
                <c:pt idx="18">
                  <c:v>1.045919405710775</c:v>
                </c:pt>
                <c:pt idx="19">
                  <c:v>1.055088824127391</c:v>
                </c:pt>
                <c:pt idx="20">
                  <c:v>1.064189174303664</c:v>
                </c:pt>
                <c:pt idx="21">
                  <c:v>1.0716873966338709</c:v>
                </c:pt>
                <c:pt idx="22">
                  <c:v>1.078940781927382</c:v>
                </c:pt>
                <c:pt idx="23">
                  <c:v>1.0862322755800391</c:v>
                </c:pt>
                <c:pt idx="24">
                  <c:v>1.0935582834365529</c:v>
                </c:pt>
              </c:numCache>
            </c:numRef>
          </c:val>
          <c:extLst>
            <c:ext xmlns:c16="http://schemas.microsoft.com/office/drawing/2014/chart" uri="{C3380CC4-5D6E-409C-BE32-E72D297353CC}">
              <c16:uniqueId val="{00000005-A24B-4AA2-B644-46432331939E}"/>
            </c:ext>
          </c:extLst>
        </c:ser>
        <c:ser>
          <c:idx val="6"/>
          <c:order val="6"/>
          <c:tx>
            <c:strRef>
              <c:f>'Results ReCiPe (E) - HHD'!$AB$56</c:f>
              <c:strCache>
                <c:ptCount val="1"/>
                <c:pt idx="0">
                  <c:v>Operation - geological storage</c:v>
                </c:pt>
              </c:strCache>
            </c:strRef>
          </c:tx>
          <c:spPr>
            <a:solidFill>
              <a:schemeClr val="accent2">
                <a:lumMod val="50000"/>
              </a:schemeClr>
            </a:solidFill>
            <a:ln>
              <a:noFill/>
            </a:ln>
            <a:effectLst/>
          </c:spPr>
          <c:invertIfNegative val="0"/>
          <c:cat>
            <c:numRef>
              <c:f>'Results ReCiPe (E) - HHD'!$AC$49:$BA$49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HHD'!$AC$56:$BA$56</c:f>
              <c:numCache>
                <c:formatCode>0.00E+00</c:formatCode>
                <c:ptCount val="25"/>
                <c:pt idx="0">
                  <c:v>3.3496960877119671E-3</c:v>
                </c:pt>
                <c:pt idx="1">
                  <c:v>0.31998154455019479</c:v>
                </c:pt>
                <c:pt idx="2">
                  <c:v>0.30505085367021373</c:v>
                </c:pt>
                <c:pt idx="3">
                  <c:v>0.29020866439963255</c:v>
                </c:pt>
                <c:pt idx="4">
                  <c:v>0.27539292782227176</c:v>
                </c:pt>
                <c:pt idx="5">
                  <c:v>0.2606338785022429</c:v>
                </c:pt>
                <c:pt idx="6">
                  <c:v>0.25526106510858937</c:v>
                </c:pt>
                <c:pt idx="7">
                  <c:v>0.24991471438999321</c:v>
                </c:pt>
                <c:pt idx="8">
                  <c:v>0.24463512752201841</c:v>
                </c:pt>
                <c:pt idx="9">
                  <c:v>0.2393269071405254</c:v>
                </c:pt>
                <c:pt idx="10">
                  <c:v>0.23403312355110722</c:v>
                </c:pt>
                <c:pt idx="11">
                  <c:v>0.23243810228026307</c:v>
                </c:pt>
                <c:pt idx="12">
                  <c:v>0.23083901682335423</c:v>
                </c:pt>
                <c:pt idx="13">
                  <c:v>0.22926535867646819</c:v>
                </c:pt>
                <c:pt idx="14">
                  <c:v>0.2276542142571191</c:v>
                </c:pt>
                <c:pt idx="15">
                  <c:v>0.2260356161254454</c:v>
                </c:pt>
                <c:pt idx="16">
                  <c:v>0.22645689440946279</c:v>
                </c:pt>
                <c:pt idx="17">
                  <c:v>0.22687918407877519</c:v>
                </c:pt>
                <c:pt idx="18">
                  <c:v>0.22732236809434692</c:v>
                </c:pt>
                <c:pt idx="19">
                  <c:v>0.2277460722875953</c:v>
                </c:pt>
                <c:pt idx="20">
                  <c:v>0.22817018141708342</c:v>
                </c:pt>
                <c:pt idx="21">
                  <c:v>0.2288755068743121</c:v>
                </c:pt>
                <c:pt idx="22">
                  <c:v>0.2295579190194002</c:v>
                </c:pt>
                <c:pt idx="23">
                  <c:v>0.23024146468381021</c:v>
                </c:pt>
                <c:pt idx="24">
                  <c:v>0.23092571499286862</c:v>
                </c:pt>
              </c:numCache>
            </c:numRef>
          </c:val>
          <c:extLst>
            <c:ext xmlns:c16="http://schemas.microsoft.com/office/drawing/2014/chart" uri="{C3380CC4-5D6E-409C-BE32-E72D297353CC}">
              <c16:uniqueId val="{00000006-A24B-4AA2-B644-46432331939E}"/>
            </c:ext>
          </c:extLst>
        </c:ser>
        <c:ser>
          <c:idx val="7"/>
          <c:order val="7"/>
          <c:tx>
            <c:strRef>
              <c:f>'Results ReCiPe (E) - HHD'!$AB$57</c:f>
              <c:strCache>
                <c:ptCount val="1"/>
                <c:pt idx="0">
                  <c:v>CO2 captured and stored</c:v>
                </c:pt>
              </c:strCache>
            </c:strRef>
          </c:tx>
          <c:spPr>
            <a:solidFill>
              <a:schemeClr val="tx2">
                <a:lumMod val="20000"/>
                <a:lumOff val="80000"/>
              </a:schemeClr>
            </a:solidFill>
            <a:ln>
              <a:noFill/>
            </a:ln>
            <a:effectLst/>
          </c:spPr>
          <c:invertIfNegative val="0"/>
          <c:cat>
            <c:numRef>
              <c:f>'Results ReCiPe (E) - HHD'!$AC$49:$BA$49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HHD'!$AC$57:$BA$57</c:f>
              <c:numCache>
                <c:formatCode>0.00E+00</c:formatCode>
                <c:ptCount val="25"/>
                <c:pt idx="0">
                  <c:v>-1.25</c:v>
                </c:pt>
                <c:pt idx="1">
                  <c:v>-1.25</c:v>
                </c:pt>
                <c:pt idx="2">
                  <c:v>-1.25</c:v>
                </c:pt>
                <c:pt idx="3">
                  <c:v>-1.25</c:v>
                </c:pt>
                <c:pt idx="4">
                  <c:v>-1.25</c:v>
                </c:pt>
                <c:pt idx="5">
                  <c:v>-1.25</c:v>
                </c:pt>
                <c:pt idx="6">
                  <c:v>-1.25</c:v>
                </c:pt>
                <c:pt idx="7">
                  <c:v>-1.25</c:v>
                </c:pt>
                <c:pt idx="8">
                  <c:v>-1.25</c:v>
                </c:pt>
                <c:pt idx="9">
                  <c:v>-1.25</c:v>
                </c:pt>
                <c:pt idx="10">
                  <c:v>-1.25</c:v>
                </c:pt>
                <c:pt idx="11">
                  <c:v>-1.25</c:v>
                </c:pt>
                <c:pt idx="12">
                  <c:v>-1.25</c:v>
                </c:pt>
                <c:pt idx="13">
                  <c:v>-1.25</c:v>
                </c:pt>
                <c:pt idx="14">
                  <c:v>-1.25</c:v>
                </c:pt>
                <c:pt idx="15">
                  <c:v>-1.25</c:v>
                </c:pt>
                <c:pt idx="16">
                  <c:v>-1.25</c:v>
                </c:pt>
                <c:pt idx="17">
                  <c:v>-1.25</c:v>
                </c:pt>
                <c:pt idx="18">
                  <c:v>-1.25</c:v>
                </c:pt>
                <c:pt idx="19">
                  <c:v>-1.25</c:v>
                </c:pt>
                <c:pt idx="20">
                  <c:v>-1.25</c:v>
                </c:pt>
                <c:pt idx="21">
                  <c:v>-1.25</c:v>
                </c:pt>
                <c:pt idx="22">
                  <c:v>-1.25</c:v>
                </c:pt>
                <c:pt idx="23">
                  <c:v>-1.25</c:v>
                </c:pt>
                <c:pt idx="24">
                  <c:v>-1.25</c:v>
                </c:pt>
              </c:numCache>
            </c:numRef>
          </c:val>
          <c:extLst>
            <c:ext xmlns:c16="http://schemas.microsoft.com/office/drawing/2014/chart" uri="{C3380CC4-5D6E-409C-BE32-E72D297353CC}">
              <c16:uniqueId val="{00000007-A24B-4AA2-B644-46432331939E}"/>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(E) - HHD'!$AB$58</c:f>
              <c:strCache>
                <c:ptCount val="1"/>
                <c:pt idx="0">
                  <c:v>TOTAL per year</c:v>
                </c:pt>
              </c:strCache>
            </c:strRef>
          </c:tx>
          <c:spPr>
            <a:ln w="25400" cap="rnd">
              <a:noFill/>
              <a:round/>
            </a:ln>
            <a:effectLst/>
          </c:spPr>
          <c:marker>
            <c:symbol val="circle"/>
            <c:size val="5"/>
            <c:spPr>
              <a:solidFill>
                <a:schemeClr val="tx1"/>
              </a:solidFill>
              <a:ln w="9525">
                <a:solidFill>
                  <a:schemeClr val="tx1"/>
                </a:solidFill>
              </a:ln>
              <a:effectLst/>
            </c:spPr>
          </c:marker>
          <c:cat>
            <c:numRef>
              <c:f>'Results ReCiPe (E) - HHD'!$AC$49:$BA$49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HHD'!$AC$58:$BA$58</c:f>
              <c:numCache>
                <c:formatCode>0.00E+00</c:formatCode>
                <c:ptCount val="25"/>
                <c:pt idx="0">
                  <c:v>17.083298597336182</c:v>
                </c:pt>
                <c:pt idx="1">
                  <c:v>1.325727725521272</c:v>
                </c:pt>
                <c:pt idx="2">
                  <c:v>1.1146635217316576</c:v>
                </c:pt>
                <c:pt idx="3">
                  <c:v>1.0485979740534082</c:v>
                </c:pt>
                <c:pt idx="4">
                  <c:v>0.69264254295459682</c:v>
                </c:pt>
                <c:pt idx="5">
                  <c:v>0.48127939979464784</c:v>
                </c:pt>
                <c:pt idx="6">
                  <c:v>0.54793962350638381</c:v>
                </c:pt>
                <c:pt idx="7">
                  <c:v>0.32882000789429022</c:v>
                </c:pt>
                <c:pt idx="8">
                  <c:v>0.25341885919655538</c:v>
                </c:pt>
                <c:pt idx="9">
                  <c:v>0.31902018905869589</c:v>
                </c:pt>
                <c:pt idx="10">
                  <c:v>0.10176519631714331</c:v>
                </c:pt>
                <c:pt idx="11">
                  <c:v>8.0295330446007007E-2</c:v>
                </c:pt>
                <c:pt idx="12">
                  <c:v>0.1987046426029071</c:v>
                </c:pt>
                <c:pt idx="13">
                  <c:v>3.7473263831200088E-2</c:v>
                </c:pt>
                <c:pt idx="14">
                  <c:v>1.5703684523337147E-2</c:v>
                </c:pt>
                <c:pt idx="15">
                  <c:v>0.13242394251749623</c:v>
                </c:pt>
                <c:pt idx="16">
                  <c:v>3.6006627093996268E-3</c:v>
                </c:pt>
                <c:pt idx="17">
                  <c:v>1.3327912621171167E-2</c:v>
                </c:pt>
                <c:pt idx="18">
                  <c:v>0.16105467139001073</c:v>
                </c:pt>
                <c:pt idx="19">
                  <c:v>3.283489641498627E-2</c:v>
                </c:pt>
                <c:pt idx="20">
                  <c:v>4.2359355720747338E-2</c:v>
                </c:pt>
                <c:pt idx="21">
                  <c:v>0.18779244844314236</c:v>
                </c:pt>
                <c:pt idx="22">
                  <c:v>5.8498700946782112E-2</c:v>
                </c:pt>
                <c:pt idx="23">
                  <c:v>6.6473740263849335E-2</c:v>
                </c:pt>
                <c:pt idx="24">
                  <c:v>0.33894999106355517</c:v>
                </c:pt>
              </c:numCache>
            </c:numRef>
          </c:val>
          <c:smooth val="0"/>
          <c:extLst>
            <c:ext xmlns:c16="http://schemas.microsoft.com/office/drawing/2014/chart" uri="{C3380CC4-5D6E-409C-BE32-E72D297353CC}">
              <c16:uniqueId val="{00000008-A24B-4AA2-B644-46432331939E}"/>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Human</a:t>
                </a:r>
                <a:r>
                  <a:rPr lang="nl-NL" baseline="0"/>
                  <a:t> health</a:t>
                </a:r>
                <a:r>
                  <a:rPr lang="nl-NL"/>
                  <a:t> damage </a:t>
                </a:r>
                <a:br>
                  <a:rPr lang="nl-NL"/>
                </a:br>
                <a:r>
                  <a:rPr lang="nl-NL"/>
                  <a:t>(DALY/ton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(E) - HHD'!$AB$90</c:f>
              <c:strCache>
                <c:ptCount val="1"/>
                <c:pt idx="0">
                  <c:v>Construction - DAC</c:v>
                </c:pt>
              </c:strCache>
            </c:strRef>
          </c:tx>
          <c:spPr>
            <a:solidFill>
              <a:schemeClr val="accent4">
                <a:lumMod val="75000"/>
              </a:schemeClr>
            </a:solidFill>
            <a:ln>
              <a:noFill/>
            </a:ln>
            <a:effectLst/>
          </c:spPr>
          <c:invertIfNegative val="0"/>
          <c:cat>
            <c:numRef>
              <c:f>'Results ReCiPe (E) - HHD'!$AC$89:$BA$89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HHD'!$AC$90:$BA$90</c:f>
              <c:numCache>
                <c:formatCode>0.00E+00</c:formatCode>
                <c:ptCount val="25"/>
                <c:pt idx="0">
                  <c:v>14.738379245035386</c:v>
                </c:pt>
              </c:numCache>
            </c:numRef>
          </c:val>
          <c:extLst>
            <c:ext xmlns:c16="http://schemas.microsoft.com/office/drawing/2014/chart" uri="{C3380CC4-5D6E-409C-BE32-E72D297353CC}">
              <c16:uniqueId val="{00000000-0935-437A-A04C-95F2CD7808F7}"/>
            </c:ext>
          </c:extLst>
        </c:ser>
        <c:ser>
          <c:idx val="1"/>
          <c:order val="1"/>
          <c:tx>
            <c:strRef>
              <c:f>'Results ReCiPe (E) - HHD'!$AB$91</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(E) - HHD'!$AC$89:$BA$89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HHD'!$AC$91:$BA$91</c:f>
              <c:numCache>
                <c:formatCode>0.00E+00</c:formatCode>
                <c:ptCount val="25"/>
                <c:pt idx="0">
                  <c:v>0.55066196758672803</c:v>
                </c:pt>
              </c:numCache>
            </c:numRef>
          </c:val>
          <c:extLst>
            <c:ext xmlns:c16="http://schemas.microsoft.com/office/drawing/2014/chart" uri="{C3380CC4-5D6E-409C-BE32-E72D297353CC}">
              <c16:uniqueId val="{00000001-0935-437A-A04C-95F2CD7808F7}"/>
            </c:ext>
          </c:extLst>
        </c:ser>
        <c:ser>
          <c:idx val="2"/>
          <c:order val="2"/>
          <c:tx>
            <c:strRef>
              <c:f>'Results ReCiPe (E) - HHD'!$AB$92</c:f>
              <c:strCache>
                <c:ptCount val="1"/>
                <c:pt idx="0">
                  <c:v>Deconstruction - DAC</c:v>
                </c:pt>
              </c:strCache>
            </c:strRef>
          </c:tx>
          <c:spPr>
            <a:solidFill>
              <a:schemeClr val="accent2">
                <a:lumMod val="40000"/>
                <a:lumOff val="60000"/>
              </a:schemeClr>
            </a:solidFill>
            <a:ln>
              <a:noFill/>
            </a:ln>
            <a:effectLst/>
          </c:spPr>
          <c:invertIfNegative val="0"/>
          <c:cat>
            <c:numRef>
              <c:f>'Results ReCiPe (E) - HHD'!$AC$89:$BA$89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HHD'!$AC$92:$BA$92</c:f>
              <c:numCache>
                <c:formatCode>0.00E+00</c:formatCode>
                <c:ptCount val="25"/>
                <c:pt idx="24">
                  <c:v>0.12481721799143849</c:v>
                </c:pt>
              </c:numCache>
            </c:numRef>
          </c:val>
          <c:extLst>
            <c:ext xmlns:c16="http://schemas.microsoft.com/office/drawing/2014/chart" uri="{C3380CC4-5D6E-409C-BE32-E72D297353CC}">
              <c16:uniqueId val="{00000002-0935-437A-A04C-95F2CD7808F7}"/>
            </c:ext>
          </c:extLst>
        </c:ser>
        <c:ser>
          <c:idx val="3"/>
          <c:order val="3"/>
          <c:tx>
            <c:strRef>
              <c:f>'Results ReCiPe (E) - HHD'!$AB$93</c:f>
              <c:strCache>
                <c:ptCount val="1"/>
                <c:pt idx="0">
                  <c:v>Deconstruction - geological storage</c:v>
                </c:pt>
              </c:strCache>
            </c:strRef>
          </c:tx>
          <c:spPr>
            <a:solidFill>
              <a:srgbClr val="FF9900"/>
            </a:solidFill>
            <a:ln>
              <a:noFill/>
            </a:ln>
            <a:effectLst/>
          </c:spPr>
          <c:invertIfNegative val="0"/>
          <c:cat>
            <c:numRef>
              <c:f>'Results ReCiPe (E) - HHD'!$AC$89:$BA$89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HHD'!$AC$93:$BA$93</c:f>
              <c:numCache>
                <c:formatCode>0.00E+00</c:formatCode>
                <c:ptCount val="25"/>
                <c:pt idx="24">
                  <c:v>1.7885085635986353E-3</c:v>
                </c:pt>
              </c:numCache>
            </c:numRef>
          </c:val>
          <c:extLst>
            <c:ext xmlns:c16="http://schemas.microsoft.com/office/drawing/2014/chart" uri="{C3380CC4-5D6E-409C-BE32-E72D297353CC}">
              <c16:uniqueId val="{00000003-0935-437A-A04C-95F2CD7808F7}"/>
            </c:ext>
          </c:extLst>
        </c:ser>
        <c:ser>
          <c:idx val="4"/>
          <c:order val="4"/>
          <c:tx>
            <c:strRef>
              <c:f>'Results ReCiPe (E) - HHD'!$AB$94</c:f>
              <c:strCache>
                <c:ptCount val="1"/>
                <c:pt idx="0">
                  <c:v>Sorbent material</c:v>
                </c:pt>
              </c:strCache>
            </c:strRef>
          </c:tx>
          <c:spPr>
            <a:solidFill>
              <a:srgbClr val="FF8F8F"/>
            </a:solidFill>
            <a:ln>
              <a:noFill/>
            </a:ln>
            <a:effectLst/>
          </c:spPr>
          <c:invertIfNegative val="0"/>
          <c:cat>
            <c:numRef>
              <c:f>'Results ReCiPe (E) - HHD'!$AC$89:$BA$89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HHD'!$AC$94:$BA$94</c:f>
              <c:numCache>
                <c:formatCode>0.00E+00</c:formatCode>
                <c:ptCount val="25"/>
                <c:pt idx="0">
                  <c:v>0.13898838933965599</c:v>
                </c:pt>
                <c:pt idx="3">
                  <c:v>0.13744187952975451</c:v>
                </c:pt>
                <c:pt idx="6">
                  <c:v>0.13624222837857081</c:v>
                </c:pt>
                <c:pt idx="9">
                  <c:v>0.1360862547056324</c:v>
                </c:pt>
                <c:pt idx="12">
                  <c:v>0.13609653546799161</c:v>
                </c:pt>
                <c:pt idx="15">
                  <c:v>0.13629232675839831</c:v>
                </c:pt>
                <c:pt idx="18">
                  <c:v>0.1362868893052214</c:v>
                </c:pt>
                <c:pt idx="21">
                  <c:v>0.1362693875750155</c:v>
                </c:pt>
                <c:pt idx="24">
                  <c:v>0.13626815075790319</c:v>
                </c:pt>
              </c:numCache>
            </c:numRef>
          </c:val>
          <c:extLst>
            <c:ext xmlns:c16="http://schemas.microsoft.com/office/drawing/2014/chart" uri="{C3380CC4-5D6E-409C-BE32-E72D297353CC}">
              <c16:uniqueId val="{00000004-0935-437A-A04C-95F2CD7808F7}"/>
            </c:ext>
          </c:extLst>
        </c:ser>
        <c:ser>
          <c:idx val="5"/>
          <c:order val="5"/>
          <c:tx>
            <c:strRef>
              <c:f>'Results ReCiPe (E) - HHD'!$AB$95</c:f>
              <c:strCache>
                <c:ptCount val="1"/>
                <c:pt idx="0">
                  <c:v>Operation - DAC</c:v>
                </c:pt>
              </c:strCache>
            </c:strRef>
          </c:tx>
          <c:spPr>
            <a:solidFill>
              <a:schemeClr val="accent2">
                <a:lumMod val="75000"/>
              </a:schemeClr>
            </a:solidFill>
            <a:ln>
              <a:noFill/>
            </a:ln>
            <a:effectLst/>
          </c:spPr>
          <c:invertIfNegative val="0"/>
          <c:cat>
            <c:numRef>
              <c:f>'Results ReCiPe (E) - HHD'!$AC$89:$BA$89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HHD'!$AC$95:$BA$95</c:f>
              <c:numCache>
                <c:formatCode>0.00E+00</c:formatCode>
                <c:ptCount val="25"/>
                <c:pt idx="0">
                  <c:v>1.2410258671384291</c:v>
                </c:pt>
                <c:pt idx="1">
                  <c:v>1.1754394525629079</c:v>
                </c:pt>
                <c:pt idx="2">
                  <c:v>1.1094921306977481</c:v>
                </c:pt>
                <c:pt idx="3">
                  <c:v>1.043603475194528</c:v>
                </c:pt>
                <c:pt idx="4">
                  <c:v>0.97687124184033713</c:v>
                </c:pt>
                <c:pt idx="5">
                  <c:v>0.90974273495436997</c:v>
                </c:pt>
                <c:pt idx="6">
                  <c:v>0.9086738299461985</c:v>
                </c:pt>
                <c:pt idx="7">
                  <c:v>0.9075768556541548</c:v>
                </c:pt>
                <c:pt idx="8">
                  <c:v>0.90720337453074484</c:v>
                </c:pt>
                <c:pt idx="9">
                  <c:v>0.90604308663547184</c:v>
                </c:pt>
                <c:pt idx="10">
                  <c:v>0.90481516323680544</c:v>
                </c:pt>
                <c:pt idx="11">
                  <c:v>0.9007869416354618</c:v>
                </c:pt>
                <c:pt idx="12">
                  <c:v>0.89683261107224954</c:v>
                </c:pt>
                <c:pt idx="13">
                  <c:v>0.89342757963595631</c:v>
                </c:pt>
                <c:pt idx="14">
                  <c:v>0.88954634345497596</c:v>
                </c:pt>
                <c:pt idx="15">
                  <c:v>0.88568415674942536</c:v>
                </c:pt>
                <c:pt idx="16">
                  <c:v>0.8964509259690433</c:v>
                </c:pt>
                <c:pt idx="17">
                  <c:v>0.90712182905559435</c:v>
                </c:pt>
                <c:pt idx="18">
                  <c:v>0.91801864453180304</c:v>
                </c:pt>
                <c:pt idx="19">
                  <c:v>0.92850912822058418</c:v>
                </c:pt>
                <c:pt idx="20">
                  <c:v>0.9389153896558331</c:v>
                </c:pt>
                <c:pt idx="21">
                  <c:v>0.93884738706821258</c:v>
                </c:pt>
                <c:pt idx="22">
                  <c:v>0.93848166023486834</c:v>
                </c:pt>
                <c:pt idx="23">
                  <c:v>0.93812632897589798</c:v>
                </c:pt>
                <c:pt idx="24">
                  <c:v>0.93777781728756593</c:v>
                </c:pt>
              </c:numCache>
            </c:numRef>
          </c:val>
          <c:extLst>
            <c:ext xmlns:c16="http://schemas.microsoft.com/office/drawing/2014/chart" uri="{C3380CC4-5D6E-409C-BE32-E72D297353CC}">
              <c16:uniqueId val="{00000005-0935-437A-A04C-95F2CD7808F7}"/>
            </c:ext>
          </c:extLst>
        </c:ser>
        <c:ser>
          <c:idx val="6"/>
          <c:order val="6"/>
          <c:tx>
            <c:strRef>
              <c:f>'Results ReCiPe (E) - HHD'!$AB$96</c:f>
              <c:strCache>
                <c:ptCount val="1"/>
                <c:pt idx="0">
                  <c:v>Operation - geological storage</c:v>
                </c:pt>
              </c:strCache>
            </c:strRef>
          </c:tx>
          <c:spPr>
            <a:solidFill>
              <a:schemeClr val="accent2">
                <a:lumMod val="50000"/>
              </a:schemeClr>
            </a:solidFill>
            <a:ln>
              <a:noFill/>
            </a:ln>
            <a:effectLst/>
          </c:spPr>
          <c:invertIfNegative val="0"/>
          <c:cat>
            <c:numRef>
              <c:f>'Results ReCiPe (E) - HHD'!$AC$89:$BA$89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HHD'!$AC$96:$BA$96</c:f>
              <c:numCache>
                <c:formatCode>0.00E+00</c:formatCode>
                <c:ptCount val="25"/>
                <c:pt idx="0">
                  <c:v>0.2417809387795547</c:v>
                </c:pt>
                <c:pt idx="1">
                  <c:v>0.23705729033863418</c:v>
                </c:pt>
                <c:pt idx="2">
                  <c:v>0.23233720055531518</c:v>
                </c:pt>
                <c:pt idx="3">
                  <c:v>0.22765552006383027</c:v>
                </c:pt>
                <c:pt idx="4">
                  <c:v>0.22293692659926032</c:v>
                </c:pt>
                <c:pt idx="5">
                  <c:v>0.21821871908375601</c:v>
                </c:pt>
                <c:pt idx="6">
                  <c:v>0.2183328752610379</c:v>
                </c:pt>
                <c:pt idx="7">
                  <c:v>0.2184454726271664</c:v>
                </c:pt>
                <c:pt idx="8">
                  <c:v>0.2186197885807338</c:v>
                </c:pt>
                <c:pt idx="9">
                  <c:v>0.21872848466727821</c:v>
                </c:pt>
                <c:pt idx="10">
                  <c:v>0.21883249764689899</c:v>
                </c:pt>
                <c:pt idx="11">
                  <c:v>0.21841557921298049</c:v>
                </c:pt>
                <c:pt idx="12">
                  <c:v>0.21800506941521089</c:v>
                </c:pt>
                <c:pt idx="13">
                  <c:v>0.21764066730740861</c:v>
                </c:pt>
                <c:pt idx="14">
                  <c:v>0.21723706665984091</c:v>
                </c:pt>
                <c:pt idx="15">
                  <c:v>0.21683545808110291</c:v>
                </c:pt>
                <c:pt idx="16">
                  <c:v>0.2170606194781684</c:v>
                </c:pt>
                <c:pt idx="17">
                  <c:v>0.21728945931437202</c:v>
                </c:pt>
                <c:pt idx="18">
                  <c:v>0.21754875047075201</c:v>
                </c:pt>
                <c:pt idx="19">
                  <c:v>0.2177852629463648</c:v>
                </c:pt>
                <c:pt idx="20">
                  <c:v>0.21802574197248531</c:v>
                </c:pt>
                <c:pt idx="21">
                  <c:v>0.21817145768362151</c:v>
                </c:pt>
                <c:pt idx="22">
                  <c:v>0.21829169710501409</c:v>
                </c:pt>
                <c:pt idx="23">
                  <c:v>0.21841282227465422</c:v>
                </c:pt>
                <c:pt idx="24">
                  <c:v>0.21853442335682399</c:v>
                </c:pt>
              </c:numCache>
            </c:numRef>
          </c:val>
          <c:extLst>
            <c:ext xmlns:c16="http://schemas.microsoft.com/office/drawing/2014/chart" uri="{C3380CC4-5D6E-409C-BE32-E72D297353CC}">
              <c16:uniqueId val="{00000006-0935-437A-A04C-95F2CD7808F7}"/>
            </c:ext>
          </c:extLst>
        </c:ser>
        <c:ser>
          <c:idx val="7"/>
          <c:order val="7"/>
          <c:tx>
            <c:strRef>
              <c:f>'Results ReCiPe (E) - HHD'!$AB$97</c:f>
              <c:strCache>
                <c:ptCount val="1"/>
                <c:pt idx="0">
                  <c:v>CO2 captured and stored</c:v>
                </c:pt>
              </c:strCache>
            </c:strRef>
          </c:tx>
          <c:spPr>
            <a:solidFill>
              <a:schemeClr val="tx2">
                <a:lumMod val="20000"/>
                <a:lumOff val="80000"/>
              </a:schemeClr>
            </a:solidFill>
            <a:ln>
              <a:noFill/>
            </a:ln>
            <a:effectLst/>
          </c:spPr>
          <c:invertIfNegative val="0"/>
          <c:cat>
            <c:numRef>
              <c:f>'Results ReCiPe (E) - HHD'!$AC$89:$BA$89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HHD'!$AC$97:$BA$97</c:f>
              <c:numCache>
                <c:formatCode>0.00E+00</c:formatCode>
                <c:ptCount val="25"/>
                <c:pt idx="0">
                  <c:v>-1.25</c:v>
                </c:pt>
                <c:pt idx="1">
                  <c:v>-1.25</c:v>
                </c:pt>
                <c:pt idx="2">
                  <c:v>-1.25</c:v>
                </c:pt>
                <c:pt idx="3">
                  <c:v>-1.25</c:v>
                </c:pt>
                <c:pt idx="4">
                  <c:v>-1.25</c:v>
                </c:pt>
                <c:pt idx="5">
                  <c:v>-1.25</c:v>
                </c:pt>
                <c:pt idx="6">
                  <c:v>-1.25</c:v>
                </c:pt>
                <c:pt idx="7">
                  <c:v>-1.25</c:v>
                </c:pt>
                <c:pt idx="8">
                  <c:v>-1.25</c:v>
                </c:pt>
                <c:pt idx="9">
                  <c:v>-1.25</c:v>
                </c:pt>
                <c:pt idx="10">
                  <c:v>-1.25</c:v>
                </c:pt>
                <c:pt idx="11">
                  <c:v>-1.25</c:v>
                </c:pt>
                <c:pt idx="12">
                  <c:v>-1.25</c:v>
                </c:pt>
                <c:pt idx="13">
                  <c:v>-1.25</c:v>
                </c:pt>
                <c:pt idx="14">
                  <c:v>-1.25</c:v>
                </c:pt>
                <c:pt idx="15">
                  <c:v>-1.25</c:v>
                </c:pt>
                <c:pt idx="16">
                  <c:v>-1.25</c:v>
                </c:pt>
                <c:pt idx="17">
                  <c:v>-1.25</c:v>
                </c:pt>
                <c:pt idx="18">
                  <c:v>-1.25</c:v>
                </c:pt>
                <c:pt idx="19">
                  <c:v>-1.25</c:v>
                </c:pt>
                <c:pt idx="20">
                  <c:v>-1.25</c:v>
                </c:pt>
                <c:pt idx="21">
                  <c:v>-1.25</c:v>
                </c:pt>
                <c:pt idx="22">
                  <c:v>-1.25</c:v>
                </c:pt>
                <c:pt idx="23">
                  <c:v>-1.25</c:v>
                </c:pt>
                <c:pt idx="24">
                  <c:v>-1.25</c:v>
                </c:pt>
              </c:numCache>
            </c:numRef>
          </c:val>
          <c:extLst>
            <c:ext xmlns:c16="http://schemas.microsoft.com/office/drawing/2014/chart" uri="{C3380CC4-5D6E-409C-BE32-E72D297353CC}">
              <c16:uniqueId val="{00000007-0935-437A-A04C-95F2CD7808F7}"/>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(E) - HHD'!$AB$98</c:f>
              <c:strCache>
                <c:ptCount val="1"/>
                <c:pt idx="0">
                  <c:v>TOTAL per year</c:v>
                </c:pt>
              </c:strCache>
            </c:strRef>
          </c:tx>
          <c:spPr>
            <a:ln w="25400" cap="rnd">
              <a:noFill/>
              <a:round/>
            </a:ln>
            <a:effectLst/>
          </c:spPr>
          <c:marker>
            <c:symbol val="circle"/>
            <c:size val="5"/>
            <c:spPr>
              <a:solidFill>
                <a:schemeClr val="tx1"/>
              </a:solidFill>
              <a:ln w="9525">
                <a:solidFill>
                  <a:schemeClr val="tx1"/>
                </a:solidFill>
              </a:ln>
              <a:effectLst/>
            </c:spPr>
          </c:marker>
          <c:cat>
            <c:numRef>
              <c:f>'Results ReCiPe (E) - HHD'!$AC$89:$BA$89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HHD'!$AC$98:$BA$98</c:f>
              <c:numCache>
                <c:formatCode>0.00E+00</c:formatCode>
                <c:ptCount val="25"/>
                <c:pt idx="0">
                  <c:v>15.660836407879756</c:v>
                </c:pt>
                <c:pt idx="1">
                  <c:v>0.16249674290154204</c:v>
                </c:pt>
                <c:pt idx="2">
                  <c:v>9.1829331253063362E-2</c:v>
                </c:pt>
                <c:pt idx="3">
                  <c:v>0.15870087478811268</c:v>
                </c:pt>
                <c:pt idx="4">
                  <c:v>-5.0191831560402633E-2</c:v>
                </c:pt>
                <c:pt idx="5">
                  <c:v>-0.12203854596187402</c:v>
                </c:pt>
                <c:pt idx="6">
                  <c:v>1.3248933585807032E-2</c:v>
                </c:pt>
                <c:pt idx="7">
                  <c:v>-0.12397767171867891</c:v>
                </c:pt>
                <c:pt idx="8">
                  <c:v>-0.12417683688852144</c:v>
                </c:pt>
                <c:pt idx="9">
                  <c:v>1.0857826008382476E-2</c:v>
                </c:pt>
                <c:pt idx="10">
                  <c:v>-0.12635233911629551</c:v>
                </c:pt>
                <c:pt idx="11">
                  <c:v>-0.13079747915155782</c:v>
                </c:pt>
                <c:pt idx="12">
                  <c:v>9.3421595545195579E-4</c:v>
                </c:pt>
                <c:pt idx="13">
                  <c:v>-0.13893175305663519</c:v>
                </c:pt>
                <c:pt idx="14">
                  <c:v>-0.14321658988518315</c:v>
                </c:pt>
                <c:pt idx="15">
                  <c:v>-1.1188058411073509E-2</c:v>
                </c:pt>
                <c:pt idx="16">
                  <c:v>-0.13648845455278824</c:v>
                </c:pt>
                <c:pt idx="17">
                  <c:v>-0.1255887116300336</c:v>
                </c:pt>
                <c:pt idx="18">
                  <c:v>2.1854284307776473E-2</c:v>
                </c:pt>
                <c:pt idx="19">
                  <c:v>-0.10370560883305102</c:v>
                </c:pt>
                <c:pt idx="20">
                  <c:v>-9.3058868371681536E-2</c:v>
                </c:pt>
                <c:pt idx="21">
                  <c:v>4.3288232326849752E-2</c:v>
                </c:pt>
                <c:pt idx="22">
                  <c:v>-9.3226642660117598E-2</c:v>
                </c:pt>
                <c:pt idx="23">
                  <c:v>-9.3460848749447711E-2</c:v>
                </c:pt>
                <c:pt idx="24">
                  <c:v>0.16918611795733018</c:v>
                </c:pt>
              </c:numCache>
            </c:numRef>
          </c:val>
          <c:smooth val="0"/>
          <c:extLst>
            <c:ext xmlns:c16="http://schemas.microsoft.com/office/drawing/2014/chart" uri="{C3380CC4-5D6E-409C-BE32-E72D297353CC}">
              <c16:uniqueId val="{00000008-0935-437A-A04C-95F2CD7808F7}"/>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Human</a:t>
                </a:r>
                <a:r>
                  <a:rPr lang="nl-NL" baseline="0"/>
                  <a:t> health</a:t>
                </a:r>
                <a:r>
                  <a:rPr lang="nl-NL"/>
                  <a:t> damage </a:t>
                </a:r>
                <a:br>
                  <a:rPr lang="nl-NL"/>
                </a:br>
                <a:r>
                  <a:rPr lang="nl-NL"/>
                  <a:t>(DALY/ton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(E) - HHD'!$AB$132</c:f>
              <c:strCache>
                <c:ptCount val="1"/>
                <c:pt idx="0">
                  <c:v>Construction - DAC</c:v>
                </c:pt>
              </c:strCache>
            </c:strRef>
          </c:tx>
          <c:spPr>
            <a:solidFill>
              <a:schemeClr val="accent4">
                <a:lumMod val="75000"/>
              </a:schemeClr>
            </a:solidFill>
            <a:ln>
              <a:noFill/>
            </a:ln>
            <a:effectLst/>
          </c:spPr>
          <c:invertIfNegative val="0"/>
          <c:cat>
            <c:numRef>
              <c:f>'Results ReCiPe (E) - HHD'!$AC$131:$BA$131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HHD'!$AC$132:$BA$132</c:f>
              <c:numCache>
                <c:formatCode>0.00E+00</c:formatCode>
                <c:ptCount val="25"/>
                <c:pt idx="0">
                  <c:v>15.464099749864513</c:v>
                </c:pt>
              </c:numCache>
            </c:numRef>
          </c:val>
          <c:extLst>
            <c:ext xmlns:c16="http://schemas.microsoft.com/office/drawing/2014/chart" uri="{C3380CC4-5D6E-409C-BE32-E72D297353CC}">
              <c16:uniqueId val="{00000000-06F6-422C-B862-BE2556E316FD}"/>
            </c:ext>
          </c:extLst>
        </c:ser>
        <c:ser>
          <c:idx val="1"/>
          <c:order val="1"/>
          <c:tx>
            <c:strRef>
              <c:f>'Results ReCiPe (E) - HHD'!$AB$133</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(E) - HHD'!$AC$131:$BA$131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HHD'!$AC$133:$BA$133</c:f>
              <c:numCache>
                <c:formatCode>0.00E+00</c:formatCode>
                <c:ptCount val="25"/>
                <c:pt idx="0">
                  <c:v>0.59342142429421851</c:v>
                </c:pt>
              </c:numCache>
            </c:numRef>
          </c:val>
          <c:extLst>
            <c:ext xmlns:c16="http://schemas.microsoft.com/office/drawing/2014/chart" uri="{C3380CC4-5D6E-409C-BE32-E72D297353CC}">
              <c16:uniqueId val="{00000001-06F6-422C-B862-BE2556E316FD}"/>
            </c:ext>
          </c:extLst>
        </c:ser>
        <c:ser>
          <c:idx val="2"/>
          <c:order val="2"/>
          <c:tx>
            <c:strRef>
              <c:f>'Results ReCiPe (E) - HHD'!$AB$134</c:f>
              <c:strCache>
                <c:ptCount val="1"/>
                <c:pt idx="0">
                  <c:v>Deconstruction - DAC</c:v>
                </c:pt>
              </c:strCache>
            </c:strRef>
          </c:tx>
          <c:spPr>
            <a:solidFill>
              <a:schemeClr val="accent2">
                <a:lumMod val="40000"/>
                <a:lumOff val="60000"/>
              </a:schemeClr>
            </a:solidFill>
            <a:ln>
              <a:noFill/>
            </a:ln>
            <a:effectLst/>
          </c:spPr>
          <c:invertIfNegative val="0"/>
          <c:cat>
            <c:numRef>
              <c:f>'Results ReCiPe (E) - HHD'!$AC$131:$BA$131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HHD'!$AC$134:$BA$134</c:f>
              <c:numCache>
                <c:formatCode>0.00E+00</c:formatCode>
                <c:ptCount val="25"/>
                <c:pt idx="24">
                  <c:v>0.12953343012141194</c:v>
                </c:pt>
              </c:numCache>
            </c:numRef>
          </c:val>
          <c:extLst>
            <c:ext xmlns:c16="http://schemas.microsoft.com/office/drawing/2014/chart" uri="{C3380CC4-5D6E-409C-BE32-E72D297353CC}">
              <c16:uniqueId val="{00000002-06F6-422C-B862-BE2556E316FD}"/>
            </c:ext>
          </c:extLst>
        </c:ser>
        <c:ser>
          <c:idx val="3"/>
          <c:order val="3"/>
          <c:tx>
            <c:strRef>
              <c:f>'Results ReCiPe (E) - HHD'!$AB$135</c:f>
              <c:strCache>
                <c:ptCount val="1"/>
                <c:pt idx="0">
                  <c:v>Deconstruction - geological storage</c:v>
                </c:pt>
              </c:strCache>
            </c:strRef>
          </c:tx>
          <c:spPr>
            <a:solidFill>
              <a:srgbClr val="FF9900"/>
            </a:solidFill>
            <a:ln>
              <a:noFill/>
            </a:ln>
            <a:effectLst/>
          </c:spPr>
          <c:invertIfNegative val="0"/>
          <c:cat>
            <c:numRef>
              <c:f>'Results ReCiPe (E) - HHD'!$AC$131:$BA$131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HHD'!$AC$135:$BA$135</c:f>
              <c:numCache>
                <c:formatCode>0.00E+00</c:formatCode>
                <c:ptCount val="25"/>
                <c:pt idx="24">
                  <c:v>1.8614484052655999E-3</c:v>
                </c:pt>
              </c:numCache>
            </c:numRef>
          </c:val>
          <c:extLst>
            <c:ext xmlns:c16="http://schemas.microsoft.com/office/drawing/2014/chart" uri="{C3380CC4-5D6E-409C-BE32-E72D297353CC}">
              <c16:uniqueId val="{00000003-06F6-422C-B862-BE2556E316FD}"/>
            </c:ext>
          </c:extLst>
        </c:ser>
        <c:ser>
          <c:idx val="4"/>
          <c:order val="4"/>
          <c:tx>
            <c:strRef>
              <c:f>'Results ReCiPe (E) - HHD'!$AB$136</c:f>
              <c:strCache>
                <c:ptCount val="1"/>
                <c:pt idx="0">
                  <c:v>Sorbent material</c:v>
                </c:pt>
              </c:strCache>
            </c:strRef>
          </c:tx>
          <c:spPr>
            <a:solidFill>
              <a:srgbClr val="FF8F8F"/>
            </a:solidFill>
            <a:ln>
              <a:noFill/>
            </a:ln>
            <a:effectLst/>
          </c:spPr>
          <c:invertIfNegative val="0"/>
          <c:cat>
            <c:numRef>
              <c:f>'Results ReCiPe (E) - HHD'!$AC$131:$BA$131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HHD'!$AC$136:$BA$136</c:f>
              <c:numCache>
                <c:formatCode>0.00E+00</c:formatCode>
                <c:ptCount val="25"/>
                <c:pt idx="0">
                  <c:v>0.1490671536669359</c:v>
                </c:pt>
                <c:pt idx="3">
                  <c:v>0.14899675412380661</c:v>
                </c:pt>
                <c:pt idx="6">
                  <c:v>0.14913467370511721</c:v>
                </c:pt>
                <c:pt idx="9">
                  <c:v>0.14985420341785011</c:v>
                </c:pt>
                <c:pt idx="12">
                  <c:v>0.15079302716477189</c:v>
                </c:pt>
                <c:pt idx="15">
                  <c:v>0.15199232647583841</c:v>
                </c:pt>
                <c:pt idx="18">
                  <c:v>0.15162753334670259</c:v>
                </c:pt>
                <c:pt idx="21">
                  <c:v>0.15096779974777791</c:v>
                </c:pt>
                <c:pt idx="24">
                  <c:v>0.149756511690775</c:v>
                </c:pt>
              </c:numCache>
            </c:numRef>
          </c:val>
          <c:extLst>
            <c:ext xmlns:c16="http://schemas.microsoft.com/office/drawing/2014/chart" uri="{C3380CC4-5D6E-409C-BE32-E72D297353CC}">
              <c16:uniqueId val="{00000004-06F6-422C-B862-BE2556E316FD}"/>
            </c:ext>
          </c:extLst>
        </c:ser>
        <c:ser>
          <c:idx val="5"/>
          <c:order val="5"/>
          <c:tx>
            <c:strRef>
              <c:f>'Results ReCiPe (E) - HHD'!$AB$137</c:f>
              <c:strCache>
                <c:ptCount val="1"/>
                <c:pt idx="0">
                  <c:v>Operation - DAC</c:v>
                </c:pt>
              </c:strCache>
            </c:strRef>
          </c:tx>
          <c:spPr>
            <a:solidFill>
              <a:schemeClr val="accent2">
                <a:lumMod val="75000"/>
              </a:schemeClr>
            </a:solidFill>
            <a:ln>
              <a:noFill/>
            </a:ln>
            <a:effectLst/>
          </c:spPr>
          <c:invertIfNegative val="0"/>
          <c:cat>
            <c:numRef>
              <c:f>'Results ReCiPe (E) - HHD'!$AC$131:$BA$131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HHD'!$AC$137:$BA$137</c:f>
              <c:numCache>
                <c:formatCode>0.00E+00</c:formatCode>
                <c:ptCount val="25"/>
                <c:pt idx="0">
                  <c:v>2.6779530402692235</c:v>
                </c:pt>
                <c:pt idx="1">
                  <c:v>2.6711133939070431</c:v>
                </c:pt>
                <c:pt idx="2">
                  <c:v>2.6642022778663352</c:v>
                </c:pt>
                <c:pt idx="3">
                  <c:v>2.6574829444117345</c:v>
                </c:pt>
                <c:pt idx="4">
                  <c:v>2.6504476151124328</c:v>
                </c:pt>
                <c:pt idx="5">
                  <c:v>2.6433548422512452</c:v>
                </c:pt>
                <c:pt idx="6">
                  <c:v>2.8622674123810499</c:v>
                </c:pt>
                <c:pt idx="7">
                  <c:v>3.0809286550736013</c:v>
                </c:pt>
                <c:pt idx="8">
                  <c:v>3.2998384516468273</c:v>
                </c:pt>
                <c:pt idx="9">
                  <c:v>3.5181729821826742</c:v>
                </c:pt>
                <c:pt idx="10">
                  <c:v>3.7362796469530806</c:v>
                </c:pt>
                <c:pt idx="11">
                  <c:v>4.1628901159173468</c:v>
                </c:pt>
                <c:pt idx="12">
                  <c:v>4.5905923627487404</c:v>
                </c:pt>
                <c:pt idx="13">
                  <c:v>5.0197535397506963</c:v>
                </c:pt>
                <c:pt idx="14">
                  <c:v>5.4496283755714856</c:v>
                </c:pt>
                <c:pt idx="15">
                  <c:v>5.8805874285765372</c:v>
                </c:pt>
                <c:pt idx="16">
                  <c:v>5.9020377473721295</c:v>
                </c:pt>
                <c:pt idx="17">
                  <c:v>5.923417014996482</c:v>
                </c:pt>
                <c:pt idx="18">
                  <c:v>5.9449513003491044</c:v>
                </c:pt>
                <c:pt idx="19">
                  <c:v>5.9661995691866618</c:v>
                </c:pt>
                <c:pt idx="20">
                  <c:v>5.9873881739660968</c:v>
                </c:pt>
                <c:pt idx="21">
                  <c:v>5.8098126432049355</c:v>
                </c:pt>
                <c:pt idx="22">
                  <c:v>5.6293906790193295</c:v>
                </c:pt>
                <c:pt idx="23">
                  <c:v>5.4483423479140667</c:v>
                </c:pt>
                <c:pt idx="24">
                  <c:v>5.2666620620839115</c:v>
                </c:pt>
              </c:numCache>
            </c:numRef>
          </c:val>
          <c:extLst>
            <c:ext xmlns:c16="http://schemas.microsoft.com/office/drawing/2014/chart" uri="{C3380CC4-5D6E-409C-BE32-E72D297353CC}">
              <c16:uniqueId val="{00000005-06F6-422C-B862-BE2556E316FD}"/>
            </c:ext>
          </c:extLst>
        </c:ser>
        <c:ser>
          <c:idx val="6"/>
          <c:order val="6"/>
          <c:tx>
            <c:strRef>
              <c:f>'Results ReCiPe (E) - HHD'!$AB$138</c:f>
              <c:strCache>
                <c:ptCount val="1"/>
                <c:pt idx="0">
                  <c:v>Operation - geological storage</c:v>
                </c:pt>
              </c:strCache>
            </c:strRef>
          </c:tx>
          <c:spPr>
            <a:solidFill>
              <a:schemeClr val="accent2">
                <a:lumMod val="50000"/>
              </a:schemeClr>
            </a:solidFill>
            <a:ln>
              <a:noFill/>
            </a:ln>
            <a:effectLst/>
          </c:spPr>
          <c:invertIfNegative val="0"/>
          <c:cat>
            <c:numRef>
              <c:f>'Results ReCiPe (E) - HHD'!$AC$131:$BA$131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HHD'!$AC$138:$BA$138</c:f>
              <c:numCache>
                <c:formatCode>0.00E+00</c:formatCode>
                <c:ptCount val="25"/>
                <c:pt idx="0">
                  <c:v>0.38654328795354098</c:v>
                </c:pt>
                <c:pt idx="1">
                  <c:v>0.38572536393638751</c:v>
                </c:pt>
                <c:pt idx="2">
                  <c:v>0.38490213454324318</c:v>
                </c:pt>
                <c:pt idx="3">
                  <c:v>0.38410164623840737</c:v>
                </c:pt>
                <c:pt idx="4">
                  <c:v>0.38326962225724048</c:v>
                </c:pt>
                <c:pt idx="5">
                  <c:v>0.38243395251057855</c:v>
                </c:pt>
                <c:pt idx="6">
                  <c:v>0.40410628117260966</c:v>
                </c:pt>
                <c:pt idx="7">
                  <c:v>0.42568870624606392</c:v>
                </c:pt>
                <c:pt idx="8">
                  <c:v>0.44722979323323148</c:v>
                </c:pt>
                <c:pt idx="9">
                  <c:v>0.46865143901779066</c:v>
                </c:pt>
                <c:pt idx="10">
                  <c:v>0.48998711595877492</c:v>
                </c:pt>
                <c:pt idx="11">
                  <c:v>0.53185488730925101</c:v>
                </c:pt>
                <c:pt idx="12">
                  <c:v>0.57373251784576318</c:v>
                </c:pt>
                <c:pt idx="13">
                  <c:v>0.61565370477593673</c:v>
                </c:pt>
                <c:pt idx="14">
                  <c:v>0.65754992958356884</c:v>
                </c:pt>
                <c:pt idx="15">
                  <c:v>0.69945474454131396</c:v>
                </c:pt>
                <c:pt idx="16">
                  <c:v>0.70116168458050809</c:v>
                </c:pt>
                <c:pt idx="17">
                  <c:v>0.7028572038930373</c:v>
                </c:pt>
                <c:pt idx="18">
                  <c:v>0.70456136311661077</c:v>
                </c:pt>
                <c:pt idx="19">
                  <c:v>0.70623528072684383</c:v>
                </c:pt>
                <c:pt idx="20">
                  <c:v>0.7078990325263127</c:v>
                </c:pt>
                <c:pt idx="21">
                  <c:v>0.68978541699720153</c:v>
                </c:pt>
                <c:pt idx="22">
                  <c:v>0.67146561505537805</c:v>
                </c:pt>
                <c:pt idx="23">
                  <c:v>0.65315610842109884</c:v>
                </c:pt>
                <c:pt idx="24">
                  <c:v>0.63485651014893763</c:v>
                </c:pt>
              </c:numCache>
            </c:numRef>
          </c:val>
          <c:extLst>
            <c:ext xmlns:c16="http://schemas.microsoft.com/office/drawing/2014/chart" uri="{C3380CC4-5D6E-409C-BE32-E72D297353CC}">
              <c16:uniqueId val="{00000006-06F6-422C-B862-BE2556E316FD}"/>
            </c:ext>
          </c:extLst>
        </c:ser>
        <c:ser>
          <c:idx val="7"/>
          <c:order val="7"/>
          <c:tx>
            <c:strRef>
              <c:f>'Results ReCiPe (E) - HHD'!$AB$139</c:f>
              <c:strCache>
                <c:ptCount val="1"/>
                <c:pt idx="0">
                  <c:v>CO2 captured and stored</c:v>
                </c:pt>
              </c:strCache>
            </c:strRef>
          </c:tx>
          <c:spPr>
            <a:solidFill>
              <a:schemeClr val="tx2">
                <a:lumMod val="20000"/>
                <a:lumOff val="80000"/>
              </a:schemeClr>
            </a:solidFill>
            <a:ln>
              <a:noFill/>
            </a:ln>
            <a:effectLst/>
          </c:spPr>
          <c:invertIfNegative val="0"/>
          <c:cat>
            <c:numRef>
              <c:f>'Results ReCiPe (E) - HHD'!$AC$131:$BA$131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HHD'!$AC$139:$BA$139</c:f>
              <c:numCache>
                <c:formatCode>0.00E+00</c:formatCode>
                <c:ptCount val="25"/>
                <c:pt idx="0">
                  <c:v>-1.25</c:v>
                </c:pt>
                <c:pt idx="1">
                  <c:v>-1.25</c:v>
                </c:pt>
                <c:pt idx="2">
                  <c:v>-1.25</c:v>
                </c:pt>
                <c:pt idx="3">
                  <c:v>-1.25</c:v>
                </c:pt>
                <c:pt idx="4">
                  <c:v>-1.25</c:v>
                </c:pt>
                <c:pt idx="5">
                  <c:v>-1.25</c:v>
                </c:pt>
                <c:pt idx="6">
                  <c:v>-1.25</c:v>
                </c:pt>
                <c:pt idx="7">
                  <c:v>-1.25</c:v>
                </c:pt>
                <c:pt idx="8">
                  <c:v>-1.25</c:v>
                </c:pt>
                <c:pt idx="9">
                  <c:v>-1.25</c:v>
                </c:pt>
                <c:pt idx="10">
                  <c:v>-1.25</c:v>
                </c:pt>
                <c:pt idx="11">
                  <c:v>-1.25</c:v>
                </c:pt>
                <c:pt idx="12">
                  <c:v>-1.25</c:v>
                </c:pt>
                <c:pt idx="13">
                  <c:v>-1.25</c:v>
                </c:pt>
                <c:pt idx="14">
                  <c:v>-1.25</c:v>
                </c:pt>
                <c:pt idx="15">
                  <c:v>-1.25</c:v>
                </c:pt>
                <c:pt idx="16">
                  <c:v>-1.25</c:v>
                </c:pt>
                <c:pt idx="17">
                  <c:v>-1.25</c:v>
                </c:pt>
                <c:pt idx="18">
                  <c:v>-1.25</c:v>
                </c:pt>
                <c:pt idx="19">
                  <c:v>-1.25</c:v>
                </c:pt>
                <c:pt idx="20">
                  <c:v>-1.25</c:v>
                </c:pt>
                <c:pt idx="21">
                  <c:v>-1.25</c:v>
                </c:pt>
                <c:pt idx="22">
                  <c:v>-1.25</c:v>
                </c:pt>
                <c:pt idx="23">
                  <c:v>-1.25</c:v>
                </c:pt>
                <c:pt idx="24">
                  <c:v>-1.25</c:v>
                </c:pt>
              </c:numCache>
            </c:numRef>
          </c:val>
          <c:extLst>
            <c:ext xmlns:c16="http://schemas.microsoft.com/office/drawing/2014/chart" uri="{C3380CC4-5D6E-409C-BE32-E72D297353CC}">
              <c16:uniqueId val="{00000007-06F6-422C-B862-BE2556E316FD}"/>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(E) - HHD'!$AB$140</c:f>
              <c:strCache>
                <c:ptCount val="1"/>
                <c:pt idx="0">
                  <c:v>TOTAL per year</c:v>
                </c:pt>
              </c:strCache>
            </c:strRef>
          </c:tx>
          <c:spPr>
            <a:ln w="28575" cap="rnd">
              <a:noFill/>
              <a:round/>
            </a:ln>
            <a:effectLst/>
          </c:spPr>
          <c:marker>
            <c:symbol val="circle"/>
            <c:size val="5"/>
            <c:spPr>
              <a:solidFill>
                <a:schemeClr val="tx1"/>
              </a:solidFill>
              <a:ln w="9525">
                <a:solidFill>
                  <a:schemeClr val="accent3">
                    <a:lumMod val="60000"/>
                  </a:schemeClr>
                </a:solidFill>
              </a:ln>
              <a:effectLst/>
            </c:spPr>
          </c:marker>
          <c:cat>
            <c:numRef>
              <c:f>'Results ReCiPe (E) - HHD'!$AC$131:$BA$131</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HHD'!$AC$140:$BA$140</c:f>
              <c:numCache>
                <c:formatCode>0.00E+00</c:formatCode>
                <c:ptCount val="25"/>
                <c:pt idx="0">
                  <c:v>18.02108465604843</c:v>
                </c:pt>
                <c:pt idx="1">
                  <c:v>1.8068387578434306</c:v>
                </c:pt>
                <c:pt idx="2">
                  <c:v>1.7991044124095783</c:v>
                </c:pt>
                <c:pt idx="3">
                  <c:v>1.9405813447739484</c:v>
                </c:pt>
                <c:pt idx="4">
                  <c:v>1.7837172373696735</c:v>
                </c:pt>
                <c:pt idx="5">
                  <c:v>1.7757887947618238</c:v>
                </c:pt>
                <c:pt idx="6">
                  <c:v>2.1655083672587767</c:v>
                </c:pt>
                <c:pt idx="7">
                  <c:v>2.2566173613196652</c:v>
                </c:pt>
                <c:pt idx="8">
                  <c:v>2.497068244880059</c:v>
                </c:pt>
                <c:pt idx="9">
                  <c:v>2.8866786246183151</c:v>
                </c:pt>
                <c:pt idx="10">
                  <c:v>2.9762667629118553</c:v>
                </c:pt>
                <c:pt idx="11">
                  <c:v>3.4447450032265978</c:v>
                </c:pt>
                <c:pt idx="12">
                  <c:v>4.0651179077592756</c:v>
                </c:pt>
                <c:pt idx="13">
                  <c:v>4.3854072445266326</c:v>
                </c:pt>
                <c:pt idx="14">
                  <c:v>4.8571783051550543</c:v>
                </c:pt>
                <c:pt idx="15">
                  <c:v>5.4820344995936896</c:v>
                </c:pt>
                <c:pt idx="16">
                  <c:v>5.3531994319526373</c:v>
                </c:pt>
                <c:pt idx="17">
                  <c:v>5.3762742188895194</c:v>
                </c:pt>
                <c:pt idx="18">
                  <c:v>5.5511401968124172</c:v>
                </c:pt>
                <c:pt idx="19">
                  <c:v>5.4224348499135058</c:v>
                </c:pt>
                <c:pt idx="20">
                  <c:v>5.4452872064924094</c:v>
                </c:pt>
                <c:pt idx="21">
                  <c:v>5.4005658599499151</c:v>
                </c:pt>
                <c:pt idx="22">
                  <c:v>5.0508562940747073</c:v>
                </c:pt>
                <c:pt idx="23">
                  <c:v>4.8514984563351655</c:v>
                </c:pt>
                <c:pt idx="24">
                  <c:v>4.9326699624503014</c:v>
                </c:pt>
              </c:numCache>
            </c:numRef>
          </c:val>
          <c:smooth val="0"/>
          <c:extLst>
            <c:ext xmlns:c16="http://schemas.microsoft.com/office/drawing/2014/chart" uri="{C3380CC4-5D6E-409C-BE32-E72D297353CC}">
              <c16:uniqueId val="{00000008-06F6-422C-B862-BE2556E316FD}"/>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Human</a:t>
                </a:r>
                <a:r>
                  <a:rPr lang="nl-NL" baseline="0"/>
                  <a:t> health</a:t>
                </a:r>
                <a:r>
                  <a:rPr lang="nl-NL"/>
                  <a:t> damage </a:t>
                </a:r>
                <a:br>
                  <a:rPr lang="nl-NL"/>
                </a:br>
                <a:r>
                  <a:rPr lang="nl-NL"/>
                  <a:t>(DALY/ton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(E) - HHD'!$AB$173</c:f>
              <c:strCache>
                <c:ptCount val="1"/>
                <c:pt idx="0">
                  <c:v>Construction - DAC</c:v>
                </c:pt>
              </c:strCache>
            </c:strRef>
          </c:tx>
          <c:spPr>
            <a:solidFill>
              <a:schemeClr val="accent4">
                <a:lumMod val="75000"/>
              </a:schemeClr>
            </a:solidFill>
            <a:ln>
              <a:noFill/>
            </a:ln>
            <a:effectLst/>
          </c:spPr>
          <c:invertIfNegative val="0"/>
          <c:cat>
            <c:numRef>
              <c:f>'Results ReCiPe (E) - HHD'!$AC$172:$BA$172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HHD'!$AC$173:$BA$173</c:f>
              <c:numCache>
                <c:formatCode>0.00E+00</c:formatCode>
                <c:ptCount val="25"/>
                <c:pt idx="0">
                  <c:v>15.163625338196166</c:v>
                </c:pt>
              </c:numCache>
            </c:numRef>
          </c:val>
          <c:extLst>
            <c:ext xmlns:c16="http://schemas.microsoft.com/office/drawing/2014/chart" uri="{C3380CC4-5D6E-409C-BE32-E72D297353CC}">
              <c16:uniqueId val="{00000000-21CA-4FE7-B2D3-4F8C4773C892}"/>
            </c:ext>
          </c:extLst>
        </c:ser>
        <c:ser>
          <c:idx val="1"/>
          <c:order val="1"/>
          <c:tx>
            <c:strRef>
              <c:f>'Results ReCiPe (E) - HHD'!$AB$174</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(E) - HHD'!$AC$172:$BA$172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HHD'!$AC$174:$BA$174</c:f>
              <c:numCache>
                <c:formatCode>0.00E+00</c:formatCode>
                <c:ptCount val="25"/>
                <c:pt idx="0">
                  <c:v>0.56825338316202001</c:v>
                </c:pt>
              </c:numCache>
            </c:numRef>
          </c:val>
          <c:extLst>
            <c:ext xmlns:c16="http://schemas.microsoft.com/office/drawing/2014/chart" uri="{C3380CC4-5D6E-409C-BE32-E72D297353CC}">
              <c16:uniqueId val="{00000001-21CA-4FE7-B2D3-4F8C4773C892}"/>
            </c:ext>
          </c:extLst>
        </c:ser>
        <c:ser>
          <c:idx val="2"/>
          <c:order val="2"/>
          <c:tx>
            <c:strRef>
              <c:f>'Results ReCiPe (E) - HHD'!$AB$175</c:f>
              <c:strCache>
                <c:ptCount val="1"/>
                <c:pt idx="0">
                  <c:v>Deconstruction - DAC</c:v>
                </c:pt>
              </c:strCache>
            </c:strRef>
          </c:tx>
          <c:spPr>
            <a:solidFill>
              <a:schemeClr val="accent2">
                <a:lumMod val="40000"/>
                <a:lumOff val="60000"/>
              </a:schemeClr>
            </a:solidFill>
            <a:ln>
              <a:noFill/>
            </a:ln>
            <a:effectLst/>
          </c:spPr>
          <c:invertIfNegative val="0"/>
          <c:cat>
            <c:numRef>
              <c:f>'Results ReCiPe (E) - HHD'!$AC$172:$BA$172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HHD'!$AC$175:$BA$175</c:f>
              <c:numCache>
                <c:formatCode>0.00E+00</c:formatCode>
                <c:ptCount val="25"/>
                <c:pt idx="24">
                  <c:v>0.1255608424989286</c:v>
                </c:pt>
              </c:numCache>
            </c:numRef>
          </c:val>
          <c:extLst>
            <c:ext xmlns:c16="http://schemas.microsoft.com/office/drawing/2014/chart" uri="{C3380CC4-5D6E-409C-BE32-E72D297353CC}">
              <c16:uniqueId val="{00000002-21CA-4FE7-B2D3-4F8C4773C892}"/>
            </c:ext>
          </c:extLst>
        </c:ser>
        <c:ser>
          <c:idx val="3"/>
          <c:order val="3"/>
          <c:tx>
            <c:strRef>
              <c:f>'Results ReCiPe (E) - HHD'!$AB$176</c:f>
              <c:strCache>
                <c:ptCount val="1"/>
                <c:pt idx="0">
                  <c:v>Deconstruction - geological storage</c:v>
                </c:pt>
              </c:strCache>
            </c:strRef>
          </c:tx>
          <c:spPr>
            <a:solidFill>
              <a:srgbClr val="FF9900"/>
            </a:solidFill>
            <a:ln>
              <a:noFill/>
            </a:ln>
            <a:effectLst/>
          </c:spPr>
          <c:invertIfNegative val="0"/>
          <c:cat>
            <c:numRef>
              <c:f>'Results ReCiPe (E) - HHD'!$AC$172:$BA$172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HHD'!$AC$176:$BA$176</c:f>
              <c:numCache>
                <c:formatCode>0.00E+00</c:formatCode>
                <c:ptCount val="25"/>
                <c:pt idx="24">
                  <c:v>1.8015168397394004E-3</c:v>
                </c:pt>
              </c:numCache>
            </c:numRef>
          </c:val>
          <c:extLst>
            <c:ext xmlns:c16="http://schemas.microsoft.com/office/drawing/2014/chart" uri="{C3380CC4-5D6E-409C-BE32-E72D297353CC}">
              <c16:uniqueId val="{00000003-21CA-4FE7-B2D3-4F8C4773C892}"/>
            </c:ext>
          </c:extLst>
        </c:ser>
        <c:ser>
          <c:idx val="4"/>
          <c:order val="4"/>
          <c:tx>
            <c:strRef>
              <c:f>'Results ReCiPe (E) - HHD'!$AB$177</c:f>
              <c:strCache>
                <c:ptCount val="1"/>
                <c:pt idx="0">
                  <c:v>Sorbent material</c:v>
                </c:pt>
              </c:strCache>
            </c:strRef>
          </c:tx>
          <c:spPr>
            <a:solidFill>
              <a:srgbClr val="FF8F8F"/>
            </a:solidFill>
            <a:ln>
              <a:noFill/>
            </a:ln>
            <a:effectLst/>
          </c:spPr>
          <c:invertIfNegative val="0"/>
          <c:cat>
            <c:numRef>
              <c:f>'Results ReCiPe (E) - HHD'!$AC$172:$BA$172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HHD'!$AC$177:$BA$177</c:f>
              <c:numCache>
                <c:formatCode>0.00E+00</c:formatCode>
                <c:ptCount val="25"/>
                <c:pt idx="0">
                  <c:v>0.14634543908972419</c:v>
                </c:pt>
                <c:pt idx="3">
                  <c:v>0.144700117717494</c:v>
                </c:pt>
                <c:pt idx="6">
                  <c:v>0.14300322402923241</c:v>
                </c:pt>
                <c:pt idx="9">
                  <c:v>0.14146113160521259</c:v>
                </c:pt>
                <c:pt idx="12">
                  <c:v>0.13996239429028681</c:v>
                </c:pt>
                <c:pt idx="15">
                  <c:v>0.13861595410465891</c:v>
                </c:pt>
                <c:pt idx="18">
                  <c:v>0.1378128975848889</c:v>
                </c:pt>
                <c:pt idx="21">
                  <c:v>0.13722954493495951</c:v>
                </c:pt>
                <c:pt idx="24">
                  <c:v>0.13710363329546579</c:v>
                </c:pt>
              </c:numCache>
            </c:numRef>
          </c:val>
          <c:extLst>
            <c:ext xmlns:c16="http://schemas.microsoft.com/office/drawing/2014/chart" uri="{C3380CC4-5D6E-409C-BE32-E72D297353CC}">
              <c16:uniqueId val="{00000004-21CA-4FE7-B2D3-4F8C4773C892}"/>
            </c:ext>
          </c:extLst>
        </c:ser>
        <c:ser>
          <c:idx val="5"/>
          <c:order val="5"/>
          <c:tx>
            <c:strRef>
              <c:f>'Results ReCiPe (E) - HHD'!$AB$178</c:f>
              <c:strCache>
                <c:ptCount val="1"/>
                <c:pt idx="0">
                  <c:v>Operation - DAC</c:v>
                </c:pt>
              </c:strCache>
            </c:strRef>
          </c:tx>
          <c:spPr>
            <a:solidFill>
              <a:schemeClr val="accent2">
                <a:lumMod val="75000"/>
              </a:schemeClr>
            </a:solidFill>
            <a:ln>
              <a:noFill/>
            </a:ln>
            <a:effectLst/>
          </c:spPr>
          <c:invertIfNegative val="0"/>
          <c:cat>
            <c:numRef>
              <c:f>'Results ReCiPe (E) - HHD'!$AC$172:$BA$172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HHD'!$AC$178:$BA$178</c:f>
              <c:numCache>
                <c:formatCode>0.00E+00</c:formatCode>
                <c:ptCount val="25"/>
                <c:pt idx="0">
                  <c:v>2.1604077240480404</c:v>
                </c:pt>
                <c:pt idx="1">
                  <c:v>2.0106721839032664</c:v>
                </c:pt>
                <c:pt idx="2">
                  <c:v>1.8608020702576202</c:v>
                </c:pt>
                <c:pt idx="3">
                  <c:v>1.7111027996621953</c:v>
                </c:pt>
                <c:pt idx="4">
                  <c:v>1.560968595895031</c:v>
                </c:pt>
                <c:pt idx="5">
                  <c:v>1.4106894684942946</c:v>
                </c:pt>
                <c:pt idx="6">
                  <c:v>1.3557107874702083</c:v>
                </c:pt>
                <c:pt idx="7">
                  <c:v>1.3009939168117279</c:v>
                </c:pt>
                <c:pt idx="8">
                  <c:v>1.2469274815087945</c:v>
                </c:pt>
                <c:pt idx="9">
                  <c:v>1.1924814826139896</c:v>
                </c:pt>
                <c:pt idx="10">
                  <c:v>1.1380996475297085</c:v>
                </c:pt>
                <c:pt idx="11">
                  <c:v>1.1225234081703899</c:v>
                </c:pt>
                <c:pt idx="12">
                  <c:v>1.1069345990408685</c:v>
                </c:pt>
                <c:pt idx="13">
                  <c:v>1.0916424136438587</c:v>
                </c:pt>
                <c:pt idx="14">
                  <c:v>1.07596384741745</c:v>
                </c:pt>
                <c:pt idx="15">
                  <c:v>1.0602168552742655</c:v>
                </c:pt>
                <c:pt idx="16">
                  <c:v>1.0673320221656624</c:v>
                </c:pt>
                <c:pt idx="17">
                  <c:v>1.0744033676233886</c:v>
                </c:pt>
                <c:pt idx="18">
                  <c:v>1.0816456737452889</c:v>
                </c:pt>
                <c:pt idx="19">
                  <c:v>1.088620792405826</c:v>
                </c:pt>
                <c:pt idx="20">
                  <c:v>1.0955455277657753</c:v>
                </c:pt>
                <c:pt idx="21">
                  <c:v>1.1014174295355212</c:v>
                </c:pt>
                <c:pt idx="22">
                  <c:v>1.1070849179665199</c:v>
                </c:pt>
                <c:pt idx="23">
                  <c:v>1.1127803227661135</c:v>
                </c:pt>
                <c:pt idx="24">
                  <c:v>1.1185010127997319</c:v>
                </c:pt>
              </c:numCache>
            </c:numRef>
          </c:val>
          <c:extLst>
            <c:ext xmlns:c16="http://schemas.microsoft.com/office/drawing/2014/chart" uri="{C3380CC4-5D6E-409C-BE32-E72D297353CC}">
              <c16:uniqueId val="{00000005-21CA-4FE7-B2D3-4F8C4773C892}"/>
            </c:ext>
          </c:extLst>
        </c:ser>
        <c:ser>
          <c:idx val="6"/>
          <c:order val="6"/>
          <c:tx>
            <c:strRef>
              <c:f>'Results ReCiPe (E) - HHD'!$AB$179</c:f>
              <c:strCache>
                <c:ptCount val="1"/>
                <c:pt idx="0">
                  <c:v>Operation - geological storage</c:v>
                </c:pt>
              </c:strCache>
            </c:strRef>
          </c:tx>
          <c:spPr>
            <a:solidFill>
              <a:schemeClr val="accent2">
                <a:lumMod val="50000"/>
              </a:schemeClr>
            </a:solidFill>
            <a:ln>
              <a:noFill/>
            </a:ln>
            <a:effectLst/>
          </c:spPr>
          <c:invertIfNegative val="0"/>
          <c:cat>
            <c:numRef>
              <c:f>'Results ReCiPe (E) - HHD'!$AC$172:$BA$172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HHD'!$AC$179:$BA$179</c:f>
              <c:numCache>
                <c:formatCode>0.00E+00</c:formatCode>
                <c:ptCount val="25"/>
                <c:pt idx="0">
                  <c:v>0.33496960877119669</c:v>
                </c:pt>
                <c:pt idx="1">
                  <c:v>0.31998154455019479</c:v>
                </c:pt>
                <c:pt idx="2">
                  <c:v>0.30505085367021373</c:v>
                </c:pt>
                <c:pt idx="3">
                  <c:v>0.29020866439963255</c:v>
                </c:pt>
                <c:pt idx="4">
                  <c:v>0.27539292782227176</c:v>
                </c:pt>
                <c:pt idx="5">
                  <c:v>0.2606338785022429</c:v>
                </c:pt>
                <c:pt idx="6">
                  <c:v>0.25526106510858937</c:v>
                </c:pt>
                <c:pt idx="7">
                  <c:v>0.24991471438999321</c:v>
                </c:pt>
                <c:pt idx="8">
                  <c:v>0.24463512752201841</c:v>
                </c:pt>
                <c:pt idx="9">
                  <c:v>0.2393269071405254</c:v>
                </c:pt>
                <c:pt idx="10">
                  <c:v>0.23403312355110722</c:v>
                </c:pt>
                <c:pt idx="11">
                  <c:v>0.23243810228026307</c:v>
                </c:pt>
                <c:pt idx="12">
                  <c:v>0.23083901682335423</c:v>
                </c:pt>
                <c:pt idx="13">
                  <c:v>0.22926535867646819</c:v>
                </c:pt>
                <c:pt idx="14">
                  <c:v>0.2276542142571191</c:v>
                </c:pt>
                <c:pt idx="15">
                  <c:v>0.2260356161254454</c:v>
                </c:pt>
                <c:pt idx="16">
                  <c:v>0.22645689440946279</c:v>
                </c:pt>
                <c:pt idx="17">
                  <c:v>0.22687918407877519</c:v>
                </c:pt>
                <c:pt idx="18">
                  <c:v>0.22732236809434692</c:v>
                </c:pt>
                <c:pt idx="19">
                  <c:v>0.2277460722875953</c:v>
                </c:pt>
                <c:pt idx="20">
                  <c:v>0.22817018141708342</c:v>
                </c:pt>
                <c:pt idx="21">
                  <c:v>0.2288755068743121</c:v>
                </c:pt>
                <c:pt idx="22">
                  <c:v>0.2295579190194002</c:v>
                </c:pt>
                <c:pt idx="23">
                  <c:v>0.23024146468381021</c:v>
                </c:pt>
                <c:pt idx="24">
                  <c:v>0.23092571499286862</c:v>
                </c:pt>
              </c:numCache>
            </c:numRef>
          </c:val>
          <c:extLst>
            <c:ext xmlns:c16="http://schemas.microsoft.com/office/drawing/2014/chart" uri="{C3380CC4-5D6E-409C-BE32-E72D297353CC}">
              <c16:uniqueId val="{00000006-21CA-4FE7-B2D3-4F8C4773C892}"/>
            </c:ext>
          </c:extLst>
        </c:ser>
        <c:ser>
          <c:idx val="7"/>
          <c:order val="7"/>
          <c:tx>
            <c:strRef>
              <c:f>'Results ReCiPe (E) - HHD'!$AB$180</c:f>
              <c:strCache>
                <c:ptCount val="1"/>
                <c:pt idx="0">
                  <c:v>CO2 captured and stored</c:v>
                </c:pt>
              </c:strCache>
            </c:strRef>
          </c:tx>
          <c:spPr>
            <a:solidFill>
              <a:schemeClr val="tx2">
                <a:lumMod val="20000"/>
                <a:lumOff val="80000"/>
              </a:schemeClr>
            </a:solidFill>
            <a:ln>
              <a:noFill/>
            </a:ln>
            <a:effectLst/>
          </c:spPr>
          <c:invertIfNegative val="0"/>
          <c:cat>
            <c:numRef>
              <c:f>'Results ReCiPe (E) - HHD'!$AC$172:$BA$172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HHD'!$AC$180:$BA$180</c:f>
              <c:numCache>
                <c:formatCode>0.00E+00</c:formatCode>
                <c:ptCount val="25"/>
                <c:pt idx="0">
                  <c:v>-1.25</c:v>
                </c:pt>
                <c:pt idx="1">
                  <c:v>-1.25</c:v>
                </c:pt>
                <c:pt idx="2">
                  <c:v>-1.25</c:v>
                </c:pt>
                <c:pt idx="3">
                  <c:v>-1.25</c:v>
                </c:pt>
                <c:pt idx="4">
                  <c:v>-1.25</c:v>
                </c:pt>
                <c:pt idx="5">
                  <c:v>-1.25</c:v>
                </c:pt>
                <c:pt idx="6">
                  <c:v>-1.25</c:v>
                </c:pt>
                <c:pt idx="7">
                  <c:v>-1.25</c:v>
                </c:pt>
                <c:pt idx="8">
                  <c:v>-1.25</c:v>
                </c:pt>
                <c:pt idx="9">
                  <c:v>-1.25</c:v>
                </c:pt>
                <c:pt idx="10">
                  <c:v>-1.25</c:v>
                </c:pt>
                <c:pt idx="11">
                  <c:v>-1.25</c:v>
                </c:pt>
                <c:pt idx="12">
                  <c:v>-1.25</c:v>
                </c:pt>
                <c:pt idx="13">
                  <c:v>-1.25</c:v>
                </c:pt>
                <c:pt idx="14">
                  <c:v>-1.25</c:v>
                </c:pt>
                <c:pt idx="15">
                  <c:v>-1.25</c:v>
                </c:pt>
                <c:pt idx="16">
                  <c:v>-1.25</c:v>
                </c:pt>
                <c:pt idx="17">
                  <c:v>-1.25</c:v>
                </c:pt>
                <c:pt idx="18">
                  <c:v>-1.25</c:v>
                </c:pt>
                <c:pt idx="19">
                  <c:v>-1.25</c:v>
                </c:pt>
                <c:pt idx="20">
                  <c:v>-1.25</c:v>
                </c:pt>
                <c:pt idx="21">
                  <c:v>-1.25</c:v>
                </c:pt>
                <c:pt idx="22">
                  <c:v>-1.25</c:v>
                </c:pt>
                <c:pt idx="23">
                  <c:v>-1.25</c:v>
                </c:pt>
                <c:pt idx="24">
                  <c:v>-1.25</c:v>
                </c:pt>
              </c:numCache>
            </c:numRef>
          </c:val>
          <c:extLst>
            <c:ext xmlns:c16="http://schemas.microsoft.com/office/drawing/2014/chart" uri="{C3380CC4-5D6E-409C-BE32-E72D297353CC}">
              <c16:uniqueId val="{00000007-21CA-4FE7-B2D3-4F8C4773C892}"/>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(E) - HHD'!$AB$181</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cat>
            <c:numRef>
              <c:f>'Results ReCiPe (E) - HHD'!$AC$172:$BA$172</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HHD'!$AC$181:$BA$181</c:f>
              <c:numCache>
                <c:formatCode>0.00E+00</c:formatCode>
                <c:ptCount val="25"/>
                <c:pt idx="0">
                  <c:v>17.123601493267145</c:v>
                </c:pt>
                <c:pt idx="1">
                  <c:v>1.080653728453461</c:v>
                </c:pt>
                <c:pt idx="2">
                  <c:v>0.91585292392783391</c:v>
                </c:pt>
                <c:pt idx="3">
                  <c:v>0.89601158177932172</c:v>
                </c:pt>
                <c:pt idx="4">
                  <c:v>0.58636152371730277</c:v>
                </c:pt>
                <c:pt idx="5">
                  <c:v>0.4213233469965374</c:v>
                </c:pt>
                <c:pt idx="6">
                  <c:v>0.5039750766080302</c:v>
                </c:pt>
                <c:pt idx="7">
                  <c:v>0.30090863120172107</c:v>
                </c:pt>
                <c:pt idx="8">
                  <c:v>0.24156260903081295</c:v>
                </c:pt>
                <c:pt idx="9">
                  <c:v>0.32326952135972764</c:v>
                </c:pt>
                <c:pt idx="10">
                  <c:v>0.12213277108081577</c:v>
                </c:pt>
                <c:pt idx="11">
                  <c:v>0.10496151045065294</c:v>
                </c:pt>
                <c:pt idx="12">
                  <c:v>0.22773601015450962</c:v>
                </c:pt>
                <c:pt idx="13">
                  <c:v>7.0907772320326856E-2</c:v>
                </c:pt>
                <c:pt idx="14">
                  <c:v>5.3618061674569173E-2</c:v>
                </c:pt>
                <c:pt idx="15">
                  <c:v>0.17486842550436976</c:v>
                </c:pt>
                <c:pt idx="16">
                  <c:v>4.378891657512507E-2</c:v>
                </c:pt>
                <c:pt idx="17">
                  <c:v>5.1282551702163781E-2</c:v>
                </c:pt>
                <c:pt idx="18">
                  <c:v>0.19678093942452479</c:v>
                </c:pt>
                <c:pt idx="19">
                  <c:v>6.6366864693421235E-2</c:v>
                </c:pt>
                <c:pt idx="20">
                  <c:v>7.3715709182858635E-2</c:v>
                </c:pt>
                <c:pt idx="21">
                  <c:v>0.21752248134479268</c:v>
                </c:pt>
                <c:pt idx="22">
                  <c:v>8.6642836985920013E-2</c:v>
                </c:pt>
                <c:pt idx="23">
                  <c:v>9.3021787449923732E-2</c:v>
                </c:pt>
                <c:pt idx="24">
                  <c:v>0.36389272042673415</c:v>
                </c:pt>
              </c:numCache>
            </c:numRef>
          </c:val>
          <c:smooth val="0"/>
          <c:extLst>
            <c:ext xmlns:c16="http://schemas.microsoft.com/office/drawing/2014/chart" uri="{C3380CC4-5D6E-409C-BE32-E72D297353CC}">
              <c16:uniqueId val="{00000008-21CA-4FE7-B2D3-4F8C4773C892}"/>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Human</a:t>
                </a:r>
                <a:r>
                  <a:rPr lang="nl-NL" baseline="0"/>
                  <a:t> health</a:t>
                </a:r>
                <a:r>
                  <a:rPr lang="nl-NL"/>
                  <a:t> damage </a:t>
                </a:r>
                <a:br>
                  <a:rPr lang="nl-NL"/>
                </a:br>
                <a:r>
                  <a:rPr lang="nl-NL"/>
                  <a:t>(DALY/ton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(E) - HHD'!$AB$214</c:f>
              <c:strCache>
                <c:ptCount val="1"/>
                <c:pt idx="0">
                  <c:v>Construction - DAC</c:v>
                </c:pt>
              </c:strCache>
            </c:strRef>
          </c:tx>
          <c:spPr>
            <a:solidFill>
              <a:schemeClr val="accent4">
                <a:lumMod val="75000"/>
              </a:schemeClr>
            </a:solidFill>
            <a:ln>
              <a:noFill/>
            </a:ln>
            <a:effectLst/>
          </c:spPr>
          <c:invertIfNegative val="0"/>
          <c:cat>
            <c:numRef>
              <c:f>'Results ReCiPe (E) - HHD'!$AC$213:$BA$213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HHD'!$AC$214:$BA$214</c:f>
              <c:numCache>
                <c:formatCode>0.00E+00</c:formatCode>
                <c:ptCount val="25"/>
                <c:pt idx="0">
                  <c:v>14.738379245035386</c:v>
                </c:pt>
              </c:numCache>
            </c:numRef>
          </c:val>
          <c:extLst>
            <c:ext xmlns:c16="http://schemas.microsoft.com/office/drawing/2014/chart" uri="{C3380CC4-5D6E-409C-BE32-E72D297353CC}">
              <c16:uniqueId val="{00000000-FAA1-471E-9268-8F6A7CDA5CC2}"/>
            </c:ext>
          </c:extLst>
        </c:ser>
        <c:ser>
          <c:idx val="1"/>
          <c:order val="1"/>
          <c:tx>
            <c:strRef>
              <c:f>'Results ReCiPe (E) - HHD'!$AB$215</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(E) - HHD'!$AC$213:$BA$213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HHD'!$AC$215:$BA$215</c:f>
              <c:numCache>
                <c:formatCode>0.00E+00</c:formatCode>
                <c:ptCount val="25"/>
                <c:pt idx="0">
                  <c:v>0.55066196758672803</c:v>
                </c:pt>
              </c:numCache>
            </c:numRef>
          </c:val>
          <c:extLst>
            <c:ext xmlns:c16="http://schemas.microsoft.com/office/drawing/2014/chart" uri="{C3380CC4-5D6E-409C-BE32-E72D297353CC}">
              <c16:uniqueId val="{00000001-FAA1-471E-9268-8F6A7CDA5CC2}"/>
            </c:ext>
          </c:extLst>
        </c:ser>
        <c:ser>
          <c:idx val="2"/>
          <c:order val="2"/>
          <c:tx>
            <c:strRef>
              <c:f>'Results ReCiPe (E) - HHD'!$AB$216</c:f>
              <c:strCache>
                <c:ptCount val="1"/>
                <c:pt idx="0">
                  <c:v>Deconstruction - DAC</c:v>
                </c:pt>
              </c:strCache>
            </c:strRef>
          </c:tx>
          <c:spPr>
            <a:solidFill>
              <a:schemeClr val="accent2">
                <a:lumMod val="40000"/>
                <a:lumOff val="60000"/>
              </a:schemeClr>
            </a:solidFill>
            <a:ln>
              <a:noFill/>
            </a:ln>
            <a:effectLst/>
          </c:spPr>
          <c:invertIfNegative val="0"/>
          <c:cat>
            <c:numRef>
              <c:f>'Results ReCiPe (E) - HHD'!$AC$213:$BA$213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HHD'!$AC$216:$BA$216</c:f>
              <c:numCache>
                <c:formatCode>0.00E+00</c:formatCode>
                <c:ptCount val="25"/>
                <c:pt idx="24">
                  <c:v>0.12481721799143849</c:v>
                </c:pt>
              </c:numCache>
            </c:numRef>
          </c:val>
          <c:extLst>
            <c:ext xmlns:c16="http://schemas.microsoft.com/office/drawing/2014/chart" uri="{C3380CC4-5D6E-409C-BE32-E72D297353CC}">
              <c16:uniqueId val="{00000002-FAA1-471E-9268-8F6A7CDA5CC2}"/>
            </c:ext>
          </c:extLst>
        </c:ser>
        <c:ser>
          <c:idx val="3"/>
          <c:order val="3"/>
          <c:tx>
            <c:strRef>
              <c:f>'Results ReCiPe (E) - HHD'!$AB$217</c:f>
              <c:strCache>
                <c:ptCount val="1"/>
                <c:pt idx="0">
                  <c:v>Deconstruction - geological storage</c:v>
                </c:pt>
              </c:strCache>
            </c:strRef>
          </c:tx>
          <c:spPr>
            <a:solidFill>
              <a:srgbClr val="FF9900"/>
            </a:solidFill>
            <a:ln>
              <a:noFill/>
            </a:ln>
            <a:effectLst/>
          </c:spPr>
          <c:invertIfNegative val="0"/>
          <c:cat>
            <c:numRef>
              <c:f>'Results ReCiPe (E) - HHD'!$AC$213:$BA$213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HHD'!$AC$217:$BA$217</c:f>
              <c:numCache>
                <c:formatCode>0.00E+00</c:formatCode>
                <c:ptCount val="25"/>
                <c:pt idx="24">
                  <c:v>1.7885085635986353E-3</c:v>
                </c:pt>
              </c:numCache>
            </c:numRef>
          </c:val>
          <c:extLst>
            <c:ext xmlns:c16="http://schemas.microsoft.com/office/drawing/2014/chart" uri="{C3380CC4-5D6E-409C-BE32-E72D297353CC}">
              <c16:uniqueId val="{00000003-FAA1-471E-9268-8F6A7CDA5CC2}"/>
            </c:ext>
          </c:extLst>
        </c:ser>
        <c:ser>
          <c:idx val="4"/>
          <c:order val="4"/>
          <c:tx>
            <c:strRef>
              <c:f>'Results ReCiPe (E) - HHD'!$AB$218</c:f>
              <c:strCache>
                <c:ptCount val="1"/>
                <c:pt idx="0">
                  <c:v>Sorbent material</c:v>
                </c:pt>
              </c:strCache>
            </c:strRef>
          </c:tx>
          <c:spPr>
            <a:solidFill>
              <a:srgbClr val="FF8F8F"/>
            </a:solidFill>
            <a:ln>
              <a:noFill/>
            </a:ln>
            <a:effectLst/>
          </c:spPr>
          <c:invertIfNegative val="0"/>
          <c:cat>
            <c:numRef>
              <c:f>'Results ReCiPe (E) - HHD'!$AC$213:$BA$213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HHD'!$AC$218:$BA$218</c:f>
              <c:numCache>
                <c:formatCode>0.00E+00</c:formatCode>
                <c:ptCount val="25"/>
                <c:pt idx="0">
                  <c:v>0.13898838933965599</c:v>
                </c:pt>
                <c:pt idx="3">
                  <c:v>0.13744187952975451</c:v>
                </c:pt>
                <c:pt idx="6">
                  <c:v>0.13624222837857081</c:v>
                </c:pt>
                <c:pt idx="9">
                  <c:v>0.1360862547056324</c:v>
                </c:pt>
                <c:pt idx="12">
                  <c:v>0.13609653546799161</c:v>
                </c:pt>
                <c:pt idx="15">
                  <c:v>0.13629232675839831</c:v>
                </c:pt>
                <c:pt idx="18">
                  <c:v>0.1362868893052214</c:v>
                </c:pt>
                <c:pt idx="21">
                  <c:v>0.1362693875750155</c:v>
                </c:pt>
                <c:pt idx="24">
                  <c:v>0.13626815075790319</c:v>
                </c:pt>
              </c:numCache>
            </c:numRef>
          </c:val>
          <c:extLst>
            <c:ext xmlns:c16="http://schemas.microsoft.com/office/drawing/2014/chart" uri="{C3380CC4-5D6E-409C-BE32-E72D297353CC}">
              <c16:uniqueId val="{00000004-FAA1-471E-9268-8F6A7CDA5CC2}"/>
            </c:ext>
          </c:extLst>
        </c:ser>
        <c:ser>
          <c:idx val="5"/>
          <c:order val="5"/>
          <c:tx>
            <c:strRef>
              <c:f>'Results ReCiPe (E) - HHD'!$AB$219</c:f>
              <c:strCache>
                <c:ptCount val="1"/>
                <c:pt idx="0">
                  <c:v>Operation - DAC</c:v>
                </c:pt>
              </c:strCache>
            </c:strRef>
          </c:tx>
          <c:spPr>
            <a:solidFill>
              <a:schemeClr val="accent2">
                <a:lumMod val="75000"/>
              </a:schemeClr>
            </a:solidFill>
            <a:ln>
              <a:noFill/>
            </a:ln>
            <a:effectLst/>
          </c:spPr>
          <c:invertIfNegative val="0"/>
          <c:cat>
            <c:numRef>
              <c:f>'Results ReCiPe (E) - HHD'!$AC$213:$BA$213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HHD'!$AC$219:$BA$219</c:f>
              <c:numCache>
                <c:formatCode>0.00E+00</c:formatCode>
                <c:ptCount val="25"/>
                <c:pt idx="0">
                  <c:v>1.229489334904456</c:v>
                </c:pt>
                <c:pt idx="1">
                  <c:v>1.1791958110607643</c:v>
                </c:pt>
                <c:pt idx="2">
                  <c:v>1.1286352451848003</c:v>
                </c:pt>
                <c:pt idx="3">
                  <c:v>1.0781319415883399</c:v>
                </c:pt>
                <c:pt idx="4">
                  <c:v>1.0269494668446761</c:v>
                </c:pt>
                <c:pt idx="5">
                  <c:v>0.97546310641825584</c:v>
                </c:pt>
                <c:pt idx="6">
                  <c:v>0.9742225067712833</c:v>
                </c:pt>
                <c:pt idx="7">
                  <c:v>0.97303390395430045</c:v>
                </c:pt>
                <c:pt idx="8">
                  <c:v>0.97254418877538651</c:v>
                </c:pt>
                <c:pt idx="9">
                  <c:v>0.97141362525418118</c:v>
                </c:pt>
                <c:pt idx="10">
                  <c:v>0.97027335501280987</c:v>
                </c:pt>
                <c:pt idx="11">
                  <c:v>0.96706780411037296</c:v>
                </c:pt>
                <c:pt idx="12">
                  <c:v>0.96396691353389541</c:v>
                </c:pt>
                <c:pt idx="13">
                  <c:v>0.96138367658592128</c:v>
                </c:pt>
                <c:pt idx="14">
                  <c:v>0.958400138417833</c:v>
                </c:pt>
                <c:pt idx="15">
                  <c:v>0.9554503946177213</c:v>
                </c:pt>
                <c:pt idx="16">
                  <c:v>0.96377662000720465</c:v>
                </c:pt>
                <c:pt idx="17">
                  <c:v>0.97203032249541876</c:v>
                </c:pt>
                <c:pt idx="18">
                  <c:v>0.98049842993224279</c:v>
                </c:pt>
                <c:pt idx="19">
                  <c:v>0.98861231153492413</c:v>
                </c:pt>
                <c:pt idx="20">
                  <c:v>0.99666250668507483</c:v>
                </c:pt>
                <c:pt idx="21">
                  <c:v>0.99679125637163746</c:v>
                </c:pt>
                <c:pt idx="22">
                  <c:v>0.99667432423016744</c:v>
                </c:pt>
                <c:pt idx="23">
                  <c:v>0.99656408737953184</c:v>
                </c:pt>
                <c:pt idx="24">
                  <c:v>0.99645785639792517</c:v>
                </c:pt>
              </c:numCache>
            </c:numRef>
          </c:val>
          <c:extLst>
            <c:ext xmlns:c16="http://schemas.microsoft.com/office/drawing/2014/chart" uri="{C3380CC4-5D6E-409C-BE32-E72D297353CC}">
              <c16:uniqueId val="{00000005-FAA1-471E-9268-8F6A7CDA5CC2}"/>
            </c:ext>
          </c:extLst>
        </c:ser>
        <c:ser>
          <c:idx val="6"/>
          <c:order val="6"/>
          <c:tx>
            <c:strRef>
              <c:f>'Results ReCiPe (E) - HHD'!$AB$220</c:f>
              <c:strCache>
                <c:ptCount val="1"/>
                <c:pt idx="0">
                  <c:v>Operation - geological storage</c:v>
                </c:pt>
              </c:strCache>
            </c:strRef>
          </c:tx>
          <c:spPr>
            <a:solidFill>
              <a:schemeClr val="accent2">
                <a:lumMod val="50000"/>
              </a:schemeClr>
            </a:solidFill>
            <a:ln>
              <a:noFill/>
            </a:ln>
            <a:effectLst/>
          </c:spPr>
          <c:invertIfNegative val="0"/>
          <c:cat>
            <c:numRef>
              <c:f>'Results ReCiPe (E) - HHD'!$AC$213:$BA$213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HHD'!$AC$220:$BA$220</c:f>
              <c:numCache>
                <c:formatCode>0.00E+00</c:formatCode>
                <c:ptCount val="25"/>
                <c:pt idx="0">
                  <c:v>0.2417809387795547</c:v>
                </c:pt>
                <c:pt idx="1">
                  <c:v>0.23705729033863418</c:v>
                </c:pt>
                <c:pt idx="2">
                  <c:v>0.23233720055531518</c:v>
                </c:pt>
                <c:pt idx="3">
                  <c:v>0.22765552006383027</c:v>
                </c:pt>
                <c:pt idx="4">
                  <c:v>0.22293692659926032</c:v>
                </c:pt>
                <c:pt idx="5">
                  <c:v>0.21821871908375601</c:v>
                </c:pt>
                <c:pt idx="6">
                  <c:v>0.2183328752610379</c:v>
                </c:pt>
                <c:pt idx="7">
                  <c:v>0.2184454726271664</c:v>
                </c:pt>
                <c:pt idx="8">
                  <c:v>0.2186197885807338</c:v>
                </c:pt>
                <c:pt idx="9">
                  <c:v>0.21872848466727821</c:v>
                </c:pt>
                <c:pt idx="10">
                  <c:v>0.21883249764689899</c:v>
                </c:pt>
                <c:pt idx="11">
                  <c:v>0.21841557921298049</c:v>
                </c:pt>
                <c:pt idx="12">
                  <c:v>0.21800506941521089</c:v>
                </c:pt>
                <c:pt idx="13">
                  <c:v>0.21764066730740861</c:v>
                </c:pt>
                <c:pt idx="14">
                  <c:v>0.21723706665984091</c:v>
                </c:pt>
                <c:pt idx="15">
                  <c:v>0.21683545808110291</c:v>
                </c:pt>
                <c:pt idx="16">
                  <c:v>0.2170606194781684</c:v>
                </c:pt>
                <c:pt idx="17">
                  <c:v>0.21728945931437202</c:v>
                </c:pt>
                <c:pt idx="18">
                  <c:v>0.21754875047075201</c:v>
                </c:pt>
                <c:pt idx="19">
                  <c:v>0.2177852629463648</c:v>
                </c:pt>
                <c:pt idx="20">
                  <c:v>0.21802574197248531</c:v>
                </c:pt>
                <c:pt idx="21">
                  <c:v>0.21817145768362151</c:v>
                </c:pt>
                <c:pt idx="22">
                  <c:v>0.21829169710501409</c:v>
                </c:pt>
                <c:pt idx="23">
                  <c:v>0.21841282227465422</c:v>
                </c:pt>
                <c:pt idx="24">
                  <c:v>0.21853442335682399</c:v>
                </c:pt>
              </c:numCache>
            </c:numRef>
          </c:val>
          <c:extLst>
            <c:ext xmlns:c16="http://schemas.microsoft.com/office/drawing/2014/chart" uri="{C3380CC4-5D6E-409C-BE32-E72D297353CC}">
              <c16:uniqueId val="{00000006-FAA1-471E-9268-8F6A7CDA5CC2}"/>
            </c:ext>
          </c:extLst>
        </c:ser>
        <c:ser>
          <c:idx val="7"/>
          <c:order val="7"/>
          <c:tx>
            <c:strRef>
              <c:f>'Results ReCiPe (E) - HHD'!$AB$221</c:f>
              <c:strCache>
                <c:ptCount val="1"/>
                <c:pt idx="0">
                  <c:v>CO2 captured and stored</c:v>
                </c:pt>
              </c:strCache>
            </c:strRef>
          </c:tx>
          <c:spPr>
            <a:solidFill>
              <a:schemeClr val="tx2">
                <a:lumMod val="20000"/>
                <a:lumOff val="80000"/>
              </a:schemeClr>
            </a:solidFill>
            <a:ln>
              <a:noFill/>
            </a:ln>
            <a:effectLst/>
          </c:spPr>
          <c:invertIfNegative val="0"/>
          <c:cat>
            <c:numRef>
              <c:f>'Results ReCiPe (E) - HHD'!$AC$213:$BA$213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HHD'!$AC$221:$BA$221</c:f>
              <c:numCache>
                <c:formatCode>0.00E+00</c:formatCode>
                <c:ptCount val="25"/>
                <c:pt idx="0">
                  <c:v>-1.25</c:v>
                </c:pt>
                <c:pt idx="1">
                  <c:v>-1.25</c:v>
                </c:pt>
                <c:pt idx="2">
                  <c:v>-1.25</c:v>
                </c:pt>
                <c:pt idx="3">
                  <c:v>-1.25</c:v>
                </c:pt>
                <c:pt idx="4">
                  <c:v>-1.25</c:v>
                </c:pt>
                <c:pt idx="5">
                  <c:v>-1.25</c:v>
                </c:pt>
                <c:pt idx="6">
                  <c:v>-1.25</c:v>
                </c:pt>
                <c:pt idx="7">
                  <c:v>-1.25</c:v>
                </c:pt>
                <c:pt idx="8">
                  <c:v>-1.25</c:v>
                </c:pt>
                <c:pt idx="9">
                  <c:v>-1.25</c:v>
                </c:pt>
                <c:pt idx="10">
                  <c:v>-1.25</c:v>
                </c:pt>
                <c:pt idx="11">
                  <c:v>-1.25</c:v>
                </c:pt>
                <c:pt idx="12">
                  <c:v>-1.25</c:v>
                </c:pt>
                <c:pt idx="13">
                  <c:v>-1.25</c:v>
                </c:pt>
                <c:pt idx="14">
                  <c:v>-1.25</c:v>
                </c:pt>
                <c:pt idx="15">
                  <c:v>-1.25</c:v>
                </c:pt>
                <c:pt idx="16">
                  <c:v>-1.25</c:v>
                </c:pt>
                <c:pt idx="17">
                  <c:v>-1.25</c:v>
                </c:pt>
                <c:pt idx="18">
                  <c:v>-1.25</c:v>
                </c:pt>
                <c:pt idx="19">
                  <c:v>-1.25</c:v>
                </c:pt>
                <c:pt idx="20">
                  <c:v>-1.25</c:v>
                </c:pt>
                <c:pt idx="21">
                  <c:v>-1.25</c:v>
                </c:pt>
                <c:pt idx="22">
                  <c:v>-1.25</c:v>
                </c:pt>
                <c:pt idx="23">
                  <c:v>-1.25</c:v>
                </c:pt>
                <c:pt idx="24">
                  <c:v>-1.25</c:v>
                </c:pt>
              </c:numCache>
            </c:numRef>
          </c:val>
          <c:extLst>
            <c:ext xmlns:c16="http://schemas.microsoft.com/office/drawing/2014/chart" uri="{C3380CC4-5D6E-409C-BE32-E72D297353CC}">
              <c16:uniqueId val="{00000007-FAA1-471E-9268-8F6A7CDA5CC2}"/>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(E) - HHD'!$AB$222</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cat>
            <c:numRef>
              <c:f>'Results ReCiPe (E) - HHD'!$AC$213:$BA$213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HHD'!$AC$222:$BA$222</c:f>
              <c:numCache>
                <c:formatCode>0.00E+00</c:formatCode>
                <c:ptCount val="25"/>
                <c:pt idx="0">
                  <c:v>15.649299875645784</c:v>
                </c:pt>
                <c:pt idx="1">
                  <c:v>0.16625310139939842</c:v>
                </c:pt>
                <c:pt idx="2">
                  <c:v>0.11097244574011556</c:v>
                </c:pt>
                <c:pt idx="3">
                  <c:v>0.19322934118192459</c:v>
                </c:pt>
                <c:pt idx="4">
                  <c:v>-1.1360655606362791E-4</c:v>
                </c:pt>
                <c:pt idx="5">
                  <c:v>-5.6318174497988149E-2</c:v>
                </c:pt>
                <c:pt idx="6">
                  <c:v>7.8797610410892061E-2</c:v>
                </c:pt>
                <c:pt idx="7">
                  <c:v>-5.8520623418533146E-2</c:v>
                </c:pt>
                <c:pt idx="8">
                  <c:v>-5.8836022643879771E-2</c:v>
                </c:pt>
                <c:pt idx="9">
                  <c:v>7.6228364627091816E-2</c:v>
                </c:pt>
                <c:pt idx="10">
                  <c:v>-6.0894147340291083E-2</c:v>
                </c:pt>
                <c:pt idx="11">
                  <c:v>-6.4516616676646432E-2</c:v>
                </c:pt>
                <c:pt idx="12">
                  <c:v>6.8068518417097934E-2</c:v>
                </c:pt>
                <c:pt idx="13">
                  <c:v>-7.0975656106670115E-2</c:v>
                </c:pt>
                <c:pt idx="14">
                  <c:v>-7.4362794922326003E-2</c:v>
                </c:pt>
                <c:pt idx="15">
                  <c:v>5.8578179457222657E-2</c:v>
                </c:pt>
                <c:pt idx="16">
                  <c:v>-6.9162760514626997E-2</c:v>
                </c:pt>
                <c:pt idx="17">
                  <c:v>-6.0680218190209301E-2</c:v>
                </c:pt>
                <c:pt idx="18">
                  <c:v>8.4334069708216219E-2</c:v>
                </c:pt>
                <c:pt idx="19">
                  <c:v>-4.3602425518711074E-2</c:v>
                </c:pt>
                <c:pt idx="20">
                  <c:v>-3.5311751342439912E-2</c:v>
                </c:pt>
                <c:pt idx="21">
                  <c:v>0.10123210163027441</c:v>
                </c:pt>
                <c:pt idx="22">
                  <c:v>-3.5033978664818388E-2</c:v>
                </c:pt>
                <c:pt idx="23">
                  <c:v>-3.5023090345813968E-2</c:v>
                </c:pt>
                <c:pt idx="24">
                  <c:v>0.22786615706768942</c:v>
                </c:pt>
              </c:numCache>
            </c:numRef>
          </c:val>
          <c:smooth val="0"/>
          <c:extLst>
            <c:ext xmlns:c16="http://schemas.microsoft.com/office/drawing/2014/chart" uri="{C3380CC4-5D6E-409C-BE32-E72D297353CC}">
              <c16:uniqueId val="{00000008-FAA1-471E-9268-8F6A7CDA5CC2}"/>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Human</a:t>
                </a:r>
                <a:r>
                  <a:rPr lang="nl-NL" baseline="0"/>
                  <a:t> health</a:t>
                </a:r>
                <a:r>
                  <a:rPr lang="nl-NL"/>
                  <a:t> damage </a:t>
                </a:r>
                <a:br>
                  <a:rPr lang="nl-NL"/>
                </a:br>
                <a:r>
                  <a:rPr lang="nl-NL"/>
                  <a:t>(DALY/ton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26879729621161"/>
          <c:y val="5.4106329588493672E-2"/>
          <c:w val="0.87797394606685986"/>
          <c:h val="0.75500483548693564"/>
        </c:manualLayout>
      </c:layout>
      <c:barChart>
        <c:barDir val="col"/>
        <c:grouping val="stacked"/>
        <c:varyColors val="0"/>
        <c:ser>
          <c:idx val="0"/>
          <c:order val="0"/>
          <c:tx>
            <c:strRef>
              <c:f>'Results ReCiPe (E) - HHD'!$AB$274</c:f>
              <c:strCache>
                <c:ptCount val="1"/>
                <c:pt idx="0">
                  <c:v>Construction - DAC</c:v>
                </c:pt>
              </c:strCache>
            </c:strRef>
          </c:tx>
          <c:spPr>
            <a:solidFill>
              <a:schemeClr val="accent4">
                <a:lumMod val="75000"/>
              </a:schemeClr>
            </a:solidFill>
            <a:ln>
              <a:noFill/>
            </a:ln>
            <a:effectLst/>
          </c:spPr>
          <c:invertIfNegative val="0"/>
          <c:cat>
            <c:numRef>
              <c:f>'Results ReCiPe (E) - HHD'!$AC$273:$BA$273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HHD'!$AC$274:$BA$274</c:f>
              <c:numCache>
                <c:formatCode>0.00E+00</c:formatCode>
                <c:ptCount val="25"/>
                <c:pt idx="0">
                  <c:v>15.092877529951746</c:v>
                </c:pt>
              </c:numCache>
            </c:numRef>
          </c:val>
          <c:extLst>
            <c:ext xmlns:c16="http://schemas.microsoft.com/office/drawing/2014/chart" uri="{C3380CC4-5D6E-409C-BE32-E72D297353CC}">
              <c16:uniqueId val="{00000000-DD7E-43BD-BC42-6B3D722DF59A}"/>
            </c:ext>
          </c:extLst>
        </c:ser>
        <c:ser>
          <c:idx val="1"/>
          <c:order val="1"/>
          <c:tx>
            <c:strRef>
              <c:f>'Results ReCiPe (E) - HHD'!$AB$275</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(E) - HHD'!$AC$273:$BA$273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HHD'!$AC$275:$BA$275</c:f>
              <c:numCache>
                <c:formatCode>0.00E+00</c:formatCode>
                <c:ptCount val="25"/>
                <c:pt idx="0">
                  <c:v>0.29671071214710926</c:v>
                </c:pt>
              </c:numCache>
            </c:numRef>
          </c:val>
          <c:extLst>
            <c:ext xmlns:c16="http://schemas.microsoft.com/office/drawing/2014/chart" uri="{C3380CC4-5D6E-409C-BE32-E72D297353CC}">
              <c16:uniqueId val="{00000001-DD7E-43BD-BC42-6B3D722DF59A}"/>
            </c:ext>
          </c:extLst>
        </c:ser>
        <c:ser>
          <c:idx val="2"/>
          <c:order val="2"/>
          <c:tx>
            <c:strRef>
              <c:f>'Results ReCiPe (E) - HHD'!$AB$276</c:f>
              <c:strCache>
                <c:ptCount val="1"/>
                <c:pt idx="0">
                  <c:v>Deconstruction - DAC</c:v>
                </c:pt>
              </c:strCache>
            </c:strRef>
          </c:tx>
          <c:spPr>
            <a:solidFill>
              <a:schemeClr val="accent2">
                <a:lumMod val="40000"/>
                <a:lumOff val="60000"/>
              </a:schemeClr>
            </a:solidFill>
            <a:ln>
              <a:noFill/>
            </a:ln>
            <a:effectLst/>
          </c:spPr>
          <c:invertIfNegative val="0"/>
          <c:cat>
            <c:numRef>
              <c:f>'Results ReCiPe (E) - HHD'!$AC$273:$BA$273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HHD'!$AC$276:$BA$276</c:f>
              <c:numCache>
                <c:formatCode>0.00E+00</c:formatCode>
                <c:ptCount val="25"/>
                <c:pt idx="24">
                  <c:v>0.12953343012141194</c:v>
                </c:pt>
              </c:numCache>
            </c:numRef>
          </c:val>
          <c:extLst>
            <c:ext xmlns:c16="http://schemas.microsoft.com/office/drawing/2014/chart" uri="{C3380CC4-5D6E-409C-BE32-E72D297353CC}">
              <c16:uniqueId val="{00000002-DD7E-43BD-BC42-6B3D722DF59A}"/>
            </c:ext>
          </c:extLst>
        </c:ser>
        <c:ser>
          <c:idx val="3"/>
          <c:order val="3"/>
          <c:tx>
            <c:strRef>
              <c:f>'Results ReCiPe (E) - HHD'!$AB$277</c:f>
              <c:strCache>
                <c:ptCount val="1"/>
                <c:pt idx="0">
                  <c:v>Deconstruction - geological storage</c:v>
                </c:pt>
              </c:strCache>
            </c:strRef>
          </c:tx>
          <c:spPr>
            <a:solidFill>
              <a:srgbClr val="FF9900"/>
            </a:solidFill>
            <a:ln>
              <a:noFill/>
            </a:ln>
            <a:effectLst/>
          </c:spPr>
          <c:invertIfNegative val="0"/>
          <c:cat>
            <c:numRef>
              <c:f>'Results ReCiPe (E) - HHD'!$AC$273:$BA$273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HHD'!$AC$277:$BA$277</c:f>
              <c:numCache>
                <c:formatCode>0.00E+00</c:formatCode>
                <c:ptCount val="25"/>
                <c:pt idx="24">
                  <c:v>9.3072420263279993E-4</c:v>
                </c:pt>
              </c:numCache>
            </c:numRef>
          </c:val>
          <c:extLst>
            <c:ext xmlns:c16="http://schemas.microsoft.com/office/drawing/2014/chart" uri="{C3380CC4-5D6E-409C-BE32-E72D297353CC}">
              <c16:uniqueId val="{00000003-DD7E-43BD-BC42-6B3D722DF59A}"/>
            </c:ext>
          </c:extLst>
        </c:ser>
        <c:ser>
          <c:idx val="4"/>
          <c:order val="4"/>
          <c:tx>
            <c:strRef>
              <c:f>'Results ReCiPe (E) - HHD'!$AB$278</c:f>
              <c:strCache>
                <c:ptCount val="1"/>
                <c:pt idx="0">
                  <c:v>Sorbent material</c:v>
                </c:pt>
              </c:strCache>
            </c:strRef>
          </c:tx>
          <c:spPr>
            <a:solidFill>
              <a:srgbClr val="FF8F8F"/>
            </a:solidFill>
            <a:ln>
              <a:noFill/>
            </a:ln>
            <a:effectLst/>
          </c:spPr>
          <c:invertIfNegative val="0"/>
          <c:cat>
            <c:numRef>
              <c:f>'Results ReCiPe (E) - HHD'!$AC$273:$BA$273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HHD'!$AC$278:$BA$278</c:f>
              <c:numCache>
                <c:formatCode>0.00E+00</c:formatCode>
                <c:ptCount val="25"/>
                <c:pt idx="0">
                  <c:v>0.1490671536669359</c:v>
                </c:pt>
                <c:pt idx="3">
                  <c:v>0.14899675412380661</c:v>
                </c:pt>
                <c:pt idx="6">
                  <c:v>0.14913467370511721</c:v>
                </c:pt>
                <c:pt idx="9">
                  <c:v>0.14985420341785011</c:v>
                </c:pt>
                <c:pt idx="12">
                  <c:v>0.15079302716477189</c:v>
                </c:pt>
                <c:pt idx="15">
                  <c:v>0.15199232647583841</c:v>
                </c:pt>
                <c:pt idx="18">
                  <c:v>0.15162753334670259</c:v>
                </c:pt>
                <c:pt idx="21">
                  <c:v>0.15096779974777791</c:v>
                </c:pt>
                <c:pt idx="24">
                  <c:v>0.149756511690775</c:v>
                </c:pt>
              </c:numCache>
            </c:numRef>
          </c:val>
          <c:extLst>
            <c:ext xmlns:c16="http://schemas.microsoft.com/office/drawing/2014/chart" uri="{C3380CC4-5D6E-409C-BE32-E72D297353CC}">
              <c16:uniqueId val="{00000004-DD7E-43BD-BC42-6B3D722DF59A}"/>
            </c:ext>
          </c:extLst>
        </c:ser>
        <c:ser>
          <c:idx val="5"/>
          <c:order val="5"/>
          <c:tx>
            <c:strRef>
              <c:f>'Results ReCiPe (E) - HHD'!$AB$279</c:f>
              <c:strCache>
                <c:ptCount val="1"/>
                <c:pt idx="0">
                  <c:v>Battery</c:v>
                </c:pt>
              </c:strCache>
            </c:strRef>
          </c:tx>
          <c:spPr>
            <a:solidFill>
              <a:schemeClr val="accent6">
                <a:lumMod val="50000"/>
              </a:schemeClr>
            </a:solidFill>
            <a:ln>
              <a:noFill/>
            </a:ln>
            <a:effectLst/>
          </c:spPr>
          <c:invertIfNegative val="0"/>
          <c:cat>
            <c:numRef>
              <c:f>'Results ReCiPe (E) - HHD'!$AC$273:$BA$273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HHD'!$AC$279:$BA$279</c:f>
              <c:numCache>
                <c:formatCode>0.00E+00</c:formatCode>
                <c:ptCount val="25"/>
                <c:pt idx="0">
                  <c:v>3.7760576662358449</c:v>
                </c:pt>
                <c:pt idx="1">
                  <c:v>3.7760576662358449</c:v>
                </c:pt>
                <c:pt idx="2">
                  <c:v>3.7760576662358449</c:v>
                </c:pt>
                <c:pt idx="3">
                  <c:v>3.7760576662358449</c:v>
                </c:pt>
                <c:pt idx="4">
                  <c:v>3.7760576662358449</c:v>
                </c:pt>
                <c:pt idx="5">
                  <c:v>3.7760576662358449</c:v>
                </c:pt>
                <c:pt idx="6">
                  <c:v>3.7760576662358449</c:v>
                </c:pt>
                <c:pt idx="7">
                  <c:v>3.7760576662358449</c:v>
                </c:pt>
                <c:pt idx="8">
                  <c:v>3.7760576662358449</c:v>
                </c:pt>
                <c:pt idx="9">
                  <c:v>3.7760576662358449</c:v>
                </c:pt>
                <c:pt idx="10">
                  <c:v>3.7760576662358449</c:v>
                </c:pt>
                <c:pt idx="11">
                  <c:v>3.7760576662358449</c:v>
                </c:pt>
                <c:pt idx="12">
                  <c:v>3.7760576662358449</c:v>
                </c:pt>
                <c:pt idx="13">
                  <c:v>3.7760576662358449</c:v>
                </c:pt>
                <c:pt idx="14">
                  <c:v>3.7760576662358449</c:v>
                </c:pt>
                <c:pt idx="15">
                  <c:v>3.7760576662358449</c:v>
                </c:pt>
                <c:pt idx="16">
                  <c:v>3.7760576662358449</c:v>
                </c:pt>
                <c:pt idx="17">
                  <c:v>3.7760576662358449</c:v>
                </c:pt>
                <c:pt idx="18">
                  <c:v>3.7760576662358449</c:v>
                </c:pt>
                <c:pt idx="19">
                  <c:v>3.7760576662358449</c:v>
                </c:pt>
                <c:pt idx="20">
                  <c:v>3.7760576662358449</c:v>
                </c:pt>
                <c:pt idx="21">
                  <c:v>3.7760576662358449</c:v>
                </c:pt>
                <c:pt idx="22">
                  <c:v>3.7760576662358449</c:v>
                </c:pt>
                <c:pt idx="23">
                  <c:v>3.7760576662358449</c:v>
                </c:pt>
                <c:pt idx="24">
                  <c:v>3.7760576662358449</c:v>
                </c:pt>
              </c:numCache>
            </c:numRef>
          </c:val>
          <c:extLst>
            <c:ext xmlns:c16="http://schemas.microsoft.com/office/drawing/2014/chart" uri="{C3380CC4-5D6E-409C-BE32-E72D297353CC}">
              <c16:uniqueId val="{00000005-DD7E-43BD-BC42-6B3D722DF59A}"/>
            </c:ext>
          </c:extLst>
        </c:ser>
        <c:ser>
          <c:idx val="6"/>
          <c:order val="6"/>
          <c:tx>
            <c:strRef>
              <c:f>'Results ReCiPe (E) - HHD'!$AB$280</c:f>
              <c:strCache>
                <c:ptCount val="1"/>
                <c:pt idx="0">
                  <c:v>Operation - DAC</c:v>
                </c:pt>
              </c:strCache>
            </c:strRef>
          </c:tx>
          <c:spPr>
            <a:solidFill>
              <a:schemeClr val="accent2">
                <a:lumMod val="75000"/>
              </a:schemeClr>
            </a:solidFill>
            <a:ln>
              <a:noFill/>
            </a:ln>
            <a:effectLst/>
          </c:spPr>
          <c:invertIfNegative val="0"/>
          <c:cat>
            <c:numRef>
              <c:f>'Results ReCiPe (E) - HHD'!$AC$273:$BA$273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HHD'!$AC$280:$BA$280</c:f>
              <c:numCache>
                <c:formatCode>0.00E+00</c:formatCode>
                <c:ptCount val="25"/>
                <c:pt idx="0">
                  <c:v>2.1072634628634566</c:v>
                </c:pt>
                <c:pt idx="1">
                  <c:v>2.108237112936683</c:v>
                </c:pt>
                <c:pt idx="2">
                  <c:v>2.1092194018842267</c:v>
                </c:pt>
                <c:pt idx="3">
                  <c:v>2.1102990594472635</c:v>
                </c:pt>
                <c:pt idx="4">
                  <c:v>2.111290921628826</c:v>
                </c:pt>
                <c:pt idx="5">
                  <c:v>2.1122799401936811</c:v>
                </c:pt>
                <c:pt idx="6">
                  <c:v>2.1112000278180858</c:v>
                </c:pt>
                <c:pt idx="7">
                  <c:v>2.1103306798551515</c:v>
                </c:pt>
                <c:pt idx="8">
                  <c:v>2.1101094951418742</c:v>
                </c:pt>
                <c:pt idx="9">
                  <c:v>2.1096059383398926</c:v>
                </c:pt>
                <c:pt idx="10">
                  <c:v>2.1092481585994376</c:v>
                </c:pt>
                <c:pt idx="11">
                  <c:v>2.1097534689900965</c:v>
                </c:pt>
                <c:pt idx="12">
                  <c:v>2.1104113308908192</c:v>
                </c:pt>
                <c:pt idx="13">
                  <c:v>2.1116364299677408</c:v>
                </c:pt>
                <c:pt idx="14">
                  <c:v>2.1125587757518622</c:v>
                </c:pt>
                <c:pt idx="15">
                  <c:v>2.1136062335559775</c:v>
                </c:pt>
                <c:pt idx="16">
                  <c:v>2.1133532196437126</c:v>
                </c:pt>
                <c:pt idx="17">
                  <c:v>2.1131063984322855</c:v>
                </c:pt>
                <c:pt idx="18">
                  <c:v>2.1131415138814895</c:v>
                </c:pt>
                <c:pt idx="19">
                  <c:v>2.1128995305593152</c:v>
                </c:pt>
                <c:pt idx="20">
                  <c:v>2.1126573828893354</c:v>
                </c:pt>
                <c:pt idx="21">
                  <c:v>2.1119413866548595</c:v>
                </c:pt>
                <c:pt idx="22">
                  <c:v>2.1110335415794079</c:v>
                </c:pt>
                <c:pt idx="23">
                  <c:v>2.1101089434915443</c:v>
                </c:pt>
                <c:pt idx="24">
                  <c:v>2.1091675389331486</c:v>
                </c:pt>
              </c:numCache>
            </c:numRef>
          </c:val>
          <c:extLst>
            <c:ext xmlns:c16="http://schemas.microsoft.com/office/drawing/2014/chart" uri="{C3380CC4-5D6E-409C-BE32-E72D297353CC}">
              <c16:uniqueId val="{00000006-DD7E-43BD-BC42-6B3D722DF59A}"/>
            </c:ext>
          </c:extLst>
        </c:ser>
        <c:ser>
          <c:idx val="7"/>
          <c:order val="7"/>
          <c:tx>
            <c:strRef>
              <c:f>'Results ReCiPe (E) - HHD'!$AB$281</c:f>
              <c:strCache>
                <c:ptCount val="1"/>
                <c:pt idx="0">
                  <c:v>Operation - geological storage</c:v>
                </c:pt>
              </c:strCache>
            </c:strRef>
          </c:tx>
          <c:spPr>
            <a:solidFill>
              <a:schemeClr val="accent2">
                <a:lumMod val="50000"/>
              </a:schemeClr>
            </a:solidFill>
            <a:ln>
              <a:noFill/>
            </a:ln>
            <a:effectLst/>
          </c:spPr>
          <c:invertIfNegative val="0"/>
          <c:cat>
            <c:numRef>
              <c:f>'Results ReCiPe (E) - HHD'!$AC$273:$BA$273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HHD'!$AC$281:$BA$281</c:f>
              <c:numCache>
                <c:formatCode>0.00E+00</c:formatCode>
                <c:ptCount val="25"/>
                <c:pt idx="0">
                  <c:v>0.19327164397677049</c:v>
                </c:pt>
                <c:pt idx="1">
                  <c:v>0.19286268196819376</c:v>
                </c:pt>
                <c:pt idx="2">
                  <c:v>0.19245106727162159</c:v>
                </c:pt>
                <c:pt idx="3">
                  <c:v>0.19205082311920368</c:v>
                </c:pt>
                <c:pt idx="4">
                  <c:v>0.19163481112862024</c:v>
                </c:pt>
                <c:pt idx="5">
                  <c:v>0.19121697625528927</c:v>
                </c:pt>
                <c:pt idx="6">
                  <c:v>0.20205314058630483</c:v>
                </c:pt>
                <c:pt idx="7">
                  <c:v>0.21284435312303196</c:v>
                </c:pt>
                <c:pt idx="8">
                  <c:v>0.22361489661661574</c:v>
                </c:pt>
                <c:pt idx="9">
                  <c:v>0.23432571950889533</c:v>
                </c:pt>
                <c:pt idx="10">
                  <c:v>0.24499355797938746</c:v>
                </c:pt>
                <c:pt idx="11">
                  <c:v>0.26592744365462551</c:v>
                </c:pt>
                <c:pt idx="12">
                  <c:v>0.28686625892288159</c:v>
                </c:pt>
                <c:pt idx="13">
                  <c:v>0.30782685238796836</c:v>
                </c:pt>
                <c:pt idx="14">
                  <c:v>0.32877496479178442</c:v>
                </c:pt>
                <c:pt idx="15">
                  <c:v>0.34972737227065698</c:v>
                </c:pt>
                <c:pt idx="16">
                  <c:v>0.35058084229025405</c:v>
                </c:pt>
                <c:pt idx="17">
                  <c:v>0.35142860194651865</c:v>
                </c:pt>
                <c:pt idx="18">
                  <c:v>0.35228068155830539</c:v>
                </c:pt>
                <c:pt idx="19">
                  <c:v>0.35311764036342191</c:v>
                </c:pt>
                <c:pt idx="20">
                  <c:v>0.35394951626315635</c:v>
                </c:pt>
                <c:pt idx="21">
                  <c:v>0.34489270849860076</c:v>
                </c:pt>
                <c:pt idx="22">
                  <c:v>0.33573280752768903</c:v>
                </c:pt>
                <c:pt idx="23">
                  <c:v>0.32657805421054942</c:v>
                </c:pt>
                <c:pt idx="24">
                  <c:v>0.31742825507446881</c:v>
                </c:pt>
              </c:numCache>
            </c:numRef>
          </c:val>
          <c:extLst>
            <c:ext xmlns:c16="http://schemas.microsoft.com/office/drawing/2014/chart" uri="{C3380CC4-5D6E-409C-BE32-E72D297353CC}">
              <c16:uniqueId val="{00000007-DD7E-43BD-BC42-6B3D722DF59A}"/>
            </c:ext>
          </c:extLst>
        </c:ser>
        <c:ser>
          <c:idx val="8"/>
          <c:order val="8"/>
          <c:tx>
            <c:strRef>
              <c:f>'Results ReCiPe (E) - HHD'!$AB$282</c:f>
              <c:strCache>
                <c:ptCount val="1"/>
                <c:pt idx="0">
                  <c:v>CO2 captured and stored</c:v>
                </c:pt>
              </c:strCache>
            </c:strRef>
          </c:tx>
          <c:spPr>
            <a:solidFill>
              <a:schemeClr val="tx2">
                <a:lumMod val="20000"/>
                <a:lumOff val="80000"/>
              </a:schemeClr>
            </a:solidFill>
            <a:ln>
              <a:solidFill>
                <a:schemeClr val="tx2">
                  <a:lumMod val="20000"/>
                  <a:lumOff val="80000"/>
                </a:schemeClr>
              </a:solidFill>
            </a:ln>
            <a:effectLst/>
          </c:spPr>
          <c:invertIfNegative val="0"/>
          <c:cat>
            <c:numRef>
              <c:f>'Results ReCiPe (E) - HHD'!$AC$273:$BA$273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HHD'!$AC$282:$BA$282</c:f>
              <c:numCache>
                <c:formatCode>0.00E+00</c:formatCode>
                <c:ptCount val="25"/>
                <c:pt idx="0">
                  <c:v>-0.625</c:v>
                </c:pt>
                <c:pt idx="1">
                  <c:v>-0.625</c:v>
                </c:pt>
                <c:pt idx="2">
                  <c:v>-0.625</c:v>
                </c:pt>
                <c:pt idx="3">
                  <c:v>-0.625</c:v>
                </c:pt>
                <c:pt idx="4">
                  <c:v>-0.625</c:v>
                </c:pt>
                <c:pt idx="5">
                  <c:v>-0.625</c:v>
                </c:pt>
                <c:pt idx="6">
                  <c:v>-0.625</c:v>
                </c:pt>
                <c:pt idx="7">
                  <c:v>-0.625</c:v>
                </c:pt>
                <c:pt idx="8">
                  <c:v>-0.625</c:v>
                </c:pt>
                <c:pt idx="9">
                  <c:v>-0.625</c:v>
                </c:pt>
                <c:pt idx="10">
                  <c:v>-0.625</c:v>
                </c:pt>
                <c:pt idx="11">
                  <c:v>-0.625</c:v>
                </c:pt>
                <c:pt idx="12">
                  <c:v>-0.625</c:v>
                </c:pt>
                <c:pt idx="13">
                  <c:v>-0.625</c:v>
                </c:pt>
                <c:pt idx="14">
                  <c:v>-0.625</c:v>
                </c:pt>
                <c:pt idx="15">
                  <c:v>-0.625</c:v>
                </c:pt>
                <c:pt idx="16">
                  <c:v>-0.625</c:v>
                </c:pt>
                <c:pt idx="17">
                  <c:v>-0.625</c:v>
                </c:pt>
                <c:pt idx="18">
                  <c:v>-0.625</c:v>
                </c:pt>
                <c:pt idx="19">
                  <c:v>-0.625</c:v>
                </c:pt>
                <c:pt idx="20">
                  <c:v>-0.625</c:v>
                </c:pt>
                <c:pt idx="21">
                  <c:v>-0.625</c:v>
                </c:pt>
                <c:pt idx="22">
                  <c:v>-0.625</c:v>
                </c:pt>
                <c:pt idx="23">
                  <c:v>-0.625</c:v>
                </c:pt>
                <c:pt idx="24">
                  <c:v>-0.625</c:v>
                </c:pt>
              </c:numCache>
            </c:numRef>
          </c:val>
          <c:extLst>
            <c:ext xmlns:c16="http://schemas.microsoft.com/office/drawing/2014/chart" uri="{C3380CC4-5D6E-409C-BE32-E72D297353CC}">
              <c16:uniqueId val="{00000008-DD7E-43BD-BC42-6B3D722DF59A}"/>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(E) - HHD'!$AB$283</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cat>
            <c:numRef>
              <c:f>'Results ReCiPe (E) - HHD'!$AC$273:$BA$273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HHD'!$AC$283:$BA$283</c:f>
              <c:numCache>
                <c:formatCode>0.00E+00</c:formatCode>
                <c:ptCount val="25"/>
                <c:pt idx="0">
                  <c:v>20.990248168841866</c:v>
                </c:pt>
                <c:pt idx="1">
                  <c:v>5.4521574611407218</c:v>
                </c:pt>
                <c:pt idx="2">
                  <c:v>5.452728135391693</c:v>
                </c:pt>
                <c:pt idx="3">
                  <c:v>5.6024043029261188</c:v>
                </c:pt>
                <c:pt idx="4">
                  <c:v>5.4539833989932909</c:v>
                </c:pt>
                <c:pt idx="5">
                  <c:v>5.454554582684815</c:v>
                </c:pt>
                <c:pt idx="6">
                  <c:v>5.6134455083453521</c:v>
                </c:pt>
                <c:pt idx="7">
                  <c:v>5.4742326992140278</c:v>
                </c:pt>
                <c:pt idx="8">
                  <c:v>5.4847820579943347</c:v>
                </c:pt>
                <c:pt idx="9">
                  <c:v>5.6448435275024824</c:v>
                </c:pt>
                <c:pt idx="10">
                  <c:v>5.5052993828146697</c:v>
                </c:pt>
                <c:pt idx="11">
                  <c:v>5.5267385788805665</c:v>
                </c:pt>
                <c:pt idx="12">
                  <c:v>5.6991282832143177</c:v>
                </c:pt>
                <c:pt idx="13">
                  <c:v>5.5705209485915539</c:v>
                </c:pt>
                <c:pt idx="14">
                  <c:v>5.592391406779492</c:v>
                </c:pt>
                <c:pt idx="15">
                  <c:v>5.7663835985383169</c:v>
                </c:pt>
                <c:pt idx="16">
                  <c:v>5.6149917281698123</c:v>
                </c:pt>
                <c:pt idx="17">
                  <c:v>5.6155926666146492</c:v>
                </c:pt>
                <c:pt idx="18">
                  <c:v>5.7681073950223425</c:v>
                </c:pt>
                <c:pt idx="19">
                  <c:v>5.6170748371585821</c:v>
                </c:pt>
                <c:pt idx="20">
                  <c:v>5.6176645653883366</c:v>
                </c:pt>
                <c:pt idx="21">
                  <c:v>5.7588595611370836</c:v>
                </c:pt>
                <c:pt idx="22">
                  <c:v>5.5978240153429422</c:v>
                </c:pt>
                <c:pt idx="23">
                  <c:v>5.5877446639379391</c:v>
                </c:pt>
                <c:pt idx="24">
                  <c:v>5.8578741262582819</c:v>
                </c:pt>
              </c:numCache>
            </c:numRef>
          </c:val>
          <c:smooth val="0"/>
          <c:extLst>
            <c:ext xmlns:c16="http://schemas.microsoft.com/office/drawing/2014/chart" uri="{C3380CC4-5D6E-409C-BE32-E72D297353CC}">
              <c16:uniqueId val="{00000009-DD7E-43BD-BC42-6B3D722DF59A}"/>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Human</a:t>
                </a:r>
                <a:r>
                  <a:rPr lang="nl-NL" baseline="0"/>
                  <a:t> health</a:t>
                </a:r>
                <a:r>
                  <a:rPr lang="nl-NL"/>
                  <a:t> damage </a:t>
                </a:r>
                <a:br>
                  <a:rPr lang="nl-NL"/>
                </a:br>
                <a:r>
                  <a:rPr lang="nl-NL"/>
                  <a:t>(DALY/ton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(E) - HHD'!$AB$334</c:f>
              <c:strCache>
                <c:ptCount val="1"/>
                <c:pt idx="0">
                  <c:v>Construction - DAC</c:v>
                </c:pt>
              </c:strCache>
            </c:strRef>
          </c:tx>
          <c:spPr>
            <a:solidFill>
              <a:schemeClr val="accent4">
                <a:lumMod val="75000"/>
              </a:schemeClr>
            </a:solidFill>
            <a:ln>
              <a:noFill/>
            </a:ln>
            <a:effectLst/>
          </c:spPr>
          <c:invertIfNegative val="0"/>
          <c:cat>
            <c:numRef>
              <c:f>'Results ReCiPe (E) - HHD'!$AC$333:$BA$333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HHD'!$AC$334:$BA$334</c:f>
              <c:numCache>
                <c:formatCode>0.00E+00</c:formatCode>
                <c:ptCount val="25"/>
                <c:pt idx="0">
                  <c:v>14.795678436138864</c:v>
                </c:pt>
              </c:numCache>
            </c:numRef>
          </c:val>
          <c:extLst>
            <c:ext xmlns:c16="http://schemas.microsoft.com/office/drawing/2014/chart" uri="{C3380CC4-5D6E-409C-BE32-E72D297353CC}">
              <c16:uniqueId val="{00000000-A243-4CD9-85B6-3F2BAB526527}"/>
            </c:ext>
          </c:extLst>
        </c:ser>
        <c:ser>
          <c:idx val="1"/>
          <c:order val="1"/>
          <c:tx>
            <c:strRef>
              <c:f>'Results ReCiPe (E) - HHD'!$AB$335</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(E) - HHD'!$AC$333:$BA$333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HHD'!$AC$335:$BA$335</c:f>
              <c:numCache>
                <c:formatCode>0.00E+00</c:formatCode>
                <c:ptCount val="25"/>
                <c:pt idx="0">
                  <c:v>0.28412669158101</c:v>
                </c:pt>
              </c:numCache>
            </c:numRef>
          </c:val>
          <c:extLst>
            <c:ext xmlns:c16="http://schemas.microsoft.com/office/drawing/2014/chart" uri="{C3380CC4-5D6E-409C-BE32-E72D297353CC}">
              <c16:uniqueId val="{00000001-A243-4CD9-85B6-3F2BAB526527}"/>
            </c:ext>
          </c:extLst>
        </c:ser>
        <c:ser>
          <c:idx val="2"/>
          <c:order val="2"/>
          <c:tx>
            <c:strRef>
              <c:f>'Results ReCiPe (E) - HHD'!$AB$336</c:f>
              <c:strCache>
                <c:ptCount val="1"/>
                <c:pt idx="0">
                  <c:v>Deconstruction - DAC</c:v>
                </c:pt>
              </c:strCache>
            </c:strRef>
          </c:tx>
          <c:spPr>
            <a:solidFill>
              <a:schemeClr val="accent2">
                <a:lumMod val="40000"/>
                <a:lumOff val="60000"/>
              </a:schemeClr>
            </a:solidFill>
            <a:ln>
              <a:noFill/>
            </a:ln>
            <a:effectLst/>
          </c:spPr>
          <c:invertIfNegative val="0"/>
          <c:cat>
            <c:numRef>
              <c:f>'Results ReCiPe (E) - HHD'!$AC$333:$BA$333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HHD'!$AC$336:$BA$336</c:f>
              <c:numCache>
                <c:formatCode>0.00E+00</c:formatCode>
                <c:ptCount val="25"/>
                <c:pt idx="24">
                  <c:v>0.1255608424989286</c:v>
                </c:pt>
              </c:numCache>
            </c:numRef>
          </c:val>
          <c:extLst>
            <c:ext xmlns:c16="http://schemas.microsoft.com/office/drawing/2014/chart" uri="{C3380CC4-5D6E-409C-BE32-E72D297353CC}">
              <c16:uniqueId val="{00000002-A243-4CD9-85B6-3F2BAB526527}"/>
            </c:ext>
          </c:extLst>
        </c:ser>
        <c:ser>
          <c:idx val="3"/>
          <c:order val="3"/>
          <c:tx>
            <c:strRef>
              <c:f>'Results ReCiPe (E) - HHD'!$AB$337</c:f>
              <c:strCache>
                <c:ptCount val="1"/>
                <c:pt idx="0">
                  <c:v>Deconstruction - geological storage</c:v>
                </c:pt>
              </c:strCache>
            </c:strRef>
          </c:tx>
          <c:spPr>
            <a:solidFill>
              <a:srgbClr val="FF9900"/>
            </a:solidFill>
            <a:ln>
              <a:noFill/>
            </a:ln>
            <a:effectLst/>
          </c:spPr>
          <c:invertIfNegative val="0"/>
          <c:cat>
            <c:numRef>
              <c:f>'Results ReCiPe (E) - HHD'!$AC$333:$BA$333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HHD'!$AC$337:$BA$337</c:f>
              <c:numCache>
                <c:formatCode>0.00E+00</c:formatCode>
                <c:ptCount val="25"/>
                <c:pt idx="24">
                  <c:v>9.0075841986970019E-4</c:v>
                </c:pt>
              </c:numCache>
            </c:numRef>
          </c:val>
          <c:extLst>
            <c:ext xmlns:c16="http://schemas.microsoft.com/office/drawing/2014/chart" uri="{C3380CC4-5D6E-409C-BE32-E72D297353CC}">
              <c16:uniqueId val="{00000003-A243-4CD9-85B6-3F2BAB526527}"/>
            </c:ext>
          </c:extLst>
        </c:ser>
        <c:ser>
          <c:idx val="4"/>
          <c:order val="4"/>
          <c:tx>
            <c:strRef>
              <c:f>'Results ReCiPe (E) - HHD'!$AB$338</c:f>
              <c:strCache>
                <c:ptCount val="1"/>
                <c:pt idx="0">
                  <c:v>Sorbent material</c:v>
                </c:pt>
              </c:strCache>
            </c:strRef>
          </c:tx>
          <c:spPr>
            <a:solidFill>
              <a:srgbClr val="FF8F8F"/>
            </a:solidFill>
            <a:ln>
              <a:noFill/>
            </a:ln>
            <a:effectLst/>
          </c:spPr>
          <c:invertIfNegative val="0"/>
          <c:cat>
            <c:numRef>
              <c:f>'Results ReCiPe (E) - HHD'!$AC$333:$BA$333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HHD'!$AC$338:$BA$338</c:f>
              <c:numCache>
                <c:formatCode>0.00E+00</c:formatCode>
                <c:ptCount val="25"/>
                <c:pt idx="0">
                  <c:v>0.14634543908972419</c:v>
                </c:pt>
                <c:pt idx="3">
                  <c:v>0.144700117717494</c:v>
                </c:pt>
                <c:pt idx="6">
                  <c:v>0.14300322402923241</c:v>
                </c:pt>
                <c:pt idx="9">
                  <c:v>0.14146113160521259</c:v>
                </c:pt>
                <c:pt idx="12">
                  <c:v>0.13996239429028681</c:v>
                </c:pt>
                <c:pt idx="15">
                  <c:v>0.13861595410465891</c:v>
                </c:pt>
                <c:pt idx="18">
                  <c:v>0.1378128975848889</c:v>
                </c:pt>
                <c:pt idx="21">
                  <c:v>0.13722954493495951</c:v>
                </c:pt>
                <c:pt idx="24">
                  <c:v>0.13710363329546579</c:v>
                </c:pt>
              </c:numCache>
            </c:numRef>
          </c:val>
          <c:extLst>
            <c:ext xmlns:c16="http://schemas.microsoft.com/office/drawing/2014/chart" uri="{C3380CC4-5D6E-409C-BE32-E72D297353CC}">
              <c16:uniqueId val="{00000004-A243-4CD9-85B6-3F2BAB526527}"/>
            </c:ext>
          </c:extLst>
        </c:ser>
        <c:ser>
          <c:idx val="5"/>
          <c:order val="5"/>
          <c:tx>
            <c:strRef>
              <c:f>'Results ReCiPe (E) - HHD'!$AB$339</c:f>
              <c:strCache>
                <c:ptCount val="1"/>
                <c:pt idx="0">
                  <c:v>Battery</c:v>
                </c:pt>
              </c:strCache>
            </c:strRef>
          </c:tx>
          <c:spPr>
            <a:solidFill>
              <a:schemeClr val="accent6">
                <a:lumMod val="50000"/>
              </a:schemeClr>
            </a:solidFill>
            <a:ln>
              <a:noFill/>
            </a:ln>
            <a:effectLst/>
          </c:spPr>
          <c:invertIfNegative val="0"/>
          <c:cat>
            <c:numRef>
              <c:f>'Results ReCiPe (E) - HHD'!$AC$333:$BA$333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HHD'!$AC$339:$BA$339</c:f>
              <c:numCache>
                <c:formatCode>0.00E+00</c:formatCode>
                <c:ptCount val="25"/>
                <c:pt idx="0">
                  <c:v>3.7396614403507931</c:v>
                </c:pt>
                <c:pt idx="1">
                  <c:v>3.7396614403507931</c:v>
                </c:pt>
                <c:pt idx="2">
                  <c:v>3.7396614403507931</c:v>
                </c:pt>
                <c:pt idx="3">
                  <c:v>3.7396614403507931</c:v>
                </c:pt>
                <c:pt idx="4">
                  <c:v>3.7396614403507931</c:v>
                </c:pt>
                <c:pt idx="5">
                  <c:v>3.7396614403507931</c:v>
                </c:pt>
                <c:pt idx="6">
                  <c:v>3.7396614403507931</c:v>
                </c:pt>
                <c:pt idx="7">
                  <c:v>3.7396614403507931</c:v>
                </c:pt>
                <c:pt idx="8">
                  <c:v>3.7396614403507931</c:v>
                </c:pt>
                <c:pt idx="9">
                  <c:v>3.7396614403507931</c:v>
                </c:pt>
                <c:pt idx="10">
                  <c:v>3.7396614403507931</c:v>
                </c:pt>
                <c:pt idx="11">
                  <c:v>3.7396614403507931</c:v>
                </c:pt>
                <c:pt idx="12">
                  <c:v>3.7396614403507931</c:v>
                </c:pt>
                <c:pt idx="13">
                  <c:v>3.7396614403507931</c:v>
                </c:pt>
                <c:pt idx="14">
                  <c:v>3.7396614403507931</c:v>
                </c:pt>
                <c:pt idx="15">
                  <c:v>3.7396614403507931</c:v>
                </c:pt>
                <c:pt idx="16">
                  <c:v>3.7396614403507931</c:v>
                </c:pt>
                <c:pt idx="17">
                  <c:v>3.7396614403507931</c:v>
                </c:pt>
                <c:pt idx="18">
                  <c:v>3.7396614403507931</c:v>
                </c:pt>
                <c:pt idx="19">
                  <c:v>3.7396614403507931</c:v>
                </c:pt>
                <c:pt idx="20">
                  <c:v>3.7396614403507931</c:v>
                </c:pt>
                <c:pt idx="21">
                  <c:v>3.7396614403507931</c:v>
                </c:pt>
                <c:pt idx="22">
                  <c:v>3.7396614403507931</c:v>
                </c:pt>
                <c:pt idx="23">
                  <c:v>3.7396614403507931</c:v>
                </c:pt>
                <c:pt idx="24">
                  <c:v>3.7396614403507931</c:v>
                </c:pt>
              </c:numCache>
            </c:numRef>
          </c:val>
          <c:extLst>
            <c:ext xmlns:c16="http://schemas.microsoft.com/office/drawing/2014/chart" uri="{C3380CC4-5D6E-409C-BE32-E72D297353CC}">
              <c16:uniqueId val="{00000005-A243-4CD9-85B6-3F2BAB526527}"/>
            </c:ext>
          </c:extLst>
        </c:ser>
        <c:ser>
          <c:idx val="6"/>
          <c:order val="6"/>
          <c:tx>
            <c:strRef>
              <c:f>'Results ReCiPe (E) - HHD'!$AB$340</c:f>
              <c:strCache>
                <c:ptCount val="1"/>
                <c:pt idx="0">
                  <c:v>Operation - DAC</c:v>
                </c:pt>
              </c:strCache>
            </c:strRef>
          </c:tx>
          <c:spPr>
            <a:solidFill>
              <a:schemeClr val="accent2">
                <a:lumMod val="75000"/>
              </a:schemeClr>
            </a:solidFill>
            <a:ln>
              <a:noFill/>
            </a:ln>
            <a:effectLst/>
          </c:spPr>
          <c:invertIfNegative val="0"/>
          <c:cat>
            <c:numRef>
              <c:f>'Results ReCiPe (E) - HHD'!$AC$333:$BA$333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HHD'!$AC$340:$BA$340</c:f>
              <c:numCache>
                <c:formatCode>0.00E+00</c:formatCode>
                <c:ptCount val="25"/>
                <c:pt idx="0">
                  <c:v>2.073735385446061</c:v>
                </c:pt>
                <c:pt idx="1">
                  <c:v>2.0723269293441566</c:v>
                </c:pt>
                <c:pt idx="2">
                  <c:v>2.0708394464562403</c:v>
                </c:pt>
                <c:pt idx="3">
                  <c:v>2.069407206525177</c:v>
                </c:pt>
                <c:pt idx="4">
                  <c:v>2.0677700702206296</c:v>
                </c:pt>
                <c:pt idx="5">
                  <c:v>2.0660394984001305</c:v>
                </c:pt>
                <c:pt idx="6">
                  <c:v>2.0619568411872993</c:v>
                </c:pt>
                <c:pt idx="7">
                  <c:v>2.0583630361223038</c:v>
                </c:pt>
                <c:pt idx="8">
                  <c:v>2.0555005881205095</c:v>
                </c:pt>
                <c:pt idx="9">
                  <c:v>2.0523707830233451</c:v>
                </c:pt>
                <c:pt idx="10">
                  <c:v>2.0493501551521645</c:v>
                </c:pt>
                <c:pt idx="11">
                  <c:v>2.0472949331862784</c:v>
                </c:pt>
                <c:pt idx="12">
                  <c:v>2.0454557189937885</c:v>
                </c:pt>
                <c:pt idx="13">
                  <c:v>2.044085706640157</c:v>
                </c:pt>
                <c:pt idx="14">
                  <c:v>2.0425458555931888</c:v>
                </c:pt>
                <c:pt idx="15">
                  <c:v>2.0411060381969137</c:v>
                </c:pt>
                <c:pt idx="16">
                  <c:v>2.0408548125544494</c:v>
                </c:pt>
                <c:pt idx="17">
                  <c:v>2.0406351217620973</c:v>
                </c:pt>
                <c:pt idx="18">
                  <c:v>2.0406297771036921</c:v>
                </c:pt>
                <c:pt idx="19">
                  <c:v>2.0404436526318186</c:v>
                </c:pt>
                <c:pt idx="20">
                  <c:v>2.0402685062554737</c:v>
                </c:pt>
                <c:pt idx="21">
                  <c:v>2.0409903505460636</c:v>
                </c:pt>
                <c:pt idx="22">
                  <c:v>2.0415758041470018</c:v>
                </c:pt>
                <c:pt idx="23">
                  <c:v>2.0421563197890236</c:v>
                </c:pt>
                <c:pt idx="24">
                  <c:v>2.0427323831114288</c:v>
                </c:pt>
              </c:numCache>
            </c:numRef>
          </c:val>
          <c:extLst>
            <c:ext xmlns:c16="http://schemas.microsoft.com/office/drawing/2014/chart" uri="{C3380CC4-5D6E-409C-BE32-E72D297353CC}">
              <c16:uniqueId val="{00000006-A243-4CD9-85B6-3F2BAB526527}"/>
            </c:ext>
          </c:extLst>
        </c:ser>
        <c:ser>
          <c:idx val="7"/>
          <c:order val="7"/>
          <c:tx>
            <c:strRef>
              <c:f>'Results ReCiPe (E) - HHD'!$AB$341</c:f>
              <c:strCache>
                <c:ptCount val="1"/>
                <c:pt idx="0">
                  <c:v>Operation - geological storage</c:v>
                </c:pt>
              </c:strCache>
            </c:strRef>
          </c:tx>
          <c:spPr>
            <a:solidFill>
              <a:schemeClr val="accent2">
                <a:lumMod val="50000"/>
              </a:schemeClr>
            </a:solidFill>
            <a:ln>
              <a:noFill/>
            </a:ln>
            <a:effectLst/>
          </c:spPr>
          <c:invertIfNegative val="0"/>
          <c:cat>
            <c:numRef>
              <c:f>'Results ReCiPe (E) - HHD'!$AC$333:$BA$333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HHD'!$AC$341:$BA$341</c:f>
              <c:numCache>
                <c:formatCode>0.00E+00</c:formatCode>
                <c:ptCount val="25"/>
                <c:pt idx="0">
                  <c:v>1.6748480438559836E-3</c:v>
                </c:pt>
                <c:pt idx="1">
                  <c:v>0.15999077227509739</c:v>
                </c:pt>
                <c:pt idx="2">
                  <c:v>0.15252542683510686</c:v>
                </c:pt>
                <c:pt idx="3">
                  <c:v>0.14510433219981628</c:v>
                </c:pt>
                <c:pt idx="4">
                  <c:v>0.13769646391113588</c:v>
                </c:pt>
                <c:pt idx="5">
                  <c:v>0.13031693925112145</c:v>
                </c:pt>
                <c:pt idx="6">
                  <c:v>0.12763053255429468</c:v>
                </c:pt>
                <c:pt idx="7">
                  <c:v>0.12495735719499661</c:v>
                </c:pt>
                <c:pt idx="8">
                  <c:v>0.1223175637610092</c:v>
                </c:pt>
                <c:pt idx="9">
                  <c:v>0.1196634535702627</c:v>
                </c:pt>
                <c:pt idx="10">
                  <c:v>0.11701656177555361</c:v>
                </c:pt>
                <c:pt idx="11">
                  <c:v>0.11621905114013154</c:v>
                </c:pt>
                <c:pt idx="12">
                  <c:v>0.11541950841167711</c:v>
                </c:pt>
                <c:pt idx="13">
                  <c:v>0.11463267933823409</c:v>
                </c:pt>
                <c:pt idx="14">
                  <c:v>0.11382710712855955</c:v>
                </c:pt>
                <c:pt idx="15">
                  <c:v>0.1130178080627227</c:v>
                </c:pt>
                <c:pt idx="16">
                  <c:v>0.11322844720473139</c:v>
                </c:pt>
                <c:pt idx="17">
                  <c:v>0.1134395920393876</c:v>
                </c:pt>
                <c:pt idx="18">
                  <c:v>0.11366118404717346</c:v>
                </c:pt>
                <c:pt idx="19">
                  <c:v>0.11387303614379765</c:v>
                </c:pt>
                <c:pt idx="20">
                  <c:v>0.11408509070854171</c:v>
                </c:pt>
                <c:pt idx="21">
                  <c:v>0.11443775343715605</c:v>
                </c:pt>
                <c:pt idx="22">
                  <c:v>0.1147789595097001</c:v>
                </c:pt>
                <c:pt idx="23">
                  <c:v>0.1151207323419051</c:v>
                </c:pt>
                <c:pt idx="24">
                  <c:v>0.11546285749643431</c:v>
                </c:pt>
              </c:numCache>
            </c:numRef>
          </c:val>
          <c:extLst>
            <c:ext xmlns:c16="http://schemas.microsoft.com/office/drawing/2014/chart" uri="{C3380CC4-5D6E-409C-BE32-E72D297353CC}">
              <c16:uniqueId val="{00000007-A243-4CD9-85B6-3F2BAB526527}"/>
            </c:ext>
          </c:extLst>
        </c:ser>
        <c:ser>
          <c:idx val="8"/>
          <c:order val="8"/>
          <c:tx>
            <c:strRef>
              <c:f>'Results ReCiPe (E) - HHD'!$AB$342</c:f>
              <c:strCache>
                <c:ptCount val="1"/>
                <c:pt idx="0">
                  <c:v>CO2 captured and stored</c:v>
                </c:pt>
              </c:strCache>
            </c:strRef>
          </c:tx>
          <c:spPr>
            <a:solidFill>
              <a:schemeClr val="tx2">
                <a:lumMod val="20000"/>
                <a:lumOff val="80000"/>
              </a:schemeClr>
            </a:solidFill>
            <a:ln>
              <a:noFill/>
            </a:ln>
            <a:effectLst/>
          </c:spPr>
          <c:invertIfNegative val="0"/>
          <c:cat>
            <c:numRef>
              <c:f>'Results ReCiPe (E) - HHD'!$AC$333:$BA$333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HHD'!$AC$342:$BA$342</c:f>
              <c:numCache>
                <c:formatCode>0.00E+00</c:formatCode>
                <c:ptCount val="25"/>
                <c:pt idx="0">
                  <c:v>-0.625</c:v>
                </c:pt>
                <c:pt idx="1">
                  <c:v>-0.625</c:v>
                </c:pt>
                <c:pt idx="2">
                  <c:v>-0.625</c:v>
                </c:pt>
                <c:pt idx="3">
                  <c:v>-0.625</c:v>
                </c:pt>
                <c:pt idx="4">
                  <c:v>-0.625</c:v>
                </c:pt>
                <c:pt idx="5">
                  <c:v>-0.625</c:v>
                </c:pt>
                <c:pt idx="6">
                  <c:v>-0.625</c:v>
                </c:pt>
                <c:pt idx="7">
                  <c:v>-0.625</c:v>
                </c:pt>
                <c:pt idx="8">
                  <c:v>-0.625</c:v>
                </c:pt>
                <c:pt idx="9">
                  <c:v>-0.625</c:v>
                </c:pt>
                <c:pt idx="10">
                  <c:v>-0.625</c:v>
                </c:pt>
                <c:pt idx="11">
                  <c:v>-0.625</c:v>
                </c:pt>
                <c:pt idx="12">
                  <c:v>-0.625</c:v>
                </c:pt>
                <c:pt idx="13">
                  <c:v>-0.625</c:v>
                </c:pt>
                <c:pt idx="14">
                  <c:v>-0.625</c:v>
                </c:pt>
                <c:pt idx="15">
                  <c:v>-0.625</c:v>
                </c:pt>
                <c:pt idx="16">
                  <c:v>-0.625</c:v>
                </c:pt>
                <c:pt idx="17">
                  <c:v>-0.625</c:v>
                </c:pt>
                <c:pt idx="18">
                  <c:v>-0.625</c:v>
                </c:pt>
                <c:pt idx="19">
                  <c:v>-0.625</c:v>
                </c:pt>
                <c:pt idx="20">
                  <c:v>-0.625</c:v>
                </c:pt>
                <c:pt idx="21">
                  <c:v>-0.625</c:v>
                </c:pt>
                <c:pt idx="22">
                  <c:v>-0.625</c:v>
                </c:pt>
                <c:pt idx="23">
                  <c:v>-0.625</c:v>
                </c:pt>
                <c:pt idx="24">
                  <c:v>-0.625</c:v>
                </c:pt>
              </c:numCache>
            </c:numRef>
          </c:val>
          <c:extLst>
            <c:ext xmlns:c16="http://schemas.microsoft.com/office/drawing/2014/chart" uri="{C3380CC4-5D6E-409C-BE32-E72D297353CC}">
              <c16:uniqueId val="{00000008-A243-4CD9-85B6-3F2BAB526527}"/>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(E) - HHD'!$AB$343</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cat>
            <c:numRef>
              <c:f>'Results ReCiPe (E) - HHD'!$AC$333:$BA$333</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HHD'!$AC$343:$BA$343</c:f>
              <c:numCache>
                <c:formatCode>0.00E+00</c:formatCode>
                <c:ptCount val="25"/>
                <c:pt idx="0">
                  <c:v>20.416222240650306</c:v>
                </c:pt>
                <c:pt idx="1">
                  <c:v>5.3469791419700474</c:v>
                </c:pt>
                <c:pt idx="2">
                  <c:v>5.33802631364214</c:v>
                </c:pt>
                <c:pt idx="3">
                  <c:v>5.4738730967932803</c:v>
                </c:pt>
                <c:pt idx="4">
                  <c:v>5.3201279744825589</c:v>
                </c:pt>
                <c:pt idx="5">
                  <c:v>5.3110178780020458</c:v>
                </c:pt>
                <c:pt idx="6">
                  <c:v>5.4472520381216194</c:v>
                </c:pt>
                <c:pt idx="7">
                  <c:v>5.2979818336680937</c:v>
                </c:pt>
                <c:pt idx="8">
                  <c:v>5.2924795922323122</c:v>
                </c:pt>
                <c:pt idx="9">
                  <c:v>5.4281568085496135</c:v>
                </c:pt>
                <c:pt idx="10">
                  <c:v>5.2810281572785112</c:v>
                </c:pt>
                <c:pt idx="11">
                  <c:v>5.2781754246772028</c:v>
                </c:pt>
                <c:pt idx="12">
                  <c:v>5.4154990620465453</c:v>
                </c:pt>
                <c:pt idx="13">
                  <c:v>5.273379826329184</c:v>
                </c:pt>
                <c:pt idx="14">
                  <c:v>5.2710344030725418</c:v>
                </c:pt>
                <c:pt idx="15">
                  <c:v>5.407401240715088</c:v>
                </c:pt>
                <c:pt idx="16">
                  <c:v>5.2687447001099734</c:v>
                </c:pt>
                <c:pt idx="17">
                  <c:v>5.2687361541522781</c:v>
                </c:pt>
                <c:pt idx="18">
                  <c:v>5.4067652990865476</c:v>
                </c:pt>
                <c:pt idx="19">
                  <c:v>5.2689781291264097</c:v>
                </c:pt>
                <c:pt idx="20">
                  <c:v>5.2690150373148077</c:v>
                </c:pt>
                <c:pt idx="21">
                  <c:v>5.407319089268972</c:v>
                </c:pt>
                <c:pt idx="22">
                  <c:v>5.2710162040074957</c:v>
                </c:pt>
                <c:pt idx="23">
                  <c:v>5.2719384924817216</c:v>
                </c:pt>
                <c:pt idx="24">
                  <c:v>5.5364219151729204</c:v>
                </c:pt>
              </c:numCache>
            </c:numRef>
          </c:val>
          <c:smooth val="0"/>
          <c:extLst>
            <c:ext xmlns:c16="http://schemas.microsoft.com/office/drawing/2014/chart" uri="{C3380CC4-5D6E-409C-BE32-E72D297353CC}">
              <c16:uniqueId val="{00000009-A243-4CD9-85B6-3F2BAB526527}"/>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Human</a:t>
                </a:r>
                <a:r>
                  <a:rPr lang="nl-NL" baseline="0"/>
                  <a:t> health</a:t>
                </a:r>
                <a:r>
                  <a:rPr lang="nl-NL"/>
                  <a:t> damage </a:t>
                </a:r>
                <a:br>
                  <a:rPr lang="nl-NL"/>
                </a:br>
                <a:r>
                  <a:rPr lang="nl-NL"/>
                  <a:t>(DALY/ton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(E) - HHD'!$AB$395</c:f>
              <c:strCache>
                <c:ptCount val="1"/>
                <c:pt idx="0">
                  <c:v>Construction - DAC</c:v>
                </c:pt>
              </c:strCache>
            </c:strRef>
          </c:tx>
          <c:spPr>
            <a:solidFill>
              <a:schemeClr val="accent4">
                <a:lumMod val="75000"/>
              </a:schemeClr>
            </a:solidFill>
            <a:ln>
              <a:noFill/>
            </a:ln>
            <a:effectLst/>
          </c:spPr>
          <c:invertIfNegative val="0"/>
          <c:cat>
            <c:numRef>
              <c:f>'Results ReCiPe (E) - HHD'!$AC$394:$BA$394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HHD'!$AC$395:$BA$395</c:f>
              <c:numCache>
                <c:formatCode>0.00E+00</c:formatCode>
                <c:ptCount val="25"/>
                <c:pt idx="0">
                  <c:v>14.374540648142384</c:v>
                </c:pt>
              </c:numCache>
            </c:numRef>
          </c:val>
          <c:extLst>
            <c:ext xmlns:c16="http://schemas.microsoft.com/office/drawing/2014/chart" uri="{C3380CC4-5D6E-409C-BE32-E72D297353CC}">
              <c16:uniqueId val="{00000000-EC4F-45BB-9D80-821C6469C163}"/>
            </c:ext>
          </c:extLst>
        </c:ser>
        <c:ser>
          <c:idx val="1"/>
          <c:order val="1"/>
          <c:tx>
            <c:strRef>
              <c:f>'Results ReCiPe (E) - HHD'!$AB$396</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(E) - HHD'!$AC$394:$BA$394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HHD'!$AC$396:$BA$396</c:f>
              <c:numCache>
                <c:formatCode>0.00E+00</c:formatCode>
                <c:ptCount val="25"/>
                <c:pt idx="0">
                  <c:v>0.27533098379336401</c:v>
                </c:pt>
              </c:numCache>
            </c:numRef>
          </c:val>
          <c:extLst>
            <c:ext xmlns:c16="http://schemas.microsoft.com/office/drawing/2014/chart" uri="{C3380CC4-5D6E-409C-BE32-E72D297353CC}">
              <c16:uniqueId val="{00000001-EC4F-45BB-9D80-821C6469C163}"/>
            </c:ext>
          </c:extLst>
        </c:ser>
        <c:ser>
          <c:idx val="2"/>
          <c:order val="2"/>
          <c:tx>
            <c:strRef>
              <c:f>'Results ReCiPe (E) - HHD'!$AB$397</c:f>
              <c:strCache>
                <c:ptCount val="1"/>
                <c:pt idx="0">
                  <c:v>Deconstruction - DAC</c:v>
                </c:pt>
              </c:strCache>
            </c:strRef>
          </c:tx>
          <c:spPr>
            <a:solidFill>
              <a:schemeClr val="accent2">
                <a:lumMod val="40000"/>
                <a:lumOff val="60000"/>
              </a:schemeClr>
            </a:solidFill>
            <a:ln>
              <a:noFill/>
            </a:ln>
            <a:effectLst/>
          </c:spPr>
          <c:invertIfNegative val="0"/>
          <c:cat>
            <c:numRef>
              <c:f>'Results ReCiPe (E) - HHD'!$AC$394:$BA$394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HHD'!$AC$397:$BA$397</c:f>
              <c:numCache>
                <c:formatCode>0.00E+00</c:formatCode>
                <c:ptCount val="25"/>
                <c:pt idx="24">
                  <c:v>0.12481721799143849</c:v>
                </c:pt>
              </c:numCache>
            </c:numRef>
          </c:val>
          <c:extLst>
            <c:ext xmlns:c16="http://schemas.microsoft.com/office/drawing/2014/chart" uri="{C3380CC4-5D6E-409C-BE32-E72D297353CC}">
              <c16:uniqueId val="{00000002-EC4F-45BB-9D80-821C6469C163}"/>
            </c:ext>
          </c:extLst>
        </c:ser>
        <c:ser>
          <c:idx val="3"/>
          <c:order val="3"/>
          <c:tx>
            <c:strRef>
              <c:f>'Results ReCiPe (E) - HHD'!$AB$398</c:f>
              <c:strCache>
                <c:ptCount val="1"/>
                <c:pt idx="0">
                  <c:v>Deconstruction - geological storage</c:v>
                </c:pt>
              </c:strCache>
            </c:strRef>
          </c:tx>
          <c:spPr>
            <a:solidFill>
              <a:srgbClr val="FF9900"/>
            </a:solidFill>
            <a:ln>
              <a:noFill/>
            </a:ln>
            <a:effectLst/>
          </c:spPr>
          <c:invertIfNegative val="0"/>
          <c:cat>
            <c:numRef>
              <c:f>'Results ReCiPe (E) - HHD'!$AC$394:$BA$394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HHD'!$AC$398:$BA$398</c:f>
              <c:numCache>
                <c:formatCode>0.00E+00</c:formatCode>
                <c:ptCount val="25"/>
                <c:pt idx="24">
                  <c:v>8.9425428179931764E-4</c:v>
                </c:pt>
              </c:numCache>
            </c:numRef>
          </c:val>
          <c:extLst>
            <c:ext xmlns:c16="http://schemas.microsoft.com/office/drawing/2014/chart" uri="{C3380CC4-5D6E-409C-BE32-E72D297353CC}">
              <c16:uniqueId val="{00000003-EC4F-45BB-9D80-821C6469C163}"/>
            </c:ext>
          </c:extLst>
        </c:ser>
        <c:ser>
          <c:idx val="4"/>
          <c:order val="4"/>
          <c:tx>
            <c:strRef>
              <c:f>'Results ReCiPe (E) - HHD'!$AB$399</c:f>
              <c:strCache>
                <c:ptCount val="1"/>
                <c:pt idx="0">
                  <c:v>Sorbent material</c:v>
                </c:pt>
              </c:strCache>
            </c:strRef>
          </c:tx>
          <c:spPr>
            <a:solidFill>
              <a:srgbClr val="FF8F8F"/>
            </a:solidFill>
            <a:ln>
              <a:noFill/>
            </a:ln>
            <a:effectLst/>
          </c:spPr>
          <c:invertIfNegative val="0"/>
          <c:cat>
            <c:numRef>
              <c:f>'Results ReCiPe (E) - HHD'!$AC$394:$BA$394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HHD'!$AC$399:$BA$399</c:f>
              <c:numCache>
                <c:formatCode>0.00E+00</c:formatCode>
                <c:ptCount val="25"/>
                <c:pt idx="0">
                  <c:v>0.13898838933965599</c:v>
                </c:pt>
                <c:pt idx="3">
                  <c:v>0.13744187952975451</c:v>
                </c:pt>
                <c:pt idx="6">
                  <c:v>0.13624222837857081</c:v>
                </c:pt>
                <c:pt idx="9">
                  <c:v>0.1360862547056324</c:v>
                </c:pt>
                <c:pt idx="12">
                  <c:v>0.13609653546799161</c:v>
                </c:pt>
                <c:pt idx="15">
                  <c:v>0.13629232675839831</c:v>
                </c:pt>
                <c:pt idx="18">
                  <c:v>0.1362868893052214</c:v>
                </c:pt>
                <c:pt idx="21">
                  <c:v>0.1362693875750155</c:v>
                </c:pt>
                <c:pt idx="24">
                  <c:v>0.13626815075790319</c:v>
                </c:pt>
              </c:numCache>
            </c:numRef>
          </c:val>
          <c:extLst>
            <c:ext xmlns:c16="http://schemas.microsoft.com/office/drawing/2014/chart" uri="{C3380CC4-5D6E-409C-BE32-E72D297353CC}">
              <c16:uniqueId val="{00000004-EC4F-45BB-9D80-821C6469C163}"/>
            </c:ext>
          </c:extLst>
        </c:ser>
        <c:ser>
          <c:idx val="5"/>
          <c:order val="5"/>
          <c:tx>
            <c:strRef>
              <c:f>'Results ReCiPe (E) - HHD'!$AB$400</c:f>
              <c:strCache>
                <c:ptCount val="1"/>
                <c:pt idx="0">
                  <c:v>Battery</c:v>
                </c:pt>
              </c:strCache>
            </c:strRef>
          </c:tx>
          <c:spPr>
            <a:solidFill>
              <a:schemeClr val="accent6">
                <a:lumMod val="50000"/>
              </a:schemeClr>
            </a:solidFill>
            <a:ln>
              <a:noFill/>
            </a:ln>
            <a:effectLst/>
          </c:spPr>
          <c:invertIfNegative val="0"/>
          <c:cat>
            <c:numRef>
              <c:f>'Results ReCiPe (E) - HHD'!$AC$394:$BA$394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HHD'!$AC$400:$BA$400</c:f>
              <c:numCache>
                <c:formatCode>0.00E+00</c:formatCode>
                <c:ptCount val="25"/>
                <c:pt idx="0">
                  <c:v>3.6701257346128031</c:v>
                </c:pt>
                <c:pt idx="1">
                  <c:v>3.6701257346128031</c:v>
                </c:pt>
                <c:pt idx="2">
                  <c:v>3.6701257346128031</c:v>
                </c:pt>
                <c:pt idx="3">
                  <c:v>3.6701257346128031</c:v>
                </c:pt>
                <c:pt idx="4">
                  <c:v>3.6701257346128031</c:v>
                </c:pt>
                <c:pt idx="5">
                  <c:v>3.6701257346128031</c:v>
                </c:pt>
                <c:pt idx="6">
                  <c:v>3.6701257346128031</c:v>
                </c:pt>
                <c:pt idx="7">
                  <c:v>3.6701257346128031</c:v>
                </c:pt>
                <c:pt idx="8">
                  <c:v>3.6701257346128031</c:v>
                </c:pt>
                <c:pt idx="9">
                  <c:v>3.6701257346128031</c:v>
                </c:pt>
                <c:pt idx="10">
                  <c:v>3.6701257346128031</c:v>
                </c:pt>
                <c:pt idx="11">
                  <c:v>3.6701257346128031</c:v>
                </c:pt>
                <c:pt idx="12">
                  <c:v>3.6701257346128031</c:v>
                </c:pt>
                <c:pt idx="13">
                  <c:v>3.6701257346128031</c:v>
                </c:pt>
                <c:pt idx="14">
                  <c:v>3.6701257346128031</c:v>
                </c:pt>
                <c:pt idx="15">
                  <c:v>3.6701257346128031</c:v>
                </c:pt>
                <c:pt idx="16">
                  <c:v>3.6701257346128031</c:v>
                </c:pt>
                <c:pt idx="17">
                  <c:v>3.6701257346128031</c:v>
                </c:pt>
                <c:pt idx="18">
                  <c:v>3.6701257346128031</c:v>
                </c:pt>
                <c:pt idx="19">
                  <c:v>3.6701257346128031</c:v>
                </c:pt>
                <c:pt idx="20">
                  <c:v>3.6701257346128031</c:v>
                </c:pt>
                <c:pt idx="21">
                  <c:v>3.6701257346128031</c:v>
                </c:pt>
                <c:pt idx="22">
                  <c:v>3.6701257346128031</c:v>
                </c:pt>
                <c:pt idx="23">
                  <c:v>3.6701257346128031</c:v>
                </c:pt>
                <c:pt idx="24">
                  <c:v>3.6701257346128031</c:v>
                </c:pt>
              </c:numCache>
            </c:numRef>
          </c:val>
          <c:extLst>
            <c:ext xmlns:c16="http://schemas.microsoft.com/office/drawing/2014/chart" uri="{C3380CC4-5D6E-409C-BE32-E72D297353CC}">
              <c16:uniqueId val="{00000005-EC4F-45BB-9D80-821C6469C163}"/>
            </c:ext>
          </c:extLst>
        </c:ser>
        <c:ser>
          <c:idx val="6"/>
          <c:order val="6"/>
          <c:tx>
            <c:strRef>
              <c:f>'Results ReCiPe (E) - HHD'!$AB$401</c:f>
              <c:strCache>
                <c:ptCount val="1"/>
                <c:pt idx="0">
                  <c:v>Operation - DAC</c:v>
                </c:pt>
              </c:strCache>
            </c:strRef>
          </c:tx>
          <c:spPr>
            <a:solidFill>
              <a:schemeClr val="accent2">
                <a:lumMod val="75000"/>
              </a:schemeClr>
            </a:solidFill>
            <a:ln>
              <a:noFill/>
            </a:ln>
            <a:effectLst/>
          </c:spPr>
          <c:invertIfNegative val="0"/>
          <c:cat>
            <c:numRef>
              <c:f>'Results ReCiPe (E) - HHD'!$AC$394:$BA$394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HHD'!$AC$401:$BA$401</c:f>
              <c:numCache>
                <c:formatCode>0.00E+00</c:formatCode>
                <c:ptCount val="25"/>
                <c:pt idx="0">
                  <c:v>2.0370310158907654</c:v>
                </c:pt>
                <c:pt idx="1">
                  <c:v>2.035562239861672</c:v>
                </c:pt>
                <c:pt idx="2">
                  <c:v>2.0341239029172664</c:v>
                </c:pt>
                <c:pt idx="3">
                  <c:v>2.0327469247730865</c:v>
                </c:pt>
                <c:pt idx="4">
                  <c:v>2.031185688987271</c:v>
                </c:pt>
                <c:pt idx="5">
                  <c:v>2.0296097307494785</c:v>
                </c:pt>
                <c:pt idx="6">
                  <c:v>2.0276371714030947</c:v>
                </c:pt>
                <c:pt idx="7">
                  <c:v>2.0259958028278868</c:v>
                </c:pt>
                <c:pt idx="8">
                  <c:v>2.0250512292003391</c:v>
                </c:pt>
                <c:pt idx="9">
                  <c:v>2.0238902252066224</c:v>
                </c:pt>
                <c:pt idx="10">
                  <c:v>2.0229182891752449</c:v>
                </c:pt>
                <c:pt idx="11">
                  <c:v>2.0223267850812991</c:v>
                </c:pt>
                <c:pt idx="12">
                  <c:v>2.0219526798705716</c:v>
                </c:pt>
                <c:pt idx="13">
                  <c:v>2.0220447512823188</c:v>
                </c:pt>
                <c:pt idx="14">
                  <c:v>2.0219478808537779</c:v>
                </c:pt>
                <c:pt idx="15">
                  <c:v>2.0219376258625901</c:v>
                </c:pt>
                <c:pt idx="16">
                  <c:v>2.0224363541583661</c:v>
                </c:pt>
                <c:pt idx="17">
                  <c:v>2.0229379969536541</c:v>
                </c:pt>
                <c:pt idx="18">
                  <c:v>2.0236433830310849</c:v>
                </c:pt>
                <c:pt idx="19">
                  <c:v>2.0241356107942909</c:v>
                </c:pt>
                <c:pt idx="20">
                  <c:v>2.0246305546485606</c:v>
                </c:pt>
                <c:pt idx="21">
                  <c:v>2.0254922813327489</c:v>
                </c:pt>
                <c:pt idx="22">
                  <c:v>2.0262136437440201</c:v>
                </c:pt>
                <c:pt idx="23">
                  <c:v>2.0269295658103705</c:v>
                </c:pt>
                <c:pt idx="24">
                  <c:v>2.0276402153618314</c:v>
                </c:pt>
              </c:numCache>
            </c:numRef>
          </c:val>
          <c:extLst>
            <c:ext xmlns:c16="http://schemas.microsoft.com/office/drawing/2014/chart" uri="{C3380CC4-5D6E-409C-BE32-E72D297353CC}">
              <c16:uniqueId val="{00000006-EC4F-45BB-9D80-821C6469C163}"/>
            </c:ext>
          </c:extLst>
        </c:ser>
        <c:ser>
          <c:idx val="7"/>
          <c:order val="7"/>
          <c:tx>
            <c:strRef>
              <c:f>'Results ReCiPe (E) - HHD'!$AB$402</c:f>
              <c:strCache>
                <c:ptCount val="1"/>
                <c:pt idx="0">
                  <c:v>Operation - geological storage</c:v>
                </c:pt>
              </c:strCache>
            </c:strRef>
          </c:tx>
          <c:spPr>
            <a:solidFill>
              <a:schemeClr val="accent2">
                <a:lumMod val="50000"/>
              </a:schemeClr>
            </a:solidFill>
            <a:ln>
              <a:noFill/>
            </a:ln>
            <a:effectLst/>
          </c:spPr>
          <c:invertIfNegative val="0"/>
          <c:cat>
            <c:numRef>
              <c:f>'Results ReCiPe (E) - HHD'!$AC$394:$BA$394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HHD'!$AC$402:$BA$402</c:f>
              <c:numCache>
                <c:formatCode>0.00E+00</c:formatCode>
                <c:ptCount val="25"/>
                <c:pt idx="0">
                  <c:v>0.12089046938977735</c:v>
                </c:pt>
                <c:pt idx="1">
                  <c:v>0.11852864516931709</c:v>
                </c:pt>
                <c:pt idx="2">
                  <c:v>0.11616860027765759</c:v>
                </c:pt>
                <c:pt idx="3">
                  <c:v>0.11382776003191514</c:v>
                </c:pt>
                <c:pt idx="4">
                  <c:v>0.11146846329963016</c:v>
                </c:pt>
                <c:pt idx="5">
                  <c:v>0.109109359541878</c:v>
                </c:pt>
                <c:pt idx="6">
                  <c:v>0.10916643763051895</c:v>
                </c:pt>
                <c:pt idx="7">
                  <c:v>0.1092227363135832</c:v>
                </c:pt>
                <c:pt idx="8">
                  <c:v>0.1093098942903669</c:v>
                </c:pt>
                <c:pt idx="9">
                  <c:v>0.1093642423336391</c:v>
                </c:pt>
                <c:pt idx="10">
                  <c:v>0.1094162488234495</c:v>
                </c:pt>
                <c:pt idx="11">
                  <c:v>0.10920778960649025</c:v>
                </c:pt>
                <c:pt idx="12">
                  <c:v>0.10900253470760544</c:v>
                </c:pt>
                <c:pt idx="13">
                  <c:v>0.1088203336537043</c:v>
                </c:pt>
                <c:pt idx="14">
                  <c:v>0.10861853332992046</c:v>
                </c:pt>
                <c:pt idx="15">
                  <c:v>0.10841772904055146</c:v>
                </c:pt>
                <c:pt idx="16">
                  <c:v>0.1085303097390842</c:v>
                </c:pt>
                <c:pt idx="17">
                  <c:v>0.10864472965718601</c:v>
                </c:pt>
                <c:pt idx="18">
                  <c:v>0.108774375235376</c:v>
                </c:pt>
                <c:pt idx="19">
                  <c:v>0.1088926314731824</c:v>
                </c:pt>
                <c:pt idx="20">
                  <c:v>0.10901287098624265</c:v>
                </c:pt>
                <c:pt idx="21">
                  <c:v>0.10908572884181075</c:v>
                </c:pt>
                <c:pt idx="22">
                  <c:v>0.10914584855250704</c:v>
                </c:pt>
                <c:pt idx="23">
                  <c:v>0.10920641113732711</c:v>
                </c:pt>
                <c:pt idx="24">
                  <c:v>0.109267211678412</c:v>
                </c:pt>
              </c:numCache>
            </c:numRef>
          </c:val>
          <c:extLst>
            <c:ext xmlns:c16="http://schemas.microsoft.com/office/drawing/2014/chart" uri="{C3380CC4-5D6E-409C-BE32-E72D297353CC}">
              <c16:uniqueId val="{00000007-EC4F-45BB-9D80-821C6469C163}"/>
            </c:ext>
          </c:extLst>
        </c:ser>
        <c:ser>
          <c:idx val="8"/>
          <c:order val="8"/>
          <c:tx>
            <c:strRef>
              <c:f>'Results ReCiPe (E) - HHD'!$AB$403</c:f>
              <c:strCache>
                <c:ptCount val="1"/>
                <c:pt idx="0">
                  <c:v>CO2 captured and stored</c:v>
                </c:pt>
              </c:strCache>
            </c:strRef>
          </c:tx>
          <c:spPr>
            <a:solidFill>
              <a:schemeClr val="tx2">
                <a:lumMod val="20000"/>
                <a:lumOff val="80000"/>
              </a:schemeClr>
            </a:solidFill>
            <a:ln>
              <a:noFill/>
            </a:ln>
            <a:effectLst/>
          </c:spPr>
          <c:invertIfNegative val="0"/>
          <c:cat>
            <c:numRef>
              <c:f>'Results ReCiPe (E) - HHD'!$AC$394:$BA$394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HHD'!$AC$403:$BA$403</c:f>
              <c:numCache>
                <c:formatCode>0.00E+00</c:formatCode>
                <c:ptCount val="25"/>
                <c:pt idx="0">
                  <c:v>-0.625</c:v>
                </c:pt>
                <c:pt idx="1">
                  <c:v>-0.625</c:v>
                </c:pt>
                <c:pt idx="2">
                  <c:v>-0.625</c:v>
                </c:pt>
                <c:pt idx="3">
                  <c:v>-0.625</c:v>
                </c:pt>
                <c:pt idx="4">
                  <c:v>-0.625</c:v>
                </c:pt>
                <c:pt idx="5">
                  <c:v>-0.625</c:v>
                </c:pt>
                <c:pt idx="6">
                  <c:v>-0.625</c:v>
                </c:pt>
                <c:pt idx="7">
                  <c:v>-0.625</c:v>
                </c:pt>
                <c:pt idx="8">
                  <c:v>-0.625</c:v>
                </c:pt>
                <c:pt idx="9">
                  <c:v>-0.625</c:v>
                </c:pt>
                <c:pt idx="10">
                  <c:v>-0.625</c:v>
                </c:pt>
                <c:pt idx="11">
                  <c:v>-0.625</c:v>
                </c:pt>
                <c:pt idx="12">
                  <c:v>-0.625</c:v>
                </c:pt>
                <c:pt idx="13">
                  <c:v>-0.625</c:v>
                </c:pt>
                <c:pt idx="14">
                  <c:v>-0.625</c:v>
                </c:pt>
                <c:pt idx="15">
                  <c:v>-0.625</c:v>
                </c:pt>
                <c:pt idx="16">
                  <c:v>-0.625</c:v>
                </c:pt>
                <c:pt idx="17">
                  <c:v>-0.625</c:v>
                </c:pt>
                <c:pt idx="18">
                  <c:v>-0.625</c:v>
                </c:pt>
                <c:pt idx="19">
                  <c:v>-0.625</c:v>
                </c:pt>
                <c:pt idx="20">
                  <c:v>-0.625</c:v>
                </c:pt>
                <c:pt idx="21">
                  <c:v>-0.625</c:v>
                </c:pt>
                <c:pt idx="22">
                  <c:v>-0.625</c:v>
                </c:pt>
                <c:pt idx="23">
                  <c:v>-0.625</c:v>
                </c:pt>
                <c:pt idx="24">
                  <c:v>-0.625</c:v>
                </c:pt>
              </c:numCache>
            </c:numRef>
          </c:val>
          <c:extLst>
            <c:ext xmlns:c16="http://schemas.microsoft.com/office/drawing/2014/chart" uri="{C3380CC4-5D6E-409C-BE32-E72D297353CC}">
              <c16:uniqueId val="{00000008-EC4F-45BB-9D80-821C6469C163}"/>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9"/>
          <c:order val="9"/>
          <c:tx>
            <c:strRef>
              <c:f>'Results ReCiPe (E) - HHD'!$AB$404</c:f>
              <c:strCache>
                <c:ptCount val="1"/>
                <c:pt idx="0">
                  <c:v>TOTAL per year</c:v>
                </c:pt>
              </c:strCache>
            </c:strRef>
          </c:tx>
          <c:spPr>
            <a:ln w="28575" cap="rnd">
              <a:noFill/>
              <a:round/>
            </a:ln>
            <a:effectLst/>
          </c:spPr>
          <c:marker>
            <c:symbol val="circle"/>
            <c:size val="5"/>
            <c:spPr>
              <a:solidFill>
                <a:schemeClr val="bg1"/>
              </a:solidFill>
              <a:ln w="9525">
                <a:solidFill>
                  <a:schemeClr val="accent4">
                    <a:lumMod val="60000"/>
                  </a:schemeClr>
                </a:solidFill>
              </a:ln>
              <a:effectLst/>
            </c:spPr>
          </c:marker>
          <c:cat>
            <c:numRef>
              <c:f>'Results ReCiPe (E) - HHD'!$AC$394:$BA$394</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HHD'!$AC$404:$BA$404</c:f>
              <c:numCache>
                <c:formatCode>0.00E+00</c:formatCode>
                <c:ptCount val="25"/>
                <c:pt idx="0">
                  <c:v>19.99190724116875</c:v>
                </c:pt>
                <c:pt idx="1">
                  <c:v>5.199216619643793</c:v>
                </c:pt>
                <c:pt idx="2">
                  <c:v>5.1954182378077274</c:v>
                </c:pt>
                <c:pt idx="3">
                  <c:v>5.3291422989475592</c:v>
                </c:pt>
                <c:pt idx="4">
                  <c:v>5.1877798868997047</c:v>
                </c:pt>
                <c:pt idx="5">
                  <c:v>5.1838448249041598</c:v>
                </c:pt>
                <c:pt idx="6">
                  <c:v>5.3181715720249869</c:v>
                </c:pt>
                <c:pt idx="7">
                  <c:v>5.1803442737542733</c:v>
                </c:pt>
                <c:pt idx="8">
                  <c:v>5.179486858103509</c:v>
                </c:pt>
                <c:pt idx="9">
                  <c:v>5.3144664568586961</c:v>
                </c:pt>
                <c:pt idx="10">
                  <c:v>5.1774602726114969</c:v>
                </c:pt>
                <c:pt idx="11">
                  <c:v>5.1766603093005923</c:v>
                </c:pt>
                <c:pt idx="12">
                  <c:v>5.3121774846589718</c:v>
                </c:pt>
                <c:pt idx="13">
                  <c:v>5.1759908195488267</c:v>
                </c:pt>
                <c:pt idx="14">
                  <c:v>5.175692148796502</c:v>
                </c:pt>
                <c:pt idx="15">
                  <c:v>5.3117734162743435</c:v>
                </c:pt>
                <c:pt idx="16">
                  <c:v>5.1760923985102529</c:v>
                </c:pt>
                <c:pt idx="17">
                  <c:v>5.1767084612236438</c:v>
                </c:pt>
                <c:pt idx="18">
                  <c:v>5.3138303821844852</c:v>
                </c:pt>
                <c:pt idx="19">
                  <c:v>5.1781539768802762</c:v>
                </c:pt>
                <c:pt idx="20">
                  <c:v>5.1787691602476063</c:v>
                </c:pt>
                <c:pt idx="21">
                  <c:v>5.3159731323623785</c:v>
                </c:pt>
                <c:pt idx="22">
                  <c:v>5.1804852269093304</c:v>
                </c:pt>
                <c:pt idx="23">
                  <c:v>5.1812617115605004</c:v>
                </c:pt>
                <c:pt idx="24">
                  <c:v>5.4440127846841877</c:v>
                </c:pt>
              </c:numCache>
            </c:numRef>
          </c:val>
          <c:smooth val="0"/>
          <c:extLst>
            <c:ext xmlns:c16="http://schemas.microsoft.com/office/drawing/2014/chart" uri="{C3380CC4-5D6E-409C-BE32-E72D297353CC}">
              <c16:uniqueId val="{00000009-EC4F-45BB-9D80-821C6469C163}"/>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Human</a:t>
                </a:r>
                <a:r>
                  <a:rPr lang="nl-NL" baseline="0"/>
                  <a:t> health</a:t>
                </a:r>
                <a:r>
                  <a:rPr lang="nl-NL"/>
                  <a:t> damage </a:t>
                </a:r>
                <a:br>
                  <a:rPr lang="nl-NL"/>
                </a:br>
                <a:r>
                  <a:rPr lang="nl-NL"/>
                  <a:t>(DALY/ton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(E) - ESD'!$AB$10</c:f>
              <c:strCache>
                <c:ptCount val="1"/>
                <c:pt idx="0">
                  <c:v>Construction - DAC</c:v>
                </c:pt>
              </c:strCache>
            </c:strRef>
          </c:tx>
          <c:spPr>
            <a:solidFill>
              <a:schemeClr val="accent4">
                <a:lumMod val="75000"/>
              </a:schemeClr>
            </a:solidFill>
            <a:ln>
              <a:noFill/>
            </a:ln>
            <a:effectLst/>
          </c:spPr>
          <c:invertIfNegative val="0"/>
          <c:cat>
            <c:numRef>
              <c:f>'Results ReCiPe (E) - ESD'!$AC$9:$BA$9</c:f>
              <c:numCache>
                <c:formatCode>@</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ESD'!$AC$10:$BA$10</c:f>
              <c:numCache>
                <c:formatCode>0.00E+00</c:formatCode>
                <c:ptCount val="25"/>
                <c:pt idx="0">
                  <c:v>7.5205433444198531E-3</c:v>
                </c:pt>
              </c:numCache>
            </c:numRef>
          </c:val>
          <c:extLst>
            <c:ext xmlns:c16="http://schemas.microsoft.com/office/drawing/2014/chart" uri="{C3380CC4-5D6E-409C-BE32-E72D297353CC}">
              <c16:uniqueId val="{00000000-8D25-430D-9269-75A135B4D565}"/>
            </c:ext>
          </c:extLst>
        </c:ser>
        <c:ser>
          <c:idx val="1"/>
          <c:order val="1"/>
          <c:tx>
            <c:strRef>
              <c:f>'Results ReCiPe (E) - ESD'!$AB$11</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(E) - ESD'!$AC$9:$BA$9</c:f>
              <c:numCache>
                <c:formatCode>@</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ESD'!$AC$11:$BA$11</c:f>
              <c:numCache>
                <c:formatCode>0.00E+00</c:formatCode>
                <c:ptCount val="25"/>
                <c:pt idx="0">
                  <c:v>2.1953654340738595E-4</c:v>
                </c:pt>
              </c:numCache>
            </c:numRef>
          </c:val>
          <c:extLst>
            <c:ext xmlns:c16="http://schemas.microsoft.com/office/drawing/2014/chart" uri="{C3380CC4-5D6E-409C-BE32-E72D297353CC}">
              <c16:uniqueId val="{00000001-8D25-430D-9269-75A135B4D565}"/>
            </c:ext>
          </c:extLst>
        </c:ser>
        <c:ser>
          <c:idx val="2"/>
          <c:order val="2"/>
          <c:tx>
            <c:strRef>
              <c:f>'Results ReCiPe (E) - ESD'!$AB$12</c:f>
              <c:strCache>
                <c:ptCount val="1"/>
                <c:pt idx="0">
                  <c:v>Deconstruction - DAC</c:v>
                </c:pt>
              </c:strCache>
            </c:strRef>
          </c:tx>
          <c:spPr>
            <a:solidFill>
              <a:schemeClr val="accent2">
                <a:lumMod val="40000"/>
                <a:lumOff val="60000"/>
              </a:schemeClr>
            </a:solidFill>
            <a:ln>
              <a:noFill/>
            </a:ln>
            <a:effectLst/>
          </c:spPr>
          <c:invertIfNegative val="0"/>
          <c:cat>
            <c:numRef>
              <c:f>'Results ReCiPe (E) - ESD'!$AC$9:$BA$9</c:f>
              <c:numCache>
                <c:formatCode>@</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ESD'!$AC$12:$BA$12</c:f>
              <c:numCache>
                <c:formatCode>0.00E+00</c:formatCode>
                <c:ptCount val="25"/>
                <c:pt idx="24">
                  <c:v>9.2556580539513285E-5</c:v>
                </c:pt>
              </c:numCache>
            </c:numRef>
          </c:val>
          <c:extLst>
            <c:ext xmlns:c16="http://schemas.microsoft.com/office/drawing/2014/chart" uri="{C3380CC4-5D6E-409C-BE32-E72D297353CC}">
              <c16:uniqueId val="{00000002-8D25-430D-9269-75A135B4D565}"/>
            </c:ext>
          </c:extLst>
        </c:ser>
        <c:ser>
          <c:idx val="3"/>
          <c:order val="3"/>
          <c:tx>
            <c:strRef>
              <c:f>'Results ReCiPe (E) - ESD'!$AB$13</c:f>
              <c:strCache>
                <c:ptCount val="1"/>
                <c:pt idx="0">
                  <c:v>Deconstruction - geological storage</c:v>
                </c:pt>
              </c:strCache>
            </c:strRef>
          </c:tx>
          <c:spPr>
            <a:solidFill>
              <a:srgbClr val="FF9900"/>
            </a:solidFill>
            <a:ln>
              <a:noFill/>
            </a:ln>
            <a:effectLst/>
          </c:spPr>
          <c:invertIfNegative val="0"/>
          <c:cat>
            <c:numRef>
              <c:f>'Results ReCiPe (E) - ESD'!$AC$9:$BA$9</c:f>
              <c:numCache>
                <c:formatCode>@</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ESD'!$AC$13:$BA$13</c:f>
              <c:numCache>
                <c:formatCode>0.00E+00</c:formatCode>
                <c:ptCount val="25"/>
                <c:pt idx="24">
                  <c:v>1.6915974917172185E-6</c:v>
                </c:pt>
              </c:numCache>
            </c:numRef>
          </c:val>
          <c:extLst>
            <c:ext xmlns:c16="http://schemas.microsoft.com/office/drawing/2014/chart" uri="{C3380CC4-5D6E-409C-BE32-E72D297353CC}">
              <c16:uniqueId val="{00000003-8D25-430D-9269-75A135B4D565}"/>
            </c:ext>
          </c:extLst>
        </c:ser>
        <c:ser>
          <c:idx val="4"/>
          <c:order val="4"/>
          <c:tx>
            <c:strRef>
              <c:f>'Results ReCiPe (E) - ESD'!$AB$14</c:f>
              <c:strCache>
                <c:ptCount val="1"/>
                <c:pt idx="0">
                  <c:v>Sorbent material</c:v>
                </c:pt>
              </c:strCache>
            </c:strRef>
          </c:tx>
          <c:spPr>
            <a:solidFill>
              <a:srgbClr val="FF8F8F"/>
            </a:solidFill>
            <a:ln>
              <a:noFill/>
            </a:ln>
            <a:effectLst/>
          </c:spPr>
          <c:invertIfNegative val="0"/>
          <c:cat>
            <c:numRef>
              <c:f>'Results ReCiPe (E) - ESD'!$AC$9:$BA$9</c:f>
              <c:numCache>
                <c:formatCode>@</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ESD'!$AC$14:$BA$14</c:f>
              <c:numCache>
                <c:formatCode>0.00E+00</c:formatCode>
                <c:ptCount val="25"/>
                <c:pt idx="0">
                  <c:v>9.6070786883955476E-5</c:v>
                </c:pt>
                <c:pt idx="3">
                  <c:v>9.5821625581055684E-5</c:v>
                </c:pt>
                <c:pt idx="6">
                  <c:v>9.5829318269014544E-5</c:v>
                </c:pt>
                <c:pt idx="9">
                  <c:v>9.6195219555553151E-5</c:v>
                </c:pt>
                <c:pt idx="12">
                  <c:v>9.671044208302645E-5</c:v>
                </c:pt>
                <c:pt idx="15">
                  <c:v>9.7352908438601063E-5</c:v>
                </c:pt>
                <c:pt idx="18">
                  <c:v>9.6952281836548256E-5</c:v>
                </c:pt>
                <c:pt idx="21">
                  <c:v>9.6376407293463591E-5</c:v>
                </c:pt>
                <c:pt idx="24">
                  <c:v>9.5439879467151915E-5</c:v>
                </c:pt>
              </c:numCache>
            </c:numRef>
          </c:val>
          <c:extLst>
            <c:ext xmlns:c16="http://schemas.microsoft.com/office/drawing/2014/chart" uri="{C3380CC4-5D6E-409C-BE32-E72D297353CC}">
              <c16:uniqueId val="{00000004-8D25-430D-9269-75A135B4D565}"/>
            </c:ext>
          </c:extLst>
        </c:ser>
        <c:ser>
          <c:idx val="5"/>
          <c:order val="5"/>
          <c:tx>
            <c:strRef>
              <c:f>'Results ReCiPe (E) - ESD'!$AB$15</c:f>
              <c:strCache>
                <c:ptCount val="1"/>
                <c:pt idx="0">
                  <c:v>Operation - DAC</c:v>
                </c:pt>
              </c:strCache>
            </c:strRef>
          </c:tx>
          <c:spPr>
            <a:solidFill>
              <a:schemeClr val="accent2">
                <a:lumMod val="75000"/>
              </a:schemeClr>
            </a:solidFill>
            <a:ln>
              <a:noFill/>
            </a:ln>
            <a:effectLst/>
          </c:spPr>
          <c:invertIfNegative val="0"/>
          <c:cat>
            <c:numRef>
              <c:f>'Results ReCiPe (E) - ESD'!$AC$9:$BA$9</c:f>
              <c:numCache>
                <c:formatCode>@</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ESD'!$AC$15:$BA$15</c:f>
              <c:numCache>
                <c:formatCode>0.00E+00</c:formatCode>
                <c:ptCount val="25"/>
                <c:pt idx="0">
                  <c:v>2.0285493247131133E-3</c:v>
                </c:pt>
                <c:pt idx="1">
                  <c:v>2.0227560747096171E-3</c:v>
                </c:pt>
                <c:pt idx="2">
                  <c:v>2.0169377144366031E-3</c:v>
                </c:pt>
                <c:pt idx="3">
                  <c:v>2.0107844251752711E-3</c:v>
                </c:pt>
                <c:pt idx="4">
                  <c:v>2.0049129582609512E-3</c:v>
                </c:pt>
                <c:pt idx="5">
                  <c:v>1.9990139827895893E-3</c:v>
                </c:pt>
                <c:pt idx="6">
                  <c:v>2.1757251135861404E-3</c:v>
                </c:pt>
                <c:pt idx="7">
                  <c:v>2.3521875183295164E-3</c:v>
                </c:pt>
                <c:pt idx="8">
                  <c:v>2.5284977912987043E-3</c:v>
                </c:pt>
                <c:pt idx="9">
                  <c:v>2.7046482439993004E-3</c:v>
                </c:pt>
                <c:pt idx="10">
                  <c:v>2.880579337628393E-3</c:v>
                </c:pt>
                <c:pt idx="11">
                  <c:v>3.2162600814456674E-3</c:v>
                </c:pt>
                <c:pt idx="12">
                  <c:v>3.5527526363136391E-3</c:v>
                </c:pt>
                <c:pt idx="13">
                  <c:v>3.8902418896006553E-3</c:v>
                </c:pt>
                <c:pt idx="14">
                  <c:v>4.2283675486641786E-3</c:v>
                </c:pt>
                <c:pt idx="15">
                  <c:v>4.5673195052132482E-3</c:v>
                </c:pt>
                <c:pt idx="16">
                  <c:v>4.5935158356993928E-3</c:v>
                </c:pt>
                <c:pt idx="17">
                  <c:v>4.6196929712370126E-3</c:v>
                </c:pt>
                <c:pt idx="18">
                  <c:v>4.6459661144363429E-3</c:v>
                </c:pt>
                <c:pt idx="19">
                  <c:v>4.6721065016722078E-3</c:v>
                </c:pt>
                <c:pt idx="20">
                  <c:v>4.6982310457680428E-3</c:v>
                </c:pt>
                <c:pt idx="21">
                  <c:v>4.5628315336206145E-3</c:v>
                </c:pt>
                <c:pt idx="22">
                  <c:v>4.4211892298138093E-3</c:v>
                </c:pt>
                <c:pt idx="23">
                  <c:v>4.279063600557108E-3</c:v>
                </c:pt>
                <c:pt idx="24">
                  <c:v>4.1364501544981069E-3</c:v>
                </c:pt>
              </c:numCache>
            </c:numRef>
          </c:val>
          <c:extLst>
            <c:ext xmlns:c16="http://schemas.microsoft.com/office/drawing/2014/chart" uri="{C3380CC4-5D6E-409C-BE32-E72D297353CC}">
              <c16:uniqueId val="{00000005-8D25-430D-9269-75A135B4D565}"/>
            </c:ext>
          </c:extLst>
        </c:ser>
        <c:ser>
          <c:idx val="6"/>
          <c:order val="6"/>
          <c:tx>
            <c:strRef>
              <c:f>'Results ReCiPe (E) - ESD'!$AB$16</c:f>
              <c:strCache>
                <c:ptCount val="1"/>
                <c:pt idx="0">
                  <c:v>Operation - geological storage</c:v>
                </c:pt>
              </c:strCache>
            </c:strRef>
          </c:tx>
          <c:spPr>
            <a:solidFill>
              <a:schemeClr val="accent2">
                <a:lumMod val="50000"/>
              </a:schemeClr>
            </a:solidFill>
            <a:ln>
              <a:noFill/>
            </a:ln>
            <a:effectLst/>
          </c:spPr>
          <c:invertIfNegative val="0"/>
          <c:cat>
            <c:numRef>
              <c:f>'Results ReCiPe (E) - ESD'!$AC$9:$BA$9</c:f>
              <c:numCache>
                <c:formatCode>@</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ESD'!$AC$16:$BA$16</c:f>
              <c:numCache>
                <c:formatCode>0.00E+00</c:formatCode>
                <c:ptCount val="25"/>
                <c:pt idx="0">
                  <c:v>2.4219263815059068E-4</c:v>
                </c:pt>
                <c:pt idx="1">
                  <c:v>2.4164687599320309E-4</c:v>
                </c:pt>
                <c:pt idx="2">
                  <c:v>2.4110044331989472E-4</c:v>
                </c:pt>
                <c:pt idx="3">
                  <c:v>2.4052361669729241E-4</c:v>
                </c:pt>
                <c:pt idx="4">
                  <c:v>2.3997546813756359E-4</c:v>
                </c:pt>
                <c:pt idx="5">
                  <c:v>2.394264053946725E-4</c:v>
                </c:pt>
                <c:pt idx="6">
                  <c:v>2.5273051797618273E-4</c:v>
                </c:pt>
                <c:pt idx="7">
                  <c:v>2.6597849749189918E-4</c:v>
                </c:pt>
                <c:pt idx="8">
                  <c:v>2.7917880097149398E-4</c:v>
                </c:pt>
                <c:pt idx="9">
                  <c:v>2.923288294485455E-4</c:v>
                </c:pt>
                <c:pt idx="10">
                  <c:v>3.0542509811774192E-4</c:v>
                </c:pt>
                <c:pt idx="11">
                  <c:v>3.3053713521866661E-4</c:v>
                </c:pt>
                <c:pt idx="12">
                  <c:v>3.5565339972491906E-4</c:v>
                </c:pt>
                <c:pt idx="13">
                  <c:v>3.8079028632170023E-4</c:v>
                </c:pt>
                <c:pt idx="14">
                  <c:v>4.0591519104639883E-4</c:v>
                </c:pt>
                <c:pt idx="15">
                  <c:v>4.3104478287483701E-4</c:v>
                </c:pt>
                <c:pt idx="16">
                  <c:v>4.3273631101758872E-4</c:v>
                </c:pt>
                <c:pt idx="17">
                  <c:v>4.3442245309916101E-4</c:v>
                </c:pt>
                <c:pt idx="18">
                  <c:v>4.3611347078169468E-4</c:v>
                </c:pt>
                <c:pt idx="19">
                  <c:v>4.3778891953574089E-4</c:v>
                </c:pt>
                <c:pt idx="20">
                  <c:v>4.3945919428111388E-4</c:v>
                </c:pt>
                <c:pt idx="21">
                  <c:v>4.288470478321375E-4</c:v>
                </c:pt>
                <c:pt idx="22">
                  <c:v>4.1780690585363608E-4</c:v>
                </c:pt>
                <c:pt idx="23">
                  <c:v>4.0677323302082662E-4</c:v>
                </c:pt>
                <c:pt idx="24">
                  <c:v>3.9574578124018379E-4</c:v>
                </c:pt>
              </c:numCache>
            </c:numRef>
          </c:val>
          <c:extLst>
            <c:ext xmlns:c16="http://schemas.microsoft.com/office/drawing/2014/chart" uri="{C3380CC4-5D6E-409C-BE32-E72D297353CC}">
              <c16:uniqueId val="{00000006-8D25-430D-9269-75A135B4D565}"/>
            </c:ext>
          </c:extLst>
        </c:ser>
        <c:ser>
          <c:idx val="7"/>
          <c:order val="7"/>
          <c:tx>
            <c:strRef>
              <c:f>'Results ReCiPe (E) - ESD'!$AB$17</c:f>
              <c:strCache>
                <c:ptCount val="1"/>
                <c:pt idx="0">
                  <c:v>CO2 captured and stored</c:v>
                </c:pt>
              </c:strCache>
            </c:strRef>
          </c:tx>
          <c:spPr>
            <a:solidFill>
              <a:schemeClr val="tx2">
                <a:lumMod val="20000"/>
                <a:lumOff val="80000"/>
              </a:schemeClr>
            </a:solidFill>
            <a:ln>
              <a:noFill/>
            </a:ln>
            <a:effectLst/>
          </c:spPr>
          <c:invertIfNegative val="0"/>
          <c:cat>
            <c:numRef>
              <c:f>'Results ReCiPe (E) - ESD'!$AC$9:$BA$9</c:f>
              <c:numCache>
                <c:formatCode>@</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ESD'!$AC$17:$BA$17</c:f>
              <c:numCache>
                <c:formatCode>0.00E+00</c:formatCode>
                <c:ptCount val="25"/>
                <c:pt idx="0">
                  <c:v>-2.5000681999999995E-3</c:v>
                </c:pt>
                <c:pt idx="1">
                  <c:v>-2.5000681999999995E-3</c:v>
                </c:pt>
                <c:pt idx="2">
                  <c:v>-2.5000681999999995E-3</c:v>
                </c:pt>
                <c:pt idx="3">
                  <c:v>-2.5000681999999995E-3</c:v>
                </c:pt>
                <c:pt idx="4">
                  <c:v>-2.5000681999999995E-3</c:v>
                </c:pt>
                <c:pt idx="5">
                  <c:v>-2.5000681999999995E-3</c:v>
                </c:pt>
                <c:pt idx="6">
                  <c:v>-2.5000681999999995E-3</c:v>
                </c:pt>
                <c:pt idx="7">
                  <c:v>-2.5000681999999995E-3</c:v>
                </c:pt>
                <c:pt idx="8">
                  <c:v>-2.5000681999999995E-3</c:v>
                </c:pt>
                <c:pt idx="9">
                  <c:v>-2.5000681999999995E-3</c:v>
                </c:pt>
                <c:pt idx="10">
                  <c:v>-2.5000681999999995E-3</c:v>
                </c:pt>
                <c:pt idx="11">
                  <c:v>-2.5000681999999995E-3</c:v>
                </c:pt>
                <c:pt idx="12">
                  <c:v>-2.5000681999999995E-3</c:v>
                </c:pt>
                <c:pt idx="13">
                  <c:v>-2.5000681999999995E-3</c:v>
                </c:pt>
                <c:pt idx="14">
                  <c:v>-2.5000681999999995E-3</c:v>
                </c:pt>
                <c:pt idx="15">
                  <c:v>-2.5000681999999995E-3</c:v>
                </c:pt>
                <c:pt idx="16">
                  <c:v>-2.5000681999999995E-3</c:v>
                </c:pt>
                <c:pt idx="17">
                  <c:v>-2.5000681999999995E-3</c:v>
                </c:pt>
                <c:pt idx="18">
                  <c:v>-2.5000681999999995E-3</c:v>
                </c:pt>
                <c:pt idx="19">
                  <c:v>-2.5000681999999995E-3</c:v>
                </c:pt>
                <c:pt idx="20">
                  <c:v>-2.5000681999999995E-3</c:v>
                </c:pt>
                <c:pt idx="21">
                  <c:v>-2.5000681999999995E-3</c:v>
                </c:pt>
                <c:pt idx="22">
                  <c:v>-2.5000681999999995E-3</c:v>
                </c:pt>
                <c:pt idx="23">
                  <c:v>-2.5000681999999995E-3</c:v>
                </c:pt>
                <c:pt idx="24">
                  <c:v>-2.5000681999999995E-3</c:v>
                </c:pt>
              </c:numCache>
            </c:numRef>
          </c:val>
          <c:extLst>
            <c:ext xmlns:c16="http://schemas.microsoft.com/office/drawing/2014/chart" uri="{C3380CC4-5D6E-409C-BE32-E72D297353CC}">
              <c16:uniqueId val="{00000007-8D25-430D-9269-75A135B4D565}"/>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(E) - ESD'!$AB$18</c:f>
              <c:strCache>
                <c:ptCount val="1"/>
                <c:pt idx="0">
                  <c:v>TOTAL per year</c:v>
                </c:pt>
              </c:strCache>
            </c:strRef>
          </c:tx>
          <c:spPr>
            <a:ln w="28575" cap="rnd">
              <a:noFill/>
              <a:round/>
            </a:ln>
            <a:effectLst/>
          </c:spPr>
          <c:marker>
            <c:symbol val="circle"/>
            <c:size val="5"/>
            <c:spPr>
              <a:solidFill>
                <a:schemeClr val="tx1"/>
              </a:solidFill>
              <a:ln w="9525">
                <a:solidFill>
                  <a:schemeClr val="tx1"/>
                </a:solidFill>
              </a:ln>
              <a:effectLst/>
            </c:spPr>
          </c:marker>
          <c:cat>
            <c:numRef>
              <c:f>'Results ReCiPe (E) - ESD'!$AC$9:$BA$9</c:f>
              <c:numCache>
                <c:formatCode>@</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ESD'!$AC$18:$BA$18</c:f>
              <c:numCache>
                <c:formatCode>0.00E+00</c:formatCode>
                <c:ptCount val="25"/>
                <c:pt idx="0">
                  <c:v>7.6068244375748989E-3</c:v>
                </c:pt>
                <c:pt idx="1">
                  <c:v>-2.3566524929717917E-4</c:v>
                </c:pt>
                <c:pt idx="2">
                  <c:v>-2.4203004224350151E-4</c:v>
                </c:pt>
                <c:pt idx="3">
                  <c:v>-1.5293853254638029E-4</c:v>
                </c:pt>
                <c:pt idx="4">
                  <c:v>-2.5517977360148443E-4</c:v>
                </c:pt>
                <c:pt idx="5">
                  <c:v>-2.6162781181573785E-4</c:v>
                </c:pt>
                <c:pt idx="6">
                  <c:v>2.4216749831338161E-5</c:v>
                </c:pt>
                <c:pt idx="7">
                  <c:v>1.1809781582141623E-4</c:v>
                </c:pt>
                <c:pt idx="8">
                  <c:v>3.0760839227019898E-4</c:v>
                </c:pt>
                <c:pt idx="9">
                  <c:v>5.931040930033998E-4</c:v>
                </c:pt>
                <c:pt idx="10">
                  <c:v>6.8593623574613556E-4</c:v>
                </c:pt>
                <c:pt idx="11">
                  <c:v>1.0467290166643346E-3</c:v>
                </c:pt>
                <c:pt idx="12">
                  <c:v>1.5050482781215849E-3</c:v>
                </c:pt>
                <c:pt idx="13">
                  <c:v>1.7709639759223563E-3</c:v>
                </c:pt>
                <c:pt idx="14">
                  <c:v>2.134214539710578E-3</c:v>
                </c:pt>
                <c:pt idx="15">
                  <c:v>2.5956489965266874E-3</c:v>
                </c:pt>
                <c:pt idx="16">
                  <c:v>2.5261839467169821E-3</c:v>
                </c:pt>
                <c:pt idx="17">
                  <c:v>2.554047224336174E-3</c:v>
                </c:pt>
                <c:pt idx="18">
                  <c:v>2.6789636670545864E-3</c:v>
                </c:pt>
                <c:pt idx="19">
                  <c:v>2.609827221207949E-3</c:v>
                </c:pt>
                <c:pt idx="20">
                  <c:v>2.6376220400491568E-3</c:v>
                </c:pt>
                <c:pt idx="21">
                  <c:v>2.5879867887462155E-3</c:v>
                </c:pt>
                <c:pt idx="22">
                  <c:v>2.3389279356674456E-3</c:v>
                </c:pt>
                <c:pt idx="23">
                  <c:v>2.1857686335779352E-3</c:v>
                </c:pt>
                <c:pt idx="24">
                  <c:v>2.2218157932366736E-3</c:v>
                </c:pt>
              </c:numCache>
            </c:numRef>
          </c:val>
          <c:smooth val="0"/>
          <c:extLst>
            <c:ext xmlns:c16="http://schemas.microsoft.com/office/drawing/2014/chart" uri="{C3380CC4-5D6E-409C-BE32-E72D297353CC}">
              <c16:uniqueId val="{00000008-8D25-430D-9269-75A135B4D565}"/>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Ecosystem damage </a:t>
                </a:r>
                <a:br>
                  <a:rPr lang="nl-NL"/>
                </a:br>
                <a:r>
                  <a:rPr lang="nl-NL"/>
                  <a:t>(PDF*yr/ton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'Results ReCiPe (E) - ESD'!$AB$50</c:f>
              <c:strCache>
                <c:ptCount val="1"/>
                <c:pt idx="0">
                  <c:v>Construction - DAC</c:v>
                </c:pt>
              </c:strCache>
            </c:strRef>
          </c:tx>
          <c:spPr>
            <a:solidFill>
              <a:schemeClr val="accent4">
                <a:lumMod val="75000"/>
              </a:schemeClr>
            </a:solidFill>
            <a:ln>
              <a:noFill/>
            </a:ln>
            <a:effectLst/>
          </c:spPr>
          <c:invertIfNegative val="0"/>
          <c:cat>
            <c:numRef>
              <c:f>'Results ReCiPe (E) - ESD'!$AC$49:$BA$49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ESD'!$AC$50:$BA$50</c:f>
              <c:numCache>
                <c:formatCode>0.00E+00</c:formatCode>
                <c:ptCount val="25"/>
                <c:pt idx="0">
                  <c:v>7.3912740668568159E-3</c:v>
                </c:pt>
              </c:numCache>
            </c:numRef>
          </c:val>
          <c:extLst>
            <c:ext xmlns:c16="http://schemas.microsoft.com/office/drawing/2014/chart" uri="{C3380CC4-5D6E-409C-BE32-E72D297353CC}">
              <c16:uniqueId val="{00000000-910A-43D6-96B4-66C6758C7499}"/>
            </c:ext>
          </c:extLst>
        </c:ser>
        <c:ser>
          <c:idx val="1"/>
          <c:order val="1"/>
          <c:tx>
            <c:strRef>
              <c:f>'Results ReCiPe (E) - ESD'!$AB$51</c:f>
              <c:strCache>
                <c:ptCount val="1"/>
                <c:pt idx="0">
                  <c:v>Construction - geological storage</c:v>
                </c:pt>
              </c:strCache>
            </c:strRef>
          </c:tx>
          <c:spPr>
            <a:solidFill>
              <a:schemeClr val="accent4">
                <a:lumMod val="60000"/>
                <a:lumOff val="40000"/>
              </a:schemeClr>
            </a:solidFill>
            <a:ln>
              <a:noFill/>
            </a:ln>
            <a:effectLst/>
          </c:spPr>
          <c:invertIfNegative val="0"/>
          <c:cat>
            <c:numRef>
              <c:f>'Results ReCiPe (E) - ESD'!$AC$49:$BA$49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ESD'!$AC$51:$BA$51</c:f>
              <c:numCache>
                <c:formatCode>0.00E+00</c:formatCode>
                <c:ptCount val="25"/>
                <c:pt idx="0">
                  <c:v>2.1252840683002016E-4</c:v>
                </c:pt>
              </c:numCache>
            </c:numRef>
          </c:val>
          <c:extLst>
            <c:ext xmlns:c16="http://schemas.microsoft.com/office/drawing/2014/chart" uri="{C3380CC4-5D6E-409C-BE32-E72D297353CC}">
              <c16:uniqueId val="{00000001-910A-43D6-96B4-66C6758C7499}"/>
            </c:ext>
          </c:extLst>
        </c:ser>
        <c:ser>
          <c:idx val="2"/>
          <c:order val="2"/>
          <c:tx>
            <c:strRef>
              <c:f>'Results ReCiPe (E) - ESD'!$AB$52</c:f>
              <c:strCache>
                <c:ptCount val="1"/>
                <c:pt idx="0">
                  <c:v>Deconstruction - DAC</c:v>
                </c:pt>
              </c:strCache>
            </c:strRef>
          </c:tx>
          <c:spPr>
            <a:solidFill>
              <a:schemeClr val="accent2">
                <a:lumMod val="40000"/>
                <a:lumOff val="60000"/>
              </a:schemeClr>
            </a:solidFill>
            <a:ln>
              <a:noFill/>
            </a:ln>
            <a:effectLst/>
          </c:spPr>
          <c:invertIfNegative val="0"/>
          <c:cat>
            <c:numRef>
              <c:f>'Results ReCiPe (E) - ESD'!$AC$49:$BA$49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ESD'!$AC$52:$BA$52</c:f>
              <c:numCache>
                <c:formatCode>0.00E+00</c:formatCode>
                <c:ptCount val="25"/>
                <c:pt idx="24">
                  <c:v>8.8841262894916216E-5</c:v>
                </c:pt>
              </c:numCache>
            </c:numRef>
          </c:val>
          <c:extLst>
            <c:ext xmlns:c16="http://schemas.microsoft.com/office/drawing/2014/chart" uri="{C3380CC4-5D6E-409C-BE32-E72D297353CC}">
              <c16:uniqueId val="{00000002-910A-43D6-96B4-66C6758C7499}"/>
            </c:ext>
          </c:extLst>
        </c:ser>
        <c:ser>
          <c:idx val="3"/>
          <c:order val="3"/>
          <c:tx>
            <c:strRef>
              <c:f>'Results ReCiPe (E) - ESD'!$AB$53</c:f>
              <c:strCache>
                <c:ptCount val="1"/>
                <c:pt idx="0">
                  <c:v>Deconstruction - geological storage</c:v>
                </c:pt>
              </c:strCache>
            </c:strRef>
          </c:tx>
          <c:spPr>
            <a:solidFill>
              <a:srgbClr val="FF9900"/>
            </a:solidFill>
            <a:ln>
              <a:noFill/>
            </a:ln>
            <a:effectLst/>
          </c:spPr>
          <c:invertIfNegative val="0"/>
          <c:cat>
            <c:numRef>
              <c:f>'Results ReCiPe (E) - ESD'!$AC$49:$BA$49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ESD'!$AC$53:$BA$53</c:f>
              <c:numCache>
                <c:formatCode>0.00E+00</c:formatCode>
                <c:ptCount val="25"/>
                <c:pt idx="24">
                  <c:v>1.6394591401967032E-6</c:v>
                </c:pt>
              </c:numCache>
            </c:numRef>
          </c:val>
          <c:extLst>
            <c:ext xmlns:c16="http://schemas.microsoft.com/office/drawing/2014/chart" uri="{C3380CC4-5D6E-409C-BE32-E72D297353CC}">
              <c16:uniqueId val="{00000003-910A-43D6-96B4-66C6758C7499}"/>
            </c:ext>
          </c:extLst>
        </c:ser>
        <c:ser>
          <c:idx val="4"/>
          <c:order val="4"/>
          <c:tx>
            <c:strRef>
              <c:f>'Results ReCiPe (E) - ESD'!$AB$54</c:f>
              <c:strCache>
                <c:ptCount val="1"/>
                <c:pt idx="0">
                  <c:v>Sorbent material</c:v>
                </c:pt>
              </c:strCache>
            </c:strRef>
          </c:tx>
          <c:spPr>
            <a:solidFill>
              <a:srgbClr val="FF8F8F"/>
            </a:solidFill>
            <a:ln>
              <a:noFill/>
            </a:ln>
            <a:effectLst/>
          </c:spPr>
          <c:invertIfNegative val="0"/>
          <c:cat>
            <c:numRef>
              <c:f>'Results ReCiPe (E) - ESD'!$AC$49:$BA$49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ESD'!$AC$54:$BA$54</c:f>
              <c:numCache>
                <c:formatCode>0.00E+00</c:formatCode>
                <c:ptCount val="25"/>
                <c:pt idx="0">
                  <c:v>9.4301611037095288E-5</c:v>
                </c:pt>
                <c:pt idx="3">
                  <c:v>9.2886477686598764E-5</c:v>
                </c:pt>
                <c:pt idx="6">
                  <c:v>9.1489785996520763E-5</c:v>
                </c:pt>
                <c:pt idx="9">
                  <c:v>9.0033315985642623E-5</c:v>
                </c:pt>
                <c:pt idx="12">
                  <c:v>8.8459173995158276E-5</c:v>
                </c:pt>
                <c:pt idx="15">
                  <c:v>8.68753434169571E-5</c:v>
                </c:pt>
                <c:pt idx="18">
                  <c:v>8.5817679992132394E-5</c:v>
                </c:pt>
                <c:pt idx="21">
                  <c:v>8.506043847028737E-5</c:v>
                </c:pt>
                <c:pt idx="24">
                  <c:v>8.4860138497287434E-5</c:v>
                </c:pt>
              </c:numCache>
            </c:numRef>
          </c:val>
          <c:extLst>
            <c:ext xmlns:c16="http://schemas.microsoft.com/office/drawing/2014/chart" uri="{C3380CC4-5D6E-409C-BE32-E72D297353CC}">
              <c16:uniqueId val="{00000004-910A-43D6-96B4-66C6758C7499}"/>
            </c:ext>
          </c:extLst>
        </c:ser>
        <c:ser>
          <c:idx val="5"/>
          <c:order val="5"/>
          <c:tx>
            <c:strRef>
              <c:f>'Results ReCiPe (E) - ESD'!$AB$55</c:f>
              <c:strCache>
                <c:ptCount val="1"/>
                <c:pt idx="0">
                  <c:v>Operation - DAC</c:v>
                </c:pt>
              </c:strCache>
            </c:strRef>
          </c:tx>
          <c:spPr>
            <a:solidFill>
              <a:schemeClr val="accent2">
                <a:lumMod val="75000"/>
              </a:schemeClr>
            </a:solidFill>
            <a:ln>
              <a:noFill/>
            </a:ln>
            <a:effectLst/>
          </c:spPr>
          <c:invertIfNegative val="0"/>
          <c:cat>
            <c:numRef>
              <c:f>'Results ReCiPe (E) - ESD'!$AC$49:$BA$49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ESD'!$AC$55:$BA$55</c:f>
              <c:numCache>
                <c:formatCode>0.00E+00</c:formatCode>
                <c:ptCount val="25"/>
                <c:pt idx="0">
                  <c:v>1.6388449095534811E-3</c:v>
                </c:pt>
                <c:pt idx="1">
                  <c:v>1.5114389926514421E-3</c:v>
                </c:pt>
                <c:pt idx="2">
                  <c:v>1.3839617570356093E-3</c:v>
                </c:pt>
                <c:pt idx="3">
                  <c:v>1.2560914504172083E-3</c:v>
                </c:pt>
                <c:pt idx="4">
                  <c:v>1.1284522245580111E-3</c:v>
                </c:pt>
                <c:pt idx="5">
                  <c:v>1.0007230863636181E-3</c:v>
                </c:pt>
                <c:pt idx="6">
                  <c:v>9.3671952493029555E-4</c:v>
                </c:pt>
                <c:pt idx="7">
                  <c:v>8.7279060352807736E-4</c:v>
                </c:pt>
                <c:pt idx="8">
                  <c:v>8.0890569121409329E-4</c:v>
                </c:pt>
                <c:pt idx="9">
                  <c:v>7.4499681046711697E-4</c:v>
                </c:pt>
                <c:pt idx="10">
                  <c:v>6.8106531479763892E-4</c:v>
                </c:pt>
                <c:pt idx="11">
                  <c:v>6.4590060879210671E-4</c:v>
                </c:pt>
                <c:pt idx="12">
                  <c:v>6.1054554571127553E-4</c:v>
                </c:pt>
                <c:pt idx="13">
                  <c:v>5.7517415722291103E-4</c:v>
                </c:pt>
                <c:pt idx="14">
                  <c:v>5.3943675283083328E-4</c:v>
                </c:pt>
                <c:pt idx="15">
                  <c:v>5.0351334261852852E-4</c:v>
                </c:pt>
                <c:pt idx="16">
                  <c:v>4.9216162924598406E-4</c:v>
                </c:pt>
                <c:pt idx="17">
                  <c:v>4.8078361562913478E-4</c:v>
                </c:pt>
                <c:pt idx="18">
                  <c:v>4.695340126327621E-4</c:v>
                </c:pt>
                <c:pt idx="19">
                  <c:v>4.5810710926448008E-4</c:v>
                </c:pt>
                <c:pt idx="20">
                  <c:v>4.4666011819133929E-4</c:v>
                </c:pt>
                <c:pt idx="21">
                  <c:v>4.439478940423447E-4</c:v>
                </c:pt>
                <c:pt idx="22">
                  <c:v>4.4043203840609557E-4</c:v>
                </c:pt>
                <c:pt idx="23">
                  <c:v>4.3690973678293178E-4</c:v>
                </c:pt>
                <c:pt idx="24">
                  <c:v>4.3337871379180246E-4</c:v>
                </c:pt>
              </c:numCache>
            </c:numRef>
          </c:val>
          <c:extLst>
            <c:ext xmlns:c16="http://schemas.microsoft.com/office/drawing/2014/chart" uri="{C3380CC4-5D6E-409C-BE32-E72D297353CC}">
              <c16:uniqueId val="{00000005-910A-43D6-96B4-66C6758C7499}"/>
            </c:ext>
          </c:extLst>
        </c:ser>
        <c:ser>
          <c:idx val="6"/>
          <c:order val="6"/>
          <c:tx>
            <c:strRef>
              <c:f>'Results ReCiPe (E) - ESD'!$AB$56</c:f>
              <c:strCache>
                <c:ptCount val="1"/>
                <c:pt idx="0">
                  <c:v>Operation - geological storage</c:v>
                </c:pt>
              </c:strCache>
            </c:strRef>
          </c:tx>
          <c:spPr>
            <a:solidFill>
              <a:schemeClr val="accent2">
                <a:lumMod val="50000"/>
              </a:schemeClr>
            </a:solidFill>
            <a:ln>
              <a:noFill/>
            </a:ln>
            <a:effectLst/>
          </c:spPr>
          <c:invertIfNegative val="0"/>
          <c:cat>
            <c:numRef>
              <c:f>'Results ReCiPe (E) - ESD'!$AC$49:$BA$49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ESD'!$AC$56:$BA$56</c:f>
              <c:numCache>
                <c:formatCode>0.00E+00</c:formatCode>
                <c:ptCount val="25"/>
                <c:pt idx="0">
                  <c:v>2.120021097697083E-4</c:v>
                </c:pt>
                <c:pt idx="1">
                  <c:v>2.0219329214032439E-4</c:v>
                </c:pt>
                <c:pt idx="2">
                  <c:v>1.924236728188017E-4</c:v>
                </c:pt>
                <c:pt idx="3">
                  <c:v>1.8266256716692499E-4</c:v>
                </c:pt>
                <c:pt idx="4">
                  <c:v>1.729698184006383E-4</c:v>
                </c:pt>
                <c:pt idx="5">
                  <c:v>1.6331480338540569E-4</c:v>
                </c:pt>
                <c:pt idx="6">
                  <c:v>1.5844085244589779E-4</c:v>
                </c:pt>
                <c:pt idx="7">
                  <c:v>1.535826360101849E-4</c:v>
                </c:pt>
                <c:pt idx="8">
                  <c:v>1.4873828006524911E-4</c:v>
                </c:pt>
                <c:pt idx="9">
                  <c:v>1.4390124218459661E-4</c:v>
                </c:pt>
                <c:pt idx="10">
                  <c:v>1.390721664601473E-4</c:v>
                </c:pt>
                <c:pt idx="11">
                  <c:v>1.3634472983147989E-4</c:v>
                </c:pt>
                <c:pt idx="12">
                  <c:v>1.3360425053166489E-4</c:v>
                </c:pt>
                <c:pt idx="13">
                  <c:v>1.3086525381570782E-4</c:v>
                </c:pt>
                <c:pt idx="14">
                  <c:v>1.2809837865377949E-4</c:v>
                </c:pt>
                <c:pt idx="15">
                  <c:v>1.2531858742970202E-4</c:v>
                </c:pt>
                <c:pt idx="16">
                  <c:v>1.2427361778355651E-4</c:v>
                </c:pt>
                <c:pt idx="17">
                  <c:v>1.232258982316461E-4</c:v>
                </c:pt>
                <c:pt idx="18">
                  <c:v>1.2218822595044411E-4</c:v>
                </c:pt>
                <c:pt idx="19">
                  <c:v>1.211350362366374E-4</c:v>
                </c:pt>
                <c:pt idx="20">
                  <c:v>1.2007929971726739E-4</c:v>
                </c:pt>
                <c:pt idx="21">
                  <c:v>1.199677485319364E-4</c:v>
                </c:pt>
                <c:pt idx="22">
                  <c:v>1.1978950932135159E-4</c:v>
                </c:pt>
                <c:pt idx="23">
                  <c:v>1.1961159270020919E-4</c:v>
                </c:pt>
                <c:pt idx="24">
                  <c:v>1.1943374966630739E-4</c:v>
                </c:pt>
              </c:numCache>
            </c:numRef>
          </c:val>
          <c:extLst>
            <c:ext xmlns:c16="http://schemas.microsoft.com/office/drawing/2014/chart" uri="{C3380CC4-5D6E-409C-BE32-E72D297353CC}">
              <c16:uniqueId val="{00000006-910A-43D6-96B4-66C6758C7499}"/>
            </c:ext>
          </c:extLst>
        </c:ser>
        <c:ser>
          <c:idx val="7"/>
          <c:order val="7"/>
          <c:tx>
            <c:strRef>
              <c:f>'Results ReCiPe (E) - ESD'!$AB$57</c:f>
              <c:strCache>
                <c:ptCount val="1"/>
                <c:pt idx="0">
                  <c:v>CO2 captured and stored</c:v>
                </c:pt>
              </c:strCache>
            </c:strRef>
          </c:tx>
          <c:spPr>
            <a:solidFill>
              <a:schemeClr val="tx2">
                <a:lumMod val="20000"/>
                <a:lumOff val="80000"/>
              </a:schemeClr>
            </a:solidFill>
            <a:ln>
              <a:noFill/>
            </a:ln>
            <a:effectLst/>
          </c:spPr>
          <c:invertIfNegative val="0"/>
          <c:cat>
            <c:numRef>
              <c:f>'Results ReCiPe (E) - ESD'!$AC$49:$BA$49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ESD'!$AC$57:$BA$57</c:f>
              <c:numCache>
                <c:formatCode>0.00E+00</c:formatCode>
                <c:ptCount val="25"/>
                <c:pt idx="0">
                  <c:v>-2.5000681999999995E-3</c:v>
                </c:pt>
                <c:pt idx="1">
                  <c:v>-2.5000681999999995E-3</c:v>
                </c:pt>
                <c:pt idx="2">
                  <c:v>-2.5000681999999995E-3</c:v>
                </c:pt>
                <c:pt idx="3">
                  <c:v>-2.5000681999999995E-3</c:v>
                </c:pt>
                <c:pt idx="4">
                  <c:v>-2.5000681999999995E-3</c:v>
                </c:pt>
                <c:pt idx="5">
                  <c:v>-2.5000681999999995E-3</c:v>
                </c:pt>
                <c:pt idx="6">
                  <c:v>-2.5000681999999995E-3</c:v>
                </c:pt>
                <c:pt idx="7">
                  <c:v>-2.5000681999999995E-3</c:v>
                </c:pt>
                <c:pt idx="8">
                  <c:v>-2.5000681999999995E-3</c:v>
                </c:pt>
                <c:pt idx="9">
                  <c:v>-2.5000681999999995E-3</c:v>
                </c:pt>
                <c:pt idx="10">
                  <c:v>-2.5000681999999995E-3</c:v>
                </c:pt>
                <c:pt idx="11">
                  <c:v>-2.5000681999999995E-3</c:v>
                </c:pt>
                <c:pt idx="12">
                  <c:v>-2.5000681999999995E-3</c:v>
                </c:pt>
                <c:pt idx="13">
                  <c:v>-2.5000681999999995E-3</c:v>
                </c:pt>
                <c:pt idx="14">
                  <c:v>-2.5000681999999995E-3</c:v>
                </c:pt>
                <c:pt idx="15">
                  <c:v>-2.5000681999999995E-3</c:v>
                </c:pt>
                <c:pt idx="16">
                  <c:v>-2.5000681999999995E-3</c:v>
                </c:pt>
                <c:pt idx="17">
                  <c:v>-2.5000681999999995E-3</c:v>
                </c:pt>
                <c:pt idx="18">
                  <c:v>-2.5000681999999995E-3</c:v>
                </c:pt>
                <c:pt idx="19">
                  <c:v>-2.5000681999999995E-3</c:v>
                </c:pt>
                <c:pt idx="20">
                  <c:v>-2.5000681999999995E-3</c:v>
                </c:pt>
                <c:pt idx="21">
                  <c:v>-2.5000681999999995E-3</c:v>
                </c:pt>
                <c:pt idx="22">
                  <c:v>-2.5000681999999995E-3</c:v>
                </c:pt>
                <c:pt idx="23">
                  <c:v>-2.5000681999999995E-3</c:v>
                </c:pt>
                <c:pt idx="24">
                  <c:v>-2.5000681999999995E-3</c:v>
                </c:pt>
              </c:numCache>
            </c:numRef>
          </c:val>
          <c:extLst>
            <c:ext xmlns:c16="http://schemas.microsoft.com/office/drawing/2014/chart" uri="{C3380CC4-5D6E-409C-BE32-E72D297353CC}">
              <c16:uniqueId val="{00000007-910A-43D6-96B4-66C6758C7499}"/>
            </c:ext>
          </c:extLst>
        </c:ser>
        <c:dLbls>
          <c:showLegendKey val="0"/>
          <c:showVal val="0"/>
          <c:showCatName val="0"/>
          <c:showSerName val="0"/>
          <c:showPercent val="0"/>
          <c:showBubbleSize val="0"/>
        </c:dLbls>
        <c:gapWidth val="150"/>
        <c:overlap val="100"/>
        <c:axId val="391152031"/>
        <c:axId val="1701055855"/>
      </c:barChart>
      <c:lineChart>
        <c:grouping val="standard"/>
        <c:varyColors val="0"/>
        <c:ser>
          <c:idx val="8"/>
          <c:order val="8"/>
          <c:tx>
            <c:strRef>
              <c:f>'Results ReCiPe (E) - ESD'!$AB$58</c:f>
              <c:strCache>
                <c:ptCount val="1"/>
                <c:pt idx="0">
                  <c:v>TOTAL per year</c:v>
                </c:pt>
              </c:strCache>
            </c:strRef>
          </c:tx>
          <c:spPr>
            <a:ln w="25400" cap="rnd">
              <a:noFill/>
              <a:round/>
            </a:ln>
            <a:effectLst/>
          </c:spPr>
          <c:marker>
            <c:symbol val="circle"/>
            <c:size val="5"/>
            <c:spPr>
              <a:solidFill>
                <a:schemeClr val="tx1"/>
              </a:solidFill>
              <a:ln w="9525">
                <a:solidFill>
                  <a:schemeClr val="tx1"/>
                </a:solidFill>
              </a:ln>
              <a:effectLst/>
            </c:spPr>
          </c:marker>
          <c:cat>
            <c:numRef>
              <c:f>'Results ReCiPe (E) - ESD'!$AC$49:$BA$49</c:f>
              <c:numCache>
                <c:formatCode>0</c:formatCode>
                <c:ptCount val="25"/>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pt idx="21">
                  <c:v>2051</c:v>
                </c:pt>
                <c:pt idx="22">
                  <c:v>2052</c:v>
                </c:pt>
                <c:pt idx="23">
                  <c:v>2053</c:v>
                </c:pt>
                <c:pt idx="24">
                  <c:v>2054</c:v>
                </c:pt>
              </c:numCache>
            </c:numRef>
          </c:cat>
          <c:val>
            <c:numRef>
              <c:f>'Results ReCiPe (E) - ESD'!$AC$58:$BA$58</c:f>
              <c:numCache>
                <c:formatCode>0.00E+00</c:formatCode>
                <c:ptCount val="25"/>
                <c:pt idx="0">
                  <c:v>7.0488829040471221E-3</c:v>
                </c:pt>
                <c:pt idx="1">
                  <c:v>-7.8643591520823303E-4</c:v>
                </c:pt>
                <c:pt idx="2">
                  <c:v>-9.2368277014558847E-4</c:v>
                </c:pt>
                <c:pt idx="3">
                  <c:v>-9.6842770472926735E-4</c:v>
                </c:pt>
                <c:pt idx="4">
                  <c:v>-1.19864615704135E-3</c:v>
                </c:pt>
                <c:pt idx="5">
                  <c:v>-1.3360303102509757E-3</c:v>
                </c:pt>
                <c:pt idx="6">
                  <c:v>-1.3134180366272852E-3</c:v>
                </c:pt>
                <c:pt idx="7">
                  <c:v>-1.4736949604617373E-3</c:v>
                </c:pt>
                <c:pt idx="8">
                  <c:v>-1.5424242287206571E-3</c:v>
                </c:pt>
                <c:pt idx="9">
                  <c:v>-1.5211368313626432E-3</c:v>
                </c:pt>
                <c:pt idx="10">
                  <c:v>-1.6799307187422134E-3</c:v>
                </c:pt>
                <c:pt idx="11">
                  <c:v>-1.7178228613764128E-3</c:v>
                </c:pt>
                <c:pt idx="12">
                  <c:v>-1.6674592297619007E-3</c:v>
                </c:pt>
                <c:pt idx="13">
                  <c:v>-1.7940287889613806E-3</c:v>
                </c:pt>
                <c:pt idx="14">
                  <c:v>-1.8325330685153866E-3</c:v>
                </c:pt>
                <c:pt idx="15">
                  <c:v>-1.7843609265348118E-3</c:v>
                </c:pt>
                <c:pt idx="16">
                  <c:v>-1.8836329529704589E-3</c:v>
                </c:pt>
                <c:pt idx="17">
                  <c:v>-1.8960586861392185E-3</c:v>
                </c:pt>
                <c:pt idx="18">
                  <c:v>-1.8225282814246608E-3</c:v>
                </c:pt>
                <c:pt idx="19">
                  <c:v>-1.920826054498882E-3</c:v>
                </c:pt>
                <c:pt idx="20">
                  <c:v>-1.9333287820913927E-3</c:v>
                </c:pt>
                <c:pt idx="21">
                  <c:v>-1.8510921189554309E-3</c:v>
                </c:pt>
                <c:pt idx="22">
                  <c:v>-1.9398466522725522E-3</c:v>
                </c:pt>
                <c:pt idx="23">
                  <c:v>-1.9435468705168585E-3</c:v>
                </c:pt>
                <c:pt idx="24">
                  <c:v>-1.7719148760094892E-3</c:v>
                </c:pt>
              </c:numCache>
            </c:numRef>
          </c:val>
          <c:smooth val="0"/>
          <c:extLst>
            <c:ext xmlns:c16="http://schemas.microsoft.com/office/drawing/2014/chart" uri="{C3380CC4-5D6E-409C-BE32-E72D297353CC}">
              <c16:uniqueId val="{00000008-910A-43D6-96B4-66C6758C7499}"/>
            </c:ext>
          </c:extLst>
        </c:ser>
        <c:dLbls>
          <c:showLegendKey val="0"/>
          <c:showVal val="0"/>
          <c:showCatName val="0"/>
          <c:showSerName val="0"/>
          <c:showPercent val="0"/>
          <c:showBubbleSize val="0"/>
        </c:dLbls>
        <c:marker val="1"/>
        <c:smooth val="0"/>
        <c:axId val="391152031"/>
        <c:axId val="1701055855"/>
      </c:lineChart>
      <c:catAx>
        <c:axId val="391152031"/>
        <c:scaling>
          <c:orientation val="minMax"/>
        </c:scaling>
        <c:delete val="0"/>
        <c:axPos val="b"/>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1701055855"/>
        <c:crosses val="autoZero"/>
        <c:auto val="1"/>
        <c:lblAlgn val="ctr"/>
        <c:lblOffset val="100"/>
        <c:noMultiLvlLbl val="0"/>
      </c:catAx>
      <c:valAx>
        <c:axId val="17010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r>
                  <a:rPr lang="nl-NL"/>
                  <a:t>Ecosystem damage </a:t>
                </a:r>
                <a:br>
                  <a:rPr lang="nl-NL"/>
                </a:br>
                <a:r>
                  <a:rPr lang="nl-NL"/>
                  <a:t>(PDF*yr/ton CO2 captured and stored)</a:t>
                </a:r>
                <a:endParaRPr lang="en-NL"/>
              </a:p>
              <a:p>
                <a:pPr algn="ctr" rtl="0">
                  <a:defRPr/>
                </a:pPr>
                <a:endParaRPr lang="nl-NL"/>
              </a:p>
            </c:rich>
          </c:tx>
          <c:overlay val="0"/>
          <c:spPr>
            <a:noFill/>
            <a:ln>
              <a:noFill/>
            </a:ln>
            <a:effectLst/>
          </c:spPr>
          <c:txPr>
            <a:bodyPr rot="-5400000" spcFirstLastPara="1" vertOverflow="ellipsis" vert="horz" wrap="square" anchor="ctr" anchorCtr="1"/>
            <a:lstStyle/>
            <a:p>
              <a:pPr algn="ctr" rtl="0">
                <a:defRPr sz="1000" b="0" i="0" u="none" strike="noStrike" kern="1200" baseline="0">
                  <a:solidFill>
                    <a:sysClr val="windowText" lastClr="000000"/>
                  </a:solidFill>
                  <a:latin typeface="+mn-lt"/>
                  <a:ea typeface="+mn-ea"/>
                  <a:cs typeface="+mn-cs"/>
                </a:defRPr>
              </a:pPr>
              <a:endParaRPr lang="en-NL"/>
            </a:p>
          </c:txPr>
        </c:title>
        <c:numFmt formatCode="0.00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crossAx val="39115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0.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0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3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4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5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6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7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8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9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4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5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6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7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8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9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8" Type="http://schemas.openxmlformats.org/officeDocument/2006/relationships/chart" Target="../charts/chart69.xml"/><Relationship Id="rId3" Type="http://schemas.openxmlformats.org/officeDocument/2006/relationships/chart" Target="../charts/chart64.xml"/><Relationship Id="rId7" Type="http://schemas.openxmlformats.org/officeDocument/2006/relationships/chart" Target="../charts/chart68.xml"/><Relationship Id="rId2" Type="http://schemas.openxmlformats.org/officeDocument/2006/relationships/chart" Target="../charts/chart63.xml"/><Relationship Id="rId1" Type="http://schemas.openxmlformats.org/officeDocument/2006/relationships/chart" Target="../charts/chart62.xml"/><Relationship Id="rId6" Type="http://schemas.openxmlformats.org/officeDocument/2006/relationships/chart" Target="../charts/chart67.xml"/><Relationship Id="rId5" Type="http://schemas.openxmlformats.org/officeDocument/2006/relationships/chart" Target="../charts/chart66.xml"/><Relationship Id="rId4" Type="http://schemas.openxmlformats.org/officeDocument/2006/relationships/chart" Target="../charts/chart65.xml"/><Relationship Id="rId9" Type="http://schemas.openxmlformats.org/officeDocument/2006/relationships/chart" Target="../charts/chart70.xml"/></Relationships>
</file>

<file path=xl/drawings/_rels/drawing11.xml.rels><?xml version="1.0" encoding="UTF-8" standalone="yes"?>
<Relationships xmlns="http://schemas.openxmlformats.org/package/2006/relationships"><Relationship Id="rId8" Type="http://schemas.openxmlformats.org/officeDocument/2006/relationships/chart" Target="../charts/chart78.xml"/><Relationship Id="rId3" Type="http://schemas.openxmlformats.org/officeDocument/2006/relationships/chart" Target="../charts/chart73.xml"/><Relationship Id="rId7" Type="http://schemas.openxmlformats.org/officeDocument/2006/relationships/chart" Target="../charts/chart77.xml"/><Relationship Id="rId2" Type="http://schemas.openxmlformats.org/officeDocument/2006/relationships/chart" Target="../charts/chart72.xml"/><Relationship Id="rId1" Type="http://schemas.openxmlformats.org/officeDocument/2006/relationships/chart" Target="../charts/chart71.xml"/><Relationship Id="rId6" Type="http://schemas.openxmlformats.org/officeDocument/2006/relationships/chart" Target="../charts/chart76.xml"/><Relationship Id="rId5" Type="http://schemas.openxmlformats.org/officeDocument/2006/relationships/chart" Target="../charts/chart75.xml"/><Relationship Id="rId4" Type="http://schemas.openxmlformats.org/officeDocument/2006/relationships/chart" Target="../charts/chart74.xml"/><Relationship Id="rId9" Type="http://schemas.openxmlformats.org/officeDocument/2006/relationships/chart" Target="../charts/chart79.xml"/></Relationships>
</file>

<file path=xl/drawings/_rels/drawing12.xml.rels><?xml version="1.0" encoding="UTF-8" standalone="yes"?>
<Relationships xmlns="http://schemas.openxmlformats.org/package/2006/relationships"><Relationship Id="rId8" Type="http://schemas.openxmlformats.org/officeDocument/2006/relationships/chart" Target="../charts/chart87.xml"/><Relationship Id="rId3" Type="http://schemas.openxmlformats.org/officeDocument/2006/relationships/chart" Target="../charts/chart82.xml"/><Relationship Id="rId7" Type="http://schemas.openxmlformats.org/officeDocument/2006/relationships/chart" Target="../charts/chart86.xml"/><Relationship Id="rId2" Type="http://schemas.openxmlformats.org/officeDocument/2006/relationships/chart" Target="../charts/chart81.xml"/><Relationship Id="rId1" Type="http://schemas.openxmlformats.org/officeDocument/2006/relationships/chart" Target="../charts/chart80.xml"/><Relationship Id="rId6" Type="http://schemas.openxmlformats.org/officeDocument/2006/relationships/chart" Target="../charts/chart85.xml"/><Relationship Id="rId5" Type="http://schemas.openxmlformats.org/officeDocument/2006/relationships/chart" Target="../charts/chart84.xml"/><Relationship Id="rId4" Type="http://schemas.openxmlformats.org/officeDocument/2006/relationships/chart" Target="../charts/chart83.xml"/><Relationship Id="rId9" Type="http://schemas.openxmlformats.org/officeDocument/2006/relationships/chart" Target="../charts/chart88.xml"/></Relationships>
</file>

<file path=xl/drawings/_rels/drawing13.xml.rels><?xml version="1.0" encoding="UTF-8" standalone="yes"?>
<Relationships xmlns="http://schemas.openxmlformats.org/package/2006/relationships"><Relationship Id="rId8" Type="http://schemas.openxmlformats.org/officeDocument/2006/relationships/chart" Target="../charts/chart96.xml"/><Relationship Id="rId3" Type="http://schemas.openxmlformats.org/officeDocument/2006/relationships/chart" Target="../charts/chart91.xml"/><Relationship Id="rId7" Type="http://schemas.openxmlformats.org/officeDocument/2006/relationships/chart" Target="../charts/chart95.xml"/><Relationship Id="rId2" Type="http://schemas.openxmlformats.org/officeDocument/2006/relationships/chart" Target="../charts/chart90.xml"/><Relationship Id="rId1" Type="http://schemas.openxmlformats.org/officeDocument/2006/relationships/chart" Target="../charts/chart89.xml"/><Relationship Id="rId6" Type="http://schemas.openxmlformats.org/officeDocument/2006/relationships/chart" Target="../charts/chart94.xml"/><Relationship Id="rId5" Type="http://schemas.openxmlformats.org/officeDocument/2006/relationships/chart" Target="../charts/chart93.xml"/><Relationship Id="rId4" Type="http://schemas.openxmlformats.org/officeDocument/2006/relationships/chart" Target="../charts/chart92.xml"/><Relationship Id="rId9" Type="http://schemas.openxmlformats.org/officeDocument/2006/relationships/chart" Target="../charts/chart97.xml"/></Relationships>
</file>

<file path=xl/drawings/_rels/drawing14.xml.rels><?xml version="1.0" encoding="UTF-8" standalone="yes"?>
<Relationships xmlns="http://schemas.openxmlformats.org/package/2006/relationships"><Relationship Id="rId8" Type="http://schemas.openxmlformats.org/officeDocument/2006/relationships/chart" Target="../charts/chart105.xml"/><Relationship Id="rId3" Type="http://schemas.openxmlformats.org/officeDocument/2006/relationships/chart" Target="../charts/chart100.xml"/><Relationship Id="rId7" Type="http://schemas.openxmlformats.org/officeDocument/2006/relationships/chart" Target="../charts/chart104.xml"/><Relationship Id="rId2" Type="http://schemas.openxmlformats.org/officeDocument/2006/relationships/chart" Target="../charts/chart99.xml"/><Relationship Id="rId1" Type="http://schemas.openxmlformats.org/officeDocument/2006/relationships/chart" Target="../charts/chart98.xml"/><Relationship Id="rId6" Type="http://schemas.openxmlformats.org/officeDocument/2006/relationships/chart" Target="../charts/chart103.xml"/><Relationship Id="rId5" Type="http://schemas.openxmlformats.org/officeDocument/2006/relationships/chart" Target="../charts/chart102.xml"/><Relationship Id="rId4" Type="http://schemas.openxmlformats.org/officeDocument/2006/relationships/chart" Target="../charts/chart101.xml"/><Relationship Id="rId9" Type="http://schemas.openxmlformats.org/officeDocument/2006/relationships/chart" Target="../charts/chart106.xml"/></Relationships>
</file>

<file path=xl/drawings/_rels/drawing15.xml.rels><?xml version="1.0" encoding="UTF-8" standalone="yes"?>
<Relationships xmlns="http://schemas.openxmlformats.org/package/2006/relationships"><Relationship Id="rId8" Type="http://schemas.openxmlformats.org/officeDocument/2006/relationships/chart" Target="../charts/chart114.xml"/><Relationship Id="rId3" Type="http://schemas.openxmlformats.org/officeDocument/2006/relationships/chart" Target="../charts/chart109.xml"/><Relationship Id="rId7" Type="http://schemas.openxmlformats.org/officeDocument/2006/relationships/chart" Target="../charts/chart113.xml"/><Relationship Id="rId2" Type="http://schemas.openxmlformats.org/officeDocument/2006/relationships/chart" Target="../charts/chart108.xml"/><Relationship Id="rId1" Type="http://schemas.openxmlformats.org/officeDocument/2006/relationships/chart" Target="../charts/chart107.xml"/><Relationship Id="rId6" Type="http://schemas.openxmlformats.org/officeDocument/2006/relationships/chart" Target="../charts/chart112.xml"/><Relationship Id="rId5" Type="http://schemas.openxmlformats.org/officeDocument/2006/relationships/chart" Target="../charts/chart111.xml"/><Relationship Id="rId4" Type="http://schemas.openxmlformats.org/officeDocument/2006/relationships/chart" Target="../charts/chart110.xml"/><Relationship Id="rId9" Type="http://schemas.openxmlformats.org/officeDocument/2006/relationships/chart" Target="../charts/chart115.xml"/></Relationships>
</file>

<file path=xl/drawings/_rels/drawing16.xml.rels><?xml version="1.0" encoding="UTF-8" standalone="yes"?>
<Relationships xmlns="http://schemas.openxmlformats.org/package/2006/relationships"><Relationship Id="rId8" Type="http://schemas.openxmlformats.org/officeDocument/2006/relationships/chart" Target="../charts/chart123.xml"/><Relationship Id="rId3" Type="http://schemas.openxmlformats.org/officeDocument/2006/relationships/chart" Target="../charts/chart118.xml"/><Relationship Id="rId7" Type="http://schemas.openxmlformats.org/officeDocument/2006/relationships/chart" Target="../charts/chart122.xml"/><Relationship Id="rId2" Type="http://schemas.openxmlformats.org/officeDocument/2006/relationships/chart" Target="../charts/chart117.xml"/><Relationship Id="rId1" Type="http://schemas.openxmlformats.org/officeDocument/2006/relationships/chart" Target="../charts/chart116.xml"/><Relationship Id="rId6" Type="http://schemas.openxmlformats.org/officeDocument/2006/relationships/chart" Target="../charts/chart121.xml"/><Relationship Id="rId5" Type="http://schemas.openxmlformats.org/officeDocument/2006/relationships/chart" Target="../charts/chart120.xml"/><Relationship Id="rId4" Type="http://schemas.openxmlformats.org/officeDocument/2006/relationships/chart" Target="../charts/chart119.xml"/><Relationship Id="rId9" Type="http://schemas.openxmlformats.org/officeDocument/2006/relationships/chart" Target="../charts/chart124.xml"/></Relationships>
</file>

<file path=xl/drawings/_rels/drawing17.xml.rels><?xml version="1.0" encoding="UTF-8" standalone="yes"?>
<Relationships xmlns="http://schemas.openxmlformats.org/package/2006/relationships"><Relationship Id="rId8" Type="http://schemas.openxmlformats.org/officeDocument/2006/relationships/chart" Target="../charts/chart132.xml"/><Relationship Id="rId3" Type="http://schemas.openxmlformats.org/officeDocument/2006/relationships/chart" Target="../charts/chart127.xml"/><Relationship Id="rId7" Type="http://schemas.openxmlformats.org/officeDocument/2006/relationships/chart" Target="../charts/chart131.xml"/><Relationship Id="rId2" Type="http://schemas.openxmlformats.org/officeDocument/2006/relationships/chart" Target="../charts/chart126.xml"/><Relationship Id="rId1" Type="http://schemas.openxmlformats.org/officeDocument/2006/relationships/chart" Target="../charts/chart125.xml"/><Relationship Id="rId6" Type="http://schemas.openxmlformats.org/officeDocument/2006/relationships/chart" Target="../charts/chart130.xml"/><Relationship Id="rId5" Type="http://schemas.openxmlformats.org/officeDocument/2006/relationships/chart" Target="../charts/chart129.xml"/><Relationship Id="rId4" Type="http://schemas.openxmlformats.org/officeDocument/2006/relationships/chart" Target="../charts/chart128.xml"/><Relationship Id="rId9" Type="http://schemas.openxmlformats.org/officeDocument/2006/relationships/chart" Target="../charts/chart133.xml"/></Relationships>
</file>

<file path=xl/drawings/_rels/drawing18.xml.rels><?xml version="1.0" encoding="UTF-8" standalone="yes"?>
<Relationships xmlns="http://schemas.openxmlformats.org/package/2006/relationships"><Relationship Id="rId8" Type="http://schemas.openxmlformats.org/officeDocument/2006/relationships/chart" Target="../charts/chart141.xml"/><Relationship Id="rId3" Type="http://schemas.openxmlformats.org/officeDocument/2006/relationships/chart" Target="../charts/chart136.xml"/><Relationship Id="rId7" Type="http://schemas.openxmlformats.org/officeDocument/2006/relationships/chart" Target="../charts/chart140.xml"/><Relationship Id="rId2" Type="http://schemas.openxmlformats.org/officeDocument/2006/relationships/chart" Target="../charts/chart135.xml"/><Relationship Id="rId1" Type="http://schemas.openxmlformats.org/officeDocument/2006/relationships/chart" Target="../charts/chart134.xml"/><Relationship Id="rId6" Type="http://schemas.openxmlformats.org/officeDocument/2006/relationships/chart" Target="../charts/chart139.xml"/><Relationship Id="rId5" Type="http://schemas.openxmlformats.org/officeDocument/2006/relationships/chart" Target="../charts/chart138.xml"/><Relationship Id="rId4" Type="http://schemas.openxmlformats.org/officeDocument/2006/relationships/chart" Target="../charts/chart137.xml"/><Relationship Id="rId9" Type="http://schemas.openxmlformats.org/officeDocument/2006/relationships/chart" Target="../charts/chart142.xml"/></Relationships>
</file>

<file path=xl/drawings/_rels/drawing19.xml.rels><?xml version="1.0" encoding="UTF-8" standalone="yes"?>
<Relationships xmlns="http://schemas.openxmlformats.org/package/2006/relationships"><Relationship Id="rId8" Type="http://schemas.openxmlformats.org/officeDocument/2006/relationships/chart" Target="../charts/chart150.xml"/><Relationship Id="rId3" Type="http://schemas.openxmlformats.org/officeDocument/2006/relationships/chart" Target="../charts/chart145.xml"/><Relationship Id="rId7" Type="http://schemas.openxmlformats.org/officeDocument/2006/relationships/chart" Target="../charts/chart149.xml"/><Relationship Id="rId2" Type="http://schemas.openxmlformats.org/officeDocument/2006/relationships/chart" Target="../charts/chart144.xml"/><Relationship Id="rId1" Type="http://schemas.openxmlformats.org/officeDocument/2006/relationships/chart" Target="../charts/chart143.xml"/><Relationship Id="rId6" Type="http://schemas.openxmlformats.org/officeDocument/2006/relationships/chart" Target="../charts/chart148.xml"/><Relationship Id="rId5" Type="http://schemas.openxmlformats.org/officeDocument/2006/relationships/chart" Target="../charts/chart147.xml"/><Relationship Id="rId4" Type="http://schemas.openxmlformats.org/officeDocument/2006/relationships/chart" Target="../charts/chart146.xml"/><Relationship Id="rId9" Type="http://schemas.openxmlformats.org/officeDocument/2006/relationships/chart" Target="../charts/chart15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_rels/drawing20.xml.rels><?xml version="1.0" encoding="UTF-8" standalone="yes"?>
<Relationships xmlns="http://schemas.openxmlformats.org/package/2006/relationships"><Relationship Id="rId8" Type="http://schemas.openxmlformats.org/officeDocument/2006/relationships/chart" Target="../charts/chart159.xml"/><Relationship Id="rId3" Type="http://schemas.openxmlformats.org/officeDocument/2006/relationships/chart" Target="../charts/chart154.xml"/><Relationship Id="rId7" Type="http://schemas.openxmlformats.org/officeDocument/2006/relationships/chart" Target="../charts/chart158.xml"/><Relationship Id="rId2" Type="http://schemas.openxmlformats.org/officeDocument/2006/relationships/chart" Target="../charts/chart153.xml"/><Relationship Id="rId1" Type="http://schemas.openxmlformats.org/officeDocument/2006/relationships/chart" Target="../charts/chart152.xml"/><Relationship Id="rId6" Type="http://schemas.openxmlformats.org/officeDocument/2006/relationships/chart" Target="../charts/chart157.xml"/><Relationship Id="rId5" Type="http://schemas.openxmlformats.org/officeDocument/2006/relationships/chart" Target="../charts/chart156.xml"/><Relationship Id="rId4" Type="http://schemas.openxmlformats.org/officeDocument/2006/relationships/chart" Target="../charts/chart155.xml"/><Relationship Id="rId9" Type="http://schemas.openxmlformats.org/officeDocument/2006/relationships/chart" Target="../charts/chart160.xml"/></Relationships>
</file>

<file path=xl/drawings/_rels/drawing21.xml.rels><?xml version="1.0" encoding="UTF-8" standalone="yes"?>
<Relationships xmlns="http://schemas.openxmlformats.org/package/2006/relationships"><Relationship Id="rId8" Type="http://schemas.openxmlformats.org/officeDocument/2006/relationships/chart" Target="../charts/chart168.xml"/><Relationship Id="rId3" Type="http://schemas.openxmlformats.org/officeDocument/2006/relationships/chart" Target="../charts/chart163.xml"/><Relationship Id="rId7" Type="http://schemas.openxmlformats.org/officeDocument/2006/relationships/chart" Target="../charts/chart167.xml"/><Relationship Id="rId2" Type="http://schemas.openxmlformats.org/officeDocument/2006/relationships/chart" Target="../charts/chart162.xml"/><Relationship Id="rId1" Type="http://schemas.openxmlformats.org/officeDocument/2006/relationships/chart" Target="../charts/chart161.xml"/><Relationship Id="rId6" Type="http://schemas.openxmlformats.org/officeDocument/2006/relationships/chart" Target="../charts/chart166.xml"/><Relationship Id="rId5" Type="http://schemas.openxmlformats.org/officeDocument/2006/relationships/chart" Target="../charts/chart165.xml"/><Relationship Id="rId4" Type="http://schemas.openxmlformats.org/officeDocument/2006/relationships/chart" Target="../charts/chart164.xml"/><Relationship Id="rId9" Type="http://schemas.openxmlformats.org/officeDocument/2006/relationships/chart" Target="../charts/chart169.xml"/></Relationships>
</file>

<file path=xl/drawings/_rels/drawing22.xml.rels><?xml version="1.0" encoding="UTF-8" standalone="yes"?>
<Relationships xmlns="http://schemas.openxmlformats.org/package/2006/relationships"><Relationship Id="rId8" Type="http://schemas.openxmlformats.org/officeDocument/2006/relationships/chart" Target="../charts/chart177.xml"/><Relationship Id="rId3" Type="http://schemas.openxmlformats.org/officeDocument/2006/relationships/chart" Target="../charts/chart172.xml"/><Relationship Id="rId7" Type="http://schemas.openxmlformats.org/officeDocument/2006/relationships/chart" Target="../charts/chart176.xml"/><Relationship Id="rId2" Type="http://schemas.openxmlformats.org/officeDocument/2006/relationships/chart" Target="../charts/chart171.xml"/><Relationship Id="rId1" Type="http://schemas.openxmlformats.org/officeDocument/2006/relationships/chart" Target="../charts/chart170.xml"/><Relationship Id="rId6" Type="http://schemas.openxmlformats.org/officeDocument/2006/relationships/chart" Target="../charts/chart175.xml"/><Relationship Id="rId5" Type="http://schemas.openxmlformats.org/officeDocument/2006/relationships/chart" Target="../charts/chart174.xml"/><Relationship Id="rId4" Type="http://schemas.openxmlformats.org/officeDocument/2006/relationships/chart" Target="../charts/chart173.xml"/><Relationship Id="rId9" Type="http://schemas.openxmlformats.org/officeDocument/2006/relationships/chart" Target="../charts/chart178.xml"/></Relationships>
</file>

<file path=xl/drawings/_rels/drawing23.xml.rels><?xml version="1.0" encoding="UTF-8" standalone="yes"?>
<Relationships xmlns="http://schemas.openxmlformats.org/package/2006/relationships"><Relationship Id="rId8" Type="http://schemas.openxmlformats.org/officeDocument/2006/relationships/chart" Target="../charts/chart186.xml"/><Relationship Id="rId3" Type="http://schemas.openxmlformats.org/officeDocument/2006/relationships/chart" Target="../charts/chart181.xml"/><Relationship Id="rId7" Type="http://schemas.openxmlformats.org/officeDocument/2006/relationships/chart" Target="../charts/chart185.xml"/><Relationship Id="rId2" Type="http://schemas.openxmlformats.org/officeDocument/2006/relationships/chart" Target="../charts/chart180.xml"/><Relationship Id="rId1" Type="http://schemas.openxmlformats.org/officeDocument/2006/relationships/chart" Target="../charts/chart179.xml"/><Relationship Id="rId6" Type="http://schemas.openxmlformats.org/officeDocument/2006/relationships/chart" Target="../charts/chart184.xml"/><Relationship Id="rId5" Type="http://schemas.openxmlformats.org/officeDocument/2006/relationships/chart" Target="../charts/chart183.xml"/><Relationship Id="rId4" Type="http://schemas.openxmlformats.org/officeDocument/2006/relationships/chart" Target="../charts/chart182.xml"/><Relationship Id="rId9" Type="http://schemas.openxmlformats.org/officeDocument/2006/relationships/chart" Target="../charts/chart187.xml"/></Relationships>
</file>

<file path=xl/drawings/_rels/drawing24.xml.rels><?xml version="1.0" encoding="UTF-8" standalone="yes"?>
<Relationships xmlns="http://schemas.openxmlformats.org/package/2006/relationships"><Relationship Id="rId8" Type="http://schemas.openxmlformats.org/officeDocument/2006/relationships/chart" Target="../charts/chart195.xml"/><Relationship Id="rId3" Type="http://schemas.openxmlformats.org/officeDocument/2006/relationships/chart" Target="../charts/chart190.xml"/><Relationship Id="rId7" Type="http://schemas.openxmlformats.org/officeDocument/2006/relationships/chart" Target="../charts/chart194.xml"/><Relationship Id="rId2" Type="http://schemas.openxmlformats.org/officeDocument/2006/relationships/chart" Target="../charts/chart189.xml"/><Relationship Id="rId1" Type="http://schemas.openxmlformats.org/officeDocument/2006/relationships/chart" Target="../charts/chart188.xml"/><Relationship Id="rId6" Type="http://schemas.openxmlformats.org/officeDocument/2006/relationships/chart" Target="../charts/chart193.xml"/><Relationship Id="rId5" Type="http://schemas.openxmlformats.org/officeDocument/2006/relationships/chart" Target="../charts/chart192.xml"/><Relationship Id="rId4" Type="http://schemas.openxmlformats.org/officeDocument/2006/relationships/chart" Target="../charts/chart191.xml"/><Relationship Id="rId9" Type="http://schemas.openxmlformats.org/officeDocument/2006/relationships/chart" Target="../charts/chart196.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4" Type="http://schemas.openxmlformats.org/officeDocument/2006/relationships/chart" Target="../charts/chart12.xml"/></Relationships>
</file>

<file path=xl/drawings/_rels/drawing4.xml.rels><?xml version="1.0" encoding="UTF-8" standalone="yes"?>
<Relationships xmlns="http://schemas.openxmlformats.org/package/2006/relationships"><Relationship Id="rId8" Type="http://schemas.openxmlformats.org/officeDocument/2006/relationships/chart" Target="../charts/chart20.xml"/><Relationship Id="rId3" Type="http://schemas.openxmlformats.org/officeDocument/2006/relationships/chart" Target="../charts/chart15.xml"/><Relationship Id="rId7" Type="http://schemas.openxmlformats.org/officeDocument/2006/relationships/chart" Target="../charts/chart19.xml"/><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8.xml"/><Relationship Id="rId5" Type="http://schemas.openxmlformats.org/officeDocument/2006/relationships/chart" Target="../charts/chart17.xml"/><Relationship Id="rId4" Type="http://schemas.openxmlformats.org/officeDocument/2006/relationships/chart" Target="../charts/chart16.xml"/><Relationship Id="rId9" Type="http://schemas.openxmlformats.org/officeDocument/2006/relationships/chart" Target="../charts/chart21.xml"/></Relationships>
</file>

<file path=xl/drawings/_rels/drawing5.xml.rels><?xml version="1.0" encoding="UTF-8" standalone="yes"?>
<Relationships xmlns="http://schemas.openxmlformats.org/package/2006/relationships"><Relationship Id="rId8" Type="http://schemas.openxmlformats.org/officeDocument/2006/relationships/chart" Target="../charts/chart29.xml"/><Relationship Id="rId3" Type="http://schemas.openxmlformats.org/officeDocument/2006/relationships/chart" Target="../charts/chart24.xml"/><Relationship Id="rId7" Type="http://schemas.openxmlformats.org/officeDocument/2006/relationships/chart" Target="../charts/chart28.xml"/><Relationship Id="rId2" Type="http://schemas.openxmlformats.org/officeDocument/2006/relationships/chart" Target="../charts/chart23.xml"/><Relationship Id="rId1" Type="http://schemas.openxmlformats.org/officeDocument/2006/relationships/chart" Target="../charts/chart22.xml"/><Relationship Id="rId6" Type="http://schemas.openxmlformats.org/officeDocument/2006/relationships/chart" Target="../charts/chart27.xml"/><Relationship Id="rId5" Type="http://schemas.openxmlformats.org/officeDocument/2006/relationships/chart" Target="../charts/chart26.xml"/><Relationship Id="rId4" Type="http://schemas.openxmlformats.org/officeDocument/2006/relationships/chart" Target="../charts/chart25.xml"/><Relationship Id="rId9" Type="http://schemas.openxmlformats.org/officeDocument/2006/relationships/chart" Target="../charts/chart30.xml"/></Relationships>
</file>

<file path=xl/drawings/_rels/drawing6.xml.rels><?xml version="1.0" encoding="UTF-8" standalone="yes"?>
<Relationships xmlns="http://schemas.openxmlformats.org/package/2006/relationships"><Relationship Id="rId8" Type="http://schemas.openxmlformats.org/officeDocument/2006/relationships/chart" Target="../charts/chart38.xml"/><Relationship Id="rId3" Type="http://schemas.openxmlformats.org/officeDocument/2006/relationships/chart" Target="../charts/chart33.xml"/><Relationship Id="rId7" Type="http://schemas.openxmlformats.org/officeDocument/2006/relationships/chart" Target="../charts/chart37.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chart" Target="../charts/chart36.xml"/><Relationship Id="rId5" Type="http://schemas.openxmlformats.org/officeDocument/2006/relationships/chart" Target="../charts/chart35.xml"/><Relationship Id="rId4" Type="http://schemas.openxmlformats.org/officeDocument/2006/relationships/chart" Target="../charts/chart34.xml"/><Relationship Id="rId9" Type="http://schemas.openxmlformats.org/officeDocument/2006/relationships/chart" Target="../charts/chart39.xml"/></Relationships>
</file>

<file path=xl/drawings/_rels/drawing7.xml.rels><?xml version="1.0" encoding="UTF-8" standalone="yes"?>
<Relationships xmlns="http://schemas.openxmlformats.org/package/2006/relationships"><Relationship Id="rId8" Type="http://schemas.openxmlformats.org/officeDocument/2006/relationships/chart" Target="../charts/chart47.xml"/><Relationship Id="rId3" Type="http://schemas.openxmlformats.org/officeDocument/2006/relationships/chart" Target="../charts/chart42.xml"/><Relationship Id="rId7" Type="http://schemas.openxmlformats.org/officeDocument/2006/relationships/chart" Target="../charts/chart46.xml"/><Relationship Id="rId2" Type="http://schemas.openxmlformats.org/officeDocument/2006/relationships/chart" Target="../charts/chart41.xml"/><Relationship Id="rId1" Type="http://schemas.openxmlformats.org/officeDocument/2006/relationships/chart" Target="../charts/chart40.xml"/><Relationship Id="rId6" Type="http://schemas.openxmlformats.org/officeDocument/2006/relationships/chart" Target="../charts/chart45.xml"/><Relationship Id="rId5" Type="http://schemas.openxmlformats.org/officeDocument/2006/relationships/chart" Target="../charts/chart44.xml"/><Relationship Id="rId4" Type="http://schemas.openxmlformats.org/officeDocument/2006/relationships/chart" Target="../charts/chart43.xml"/><Relationship Id="rId9" Type="http://schemas.openxmlformats.org/officeDocument/2006/relationships/chart" Target="../charts/chart48.xml"/></Relationships>
</file>

<file path=xl/drawings/_rels/drawing8.xml.rels><?xml version="1.0" encoding="UTF-8" standalone="yes"?>
<Relationships xmlns="http://schemas.openxmlformats.org/package/2006/relationships"><Relationship Id="rId3" Type="http://schemas.openxmlformats.org/officeDocument/2006/relationships/chart" Target="../charts/chart51.xml"/><Relationship Id="rId2" Type="http://schemas.openxmlformats.org/officeDocument/2006/relationships/chart" Target="../charts/chart50.xml"/><Relationship Id="rId1" Type="http://schemas.openxmlformats.org/officeDocument/2006/relationships/chart" Target="../charts/chart49.xml"/><Relationship Id="rId4" Type="http://schemas.openxmlformats.org/officeDocument/2006/relationships/chart" Target="../charts/chart52.xml"/></Relationships>
</file>

<file path=xl/drawings/_rels/drawing9.xml.rels><?xml version="1.0" encoding="UTF-8" standalone="yes"?>
<Relationships xmlns="http://schemas.openxmlformats.org/package/2006/relationships"><Relationship Id="rId8" Type="http://schemas.openxmlformats.org/officeDocument/2006/relationships/chart" Target="../charts/chart60.xml"/><Relationship Id="rId3" Type="http://schemas.openxmlformats.org/officeDocument/2006/relationships/chart" Target="../charts/chart55.xml"/><Relationship Id="rId7" Type="http://schemas.openxmlformats.org/officeDocument/2006/relationships/chart" Target="../charts/chart59.xml"/><Relationship Id="rId2" Type="http://schemas.openxmlformats.org/officeDocument/2006/relationships/chart" Target="../charts/chart54.xml"/><Relationship Id="rId1" Type="http://schemas.openxmlformats.org/officeDocument/2006/relationships/chart" Target="../charts/chart53.xml"/><Relationship Id="rId6" Type="http://schemas.openxmlformats.org/officeDocument/2006/relationships/chart" Target="../charts/chart58.xml"/><Relationship Id="rId5" Type="http://schemas.openxmlformats.org/officeDocument/2006/relationships/chart" Target="../charts/chart57.xml"/><Relationship Id="rId4" Type="http://schemas.openxmlformats.org/officeDocument/2006/relationships/chart" Target="../charts/chart56.xml"/><Relationship Id="rId9" Type="http://schemas.openxmlformats.org/officeDocument/2006/relationships/chart" Target="../charts/chart61.xml"/></Relationships>
</file>

<file path=xl/drawings/drawing1.xml><?xml version="1.0" encoding="utf-8"?>
<xdr:wsDr xmlns:xdr="http://schemas.openxmlformats.org/drawingml/2006/spreadsheetDrawing" xmlns:a="http://schemas.openxmlformats.org/drawingml/2006/main">
  <xdr:twoCellAnchor>
    <xdr:from>
      <xdr:col>16</xdr:col>
      <xdr:colOff>30844</xdr:colOff>
      <xdr:row>54</xdr:row>
      <xdr:rowOff>8713</xdr:rowOff>
    </xdr:from>
    <xdr:to>
      <xdr:col>35</xdr:col>
      <xdr:colOff>11339</xdr:colOff>
      <xdr:row>79</xdr:row>
      <xdr:rowOff>159315</xdr:rowOff>
    </xdr:to>
    <xdr:graphicFrame macro="">
      <xdr:nvGraphicFramePr>
        <xdr:cNvPr id="2" name="Chart 1">
          <a:extLst>
            <a:ext uri="{FF2B5EF4-FFF2-40B4-BE49-F238E27FC236}">
              <a16:creationId xmlns:a16="http://schemas.microsoft.com/office/drawing/2014/main" id="{2545F452-B6A4-49E9-AC20-03AB24828C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7347</xdr:colOff>
      <xdr:row>7</xdr:row>
      <xdr:rowOff>120649</xdr:rowOff>
    </xdr:from>
    <xdr:to>
      <xdr:col>34</xdr:col>
      <xdr:colOff>598487</xdr:colOff>
      <xdr:row>34</xdr:row>
      <xdr:rowOff>3174</xdr:rowOff>
    </xdr:to>
    <xdr:graphicFrame macro="">
      <xdr:nvGraphicFramePr>
        <xdr:cNvPr id="3" name="Chart 2">
          <a:extLst>
            <a:ext uri="{FF2B5EF4-FFF2-40B4-BE49-F238E27FC236}">
              <a16:creationId xmlns:a16="http://schemas.microsoft.com/office/drawing/2014/main" id="{1CB72DCA-6500-49EE-90DD-E549C41FD0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8281</xdr:colOff>
      <xdr:row>31</xdr:row>
      <xdr:rowOff>0</xdr:rowOff>
    </xdr:from>
    <xdr:to>
      <xdr:col>34</xdr:col>
      <xdr:colOff>596900</xdr:colOff>
      <xdr:row>57</xdr:row>
      <xdr:rowOff>10092</xdr:rowOff>
    </xdr:to>
    <xdr:graphicFrame macro="">
      <xdr:nvGraphicFramePr>
        <xdr:cNvPr id="4" name="Chart 3">
          <a:extLst>
            <a:ext uri="{FF2B5EF4-FFF2-40B4-BE49-F238E27FC236}">
              <a16:creationId xmlns:a16="http://schemas.microsoft.com/office/drawing/2014/main" id="{8425DDC5-83FF-448B-9B8E-7A9E6014EA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157716</xdr:colOff>
      <xdr:row>7</xdr:row>
      <xdr:rowOff>102782</xdr:rowOff>
    </xdr:from>
    <xdr:to>
      <xdr:col>17</xdr:col>
      <xdr:colOff>63500</xdr:colOff>
      <xdr:row>10</xdr:row>
      <xdr:rowOff>36435</xdr:rowOff>
    </xdr:to>
    <xdr:sp macro="" textlink="">
      <xdr:nvSpPr>
        <xdr:cNvPr id="7" name="TextBox 6">
          <a:extLst>
            <a:ext uri="{FF2B5EF4-FFF2-40B4-BE49-F238E27FC236}">
              <a16:creationId xmlns:a16="http://schemas.microsoft.com/office/drawing/2014/main" id="{A6631C4E-72F9-4B27-BA2E-3D2BE13A53BA}"/>
            </a:ext>
          </a:extLst>
        </xdr:cNvPr>
        <xdr:cNvSpPr txBox="1"/>
      </xdr:nvSpPr>
      <xdr:spPr>
        <a:xfrm>
          <a:off x="16731216" y="1515657"/>
          <a:ext cx="509034" cy="45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latin typeface="Verdana Pro" panose="020B0604030504040204" pitchFamily="34" charset="0"/>
              <a:cs typeface="Times New Roman" panose="02020603050405020304" pitchFamily="18" charset="0"/>
            </a:rPr>
            <a:t>A)</a:t>
          </a:r>
          <a:endParaRPr lang="en-NL" sz="1400" b="1">
            <a:latin typeface="Verdana Pro" panose="020B0604030504040204" pitchFamily="34" charset="0"/>
            <a:cs typeface="Times New Roman" panose="02020603050405020304" pitchFamily="18" charset="0"/>
          </a:endParaRPr>
        </a:p>
      </xdr:txBody>
    </xdr:sp>
    <xdr:clientData/>
  </xdr:twoCellAnchor>
  <xdr:twoCellAnchor>
    <xdr:from>
      <xdr:col>16</xdr:col>
      <xdr:colOff>31296</xdr:colOff>
      <xdr:row>80</xdr:row>
      <xdr:rowOff>8617</xdr:rowOff>
    </xdr:from>
    <xdr:to>
      <xdr:col>35</xdr:col>
      <xdr:colOff>27214</xdr:colOff>
      <xdr:row>105</xdr:row>
      <xdr:rowOff>102248</xdr:rowOff>
    </xdr:to>
    <xdr:graphicFrame macro="">
      <xdr:nvGraphicFramePr>
        <xdr:cNvPr id="9" name="Chart 8">
          <a:extLst>
            <a:ext uri="{FF2B5EF4-FFF2-40B4-BE49-F238E27FC236}">
              <a16:creationId xmlns:a16="http://schemas.microsoft.com/office/drawing/2014/main" id="{1C5E1675-4EF0-45B3-B60F-6CB15C3B4F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127000</xdr:colOff>
      <xdr:row>54</xdr:row>
      <xdr:rowOff>30693</xdr:rowOff>
    </xdr:from>
    <xdr:to>
      <xdr:col>16</xdr:col>
      <xdr:colOff>535933</xdr:colOff>
      <xdr:row>56</xdr:row>
      <xdr:rowOff>135098</xdr:rowOff>
    </xdr:to>
    <xdr:sp macro="" textlink="">
      <xdr:nvSpPr>
        <xdr:cNvPr id="8" name="TextBox 6">
          <a:extLst>
            <a:ext uri="{FF2B5EF4-FFF2-40B4-BE49-F238E27FC236}">
              <a16:creationId xmlns:a16="http://schemas.microsoft.com/office/drawing/2014/main" id="{102CD30A-15CF-4A46-A993-43994809C089}"/>
            </a:ext>
          </a:extLst>
        </xdr:cNvPr>
        <xdr:cNvSpPr txBox="1"/>
      </xdr:nvSpPr>
      <xdr:spPr>
        <a:xfrm>
          <a:off x="16700500" y="9698568"/>
          <a:ext cx="408933" cy="4536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n-GB" sz="1200" b="1">
              <a:latin typeface="Verdana Pro" panose="020B0604030504040204" pitchFamily="34" charset="0"/>
              <a:cs typeface="Times New Roman" panose="02020603050405020304" pitchFamily="18" charset="0"/>
            </a:rPr>
            <a:t>C)</a:t>
          </a:r>
          <a:endParaRPr lang="en-NL" sz="1200" b="1">
            <a:latin typeface="Verdana Pro" panose="020B0604030504040204" pitchFamily="34" charset="0"/>
            <a:cs typeface="Times New Roman" panose="02020603050405020304" pitchFamily="18" charset="0"/>
          </a:endParaRPr>
        </a:p>
      </xdr:txBody>
    </xdr:sp>
    <xdr:clientData/>
  </xdr:twoCellAnchor>
  <xdr:twoCellAnchor>
    <xdr:from>
      <xdr:col>16</xdr:col>
      <xdr:colOff>133903</xdr:colOff>
      <xdr:row>31</xdr:row>
      <xdr:rowOff>18644</xdr:rowOff>
    </xdr:from>
    <xdr:to>
      <xdr:col>17</xdr:col>
      <xdr:colOff>39687</xdr:colOff>
      <xdr:row>33</xdr:row>
      <xdr:rowOff>121366</xdr:rowOff>
    </xdr:to>
    <xdr:sp macro="" textlink="">
      <xdr:nvSpPr>
        <xdr:cNvPr id="11" name="TextBox 10">
          <a:extLst>
            <a:ext uri="{FF2B5EF4-FFF2-40B4-BE49-F238E27FC236}">
              <a16:creationId xmlns:a16="http://schemas.microsoft.com/office/drawing/2014/main" id="{A8EB7F21-CFA8-4D4B-AF89-542DC20C3686}"/>
            </a:ext>
          </a:extLst>
        </xdr:cNvPr>
        <xdr:cNvSpPr txBox="1"/>
      </xdr:nvSpPr>
      <xdr:spPr>
        <a:xfrm>
          <a:off x="16731216" y="5721738"/>
          <a:ext cx="513002" cy="4599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latin typeface="Verdana Pro" panose="020B0604030504040204" pitchFamily="34" charset="0"/>
              <a:cs typeface="Times New Roman" panose="02020603050405020304" pitchFamily="18" charset="0"/>
            </a:rPr>
            <a:t>B)</a:t>
          </a:r>
          <a:endParaRPr lang="en-NL" sz="1400" b="1">
            <a:latin typeface="Verdana Pro" panose="020B0604030504040204" pitchFamily="34" charset="0"/>
            <a:cs typeface="Times New Roman" panose="02020603050405020304" pitchFamily="18" charset="0"/>
          </a:endParaRPr>
        </a:p>
      </xdr:txBody>
    </xdr:sp>
    <xdr:clientData/>
  </xdr:twoCellAnchor>
  <xdr:twoCellAnchor>
    <xdr:from>
      <xdr:col>11</xdr:col>
      <xdr:colOff>568325</xdr:colOff>
      <xdr:row>79</xdr:row>
      <xdr:rowOff>142421</xdr:rowOff>
    </xdr:from>
    <xdr:to>
      <xdr:col>12</xdr:col>
      <xdr:colOff>235215</xdr:colOff>
      <xdr:row>82</xdr:row>
      <xdr:rowOff>63583</xdr:rowOff>
    </xdr:to>
    <xdr:sp macro="" textlink="">
      <xdr:nvSpPr>
        <xdr:cNvPr id="12" name="TextBox 11">
          <a:extLst>
            <a:ext uri="{FF2B5EF4-FFF2-40B4-BE49-F238E27FC236}">
              <a16:creationId xmlns:a16="http://schemas.microsoft.com/office/drawing/2014/main" id="{C1819A34-18B7-4371-A25C-200F34574FE7}"/>
            </a:ext>
          </a:extLst>
        </xdr:cNvPr>
        <xdr:cNvSpPr txBox="1"/>
      </xdr:nvSpPr>
      <xdr:spPr>
        <a:xfrm>
          <a:off x="14365968" y="14457135"/>
          <a:ext cx="415283" cy="4518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n-GB" sz="1200" b="1">
              <a:latin typeface="Verdana Pro" panose="020B0604030504040204" pitchFamily="34" charset="0"/>
              <a:cs typeface="Times New Roman" panose="02020603050405020304" pitchFamily="18" charset="0"/>
            </a:rPr>
            <a:t>A)</a:t>
          </a:r>
          <a:endParaRPr lang="en-NL" sz="1200" b="1">
            <a:latin typeface="Verdana Pro" panose="020B0604030504040204" pitchFamily="34" charset="0"/>
            <a:cs typeface="Times New Roman" panose="02020603050405020304" pitchFamily="18"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34</xdr:col>
      <xdr:colOff>0</xdr:colOff>
      <xdr:row>19</xdr:row>
      <xdr:rowOff>0</xdr:rowOff>
    </xdr:from>
    <xdr:to>
      <xdr:col>46</xdr:col>
      <xdr:colOff>412750</xdr:colOff>
      <xdr:row>40</xdr:row>
      <xdr:rowOff>134938</xdr:rowOff>
    </xdr:to>
    <xdr:graphicFrame macro="">
      <xdr:nvGraphicFramePr>
        <xdr:cNvPr id="8" name="Chart 7">
          <a:extLst>
            <a:ext uri="{FF2B5EF4-FFF2-40B4-BE49-F238E27FC236}">
              <a16:creationId xmlns:a16="http://schemas.microsoft.com/office/drawing/2014/main" id="{C795B7FE-5485-4C3C-B4AE-57AC7C147C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0</xdr:colOff>
      <xdr:row>59</xdr:row>
      <xdr:rowOff>0</xdr:rowOff>
    </xdr:from>
    <xdr:to>
      <xdr:col>46</xdr:col>
      <xdr:colOff>406400</xdr:colOff>
      <xdr:row>80</xdr:row>
      <xdr:rowOff>134938</xdr:rowOff>
    </xdr:to>
    <xdr:graphicFrame macro="">
      <xdr:nvGraphicFramePr>
        <xdr:cNvPr id="10" name="Chart 9">
          <a:extLst>
            <a:ext uri="{FF2B5EF4-FFF2-40B4-BE49-F238E27FC236}">
              <a16:creationId xmlns:a16="http://schemas.microsoft.com/office/drawing/2014/main" id="{F288959F-49CB-4EB0-8665-9920622B44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xdr:col>
      <xdr:colOff>0</xdr:colOff>
      <xdr:row>99</xdr:row>
      <xdr:rowOff>0</xdr:rowOff>
    </xdr:from>
    <xdr:to>
      <xdr:col>46</xdr:col>
      <xdr:colOff>406400</xdr:colOff>
      <xdr:row>120</xdr:row>
      <xdr:rowOff>134938</xdr:rowOff>
    </xdr:to>
    <xdr:graphicFrame macro="">
      <xdr:nvGraphicFramePr>
        <xdr:cNvPr id="11" name="Chart 10">
          <a:extLst>
            <a:ext uri="{FF2B5EF4-FFF2-40B4-BE49-F238E27FC236}">
              <a16:creationId xmlns:a16="http://schemas.microsoft.com/office/drawing/2014/main" id="{73C3E983-C581-491A-8CFD-3DC3747D53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0</xdr:colOff>
      <xdr:row>141</xdr:row>
      <xdr:rowOff>0</xdr:rowOff>
    </xdr:from>
    <xdr:to>
      <xdr:col>46</xdr:col>
      <xdr:colOff>406615</xdr:colOff>
      <xdr:row>162</xdr:row>
      <xdr:rowOff>85268</xdr:rowOff>
    </xdr:to>
    <xdr:graphicFrame macro="">
      <xdr:nvGraphicFramePr>
        <xdr:cNvPr id="9" name="Chart 8">
          <a:extLst>
            <a:ext uri="{FF2B5EF4-FFF2-40B4-BE49-F238E27FC236}">
              <a16:creationId xmlns:a16="http://schemas.microsoft.com/office/drawing/2014/main" id="{5B8D72EE-A59B-4EFE-A22E-2321639A6D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34</xdr:col>
      <xdr:colOff>0</xdr:colOff>
      <xdr:row>182</xdr:row>
      <xdr:rowOff>0</xdr:rowOff>
    </xdr:from>
    <xdr:to>
      <xdr:col>46</xdr:col>
      <xdr:colOff>406615</xdr:colOff>
      <xdr:row>203</xdr:row>
      <xdr:rowOff>85268</xdr:rowOff>
    </xdr:to>
    <xdr:graphicFrame macro="">
      <xdr:nvGraphicFramePr>
        <xdr:cNvPr id="15" name="Chart 14">
          <a:extLst>
            <a:ext uri="{FF2B5EF4-FFF2-40B4-BE49-F238E27FC236}">
              <a16:creationId xmlns:a16="http://schemas.microsoft.com/office/drawing/2014/main" id="{E34A1153-199D-4F69-8ABC-06D9E10A3C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34</xdr:col>
      <xdr:colOff>0</xdr:colOff>
      <xdr:row>223</xdr:row>
      <xdr:rowOff>0</xdr:rowOff>
    </xdr:from>
    <xdr:to>
      <xdr:col>46</xdr:col>
      <xdr:colOff>406615</xdr:colOff>
      <xdr:row>244</xdr:row>
      <xdr:rowOff>85268</xdr:rowOff>
    </xdr:to>
    <xdr:graphicFrame macro="">
      <xdr:nvGraphicFramePr>
        <xdr:cNvPr id="16" name="Chart 15">
          <a:extLst>
            <a:ext uri="{FF2B5EF4-FFF2-40B4-BE49-F238E27FC236}">
              <a16:creationId xmlns:a16="http://schemas.microsoft.com/office/drawing/2014/main" id="{77E2B864-4A0A-4CD4-9D0F-EEA0458CDA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34</xdr:col>
      <xdr:colOff>0</xdr:colOff>
      <xdr:row>283</xdr:row>
      <xdr:rowOff>0</xdr:rowOff>
    </xdr:from>
    <xdr:to>
      <xdr:col>46</xdr:col>
      <xdr:colOff>406615</xdr:colOff>
      <xdr:row>305</xdr:row>
      <xdr:rowOff>85268</xdr:rowOff>
    </xdr:to>
    <xdr:graphicFrame macro="">
      <xdr:nvGraphicFramePr>
        <xdr:cNvPr id="17" name="Chart 16">
          <a:extLst>
            <a:ext uri="{FF2B5EF4-FFF2-40B4-BE49-F238E27FC236}">
              <a16:creationId xmlns:a16="http://schemas.microsoft.com/office/drawing/2014/main" id="{B205CC5B-5C8A-4F53-B2C5-1AD5F503FF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34</xdr:col>
      <xdr:colOff>0</xdr:colOff>
      <xdr:row>343</xdr:row>
      <xdr:rowOff>0</xdr:rowOff>
    </xdr:from>
    <xdr:to>
      <xdr:col>46</xdr:col>
      <xdr:colOff>406615</xdr:colOff>
      <xdr:row>365</xdr:row>
      <xdr:rowOff>85268</xdr:rowOff>
    </xdr:to>
    <xdr:graphicFrame macro="">
      <xdr:nvGraphicFramePr>
        <xdr:cNvPr id="18" name="Chart 17">
          <a:extLst>
            <a:ext uri="{FF2B5EF4-FFF2-40B4-BE49-F238E27FC236}">
              <a16:creationId xmlns:a16="http://schemas.microsoft.com/office/drawing/2014/main" id="{B15D4E04-87C6-46D3-A677-43EF138849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34</xdr:col>
      <xdr:colOff>0</xdr:colOff>
      <xdr:row>404</xdr:row>
      <xdr:rowOff>0</xdr:rowOff>
    </xdr:from>
    <xdr:to>
      <xdr:col>46</xdr:col>
      <xdr:colOff>406615</xdr:colOff>
      <xdr:row>426</xdr:row>
      <xdr:rowOff>85268</xdr:rowOff>
    </xdr:to>
    <xdr:graphicFrame macro="">
      <xdr:nvGraphicFramePr>
        <xdr:cNvPr id="19" name="Chart 18">
          <a:extLst>
            <a:ext uri="{FF2B5EF4-FFF2-40B4-BE49-F238E27FC236}">
              <a16:creationId xmlns:a16="http://schemas.microsoft.com/office/drawing/2014/main" id="{AC4CEAD1-C62F-4A5C-B723-2CECA837DE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34</xdr:col>
      <xdr:colOff>0</xdr:colOff>
      <xdr:row>19</xdr:row>
      <xdr:rowOff>0</xdr:rowOff>
    </xdr:from>
    <xdr:to>
      <xdr:col>46</xdr:col>
      <xdr:colOff>412965</xdr:colOff>
      <xdr:row>40</xdr:row>
      <xdr:rowOff>85268</xdr:rowOff>
    </xdr:to>
    <xdr:graphicFrame macro="">
      <xdr:nvGraphicFramePr>
        <xdr:cNvPr id="2" name="Chart 1">
          <a:extLst>
            <a:ext uri="{FF2B5EF4-FFF2-40B4-BE49-F238E27FC236}">
              <a16:creationId xmlns:a16="http://schemas.microsoft.com/office/drawing/2014/main" id="{0BE0ACA6-E829-4398-A0E5-CDBF0CE1DC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0</xdr:colOff>
      <xdr:row>59</xdr:row>
      <xdr:rowOff>0</xdr:rowOff>
    </xdr:from>
    <xdr:to>
      <xdr:col>46</xdr:col>
      <xdr:colOff>406615</xdr:colOff>
      <xdr:row>80</xdr:row>
      <xdr:rowOff>85268</xdr:rowOff>
    </xdr:to>
    <xdr:graphicFrame macro="">
      <xdr:nvGraphicFramePr>
        <xdr:cNvPr id="3" name="Chart 2">
          <a:extLst>
            <a:ext uri="{FF2B5EF4-FFF2-40B4-BE49-F238E27FC236}">
              <a16:creationId xmlns:a16="http://schemas.microsoft.com/office/drawing/2014/main" id="{AAB2B576-EBFE-4628-9485-AD6A00268F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xdr:col>
      <xdr:colOff>0</xdr:colOff>
      <xdr:row>99</xdr:row>
      <xdr:rowOff>0</xdr:rowOff>
    </xdr:from>
    <xdr:to>
      <xdr:col>46</xdr:col>
      <xdr:colOff>406615</xdr:colOff>
      <xdr:row>120</xdr:row>
      <xdr:rowOff>85268</xdr:rowOff>
    </xdr:to>
    <xdr:graphicFrame macro="">
      <xdr:nvGraphicFramePr>
        <xdr:cNvPr id="4" name="Chart 3">
          <a:extLst>
            <a:ext uri="{FF2B5EF4-FFF2-40B4-BE49-F238E27FC236}">
              <a16:creationId xmlns:a16="http://schemas.microsoft.com/office/drawing/2014/main" id="{15EEF176-F0DF-4162-9F13-F9FD8A977F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0</xdr:colOff>
      <xdr:row>141</xdr:row>
      <xdr:rowOff>0</xdr:rowOff>
    </xdr:from>
    <xdr:to>
      <xdr:col>46</xdr:col>
      <xdr:colOff>406615</xdr:colOff>
      <xdr:row>162</xdr:row>
      <xdr:rowOff>85268</xdr:rowOff>
    </xdr:to>
    <xdr:graphicFrame macro="">
      <xdr:nvGraphicFramePr>
        <xdr:cNvPr id="8" name="Chart 7">
          <a:extLst>
            <a:ext uri="{FF2B5EF4-FFF2-40B4-BE49-F238E27FC236}">
              <a16:creationId xmlns:a16="http://schemas.microsoft.com/office/drawing/2014/main" id="{B2090F3C-AF16-4D55-8A34-E51C3836EE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34</xdr:col>
      <xdr:colOff>0</xdr:colOff>
      <xdr:row>182</xdr:row>
      <xdr:rowOff>0</xdr:rowOff>
    </xdr:from>
    <xdr:to>
      <xdr:col>46</xdr:col>
      <xdr:colOff>406615</xdr:colOff>
      <xdr:row>203</xdr:row>
      <xdr:rowOff>85268</xdr:rowOff>
    </xdr:to>
    <xdr:graphicFrame macro="">
      <xdr:nvGraphicFramePr>
        <xdr:cNvPr id="9" name="Chart 8">
          <a:extLst>
            <a:ext uri="{FF2B5EF4-FFF2-40B4-BE49-F238E27FC236}">
              <a16:creationId xmlns:a16="http://schemas.microsoft.com/office/drawing/2014/main" id="{5BF767C6-AFE4-4CCC-BBDF-5B5FAF9796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34</xdr:col>
      <xdr:colOff>0</xdr:colOff>
      <xdr:row>223</xdr:row>
      <xdr:rowOff>0</xdr:rowOff>
    </xdr:from>
    <xdr:to>
      <xdr:col>46</xdr:col>
      <xdr:colOff>406615</xdr:colOff>
      <xdr:row>244</xdr:row>
      <xdr:rowOff>85268</xdr:rowOff>
    </xdr:to>
    <xdr:graphicFrame macro="">
      <xdr:nvGraphicFramePr>
        <xdr:cNvPr id="10" name="Chart 9">
          <a:extLst>
            <a:ext uri="{FF2B5EF4-FFF2-40B4-BE49-F238E27FC236}">
              <a16:creationId xmlns:a16="http://schemas.microsoft.com/office/drawing/2014/main" id="{97DF0D8F-8F59-47B3-8345-5198081548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34</xdr:col>
      <xdr:colOff>0</xdr:colOff>
      <xdr:row>283</xdr:row>
      <xdr:rowOff>0</xdr:rowOff>
    </xdr:from>
    <xdr:to>
      <xdr:col>46</xdr:col>
      <xdr:colOff>406615</xdr:colOff>
      <xdr:row>305</xdr:row>
      <xdr:rowOff>85268</xdr:rowOff>
    </xdr:to>
    <xdr:graphicFrame macro="">
      <xdr:nvGraphicFramePr>
        <xdr:cNvPr id="11" name="Chart 10">
          <a:extLst>
            <a:ext uri="{FF2B5EF4-FFF2-40B4-BE49-F238E27FC236}">
              <a16:creationId xmlns:a16="http://schemas.microsoft.com/office/drawing/2014/main" id="{3ECF7305-46C2-4CF3-82B0-4406994BC4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34</xdr:col>
      <xdr:colOff>0</xdr:colOff>
      <xdr:row>343</xdr:row>
      <xdr:rowOff>0</xdr:rowOff>
    </xdr:from>
    <xdr:to>
      <xdr:col>46</xdr:col>
      <xdr:colOff>406615</xdr:colOff>
      <xdr:row>365</xdr:row>
      <xdr:rowOff>85268</xdr:rowOff>
    </xdr:to>
    <xdr:graphicFrame macro="">
      <xdr:nvGraphicFramePr>
        <xdr:cNvPr id="12" name="Chart 11">
          <a:extLst>
            <a:ext uri="{FF2B5EF4-FFF2-40B4-BE49-F238E27FC236}">
              <a16:creationId xmlns:a16="http://schemas.microsoft.com/office/drawing/2014/main" id="{2531ACF3-978C-4B7D-986E-F5FF4B4D46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34</xdr:col>
      <xdr:colOff>0</xdr:colOff>
      <xdr:row>404</xdr:row>
      <xdr:rowOff>0</xdr:rowOff>
    </xdr:from>
    <xdr:to>
      <xdr:col>46</xdr:col>
      <xdr:colOff>406615</xdr:colOff>
      <xdr:row>426</xdr:row>
      <xdr:rowOff>85268</xdr:rowOff>
    </xdr:to>
    <xdr:graphicFrame macro="">
      <xdr:nvGraphicFramePr>
        <xdr:cNvPr id="13" name="Chart 12">
          <a:extLst>
            <a:ext uri="{FF2B5EF4-FFF2-40B4-BE49-F238E27FC236}">
              <a16:creationId xmlns:a16="http://schemas.microsoft.com/office/drawing/2014/main" id="{E23876B8-DFF2-4AAB-B48E-90B2EA320A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34</xdr:col>
      <xdr:colOff>0</xdr:colOff>
      <xdr:row>19</xdr:row>
      <xdr:rowOff>0</xdr:rowOff>
    </xdr:from>
    <xdr:to>
      <xdr:col>46</xdr:col>
      <xdr:colOff>333375</xdr:colOff>
      <xdr:row>39</xdr:row>
      <xdr:rowOff>14288</xdr:rowOff>
    </xdr:to>
    <xdr:graphicFrame macro="">
      <xdr:nvGraphicFramePr>
        <xdr:cNvPr id="13" name="Chart 12">
          <a:extLst>
            <a:ext uri="{FF2B5EF4-FFF2-40B4-BE49-F238E27FC236}">
              <a16:creationId xmlns:a16="http://schemas.microsoft.com/office/drawing/2014/main" id="{409C2345-1203-4E7E-894D-17294102C9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19050</xdr:colOff>
      <xdr:row>59</xdr:row>
      <xdr:rowOff>19050</xdr:rowOff>
    </xdr:from>
    <xdr:to>
      <xdr:col>46</xdr:col>
      <xdr:colOff>349250</xdr:colOff>
      <xdr:row>79</xdr:row>
      <xdr:rowOff>30163</xdr:rowOff>
    </xdr:to>
    <xdr:graphicFrame macro="">
      <xdr:nvGraphicFramePr>
        <xdr:cNvPr id="14" name="Chart 13">
          <a:extLst>
            <a:ext uri="{FF2B5EF4-FFF2-40B4-BE49-F238E27FC236}">
              <a16:creationId xmlns:a16="http://schemas.microsoft.com/office/drawing/2014/main" id="{42389B7E-4100-40D8-A4CD-EF705A0CE4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xdr:col>
      <xdr:colOff>0</xdr:colOff>
      <xdr:row>99</xdr:row>
      <xdr:rowOff>0</xdr:rowOff>
    </xdr:from>
    <xdr:to>
      <xdr:col>46</xdr:col>
      <xdr:colOff>330200</xdr:colOff>
      <xdr:row>119</xdr:row>
      <xdr:rowOff>11113</xdr:rowOff>
    </xdr:to>
    <xdr:graphicFrame macro="">
      <xdr:nvGraphicFramePr>
        <xdr:cNvPr id="15" name="Chart 14">
          <a:extLst>
            <a:ext uri="{FF2B5EF4-FFF2-40B4-BE49-F238E27FC236}">
              <a16:creationId xmlns:a16="http://schemas.microsoft.com/office/drawing/2014/main" id="{FA93226B-8302-4B63-9006-B05D8C48AE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0</xdr:colOff>
      <xdr:row>141</xdr:row>
      <xdr:rowOff>0</xdr:rowOff>
    </xdr:from>
    <xdr:to>
      <xdr:col>46</xdr:col>
      <xdr:colOff>406615</xdr:colOff>
      <xdr:row>162</xdr:row>
      <xdr:rowOff>85268</xdr:rowOff>
    </xdr:to>
    <xdr:graphicFrame macro="">
      <xdr:nvGraphicFramePr>
        <xdr:cNvPr id="8" name="Chart 7">
          <a:extLst>
            <a:ext uri="{FF2B5EF4-FFF2-40B4-BE49-F238E27FC236}">
              <a16:creationId xmlns:a16="http://schemas.microsoft.com/office/drawing/2014/main" id="{F18FD62C-6BFA-4D50-B36B-F6EA6B641A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34</xdr:col>
      <xdr:colOff>0</xdr:colOff>
      <xdr:row>182</xdr:row>
      <xdr:rowOff>0</xdr:rowOff>
    </xdr:from>
    <xdr:to>
      <xdr:col>46</xdr:col>
      <xdr:colOff>406615</xdr:colOff>
      <xdr:row>203</xdr:row>
      <xdr:rowOff>85268</xdr:rowOff>
    </xdr:to>
    <xdr:graphicFrame macro="">
      <xdr:nvGraphicFramePr>
        <xdr:cNvPr id="9" name="Chart 8">
          <a:extLst>
            <a:ext uri="{FF2B5EF4-FFF2-40B4-BE49-F238E27FC236}">
              <a16:creationId xmlns:a16="http://schemas.microsoft.com/office/drawing/2014/main" id="{EC0AD46D-8699-43C1-A25E-FD3F25FF81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34</xdr:col>
      <xdr:colOff>0</xdr:colOff>
      <xdr:row>223</xdr:row>
      <xdr:rowOff>0</xdr:rowOff>
    </xdr:from>
    <xdr:to>
      <xdr:col>46</xdr:col>
      <xdr:colOff>406615</xdr:colOff>
      <xdr:row>244</xdr:row>
      <xdr:rowOff>85268</xdr:rowOff>
    </xdr:to>
    <xdr:graphicFrame macro="">
      <xdr:nvGraphicFramePr>
        <xdr:cNvPr id="10" name="Chart 9">
          <a:extLst>
            <a:ext uri="{FF2B5EF4-FFF2-40B4-BE49-F238E27FC236}">
              <a16:creationId xmlns:a16="http://schemas.microsoft.com/office/drawing/2014/main" id="{CAC99247-299F-4E47-82E3-5ABEE92F2B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34</xdr:col>
      <xdr:colOff>0</xdr:colOff>
      <xdr:row>283</xdr:row>
      <xdr:rowOff>0</xdr:rowOff>
    </xdr:from>
    <xdr:to>
      <xdr:col>46</xdr:col>
      <xdr:colOff>406615</xdr:colOff>
      <xdr:row>305</xdr:row>
      <xdr:rowOff>85268</xdr:rowOff>
    </xdr:to>
    <xdr:graphicFrame macro="">
      <xdr:nvGraphicFramePr>
        <xdr:cNvPr id="11" name="Chart 10">
          <a:extLst>
            <a:ext uri="{FF2B5EF4-FFF2-40B4-BE49-F238E27FC236}">
              <a16:creationId xmlns:a16="http://schemas.microsoft.com/office/drawing/2014/main" id="{FDB44113-0F13-4ECF-9F96-7A2C7B2A27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34</xdr:col>
      <xdr:colOff>0</xdr:colOff>
      <xdr:row>343</xdr:row>
      <xdr:rowOff>0</xdr:rowOff>
    </xdr:from>
    <xdr:to>
      <xdr:col>46</xdr:col>
      <xdr:colOff>406615</xdr:colOff>
      <xdr:row>365</xdr:row>
      <xdr:rowOff>85268</xdr:rowOff>
    </xdr:to>
    <xdr:graphicFrame macro="">
      <xdr:nvGraphicFramePr>
        <xdr:cNvPr id="12" name="Chart 11">
          <a:extLst>
            <a:ext uri="{FF2B5EF4-FFF2-40B4-BE49-F238E27FC236}">
              <a16:creationId xmlns:a16="http://schemas.microsoft.com/office/drawing/2014/main" id="{1D15DBC1-95DC-4FCC-AE9F-86C848597F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34</xdr:col>
      <xdr:colOff>0</xdr:colOff>
      <xdr:row>404</xdr:row>
      <xdr:rowOff>0</xdr:rowOff>
    </xdr:from>
    <xdr:to>
      <xdr:col>46</xdr:col>
      <xdr:colOff>406615</xdr:colOff>
      <xdr:row>426</xdr:row>
      <xdr:rowOff>85268</xdr:rowOff>
    </xdr:to>
    <xdr:graphicFrame macro="">
      <xdr:nvGraphicFramePr>
        <xdr:cNvPr id="19" name="Chart 18">
          <a:extLst>
            <a:ext uri="{FF2B5EF4-FFF2-40B4-BE49-F238E27FC236}">
              <a16:creationId xmlns:a16="http://schemas.microsoft.com/office/drawing/2014/main" id="{C038F5EC-390B-4477-B688-093DAD7320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33</xdr:col>
      <xdr:colOff>840440</xdr:colOff>
      <xdr:row>19</xdr:row>
      <xdr:rowOff>37353</xdr:rowOff>
    </xdr:from>
    <xdr:to>
      <xdr:col>46</xdr:col>
      <xdr:colOff>260723</xdr:colOff>
      <xdr:row>39</xdr:row>
      <xdr:rowOff>125786</xdr:rowOff>
    </xdr:to>
    <xdr:graphicFrame macro="">
      <xdr:nvGraphicFramePr>
        <xdr:cNvPr id="7" name="Chart 6">
          <a:extLst>
            <a:ext uri="{FF2B5EF4-FFF2-40B4-BE49-F238E27FC236}">
              <a16:creationId xmlns:a16="http://schemas.microsoft.com/office/drawing/2014/main" id="{E97CF166-5C43-47FC-B805-AD05DF1C5E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0</xdr:colOff>
      <xdr:row>59</xdr:row>
      <xdr:rowOff>0</xdr:rowOff>
    </xdr:from>
    <xdr:to>
      <xdr:col>46</xdr:col>
      <xdr:colOff>310403</xdr:colOff>
      <xdr:row>79</xdr:row>
      <xdr:rowOff>88434</xdr:rowOff>
    </xdr:to>
    <xdr:graphicFrame macro="">
      <xdr:nvGraphicFramePr>
        <xdr:cNvPr id="8" name="Chart 7">
          <a:extLst>
            <a:ext uri="{FF2B5EF4-FFF2-40B4-BE49-F238E27FC236}">
              <a16:creationId xmlns:a16="http://schemas.microsoft.com/office/drawing/2014/main" id="{9CBBE9AC-306F-4913-994A-743DD7307A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xdr:col>
      <xdr:colOff>0</xdr:colOff>
      <xdr:row>99</xdr:row>
      <xdr:rowOff>0</xdr:rowOff>
    </xdr:from>
    <xdr:to>
      <xdr:col>46</xdr:col>
      <xdr:colOff>316753</xdr:colOff>
      <xdr:row>119</xdr:row>
      <xdr:rowOff>88433</xdr:rowOff>
    </xdr:to>
    <xdr:graphicFrame macro="">
      <xdr:nvGraphicFramePr>
        <xdr:cNvPr id="9" name="Chart 8">
          <a:extLst>
            <a:ext uri="{FF2B5EF4-FFF2-40B4-BE49-F238E27FC236}">
              <a16:creationId xmlns:a16="http://schemas.microsoft.com/office/drawing/2014/main" id="{E968EE95-9678-4767-9A85-96C5F1BBDD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0</xdr:colOff>
      <xdr:row>141</xdr:row>
      <xdr:rowOff>0</xdr:rowOff>
    </xdr:from>
    <xdr:to>
      <xdr:col>46</xdr:col>
      <xdr:colOff>406615</xdr:colOff>
      <xdr:row>162</xdr:row>
      <xdr:rowOff>85268</xdr:rowOff>
    </xdr:to>
    <xdr:graphicFrame macro="">
      <xdr:nvGraphicFramePr>
        <xdr:cNvPr id="13" name="Chart 12">
          <a:extLst>
            <a:ext uri="{FF2B5EF4-FFF2-40B4-BE49-F238E27FC236}">
              <a16:creationId xmlns:a16="http://schemas.microsoft.com/office/drawing/2014/main" id="{A30250DC-CC6E-4D51-BFE5-C56971E179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34</xdr:col>
      <xdr:colOff>0</xdr:colOff>
      <xdr:row>182</xdr:row>
      <xdr:rowOff>0</xdr:rowOff>
    </xdr:from>
    <xdr:to>
      <xdr:col>46</xdr:col>
      <xdr:colOff>406615</xdr:colOff>
      <xdr:row>203</xdr:row>
      <xdr:rowOff>85268</xdr:rowOff>
    </xdr:to>
    <xdr:graphicFrame macro="">
      <xdr:nvGraphicFramePr>
        <xdr:cNvPr id="14" name="Chart 13">
          <a:extLst>
            <a:ext uri="{FF2B5EF4-FFF2-40B4-BE49-F238E27FC236}">
              <a16:creationId xmlns:a16="http://schemas.microsoft.com/office/drawing/2014/main" id="{0B67F855-4FDE-42B2-AD79-16E980AD3A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34</xdr:col>
      <xdr:colOff>0</xdr:colOff>
      <xdr:row>223</xdr:row>
      <xdr:rowOff>0</xdr:rowOff>
    </xdr:from>
    <xdr:to>
      <xdr:col>46</xdr:col>
      <xdr:colOff>406615</xdr:colOff>
      <xdr:row>244</xdr:row>
      <xdr:rowOff>85268</xdr:rowOff>
    </xdr:to>
    <xdr:graphicFrame macro="">
      <xdr:nvGraphicFramePr>
        <xdr:cNvPr id="15" name="Chart 14">
          <a:extLst>
            <a:ext uri="{FF2B5EF4-FFF2-40B4-BE49-F238E27FC236}">
              <a16:creationId xmlns:a16="http://schemas.microsoft.com/office/drawing/2014/main" id="{AA5A8DCD-3212-4FD9-8855-814F68A0C3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34</xdr:col>
      <xdr:colOff>0</xdr:colOff>
      <xdr:row>283</xdr:row>
      <xdr:rowOff>0</xdr:rowOff>
    </xdr:from>
    <xdr:to>
      <xdr:col>46</xdr:col>
      <xdr:colOff>406615</xdr:colOff>
      <xdr:row>305</xdr:row>
      <xdr:rowOff>85268</xdr:rowOff>
    </xdr:to>
    <xdr:graphicFrame macro="">
      <xdr:nvGraphicFramePr>
        <xdr:cNvPr id="16" name="Chart 15">
          <a:extLst>
            <a:ext uri="{FF2B5EF4-FFF2-40B4-BE49-F238E27FC236}">
              <a16:creationId xmlns:a16="http://schemas.microsoft.com/office/drawing/2014/main" id="{FFF54CE0-F30D-4CD8-8826-AA1023EC01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34</xdr:col>
      <xdr:colOff>0</xdr:colOff>
      <xdr:row>343</xdr:row>
      <xdr:rowOff>0</xdr:rowOff>
    </xdr:from>
    <xdr:to>
      <xdr:col>46</xdr:col>
      <xdr:colOff>406615</xdr:colOff>
      <xdr:row>365</xdr:row>
      <xdr:rowOff>85268</xdr:rowOff>
    </xdr:to>
    <xdr:graphicFrame macro="">
      <xdr:nvGraphicFramePr>
        <xdr:cNvPr id="17" name="Chart 16">
          <a:extLst>
            <a:ext uri="{FF2B5EF4-FFF2-40B4-BE49-F238E27FC236}">
              <a16:creationId xmlns:a16="http://schemas.microsoft.com/office/drawing/2014/main" id="{D36D1B05-E119-469A-9F15-062FCE99E0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34</xdr:col>
      <xdr:colOff>0</xdr:colOff>
      <xdr:row>404</xdr:row>
      <xdr:rowOff>0</xdr:rowOff>
    </xdr:from>
    <xdr:to>
      <xdr:col>46</xdr:col>
      <xdr:colOff>406615</xdr:colOff>
      <xdr:row>426</xdr:row>
      <xdr:rowOff>85268</xdr:rowOff>
    </xdr:to>
    <xdr:graphicFrame macro="">
      <xdr:nvGraphicFramePr>
        <xdr:cNvPr id="18" name="Chart 17">
          <a:extLst>
            <a:ext uri="{FF2B5EF4-FFF2-40B4-BE49-F238E27FC236}">
              <a16:creationId xmlns:a16="http://schemas.microsoft.com/office/drawing/2014/main" id="{7A39ACB0-9135-4B36-8A78-A92073A34F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35</xdr:col>
      <xdr:colOff>161924</xdr:colOff>
      <xdr:row>19</xdr:row>
      <xdr:rowOff>142875</xdr:rowOff>
    </xdr:from>
    <xdr:to>
      <xdr:col>47</xdr:col>
      <xdr:colOff>574674</xdr:colOff>
      <xdr:row>41</xdr:row>
      <xdr:rowOff>103188</xdr:rowOff>
    </xdr:to>
    <xdr:graphicFrame macro="">
      <xdr:nvGraphicFramePr>
        <xdr:cNvPr id="11" name="Chart 10">
          <a:extLst>
            <a:ext uri="{FF2B5EF4-FFF2-40B4-BE49-F238E27FC236}">
              <a16:creationId xmlns:a16="http://schemas.microsoft.com/office/drawing/2014/main" id="{CDE0FE7D-DEAF-47E6-888B-7FFEB3B7A12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35</xdr:col>
      <xdr:colOff>107950</xdr:colOff>
      <xdr:row>59</xdr:row>
      <xdr:rowOff>95250</xdr:rowOff>
    </xdr:from>
    <xdr:to>
      <xdr:col>47</xdr:col>
      <xdr:colOff>523875</xdr:colOff>
      <xdr:row>81</xdr:row>
      <xdr:rowOff>55563</xdr:rowOff>
    </xdr:to>
    <xdr:graphicFrame macro="">
      <xdr:nvGraphicFramePr>
        <xdr:cNvPr id="12" name="Chart 11">
          <a:extLst>
            <a:ext uri="{FF2B5EF4-FFF2-40B4-BE49-F238E27FC236}">
              <a16:creationId xmlns:a16="http://schemas.microsoft.com/office/drawing/2014/main" id="{24646174-2FA9-415D-A40F-590E4D317B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xdr:col>
      <xdr:colOff>873125</xdr:colOff>
      <xdr:row>99</xdr:row>
      <xdr:rowOff>0</xdr:rowOff>
    </xdr:from>
    <xdr:to>
      <xdr:col>47</xdr:col>
      <xdr:colOff>406400</xdr:colOff>
      <xdr:row>120</xdr:row>
      <xdr:rowOff>134938</xdr:rowOff>
    </xdr:to>
    <xdr:graphicFrame macro="">
      <xdr:nvGraphicFramePr>
        <xdr:cNvPr id="13" name="Chart 12">
          <a:extLst>
            <a:ext uri="{FF2B5EF4-FFF2-40B4-BE49-F238E27FC236}">
              <a16:creationId xmlns:a16="http://schemas.microsoft.com/office/drawing/2014/main" id="{3AC1C62D-5C3C-4582-9CD8-DAA0604DF2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0</xdr:colOff>
      <xdr:row>141</xdr:row>
      <xdr:rowOff>0</xdr:rowOff>
    </xdr:from>
    <xdr:to>
      <xdr:col>46</xdr:col>
      <xdr:colOff>406615</xdr:colOff>
      <xdr:row>162</xdr:row>
      <xdr:rowOff>85268</xdr:rowOff>
    </xdr:to>
    <xdr:graphicFrame macro="">
      <xdr:nvGraphicFramePr>
        <xdr:cNvPr id="8" name="Chart 7">
          <a:extLst>
            <a:ext uri="{FF2B5EF4-FFF2-40B4-BE49-F238E27FC236}">
              <a16:creationId xmlns:a16="http://schemas.microsoft.com/office/drawing/2014/main" id="{3C0918F0-5DC4-4217-ABC9-BDE93AB1E4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34</xdr:col>
      <xdr:colOff>0</xdr:colOff>
      <xdr:row>182</xdr:row>
      <xdr:rowOff>0</xdr:rowOff>
    </xdr:from>
    <xdr:to>
      <xdr:col>46</xdr:col>
      <xdr:colOff>406615</xdr:colOff>
      <xdr:row>203</xdr:row>
      <xdr:rowOff>85268</xdr:rowOff>
    </xdr:to>
    <xdr:graphicFrame macro="">
      <xdr:nvGraphicFramePr>
        <xdr:cNvPr id="9" name="Chart 8">
          <a:extLst>
            <a:ext uri="{FF2B5EF4-FFF2-40B4-BE49-F238E27FC236}">
              <a16:creationId xmlns:a16="http://schemas.microsoft.com/office/drawing/2014/main" id="{C9EBA2C5-434D-4086-9DB6-70B3F2B47C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34</xdr:col>
      <xdr:colOff>0</xdr:colOff>
      <xdr:row>223</xdr:row>
      <xdr:rowOff>0</xdr:rowOff>
    </xdr:from>
    <xdr:to>
      <xdr:col>46</xdr:col>
      <xdr:colOff>406615</xdr:colOff>
      <xdr:row>244</xdr:row>
      <xdr:rowOff>85268</xdr:rowOff>
    </xdr:to>
    <xdr:graphicFrame macro="">
      <xdr:nvGraphicFramePr>
        <xdr:cNvPr id="10" name="Chart 9">
          <a:extLst>
            <a:ext uri="{FF2B5EF4-FFF2-40B4-BE49-F238E27FC236}">
              <a16:creationId xmlns:a16="http://schemas.microsoft.com/office/drawing/2014/main" id="{1874A7AE-FEB7-4623-8725-4E9A4247B7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34</xdr:col>
      <xdr:colOff>0</xdr:colOff>
      <xdr:row>283</xdr:row>
      <xdr:rowOff>0</xdr:rowOff>
    </xdr:from>
    <xdr:to>
      <xdr:col>46</xdr:col>
      <xdr:colOff>406615</xdr:colOff>
      <xdr:row>305</xdr:row>
      <xdr:rowOff>85268</xdr:rowOff>
    </xdr:to>
    <xdr:graphicFrame macro="">
      <xdr:nvGraphicFramePr>
        <xdr:cNvPr id="17" name="Chart 16">
          <a:extLst>
            <a:ext uri="{FF2B5EF4-FFF2-40B4-BE49-F238E27FC236}">
              <a16:creationId xmlns:a16="http://schemas.microsoft.com/office/drawing/2014/main" id="{4DDD3163-2161-493E-A287-3526359C34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34</xdr:col>
      <xdr:colOff>0</xdr:colOff>
      <xdr:row>343</xdr:row>
      <xdr:rowOff>0</xdr:rowOff>
    </xdr:from>
    <xdr:to>
      <xdr:col>46</xdr:col>
      <xdr:colOff>406615</xdr:colOff>
      <xdr:row>365</xdr:row>
      <xdr:rowOff>85268</xdr:rowOff>
    </xdr:to>
    <xdr:graphicFrame macro="">
      <xdr:nvGraphicFramePr>
        <xdr:cNvPr id="18" name="Chart 17">
          <a:extLst>
            <a:ext uri="{FF2B5EF4-FFF2-40B4-BE49-F238E27FC236}">
              <a16:creationId xmlns:a16="http://schemas.microsoft.com/office/drawing/2014/main" id="{65A2C585-5C96-4760-8EF3-E4F9344A9F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34</xdr:col>
      <xdr:colOff>0</xdr:colOff>
      <xdr:row>404</xdr:row>
      <xdr:rowOff>0</xdr:rowOff>
    </xdr:from>
    <xdr:to>
      <xdr:col>46</xdr:col>
      <xdr:colOff>406615</xdr:colOff>
      <xdr:row>426</xdr:row>
      <xdr:rowOff>85268</xdr:rowOff>
    </xdr:to>
    <xdr:graphicFrame macro="">
      <xdr:nvGraphicFramePr>
        <xdr:cNvPr id="19" name="Chart 18">
          <a:extLst>
            <a:ext uri="{FF2B5EF4-FFF2-40B4-BE49-F238E27FC236}">
              <a16:creationId xmlns:a16="http://schemas.microsoft.com/office/drawing/2014/main" id="{88A6BF0E-947E-42BE-9108-FCC694E333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33</xdr:col>
      <xdr:colOff>840440</xdr:colOff>
      <xdr:row>19</xdr:row>
      <xdr:rowOff>37353</xdr:rowOff>
    </xdr:from>
    <xdr:to>
      <xdr:col>46</xdr:col>
      <xdr:colOff>260723</xdr:colOff>
      <xdr:row>39</xdr:row>
      <xdr:rowOff>125786</xdr:rowOff>
    </xdr:to>
    <xdr:graphicFrame macro="">
      <xdr:nvGraphicFramePr>
        <xdr:cNvPr id="2" name="Chart 1">
          <a:extLst>
            <a:ext uri="{FF2B5EF4-FFF2-40B4-BE49-F238E27FC236}">
              <a16:creationId xmlns:a16="http://schemas.microsoft.com/office/drawing/2014/main" id="{23BA1573-7BDB-4A4A-8599-5B51292D09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0</xdr:colOff>
      <xdr:row>59</xdr:row>
      <xdr:rowOff>0</xdr:rowOff>
    </xdr:from>
    <xdr:to>
      <xdr:col>46</xdr:col>
      <xdr:colOff>310403</xdr:colOff>
      <xdr:row>79</xdr:row>
      <xdr:rowOff>88434</xdr:rowOff>
    </xdr:to>
    <xdr:graphicFrame macro="">
      <xdr:nvGraphicFramePr>
        <xdr:cNvPr id="3" name="Chart 2">
          <a:extLst>
            <a:ext uri="{FF2B5EF4-FFF2-40B4-BE49-F238E27FC236}">
              <a16:creationId xmlns:a16="http://schemas.microsoft.com/office/drawing/2014/main" id="{BA60FDBE-BE56-4CE3-8C76-1B0D6B0885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xdr:col>
      <xdr:colOff>0</xdr:colOff>
      <xdr:row>99</xdr:row>
      <xdr:rowOff>0</xdr:rowOff>
    </xdr:from>
    <xdr:to>
      <xdr:col>46</xdr:col>
      <xdr:colOff>316753</xdr:colOff>
      <xdr:row>119</xdr:row>
      <xdr:rowOff>88433</xdr:rowOff>
    </xdr:to>
    <xdr:graphicFrame macro="">
      <xdr:nvGraphicFramePr>
        <xdr:cNvPr id="4" name="Chart 3">
          <a:extLst>
            <a:ext uri="{FF2B5EF4-FFF2-40B4-BE49-F238E27FC236}">
              <a16:creationId xmlns:a16="http://schemas.microsoft.com/office/drawing/2014/main" id="{0AAC5335-6957-43E3-897D-62C4C7D083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0</xdr:colOff>
      <xdr:row>141</xdr:row>
      <xdr:rowOff>0</xdr:rowOff>
    </xdr:from>
    <xdr:to>
      <xdr:col>46</xdr:col>
      <xdr:colOff>406615</xdr:colOff>
      <xdr:row>162</xdr:row>
      <xdr:rowOff>85268</xdr:rowOff>
    </xdr:to>
    <xdr:graphicFrame macro="">
      <xdr:nvGraphicFramePr>
        <xdr:cNvPr id="8" name="Chart 7">
          <a:extLst>
            <a:ext uri="{FF2B5EF4-FFF2-40B4-BE49-F238E27FC236}">
              <a16:creationId xmlns:a16="http://schemas.microsoft.com/office/drawing/2014/main" id="{CA468B28-B53A-430E-B15D-6EEECC21D3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34</xdr:col>
      <xdr:colOff>0</xdr:colOff>
      <xdr:row>182</xdr:row>
      <xdr:rowOff>0</xdr:rowOff>
    </xdr:from>
    <xdr:to>
      <xdr:col>46</xdr:col>
      <xdr:colOff>406615</xdr:colOff>
      <xdr:row>203</xdr:row>
      <xdr:rowOff>85268</xdr:rowOff>
    </xdr:to>
    <xdr:graphicFrame macro="">
      <xdr:nvGraphicFramePr>
        <xdr:cNvPr id="9" name="Chart 8">
          <a:extLst>
            <a:ext uri="{FF2B5EF4-FFF2-40B4-BE49-F238E27FC236}">
              <a16:creationId xmlns:a16="http://schemas.microsoft.com/office/drawing/2014/main" id="{0A16BFB7-8915-4EEC-9500-DD858F3710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34</xdr:col>
      <xdr:colOff>0</xdr:colOff>
      <xdr:row>223</xdr:row>
      <xdr:rowOff>0</xdr:rowOff>
    </xdr:from>
    <xdr:to>
      <xdr:col>46</xdr:col>
      <xdr:colOff>406615</xdr:colOff>
      <xdr:row>244</xdr:row>
      <xdr:rowOff>85268</xdr:rowOff>
    </xdr:to>
    <xdr:graphicFrame macro="">
      <xdr:nvGraphicFramePr>
        <xdr:cNvPr id="10" name="Chart 9">
          <a:extLst>
            <a:ext uri="{FF2B5EF4-FFF2-40B4-BE49-F238E27FC236}">
              <a16:creationId xmlns:a16="http://schemas.microsoft.com/office/drawing/2014/main" id="{FFF70373-C07C-45AD-A8D1-31BA8AB8C8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34</xdr:col>
      <xdr:colOff>0</xdr:colOff>
      <xdr:row>283</xdr:row>
      <xdr:rowOff>0</xdr:rowOff>
    </xdr:from>
    <xdr:to>
      <xdr:col>46</xdr:col>
      <xdr:colOff>406615</xdr:colOff>
      <xdr:row>305</xdr:row>
      <xdr:rowOff>85268</xdr:rowOff>
    </xdr:to>
    <xdr:graphicFrame macro="">
      <xdr:nvGraphicFramePr>
        <xdr:cNvPr id="11" name="Chart 10">
          <a:extLst>
            <a:ext uri="{FF2B5EF4-FFF2-40B4-BE49-F238E27FC236}">
              <a16:creationId xmlns:a16="http://schemas.microsoft.com/office/drawing/2014/main" id="{B3463DA6-7414-4E8F-B251-3C010361F3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34</xdr:col>
      <xdr:colOff>0</xdr:colOff>
      <xdr:row>343</xdr:row>
      <xdr:rowOff>0</xdr:rowOff>
    </xdr:from>
    <xdr:to>
      <xdr:col>46</xdr:col>
      <xdr:colOff>406615</xdr:colOff>
      <xdr:row>365</xdr:row>
      <xdr:rowOff>85268</xdr:rowOff>
    </xdr:to>
    <xdr:graphicFrame macro="">
      <xdr:nvGraphicFramePr>
        <xdr:cNvPr id="12" name="Chart 11">
          <a:extLst>
            <a:ext uri="{FF2B5EF4-FFF2-40B4-BE49-F238E27FC236}">
              <a16:creationId xmlns:a16="http://schemas.microsoft.com/office/drawing/2014/main" id="{D503D2AB-8FD7-4F2D-A0A6-EB5E61DC2A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34</xdr:col>
      <xdr:colOff>0</xdr:colOff>
      <xdr:row>404</xdr:row>
      <xdr:rowOff>0</xdr:rowOff>
    </xdr:from>
    <xdr:to>
      <xdr:col>46</xdr:col>
      <xdr:colOff>406615</xdr:colOff>
      <xdr:row>426</xdr:row>
      <xdr:rowOff>85268</xdr:rowOff>
    </xdr:to>
    <xdr:graphicFrame macro="">
      <xdr:nvGraphicFramePr>
        <xdr:cNvPr id="13" name="Chart 12">
          <a:extLst>
            <a:ext uri="{FF2B5EF4-FFF2-40B4-BE49-F238E27FC236}">
              <a16:creationId xmlns:a16="http://schemas.microsoft.com/office/drawing/2014/main" id="{47EC6A05-0772-4EE0-BD59-5E13F1D027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34</xdr:col>
      <xdr:colOff>0</xdr:colOff>
      <xdr:row>19</xdr:row>
      <xdr:rowOff>0</xdr:rowOff>
    </xdr:from>
    <xdr:to>
      <xdr:col>46</xdr:col>
      <xdr:colOff>238782</xdr:colOff>
      <xdr:row>40</xdr:row>
      <xdr:rowOff>20857</xdr:rowOff>
    </xdr:to>
    <xdr:graphicFrame macro="">
      <xdr:nvGraphicFramePr>
        <xdr:cNvPr id="9" name="Chart 8">
          <a:extLst>
            <a:ext uri="{FF2B5EF4-FFF2-40B4-BE49-F238E27FC236}">
              <a16:creationId xmlns:a16="http://schemas.microsoft.com/office/drawing/2014/main" id="{F8A6FDA3-998B-4028-897E-9ED8A28E9E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0</xdr:colOff>
      <xdr:row>59</xdr:row>
      <xdr:rowOff>0</xdr:rowOff>
    </xdr:from>
    <xdr:to>
      <xdr:col>46</xdr:col>
      <xdr:colOff>238782</xdr:colOff>
      <xdr:row>80</xdr:row>
      <xdr:rowOff>20857</xdr:rowOff>
    </xdr:to>
    <xdr:graphicFrame macro="">
      <xdr:nvGraphicFramePr>
        <xdr:cNvPr id="10" name="Chart 9">
          <a:extLst>
            <a:ext uri="{FF2B5EF4-FFF2-40B4-BE49-F238E27FC236}">
              <a16:creationId xmlns:a16="http://schemas.microsoft.com/office/drawing/2014/main" id="{F08FD469-1554-4DFB-A673-457E6ABF3E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xdr:col>
      <xdr:colOff>0</xdr:colOff>
      <xdr:row>99</xdr:row>
      <xdr:rowOff>0</xdr:rowOff>
    </xdr:from>
    <xdr:to>
      <xdr:col>46</xdr:col>
      <xdr:colOff>238782</xdr:colOff>
      <xdr:row>120</xdr:row>
      <xdr:rowOff>20857</xdr:rowOff>
    </xdr:to>
    <xdr:graphicFrame macro="">
      <xdr:nvGraphicFramePr>
        <xdr:cNvPr id="11" name="Chart 10">
          <a:extLst>
            <a:ext uri="{FF2B5EF4-FFF2-40B4-BE49-F238E27FC236}">
              <a16:creationId xmlns:a16="http://schemas.microsoft.com/office/drawing/2014/main" id="{45FA627C-D9C3-4FF1-B8AE-2C0C60CACB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0</xdr:colOff>
      <xdr:row>141</xdr:row>
      <xdr:rowOff>0</xdr:rowOff>
    </xdr:from>
    <xdr:to>
      <xdr:col>46</xdr:col>
      <xdr:colOff>406615</xdr:colOff>
      <xdr:row>162</xdr:row>
      <xdr:rowOff>85268</xdr:rowOff>
    </xdr:to>
    <xdr:graphicFrame macro="">
      <xdr:nvGraphicFramePr>
        <xdr:cNvPr id="8" name="Chart 7">
          <a:extLst>
            <a:ext uri="{FF2B5EF4-FFF2-40B4-BE49-F238E27FC236}">
              <a16:creationId xmlns:a16="http://schemas.microsoft.com/office/drawing/2014/main" id="{3F820775-B50B-4DBF-9C9D-EFB129A81F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34</xdr:col>
      <xdr:colOff>0</xdr:colOff>
      <xdr:row>182</xdr:row>
      <xdr:rowOff>0</xdr:rowOff>
    </xdr:from>
    <xdr:to>
      <xdr:col>46</xdr:col>
      <xdr:colOff>406615</xdr:colOff>
      <xdr:row>203</xdr:row>
      <xdr:rowOff>85268</xdr:rowOff>
    </xdr:to>
    <xdr:graphicFrame macro="">
      <xdr:nvGraphicFramePr>
        <xdr:cNvPr id="15" name="Chart 14">
          <a:extLst>
            <a:ext uri="{FF2B5EF4-FFF2-40B4-BE49-F238E27FC236}">
              <a16:creationId xmlns:a16="http://schemas.microsoft.com/office/drawing/2014/main" id="{D53F0B5A-E66E-40A6-B306-C629808AD9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34</xdr:col>
      <xdr:colOff>0</xdr:colOff>
      <xdr:row>223</xdr:row>
      <xdr:rowOff>0</xdr:rowOff>
    </xdr:from>
    <xdr:to>
      <xdr:col>46</xdr:col>
      <xdr:colOff>406615</xdr:colOff>
      <xdr:row>244</xdr:row>
      <xdr:rowOff>85268</xdr:rowOff>
    </xdr:to>
    <xdr:graphicFrame macro="">
      <xdr:nvGraphicFramePr>
        <xdr:cNvPr id="16" name="Chart 15">
          <a:extLst>
            <a:ext uri="{FF2B5EF4-FFF2-40B4-BE49-F238E27FC236}">
              <a16:creationId xmlns:a16="http://schemas.microsoft.com/office/drawing/2014/main" id="{3FFED71F-7BDA-43E3-B59E-0D4289D858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34</xdr:col>
      <xdr:colOff>0</xdr:colOff>
      <xdr:row>283</xdr:row>
      <xdr:rowOff>0</xdr:rowOff>
    </xdr:from>
    <xdr:to>
      <xdr:col>46</xdr:col>
      <xdr:colOff>406615</xdr:colOff>
      <xdr:row>305</xdr:row>
      <xdr:rowOff>85268</xdr:rowOff>
    </xdr:to>
    <xdr:graphicFrame macro="">
      <xdr:nvGraphicFramePr>
        <xdr:cNvPr id="17" name="Chart 16">
          <a:extLst>
            <a:ext uri="{FF2B5EF4-FFF2-40B4-BE49-F238E27FC236}">
              <a16:creationId xmlns:a16="http://schemas.microsoft.com/office/drawing/2014/main" id="{74206F3A-BBB0-4409-9050-C21E290CF0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34</xdr:col>
      <xdr:colOff>0</xdr:colOff>
      <xdr:row>343</xdr:row>
      <xdr:rowOff>0</xdr:rowOff>
    </xdr:from>
    <xdr:to>
      <xdr:col>46</xdr:col>
      <xdr:colOff>406615</xdr:colOff>
      <xdr:row>365</xdr:row>
      <xdr:rowOff>85268</xdr:rowOff>
    </xdr:to>
    <xdr:graphicFrame macro="">
      <xdr:nvGraphicFramePr>
        <xdr:cNvPr id="18" name="Chart 17">
          <a:extLst>
            <a:ext uri="{FF2B5EF4-FFF2-40B4-BE49-F238E27FC236}">
              <a16:creationId xmlns:a16="http://schemas.microsoft.com/office/drawing/2014/main" id="{D42C8C67-76F7-427E-A90D-4BC103A123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34</xdr:col>
      <xdr:colOff>0</xdr:colOff>
      <xdr:row>404</xdr:row>
      <xdr:rowOff>0</xdr:rowOff>
    </xdr:from>
    <xdr:to>
      <xdr:col>46</xdr:col>
      <xdr:colOff>406615</xdr:colOff>
      <xdr:row>426</xdr:row>
      <xdr:rowOff>85268</xdr:rowOff>
    </xdr:to>
    <xdr:graphicFrame macro="">
      <xdr:nvGraphicFramePr>
        <xdr:cNvPr id="19" name="Chart 18">
          <a:extLst>
            <a:ext uri="{FF2B5EF4-FFF2-40B4-BE49-F238E27FC236}">
              <a16:creationId xmlns:a16="http://schemas.microsoft.com/office/drawing/2014/main" id="{21548BEF-84E8-411E-8594-BC50F179BC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34</xdr:col>
      <xdr:colOff>0</xdr:colOff>
      <xdr:row>19</xdr:row>
      <xdr:rowOff>0</xdr:rowOff>
    </xdr:from>
    <xdr:to>
      <xdr:col>46</xdr:col>
      <xdr:colOff>409575</xdr:colOff>
      <xdr:row>40</xdr:row>
      <xdr:rowOff>147638</xdr:rowOff>
    </xdr:to>
    <xdr:graphicFrame macro="">
      <xdr:nvGraphicFramePr>
        <xdr:cNvPr id="7" name="Chart 6">
          <a:extLst>
            <a:ext uri="{FF2B5EF4-FFF2-40B4-BE49-F238E27FC236}">
              <a16:creationId xmlns:a16="http://schemas.microsoft.com/office/drawing/2014/main" id="{4A1765A4-7F21-4DFC-AE22-5A3D03F3BC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0</xdr:colOff>
      <xdr:row>60</xdr:row>
      <xdr:rowOff>0</xdr:rowOff>
    </xdr:from>
    <xdr:to>
      <xdr:col>46</xdr:col>
      <xdr:colOff>409575</xdr:colOff>
      <xdr:row>81</xdr:row>
      <xdr:rowOff>141288</xdr:rowOff>
    </xdr:to>
    <xdr:graphicFrame macro="">
      <xdr:nvGraphicFramePr>
        <xdr:cNvPr id="8" name="Chart 7">
          <a:extLst>
            <a:ext uri="{FF2B5EF4-FFF2-40B4-BE49-F238E27FC236}">
              <a16:creationId xmlns:a16="http://schemas.microsoft.com/office/drawing/2014/main" id="{0CA494A0-5AA5-4A0E-8A02-D42A22FB8F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xdr:col>
      <xdr:colOff>0</xdr:colOff>
      <xdr:row>99</xdr:row>
      <xdr:rowOff>0</xdr:rowOff>
    </xdr:from>
    <xdr:to>
      <xdr:col>46</xdr:col>
      <xdr:colOff>409575</xdr:colOff>
      <xdr:row>120</xdr:row>
      <xdr:rowOff>141288</xdr:rowOff>
    </xdr:to>
    <xdr:graphicFrame macro="">
      <xdr:nvGraphicFramePr>
        <xdr:cNvPr id="9" name="Chart 8">
          <a:extLst>
            <a:ext uri="{FF2B5EF4-FFF2-40B4-BE49-F238E27FC236}">
              <a16:creationId xmlns:a16="http://schemas.microsoft.com/office/drawing/2014/main" id="{0E1011F7-7566-4BA8-A75A-AE4F2E2046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0</xdr:colOff>
      <xdr:row>141</xdr:row>
      <xdr:rowOff>0</xdr:rowOff>
    </xdr:from>
    <xdr:to>
      <xdr:col>46</xdr:col>
      <xdr:colOff>406615</xdr:colOff>
      <xdr:row>162</xdr:row>
      <xdr:rowOff>85268</xdr:rowOff>
    </xdr:to>
    <xdr:graphicFrame macro="">
      <xdr:nvGraphicFramePr>
        <xdr:cNvPr id="16" name="Chart 15">
          <a:extLst>
            <a:ext uri="{FF2B5EF4-FFF2-40B4-BE49-F238E27FC236}">
              <a16:creationId xmlns:a16="http://schemas.microsoft.com/office/drawing/2014/main" id="{CB7C7B5D-3588-462E-B013-548D06BB11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34</xdr:col>
      <xdr:colOff>0</xdr:colOff>
      <xdr:row>182</xdr:row>
      <xdr:rowOff>0</xdr:rowOff>
    </xdr:from>
    <xdr:to>
      <xdr:col>46</xdr:col>
      <xdr:colOff>406615</xdr:colOff>
      <xdr:row>203</xdr:row>
      <xdr:rowOff>85268</xdr:rowOff>
    </xdr:to>
    <xdr:graphicFrame macro="">
      <xdr:nvGraphicFramePr>
        <xdr:cNvPr id="17" name="Chart 16">
          <a:extLst>
            <a:ext uri="{FF2B5EF4-FFF2-40B4-BE49-F238E27FC236}">
              <a16:creationId xmlns:a16="http://schemas.microsoft.com/office/drawing/2014/main" id="{C6245F91-5AD3-4801-A02C-5C4E4ACC63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34</xdr:col>
      <xdr:colOff>0</xdr:colOff>
      <xdr:row>223</xdr:row>
      <xdr:rowOff>0</xdr:rowOff>
    </xdr:from>
    <xdr:to>
      <xdr:col>46</xdr:col>
      <xdr:colOff>406615</xdr:colOff>
      <xdr:row>244</xdr:row>
      <xdr:rowOff>85268</xdr:rowOff>
    </xdr:to>
    <xdr:graphicFrame macro="">
      <xdr:nvGraphicFramePr>
        <xdr:cNvPr id="18" name="Chart 17">
          <a:extLst>
            <a:ext uri="{FF2B5EF4-FFF2-40B4-BE49-F238E27FC236}">
              <a16:creationId xmlns:a16="http://schemas.microsoft.com/office/drawing/2014/main" id="{6501C286-1F54-45B7-BC1E-E565064C3B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34</xdr:col>
      <xdr:colOff>0</xdr:colOff>
      <xdr:row>283</xdr:row>
      <xdr:rowOff>0</xdr:rowOff>
    </xdr:from>
    <xdr:to>
      <xdr:col>46</xdr:col>
      <xdr:colOff>406615</xdr:colOff>
      <xdr:row>305</xdr:row>
      <xdr:rowOff>85268</xdr:rowOff>
    </xdr:to>
    <xdr:graphicFrame macro="">
      <xdr:nvGraphicFramePr>
        <xdr:cNvPr id="19" name="Chart 18">
          <a:extLst>
            <a:ext uri="{FF2B5EF4-FFF2-40B4-BE49-F238E27FC236}">
              <a16:creationId xmlns:a16="http://schemas.microsoft.com/office/drawing/2014/main" id="{C94A6C06-4C94-406D-ABA8-01F22A46AA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34</xdr:col>
      <xdr:colOff>0</xdr:colOff>
      <xdr:row>343</xdr:row>
      <xdr:rowOff>0</xdr:rowOff>
    </xdr:from>
    <xdr:to>
      <xdr:col>46</xdr:col>
      <xdr:colOff>406615</xdr:colOff>
      <xdr:row>365</xdr:row>
      <xdr:rowOff>85268</xdr:rowOff>
    </xdr:to>
    <xdr:graphicFrame macro="">
      <xdr:nvGraphicFramePr>
        <xdr:cNvPr id="20" name="Chart 19">
          <a:extLst>
            <a:ext uri="{FF2B5EF4-FFF2-40B4-BE49-F238E27FC236}">
              <a16:creationId xmlns:a16="http://schemas.microsoft.com/office/drawing/2014/main" id="{B4A28960-E027-4B67-A1C0-5CA44730C5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34</xdr:col>
      <xdr:colOff>0</xdr:colOff>
      <xdr:row>404</xdr:row>
      <xdr:rowOff>0</xdr:rowOff>
    </xdr:from>
    <xdr:to>
      <xdr:col>46</xdr:col>
      <xdr:colOff>406615</xdr:colOff>
      <xdr:row>426</xdr:row>
      <xdr:rowOff>85268</xdr:rowOff>
    </xdr:to>
    <xdr:graphicFrame macro="">
      <xdr:nvGraphicFramePr>
        <xdr:cNvPr id="21" name="Chart 20">
          <a:extLst>
            <a:ext uri="{FF2B5EF4-FFF2-40B4-BE49-F238E27FC236}">
              <a16:creationId xmlns:a16="http://schemas.microsoft.com/office/drawing/2014/main" id="{4CB47570-D2C2-4A75-BE99-072DC73C39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33</xdr:col>
      <xdr:colOff>864577</xdr:colOff>
      <xdr:row>18</xdr:row>
      <xdr:rowOff>131884</xdr:rowOff>
    </xdr:from>
    <xdr:to>
      <xdr:col>46</xdr:col>
      <xdr:colOff>343877</xdr:colOff>
      <xdr:row>40</xdr:row>
      <xdr:rowOff>79253</xdr:rowOff>
    </xdr:to>
    <xdr:graphicFrame macro="">
      <xdr:nvGraphicFramePr>
        <xdr:cNvPr id="9" name="Chart 8">
          <a:extLst>
            <a:ext uri="{FF2B5EF4-FFF2-40B4-BE49-F238E27FC236}">
              <a16:creationId xmlns:a16="http://schemas.microsoft.com/office/drawing/2014/main" id="{8DCC4904-0C42-4F49-9DE0-2F3D2F4527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234461</xdr:colOff>
      <xdr:row>58</xdr:row>
      <xdr:rowOff>87923</xdr:rowOff>
    </xdr:from>
    <xdr:to>
      <xdr:col>46</xdr:col>
      <xdr:colOff>604471</xdr:colOff>
      <xdr:row>80</xdr:row>
      <xdr:rowOff>38467</xdr:rowOff>
    </xdr:to>
    <xdr:graphicFrame macro="">
      <xdr:nvGraphicFramePr>
        <xdr:cNvPr id="10" name="Chart 9">
          <a:extLst>
            <a:ext uri="{FF2B5EF4-FFF2-40B4-BE49-F238E27FC236}">
              <a16:creationId xmlns:a16="http://schemas.microsoft.com/office/drawing/2014/main" id="{3079C483-BAC5-49DC-ADBA-6451E82BBF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xdr:col>
      <xdr:colOff>0</xdr:colOff>
      <xdr:row>99</xdr:row>
      <xdr:rowOff>0</xdr:rowOff>
    </xdr:from>
    <xdr:to>
      <xdr:col>46</xdr:col>
      <xdr:colOff>357310</xdr:colOff>
      <xdr:row>120</xdr:row>
      <xdr:rowOff>126390</xdr:rowOff>
    </xdr:to>
    <xdr:graphicFrame macro="">
      <xdr:nvGraphicFramePr>
        <xdr:cNvPr id="11" name="Chart 10">
          <a:extLst>
            <a:ext uri="{FF2B5EF4-FFF2-40B4-BE49-F238E27FC236}">
              <a16:creationId xmlns:a16="http://schemas.microsoft.com/office/drawing/2014/main" id="{5536F572-46D9-4830-B466-0814280D2C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0</xdr:colOff>
      <xdr:row>141</xdr:row>
      <xdr:rowOff>0</xdr:rowOff>
    </xdr:from>
    <xdr:to>
      <xdr:col>46</xdr:col>
      <xdr:colOff>406615</xdr:colOff>
      <xdr:row>162</xdr:row>
      <xdr:rowOff>85268</xdr:rowOff>
    </xdr:to>
    <xdr:graphicFrame macro="">
      <xdr:nvGraphicFramePr>
        <xdr:cNvPr id="8" name="Chart 7">
          <a:extLst>
            <a:ext uri="{FF2B5EF4-FFF2-40B4-BE49-F238E27FC236}">
              <a16:creationId xmlns:a16="http://schemas.microsoft.com/office/drawing/2014/main" id="{A7A4472E-9F80-44A0-8202-22A1830B73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34</xdr:col>
      <xdr:colOff>0</xdr:colOff>
      <xdr:row>182</xdr:row>
      <xdr:rowOff>0</xdr:rowOff>
    </xdr:from>
    <xdr:to>
      <xdr:col>46</xdr:col>
      <xdr:colOff>406615</xdr:colOff>
      <xdr:row>203</xdr:row>
      <xdr:rowOff>85268</xdr:rowOff>
    </xdr:to>
    <xdr:graphicFrame macro="">
      <xdr:nvGraphicFramePr>
        <xdr:cNvPr id="15" name="Chart 14">
          <a:extLst>
            <a:ext uri="{FF2B5EF4-FFF2-40B4-BE49-F238E27FC236}">
              <a16:creationId xmlns:a16="http://schemas.microsoft.com/office/drawing/2014/main" id="{1E1978E8-6E61-44F0-B685-5AF13137ED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34</xdr:col>
      <xdr:colOff>0</xdr:colOff>
      <xdr:row>223</xdr:row>
      <xdr:rowOff>0</xdr:rowOff>
    </xdr:from>
    <xdr:to>
      <xdr:col>46</xdr:col>
      <xdr:colOff>406615</xdr:colOff>
      <xdr:row>244</xdr:row>
      <xdr:rowOff>85268</xdr:rowOff>
    </xdr:to>
    <xdr:graphicFrame macro="">
      <xdr:nvGraphicFramePr>
        <xdr:cNvPr id="16" name="Chart 15">
          <a:extLst>
            <a:ext uri="{FF2B5EF4-FFF2-40B4-BE49-F238E27FC236}">
              <a16:creationId xmlns:a16="http://schemas.microsoft.com/office/drawing/2014/main" id="{FCBE906B-8A84-454D-8330-C987FA91A6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34</xdr:col>
      <xdr:colOff>0</xdr:colOff>
      <xdr:row>283</xdr:row>
      <xdr:rowOff>0</xdr:rowOff>
    </xdr:from>
    <xdr:to>
      <xdr:col>46</xdr:col>
      <xdr:colOff>406615</xdr:colOff>
      <xdr:row>305</xdr:row>
      <xdr:rowOff>85268</xdr:rowOff>
    </xdr:to>
    <xdr:graphicFrame macro="">
      <xdr:nvGraphicFramePr>
        <xdr:cNvPr id="17" name="Chart 16">
          <a:extLst>
            <a:ext uri="{FF2B5EF4-FFF2-40B4-BE49-F238E27FC236}">
              <a16:creationId xmlns:a16="http://schemas.microsoft.com/office/drawing/2014/main" id="{E4BB36C7-6663-4989-8195-C67CCB0FDE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34</xdr:col>
      <xdr:colOff>0</xdr:colOff>
      <xdr:row>343</xdr:row>
      <xdr:rowOff>0</xdr:rowOff>
    </xdr:from>
    <xdr:to>
      <xdr:col>46</xdr:col>
      <xdr:colOff>406615</xdr:colOff>
      <xdr:row>365</xdr:row>
      <xdr:rowOff>85268</xdr:rowOff>
    </xdr:to>
    <xdr:graphicFrame macro="">
      <xdr:nvGraphicFramePr>
        <xdr:cNvPr id="18" name="Chart 17">
          <a:extLst>
            <a:ext uri="{FF2B5EF4-FFF2-40B4-BE49-F238E27FC236}">
              <a16:creationId xmlns:a16="http://schemas.microsoft.com/office/drawing/2014/main" id="{81C8C2C8-9D1E-4B00-8770-D3DEA2207C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34</xdr:col>
      <xdr:colOff>0</xdr:colOff>
      <xdr:row>404</xdr:row>
      <xdr:rowOff>0</xdr:rowOff>
    </xdr:from>
    <xdr:to>
      <xdr:col>46</xdr:col>
      <xdr:colOff>406615</xdr:colOff>
      <xdr:row>426</xdr:row>
      <xdr:rowOff>85268</xdr:rowOff>
    </xdr:to>
    <xdr:graphicFrame macro="">
      <xdr:nvGraphicFramePr>
        <xdr:cNvPr id="19" name="Chart 18">
          <a:extLst>
            <a:ext uri="{FF2B5EF4-FFF2-40B4-BE49-F238E27FC236}">
              <a16:creationId xmlns:a16="http://schemas.microsoft.com/office/drawing/2014/main" id="{5F732ECB-314B-4055-8EDE-D961703629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34</xdr:col>
      <xdr:colOff>0</xdr:colOff>
      <xdr:row>19</xdr:row>
      <xdr:rowOff>0</xdr:rowOff>
    </xdr:from>
    <xdr:to>
      <xdr:col>46</xdr:col>
      <xdr:colOff>409575</xdr:colOff>
      <xdr:row>40</xdr:row>
      <xdr:rowOff>147638</xdr:rowOff>
    </xdr:to>
    <xdr:graphicFrame macro="">
      <xdr:nvGraphicFramePr>
        <xdr:cNvPr id="2" name="Chart 1">
          <a:extLst>
            <a:ext uri="{FF2B5EF4-FFF2-40B4-BE49-F238E27FC236}">
              <a16:creationId xmlns:a16="http://schemas.microsoft.com/office/drawing/2014/main" id="{3F937254-6F3E-4361-84FC-4035BF29EE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0</xdr:colOff>
      <xdr:row>60</xdr:row>
      <xdr:rowOff>0</xdr:rowOff>
    </xdr:from>
    <xdr:to>
      <xdr:col>46</xdr:col>
      <xdr:colOff>409575</xdr:colOff>
      <xdr:row>81</xdr:row>
      <xdr:rowOff>141288</xdr:rowOff>
    </xdr:to>
    <xdr:graphicFrame macro="">
      <xdr:nvGraphicFramePr>
        <xdr:cNvPr id="3" name="Chart 2">
          <a:extLst>
            <a:ext uri="{FF2B5EF4-FFF2-40B4-BE49-F238E27FC236}">
              <a16:creationId xmlns:a16="http://schemas.microsoft.com/office/drawing/2014/main" id="{4DD4E33B-14BB-470B-86CF-AA34296AA0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xdr:col>
      <xdr:colOff>0</xdr:colOff>
      <xdr:row>99</xdr:row>
      <xdr:rowOff>0</xdr:rowOff>
    </xdr:from>
    <xdr:to>
      <xdr:col>46</xdr:col>
      <xdr:colOff>409575</xdr:colOff>
      <xdr:row>120</xdr:row>
      <xdr:rowOff>141288</xdr:rowOff>
    </xdr:to>
    <xdr:graphicFrame macro="">
      <xdr:nvGraphicFramePr>
        <xdr:cNvPr id="4" name="Chart 3">
          <a:extLst>
            <a:ext uri="{FF2B5EF4-FFF2-40B4-BE49-F238E27FC236}">
              <a16:creationId xmlns:a16="http://schemas.microsoft.com/office/drawing/2014/main" id="{5B92BCB6-0331-4756-A221-7136BD8DB4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0</xdr:colOff>
      <xdr:row>141</xdr:row>
      <xdr:rowOff>0</xdr:rowOff>
    </xdr:from>
    <xdr:to>
      <xdr:col>46</xdr:col>
      <xdr:colOff>406615</xdr:colOff>
      <xdr:row>162</xdr:row>
      <xdr:rowOff>85268</xdr:rowOff>
    </xdr:to>
    <xdr:graphicFrame macro="">
      <xdr:nvGraphicFramePr>
        <xdr:cNvPr id="8" name="Chart 7">
          <a:extLst>
            <a:ext uri="{FF2B5EF4-FFF2-40B4-BE49-F238E27FC236}">
              <a16:creationId xmlns:a16="http://schemas.microsoft.com/office/drawing/2014/main" id="{F63A832F-E856-4276-919F-63D1DC425E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34</xdr:col>
      <xdr:colOff>0</xdr:colOff>
      <xdr:row>182</xdr:row>
      <xdr:rowOff>0</xdr:rowOff>
    </xdr:from>
    <xdr:to>
      <xdr:col>46</xdr:col>
      <xdr:colOff>406615</xdr:colOff>
      <xdr:row>203</xdr:row>
      <xdr:rowOff>85268</xdr:rowOff>
    </xdr:to>
    <xdr:graphicFrame macro="">
      <xdr:nvGraphicFramePr>
        <xdr:cNvPr id="9" name="Chart 8">
          <a:extLst>
            <a:ext uri="{FF2B5EF4-FFF2-40B4-BE49-F238E27FC236}">
              <a16:creationId xmlns:a16="http://schemas.microsoft.com/office/drawing/2014/main" id="{13E3B80E-E877-409A-9F9D-BF9C8D45C1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34</xdr:col>
      <xdr:colOff>0</xdr:colOff>
      <xdr:row>223</xdr:row>
      <xdr:rowOff>0</xdr:rowOff>
    </xdr:from>
    <xdr:to>
      <xdr:col>46</xdr:col>
      <xdr:colOff>406615</xdr:colOff>
      <xdr:row>244</xdr:row>
      <xdr:rowOff>85268</xdr:rowOff>
    </xdr:to>
    <xdr:graphicFrame macro="">
      <xdr:nvGraphicFramePr>
        <xdr:cNvPr id="10" name="Chart 9">
          <a:extLst>
            <a:ext uri="{FF2B5EF4-FFF2-40B4-BE49-F238E27FC236}">
              <a16:creationId xmlns:a16="http://schemas.microsoft.com/office/drawing/2014/main" id="{519D533C-6682-49E8-AEDA-1EBD07B93D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34</xdr:col>
      <xdr:colOff>0</xdr:colOff>
      <xdr:row>283</xdr:row>
      <xdr:rowOff>0</xdr:rowOff>
    </xdr:from>
    <xdr:to>
      <xdr:col>46</xdr:col>
      <xdr:colOff>406615</xdr:colOff>
      <xdr:row>305</xdr:row>
      <xdr:rowOff>85268</xdr:rowOff>
    </xdr:to>
    <xdr:graphicFrame macro="">
      <xdr:nvGraphicFramePr>
        <xdr:cNvPr id="11" name="Chart 10">
          <a:extLst>
            <a:ext uri="{FF2B5EF4-FFF2-40B4-BE49-F238E27FC236}">
              <a16:creationId xmlns:a16="http://schemas.microsoft.com/office/drawing/2014/main" id="{390E8652-EE90-413D-92BC-256C72C524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34</xdr:col>
      <xdr:colOff>0</xdr:colOff>
      <xdr:row>343</xdr:row>
      <xdr:rowOff>0</xdr:rowOff>
    </xdr:from>
    <xdr:to>
      <xdr:col>46</xdr:col>
      <xdr:colOff>406615</xdr:colOff>
      <xdr:row>365</xdr:row>
      <xdr:rowOff>85268</xdr:rowOff>
    </xdr:to>
    <xdr:graphicFrame macro="">
      <xdr:nvGraphicFramePr>
        <xdr:cNvPr id="12" name="Chart 11">
          <a:extLst>
            <a:ext uri="{FF2B5EF4-FFF2-40B4-BE49-F238E27FC236}">
              <a16:creationId xmlns:a16="http://schemas.microsoft.com/office/drawing/2014/main" id="{19D07F4D-602A-4B1D-A804-73F66E4F2C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34</xdr:col>
      <xdr:colOff>0</xdr:colOff>
      <xdr:row>404</xdr:row>
      <xdr:rowOff>0</xdr:rowOff>
    </xdr:from>
    <xdr:to>
      <xdr:col>46</xdr:col>
      <xdr:colOff>406615</xdr:colOff>
      <xdr:row>426</xdr:row>
      <xdr:rowOff>85268</xdr:rowOff>
    </xdr:to>
    <xdr:graphicFrame macro="">
      <xdr:nvGraphicFramePr>
        <xdr:cNvPr id="13" name="Chart 12">
          <a:extLst>
            <a:ext uri="{FF2B5EF4-FFF2-40B4-BE49-F238E27FC236}">
              <a16:creationId xmlns:a16="http://schemas.microsoft.com/office/drawing/2014/main" id="{5A5C022C-5822-4019-B13E-7A43FB2A50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30844</xdr:colOff>
      <xdr:row>54</xdr:row>
      <xdr:rowOff>8713</xdr:rowOff>
    </xdr:from>
    <xdr:to>
      <xdr:col>35</xdr:col>
      <xdr:colOff>11339</xdr:colOff>
      <xdr:row>79</xdr:row>
      <xdr:rowOff>159315</xdr:rowOff>
    </xdr:to>
    <xdr:graphicFrame macro="">
      <xdr:nvGraphicFramePr>
        <xdr:cNvPr id="2" name="Chart 1">
          <a:extLst>
            <a:ext uri="{FF2B5EF4-FFF2-40B4-BE49-F238E27FC236}">
              <a16:creationId xmlns:a16="http://schemas.microsoft.com/office/drawing/2014/main" id="{6C863924-745B-464B-BC7D-2B0A87ACC1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7347</xdr:colOff>
      <xdr:row>7</xdr:row>
      <xdr:rowOff>120649</xdr:rowOff>
    </xdr:from>
    <xdr:to>
      <xdr:col>34</xdr:col>
      <xdr:colOff>598487</xdr:colOff>
      <xdr:row>34</xdr:row>
      <xdr:rowOff>3174</xdr:rowOff>
    </xdr:to>
    <xdr:graphicFrame macro="">
      <xdr:nvGraphicFramePr>
        <xdr:cNvPr id="3" name="Chart 2">
          <a:extLst>
            <a:ext uri="{FF2B5EF4-FFF2-40B4-BE49-F238E27FC236}">
              <a16:creationId xmlns:a16="http://schemas.microsoft.com/office/drawing/2014/main" id="{56A30158-3181-412F-8DBC-1FDB4D61F4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8281</xdr:colOff>
      <xdr:row>31</xdr:row>
      <xdr:rowOff>0</xdr:rowOff>
    </xdr:from>
    <xdr:to>
      <xdr:col>34</xdr:col>
      <xdr:colOff>596900</xdr:colOff>
      <xdr:row>57</xdr:row>
      <xdr:rowOff>10092</xdr:rowOff>
    </xdr:to>
    <xdr:graphicFrame macro="">
      <xdr:nvGraphicFramePr>
        <xdr:cNvPr id="4" name="Chart 3">
          <a:extLst>
            <a:ext uri="{FF2B5EF4-FFF2-40B4-BE49-F238E27FC236}">
              <a16:creationId xmlns:a16="http://schemas.microsoft.com/office/drawing/2014/main" id="{A7655735-8BF2-4375-9E80-B3B416C678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157716</xdr:colOff>
      <xdr:row>7</xdr:row>
      <xdr:rowOff>102782</xdr:rowOff>
    </xdr:from>
    <xdr:to>
      <xdr:col>17</xdr:col>
      <xdr:colOff>63500</xdr:colOff>
      <xdr:row>10</xdr:row>
      <xdr:rowOff>36435</xdr:rowOff>
    </xdr:to>
    <xdr:sp macro="" textlink="">
      <xdr:nvSpPr>
        <xdr:cNvPr id="5" name="TextBox 4">
          <a:extLst>
            <a:ext uri="{FF2B5EF4-FFF2-40B4-BE49-F238E27FC236}">
              <a16:creationId xmlns:a16="http://schemas.microsoft.com/office/drawing/2014/main" id="{6771B78F-D99B-4AD8-95E8-B512D0988387}"/>
            </a:ext>
          </a:extLst>
        </xdr:cNvPr>
        <xdr:cNvSpPr txBox="1"/>
      </xdr:nvSpPr>
      <xdr:spPr>
        <a:xfrm>
          <a:off x="16762966" y="1572807"/>
          <a:ext cx="515384" cy="4734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latin typeface="Verdana Pro" panose="020B0604030504040204" pitchFamily="34" charset="0"/>
              <a:cs typeface="Times New Roman" panose="02020603050405020304" pitchFamily="18" charset="0"/>
            </a:rPr>
            <a:t>A)</a:t>
          </a:r>
          <a:endParaRPr lang="en-NL" sz="1400" b="1">
            <a:latin typeface="Verdana Pro" panose="020B0604030504040204" pitchFamily="34" charset="0"/>
            <a:cs typeface="Times New Roman" panose="02020603050405020304" pitchFamily="18" charset="0"/>
          </a:endParaRPr>
        </a:p>
      </xdr:txBody>
    </xdr:sp>
    <xdr:clientData/>
  </xdr:twoCellAnchor>
  <xdr:twoCellAnchor>
    <xdr:from>
      <xdr:col>15</xdr:col>
      <xdr:colOff>564696</xdr:colOff>
      <xdr:row>80</xdr:row>
      <xdr:rowOff>46717</xdr:rowOff>
    </xdr:from>
    <xdr:to>
      <xdr:col>34</xdr:col>
      <xdr:colOff>570139</xdr:colOff>
      <xdr:row>105</xdr:row>
      <xdr:rowOff>140348</xdr:rowOff>
    </xdr:to>
    <xdr:graphicFrame macro="">
      <xdr:nvGraphicFramePr>
        <xdr:cNvPr id="6" name="Chart 5">
          <a:extLst>
            <a:ext uri="{FF2B5EF4-FFF2-40B4-BE49-F238E27FC236}">
              <a16:creationId xmlns:a16="http://schemas.microsoft.com/office/drawing/2014/main" id="{BABDE409-0B83-4C99-B3E3-919C944FA6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127000</xdr:colOff>
      <xdr:row>54</xdr:row>
      <xdr:rowOff>30693</xdr:rowOff>
    </xdr:from>
    <xdr:to>
      <xdr:col>16</xdr:col>
      <xdr:colOff>535933</xdr:colOff>
      <xdr:row>56</xdr:row>
      <xdr:rowOff>135098</xdr:rowOff>
    </xdr:to>
    <xdr:sp macro="" textlink="">
      <xdr:nvSpPr>
        <xdr:cNvPr id="7" name="TextBox 6">
          <a:extLst>
            <a:ext uri="{FF2B5EF4-FFF2-40B4-BE49-F238E27FC236}">
              <a16:creationId xmlns:a16="http://schemas.microsoft.com/office/drawing/2014/main" id="{CED0CE66-6616-440E-A6AB-028CD463E3CA}"/>
            </a:ext>
          </a:extLst>
        </xdr:cNvPr>
        <xdr:cNvSpPr txBox="1"/>
      </xdr:nvSpPr>
      <xdr:spPr>
        <a:xfrm>
          <a:off x="16725900" y="10124018"/>
          <a:ext cx="412108" cy="469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n-GB" sz="1200" b="1">
              <a:latin typeface="Verdana Pro" panose="020B0604030504040204" pitchFamily="34" charset="0"/>
              <a:cs typeface="Times New Roman" panose="02020603050405020304" pitchFamily="18" charset="0"/>
            </a:rPr>
            <a:t>D)</a:t>
          </a:r>
          <a:endParaRPr lang="en-NL" sz="1200" b="1">
            <a:latin typeface="Verdana Pro" panose="020B0604030504040204" pitchFamily="34" charset="0"/>
            <a:cs typeface="Times New Roman" panose="02020603050405020304" pitchFamily="18" charset="0"/>
          </a:endParaRPr>
        </a:p>
      </xdr:txBody>
    </xdr:sp>
    <xdr:clientData/>
  </xdr:twoCellAnchor>
  <xdr:twoCellAnchor>
    <xdr:from>
      <xdr:col>16</xdr:col>
      <xdr:colOff>133903</xdr:colOff>
      <xdr:row>31</xdr:row>
      <xdr:rowOff>18644</xdr:rowOff>
    </xdr:from>
    <xdr:to>
      <xdr:col>17</xdr:col>
      <xdr:colOff>39687</xdr:colOff>
      <xdr:row>33</xdr:row>
      <xdr:rowOff>121366</xdr:rowOff>
    </xdr:to>
    <xdr:sp macro="" textlink="">
      <xdr:nvSpPr>
        <xdr:cNvPr id="8" name="TextBox 7">
          <a:extLst>
            <a:ext uri="{FF2B5EF4-FFF2-40B4-BE49-F238E27FC236}">
              <a16:creationId xmlns:a16="http://schemas.microsoft.com/office/drawing/2014/main" id="{0EFF71E6-DBB6-44A8-9205-50F666BF9E40}"/>
            </a:ext>
          </a:extLst>
        </xdr:cNvPr>
        <xdr:cNvSpPr txBox="1"/>
      </xdr:nvSpPr>
      <xdr:spPr>
        <a:xfrm>
          <a:off x="16735978" y="5857469"/>
          <a:ext cx="515384" cy="4964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latin typeface="Verdana Pro" panose="020B0604030504040204" pitchFamily="34" charset="0"/>
              <a:cs typeface="Times New Roman" panose="02020603050405020304" pitchFamily="18" charset="0"/>
            </a:rPr>
            <a:t>B)</a:t>
          </a:r>
          <a:endParaRPr lang="en-NL" sz="1400" b="1">
            <a:latin typeface="Verdana Pro" panose="020B0604030504040204" pitchFamily="34" charset="0"/>
            <a:cs typeface="Times New Roman" panose="02020603050405020304" pitchFamily="18" charset="0"/>
          </a:endParaRPr>
        </a:p>
      </xdr:txBody>
    </xdr:sp>
    <xdr:clientData/>
  </xdr:twoCellAnchor>
  <xdr:twoCellAnchor>
    <xdr:from>
      <xdr:col>16</xdr:col>
      <xdr:colOff>47625</xdr:colOff>
      <xdr:row>80</xdr:row>
      <xdr:rowOff>85725</xdr:rowOff>
    </xdr:from>
    <xdr:to>
      <xdr:col>16</xdr:col>
      <xdr:colOff>450208</xdr:colOff>
      <xdr:row>83</xdr:row>
      <xdr:rowOff>32741</xdr:rowOff>
    </xdr:to>
    <xdr:sp macro="" textlink="">
      <xdr:nvSpPr>
        <xdr:cNvPr id="9" name="TextBox 8">
          <a:extLst>
            <a:ext uri="{FF2B5EF4-FFF2-40B4-BE49-F238E27FC236}">
              <a16:creationId xmlns:a16="http://schemas.microsoft.com/office/drawing/2014/main" id="{E2131E0B-FCE2-4477-842D-33D037703783}"/>
            </a:ext>
          </a:extLst>
        </xdr:cNvPr>
        <xdr:cNvSpPr txBox="1"/>
      </xdr:nvSpPr>
      <xdr:spPr>
        <a:xfrm>
          <a:off x="16621125" y="14420850"/>
          <a:ext cx="402583" cy="470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n-GB" sz="1200" b="1">
              <a:latin typeface="Verdana Pro" panose="020B0604030504040204" pitchFamily="34" charset="0"/>
              <a:cs typeface="Times New Roman" panose="02020603050405020304" pitchFamily="18" charset="0"/>
            </a:rPr>
            <a:t>C)</a:t>
          </a:r>
          <a:endParaRPr lang="en-NL" sz="1200" b="1">
            <a:latin typeface="Verdana Pro" panose="020B0604030504040204" pitchFamily="34" charset="0"/>
            <a:cs typeface="Times New Roman" panose="02020603050405020304" pitchFamily="18" charset="0"/>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36</xdr:col>
      <xdr:colOff>517071</xdr:colOff>
      <xdr:row>19</xdr:row>
      <xdr:rowOff>54429</xdr:rowOff>
    </xdr:from>
    <xdr:to>
      <xdr:col>48</xdr:col>
      <xdr:colOff>836839</xdr:colOff>
      <xdr:row>40</xdr:row>
      <xdr:rowOff>156709</xdr:rowOff>
    </xdr:to>
    <xdr:graphicFrame macro="">
      <xdr:nvGraphicFramePr>
        <xdr:cNvPr id="9" name="Chart 8">
          <a:extLst>
            <a:ext uri="{FF2B5EF4-FFF2-40B4-BE49-F238E27FC236}">
              <a16:creationId xmlns:a16="http://schemas.microsoft.com/office/drawing/2014/main" id="{20C9D184-50B6-458F-98A0-2756C953C5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36</xdr:col>
      <xdr:colOff>171450</xdr:colOff>
      <xdr:row>59</xdr:row>
      <xdr:rowOff>19050</xdr:rowOff>
    </xdr:from>
    <xdr:to>
      <xdr:col>48</xdr:col>
      <xdr:colOff>488043</xdr:colOff>
      <xdr:row>80</xdr:row>
      <xdr:rowOff>124505</xdr:rowOff>
    </xdr:to>
    <xdr:graphicFrame macro="">
      <xdr:nvGraphicFramePr>
        <xdr:cNvPr id="10" name="Chart 9">
          <a:extLst>
            <a:ext uri="{FF2B5EF4-FFF2-40B4-BE49-F238E27FC236}">
              <a16:creationId xmlns:a16="http://schemas.microsoft.com/office/drawing/2014/main" id="{BA14BE69-614C-44D2-B749-24A573B4BE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36</xdr:col>
      <xdr:colOff>0</xdr:colOff>
      <xdr:row>99</xdr:row>
      <xdr:rowOff>0</xdr:rowOff>
    </xdr:from>
    <xdr:to>
      <xdr:col>48</xdr:col>
      <xdr:colOff>316593</xdr:colOff>
      <xdr:row>121</xdr:row>
      <xdr:rowOff>105455</xdr:rowOff>
    </xdr:to>
    <xdr:graphicFrame macro="">
      <xdr:nvGraphicFramePr>
        <xdr:cNvPr id="11" name="Chart 10">
          <a:extLst>
            <a:ext uri="{FF2B5EF4-FFF2-40B4-BE49-F238E27FC236}">
              <a16:creationId xmlns:a16="http://schemas.microsoft.com/office/drawing/2014/main" id="{1BA3D811-4066-4F1D-9C44-2EBD234E46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0</xdr:colOff>
      <xdr:row>141</xdr:row>
      <xdr:rowOff>0</xdr:rowOff>
    </xdr:from>
    <xdr:to>
      <xdr:col>46</xdr:col>
      <xdr:colOff>406615</xdr:colOff>
      <xdr:row>162</xdr:row>
      <xdr:rowOff>85268</xdr:rowOff>
    </xdr:to>
    <xdr:graphicFrame macro="">
      <xdr:nvGraphicFramePr>
        <xdr:cNvPr id="8" name="Chart 7">
          <a:extLst>
            <a:ext uri="{FF2B5EF4-FFF2-40B4-BE49-F238E27FC236}">
              <a16:creationId xmlns:a16="http://schemas.microsoft.com/office/drawing/2014/main" id="{8AB9092D-B5F4-494B-BBF5-F53E116F1D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34</xdr:col>
      <xdr:colOff>0</xdr:colOff>
      <xdr:row>182</xdr:row>
      <xdr:rowOff>0</xdr:rowOff>
    </xdr:from>
    <xdr:to>
      <xdr:col>46</xdr:col>
      <xdr:colOff>406615</xdr:colOff>
      <xdr:row>203</xdr:row>
      <xdr:rowOff>85268</xdr:rowOff>
    </xdr:to>
    <xdr:graphicFrame macro="">
      <xdr:nvGraphicFramePr>
        <xdr:cNvPr id="15" name="Chart 14">
          <a:extLst>
            <a:ext uri="{FF2B5EF4-FFF2-40B4-BE49-F238E27FC236}">
              <a16:creationId xmlns:a16="http://schemas.microsoft.com/office/drawing/2014/main" id="{F96B44F5-8C5E-42BC-AF9D-7FB2728596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34</xdr:col>
      <xdr:colOff>0</xdr:colOff>
      <xdr:row>223</xdr:row>
      <xdr:rowOff>0</xdr:rowOff>
    </xdr:from>
    <xdr:to>
      <xdr:col>46</xdr:col>
      <xdr:colOff>406615</xdr:colOff>
      <xdr:row>244</xdr:row>
      <xdr:rowOff>85268</xdr:rowOff>
    </xdr:to>
    <xdr:graphicFrame macro="">
      <xdr:nvGraphicFramePr>
        <xdr:cNvPr id="16" name="Chart 15">
          <a:extLst>
            <a:ext uri="{FF2B5EF4-FFF2-40B4-BE49-F238E27FC236}">
              <a16:creationId xmlns:a16="http://schemas.microsoft.com/office/drawing/2014/main" id="{D85AA4E5-F208-411D-BBB2-7A2E6E3DE9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34</xdr:col>
      <xdr:colOff>0</xdr:colOff>
      <xdr:row>283</xdr:row>
      <xdr:rowOff>0</xdr:rowOff>
    </xdr:from>
    <xdr:to>
      <xdr:col>46</xdr:col>
      <xdr:colOff>406615</xdr:colOff>
      <xdr:row>305</xdr:row>
      <xdr:rowOff>85268</xdr:rowOff>
    </xdr:to>
    <xdr:graphicFrame macro="">
      <xdr:nvGraphicFramePr>
        <xdr:cNvPr id="17" name="Chart 16">
          <a:extLst>
            <a:ext uri="{FF2B5EF4-FFF2-40B4-BE49-F238E27FC236}">
              <a16:creationId xmlns:a16="http://schemas.microsoft.com/office/drawing/2014/main" id="{A8322CCF-13B1-46C8-A190-DEC9D3B66E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34</xdr:col>
      <xdr:colOff>0</xdr:colOff>
      <xdr:row>343</xdr:row>
      <xdr:rowOff>0</xdr:rowOff>
    </xdr:from>
    <xdr:to>
      <xdr:col>46</xdr:col>
      <xdr:colOff>406615</xdr:colOff>
      <xdr:row>365</xdr:row>
      <xdr:rowOff>85268</xdr:rowOff>
    </xdr:to>
    <xdr:graphicFrame macro="">
      <xdr:nvGraphicFramePr>
        <xdr:cNvPr id="18" name="Chart 17">
          <a:extLst>
            <a:ext uri="{FF2B5EF4-FFF2-40B4-BE49-F238E27FC236}">
              <a16:creationId xmlns:a16="http://schemas.microsoft.com/office/drawing/2014/main" id="{4515598C-EB06-4552-885A-18087EFEE7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34</xdr:col>
      <xdr:colOff>0</xdr:colOff>
      <xdr:row>404</xdr:row>
      <xdr:rowOff>0</xdr:rowOff>
    </xdr:from>
    <xdr:to>
      <xdr:col>46</xdr:col>
      <xdr:colOff>406615</xdr:colOff>
      <xdr:row>426</xdr:row>
      <xdr:rowOff>85268</xdr:rowOff>
    </xdr:to>
    <xdr:graphicFrame macro="">
      <xdr:nvGraphicFramePr>
        <xdr:cNvPr id="19" name="Chart 18">
          <a:extLst>
            <a:ext uri="{FF2B5EF4-FFF2-40B4-BE49-F238E27FC236}">
              <a16:creationId xmlns:a16="http://schemas.microsoft.com/office/drawing/2014/main" id="{2B19B60C-8048-48BE-A71D-AF65E1F43E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34</xdr:col>
      <xdr:colOff>0</xdr:colOff>
      <xdr:row>19</xdr:row>
      <xdr:rowOff>0</xdr:rowOff>
    </xdr:from>
    <xdr:to>
      <xdr:col>46</xdr:col>
      <xdr:colOff>412965</xdr:colOff>
      <xdr:row>40</xdr:row>
      <xdr:rowOff>85268</xdr:rowOff>
    </xdr:to>
    <xdr:graphicFrame macro="">
      <xdr:nvGraphicFramePr>
        <xdr:cNvPr id="2" name="Chart 1">
          <a:extLst>
            <a:ext uri="{FF2B5EF4-FFF2-40B4-BE49-F238E27FC236}">
              <a16:creationId xmlns:a16="http://schemas.microsoft.com/office/drawing/2014/main" id="{03693A8C-E4B8-4951-87A7-D66A64E68D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0</xdr:colOff>
      <xdr:row>59</xdr:row>
      <xdr:rowOff>0</xdr:rowOff>
    </xdr:from>
    <xdr:to>
      <xdr:col>46</xdr:col>
      <xdr:colOff>406615</xdr:colOff>
      <xdr:row>80</xdr:row>
      <xdr:rowOff>85268</xdr:rowOff>
    </xdr:to>
    <xdr:graphicFrame macro="">
      <xdr:nvGraphicFramePr>
        <xdr:cNvPr id="3" name="Chart 2">
          <a:extLst>
            <a:ext uri="{FF2B5EF4-FFF2-40B4-BE49-F238E27FC236}">
              <a16:creationId xmlns:a16="http://schemas.microsoft.com/office/drawing/2014/main" id="{6FAAB523-C258-4415-9E7E-57E71366B2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xdr:col>
      <xdr:colOff>0</xdr:colOff>
      <xdr:row>99</xdr:row>
      <xdr:rowOff>0</xdr:rowOff>
    </xdr:from>
    <xdr:to>
      <xdr:col>46</xdr:col>
      <xdr:colOff>406615</xdr:colOff>
      <xdr:row>120</xdr:row>
      <xdr:rowOff>85268</xdr:rowOff>
    </xdr:to>
    <xdr:graphicFrame macro="">
      <xdr:nvGraphicFramePr>
        <xdr:cNvPr id="4" name="Chart 3">
          <a:extLst>
            <a:ext uri="{FF2B5EF4-FFF2-40B4-BE49-F238E27FC236}">
              <a16:creationId xmlns:a16="http://schemas.microsoft.com/office/drawing/2014/main" id="{B9AB1DB2-5EA5-4009-9A61-C02B2E9EDD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0</xdr:colOff>
      <xdr:row>141</xdr:row>
      <xdr:rowOff>0</xdr:rowOff>
    </xdr:from>
    <xdr:to>
      <xdr:col>46</xdr:col>
      <xdr:colOff>406615</xdr:colOff>
      <xdr:row>162</xdr:row>
      <xdr:rowOff>85268</xdr:rowOff>
    </xdr:to>
    <xdr:graphicFrame macro="">
      <xdr:nvGraphicFramePr>
        <xdr:cNvPr id="5" name="Chart 4">
          <a:extLst>
            <a:ext uri="{FF2B5EF4-FFF2-40B4-BE49-F238E27FC236}">
              <a16:creationId xmlns:a16="http://schemas.microsoft.com/office/drawing/2014/main" id="{0C0B0677-DA51-499F-9B6C-830A6FD714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34</xdr:col>
      <xdr:colOff>0</xdr:colOff>
      <xdr:row>182</xdr:row>
      <xdr:rowOff>0</xdr:rowOff>
    </xdr:from>
    <xdr:to>
      <xdr:col>46</xdr:col>
      <xdr:colOff>406615</xdr:colOff>
      <xdr:row>203</xdr:row>
      <xdr:rowOff>85268</xdr:rowOff>
    </xdr:to>
    <xdr:graphicFrame macro="">
      <xdr:nvGraphicFramePr>
        <xdr:cNvPr id="6" name="Chart 5">
          <a:extLst>
            <a:ext uri="{FF2B5EF4-FFF2-40B4-BE49-F238E27FC236}">
              <a16:creationId xmlns:a16="http://schemas.microsoft.com/office/drawing/2014/main" id="{D6C3509F-313E-4455-8310-BC51076B72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34</xdr:col>
      <xdr:colOff>0</xdr:colOff>
      <xdr:row>223</xdr:row>
      <xdr:rowOff>0</xdr:rowOff>
    </xdr:from>
    <xdr:to>
      <xdr:col>46</xdr:col>
      <xdr:colOff>406615</xdr:colOff>
      <xdr:row>244</xdr:row>
      <xdr:rowOff>85268</xdr:rowOff>
    </xdr:to>
    <xdr:graphicFrame macro="">
      <xdr:nvGraphicFramePr>
        <xdr:cNvPr id="7" name="Chart 6">
          <a:extLst>
            <a:ext uri="{FF2B5EF4-FFF2-40B4-BE49-F238E27FC236}">
              <a16:creationId xmlns:a16="http://schemas.microsoft.com/office/drawing/2014/main" id="{A672F374-B906-46B1-987C-6CF5BB81DD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34</xdr:col>
      <xdr:colOff>0</xdr:colOff>
      <xdr:row>283</xdr:row>
      <xdr:rowOff>0</xdr:rowOff>
    </xdr:from>
    <xdr:to>
      <xdr:col>46</xdr:col>
      <xdr:colOff>406615</xdr:colOff>
      <xdr:row>305</xdr:row>
      <xdr:rowOff>85268</xdr:rowOff>
    </xdr:to>
    <xdr:graphicFrame macro="">
      <xdr:nvGraphicFramePr>
        <xdr:cNvPr id="8" name="Chart 7">
          <a:extLst>
            <a:ext uri="{FF2B5EF4-FFF2-40B4-BE49-F238E27FC236}">
              <a16:creationId xmlns:a16="http://schemas.microsoft.com/office/drawing/2014/main" id="{446EC3C2-8154-48F0-A86B-BE84622986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34</xdr:col>
      <xdr:colOff>0</xdr:colOff>
      <xdr:row>343</xdr:row>
      <xdr:rowOff>0</xdr:rowOff>
    </xdr:from>
    <xdr:to>
      <xdr:col>46</xdr:col>
      <xdr:colOff>406615</xdr:colOff>
      <xdr:row>365</xdr:row>
      <xdr:rowOff>85268</xdr:rowOff>
    </xdr:to>
    <xdr:graphicFrame macro="">
      <xdr:nvGraphicFramePr>
        <xdr:cNvPr id="9" name="Chart 8">
          <a:extLst>
            <a:ext uri="{FF2B5EF4-FFF2-40B4-BE49-F238E27FC236}">
              <a16:creationId xmlns:a16="http://schemas.microsoft.com/office/drawing/2014/main" id="{335F1557-3CB9-4F98-A98A-53181EE814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34</xdr:col>
      <xdr:colOff>0</xdr:colOff>
      <xdr:row>404</xdr:row>
      <xdr:rowOff>0</xdr:rowOff>
    </xdr:from>
    <xdr:to>
      <xdr:col>46</xdr:col>
      <xdr:colOff>406615</xdr:colOff>
      <xdr:row>426</xdr:row>
      <xdr:rowOff>85268</xdr:rowOff>
    </xdr:to>
    <xdr:graphicFrame macro="">
      <xdr:nvGraphicFramePr>
        <xdr:cNvPr id="10" name="Chart 9">
          <a:extLst>
            <a:ext uri="{FF2B5EF4-FFF2-40B4-BE49-F238E27FC236}">
              <a16:creationId xmlns:a16="http://schemas.microsoft.com/office/drawing/2014/main" id="{9EC4E699-FD7B-4EE1-8B5A-6E8255596C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34</xdr:col>
      <xdr:colOff>0</xdr:colOff>
      <xdr:row>19</xdr:row>
      <xdr:rowOff>0</xdr:rowOff>
    </xdr:from>
    <xdr:to>
      <xdr:col>46</xdr:col>
      <xdr:colOff>412750</xdr:colOff>
      <xdr:row>40</xdr:row>
      <xdr:rowOff>134938</xdr:rowOff>
    </xdr:to>
    <xdr:graphicFrame macro="">
      <xdr:nvGraphicFramePr>
        <xdr:cNvPr id="2" name="Chart 1">
          <a:extLst>
            <a:ext uri="{FF2B5EF4-FFF2-40B4-BE49-F238E27FC236}">
              <a16:creationId xmlns:a16="http://schemas.microsoft.com/office/drawing/2014/main" id="{41F56246-EF63-43C8-8770-622CDC88AC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0</xdr:colOff>
      <xdr:row>59</xdr:row>
      <xdr:rowOff>0</xdr:rowOff>
    </xdr:from>
    <xdr:to>
      <xdr:col>46</xdr:col>
      <xdr:colOff>406400</xdr:colOff>
      <xdr:row>80</xdr:row>
      <xdr:rowOff>134938</xdr:rowOff>
    </xdr:to>
    <xdr:graphicFrame macro="">
      <xdr:nvGraphicFramePr>
        <xdr:cNvPr id="3" name="Chart 2">
          <a:extLst>
            <a:ext uri="{FF2B5EF4-FFF2-40B4-BE49-F238E27FC236}">
              <a16:creationId xmlns:a16="http://schemas.microsoft.com/office/drawing/2014/main" id="{C4AA4558-9C45-4C39-8612-4BF71037ED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xdr:col>
      <xdr:colOff>0</xdr:colOff>
      <xdr:row>99</xdr:row>
      <xdr:rowOff>0</xdr:rowOff>
    </xdr:from>
    <xdr:to>
      <xdr:col>46</xdr:col>
      <xdr:colOff>406400</xdr:colOff>
      <xdr:row>120</xdr:row>
      <xdr:rowOff>134938</xdr:rowOff>
    </xdr:to>
    <xdr:graphicFrame macro="">
      <xdr:nvGraphicFramePr>
        <xdr:cNvPr id="4" name="Chart 3">
          <a:extLst>
            <a:ext uri="{FF2B5EF4-FFF2-40B4-BE49-F238E27FC236}">
              <a16:creationId xmlns:a16="http://schemas.microsoft.com/office/drawing/2014/main" id="{CAC5389A-69AA-4878-8857-B8E3088D49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0</xdr:colOff>
      <xdr:row>141</xdr:row>
      <xdr:rowOff>0</xdr:rowOff>
    </xdr:from>
    <xdr:to>
      <xdr:col>46</xdr:col>
      <xdr:colOff>406615</xdr:colOff>
      <xdr:row>162</xdr:row>
      <xdr:rowOff>85268</xdr:rowOff>
    </xdr:to>
    <xdr:graphicFrame macro="">
      <xdr:nvGraphicFramePr>
        <xdr:cNvPr id="5" name="Chart 4">
          <a:extLst>
            <a:ext uri="{FF2B5EF4-FFF2-40B4-BE49-F238E27FC236}">
              <a16:creationId xmlns:a16="http://schemas.microsoft.com/office/drawing/2014/main" id="{A434A423-B8DF-484E-B7D0-42CF8544A2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34</xdr:col>
      <xdr:colOff>0</xdr:colOff>
      <xdr:row>182</xdr:row>
      <xdr:rowOff>0</xdr:rowOff>
    </xdr:from>
    <xdr:to>
      <xdr:col>46</xdr:col>
      <xdr:colOff>406615</xdr:colOff>
      <xdr:row>203</xdr:row>
      <xdr:rowOff>85268</xdr:rowOff>
    </xdr:to>
    <xdr:graphicFrame macro="">
      <xdr:nvGraphicFramePr>
        <xdr:cNvPr id="6" name="Chart 5">
          <a:extLst>
            <a:ext uri="{FF2B5EF4-FFF2-40B4-BE49-F238E27FC236}">
              <a16:creationId xmlns:a16="http://schemas.microsoft.com/office/drawing/2014/main" id="{A4CF47B8-03A9-4392-932A-20CFD942E2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34</xdr:col>
      <xdr:colOff>0</xdr:colOff>
      <xdr:row>223</xdr:row>
      <xdr:rowOff>0</xdr:rowOff>
    </xdr:from>
    <xdr:to>
      <xdr:col>46</xdr:col>
      <xdr:colOff>406615</xdr:colOff>
      <xdr:row>244</xdr:row>
      <xdr:rowOff>85268</xdr:rowOff>
    </xdr:to>
    <xdr:graphicFrame macro="">
      <xdr:nvGraphicFramePr>
        <xdr:cNvPr id="7" name="Chart 6">
          <a:extLst>
            <a:ext uri="{FF2B5EF4-FFF2-40B4-BE49-F238E27FC236}">
              <a16:creationId xmlns:a16="http://schemas.microsoft.com/office/drawing/2014/main" id="{CCA34268-B25D-49E1-AA72-3F7E622655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34</xdr:col>
      <xdr:colOff>0</xdr:colOff>
      <xdr:row>283</xdr:row>
      <xdr:rowOff>0</xdr:rowOff>
    </xdr:from>
    <xdr:to>
      <xdr:col>46</xdr:col>
      <xdr:colOff>406615</xdr:colOff>
      <xdr:row>305</xdr:row>
      <xdr:rowOff>85268</xdr:rowOff>
    </xdr:to>
    <xdr:graphicFrame macro="">
      <xdr:nvGraphicFramePr>
        <xdr:cNvPr id="8" name="Chart 7">
          <a:extLst>
            <a:ext uri="{FF2B5EF4-FFF2-40B4-BE49-F238E27FC236}">
              <a16:creationId xmlns:a16="http://schemas.microsoft.com/office/drawing/2014/main" id="{98A9A45C-66B9-4D03-936F-4F9496F2FE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34</xdr:col>
      <xdr:colOff>0</xdr:colOff>
      <xdr:row>343</xdr:row>
      <xdr:rowOff>0</xdr:rowOff>
    </xdr:from>
    <xdr:to>
      <xdr:col>46</xdr:col>
      <xdr:colOff>406615</xdr:colOff>
      <xdr:row>365</xdr:row>
      <xdr:rowOff>85268</xdr:rowOff>
    </xdr:to>
    <xdr:graphicFrame macro="">
      <xdr:nvGraphicFramePr>
        <xdr:cNvPr id="9" name="Chart 8">
          <a:extLst>
            <a:ext uri="{FF2B5EF4-FFF2-40B4-BE49-F238E27FC236}">
              <a16:creationId xmlns:a16="http://schemas.microsoft.com/office/drawing/2014/main" id="{31A5C401-DE67-42CB-923A-D3FB795D94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34</xdr:col>
      <xdr:colOff>0</xdr:colOff>
      <xdr:row>404</xdr:row>
      <xdr:rowOff>0</xdr:rowOff>
    </xdr:from>
    <xdr:to>
      <xdr:col>46</xdr:col>
      <xdr:colOff>406615</xdr:colOff>
      <xdr:row>426</xdr:row>
      <xdr:rowOff>85268</xdr:rowOff>
    </xdr:to>
    <xdr:graphicFrame macro="">
      <xdr:nvGraphicFramePr>
        <xdr:cNvPr id="10" name="Chart 9">
          <a:extLst>
            <a:ext uri="{FF2B5EF4-FFF2-40B4-BE49-F238E27FC236}">
              <a16:creationId xmlns:a16="http://schemas.microsoft.com/office/drawing/2014/main" id="{9B00AC56-CAD1-456D-A098-8E8ED75A50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34</xdr:col>
      <xdr:colOff>0</xdr:colOff>
      <xdr:row>19</xdr:row>
      <xdr:rowOff>0</xdr:rowOff>
    </xdr:from>
    <xdr:to>
      <xdr:col>46</xdr:col>
      <xdr:colOff>412965</xdr:colOff>
      <xdr:row>40</xdr:row>
      <xdr:rowOff>85268</xdr:rowOff>
    </xdr:to>
    <xdr:graphicFrame macro="">
      <xdr:nvGraphicFramePr>
        <xdr:cNvPr id="2" name="Chart 1">
          <a:extLst>
            <a:ext uri="{FF2B5EF4-FFF2-40B4-BE49-F238E27FC236}">
              <a16:creationId xmlns:a16="http://schemas.microsoft.com/office/drawing/2014/main" id="{B031437E-9463-4AA4-8868-FAA04069F6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0</xdr:colOff>
      <xdr:row>59</xdr:row>
      <xdr:rowOff>0</xdr:rowOff>
    </xdr:from>
    <xdr:to>
      <xdr:col>46</xdr:col>
      <xdr:colOff>406615</xdr:colOff>
      <xdr:row>80</xdr:row>
      <xdr:rowOff>85268</xdr:rowOff>
    </xdr:to>
    <xdr:graphicFrame macro="">
      <xdr:nvGraphicFramePr>
        <xdr:cNvPr id="3" name="Chart 2">
          <a:extLst>
            <a:ext uri="{FF2B5EF4-FFF2-40B4-BE49-F238E27FC236}">
              <a16:creationId xmlns:a16="http://schemas.microsoft.com/office/drawing/2014/main" id="{17503CCA-80C6-440F-A576-F3CAE6C88A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xdr:col>
      <xdr:colOff>0</xdr:colOff>
      <xdr:row>99</xdr:row>
      <xdr:rowOff>0</xdr:rowOff>
    </xdr:from>
    <xdr:to>
      <xdr:col>46</xdr:col>
      <xdr:colOff>406615</xdr:colOff>
      <xdr:row>120</xdr:row>
      <xdr:rowOff>85268</xdr:rowOff>
    </xdr:to>
    <xdr:graphicFrame macro="">
      <xdr:nvGraphicFramePr>
        <xdr:cNvPr id="4" name="Chart 3">
          <a:extLst>
            <a:ext uri="{FF2B5EF4-FFF2-40B4-BE49-F238E27FC236}">
              <a16:creationId xmlns:a16="http://schemas.microsoft.com/office/drawing/2014/main" id="{51A38E5A-5455-4378-83A1-10477C4ABB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0</xdr:colOff>
      <xdr:row>141</xdr:row>
      <xdr:rowOff>0</xdr:rowOff>
    </xdr:from>
    <xdr:to>
      <xdr:col>46</xdr:col>
      <xdr:colOff>406615</xdr:colOff>
      <xdr:row>162</xdr:row>
      <xdr:rowOff>85268</xdr:rowOff>
    </xdr:to>
    <xdr:graphicFrame macro="">
      <xdr:nvGraphicFramePr>
        <xdr:cNvPr id="5" name="Chart 4">
          <a:extLst>
            <a:ext uri="{FF2B5EF4-FFF2-40B4-BE49-F238E27FC236}">
              <a16:creationId xmlns:a16="http://schemas.microsoft.com/office/drawing/2014/main" id="{4E651BF2-CAEF-432F-AFFB-F449F3CEA1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34</xdr:col>
      <xdr:colOff>0</xdr:colOff>
      <xdr:row>182</xdr:row>
      <xdr:rowOff>0</xdr:rowOff>
    </xdr:from>
    <xdr:to>
      <xdr:col>46</xdr:col>
      <xdr:colOff>406615</xdr:colOff>
      <xdr:row>203</xdr:row>
      <xdr:rowOff>85268</xdr:rowOff>
    </xdr:to>
    <xdr:graphicFrame macro="">
      <xdr:nvGraphicFramePr>
        <xdr:cNvPr id="6" name="Chart 5">
          <a:extLst>
            <a:ext uri="{FF2B5EF4-FFF2-40B4-BE49-F238E27FC236}">
              <a16:creationId xmlns:a16="http://schemas.microsoft.com/office/drawing/2014/main" id="{B1AF9EDF-5FD1-4FB5-B75B-74170A880C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34</xdr:col>
      <xdr:colOff>0</xdr:colOff>
      <xdr:row>223</xdr:row>
      <xdr:rowOff>0</xdr:rowOff>
    </xdr:from>
    <xdr:to>
      <xdr:col>46</xdr:col>
      <xdr:colOff>406615</xdr:colOff>
      <xdr:row>244</xdr:row>
      <xdr:rowOff>85268</xdr:rowOff>
    </xdr:to>
    <xdr:graphicFrame macro="">
      <xdr:nvGraphicFramePr>
        <xdr:cNvPr id="7" name="Chart 6">
          <a:extLst>
            <a:ext uri="{FF2B5EF4-FFF2-40B4-BE49-F238E27FC236}">
              <a16:creationId xmlns:a16="http://schemas.microsoft.com/office/drawing/2014/main" id="{7AC46943-07DE-459D-8479-62BFF9D8B0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34</xdr:col>
      <xdr:colOff>0</xdr:colOff>
      <xdr:row>283</xdr:row>
      <xdr:rowOff>0</xdr:rowOff>
    </xdr:from>
    <xdr:to>
      <xdr:col>46</xdr:col>
      <xdr:colOff>406615</xdr:colOff>
      <xdr:row>305</xdr:row>
      <xdr:rowOff>85268</xdr:rowOff>
    </xdr:to>
    <xdr:graphicFrame macro="">
      <xdr:nvGraphicFramePr>
        <xdr:cNvPr id="8" name="Chart 7">
          <a:extLst>
            <a:ext uri="{FF2B5EF4-FFF2-40B4-BE49-F238E27FC236}">
              <a16:creationId xmlns:a16="http://schemas.microsoft.com/office/drawing/2014/main" id="{7C69F1B3-75B0-4BD2-AD57-49CEAF42D6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34</xdr:col>
      <xdr:colOff>0</xdr:colOff>
      <xdr:row>343</xdr:row>
      <xdr:rowOff>0</xdr:rowOff>
    </xdr:from>
    <xdr:to>
      <xdr:col>46</xdr:col>
      <xdr:colOff>406615</xdr:colOff>
      <xdr:row>365</xdr:row>
      <xdr:rowOff>85268</xdr:rowOff>
    </xdr:to>
    <xdr:graphicFrame macro="">
      <xdr:nvGraphicFramePr>
        <xdr:cNvPr id="9" name="Chart 8">
          <a:extLst>
            <a:ext uri="{FF2B5EF4-FFF2-40B4-BE49-F238E27FC236}">
              <a16:creationId xmlns:a16="http://schemas.microsoft.com/office/drawing/2014/main" id="{C09F5447-8DE0-4039-A174-80A8F0CF01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34</xdr:col>
      <xdr:colOff>0</xdr:colOff>
      <xdr:row>404</xdr:row>
      <xdr:rowOff>0</xdr:rowOff>
    </xdr:from>
    <xdr:to>
      <xdr:col>46</xdr:col>
      <xdr:colOff>406615</xdr:colOff>
      <xdr:row>426</xdr:row>
      <xdr:rowOff>85268</xdr:rowOff>
    </xdr:to>
    <xdr:graphicFrame macro="">
      <xdr:nvGraphicFramePr>
        <xdr:cNvPr id="10" name="Chart 9">
          <a:extLst>
            <a:ext uri="{FF2B5EF4-FFF2-40B4-BE49-F238E27FC236}">
              <a16:creationId xmlns:a16="http://schemas.microsoft.com/office/drawing/2014/main" id="{E0CF3018-0F63-42C6-B721-02462BCEF5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34</xdr:col>
      <xdr:colOff>0</xdr:colOff>
      <xdr:row>19</xdr:row>
      <xdr:rowOff>0</xdr:rowOff>
    </xdr:from>
    <xdr:to>
      <xdr:col>46</xdr:col>
      <xdr:colOff>333375</xdr:colOff>
      <xdr:row>39</xdr:row>
      <xdr:rowOff>14288</xdr:rowOff>
    </xdr:to>
    <xdr:graphicFrame macro="">
      <xdr:nvGraphicFramePr>
        <xdr:cNvPr id="2" name="Chart 1">
          <a:extLst>
            <a:ext uri="{FF2B5EF4-FFF2-40B4-BE49-F238E27FC236}">
              <a16:creationId xmlns:a16="http://schemas.microsoft.com/office/drawing/2014/main" id="{9160D4F8-23AA-44DF-A473-26D5FC333C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19050</xdr:colOff>
      <xdr:row>59</xdr:row>
      <xdr:rowOff>19050</xdr:rowOff>
    </xdr:from>
    <xdr:to>
      <xdr:col>46</xdr:col>
      <xdr:colOff>349250</xdr:colOff>
      <xdr:row>79</xdr:row>
      <xdr:rowOff>30163</xdr:rowOff>
    </xdr:to>
    <xdr:graphicFrame macro="">
      <xdr:nvGraphicFramePr>
        <xdr:cNvPr id="3" name="Chart 2">
          <a:extLst>
            <a:ext uri="{FF2B5EF4-FFF2-40B4-BE49-F238E27FC236}">
              <a16:creationId xmlns:a16="http://schemas.microsoft.com/office/drawing/2014/main" id="{FEA69C98-B3F6-42C0-9B6F-935A7D3CF8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xdr:col>
      <xdr:colOff>0</xdr:colOff>
      <xdr:row>99</xdr:row>
      <xdr:rowOff>0</xdr:rowOff>
    </xdr:from>
    <xdr:to>
      <xdr:col>46</xdr:col>
      <xdr:colOff>330200</xdr:colOff>
      <xdr:row>119</xdr:row>
      <xdr:rowOff>11113</xdr:rowOff>
    </xdr:to>
    <xdr:graphicFrame macro="">
      <xdr:nvGraphicFramePr>
        <xdr:cNvPr id="4" name="Chart 3">
          <a:extLst>
            <a:ext uri="{FF2B5EF4-FFF2-40B4-BE49-F238E27FC236}">
              <a16:creationId xmlns:a16="http://schemas.microsoft.com/office/drawing/2014/main" id="{0C1E03EA-F3C1-4467-9785-AFE0C2485C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0</xdr:colOff>
      <xdr:row>141</xdr:row>
      <xdr:rowOff>0</xdr:rowOff>
    </xdr:from>
    <xdr:to>
      <xdr:col>46</xdr:col>
      <xdr:colOff>406615</xdr:colOff>
      <xdr:row>162</xdr:row>
      <xdr:rowOff>85268</xdr:rowOff>
    </xdr:to>
    <xdr:graphicFrame macro="">
      <xdr:nvGraphicFramePr>
        <xdr:cNvPr id="5" name="Chart 4">
          <a:extLst>
            <a:ext uri="{FF2B5EF4-FFF2-40B4-BE49-F238E27FC236}">
              <a16:creationId xmlns:a16="http://schemas.microsoft.com/office/drawing/2014/main" id="{98D866C7-F596-4680-A1A9-6A6F8FEA22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34</xdr:col>
      <xdr:colOff>0</xdr:colOff>
      <xdr:row>182</xdr:row>
      <xdr:rowOff>0</xdr:rowOff>
    </xdr:from>
    <xdr:to>
      <xdr:col>46</xdr:col>
      <xdr:colOff>406615</xdr:colOff>
      <xdr:row>203</xdr:row>
      <xdr:rowOff>85268</xdr:rowOff>
    </xdr:to>
    <xdr:graphicFrame macro="">
      <xdr:nvGraphicFramePr>
        <xdr:cNvPr id="6" name="Chart 5">
          <a:extLst>
            <a:ext uri="{FF2B5EF4-FFF2-40B4-BE49-F238E27FC236}">
              <a16:creationId xmlns:a16="http://schemas.microsoft.com/office/drawing/2014/main" id="{D904D4C8-0053-424B-954F-C35E37E98B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34</xdr:col>
      <xdr:colOff>0</xdr:colOff>
      <xdr:row>223</xdr:row>
      <xdr:rowOff>0</xdr:rowOff>
    </xdr:from>
    <xdr:to>
      <xdr:col>46</xdr:col>
      <xdr:colOff>406615</xdr:colOff>
      <xdr:row>244</xdr:row>
      <xdr:rowOff>85268</xdr:rowOff>
    </xdr:to>
    <xdr:graphicFrame macro="">
      <xdr:nvGraphicFramePr>
        <xdr:cNvPr id="7" name="Chart 6">
          <a:extLst>
            <a:ext uri="{FF2B5EF4-FFF2-40B4-BE49-F238E27FC236}">
              <a16:creationId xmlns:a16="http://schemas.microsoft.com/office/drawing/2014/main" id="{D9B5BF45-4DEF-4C7A-AFBC-E9AFD56B39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34</xdr:col>
      <xdr:colOff>0</xdr:colOff>
      <xdr:row>283</xdr:row>
      <xdr:rowOff>0</xdr:rowOff>
    </xdr:from>
    <xdr:to>
      <xdr:col>46</xdr:col>
      <xdr:colOff>406615</xdr:colOff>
      <xdr:row>305</xdr:row>
      <xdr:rowOff>85268</xdr:rowOff>
    </xdr:to>
    <xdr:graphicFrame macro="">
      <xdr:nvGraphicFramePr>
        <xdr:cNvPr id="8" name="Chart 7">
          <a:extLst>
            <a:ext uri="{FF2B5EF4-FFF2-40B4-BE49-F238E27FC236}">
              <a16:creationId xmlns:a16="http://schemas.microsoft.com/office/drawing/2014/main" id="{A7E01A61-7B3E-4B69-B0E9-D671E2BDD5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34</xdr:col>
      <xdr:colOff>0</xdr:colOff>
      <xdr:row>343</xdr:row>
      <xdr:rowOff>0</xdr:rowOff>
    </xdr:from>
    <xdr:to>
      <xdr:col>46</xdr:col>
      <xdr:colOff>406615</xdr:colOff>
      <xdr:row>365</xdr:row>
      <xdr:rowOff>85268</xdr:rowOff>
    </xdr:to>
    <xdr:graphicFrame macro="">
      <xdr:nvGraphicFramePr>
        <xdr:cNvPr id="9" name="Chart 8">
          <a:extLst>
            <a:ext uri="{FF2B5EF4-FFF2-40B4-BE49-F238E27FC236}">
              <a16:creationId xmlns:a16="http://schemas.microsoft.com/office/drawing/2014/main" id="{BB628321-B0BB-4A0F-B5BD-3724910E81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34</xdr:col>
      <xdr:colOff>0</xdr:colOff>
      <xdr:row>404</xdr:row>
      <xdr:rowOff>0</xdr:rowOff>
    </xdr:from>
    <xdr:to>
      <xdr:col>46</xdr:col>
      <xdr:colOff>406615</xdr:colOff>
      <xdr:row>426</xdr:row>
      <xdr:rowOff>85268</xdr:rowOff>
    </xdr:to>
    <xdr:graphicFrame macro="">
      <xdr:nvGraphicFramePr>
        <xdr:cNvPr id="10" name="Chart 9">
          <a:extLst>
            <a:ext uri="{FF2B5EF4-FFF2-40B4-BE49-F238E27FC236}">
              <a16:creationId xmlns:a16="http://schemas.microsoft.com/office/drawing/2014/main" id="{F24BB15E-9618-4DA8-B05C-15A366A699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30844</xdr:colOff>
      <xdr:row>54</xdr:row>
      <xdr:rowOff>8713</xdr:rowOff>
    </xdr:from>
    <xdr:to>
      <xdr:col>35</xdr:col>
      <xdr:colOff>11339</xdr:colOff>
      <xdr:row>79</xdr:row>
      <xdr:rowOff>159315</xdr:rowOff>
    </xdr:to>
    <xdr:graphicFrame macro="">
      <xdr:nvGraphicFramePr>
        <xdr:cNvPr id="2" name="Chart 1">
          <a:extLst>
            <a:ext uri="{FF2B5EF4-FFF2-40B4-BE49-F238E27FC236}">
              <a16:creationId xmlns:a16="http://schemas.microsoft.com/office/drawing/2014/main" id="{A97122DD-B40D-4684-AD8A-8C2791D513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7347</xdr:colOff>
      <xdr:row>7</xdr:row>
      <xdr:rowOff>120649</xdr:rowOff>
    </xdr:from>
    <xdr:to>
      <xdr:col>34</xdr:col>
      <xdr:colOff>598487</xdr:colOff>
      <xdr:row>34</xdr:row>
      <xdr:rowOff>3174</xdr:rowOff>
    </xdr:to>
    <xdr:graphicFrame macro="">
      <xdr:nvGraphicFramePr>
        <xdr:cNvPr id="3" name="Chart 2">
          <a:extLst>
            <a:ext uri="{FF2B5EF4-FFF2-40B4-BE49-F238E27FC236}">
              <a16:creationId xmlns:a16="http://schemas.microsoft.com/office/drawing/2014/main" id="{309914F6-510D-4256-BFAC-39FED29D05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8281</xdr:colOff>
      <xdr:row>31</xdr:row>
      <xdr:rowOff>0</xdr:rowOff>
    </xdr:from>
    <xdr:to>
      <xdr:col>34</xdr:col>
      <xdr:colOff>596900</xdr:colOff>
      <xdr:row>57</xdr:row>
      <xdr:rowOff>10092</xdr:rowOff>
    </xdr:to>
    <xdr:graphicFrame macro="">
      <xdr:nvGraphicFramePr>
        <xdr:cNvPr id="4" name="Chart 3">
          <a:extLst>
            <a:ext uri="{FF2B5EF4-FFF2-40B4-BE49-F238E27FC236}">
              <a16:creationId xmlns:a16="http://schemas.microsoft.com/office/drawing/2014/main" id="{D1661BF9-3398-4AE1-AA84-172C6E9412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157716</xdr:colOff>
      <xdr:row>7</xdr:row>
      <xdr:rowOff>102782</xdr:rowOff>
    </xdr:from>
    <xdr:to>
      <xdr:col>17</xdr:col>
      <xdr:colOff>63500</xdr:colOff>
      <xdr:row>10</xdr:row>
      <xdr:rowOff>36435</xdr:rowOff>
    </xdr:to>
    <xdr:sp macro="" textlink="">
      <xdr:nvSpPr>
        <xdr:cNvPr id="5" name="TextBox 4">
          <a:extLst>
            <a:ext uri="{FF2B5EF4-FFF2-40B4-BE49-F238E27FC236}">
              <a16:creationId xmlns:a16="http://schemas.microsoft.com/office/drawing/2014/main" id="{DF126C5D-4C84-44B1-8A37-0CE56770DD26}"/>
            </a:ext>
          </a:extLst>
        </xdr:cNvPr>
        <xdr:cNvSpPr txBox="1"/>
      </xdr:nvSpPr>
      <xdr:spPr>
        <a:xfrm>
          <a:off x="16762966" y="1572807"/>
          <a:ext cx="515384" cy="4734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latin typeface="Verdana Pro" panose="020B0604030504040204" pitchFamily="34" charset="0"/>
              <a:cs typeface="Times New Roman" panose="02020603050405020304" pitchFamily="18" charset="0"/>
            </a:rPr>
            <a:t>A)</a:t>
          </a:r>
          <a:endParaRPr lang="en-NL" sz="1400" b="1">
            <a:latin typeface="Verdana Pro" panose="020B0604030504040204" pitchFamily="34" charset="0"/>
            <a:cs typeface="Times New Roman" panose="02020603050405020304" pitchFamily="18" charset="0"/>
          </a:endParaRPr>
        </a:p>
      </xdr:txBody>
    </xdr:sp>
    <xdr:clientData/>
  </xdr:twoCellAnchor>
  <xdr:twoCellAnchor>
    <xdr:from>
      <xdr:col>16</xdr:col>
      <xdr:colOff>31296</xdr:colOff>
      <xdr:row>80</xdr:row>
      <xdr:rowOff>8617</xdr:rowOff>
    </xdr:from>
    <xdr:to>
      <xdr:col>35</xdr:col>
      <xdr:colOff>27214</xdr:colOff>
      <xdr:row>105</xdr:row>
      <xdr:rowOff>102248</xdr:rowOff>
    </xdr:to>
    <xdr:graphicFrame macro="">
      <xdr:nvGraphicFramePr>
        <xdr:cNvPr id="6" name="Chart 5">
          <a:extLst>
            <a:ext uri="{FF2B5EF4-FFF2-40B4-BE49-F238E27FC236}">
              <a16:creationId xmlns:a16="http://schemas.microsoft.com/office/drawing/2014/main" id="{8B45D637-E84F-48CD-B5CD-A0077EA33F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127000</xdr:colOff>
      <xdr:row>54</xdr:row>
      <xdr:rowOff>30693</xdr:rowOff>
    </xdr:from>
    <xdr:to>
      <xdr:col>16</xdr:col>
      <xdr:colOff>535933</xdr:colOff>
      <xdr:row>56</xdr:row>
      <xdr:rowOff>135098</xdr:rowOff>
    </xdr:to>
    <xdr:sp macro="" textlink="">
      <xdr:nvSpPr>
        <xdr:cNvPr id="7" name="TextBox 6">
          <a:extLst>
            <a:ext uri="{FF2B5EF4-FFF2-40B4-BE49-F238E27FC236}">
              <a16:creationId xmlns:a16="http://schemas.microsoft.com/office/drawing/2014/main" id="{FBCE4FE0-CF73-4271-AD6B-470ED4B10BC8}"/>
            </a:ext>
          </a:extLst>
        </xdr:cNvPr>
        <xdr:cNvSpPr txBox="1"/>
      </xdr:nvSpPr>
      <xdr:spPr>
        <a:xfrm>
          <a:off x="16725900" y="10124018"/>
          <a:ext cx="412108" cy="469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n-GB" sz="1200" b="1">
              <a:latin typeface="Verdana Pro" panose="020B0604030504040204" pitchFamily="34" charset="0"/>
              <a:cs typeface="Times New Roman" panose="02020603050405020304" pitchFamily="18" charset="0"/>
            </a:rPr>
            <a:t>D)</a:t>
          </a:r>
          <a:endParaRPr lang="en-NL" sz="1200" b="1">
            <a:latin typeface="Verdana Pro" panose="020B0604030504040204" pitchFamily="34" charset="0"/>
            <a:cs typeface="Times New Roman" panose="02020603050405020304" pitchFamily="18" charset="0"/>
          </a:endParaRPr>
        </a:p>
      </xdr:txBody>
    </xdr:sp>
    <xdr:clientData/>
  </xdr:twoCellAnchor>
  <xdr:twoCellAnchor>
    <xdr:from>
      <xdr:col>16</xdr:col>
      <xdr:colOff>133903</xdr:colOff>
      <xdr:row>31</xdr:row>
      <xdr:rowOff>18644</xdr:rowOff>
    </xdr:from>
    <xdr:to>
      <xdr:col>17</xdr:col>
      <xdr:colOff>39687</xdr:colOff>
      <xdr:row>33</xdr:row>
      <xdr:rowOff>121366</xdr:rowOff>
    </xdr:to>
    <xdr:sp macro="" textlink="">
      <xdr:nvSpPr>
        <xdr:cNvPr id="8" name="TextBox 7">
          <a:extLst>
            <a:ext uri="{FF2B5EF4-FFF2-40B4-BE49-F238E27FC236}">
              <a16:creationId xmlns:a16="http://schemas.microsoft.com/office/drawing/2014/main" id="{8B871A08-448B-4D32-BF94-D962243A2296}"/>
            </a:ext>
          </a:extLst>
        </xdr:cNvPr>
        <xdr:cNvSpPr txBox="1"/>
      </xdr:nvSpPr>
      <xdr:spPr>
        <a:xfrm>
          <a:off x="16735978" y="5857469"/>
          <a:ext cx="515384" cy="4964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latin typeface="Verdana Pro" panose="020B0604030504040204" pitchFamily="34" charset="0"/>
              <a:cs typeface="Times New Roman" panose="02020603050405020304" pitchFamily="18" charset="0"/>
            </a:rPr>
            <a:t>B)</a:t>
          </a:r>
          <a:endParaRPr lang="en-NL" sz="1400" b="1">
            <a:latin typeface="Verdana Pro" panose="020B0604030504040204" pitchFamily="34" charset="0"/>
            <a:cs typeface="Times New Roman" panose="02020603050405020304" pitchFamily="18" charset="0"/>
          </a:endParaRPr>
        </a:p>
      </xdr:txBody>
    </xdr:sp>
    <xdr:clientData/>
  </xdr:twoCellAnchor>
  <xdr:twoCellAnchor>
    <xdr:from>
      <xdr:col>16</xdr:col>
      <xdr:colOff>176893</xdr:colOff>
      <xdr:row>80</xdr:row>
      <xdr:rowOff>57604</xdr:rowOff>
    </xdr:from>
    <xdr:to>
      <xdr:col>16</xdr:col>
      <xdr:colOff>582651</xdr:colOff>
      <xdr:row>82</xdr:row>
      <xdr:rowOff>158834</xdr:rowOff>
    </xdr:to>
    <xdr:sp macro="" textlink="">
      <xdr:nvSpPr>
        <xdr:cNvPr id="9" name="TextBox 8">
          <a:extLst>
            <a:ext uri="{FF2B5EF4-FFF2-40B4-BE49-F238E27FC236}">
              <a16:creationId xmlns:a16="http://schemas.microsoft.com/office/drawing/2014/main" id="{2DB28056-FAA2-4E51-8C8F-F782AB5CFC56}"/>
            </a:ext>
          </a:extLst>
        </xdr:cNvPr>
        <xdr:cNvSpPr txBox="1"/>
      </xdr:nvSpPr>
      <xdr:spPr>
        <a:xfrm>
          <a:off x="16791214" y="14549211"/>
          <a:ext cx="405758" cy="4550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n-GB" sz="1200" b="1">
              <a:latin typeface="Verdana Pro" panose="020B0604030504040204" pitchFamily="34" charset="0"/>
              <a:cs typeface="Times New Roman" panose="02020603050405020304" pitchFamily="18" charset="0"/>
            </a:rPr>
            <a:t>C)</a:t>
          </a:r>
          <a:endParaRPr lang="en-NL" sz="1200" b="1">
            <a:latin typeface="Verdana Pro" panose="020B0604030504040204" pitchFamily="34" charset="0"/>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1373300</xdr:colOff>
      <xdr:row>474</xdr:row>
      <xdr:rowOff>172811</xdr:rowOff>
    </xdr:from>
    <xdr:to>
      <xdr:col>12</xdr:col>
      <xdr:colOff>0</xdr:colOff>
      <xdr:row>493</xdr:row>
      <xdr:rowOff>149678</xdr:rowOff>
    </xdr:to>
    <xdr:graphicFrame macro="">
      <xdr:nvGraphicFramePr>
        <xdr:cNvPr id="2" name="Chart 1">
          <a:extLst>
            <a:ext uri="{FF2B5EF4-FFF2-40B4-BE49-F238E27FC236}">
              <a16:creationId xmlns:a16="http://schemas.microsoft.com/office/drawing/2014/main" id="{0D2B65CA-2BF3-485B-AF68-084626DF2B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10584</xdr:colOff>
      <xdr:row>475</xdr:row>
      <xdr:rowOff>1</xdr:rowOff>
    </xdr:from>
    <xdr:to>
      <xdr:col>14</xdr:col>
      <xdr:colOff>1058183</xdr:colOff>
      <xdr:row>493</xdr:row>
      <xdr:rowOff>149679</xdr:rowOff>
    </xdr:to>
    <xdr:graphicFrame macro="">
      <xdr:nvGraphicFramePr>
        <xdr:cNvPr id="3" name="Chart 2">
          <a:extLst>
            <a:ext uri="{FF2B5EF4-FFF2-40B4-BE49-F238E27FC236}">
              <a16:creationId xmlns:a16="http://schemas.microsoft.com/office/drawing/2014/main" id="{646F2BD1-CF77-4100-9F3D-C8318295AD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1073719</xdr:colOff>
      <xdr:row>474</xdr:row>
      <xdr:rowOff>176892</xdr:rowOff>
    </xdr:from>
    <xdr:to>
      <xdr:col>21</xdr:col>
      <xdr:colOff>581480</xdr:colOff>
      <xdr:row>493</xdr:row>
      <xdr:rowOff>149904</xdr:rowOff>
    </xdr:to>
    <xdr:graphicFrame macro="">
      <xdr:nvGraphicFramePr>
        <xdr:cNvPr id="4" name="Chart 3">
          <a:extLst>
            <a:ext uri="{FF2B5EF4-FFF2-40B4-BE49-F238E27FC236}">
              <a16:creationId xmlns:a16="http://schemas.microsoft.com/office/drawing/2014/main" id="{136BBF0F-A8B9-4102-BDC8-793F61FD9E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1375229</xdr:colOff>
      <xdr:row>493</xdr:row>
      <xdr:rowOff>164193</xdr:rowOff>
    </xdr:from>
    <xdr:to>
      <xdr:col>12</xdr:col>
      <xdr:colOff>0</xdr:colOff>
      <xdr:row>512</xdr:row>
      <xdr:rowOff>129721</xdr:rowOff>
    </xdr:to>
    <xdr:graphicFrame macro="">
      <xdr:nvGraphicFramePr>
        <xdr:cNvPr id="5" name="Chart 4">
          <a:extLst>
            <a:ext uri="{FF2B5EF4-FFF2-40B4-BE49-F238E27FC236}">
              <a16:creationId xmlns:a16="http://schemas.microsoft.com/office/drawing/2014/main" id="{F0C4DC58-74B8-4841-8110-C49B8609D5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1048092</xdr:colOff>
      <xdr:row>493</xdr:row>
      <xdr:rowOff>149677</xdr:rowOff>
    </xdr:from>
    <xdr:to>
      <xdr:col>21</xdr:col>
      <xdr:colOff>547915</xdr:colOff>
      <xdr:row>512</xdr:row>
      <xdr:rowOff>156204</xdr:rowOff>
    </xdr:to>
    <xdr:graphicFrame macro="">
      <xdr:nvGraphicFramePr>
        <xdr:cNvPr id="6" name="Chart 5">
          <a:extLst>
            <a:ext uri="{FF2B5EF4-FFF2-40B4-BE49-F238E27FC236}">
              <a16:creationId xmlns:a16="http://schemas.microsoft.com/office/drawing/2014/main" id="{308D3D92-A901-492D-96A6-C43CBC3BB1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1363890</xdr:colOff>
      <xdr:row>512</xdr:row>
      <xdr:rowOff>119743</xdr:rowOff>
    </xdr:from>
    <xdr:to>
      <xdr:col>12</xdr:col>
      <xdr:colOff>1</xdr:colOff>
      <xdr:row>531</xdr:row>
      <xdr:rowOff>108857</xdr:rowOff>
    </xdr:to>
    <xdr:graphicFrame macro="">
      <xdr:nvGraphicFramePr>
        <xdr:cNvPr id="7" name="Chart 6">
          <a:extLst>
            <a:ext uri="{FF2B5EF4-FFF2-40B4-BE49-F238E27FC236}">
              <a16:creationId xmlns:a16="http://schemas.microsoft.com/office/drawing/2014/main" id="{9C3507EA-2D1B-4646-A5B1-D26B9FD5A1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16783</xdr:colOff>
      <xdr:row>512</xdr:row>
      <xdr:rowOff>129874</xdr:rowOff>
    </xdr:from>
    <xdr:to>
      <xdr:col>14</xdr:col>
      <xdr:colOff>1047751</xdr:colOff>
      <xdr:row>531</xdr:row>
      <xdr:rowOff>116114</xdr:rowOff>
    </xdr:to>
    <xdr:graphicFrame macro="">
      <xdr:nvGraphicFramePr>
        <xdr:cNvPr id="8" name="Chart 7">
          <a:extLst>
            <a:ext uri="{FF2B5EF4-FFF2-40B4-BE49-F238E27FC236}">
              <a16:creationId xmlns:a16="http://schemas.microsoft.com/office/drawing/2014/main" id="{34DCCFBE-8CAF-48F5-93B5-E05359ED94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14</xdr:col>
      <xdr:colOff>1046390</xdr:colOff>
      <xdr:row>512</xdr:row>
      <xdr:rowOff>136071</xdr:rowOff>
    </xdr:from>
    <xdr:to>
      <xdr:col>21</xdr:col>
      <xdr:colOff>516845</xdr:colOff>
      <xdr:row>531</xdr:row>
      <xdr:rowOff>136072</xdr:rowOff>
    </xdr:to>
    <xdr:graphicFrame macro="">
      <xdr:nvGraphicFramePr>
        <xdr:cNvPr id="9" name="Chart 8">
          <a:extLst>
            <a:ext uri="{FF2B5EF4-FFF2-40B4-BE49-F238E27FC236}">
              <a16:creationId xmlns:a16="http://schemas.microsoft.com/office/drawing/2014/main" id="{ACA13C09-E683-4D55-9FFC-7F8E36FD9D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1573288</xdr:colOff>
      <xdr:row>493</xdr:row>
      <xdr:rowOff>164495</xdr:rowOff>
    </xdr:from>
    <xdr:to>
      <xdr:col>14</xdr:col>
      <xdr:colOff>1030967</xdr:colOff>
      <xdr:row>512</xdr:row>
      <xdr:rowOff>136071</xdr:rowOff>
    </xdr:to>
    <xdr:graphicFrame macro="">
      <xdr:nvGraphicFramePr>
        <xdr:cNvPr id="10" name="Chart 9">
          <a:extLst>
            <a:ext uri="{FF2B5EF4-FFF2-40B4-BE49-F238E27FC236}">
              <a16:creationId xmlns:a16="http://schemas.microsoft.com/office/drawing/2014/main" id="{D967C12C-B614-4F4F-B217-E07CF34398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9</xdr:col>
      <xdr:colOff>1373300</xdr:colOff>
      <xdr:row>474</xdr:row>
      <xdr:rowOff>172811</xdr:rowOff>
    </xdr:from>
    <xdr:to>
      <xdr:col>12</xdr:col>
      <xdr:colOff>0</xdr:colOff>
      <xdr:row>493</xdr:row>
      <xdr:rowOff>149678</xdr:rowOff>
    </xdr:to>
    <xdr:graphicFrame macro="">
      <xdr:nvGraphicFramePr>
        <xdr:cNvPr id="2" name="Chart 1">
          <a:extLst>
            <a:ext uri="{FF2B5EF4-FFF2-40B4-BE49-F238E27FC236}">
              <a16:creationId xmlns:a16="http://schemas.microsoft.com/office/drawing/2014/main" id="{3A35A3B1-3899-49BA-83C9-6F0C0C5608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10584</xdr:colOff>
      <xdr:row>475</xdr:row>
      <xdr:rowOff>1</xdr:rowOff>
    </xdr:from>
    <xdr:to>
      <xdr:col>14</xdr:col>
      <xdr:colOff>1058183</xdr:colOff>
      <xdr:row>493</xdr:row>
      <xdr:rowOff>149679</xdr:rowOff>
    </xdr:to>
    <xdr:graphicFrame macro="">
      <xdr:nvGraphicFramePr>
        <xdr:cNvPr id="3" name="Chart 2">
          <a:extLst>
            <a:ext uri="{FF2B5EF4-FFF2-40B4-BE49-F238E27FC236}">
              <a16:creationId xmlns:a16="http://schemas.microsoft.com/office/drawing/2014/main" id="{7A062995-C2F3-4C16-AE69-6B103006E1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1073719</xdr:colOff>
      <xdr:row>474</xdr:row>
      <xdr:rowOff>176892</xdr:rowOff>
    </xdr:from>
    <xdr:to>
      <xdr:col>21</xdr:col>
      <xdr:colOff>581480</xdr:colOff>
      <xdr:row>493</xdr:row>
      <xdr:rowOff>149904</xdr:rowOff>
    </xdr:to>
    <xdr:graphicFrame macro="">
      <xdr:nvGraphicFramePr>
        <xdr:cNvPr id="4" name="Chart 3">
          <a:extLst>
            <a:ext uri="{FF2B5EF4-FFF2-40B4-BE49-F238E27FC236}">
              <a16:creationId xmlns:a16="http://schemas.microsoft.com/office/drawing/2014/main" id="{CDF5F88A-EA16-43F3-8A02-A7FE3CB282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1375229</xdr:colOff>
      <xdr:row>493</xdr:row>
      <xdr:rowOff>164193</xdr:rowOff>
    </xdr:from>
    <xdr:to>
      <xdr:col>12</xdr:col>
      <xdr:colOff>0</xdr:colOff>
      <xdr:row>512</xdr:row>
      <xdr:rowOff>129721</xdr:rowOff>
    </xdr:to>
    <xdr:graphicFrame macro="">
      <xdr:nvGraphicFramePr>
        <xdr:cNvPr id="5" name="Chart 4">
          <a:extLst>
            <a:ext uri="{FF2B5EF4-FFF2-40B4-BE49-F238E27FC236}">
              <a16:creationId xmlns:a16="http://schemas.microsoft.com/office/drawing/2014/main" id="{DE46C28C-BE0E-4982-9BEF-3FA3130A2E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1048092</xdr:colOff>
      <xdr:row>493</xdr:row>
      <xdr:rowOff>149677</xdr:rowOff>
    </xdr:from>
    <xdr:to>
      <xdr:col>21</xdr:col>
      <xdr:colOff>547915</xdr:colOff>
      <xdr:row>512</xdr:row>
      <xdr:rowOff>156204</xdr:rowOff>
    </xdr:to>
    <xdr:graphicFrame macro="">
      <xdr:nvGraphicFramePr>
        <xdr:cNvPr id="6" name="Chart 5">
          <a:extLst>
            <a:ext uri="{FF2B5EF4-FFF2-40B4-BE49-F238E27FC236}">
              <a16:creationId xmlns:a16="http://schemas.microsoft.com/office/drawing/2014/main" id="{4E3F6E57-1D5A-496E-8013-D5DFE21AAB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1363890</xdr:colOff>
      <xdr:row>512</xdr:row>
      <xdr:rowOff>119743</xdr:rowOff>
    </xdr:from>
    <xdr:to>
      <xdr:col>12</xdr:col>
      <xdr:colOff>1</xdr:colOff>
      <xdr:row>531</xdr:row>
      <xdr:rowOff>108857</xdr:rowOff>
    </xdr:to>
    <xdr:graphicFrame macro="">
      <xdr:nvGraphicFramePr>
        <xdr:cNvPr id="7" name="Chart 6">
          <a:extLst>
            <a:ext uri="{FF2B5EF4-FFF2-40B4-BE49-F238E27FC236}">
              <a16:creationId xmlns:a16="http://schemas.microsoft.com/office/drawing/2014/main" id="{5B8FBB01-A352-4528-9A4F-7065580586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16783</xdr:colOff>
      <xdr:row>512</xdr:row>
      <xdr:rowOff>129874</xdr:rowOff>
    </xdr:from>
    <xdr:to>
      <xdr:col>14</xdr:col>
      <xdr:colOff>1047751</xdr:colOff>
      <xdr:row>531</xdr:row>
      <xdr:rowOff>116114</xdr:rowOff>
    </xdr:to>
    <xdr:graphicFrame macro="">
      <xdr:nvGraphicFramePr>
        <xdr:cNvPr id="8" name="Chart 7">
          <a:extLst>
            <a:ext uri="{FF2B5EF4-FFF2-40B4-BE49-F238E27FC236}">
              <a16:creationId xmlns:a16="http://schemas.microsoft.com/office/drawing/2014/main" id="{C59721FA-66AF-4C5D-A5EF-4BD4D99B22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14</xdr:col>
      <xdr:colOff>1046390</xdr:colOff>
      <xdr:row>512</xdr:row>
      <xdr:rowOff>136071</xdr:rowOff>
    </xdr:from>
    <xdr:to>
      <xdr:col>21</xdr:col>
      <xdr:colOff>516845</xdr:colOff>
      <xdr:row>531</xdr:row>
      <xdr:rowOff>136072</xdr:rowOff>
    </xdr:to>
    <xdr:graphicFrame macro="">
      <xdr:nvGraphicFramePr>
        <xdr:cNvPr id="9" name="Chart 8">
          <a:extLst>
            <a:ext uri="{FF2B5EF4-FFF2-40B4-BE49-F238E27FC236}">
              <a16:creationId xmlns:a16="http://schemas.microsoft.com/office/drawing/2014/main" id="{1120F3E2-E996-49B7-A662-10CED0F77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1573288</xdr:colOff>
      <xdr:row>493</xdr:row>
      <xdr:rowOff>164495</xdr:rowOff>
    </xdr:from>
    <xdr:to>
      <xdr:col>14</xdr:col>
      <xdr:colOff>1030967</xdr:colOff>
      <xdr:row>512</xdr:row>
      <xdr:rowOff>136071</xdr:rowOff>
    </xdr:to>
    <xdr:graphicFrame macro="">
      <xdr:nvGraphicFramePr>
        <xdr:cNvPr id="10" name="Chart 9">
          <a:extLst>
            <a:ext uri="{FF2B5EF4-FFF2-40B4-BE49-F238E27FC236}">
              <a16:creationId xmlns:a16="http://schemas.microsoft.com/office/drawing/2014/main" id="{FFDBD379-79AF-4035-8FCA-1E5CD606C3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9</xdr:col>
      <xdr:colOff>1373300</xdr:colOff>
      <xdr:row>510</xdr:row>
      <xdr:rowOff>172811</xdr:rowOff>
    </xdr:from>
    <xdr:to>
      <xdr:col>12</xdr:col>
      <xdr:colOff>0</xdr:colOff>
      <xdr:row>529</xdr:row>
      <xdr:rowOff>149678</xdr:rowOff>
    </xdr:to>
    <xdr:graphicFrame macro="">
      <xdr:nvGraphicFramePr>
        <xdr:cNvPr id="7" name="Chart 6">
          <a:extLst>
            <a:ext uri="{FF2B5EF4-FFF2-40B4-BE49-F238E27FC236}">
              <a16:creationId xmlns:a16="http://schemas.microsoft.com/office/drawing/2014/main" id="{143819A1-F9C6-4F0D-8796-707733D2D6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10584</xdr:colOff>
      <xdr:row>511</xdr:row>
      <xdr:rowOff>1</xdr:rowOff>
    </xdr:from>
    <xdr:to>
      <xdr:col>14</xdr:col>
      <xdr:colOff>1058183</xdr:colOff>
      <xdr:row>529</xdr:row>
      <xdr:rowOff>149679</xdr:rowOff>
    </xdr:to>
    <xdr:graphicFrame macro="">
      <xdr:nvGraphicFramePr>
        <xdr:cNvPr id="8" name="Chart 7">
          <a:extLst>
            <a:ext uri="{FF2B5EF4-FFF2-40B4-BE49-F238E27FC236}">
              <a16:creationId xmlns:a16="http://schemas.microsoft.com/office/drawing/2014/main" id="{1740C27C-CD4C-4DAC-A21D-646B345A93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1073719</xdr:colOff>
      <xdr:row>510</xdr:row>
      <xdr:rowOff>176892</xdr:rowOff>
    </xdr:from>
    <xdr:to>
      <xdr:col>21</xdr:col>
      <xdr:colOff>581480</xdr:colOff>
      <xdr:row>529</xdr:row>
      <xdr:rowOff>149904</xdr:rowOff>
    </xdr:to>
    <xdr:graphicFrame macro="">
      <xdr:nvGraphicFramePr>
        <xdr:cNvPr id="9" name="Chart 8">
          <a:extLst>
            <a:ext uri="{FF2B5EF4-FFF2-40B4-BE49-F238E27FC236}">
              <a16:creationId xmlns:a16="http://schemas.microsoft.com/office/drawing/2014/main" id="{32C61171-C425-401A-9A80-F28F9D83D4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1375229</xdr:colOff>
      <xdr:row>529</xdr:row>
      <xdr:rowOff>164193</xdr:rowOff>
    </xdr:from>
    <xdr:to>
      <xdr:col>12</xdr:col>
      <xdr:colOff>0</xdr:colOff>
      <xdr:row>548</xdr:row>
      <xdr:rowOff>129721</xdr:rowOff>
    </xdr:to>
    <xdr:graphicFrame macro="">
      <xdr:nvGraphicFramePr>
        <xdr:cNvPr id="10" name="Chart 9">
          <a:extLst>
            <a:ext uri="{FF2B5EF4-FFF2-40B4-BE49-F238E27FC236}">
              <a16:creationId xmlns:a16="http://schemas.microsoft.com/office/drawing/2014/main" id="{BE76EA9A-B5B7-4132-9256-3970CC5ACB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1048092</xdr:colOff>
      <xdr:row>529</xdr:row>
      <xdr:rowOff>149677</xdr:rowOff>
    </xdr:from>
    <xdr:to>
      <xdr:col>21</xdr:col>
      <xdr:colOff>547915</xdr:colOff>
      <xdr:row>548</xdr:row>
      <xdr:rowOff>156204</xdr:rowOff>
    </xdr:to>
    <xdr:graphicFrame macro="">
      <xdr:nvGraphicFramePr>
        <xdr:cNvPr id="12" name="Chart 11">
          <a:extLst>
            <a:ext uri="{FF2B5EF4-FFF2-40B4-BE49-F238E27FC236}">
              <a16:creationId xmlns:a16="http://schemas.microsoft.com/office/drawing/2014/main" id="{47EDDD2D-B92B-4968-A14F-AA44289188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1363890</xdr:colOff>
      <xdr:row>548</xdr:row>
      <xdr:rowOff>119743</xdr:rowOff>
    </xdr:from>
    <xdr:to>
      <xdr:col>12</xdr:col>
      <xdr:colOff>1</xdr:colOff>
      <xdr:row>567</xdr:row>
      <xdr:rowOff>108857</xdr:rowOff>
    </xdr:to>
    <xdr:graphicFrame macro="">
      <xdr:nvGraphicFramePr>
        <xdr:cNvPr id="13" name="Chart 12">
          <a:extLst>
            <a:ext uri="{FF2B5EF4-FFF2-40B4-BE49-F238E27FC236}">
              <a16:creationId xmlns:a16="http://schemas.microsoft.com/office/drawing/2014/main" id="{E2D0CE31-2D5E-48F6-B399-136C049383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16783</xdr:colOff>
      <xdr:row>548</xdr:row>
      <xdr:rowOff>129874</xdr:rowOff>
    </xdr:from>
    <xdr:to>
      <xdr:col>14</xdr:col>
      <xdr:colOff>1047751</xdr:colOff>
      <xdr:row>567</xdr:row>
      <xdr:rowOff>116114</xdr:rowOff>
    </xdr:to>
    <xdr:graphicFrame macro="">
      <xdr:nvGraphicFramePr>
        <xdr:cNvPr id="14" name="Chart 13">
          <a:extLst>
            <a:ext uri="{FF2B5EF4-FFF2-40B4-BE49-F238E27FC236}">
              <a16:creationId xmlns:a16="http://schemas.microsoft.com/office/drawing/2014/main" id="{A2BF5893-1BC5-40AF-A8A8-873982615B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14</xdr:col>
      <xdr:colOff>1046390</xdr:colOff>
      <xdr:row>548</xdr:row>
      <xdr:rowOff>136071</xdr:rowOff>
    </xdr:from>
    <xdr:to>
      <xdr:col>21</xdr:col>
      <xdr:colOff>516845</xdr:colOff>
      <xdr:row>567</xdr:row>
      <xdr:rowOff>136072</xdr:rowOff>
    </xdr:to>
    <xdr:graphicFrame macro="">
      <xdr:nvGraphicFramePr>
        <xdr:cNvPr id="15" name="Chart 14">
          <a:extLst>
            <a:ext uri="{FF2B5EF4-FFF2-40B4-BE49-F238E27FC236}">
              <a16:creationId xmlns:a16="http://schemas.microsoft.com/office/drawing/2014/main" id="{BA186710-8B23-4D5D-B4A7-EA250FEEE0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1573288</xdr:colOff>
      <xdr:row>529</xdr:row>
      <xdr:rowOff>164495</xdr:rowOff>
    </xdr:from>
    <xdr:to>
      <xdr:col>14</xdr:col>
      <xdr:colOff>1030967</xdr:colOff>
      <xdr:row>548</xdr:row>
      <xdr:rowOff>136071</xdr:rowOff>
    </xdr:to>
    <xdr:graphicFrame macro="">
      <xdr:nvGraphicFramePr>
        <xdr:cNvPr id="17" name="Chart 16">
          <a:extLst>
            <a:ext uri="{FF2B5EF4-FFF2-40B4-BE49-F238E27FC236}">
              <a16:creationId xmlns:a16="http://schemas.microsoft.com/office/drawing/2014/main" id="{54908E3B-D273-42EE-AE9A-BDD4CC4949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1373300</xdr:colOff>
      <xdr:row>474</xdr:row>
      <xdr:rowOff>172811</xdr:rowOff>
    </xdr:from>
    <xdr:to>
      <xdr:col>12</xdr:col>
      <xdr:colOff>0</xdr:colOff>
      <xdr:row>493</xdr:row>
      <xdr:rowOff>149678</xdr:rowOff>
    </xdr:to>
    <xdr:graphicFrame macro="">
      <xdr:nvGraphicFramePr>
        <xdr:cNvPr id="2" name="Chart 1">
          <a:extLst>
            <a:ext uri="{FF2B5EF4-FFF2-40B4-BE49-F238E27FC236}">
              <a16:creationId xmlns:a16="http://schemas.microsoft.com/office/drawing/2014/main" id="{8B7FEC30-8C31-46B2-9FCB-1460EE22BA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10584</xdr:colOff>
      <xdr:row>475</xdr:row>
      <xdr:rowOff>1</xdr:rowOff>
    </xdr:from>
    <xdr:to>
      <xdr:col>14</xdr:col>
      <xdr:colOff>1058183</xdr:colOff>
      <xdr:row>493</xdr:row>
      <xdr:rowOff>149679</xdr:rowOff>
    </xdr:to>
    <xdr:graphicFrame macro="">
      <xdr:nvGraphicFramePr>
        <xdr:cNvPr id="3" name="Chart 2">
          <a:extLst>
            <a:ext uri="{FF2B5EF4-FFF2-40B4-BE49-F238E27FC236}">
              <a16:creationId xmlns:a16="http://schemas.microsoft.com/office/drawing/2014/main" id="{761B5ADB-3194-4654-8BAE-55F9922B48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1073719</xdr:colOff>
      <xdr:row>474</xdr:row>
      <xdr:rowOff>176892</xdr:rowOff>
    </xdr:from>
    <xdr:to>
      <xdr:col>21</xdr:col>
      <xdr:colOff>581480</xdr:colOff>
      <xdr:row>493</xdr:row>
      <xdr:rowOff>149904</xdr:rowOff>
    </xdr:to>
    <xdr:graphicFrame macro="">
      <xdr:nvGraphicFramePr>
        <xdr:cNvPr id="4" name="Chart 3">
          <a:extLst>
            <a:ext uri="{FF2B5EF4-FFF2-40B4-BE49-F238E27FC236}">
              <a16:creationId xmlns:a16="http://schemas.microsoft.com/office/drawing/2014/main" id="{E8D49CD8-DFE1-4149-BF0F-74F9E2910C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1375229</xdr:colOff>
      <xdr:row>493</xdr:row>
      <xdr:rowOff>164193</xdr:rowOff>
    </xdr:from>
    <xdr:to>
      <xdr:col>12</xdr:col>
      <xdr:colOff>0</xdr:colOff>
      <xdr:row>512</xdr:row>
      <xdr:rowOff>129721</xdr:rowOff>
    </xdr:to>
    <xdr:graphicFrame macro="">
      <xdr:nvGraphicFramePr>
        <xdr:cNvPr id="5" name="Chart 4">
          <a:extLst>
            <a:ext uri="{FF2B5EF4-FFF2-40B4-BE49-F238E27FC236}">
              <a16:creationId xmlns:a16="http://schemas.microsoft.com/office/drawing/2014/main" id="{EF97FCCD-0AF2-4B63-B6ED-3344CFFF37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1048092</xdr:colOff>
      <xdr:row>493</xdr:row>
      <xdr:rowOff>149677</xdr:rowOff>
    </xdr:from>
    <xdr:to>
      <xdr:col>21</xdr:col>
      <xdr:colOff>547915</xdr:colOff>
      <xdr:row>512</xdr:row>
      <xdr:rowOff>156204</xdr:rowOff>
    </xdr:to>
    <xdr:graphicFrame macro="">
      <xdr:nvGraphicFramePr>
        <xdr:cNvPr id="6" name="Chart 5">
          <a:extLst>
            <a:ext uri="{FF2B5EF4-FFF2-40B4-BE49-F238E27FC236}">
              <a16:creationId xmlns:a16="http://schemas.microsoft.com/office/drawing/2014/main" id="{327C0A40-64DB-4097-BF67-3EE2507382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1363890</xdr:colOff>
      <xdr:row>512</xdr:row>
      <xdr:rowOff>119743</xdr:rowOff>
    </xdr:from>
    <xdr:to>
      <xdr:col>12</xdr:col>
      <xdr:colOff>1</xdr:colOff>
      <xdr:row>531</xdr:row>
      <xdr:rowOff>108857</xdr:rowOff>
    </xdr:to>
    <xdr:graphicFrame macro="">
      <xdr:nvGraphicFramePr>
        <xdr:cNvPr id="7" name="Chart 6">
          <a:extLst>
            <a:ext uri="{FF2B5EF4-FFF2-40B4-BE49-F238E27FC236}">
              <a16:creationId xmlns:a16="http://schemas.microsoft.com/office/drawing/2014/main" id="{F3CF91B8-8398-4E66-8CD0-D40D6A8388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16783</xdr:colOff>
      <xdr:row>512</xdr:row>
      <xdr:rowOff>129874</xdr:rowOff>
    </xdr:from>
    <xdr:to>
      <xdr:col>14</xdr:col>
      <xdr:colOff>1047751</xdr:colOff>
      <xdr:row>531</xdr:row>
      <xdr:rowOff>116114</xdr:rowOff>
    </xdr:to>
    <xdr:graphicFrame macro="">
      <xdr:nvGraphicFramePr>
        <xdr:cNvPr id="8" name="Chart 7">
          <a:extLst>
            <a:ext uri="{FF2B5EF4-FFF2-40B4-BE49-F238E27FC236}">
              <a16:creationId xmlns:a16="http://schemas.microsoft.com/office/drawing/2014/main" id="{A284FA7D-A9D9-4953-A48C-DF018F7D65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14</xdr:col>
      <xdr:colOff>1046390</xdr:colOff>
      <xdr:row>512</xdr:row>
      <xdr:rowOff>136071</xdr:rowOff>
    </xdr:from>
    <xdr:to>
      <xdr:col>21</xdr:col>
      <xdr:colOff>516845</xdr:colOff>
      <xdr:row>531</xdr:row>
      <xdr:rowOff>136072</xdr:rowOff>
    </xdr:to>
    <xdr:graphicFrame macro="">
      <xdr:nvGraphicFramePr>
        <xdr:cNvPr id="9" name="Chart 8">
          <a:extLst>
            <a:ext uri="{FF2B5EF4-FFF2-40B4-BE49-F238E27FC236}">
              <a16:creationId xmlns:a16="http://schemas.microsoft.com/office/drawing/2014/main" id="{F240236B-7C46-4675-BBF8-E96D203F69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1573288</xdr:colOff>
      <xdr:row>493</xdr:row>
      <xdr:rowOff>164495</xdr:rowOff>
    </xdr:from>
    <xdr:to>
      <xdr:col>14</xdr:col>
      <xdr:colOff>1030967</xdr:colOff>
      <xdr:row>512</xdr:row>
      <xdr:rowOff>136071</xdr:rowOff>
    </xdr:to>
    <xdr:graphicFrame macro="">
      <xdr:nvGraphicFramePr>
        <xdr:cNvPr id="10" name="Chart 9">
          <a:extLst>
            <a:ext uri="{FF2B5EF4-FFF2-40B4-BE49-F238E27FC236}">
              <a16:creationId xmlns:a16="http://schemas.microsoft.com/office/drawing/2014/main" id="{4897E5C7-91E7-4F79-9012-E63FEC9D6B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12</xdr:col>
      <xdr:colOff>477837</xdr:colOff>
      <xdr:row>27</xdr:row>
      <xdr:rowOff>171450</xdr:rowOff>
    </xdr:from>
    <xdr:to>
      <xdr:col>20</xdr:col>
      <xdr:colOff>173037</xdr:colOff>
      <xdr:row>51</xdr:row>
      <xdr:rowOff>17462</xdr:rowOff>
    </xdr:to>
    <xdr:graphicFrame macro="">
      <xdr:nvGraphicFramePr>
        <xdr:cNvPr id="2" name="Chart 1">
          <a:extLst>
            <a:ext uri="{FF2B5EF4-FFF2-40B4-BE49-F238E27FC236}">
              <a16:creationId xmlns:a16="http://schemas.microsoft.com/office/drawing/2014/main" id="{19396DE3-44E9-4CC0-ACCB-323264F87D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1587</xdr:colOff>
      <xdr:row>3</xdr:row>
      <xdr:rowOff>101600</xdr:rowOff>
    </xdr:from>
    <xdr:to>
      <xdr:col>12</xdr:col>
      <xdr:colOff>306387</xdr:colOff>
      <xdr:row>26</xdr:row>
      <xdr:rowOff>141287</xdr:rowOff>
    </xdr:to>
    <xdr:graphicFrame macro="">
      <xdr:nvGraphicFramePr>
        <xdr:cNvPr id="3" name="Chart 2">
          <a:extLst>
            <a:ext uri="{FF2B5EF4-FFF2-40B4-BE49-F238E27FC236}">
              <a16:creationId xmlns:a16="http://schemas.microsoft.com/office/drawing/2014/main" id="{EE1EB907-5DCD-4762-B400-A5C1762F1E3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601662</xdr:colOff>
      <xdr:row>3</xdr:row>
      <xdr:rowOff>141287</xdr:rowOff>
    </xdr:from>
    <xdr:to>
      <xdr:col>20</xdr:col>
      <xdr:colOff>296862</xdr:colOff>
      <xdr:row>26</xdr:row>
      <xdr:rowOff>177800</xdr:rowOff>
    </xdr:to>
    <xdr:graphicFrame macro="">
      <xdr:nvGraphicFramePr>
        <xdr:cNvPr id="4" name="Chart 3">
          <a:extLst>
            <a:ext uri="{FF2B5EF4-FFF2-40B4-BE49-F238E27FC236}">
              <a16:creationId xmlns:a16="http://schemas.microsoft.com/office/drawing/2014/main" id="{5D030275-AD40-40B0-A076-F86D477DC1D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444500</xdr:colOff>
      <xdr:row>27</xdr:row>
      <xdr:rowOff>139700</xdr:rowOff>
    </xdr:from>
    <xdr:to>
      <xdr:col>13</xdr:col>
      <xdr:colOff>359356</xdr:colOff>
      <xdr:row>30</xdr:row>
      <xdr:rowOff>54757</xdr:rowOff>
    </xdr:to>
    <xdr:sp macro="" textlink="">
      <xdr:nvSpPr>
        <xdr:cNvPr id="5" name="TextBox 4">
          <a:extLst>
            <a:ext uri="{FF2B5EF4-FFF2-40B4-BE49-F238E27FC236}">
              <a16:creationId xmlns:a16="http://schemas.microsoft.com/office/drawing/2014/main" id="{8818ED99-69D3-405F-AE0A-B5FEDCCC21EC}"/>
            </a:ext>
          </a:extLst>
        </xdr:cNvPr>
        <xdr:cNvSpPr txBox="1"/>
      </xdr:nvSpPr>
      <xdr:spPr>
        <a:xfrm>
          <a:off x="9779000" y="5168900"/>
          <a:ext cx="524456" cy="457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latin typeface="Verdana Pro" panose="020B0604030504040204" pitchFamily="34" charset="0"/>
              <a:cs typeface="Times New Roman" panose="02020603050405020304" pitchFamily="18" charset="0"/>
            </a:rPr>
            <a:t>D)</a:t>
          </a:r>
          <a:endParaRPr lang="en-NL" sz="1400" b="1">
            <a:latin typeface="Verdana Pro" panose="020B0604030504040204" pitchFamily="34" charset="0"/>
            <a:cs typeface="Times New Roman" panose="02020603050405020304" pitchFamily="18" charset="0"/>
          </a:endParaRPr>
        </a:p>
      </xdr:txBody>
    </xdr:sp>
    <xdr:clientData/>
  </xdr:twoCellAnchor>
  <xdr:twoCellAnchor>
    <xdr:from>
      <xdr:col>4</xdr:col>
      <xdr:colOff>552450</xdr:colOff>
      <xdr:row>3</xdr:row>
      <xdr:rowOff>38100</xdr:rowOff>
    </xdr:from>
    <xdr:to>
      <xdr:col>5</xdr:col>
      <xdr:colOff>467306</xdr:colOff>
      <xdr:row>5</xdr:row>
      <xdr:rowOff>143657</xdr:rowOff>
    </xdr:to>
    <xdr:sp macro="" textlink="">
      <xdr:nvSpPr>
        <xdr:cNvPr id="6" name="TextBox 5">
          <a:extLst>
            <a:ext uri="{FF2B5EF4-FFF2-40B4-BE49-F238E27FC236}">
              <a16:creationId xmlns:a16="http://schemas.microsoft.com/office/drawing/2014/main" id="{2E3CED33-D71B-49F1-BED5-3E6D4A15E779}"/>
            </a:ext>
          </a:extLst>
        </xdr:cNvPr>
        <xdr:cNvSpPr txBox="1"/>
      </xdr:nvSpPr>
      <xdr:spPr>
        <a:xfrm>
          <a:off x="5010150" y="666750"/>
          <a:ext cx="524456" cy="4675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latin typeface="Verdana Pro" panose="020B0604030504040204" pitchFamily="34" charset="0"/>
              <a:cs typeface="Times New Roman" panose="02020603050405020304" pitchFamily="18" charset="0"/>
            </a:rPr>
            <a:t>A)</a:t>
          </a:r>
          <a:endParaRPr lang="en-NL" sz="1400" b="1">
            <a:latin typeface="Verdana Pro" panose="020B0604030504040204" pitchFamily="34" charset="0"/>
            <a:cs typeface="Times New Roman" panose="02020603050405020304" pitchFamily="18" charset="0"/>
          </a:endParaRPr>
        </a:p>
      </xdr:txBody>
    </xdr:sp>
    <xdr:clientData/>
  </xdr:twoCellAnchor>
  <xdr:twoCellAnchor>
    <xdr:from>
      <xdr:col>13</xdr:col>
      <xdr:colOff>34925</xdr:colOff>
      <xdr:row>3</xdr:row>
      <xdr:rowOff>104775</xdr:rowOff>
    </xdr:from>
    <xdr:to>
      <xdr:col>13</xdr:col>
      <xdr:colOff>559381</xdr:colOff>
      <xdr:row>6</xdr:row>
      <xdr:rowOff>29357</xdr:rowOff>
    </xdr:to>
    <xdr:sp macro="" textlink="">
      <xdr:nvSpPr>
        <xdr:cNvPr id="7" name="TextBox 6">
          <a:extLst>
            <a:ext uri="{FF2B5EF4-FFF2-40B4-BE49-F238E27FC236}">
              <a16:creationId xmlns:a16="http://schemas.microsoft.com/office/drawing/2014/main" id="{E408B386-336B-4071-8B76-51D637FAD23D}"/>
            </a:ext>
          </a:extLst>
        </xdr:cNvPr>
        <xdr:cNvSpPr txBox="1"/>
      </xdr:nvSpPr>
      <xdr:spPr>
        <a:xfrm>
          <a:off x="9979025" y="733425"/>
          <a:ext cx="524456" cy="4675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latin typeface="Verdana Pro" panose="020B0604030504040204" pitchFamily="34" charset="0"/>
              <a:cs typeface="Times New Roman" panose="02020603050405020304" pitchFamily="18" charset="0"/>
            </a:rPr>
            <a:t>B)</a:t>
          </a:r>
          <a:endParaRPr lang="en-NL" sz="1400" b="1">
            <a:latin typeface="Verdana Pro" panose="020B0604030504040204" pitchFamily="34" charset="0"/>
            <a:cs typeface="Times New Roman" panose="02020603050405020304" pitchFamily="18" charset="0"/>
          </a:endParaRPr>
        </a:p>
      </xdr:txBody>
    </xdr:sp>
    <xdr:clientData/>
  </xdr:twoCellAnchor>
  <xdr:twoCellAnchor>
    <xdr:from>
      <xdr:col>5</xdr:col>
      <xdr:colOff>0</xdr:colOff>
      <xdr:row>28</xdr:row>
      <xdr:rowOff>0</xdr:rowOff>
    </xdr:from>
    <xdr:to>
      <xdr:col>12</xdr:col>
      <xdr:colOff>304800</xdr:colOff>
      <xdr:row>51</xdr:row>
      <xdr:rowOff>26987</xdr:rowOff>
    </xdr:to>
    <xdr:graphicFrame macro="">
      <xdr:nvGraphicFramePr>
        <xdr:cNvPr id="8" name="Chart 7">
          <a:extLst>
            <a:ext uri="{FF2B5EF4-FFF2-40B4-BE49-F238E27FC236}">
              <a16:creationId xmlns:a16="http://schemas.microsoft.com/office/drawing/2014/main" id="{5EA21F1D-FABD-4CE6-97FA-7A236853B4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542925</xdr:colOff>
      <xdr:row>28</xdr:row>
      <xdr:rowOff>9525</xdr:rowOff>
    </xdr:from>
    <xdr:to>
      <xdr:col>5</xdr:col>
      <xdr:colOff>454606</xdr:colOff>
      <xdr:row>30</xdr:row>
      <xdr:rowOff>105557</xdr:rowOff>
    </xdr:to>
    <xdr:sp macro="" textlink="">
      <xdr:nvSpPr>
        <xdr:cNvPr id="9" name="TextBox 8">
          <a:extLst>
            <a:ext uri="{FF2B5EF4-FFF2-40B4-BE49-F238E27FC236}">
              <a16:creationId xmlns:a16="http://schemas.microsoft.com/office/drawing/2014/main" id="{4BF435A3-019B-472D-9D41-B29A170E6B9F}"/>
            </a:ext>
          </a:extLst>
        </xdr:cNvPr>
        <xdr:cNvSpPr txBox="1"/>
      </xdr:nvSpPr>
      <xdr:spPr>
        <a:xfrm>
          <a:off x="5000625" y="5219700"/>
          <a:ext cx="521281" cy="457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latin typeface="Verdana Pro" panose="020B0604030504040204" pitchFamily="34" charset="0"/>
              <a:cs typeface="Times New Roman" panose="02020603050405020304" pitchFamily="18" charset="0"/>
            </a:rPr>
            <a:t>C)</a:t>
          </a:r>
          <a:endParaRPr lang="en-NL" sz="1400" b="1">
            <a:latin typeface="Verdana Pro" panose="020B0604030504040204" pitchFamily="34" charset="0"/>
            <a:cs typeface="Times New Roman" panose="02020603050405020304" pitchFamily="18"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34</xdr:col>
      <xdr:colOff>0</xdr:colOff>
      <xdr:row>19</xdr:row>
      <xdr:rowOff>0</xdr:rowOff>
    </xdr:from>
    <xdr:to>
      <xdr:col>46</xdr:col>
      <xdr:colOff>412965</xdr:colOff>
      <xdr:row>40</xdr:row>
      <xdr:rowOff>85268</xdr:rowOff>
    </xdr:to>
    <xdr:graphicFrame macro="">
      <xdr:nvGraphicFramePr>
        <xdr:cNvPr id="12" name="Chart 11">
          <a:extLst>
            <a:ext uri="{FF2B5EF4-FFF2-40B4-BE49-F238E27FC236}">
              <a16:creationId xmlns:a16="http://schemas.microsoft.com/office/drawing/2014/main" id="{7C289541-9D8C-4ED2-A884-4B65B3DEBF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0</xdr:colOff>
      <xdr:row>59</xdr:row>
      <xdr:rowOff>0</xdr:rowOff>
    </xdr:from>
    <xdr:to>
      <xdr:col>46</xdr:col>
      <xdr:colOff>406615</xdr:colOff>
      <xdr:row>80</xdr:row>
      <xdr:rowOff>85268</xdr:rowOff>
    </xdr:to>
    <xdr:graphicFrame macro="">
      <xdr:nvGraphicFramePr>
        <xdr:cNvPr id="13" name="Chart 12">
          <a:extLst>
            <a:ext uri="{FF2B5EF4-FFF2-40B4-BE49-F238E27FC236}">
              <a16:creationId xmlns:a16="http://schemas.microsoft.com/office/drawing/2014/main" id="{425928C4-BCD6-4AC7-92EB-045BDA903B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xdr:col>
      <xdr:colOff>0</xdr:colOff>
      <xdr:row>99</xdr:row>
      <xdr:rowOff>0</xdr:rowOff>
    </xdr:from>
    <xdr:to>
      <xdr:col>46</xdr:col>
      <xdr:colOff>406615</xdr:colOff>
      <xdr:row>120</xdr:row>
      <xdr:rowOff>85268</xdr:rowOff>
    </xdr:to>
    <xdr:graphicFrame macro="">
      <xdr:nvGraphicFramePr>
        <xdr:cNvPr id="14" name="Chart 13">
          <a:extLst>
            <a:ext uri="{FF2B5EF4-FFF2-40B4-BE49-F238E27FC236}">
              <a16:creationId xmlns:a16="http://schemas.microsoft.com/office/drawing/2014/main" id="{885A918C-DB45-4CED-AFA9-5EFC7F16C1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0</xdr:colOff>
      <xdr:row>141</xdr:row>
      <xdr:rowOff>0</xdr:rowOff>
    </xdr:from>
    <xdr:to>
      <xdr:col>46</xdr:col>
      <xdr:colOff>406615</xdr:colOff>
      <xdr:row>162</xdr:row>
      <xdr:rowOff>85268</xdr:rowOff>
    </xdr:to>
    <xdr:graphicFrame macro="">
      <xdr:nvGraphicFramePr>
        <xdr:cNvPr id="15" name="Chart 14">
          <a:extLst>
            <a:ext uri="{FF2B5EF4-FFF2-40B4-BE49-F238E27FC236}">
              <a16:creationId xmlns:a16="http://schemas.microsoft.com/office/drawing/2014/main" id="{1139E3DF-4471-4222-972C-B7DCA78337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34</xdr:col>
      <xdr:colOff>0</xdr:colOff>
      <xdr:row>182</xdr:row>
      <xdr:rowOff>0</xdr:rowOff>
    </xdr:from>
    <xdr:to>
      <xdr:col>46</xdr:col>
      <xdr:colOff>406615</xdr:colOff>
      <xdr:row>203</xdr:row>
      <xdr:rowOff>85268</xdr:rowOff>
    </xdr:to>
    <xdr:graphicFrame macro="">
      <xdr:nvGraphicFramePr>
        <xdr:cNvPr id="16" name="Chart 15">
          <a:extLst>
            <a:ext uri="{FF2B5EF4-FFF2-40B4-BE49-F238E27FC236}">
              <a16:creationId xmlns:a16="http://schemas.microsoft.com/office/drawing/2014/main" id="{63EC93C5-B571-4408-94AA-82DE6D59B0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34</xdr:col>
      <xdr:colOff>0</xdr:colOff>
      <xdr:row>223</xdr:row>
      <xdr:rowOff>0</xdr:rowOff>
    </xdr:from>
    <xdr:to>
      <xdr:col>46</xdr:col>
      <xdr:colOff>406615</xdr:colOff>
      <xdr:row>244</xdr:row>
      <xdr:rowOff>85268</xdr:rowOff>
    </xdr:to>
    <xdr:graphicFrame macro="">
      <xdr:nvGraphicFramePr>
        <xdr:cNvPr id="17" name="Chart 16">
          <a:extLst>
            <a:ext uri="{FF2B5EF4-FFF2-40B4-BE49-F238E27FC236}">
              <a16:creationId xmlns:a16="http://schemas.microsoft.com/office/drawing/2014/main" id="{775867CB-0FB7-4EA4-A95D-39CABFEEEA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34</xdr:col>
      <xdr:colOff>0</xdr:colOff>
      <xdr:row>283</xdr:row>
      <xdr:rowOff>0</xdr:rowOff>
    </xdr:from>
    <xdr:to>
      <xdr:col>46</xdr:col>
      <xdr:colOff>406615</xdr:colOff>
      <xdr:row>305</xdr:row>
      <xdr:rowOff>85268</xdr:rowOff>
    </xdr:to>
    <xdr:graphicFrame macro="">
      <xdr:nvGraphicFramePr>
        <xdr:cNvPr id="8" name="Chart 7">
          <a:extLst>
            <a:ext uri="{FF2B5EF4-FFF2-40B4-BE49-F238E27FC236}">
              <a16:creationId xmlns:a16="http://schemas.microsoft.com/office/drawing/2014/main" id="{425D86E5-7539-4F17-8657-947D208AEC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34</xdr:col>
      <xdr:colOff>0</xdr:colOff>
      <xdr:row>343</xdr:row>
      <xdr:rowOff>0</xdr:rowOff>
    </xdr:from>
    <xdr:to>
      <xdr:col>46</xdr:col>
      <xdr:colOff>406615</xdr:colOff>
      <xdr:row>365</xdr:row>
      <xdr:rowOff>85268</xdr:rowOff>
    </xdr:to>
    <xdr:graphicFrame macro="">
      <xdr:nvGraphicFramePr>
        <xdr:cNvPr id="9" name="Chart 8">
          <a:extLst>
            <a:ext uri="{FF2B5EF4-FFF2-40B4-BE49-F238E27FC236}">
              <a16:creationId xmlns:a16="http://schemas.microsoft.com/office/drawing/2014/main" id="{F920C5AF-4C7F-45E2-836C-BEAF88CA83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34</xdr:col>
      <xdr:colOff>0</xdr:colOff>
      <xdr:row>404</xdr:row>
      <xdr:rowOff>0</xdr:rowOff>
    </xdr:from>
    <xdr:to>
      <xdr:col>46</xdr:col>
      <xdr:colOff>406615</xdr:colOff>
      <xdr:row>426</xdr:row>
      <xdr:rowOff>85268</xdr:rowOff>
    </xdr:to>
    <xdr:graphicFrame macro="">
      <xdr:nvGraphicFramePr>
        <xdr:cNvPr id="10" name="Chart 9">
          <a:extLst>
            <a:ext uri="{FF2B5EF4-FFF2-40B4-BE49-F238E27FC236}">
              <a16:creationId xmlns:a16="http://schemas.microsoft.com/office/drawing/2014/main" id="{06218781-B8CB-4431-8191-D42E1ECDBA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Hulst, M.K. (Mitchell) van der" id="{AFB9E835-42A1-4388-8608-D7A578230BA3}" userId="S::mitchell.vanderhulst@tno.nl::c37d1b5a-ec2a-4192-87a0-55df92fefe0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7" dT="2024-01-16T12:47:48.93" personId="{AFB9E835-42A1-4388-8608-D7A578230BA3}" id="{53889ABC-AB9B-4CC3-A256-C8F8C0BFE135}">
    <text>We hebben weer eens een reorganisatie gehad: 
Expertise Group Circularity &amp; Sustainability Impact, TNO, P.O. Box 80015, 3508 TA, Utrecht, The Netherlands</text>
  </threadedComment>
  <threadedComment ref="A19" dT="2024-01-17T12:27:42.39" personId="{AFB9E835-42A1-4388-8608-D7A578230BA3}" id="{FFC008C4-7F59-4DB1-8CD1-3FB1209E7B7F}">
    <text>...?</text>
  </threadedComment>
</ThreadedComments>
</file>

<file path=xl/threadedComments/threadedComment14.xml><?xml version="1.0" encoding="utf-8"?>
<ThreadedComments xmlns="http://schemas.microsoft.com/office/spreadsheetml/2018/threadedcomments" xmlns:x="http://schemas.openxmlformats.org/spreadsheetml/2006/main">
  <threadedComment ref="A4" dT="2024-01-16T14:56:21.70" personId="{AFB9E835-42A1-4388-8608-D7A578230BA3}" id="{EB4D7DC3-FE1D-4B45-827A-3DAD91C9D747}">
    <text>Voeg een kolom toe met de functional unit, bijv. "1 kWh" voor electricity use phase wind</text>
  </threadedComment>
</ThreadedComments>
</file>

<file path=xl/threadedComments/threadedComment2.xml><?xml version="1.0" encoding="utf-8"?>
<ThreadedComments xmlns="http://schemas.microsoft.com/office/spreadsheetml/2018/threadedcomments" xmlns:x="http://schemas.openxmlformats.org/spreadsheetml/2006/main">
  <threadedComment ref="J13" dT="2024-01-16T14:19:35.46" personId="{AFB9E835-42A1-4388-8608-D7A578230BA3}" id="{836D2450-9A8F-4AC3-8897-8E71D884145A}">
    <text>ecoinvent
Welke versie?</text>
  </threadedComment>
  <threadedComment ref="G72" dT="2024-01-16T13:19:35.25" personId="{AFB9E835-42A1-4388-8608-D7A578230BA3}" id="{2FB18163-6920-4FB6-973B-F28F3926C4A6}">
    <text xml:space="preserve">Hier als ook voor andere processes met bewerking van het metaal:
Heeft Carbyon de massa het staal gegeven of de massa van het gecoate staal? Ik kan me voorstellen dat dit het laatste is. In dat geval moet hier strikt genomen de massa van de poedercoat eraf worden getrokken. Dit zou ik alleen doen als het significant is. </text>
  </threadedComment>
  <threadedComment ref="G73" dT="2024-01-16T12:52:43.25" personId="{AFB9E835-42A1-4388-8608-D7A578230BA3}" id="{876D6F6B-2F37-4E12-A553-B899F7664FF4}">
    <text>Waar komt 23.6 vandaan? Dit is niet direct duidelijk uit de remark. Check en maak eventueel duidelijker</text>
  </threadedComment>
  <threadedComment ref="G76" dT="2024-01-16T13:20:12.81" personId="{AFB9E835-42A1-4388-8608-D7A578230BA3}" id="{6590700B-5ABC-4CEE-84E8-0A9DFE88CBC5}">
    <text>Zie G72</text>
  </threadedComment>
  <threadedComment ref="G77" dT="2024-01-16T12:55:16.14" personId="{AFB9E835-42A1-4388-8608-D7A578230BA3}" id="{5DDDD2A3-1C36-4ECE-B150-07FB9478E6AB}">
    <text>Zie G73</text>
  </threadedComment>
  <threadedComment ref="J83" dT="2024-01-16T13:00:14.77" personId="{AFB9E835-42A1-4388-8608-D7A578230BA3}" id="{55267C8F-23A4-4E6E-AD90-FB099C1B12B2}">
    <text>Waarom mixed plastic waste als de outputs PET and PE zijn? Zijn de twee plastics in de filter te scheiden? Zo niet, dan is mixed plastic waste logisch, maar dan zou ik er gewoon één regel van maken met filter ipv PET/PE voor de duidelijkheid. Als ze wél te scheiden zijn, dan zou het logischer zijn om processes voor waste PET en waste PE te nemen.</text>
  </threadedComment>
  <threadedComment ref="G106" dT="2024-01-16T13:21:53.25" personId="{AFB9E835-42A1-4388-8608-D7A578230BA3}" id="{E2559A3C-B6D2-4661-980F-20D2187B69B1}">
    <text>Zie G72</text>
  </threadedComment>
  <threadedComment ref="G107" dT="2024-01-16T13:03:57.28" personId="{AFB9E835-42A1-4388-8608-D7A578230BA3}" id="{8EA0D5BC-F717-4643-8B15-B2023B0F14E0}">
    <text>Zie G73</text>
  </threadedComment>
  <threadedComment ref="L111" dT="2024-01-16T13:09:25.25" personId="{AFB9E835-42A1-4388-8608-D7A578230BA3}" id="{CF9A8F6F-E633-405A-A94D-D86FCCB847D9}">
    <text>Dat is de unalloyed steel. Daarnaast is er 0.61 kg low-alloyed steel nodig voor een totaal van 1.65 kg steel/m. Daarentegen staat in de comment 1.5 kg/m. De input in de inventory is dus "heel toevallig" 10% meer dan wat in de comments staat, dus ik had ook een output van 10% steel als waste verwacht, maar dat staat er dan weer niet. Ik weet nu dus niet of het 1.65 of 1.5 kg/m is, maar het is in ieder geval meer dan 1.04 kg/m!</text>
  </threadedComment>
  <threadedComment ref="G148" dT="2024-01-16T13:21:41.38" personId="{AFB9E835-42A1-4388-8608-D7A578230BA3}" id="{0CE8804F-ACA6-4F48-B49C-0B63B1EA1A4C}">
    <text>Zie G72</text>
  </threadedComment>
  <threadedComment ref="G149" dT="2024-01-16T13:14:47.56" personId="{AFB9E835-42A1-4388-8608-D7A578230BA3}" id="{7964F35D-814E-433B-BBC1-FAB2F674054F}">
    <text>Zie G73</text>
  </threadedComment>
  <threadedComment ref="J149" dT="2024-01-16T13:13:46.94" personId="{AFB9E835-42A1-4388-8608-D7A578230BA3}" id="{2BDA3B27-4C8B-407A-B051-06482B7B5537}">
    <text>Suggestie: Zinc coat, pieces {GLO}| market for zinc coat, pieces | Cut-off, U</text>
  </threadedComment>
  <threadedComment ref="G157" dT="2024-01-16T13:23:55.14" personId="{AFB9E835-42A1-4388-8608-D7A578230BA3}" id="{A26A7E5D-3575-44FE-857A-9B3A88C1936A}">
    <text>Check of dit niet negatief moet zijn.</text>
  </threadedComment>
  <threadedComment ref="G180" dT="2024-01-16T13:29:06.02" personId="{AFB9E835-42A1-4388-8608-D7A578230BA3}" id="{B474C943-8AA9-4661-AE1E-7DFE90A414FA}">
    <text>Waarom is dit een berekening, in plaats van een verwijzing naar de raw data hierboven? En waar komt 7.8 vandaan?</text>
  </threadedComment>
  <threadedComment ref="G182" dT="2024-01-16T13:24:46.00" personId="{AFB9E835-42A1-4388-8608-D7A578230BA3}" id="{86EBE7DE-9CBE-40B3-879D-497FB374859B}">
    <text>Zie G72 en G180</text>
  </threadedComment>
  <threadedComment ref="G183" dT="2024-01-16T13:25:23.79" personId="{AFB9E835-42A1-4388-8608-D7A578230BA3}" id="{DED1A64D-019F-471A-8079-69EF4A9EF135}">
    <text>Zie G73</text>
  </threadedComment>
  <threadedComment ref="G186" dT="2024-01-16T13:26:15.11" personId="{AFB9E835-42A1-4388-8608-D7A578230BA3}" id="{3F326C4F-8C29-43DE-A7DB-528B06B41497}">
    <text>Volgens de raw data hierboven moet het 1 kg zijn.</text>
  </threadedComment>
  <threadedComment ref="G188" dT="2024-01-16T13:26:32.25" personId="{AFB9E835-42A1-4388-8608-D7A578230BA3}" id="{EDF5C7AA-4209-4D2F-975B-949466868E24}">
    <text>Zie G72</text>
  </threadedComment>
  <threadedComment ref="G189" dT="2024-01-16T13:26:39.64" personId="{AFB9E835-42A1-4388-8608-D7A578230BA3}" id="{9EC6B318-5E2D-44F1-94ED-C842A659CBA3}">
    <text>Zie G73</text>
  </threadedComment>
  <threadedComment ref="G195" dT="2024-01-16T13:27:02.66" personId="{AFB9E835-42A1-4388-8608-D7A578230BA3}" id="{1A19D074-7E8D-41AF-A0A8-DB81F7D68D5F}">
    <text>Zie G72</text>
  </threadedComment>
  <threadedComment ref="G196" dT="2024-01-16T13:27:08.54" personId="{AFB9E835-42A1-4388-8608-D7A578230BA3}" id="{2310DE6E-8A92-4018-AC96-A7F0172582C8}">
    <text>Zie G73</text>
  </threadedComment>
  <threadedComment ref="G201" dT="2024-01-16T13:27:27.61" personId="{AFB9E835-42A1-4388-8608-D7A578230BA3}" id="{94544361-B3F7-4875-ADA4-45506631DC94}">
    <text>Zie G186</text>
  </threadedComment>
  <threadedComment ref="J225" dT="2024-01-16T13:39:24.43" personId="{AFB9E835-42A1-4388-8608-D7A578230BA3}" id="{4145DD14-73BD-4076-9BAF-54A5E1095BEE}">
    <text xml:space="preserve">Hoeveel draagt dit bij aan de resultaten? Dit proces is namelijk niet super representatief, omdat de pompen in ecoinvent waterpompen zijn. Daarnaast kun je denk ik beter schalen op basis van vermogen. </text>
  </threadedComment>
  <threadedComment ref="C232" dT="2024-01-16T13:44:16.21" personId="{AFB9E835-42A1-4388-8608-D7A578230BA3}" id="{3256BA11-7E74-499F-ABA4-702BA65B6B3B}">
    <text>Waar is de waste van de pump?</text>
  </threadedComment>
  <threadedComment ref="J233" dT="2024-01-16T13:40:26.03" personId="{AFB9E835-42A1-4388-8608-D7A578230BA3}" id="{DE3D48C4-FDFA-4E74-8F5C-03D5C383B290}">
    <text>Zie J83</text>
  </threadedComment>
  <threadedComment ref="G260" dT="2024-01-16T13:43:01.17" personId="{AFB9E835-42A1-4388-8608-D7A578230BA3}" id="{FA1F03AF-EDCE-4A1C-AB82-BE7AC5C7EF72}">
    <text>Ik denk dat vermogen een betere manier is om het process te schalen dan gewicht. Zie ook J225</text>
  </threadedComment>
  <threadedComment ref="J262" dT="2024-01-16T13:43:14.65" personId="{AFB9E835-42A1-4388-8608-D7A578230BA3}" id="{727B615B-66E8-4088-9AF0-0C56803AE744}">
    <text>Zie J225</text>
  </threadedComment>
  <threadedComment ref="C267" dT="2024-01-16T13:43:51.83" personId="{AFB9E835-42A1-4388-8608-D7A578230BA3}" id="{D15C2C38-0CAF-4E07-9F9A-075063E1FA65}">
    <text>Waar is de waste van de chiller en pump?</text>
  </threadedComment>
  <threadedComment ref="J291" dT="2024-01-16T13:47:01.68" personId="{AFB9E835-42A1-4388-8608-D7A578230BA3}" id="{26989AA7-41CF-4095-A793-205CB6A205E0}">
    <text>Ik denk dat vermogen een betere manier is om het process te schalen dan gewicht. Zie ook J225</text>
  </threadedComment>
  <threadedComment ref="B297" dT="2024-01-16T13:49:21.48" personId="{AFB9E835-42A1-4388-8608-D7A578230BA3}" id="{45B2E7D1-1F6C-4ADD-A76C-D42C11D9DB58}">
    <text>Niet vergeten. Indien ja, zet dit bij de remarks voor de compressor.</text>
  </threadedComment>
  <threadedComment ref="L318" dT="2024-01-16T13:50:03.27" personId="{AFB9E835-42A1-4388-8608-D7A578230BA3}" id="{DDFDF003-E47A-4DAA-8CE4-0CCBD10A02C2}">
    <text>Zie L111</text>
  </threadedComment>
  <threadedComment ref="G320" dT="2024-01-16T13:50:25.06" personId="{AFB9E835-42A1-4388-8608-D7A578230BA3}" id="{D60E86F2-5B33-426A-AB01-3E35FBE77E95}">
    <text>Zie G72</text>
  </threadedComment>
  <threadedComment ref="G321" dT="2024-01-16T13:50:31.16" personId="{AFB9E835-42A1-4388-8608-D7A578230BA3}" id="{B13082E4-C1F3-428E-9D30-514EB81B61A6}">
    <text>Zie G73</text>
  </threadedComment>
  <threadedComment ref="G347" dT="2024-01-16T13:51:01.81" personId="{AFB9E835-42A1-4388-8608-D7A578230BA3}" id="{13301157-74B7-45E2-AE84-02EAED929514}">
    <text>Zie G72</text>
  </threadedComment>
  <threadedComment ref="G348" dT="2024-01-16T13:51:07.55" personId="{AFB9E835-42A1-4388-8608-D7A578230BA3}" id="{53A7994C-9534-4E4E-AF5D-AB2E3CCF3D0F}">
    <text>Zie G73</text>
  </threadedComment>
  <threadedComment ref="G351" dT="2024-01-16T13:51:15.64" personId="{AFB9E835-42A1-4388-8608-D7A578230BA3}" id="{6B177978-CDAA-4613-B879-1089EDF84909}">
    <text>Zie G72</text>
  </threadedComment>
  <threadedComment ref="G352" dT="2024-01-16T13:51:23.15" personId="{AFB9E835-42A1-4388-8608-D7A578230BA3}" id="{A358B932-87EE-4BED-AA01-FA13B737189C}">
    <text>Zie G73</text>
  </threadedComment>
  <threadedComment ref="G385" dT="2024-01-16T13:52:03.33" personId="{AFB9E835-42A1-4388-8608-D7A578230BA3}" id="{7E01E3B2-2CB6-4683-A81D-EE084B31EBD3}">
    <text>Zie G72</text>
  </threadedComment>
  <threadedComment ref="G386" dT="2024-01-16T13:52:09.81" personId="{AFB9E835-42A1-4388-8608-D7A578230BA3}" id="{536E7E33-C04D-4103-B94C-21EDC1A81F62}">
    <text>Zie G73</text>
  </threadedComment>
  <threadedComment ref="J394" dT="2024-01-16T13:53:42.59" personId="{AFB9E835-42A1-4388-8608-D7A578230BA3}" id="{E86E8647-18F6-41D3-8662-9D35AF9FE769}">
    <text>Voor consistentie: Electronics scrap from control units {RER}| treatment of electronics scrap from control units | Cut-off, U</text>
  </threadedComment>
  <threadedComment ref="J395" dT="2024-01-16T13:52:45.49" personId="{AFB9E835-42A1-4388-8608-D7A578230BA3}" id="{51C2AD52-5476-471E-82BB-89DBEB4F5B34}">
    <text>Wat ga je hiermee doen?</text>
  </threadedComment>
  <threadedComment ref="J396" dT="2024-01-16T13:53:02.51" personId="{AFB9E835-42A1-4388-8608-D7A578230BA3}" id="{9F212094-FA7C-486E-826A-A8168DF0AED8}">
    <text>Welke process gebruik je hier?</text>
  </threadedComment>
  <threadedComment ref="C401" dT="2024-01-16T13:54:16.21" personId="{AFB9E835-42A1-4388-8608-D7A578230BA3}" id="{9F0F1785-1FA1-45F6-B4A4-3637F61814A1}">
    <text>Area!</text>
  </threadedComment>
  <threadedComment ref="D401" dT="2024-01-16T13:57:14.72" personId="{AFB9E835-42A1-4388-8608-D7A578230BA3}" id="{AAEF5A64-BF95-42E0-9FF6-ED6692CBB4B1}">
    <text>Dit is een raar label voor de kabels en pijpen. Alternatief zou je area kunnen opsplitsen in lengte en breedte, waarbij de lengte van de kabels en pijpen verschuiven naar de kolom voor lengte.</text>
  </threadedComment>
  <threadedComment ref="H401" dT="2024-01-16T13:58:42.60" personId="{AFB9E835-42A1-4388-8608-D7A578230BA3}" id="{A79EB9C4-DBB5-4DB6-976F-DE1B3B0DABA6}">
    <text>Voeg een kolom toe voor de levensduur van deze materialen, net als bij de andere raw data. Zeker hier, aangezien je gaat delen door 2, omdat de levensduur tweemaal zo lang is als van de DAC apparatuur.</text>
  </threadedComment>
  <threadedComment ref="L401" dT="2024-01-16T13:55:22.33" personId="{AFB9E835-42A1-4388-8608-D7A578230BA3}" id="{3782E785-D0A9-4B4B-B219-55C77276228A}">
    <text>?</text>
  </threadedComment>
  <threadedComment ref="L403" dT="2024-01-16T13:55:30.03" personId="{AFB9E835-42A1-4388-8608-D7A578230BA3}" id="{2C1C7EEB-0AF5-4721-B5AD-6368F190C6D1}">
    <text>?</text>
  </threadedComment>
  <threadedComment ref="D405" dT="2024-01-16T14:03:59.32" personId="{AFB9E835-42A1-4388-8608-D7A578230BA3}" id="{D97FC61D-351C-4528-A8C0-B5E0E52AA25A}">
    <text>Dit is gigantisch veel. In de berekening komt terug dat dit per 11000 apparaten is. Waarom is dat? Beschrijf dat duidelijker hier of in de remarks.</text>
  </threadedComment>
  <threadedComment ref="G405" dT="2024-01-16T14:05:05.70" personId="{AFB9E835-42A1-4388-8608-D7A578230BA3}" id="{916D77A9-F26A-4256-ACD5-A1404AE5921D}">
    <text>Dit lijkt me niet te kloppen. 27.5 kilometer kabel weegt tonnen.</text>
  </threadedComment>
  <threadedComment ref="L405" dT="2024-01-16T13:55:33.90" personId="{AFB9E835-42A1-4388-8608-D7A578230BA3}" id="{CA9768D9-D9B0-42D2-A0B1-EC3030E7531B}">
    <text>?</text>
  </threadedComment>
  <threadedComment ref="D406" dT="2024-01-16T14:04:25.56" personId="{AFB9E835-42A1-4388-8608-D7A578230BA3}" id="{A9C6C7D8-027D-4F38-B284-47BA540EFCB2}">
    <text>Dit is gigantisch veel. In de berekening komt terug dat dit per 11000 apparaten is. Waarom is dat? Beschrijf dat duidelijker hier of in de remarks.</text>
  </threadedComment>
  <threadedComment ref="G406" dT="2024-01-16T14:05:12.02" personId="{AFB9E835-42A1-4388-8608-D7A578230BA3}" id="{A1A26151-8F2D-42CE-B16C-172B278CEE85}">
    <text>Dit lijkt me niet te kloppen. 27.5 kilometer kabel weegt tonnen.</text>
  </threadedComment>
  <threadedComment ref="L406" dT="2024-01-16T13:55:37.74" personId="{AFB9E835-42A1-4388-8608-D7A578230BA3}" id="{51DF1D80-285B-4C2B-8D78-D12CCF810BB9}">
    <text>?</text>
  </threadedComment>
  <threadedComment ref="N406" dT="2024-01-16T13:55:41.16" personId="{AFB9E835-42A1-4388-8608-D7A578230BA3}" id="{64BDED6F-B627-4B88-BDA2-573D4469C113}">
    <text>?</text>
  </threadedComment>
  <threadedComment ref="D407" dT="2024-01-16T14:07:23.45" personId="{AFB9E835-42A1-4388-8608-D7A578230BA3}" id="{D55BCAF6-7224-4796-B92F-ADBF9DF38CFB}">
    <text>Leg uit waar dit vandaan komt en hoe het samenhangt met 10 kg in G407</text>
  </threadedComment>
  <threadedComment ref="D408" dT="2024-01-16T14:07:34.06" personId="{AFB9E835-42A1-4388-8608-D7A578230BA3}" id="{6EDD9130-FF64-4A16-BF13-508C782FD92A}">
    <text>Leg uit waar dit vandaan komt en hoe het samenhangt met 8.6 kg in G408</text>
  </threadedComment>
  <threadedComment ref="C429" dT="2024-01-16T14:00:11.28" personId="{AFB9E835-42A1-4388-8608-D7A578230BA3}" id="{34239265-597C-4933-A937-1605DAC79885}">
    <text>Wat gebeurt met de broken rubble? Landfill?</text>
  </threadedComment>
  <threadedComment ref="G432" dT="2024-01-16T14:02:07.65" personId="{AFB9E835-42A1-4388-8608-D7A578230BA3}" id="{6688E70A-30D4-41E3-BB1D-0CA85EE7AA66}">
    <text>Waarom delen door 2? (lifetime!)</text>
  </threadedComment>
  <threadedComment ref="L433" dT="2024-01-16T14:01:49.47" personId="{AFB9E835-42A1-4388-8608-D7A578230BA3}" id="{DE86FF41-BAF2-4B28-9D4E-70917F07E0BD}">
    <text>Waar is dit op gebaseerd?</text>
  </threadedComment>
</ThreadedComments>
</file>

<file path=xl/threadedComments/threadedComment3.xml><?xml version="1.0" encoding="utf-8"?>
<ThreadedComments xmlns="http://schemas.microsoft.com/office/spreadsheetml/2018/threadedcomments" xmlns:x="http://schemas.openxmlformats.org/spreadsheetml/2006/main">
  <threadedComment ref="I31" dT="2024-01-16T14:10:09.07" personId="{AFB9E835-42A1-4388-8608-D7A578230BA3}" id="{D6A0FDB9-1801-4823-BBA3-CEB7C1C4CAA6}">
    <text>Weight ratio 1:1</text>
  </threadedComment>
  <threadedComment ref="F33" dT="2024-01-16T14:09:31.54" personId="{AFB9E835-42A1-4388-8608-D7A578230BA3}" id="{AA4FF02B-C1FB-4A09-8F6A-A339471C20B5}">
    <text>MJ!</text>
  </threadedComment>
</ThreadedComments>
</file>

<file path=xl/threadedComments/threadedComment4.xml><?xml version="1.0" encoding="utf-8"?>
<ThreadedComments xmlns="http://schemas.microsoft.com/office/spreadsheetml/2018/threadedcomments" xmlns:x="http://schemas.openxmlformats.org/spreadsheetml/2006/main">
  <threadedComment ref="E4" dT="2024-01-16T14:27:02.63" personId="{AFB9E835-42A1-4388-8608-D7A578230BA3}" id="{F6B66D4E-DB56-47D8-A34D-4C5206AF348A}">
    <text>Waar zijn deze opvallend specifieke en niet-ronde cijfers op gebaseerd?</text>
  </threadedComment>
  <threadedComment ref="G4" dT="2024-01-16T14:30:14.31" personId="{AFB9E835-42A1-4388-8608-D7A578230BA3}" id="{499B9834-39D5-48CB-9BE7-367DF7EABCFE}">
    <text>Waar zijn deze opvallend specifieke en niet-ronde cijfers op gebaseerd?</text>
  </threadedComment>
  <threadedComment ref="H4" dT="2024-01-16T14:30:16.99" personId="{AFB9E835-42A1-4388-8608-D7A578230BA3}" id="{94CBC19D-3B75-425F-9EDC-9FBF49061F85}">
    <text>Waar zijn deze opvallend specifieke en niet-ronde cijfers op gebaseerd?</text>
  </threadedComment>
  <threadedComment ref="I4" dT="2024-01-16T14:30:19.95" personId="{AFB9E835-42A1-4388-8608-D7A578230BA3}" id="{64ADB4B4-C791-48B7-A0CE-80B77E06E748}">
    <text>Waar zijn deze opvallend specifieke en niet-ronde cijfers op gebaseerd?</text>
  </threadedComment>
  <threadedComment ref="J4" dT="2024-01-16T14:20:09.04" personId="{AFB9E835-42A1-4388-8608-D7A578230BA3}" id="{B562EB77-C1EE-4D76-BC03-B2617FBA63CB}">
    <text>Waarom hier APOS ipv cut-off?</text>
  </threadedComment>
  <threadedComment ref="F5" dT="2024-01-16T14:24:44.83" personId="{AFB9E835-42A1-4388-8608-D7A578230BA3}" id="{3B07C8E2-98C4-4FE4-AA0F-024864B4AA66}">
    <text>Waarom delen door 2300?</text>
  </threadedComment>
  <threadedComment ref="J7" dT="2024-01-16T14:22:20.53" personId="{AFB9E835-42A1-4388-8608-D7A578230BA3}" id="{592B345F-4BBE-4A6F-9E25-C14140ED28B2}">
    <text>Ik zou gaan voor: Copper, cathode {GLO}| market for copper, cathode | Cut-off, U</text>
  </threadedComment>
  <threadedComment ref="J8" dT="2024-01-16T14:23:41.08" personId="{AFB9E835-42A1-4388-8608-D7A578230BA3}" id="{0BFCBE23-9AFC-41AB-BD33-304A0440E954}">
    <text>Ik zou gaan voor: Polyethylene, high density, granulate {GLO}| market for polyethylene, high density, granulate | Cut-off, U</text>
  </threadedComment>
  <threadedComment ref="J16" dT="2024-01-16T14:24:03.59" personId="{AFB9E835-42A1-4388-8608-D7A578230BA3}" id="{5F301949-9120-468C-944F-FBB5AF4EEB81}">
    <text>Zie J8</text>
  </threadedComment>
  <threadedComment ref="F22" dT="2024-01-16T14:24:49.91" personId="{AFB9E835-42A1-4388-8608-D7A578230BA3}" id="{F8046535-95DA-4B92-B1E8-7E411645DCAB}">
    <text>Zie F5</text>
  </threadedComment>
  <threadedComment ref="J23" dT="2024-01-16T14:24:20.19" personId="{AFB9E835-42A1-4388-8608-D7A578230BA3}" id="{AF676E35-FAF1-4F4A-ABA5-84AA4294F5F2}">
    <text>Zie J7</text>
  </threadedComment>
  <threadedComment ref="J26" dT="2024-01-16T14:25:31.44" personId="{AFB9E835-42A1-4388-8608-D7A578230BA3}" id="{CA51D015-4A72-4BF5-9512-55E0B33BD733}">
    <text>Welke process gebruik je hier?</text>
  </threadedComment>
  <threadedComment ref="J27" dT="2024-01-16T14:25:34.48" personId="{AFB9E835-42A1-4388-8608-D7A578230BA3}" id="{9FB7DF81-073A-476C-9E9D-25FDB77C6DD7}">
    <text>Welke process gebruik je hier?</text>
  </threadedComment>
  <threadedComment ref="J28" dT="2024-01-16T14:25:37.53" personId="{AFB9E835-42A1-4388-8608-D7A578230BA3}" id="{E1246BE3-7BA5-4626-BD7D-0404E575D3C4}">
    <text>Welke process gebruik je hier?</text>
  </threadedComment>
  <threadedComment ref="J29" dT="2024-01-16T14:25:40.47" personId="{AFB9E835-42A1-4388-8608-D7A578230BA3}" id="{4A293566-59C5-4E23-B4CE-49B0B01E1DF9}">
    <text>Welke process gebruik je hier?</text>
  </threadedComment>
</ThreadedComments>
</file>

<file path=xl/threadedComments/threadedComment5.xml><?xml version="1.0" encoding="utf-8"?>
<ThreadedComments xmlns="http://schemas.microsoft.com/office/spreadsheetml/2018/threadedcomments" xmlns:x="http://schemas.openxmlformats.org/spreadsheetml/2006/main">
  <threadedComment ref="R16" dT="2024-01-16T14:30:51.80" personId="{AFB9E835-42A1-4388-8608-D7A578230BA3}" id="{F65A921D-B240-4BBF-998B-DFF024BBC607}">
    <text>?</text>
  </threadedComment>
  <threadedComment ref="R17" dT="2024-01-16T14:30:55.99" personId="{AFB9E835-42A1-4388-8608-D7A578230BA3}" id="{55AE9853-D482-4692-9E24-91F816529C64}">
    <text>?</text>
  </threadedComment>
  <threadedComment ref="C35" dT="2024-01-16T14:34:35.49" personId="{AFB9E835-42A1-4388-8608-D7A578230BA3}" id="{4D6F36B5-98F8-4424-8193-A75AA23CB601}">
    <text>Het zou fijn zijn als je specificeert waar in deze bron, bijv pagina 8 of Tabel 2.1 of supporting information pagina 3...</text>
  </threadedComment>
  <threadedComment ref="C39" dT="2024-01-16T14:34:38.99" personId="{AFB9E835-42A1-4388-8608-D7A578230BA3}" id="{08E91559-5638-4725-B25B-2BF353C8A355}">
    <text>Het zou fijn zijn als je specificeert waar in deze bron, bijv pagina 8 of Tabel 2.1 of supporting information pagina 3...</text>
  </threadedComment>
  <threadedComment ref="C48" dT="2024-01-16T14:34:42.87" personId="{AFB9E835-42A1-4388-8608-D7A578230BA3}" id="{61BEF48F-A2FD-4E03-AFF0-55962F1E8C1B}">
    <text>Het zou fijn zijn als je specificeert waar in deze bron, bijv pagina 8 of Tabel 2.1 of supporting information pagina 3...</text>
  </threadedComment>
  <threadedComment ref="C56" dT="2024-01-16T14:34:46.86" personId="{AFB9E835-42A1-4388-8608-D7A578230BA3}" id="{FF70ED52-BDE0-40D2-A525-D6220737A9AA}">
    <text>Het zou fijn zijn als je specificeert waar in deze bron, bijv pagina 8 of Tabel 2.1 of supporting information pagina 3...</text>
  </threadedComment>
</ThreadedComments>
</file>

<file path=xl/threadedComments/threadedComment6.xml><?xml version="1.0" encoding="utf-8"?>
<ThreadedComments xmlns="http://schemas.microsoft.com/office/spreadsheetml/2018/threadedcomments" xmlns:x="http://schemas.openxmlformats.org/spreadsheetml/2006/main">
  <threadedComment ref="K1" dT="2024-01-16T16:51:10.05" personId="{AFB9E835-42A1-4388-8608-D7A578230BA3}" id="{6A01DC5F-0083-4990-97DE-41AAEEFDE0A6}">
    <text>Deze kolom moet denk ik weg</text>
  </threadedComment>
</ThreadedComments>
</file>

<file path=xl/threadedComments/threadedComment7.xml><?xml version="1.0" encoding="utf-8"?>
<ThreadedComments xmlns="http://schemas.microsoft.com/office/spreadsheetml/2018/threadedcomments" xmlns:x="http://schemas.openxmlformats.org/spreadsheetml/2006/main">
  <threadedComment ref="AC3" dT="2024-01-16T15:20:19.27" personId="{AFB9E835-42A1-4388-8608-D7A578230BA3}" id="{D77B41F5-E1AA-4334-A2BA-360463475F5E}">
    <text>Vermeld de bron (Tabel 2.3 in Huijbregts 2017)</text>
  </threadedComment>
  <threadedComment ref="A4" dT="2024-01-16T14:57:26.35" personId="{AFB9E835-42A1-4388-8608-D7A578230BA3}" id="{2CB5373C-49CB-4B38-BCF4-06DB00B2BB8B}">
    <text>Per wat? Per ton CO2 captured?</text>
  </threadedComment>
  <threadedComment ref="BC13" dT="2024-01-16T15:31:49.10" personId="{AFB9E835-42A1-4388-8608-D7A578230BA3}" id="{F09771E5-2BF0-42DD-A53B-AE1EC818B6FD}">
    <text>Breng dit figuur in lijn met die hieronder</text>
  </threadedComment>
  <threadedComment ref="AC42" dT="2024-01-16T15:25:20.91" personId="{AFB9E835-42A1-4388-8608-D7A578230BA3}" id="{01C7D5DF-9741-4EAB-A7CA-22D37BD5645C}">
    <text>Zie AC3</text>
  </threadedComment>
  <threadedComment ref="A43" dT="2024-01-16T14:57:40.59" personId="{AFB9E835-42A1-4388-8608-D7A578230BA3}" id="{52E620A3-3DF9-4B2A-A179-8667A4B52E81}">
    <text>Zie A4</text>
  </threadedComment>
  <threadedComment ref="BC56" dT="2024-01-16T15:30:00.19" personId="{AFB9E835-42A1-4388-8608-D7A578230BA3}" id="{56F717F2-42B6-4E6B-8B83-BABB40FB4784}">
    <text>Waarom hier geen figuur?</text>
  </threadedComment>
  <threadedComment ref="AC81" dT="2024-01-16T15:25:26.10" personId="{AFB9E835-42A1-4388-8608-D7A578230BA3}" id="{223D0B77-9805-4BDB-B75C-E1F0066551A8}">
    <text>Zie AC3</text>
  </threadedComment>
  <threadedComment ref="A82" dT="2024-01-16T14:58:03.37" personId="{AFB9E835-42A1-4388-8608-D7A578230BA3}" id="{D77629A9-45F1-4F8A-9DAB-9414CBE15417}">
    <text>Zie A4</text>
  </threadedComment>
  <threadedComment ref="BC93" dT="2024-01-16T15:55:30.24" personId="{AFB9E835-42A1-4388-8608-D7A578230BA3}" id="{E6E8AE5F-D59C-4AFF-9257-B4FED93375BC}">
    <text>Voeg een totals lijn toe</text>
  </threadedComment>
  <threadedComment ref="AC120" dT="2024-01-16T15:25:31.25" personId="{AFB9E835-42A1-4388-8608-D7A578230BA3}" id="{CB37A232-8817-485C-8E57-FD4FBAC0D025}">
    <text>Zie AC3</text>
  </threadedComment>
  <threadedComment ref="A121" dT="2024-01-16T14:58:11.97" personId="{AFB9E835-42A1-4388-8608-D7A578230BA3}" id="{387D576E-C4D4-4DE2-A44E-03E6809113E6}">
    <text>Zie A4</text>
  </threadedComment>
  <threadedComment ref="BC133" dT="2024-01-16T15:55:42.45" personId="{AFB9E835-42A1-4388-8608-D7A578230BA3}" id="{D0C596CC-3709-469D-934E-B98655775889}">
    <text>Zie BC93</text>
  </threadedComment>
  <threadedComment ref="AC161" dT="2024-01-16T15:25:37.20" personId="{AFB9E835-42A1-4388-8608-D7A578230BA3}" id="{7115DC2D-ED48-4E82-90DD-F75F411D66CE}">
    <text>Zie AC3</text>
  </threadedComment>
  <threadedComment ref="A162" dT="2024-01-16T14:58:17.57" personId="{AFB9E835-42A1-4388-8608-D7A578230BA3}" id="{85F5CA47-C1AB-4FCB-8944-75E3C6F07A7E}">
    <text>Zie A4</text>
  </threadedComment>
  <threadedComment ref="BC174" dT="2024-01-16T15:55:48.59" personId="{AFB9E835-42A1-4388-8608-D7A578230BA3}" id="{4D12F770-6F44-4581-89C4-B4890CADA000}">
    <text>Zie BC93</text>
  </threadedComment>
  <threadedComment ref="AC201" dT="2024-01-16T15:25:42.15" personId="{AFB9E835-42A1-4388-8608-D7A578230BA3}" id="{9F5050CC-6C3F-499D-A3F4-FDE44DEC751A}">
    <text>Zie AC3</text>
  </threadedComment>
  <threadedComment ref="A202" dT="2024-01-16T14:58:24.89" personId="{AFB9E835-42A1-4388-8608-D7A578230BA3}" id="{94DCD410-B8D9-481A-8C76-D7589BF15053}">
    <text>Zie A4</text>
  </threadedComment>
  <threadedComment ref="BC214" dT="2024-01-16T15:55:55.50" personId="{AFB9E835-42A1-4388-8608-D7A578230BA3}" id="{4C57FA09-7418-4471-848B-A433F61801D5}">
    <text>Zie BC93</text>
  </threadedComment>
</ThreadedComments>
</file>

<file path=xl/threadedComments/threadedComment8.xml><?xml version="1.0" encoding="utf-8"?>
<ThreadedComments xmlns="http://schemas.microsoft.com/office/spreadsheetml/2018/threadedcomments" xmlns:x="http://schemas.openxmlformats.org/spreadsheetml/2006/main">
  <threadedComment ref="AC3" dT="2024-01-16T15:40:05.24" personId="{AFB9E835-42A1-4388-8608-D7A578230BA3}" id="{499B2280-B815-4B94-9C57-4C5A67F8781B}">
    <text>Vermeld de bron (Tabel 2.3 in Huijbregts 2017)</text>
  </threadedComment>
  <threadedComment ref="A4" dT="2024-01-16T16:09:24.79" personId="{AFB9E835-42A1-4388-8608-D7A578230BA3}" id="{104255EE-D20E-4156-8B87-653885C2D3D3}">
    <text>Per wat? Per ton CO2 captured?</text>
  </threadedComment>
  <threadedComment ref="BB31" dT="2024-01-16T15:56:12.96" personId="{AFB9E835-42A1-4388-8608-D7A578230BA3}" id="{D8B1A195-635C-4D3C-97B0-C74285658FC5}">
    <text>Voeg een totals lijn toe</text>
  </threadedComment>
  <threadedComment ref="AC42" dT="2024-01-16T15:40:11.71" personId="{AFB9E835-42A1-4388-8608-D7A578230BA3}" id="{B0E06457-9F83-46DA-8B78-0B869DB54A48}">
    <text>Zie AC3</text>
  </threadedComment>
  <threadedComment ref="A43" dT="2024-01-16T16:10:44.16" personId="{AFB9E835-42A1-4388-8608-D7A578230BA3}" id="{FBF8C9F2-53B5-4537-B50A-069413DC2616}">
    <text>Zie A4</text>
  </threadedComment>
  <threadedComment ref="BC54" dT="2024-01-16T15:56:21.33" personId="{AFB9E835-42A1-4388-8608-D7A578230BA3}" id="{A9575478-1092-49D6-A89A-4B0C8FA21016}">
    <text>Zie BB31</text>
  </threadedComment>
  <threadedComment ref="AC81" dT="2024-01-16T15:40:19.06" personId="{AFB9E835-42A1-4388-8608-D7A578230BA3}" id="{97513DB4-EF15-426E-8B96-81D32043A2E9}">
    <text>Zie AC3</text>
  </threadedComment>
  <threadedComment ref="A82" dT="2024-01-16T16:10:49.72" personId="{AFB9E835-42A1-4388-8608-D7A578230BA3}" id="{5126FC73-702E-46F5-B0AE-CE222771EF64}">
    <text>Zie A4</text>
  </threadedComment>
  <threadedComment ref="BC93" dT="2024-01-16T15:56:28.82" personId="{AFB9E835-42A1-4388-8608-D7A578230BA3}" id="{39108864-C413-48F1-A3E3-DD0B8E990E94}">
    <text>Zie BB31</text>
  </threadedComment>
  <threadedComment ref="AC120" dT="2024-01-16T15:40:23.11" personId="{AFB9E835-42A1-4388-8608-D7A578230BA3}" id="{96EB845F-4898-4977-9ECB-227DB231DB82}">
    <text>Zie AC3</text>
  </threadedComment>
  <threadedComment ref="A121" dT="2024-01-16T16:10:53.56" personId="{AFB9E835-42A1-4388-8608-D7A578230BA3}" id="{924975C9-C941-4A26-9933-54A6F1D137B5}">
    <text>Zie A4</text>
  </threadedComment>
  <threadedComment ref="BC133" dT="2024-01-16T15:56:34.64" personId="{AFB9E835-42A1-4388-8608-D7A578230BA3}" id="{3D98A799-2F38-43D2-9264-A60AD59C7B5F}">
    <text>Zie BB31</text>
  </threadedComment>
  <threadedComment ref="AC161" dT="2024-01-16T15:40:27.79" personId="{AFB9E835-42A1-4388-8608-D7A578230BA3}" id="{5CF4E5E0-75A0-4D03-AD85-0B3557410CE8}">
    <text>Zie AC3</text>
  </threadedComment>
  <threadedComment ref="A162" dT="2024-01-16T16:10:57.68" personId="{AFB9E835-42A1-4388-8608-D7A578230BA3}" id="{01BC053B-BDD4-40D7-8044-B14574F25EC9}">
    <text>Zie A4</text>
  </threadedComment>
  <threadedComment ref="BC174" dT="2024-01-16T15:56:40.49" personId="{AFB9E835-42A1-4388-8608-D7A578230BA3}" id="{F1DFFAB3-53DF-4460-AE58-4A6680E7C0CA}">
    <text>Zie BB31</text>
  </threadedComment>
  <threadedComment ref="AC201" dT="2024-01-16T15:40:33.28" personId="{AFB9E835-42A1-4388-8608-D7A578230BA3}" id="{5BF737FA-D719-44CD-8651-A9AB771D7AD6}">
    <text>Zie AC3</text>
  </threadedComment>
  <threadedComment ref="A202" dT="2024-01-16T16:11:02.50" personId="{AFB9E835-42A1-4388-8608-D7A578230BA3}" id="{E12603AA-B5B0-470B-9452-7415A8943CAE}">
    <text>Zie A4</text>
  </threadedComment>
  <threadedComment ref="B207" dT="2024-01-16T15:48:27.51" personId="{AFB9E835-42A1-4388-8608-D7A578230BA3}" id="{D6C0BB9A-3712-4354-AAB7-1C78CB6F3171}">
    <text>Volgens mij moet dit zijn: 'Results - raw data'!AB75</text>
  </threadedComment>
  <threadedComment ref="BC214" dT="2024-01-16T15:56:46.49" personId="{AFB9E835-42A1-4388-8608-D7A578230BA3}" id="{8036A406-3B1F-45A9-9A12-B202FF861DA7}">
    <text>Zie BB31</text>
  </threadedComment>
  <threadedComment ref="H253" dT="2024-01-16T15:36:42.81" personId="{AFB9E835-42A1-4388-8608-D7A578230BA3}" id="{DCDE23E5-1334-4EE2-AF42-ED0CE1EF0F66}">
    <text>?</text>
  </threadedComment>
</ThreadedComments>
</file>

<file path=xl/threadedComments/threadedComment9.xml><?xml version="1.0" encoding="utf-8"?>
<ThreadedComments xmlns="http://schemas.microsoft.com/office/spreadsheetml/2018/threadedcomments" xmlns:x="http://schemas.openxmlformats.org/spreadsheetml/2006/main">
  <threadedComment ref="A4" dT="2024-01-16T16:09:33.60" personId="{AFB9E835-42A1-4388-8608-D7A578230BA3}" id="{F5565896-2483-4620-B548-5A5B9F46881C}">
    <text>Per wat? Per ton CO2 captured?</text>
  </threadedComment>
  <threadedComment ref="BC15" dT="2024-01-16T15:52:38.30" personId="{AFB9E835-42A1-4388-8608-D7A578230BA3}" id="{CFBF0E5D-B4BF-4ABE-8D03-D0A219E5F8AA}">
    <text>Figuur met data voor HHD ipv CC</text>
  </threadedComment>
  <threadedComment ref="A43" dT="2024-01-16T16:10:17.27" personId="{AFB9E835-42A1-4388-8608-D7A578230BA3}" id="{A876CACB-348B-4899-8452-50AEE2ED383A}">
    <text>Zie A4</text>
  </threadedComment>
  <threadedComment ref="BC54" dT="2024-01-16T15:52:57.02" personId="{AFB9E835-42A1-4388-8608-D7A578230BA3}" id="{FEF38192-510C-4D30-95AD-D7B6B870C5E5}">
    <text>Zie BC15</text>
  </threadedComment>
  <threadedComment ref="A82" dT="2024-01-16T16:10:21.40" personId="{AFB9E835-42A1-4388-8608-D7A578230BA3}" id="{EBD25B4A-849B-40FB-99AD-4DCA7D7306BF}">
    <text>Zie A4</text>
  </threadedComment>
  <threadedComment ref="AB97" dT="2024-01-16T16:00:57.25" personId="{AFB9E835-42A1-4388-8608-D7A578230BA3}" id="{BD5CA30B-572B-454F-A762-AD13BA2D2BF4}">
    <text>Waarom hier opeens alles gedeeld door 1000 en niet voor de andere scenarios?</text>
  </threadedComment>
  <threadedComment ref="A121" dT="2024-01-16T16:10:26.26" personId="{AFB9E835-42A1-4388-8608-D7A578230BA3}" id="{DBE16D43-EFA9-4F83-9418-C0217AAD103B}">
    <text>Zie A4</text>
  </threadedComment>
  <threadedComment ref="BC133" dT="2024-01-16T15:53:23.79" personId="{AFB9E835-42A1-4388-8608-D7A578230BA3}" id="{5E8A5C96-F258-436E-8FB3-419F0121F394}">
    <text>Zie BC15</text>
  </threadedComment>
  <threadedComment ref="A162" dT="2024-01-16T16:10:30.53" personId="{AFB9E835-42A1-4388-8608-D7A578230BA3}" id="{2186D3E4-3FF0-46D4-8DDD-A1C95B0254BA}">
    <text>Zie A4</text>
  </threadedComment>
  <threadedComment ref="BC174" dT="2024-01-16T15:53:35.63" personId="{AFB9E835-42A1-4388-8608-D7A578230BA3}" id="{0147E0A3-3554-438C-ABF1-3A55E012B1E2}">
    <text>Zie BC15</text>
  </threadedComment>
  <threadedComment ref="A202" dT="2024-01-16T16:10:34.32" personId="{AFB9E835-42A1-4388-8608-D7A578230BA3}" id="{F7D828D5-EC95-4837-9367-E6A8EFD17238}">
    <text>Zie A4</text>
  </threadedComment>
  <threadedComment ref="BC214" dT="2024-01-16T15:53:42.48" personId="{AFB9E835-42A1-4388-8608-D7A578230BA3}" id="{DA399DB1-3B24-44B1-B106-C2F6534B3B4C}">
    <text>Zie BC15</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 Id="rId5" Type="http://schemas.microsoft.com/office/2017/10/relationships/threadedComment" Target="../threadedComments/threadedComment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0.xml"/><Relationship Id="rId4" Type="http://schemas.microsoft.com/office/2017/10/relationships/threadedComment" Target="../threadedComments/threadedComment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engineeringtoolbox.com/steel-plates-weight-d_1561.html" TargetMode="External"/><Relationship Id="rId13" Type="http://schemas.microsoft.com/office/2017/10/relationships/threadedComment" Target="../threadedComments/threadedComment2.xml"/><Relationship Id="rId3" Type="http://schemas.openxmlformats.org/officeDocument/2006/relationships/hyperlink" Target="https://www.engineeringtoolbox.com/steel-plates-weight-d_1561.html" TargetMode="External"/><Relationship Id="rId7" Type="http://schemas.openxmlformats.org/officeDocument/2006/relationships/hyperlink" Target="https://www.engineeringtoolbox.com/steel-plates-weight-d_1561.html" TargetMode="External"/><Relationship Id="rId2" Type="http://schemas.openxmlformats.org/officeDocument/2006/relationships/hyperlink" Target="https://www.engineeringtoolbox.com/steel-plates-weight-d_1561.html" TargetMode="External"/><Relationship Id="rId1" Type="http://schemas.openxmlformats.org/officeDocument/2006/relationships/hyperlink" Target="https://www.engineeringtoolbox.com/steel-plates-weight-d_1561.html" TargetMode="External"/><Relationship Id="rId6" Type="http://schemas.openxmlformats.org/officeDocument/2006/relationships/hyperlink" Target="https://www.engineeringtoolbox.com/steel-plates-weight-d_1561.html" TargetMode="External"/><Relationship Id="rId11" Type="http://schemas.openxmlformats.org/officeDocument/2006/relationships/printerSettings" Target="../printerSettings/printerSettings2.bin"/><Relationship Id="rId5" Type="http://schemas.openxmlformats.org/officeDocument/2006/relationships/hyperlink" Target="https://www.engineeringtoolbox.com/steel-plates-weight-d_1561.html" TargetMode="External"/><Relationship Id="rId10" Type="http://schemas.openxmlformats.org/officeDocument/2006/relationships/hyperlink" Target="https://www.engineeringtoolbox.com/steel-plates-weight-d_1561.html" TargetMode="External"/><Relationship Id="rId4" Type="http://schemas.openxmlformats.org/officeDocument/2006/relationships/hyperlink" Target="https://www.engineeringtoolbox.com/steel-plates-weight-d_1561.html" TargetMode="External"/><Relationship Id="rId9" Type="http://schemas.openxmlformats.org/officeDocument/2006/relationships/hyperlink" Target="https://www.engineeringtoolbox.com/steel-plates-weight-d_1561.html"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 Id="rId5" Type="http://schemas.microsoft.com/office/2017/10/relationships/threadedComment" Target="../threadedComments/threadedComment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18.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6.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7.bin"/></Relationships>
</file>

<file path=xl/worksheets/_rels/sheet33.xml.rels><?xml version="1.0" encoding="UTF-8" standalone="yes"?>
<Relationships xmlns="http://schemas.openxmlformats.org/package/2006/relationships"><Relationship Id="rId3" Type="http://schemas.microsoft.com/office/2017/10/relationships/threadedComment" Target="../threadedComments/threadedComment14.xml"/><Relationship Id="rId1" Type="http://schemas.openxmlformats.org/officeDocument/2006/relationships/printerSettings" Target="../printerSettings/printerSettings18.bin"/></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4.xm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microsoft.com/office/2017/10/relationships/threadedComment" Target="../threadedComments/threadedComment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AFF39-D8F4-4E79-8778-6E36FCE76A58}">
  <sheetPr>
    <tabColor theme="0"/>
  </sheetPr>
  <dimension ref="A1:A67"/>
  <sheetViews>
    <sheetView workbookViewId="0">
      <selection activeCell="A69" sqref="A69"/>
    </sheetView>
  </sheetViews>
  <sheetFormatPr defaultColWidth="8.81640625" defaultRowHeight="14.5" x14ac:dyDescent="0.35"/>
  <cols>
    <col min="1" max="1" width="234.81640625" style="37" customWidth="1"/>
    <col min="2" max="16384" width="8.81640625" style="37"/>
  </cols>
  <sheetData>
    <row r="1" spans="1:1" ht="28.5" x14ac:dyDescent="0.35">
      <c r="A1" s="286" t="s">
        <v>716</v>
      </c>
    </row>
    <row r="2" spans="1:1" ht="28.5" x14ac:dyDescent="0.35">
      <c r="A2" s="36"/>
    </row>
    <row r="3" spans="1:1" ht="17.5" x14ac:dyDescent="0.35">
      <c r="A3" s="284" t="s">
        <v>838</v>
      </c>
    </row>
    <row r="4" spans="1:1" ht="15.5" x14ac:dyDescent="0.35">
      <c r="A4" s="38"/>
    </row>
    <row r="5" spans="1:1" ht="15.5" x14ac:dyDescent="0.35">
      <c r="A5" s="39" t="s">
        <v>167</v>
      </c>
    </row>
    <row r="6" spans="1:1" ht="15.5" x14ac:dyDescent="0.35">
      <c r="A6" s="39" t="s">
        <v>168</v>
      </c>
    </row>
    <row r="7" spans="1:1" ht="15.5" x14ac:dyDescent="0.35">
      <c r="A7" s="39" t="s">
        <v>512</v>
      </c>
    </row>
    <row r="8" spans="1:1" ht="17.5" x14ac:dyDescent="0.35">
      <c r="A8" s="302" t="s">
        <v>934</v>
      </c>
    </row>
    <row r="9" spans="1:1" ht="15.5" x14ac:dyDescent="0.35">
      <c r="A9" s="39" t="s">
        <v>169</v>
      </c>
    </row>
    <row r="11" spans="1:1" x14ac:dyDescent="0.35">
      <c r="A11" s="40" t="s">
        <v>170</v>
      </c>
    </row>
    <row r="12" spans="1:1" ht="26.5" x14ac:dyDescent="0.35">
      <c r="A12" s="164" t="s">
        <v>578</v>
      </c>
    </row>
    <row r="14" spans="1:1" s="41" customFormat="1" x14ac:dyDescent="0.35">
      <c r="A14" s="83" t="s">
        <v>171</v>
      </c>
    </row>
    <row r="15" spans="1:1" x14ac:dyDescent="0.35">
      <c r="A15" s="131" t="s">
        <v>516</v>
      </c>
    </row>
    <row r="16" spans="1:1" x14ac:dyDescent="0.35">
      <c r="A16" s="37" t="s">
        <v>518</v>
      </c>
    </row>
    <row r="17" spans="1:1" x14ac:dyDescent="0.35">
      <c r="A17" s="37" t="s">
        <v>517</v>
      </c>
    </row>
    <row r="18" spans="1:1" x14ac:dyDescent="0.35">
      <c r="A18" s="37" t="s">
        <v>928</v>
      </c>
    </row>
    <row r="19" spans="1:1" x14ac:dyDescent="0.35">
      <c r="A19" s="37" t="s">
        <v>929</v>
      </c>
    </row>
    <row r="20" spans="1:1" x14ac:dyDescent="0.35">
      <c r="A20" s="37" t="s">
        <v>930</v>
      </c>
    </row>
    <row r="21" spans="1:1" x14ac:dyDescent="0.35">
      <c r="A21" s="37" t="s">
        <v>931</v>
      </c>
    </row>
    <row r="23" spans="1:1" x14ac:dyDescent="0.35">
      <c r="A23" s="200" t="s">
        <v>717</v>
      </c>
    </row>
    <row r="25" spans="1:1" x14ac:dyDescent="0.35">
      <c r="A25" s="303" t="s">
        <v>718</v>
      </c>
    </row>
    <row r="26" spans="1:1" s="282" customFormat="1" x14ac:dyDescent="0.35">
      <c r="A26" s="37" t="s">
        <v>937</v>
      </c>
    </row>
    <row r="27" spans="1:1" s="282" customFormat="1" x14ac:dyDescent="0.35">
      <c r="A27" s="37" t="s">
        <v>938</v>
      </c>
    </row>
    <row r="28" spans="1:1" s="282" customFormat="1" x14ac:dyDescent="0.35">
      <c r="A28" s="37" t="s">
        <v>939</v>
      </c>
    </row>
    <row r="31" spans="1:1" x14ac:dyDescent="0.35">
      <c r="A31" s="201" t="s">
        <v>940</v>
      </c>
    </row>
    <row r="32" spans="1:1" x14ac:dyDescent="0.35">
      <c r="A32" s="37" t="s">
        <v>521</v>
      </c>
    </row>
    <row r="33" spans="1:1" x14ac:dyDescent="0.35">
      <c r="A33" s="37" t="s">
        <v>522</v>
      </c>
    </row>
    <row r="34" spans="1:1" x14ac:dyDescent="0.35">
      <c r="A34" s="37" t="s">
        <v>933</v>
      </c>
    </row>
    <row r="35" spans="1:1" x14ac:dyDescent="0.35">
      <c r="A35" s="37" t="s">
        <v>936</v>
      </c>
    </row>
    <row r="37" spans="1:1" x14ac:dyDescent="0.35">
      <c r="A37" s="132" t="s">
        <v>941</v>
      </c>
    </row>
    <row r="38" spans="1:1" s="282" customFormat="1" x14ac:dyDescent="0.35"/>
    <row r="39" spans="1:1" x14ac:dyDescent="0.35">
      <c r="A39" s="133" t="s">
        <v>942</v>
      </c>
    </row>
    <row r="40" spans="1:1" x14ac:dyDescent="0.35">
      <c r="A40" s="37" t="s">
        <v>519</v>
      </c>
    </row>
    <row r="41" spans="1:1" x14ac:dyDescent="0.35">
      <c r="A41" s="37" t="s">
        <v>520</v>
      </c>
    </row>
    <row r="42" spans="1:1" x14ac:dyDescent="0.35">
      <c r="A42" s="37" t="s">
        <v>932</v>
      </c>
    </row>
    <row r="43" spans="1:1" x14ac:dyDescent="0.35">
      <c r="A43" s="37" t="s">
        <v>935</v>
      </c>
    </row>
    <row r="45" spans="1:1" x14ac:dyDescent="0.35">
      <c r="A45" s="133" t="s">
        <v>719</v>
      </c>
    </row>
    <row r="46" spans="1:1" x14ac:dyDescent="0.35">
      <c r="A46" s="37" t="s">
        <v>519</v>
      </c>
    </row>
    <row r="47" spans="1:1" x14ac:dyDescent="0.35">
      <c r="A47" s="37" t="s">
        <v>520</v>
      </c>
    </row>
    <row r="48" spans="1:1" x14ac:dyDescent="0.35">
      <c r="A48" s="37" t="s">
        <v>932</v>
      </c>
    </row>
    <row r="49" spans="1:1" x14ac:dyDescent="0.35">
      <c r="A49" s="37" t="s">
        <v>935</v>
      </c>
    </row>
    <row r="51" spans="1:1" x14ac:dyDescent="0.35">
      <c r="A51" s="133" t="s">
        <v>720</v>
      </c>
    </row>
    <row r="52" spans="1:1" x14ac:dyDescent="0.35">
      <c r="A52" s="37" t="s">
        <v>519</v>
      </c>
    </row>
    <row r="53" spans="1:1" x14ac:dyDescent="0.35">
      <c r="A53" s="37" t="s">
        <v>520</v>
      </c>
    </row>
    <row r="54" spans="1:1" x14ac:dyDescent="0.35">
      <c r="A54" s="37" t="s">
        <v>932</v>
      </c>
    </row>
    <row r="55" spans="1:1" x14ac:dyDescent="0.35">
      <c r="A55" s="37" t="s">
        <v>935</v>
      </c>
    </row>
    <row r="57" spans="1:1" x14ac:dyDescent="0.35">
      <c r="A57" s="304" t="s">
        <v>943</v>
      </c>
    </row>
    <row r="58" spans="1:1" x14ac:dyDescent="0.35">
      <c r="A58" s="37" t="s">
        <v>519</v>
      </c>
    </row>
    <row r="59" spans="1:1" x14ac:dyDescent="0.35">
      <c r="A59" s="37" t="s">
        <v>520</v>
      </c>
    </row>
    <row r="60" spans="1:1" x14ac:dyDescent="0.35">
      <c r="A60" s="37" t="s">
        <v>932</v>
      </c>
    </row>
    <row r="61" spans="1:1" x14ac:dyDescent="0.35">
      <c r="A61" s="37" t="s">
        <v>935</v>
      </c>
    </row>
    <row r="64" spans="1:1" x14ac:dyDescent="0.35">
      <c r="A64" s="202" t="s">
        <v>523</v>
      </c>
    </row>
    <row r="65" spans="1:1" x14ac:dyDescent="0.35">
      <c r="A65" s="37" t="s">
        <v>721</v>
      </c>
    </row>
    <row r="66" spans="1:1" x14ac:dyDescent="0.35">
      <c r="A66" s="37" t="s">
        <v>722</v>
      </c>
    </row>
    <row r="67" spans="1:1" x14ac:dyDescent="0.35">
      <c r="A67" s="37" t="s">
        <v>723</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D5A7D-A9AF-4F5A-B02C-EFF05F972F66}">
  <sheetPr>
    <tabColor theme="5" tint="-0.499984740745262"/>
  </sheetPr>
  <dimension ref="A1:N85"/>
  <sheetViews>
    <sheetView topLeftCell="G46" zoomScale="60" zoomScaleNormal="60" workbookViewId="0">
      <selection activeCell="AH107" sqref="AH107"/>
    </sheetView>
  </sheetViews>
  <sheetFormatPr defaultRowHeight="14.5" x14ac:dyDescent="0.35"/>
  <cols>
    <col min="1" max="1" width="30.54296875" style="282" bestFit="1" customWidth="1"/>
    <col min="2" max="2" width="35.453125" style="282" bestFit="1" customWidth="1"/>
    <col min="3" max="4" width="12.26953125" style="282" bestFit="1" customWidth="1"/>
    <col min="5" max="5" width="14.453125" style="282" bestFit="1" customWidth="1"/>
    <col min="6" max="6" width="13.54296875" style="282" bestFit="1" customWidth="1"/>
    <col min="7" max="7" width="19.1796875" style="282" bestFit="1" customWidth="1"/>
    <col min="8" max="8" width="19.1796875" style="282" customWidth="1"/>
    <col min="9" max="9" width="14.453125" style="282" bestFit="1" customWidth="1"/>
    <col min="10" max="10" width="13.26953125" style="282" customWidth="1"/>
    <col min="11" max="11" width="12.81640625" style="282" bestFit="1" customWidth="1"/>
    <col min="12" max="12" width="10.81640625" style="282" bestFit="1" customWidth="1"/>
    <col min="13" max="13" width="8.7265625" style="282"/>
    <col min="14" max="14" width="3.26953125" style="282" customWidth="1"/>
    <col min="15" max="16384" width="8.7265625" style="282"/>
  </cols>
  <sheetData>
    <row r="1" spans="1:14" s="138" customFormat="1" ht="21" x14ac:dyDescent="0.5">
      <c r="B1" s="138" t="s">
        <v>495</v>
      </c>
    </row>
    <row r="2" spans="1:14" s="18" customFormat="1" ht="21" x14ac:dyDescent="0.5">
      <c r="B2" s="329" t="s">
        <v>707</v>
      </c>
      <c r="C2" s="329"/>
      <c r="D2" s="329"/>
      <c r="E2" s="329"/>
      <c r="F2" s="329"/>
      <c r="G2" s="329"/>
      <c r="H2" s="329"/>
      <c r="I2" s="329"/>
      <c r="J2" s="329"/>
      <c r="K2" s="329"/>
      <c r="L2" s="329"/>
      <c r="M2" s="329"/>
    </row>
    <row r="3" spans="1:14" s="33" customFormat="1" x14ac:dyDescent="0.35">
      <c r="A3" s="125"/>
      <c r="B3" s="125" t="s">
        <v>496</v>
      </c>
      <c r="C3" s="125"/>
      <c r="D3" s="125"/>
      <c r="E3" s="125"/>
      <c r="F3" s="125"/>
      <c r="G3" s="125"/>
      <c r="H3" s="125"/>
      <c r="I3" s="125"/>
      <c r="J3" s="125"/>
      <c r="K3" s="125"/>
      <c r="L3" s="125"/>
      <c r="M3" s="125"/>
      <c r="N3" s="125"/>
    </row>
    <row r="4" spans="1:14" x14ac:dyDescent="0.35">
      <c r="N4" s="125"/>
    </row>
    <row r="5" spans="1:14" ht="16.5" x14ac:dyDescent="0.45">
      <c r="A5" s="109"/>
      <c r="B5" s="109"/>
      <c r="C5" s="109" t="s">
        <v>117</v>
      </c>
      <c r="D5" s="109" t="s">
        <v>118</v>
      </c>
      <c r="E5" s="109" t="s">
        <v>119</v>
      </c>
      <c r="F5" s="109" t="s">
        <v>120</v>
      </c>
      <c r="G5" s="109" t="s">
        <v>121</v>
      </c>
      <c r="H5" s="109" t="s">
        <v>797</v>
      </c>
      <c r="I5" s="109" t="s">
        <v>122</v>
      </c>
      <c r="J5" s="109" t="s">
        <v>123</v>
      </c>
      <c r="K5" s="109" t="s">
        <v>856</v>
      </c>
      <c r="L5" s="109" t="s">
        <v>46</v>
      </c>
      <c r="M5" s="109"/>
      <c r="N5" s="125"/>
    </row>
    <row r="6" spans="1:14" x14ac:dyDescent="0.35">
      <c r="A6" s="327" t="s">
        <v>853</v>
      </c>
      <c r="B6" s="109" t="s">
        <v>855</v>
      </c>
      <c r="C6" s="126">
        <f>'Results ReCiPe (E) - CC'!B467</f>
        <v>11.344723635134283</v>
      </c>
      <c r="D6" s="126">
        <f>'Results ReCiPe (E) - CC'!B468</f>
        <v>0.88779762378988625</v>
      </c>
      <c r="E6" s="126">
        <f>'Results ReCiPe (E) - CC'!B469</f>
        <v>0.2320197683919451</v>
      </c>
      <c r="F6" s="126">
        <f>'Results ReCiPe (E) - CC'!B470</f>
        <v>8.5611250997377868E-3</v>
      </c>
      <c r="G6" s="126">
        <f>'Results ReCiPe (E) - CC'!B471</f>
        <v>3.67956969457811</v>
      </c>
      <c r="H6" s="126">
        <f>'Results ReCiPe (E) - CC'!B472</f>
        <v>0</v>
      </c>
      <c r="I6" s="126">
        <f>'Results ReCiPe (E) - CC'!B473</f>
        <v>542.92639974306326</v>
      </c>
      <c r="J6" s="126">
        <f>'Results ReCiPe (E) - CC'!B474</f>
        <v>41.972817235363799</v>
      </c>
      <c r="K6" s="126">
        <f>'Results ReCiPe (E) - CC'!B475</f>
        <v>-1000</v>
      </c>
      <c r="L6" s="127">
        <f>'Results ReCiPe (E) - CC'!B476</f>
        <v>-398.94811117457886</v>
      </c>
      <c r="M6" s="109">
        <v>8.5</v>
      </c>
      <c r="N6" s="125"/>
    </row>
    <row r="7" spans="1:14" x14ac:dyDescent="0.35">
      <c r="A7" s="327"/>
      <c r="B7" s="109" t="s">
        <v>914</v>
      </c>
      <c r="C7" s="126">
        <f>'Results ReCiPe (E) - CC'!C467</f>
        <v>10.325561646999494</v>
      </c>
      <c r="D7" s="126">
        <f>'Results ReCiPe (E) - CC'!C468</f>
        <v>0.82978347178532919</v>
      </c>
      <c r="E7" s="126">
        <f>'Results ReCiPe (E) - CC'!C469</f>
        <v>0.18876786376313567</v>
      </c>
      <c r="F7" s="126">
        <f>'Results ReCiPe (E) - CC'!C470</f>
        <v>7.9770264750942555E-3</v>
      </c>
      <c r="G7" s="126">
        <f>'Results ReCiPe (E) - CC'!C471</f>
        <v>3.0580086067807373</v>
      </c>
      <c r="H7" s="126">
        <f>'Results ReCiPe (E) - CC'!C472</f>
        <v>0</v>
      </c>
      <c r="I7" s="126">
        <f>'Results ReCiPe (E) - CC'!C473</f>
        <v>103.21357309418998</v>
      </c>
      <c r="J7" s="126">
        <f>'Results ReCiPe (E) - CC'!C474</f>
        <v>8.7550015116154789</v>
      </c>
      <c r="K7" s="126">
        <f>'Results ReCiPe (E) - CC'!C475</f>
        <v>-1000</v>
      </c>
      <c r="L7" s="127">
        <f>'Results ReCiPe (E) - CC'!C476</f>
        <v>-873.62132677839077</v>
      </c>
      <c r="M7" s="109">
        <v>7.5</v>
      </c>
      <c r="N7" s="125"/>
    </row>
    <row r="8" spans="1:14" x14ac:dyDescent="0.35">
      <c r="A8" s="327"/>
      <c r="B8" s="109" t="s">
        <v>915</v>
      </c>
      <c r="C8" s="126">
        <f>'Results ReCiPe (E) - CC'!D467</f>
        <v>7.4939016969469172</v>
      </c>
      <c r="D8" s="126">
        <f>'Results ReCiPe (E) - CC'!D468</f>
        <v>0.72279888238399292</v>
      </c>
      <c r="E8" s="126">
        <f>'Results ReCiPe (E) - CC'!D469</f>
        <v>0.16067157976893875</v>
      </c>
      <c r="F8" s="126">
        <f>'Results ReCiPe (E) - CC'!D470</f>
        <v>7.4938193238863774E-3</v>
      </c>
      <c r="G8" s="126">
        <f>'Results ReCiPe (E) - CC'!D471</f>
        <v>2.6117781069559447</v>
      </c>
      <c r="H8" s="126">
        <f>'Results ReCiPe (E) - CC'!D472</f>
        <v>0</v>
      </c>
      <c r="I8" s="126">
        <f>'Results ReCiPe (E) - CC'!D473</f>
        <v>-16.676753291330883</v>
      </c>
      <c r="J8" s="126">
        <f>'Results ReCiPe (E) - CC'!D474</f>
        <v>-0.42842390598509644</v>
      </c>
      <c r="K8" s="126">
        <f>'Results ReCiPe (E) - CC'!D475</f>
        <v>-1000</v>
      </c>
      <c r="L8" s="127">
        <f>'Results ReCiPe (E) - CC'!D476</f>
        <v>-1006.1085331119364</v>
      </c>
      <c r="M8" s="109">
        <v>6.5</v>
      </c>
      <c r="N8" s="125"/>
    </row>
    <row r="9" spans="1:14" x14ac:dyDescent="0.35">
      <c r="A9" s="328" t="s">
        <v>852</v>
      </c>
      <c r="B9" s="109" t="s">
        <v>855</v>
      </c>
      <c r="C9" s="126">
        <f>'Results ReCiPe (E) - CC'!E467</f>
        <v>11.344723635134283</v>
      </c>
      <c r="D9" s="126">
        <f>'Results ReCiPe (E) - CC'!E468</f>
        <v>0.88779762378988625</v>
      </c>
      <c r="E9" s="126">
        <f>'Results ReCiPe (E) - CC'!E469</f>
        <v>0.2320197683919451</v>
      </c>
      <c r="F9" s="126">
        <f>'Results ReCiPe (E) - CC'!E470</f>
        <v>8.5611250997377868E-3</v>
      </c>
      <c r="G9" s="126">
        <f>'Results ReCiPe (E) - CC'!E471</f>
        <v>3.67956969457811</v>
      </c>
      <c r="H9" s="126">
        <f>'Results ReCiPe (E) - CC'!E472</f>
        <v>0</v>
      </c>
      <c r="I9" s="126">
        <f>'Results ReCiPe (E) - CC'!E473</f>
        <v>417.77268810887153</v>
      </c>
      <c r="J9" s="126">
        <f>'Results ReCiPe (E) - CC'!E474</f>
        <v>41.972817235363799</v>
      </c>
      <c r="K9" s="126">
        <f>'Results ReCiPe (E) - CC'!E475</f>
        <v>-1000</v>
      </c>
      <c r="L9" s="127">
        <f>'Results ReCiPe (E) - CC'!E476</f>
        <v>-524.10182280877063</v>
      </c>
      <c r="M9" s="109">
        <v>5.5</v>
      </c>
      <c r="N9" s="125"/>
    </row>
    <row r="10" spans="1:14" x14ac:dyDescent="0.35">
      <c r="A10" s="328"/>
      <c r="B10" s="109" t="s">
        <v>914</v>
      </c>
      <c r="C10" s="126">
        <f>'Results ReCiPe (E) - CC'!F467</f>
        <v>10.325561646999494</v>
      </c>
      <c r="D10" s="126">
        <f>'Results ReCiPe (E) - CC'!F468</f>
        <v>0.82978347178532919</v>
      </c>
      <c r="E10" s="126">
        <f>'Results ReCiPe (E) - CC'!F469</f>
        <v>0.18876786376313567</v>
      </c>
      <c r="F10" s="126">
        <f>'Results ReCiPe (E) - CC'!F470</f>
        <v>7.9770264750942555E-3</v>
      </c>
      <c r="G10" s="126">
        <f>'Results ReCiPe (E) - CC'!F471</f>
        <v>3.0580086067807373</v>
      </c>
      <c r="H10" s="126">
        <f>'Results ReCiPe (E) - CC'!F472</f>
        <v>0</v>
      </c>
      <c r="I10" s="126">
        <f>'Results ReCiPe (E) - CC'!F473</f>
        <v>80.347073149552557</v>
      </c>
      <c r="J10" s="126">
        <f>'Results ReCiPe (E) - CC'!F474</f>
        <v>8.7550015116154789</v>
      </c>
      <c r="K10" s="126">
        <f>'Results ReCiPe (E) - CC'!F475</f>
        <v>-1000</v>
      </c>
      <c r="L10" s="127">
        <f>'Results ReCiPe (E) - CC'!F476</f>
        <v>-896.48782672302809</v>
      </c>
      <c r="M10" s="109">
        <v>4.5</v>
      </c>
      <c r="N10" s="125"/>
    </row>
    <row r="11" spans="1:14" x14ac:dyDescent="0.35">
      <c r="A11" s="328"/>
      <c r="B11" s="109" t="s">
        <v>915</v>
      </c>
      <c r="C11" s="126">
        <f>'Results ReCiPe (E) - CC'!G467</f>
        <v>7.4939016969469172</v>
      </c>
      <c r="D11" s="126">
        <f>'Results ReCiPe (E) - CC'!G468</f>
        <v>0.72279888238399292</v>
      </c>
      <c r="E11" s="126">
        <f>'Results ReCiPe (E) - CC'!G469</f>
        <v>0.16067157976893875</v>
      </c>
      <c r="F11" s="126">
        <f>'Results ReCiPe (E) - CC'!G470</f>
        <v>7.4938193238863774E-3</v>
      </c>
      <c r="G11" s="126">
        <f>'Results ReCiPe (E) - CC'!G471</f>
        <v>2.6117781069559447</v>
      </c>
      <c r="H11" s="126">
        <f>'Results ReCiPe (E) - CC'!G472</f>
        <v>0</v>
      </c>
      <c r="I11" s="126">
        <f>'Results ReCiPe (E) - CC'!G473</f>
        <v>-12.200064782018543</v>
      </c>
      <c r="J11" s="126">
        <f>'Results ReCiPe (E) - CC'!G474</f>
        <v>-0.42842390598509644</v>
      </c>
      <c r="K11" s="126">
        <f>'Results ReCiPe (E) - CC'!G475</f>
        <v>-1000</v>
      </c>
      <c r="L11" s="127">
        <f>'Results ReCiPe (E) - CC'!G476</f>
        <v>-1001.6318446026239</v>
      </c>
      <c r="M11" s="109">
        <v>3.5</v>
      </c>
      <c r="N11" s="125"/>
    </row>
    <row r="12" spans="1:14" x14ac:dyDescent="0.35">
      <c r="A12" s="328" t="s">
        <v>854</v>
      </c>
      <c r="B12" s="109" t="s">
        <v>855</v>
      </c>
      <c r="C12" s="126">
        <f>'Results ReCiPe (E) - CC'!H467</f>
        <v>22.014926981220274</v>
      </c>
      <c r="D12" s="126">
        <f>'Results ReCiPe (E) - CC'!H468</f>
        <v>0.88779762378988625</v>
      </c>
      <c r="E12" s="126">
        <f>'Results ReCiPe (E) - CC'!H469</f>
        <v>0.46403953678389021</v>
      </c>
      <c r="F12" s="126">
        <f>'Results ReCiPe (E) - CC'!H470</f>
        <v>8.5611250997377868E-3</v>
      </c>
      <c r="G12" s="126">
        <f>'Results ReCiPe (E) - CC'!H471</f>
        <v>7.35913938915622</v>
      </c>
      <c r="H12" s="277">
        <f>'Results ReCiPe (E) - CC'!H472</f>
        <v>80.284861861328622</v>
      </c>
      <c r="I12" s="126">
        <f>'Results ReCiPe (E) - CC'!H473</f>
        <v>63.708876856429235</v>
      </c>
      <c r="J12" s="126">
        <f>'Results ReCiPe (E) - CC'!H474</f>
        <v>41.972817235363799</v>
      </c>
      <c r="K12" s="126">
        <f>'Results ReCiPe (E) - CC'!H475</f>
        <v>-1000</v>
      </c>
      <c r="L12" s="127">
        <f>'Results ReCiPe (E) - CC'!H476</f>
        <v>-783.29897939082832</v>
      </c>
      <c r="M12" s="109">
        <v>2.5</v>
      </c>
      <c r="N12" s="125"/>
    </row>
    <row r="13" spans="1:14" x14ac:dyDescent="0.35">
      <c r="A13" s="328"/>
      <c r="B13" s="109" t="s">
        <v>914</v>
      </c>
      <c r="C13" s="126">
        <f>'Results ReCiPe (E) - CC'!I467</f>
        <v>19.997016539018677</v>
      </c>
      <c r="D13" s="126">
        <f>'Results ReCiPe (E) - CC'!I468</f>
        <v>0.82978347178532919</v>
      </c>
      <c r="E13" s="126">
        <f>'Results ReCiPe (E) - CC'!I469</f>
        <v>0.37753572752627135</v>
      </c>
      <c r="F13" s="126">
        <f>'Results ReCiPe (E) - CC'!I470</f>
        <v>7.9770264750942555E-3</v>
      </c>
      <c r="G13" s="126">
        <f>'Results ReCiPe (E) - CC'!I471</f>
        <v>6.1160172135614745</v>
      </c>
      <c r="H13" s="277">
        <f>'Results ReCiPe (E) - CC'!I472</f>
        <v>72.794367623270674</v>
      </c>
      <c r="I13" s="126">
        <f>'Results ReCiPe (E) - CC'!I473</f>
        <v>44.03304182430491</v>
      </c>
      <c r="J13" s="126">
        <f>'Results ReCiPe (E) - CC'!I474</f>
        <v>8.7550015116154789</v>
      </c>
      <c r="K13" s="126">
        <f>'Results ReCiPe (E) - CC'!I475</f>
        <v>-1000</v>
      </c>
      <c r="L13" s="127">
        <f>'Results ReCiPe (E) - CC'!I476</f>
        <v>-847.0892590624419</v>
      </c>
      <c r="M13" s="109">
        <v>1.5</v>
      </c>
      <c r="N13" s="125"/>
    </row>
    <row r="14" spans="1:14" x14ac:dyDescent="0.35">
      <c r="A14" s="328"/>
      <c r="B14" s="109" t="s">
        <v>915</v>
      </c>
      <c r="C14" s="126">
        <f>'Results ReCiPe (E) - CC'!J467</f>
        <v>14.393302064747765</v>
      </c>
      <c r="D14" s="126">
        <f>'Results ReCiPe (E) - CC'!J468</f>
        <v>0.72279888238399292</v>
      </c>
      <c r="E14" s="126">
        <f>'Results ReCiPe (E) - CC'!J469</f>
        <v>0.32134315953787751</v>
      </c>
      <c r="F14" s="126">
        <f>'Results ReCiPe (E) - CC'!J470</f>
        <v>7.4938193238863774E-3</v>
      </c>
      <c r="G14" s="126">
        <f>'Results ReCiPe (E) - CC'!J471</f>
        <v>5.2235562139118894</v>
      </c>
      <c r="H14" s="277">
        <f>'Results ReCiPe (E) - CC'!J472</f>
        <v>6.986301369863015</v>
      </c>
      <c r="I14" s="126">
        <f>'Results ReCiPe (E) - CC'!J473</f>
        <v>33.179068263109279</v>
      </c>
      <c r="J14" s="126">
        <f>'Results ReCiPe (E) - CC'!J474</f>
        <v>-0.42842390598509644</v>
      </c>
      <c r="K14" s="126">
        <f>'Results ReCiPe (E) - CC'!J475</f>
        <v>-1000</v>
      </c>
      <c r="L14" s="127">
        <f>'Results ReCiPe (E) - CC'!J476</f>
        <v>-939.59456013310739</v>
      </c>
      <c r="M14" s="109">
        <v>0.5</v>
      </c>
      <c r="N14" s="125"/>
    </row>
    <row r="15" spans="1:14" x14ac:dyDescent="0.35">
      <c r="C15" s="1"/>
      <c r="D15" s="1"/>
      <c r="E15" s="1"/>
      <c r="I15" s="1"/>
      <c r="J15" s="1"/>
      <c r="K15" s="1"/>
      <c r="N15" s="125"/>
    </row>
    <row r="16" spans="1:14" x14ac:dyDescent="0.35">
      <c r="D16" s="1"/>
      <c r="E16" s="1"/>
      <c r="F16" s="1"/>
      <c r="I16" s="1"/>
      <c r="J16" s="1"/>
      <c r="K16" s="1"/>
      <c r="N16" s="125"/>
    </row>
    <row r="17" spans="1:14" s="33" customFormat="1" x14ac:dyDescent="0.35">
      <c r="A17" s="125"/>
      <c r="B17" s="125" t="s">
        <v>497</v>
      </c>
      <c r="C17" s="125"/>
      <c r="D17" s="125"/>
      <c r="E17" s="125"/>
      <c r="F17" s="125"/>
      <c r="G17" s="125"/>
      <c r="H17" s="125"/>
      <c r="I17" s="125"/>
      <c r="J17" s="125"/>
      <c r="K17" s="125"/>
      <c r="L17" s="125"/>
      <c r="M17" s="125"/>
      <c r="N17" s="125"/>
    </row>
    <row r="18" spans="1:14" x14ac:dyDescent="0.35">
      <c r="N18" s="125"/>
    </row>
    <row r="19" spans="1:14" ht="16.5" x14ac:dyDescent="0.45">
      <c r="A19" s="109"/>
      <c r="B19" s="109"/>
      <c r="C19" s="109" t="s">
        <v>117</v>
      </c>
      <c r="D19" s="109" t="s">
        <v>118</v>
      </c>
      <c r="E19" s="109" t="s">
        <v>119</v>
      </c>
      <c r="F19" s="109" t="s">
        <v>120</v>
      </c>
      <c r="G19" s="109" t="s">
        <v>121</v>
      </c>
      <c r="H19" s="109" t="s">
        <v>797</v>
      </c>
      <c r="I19" s="109" t="s">
        <v>122</v>
      </c>
      <c r="J19" s="109" t="s">
        <v>123</v>
      </c>
      <c r="K19" s="109" t="s">
        <v>856</v>
      </c>
      <c r="L19" s="109" t="s">
        <v>46</v>
      </c>
      <c r="M19" s="109"/>
      <c r="N19" s="125"/>
    </row>
    <row r="20" spans="1:14" x14ac:dyDescent="0.35">
      <c r="A20" s="327" t="s">
        <v>853</v>
      </c>
      <c r="B20" s="109" t="s">
        <v>855</v>
      </c>
      <c r="C20" s="127">
        <f>'Results ReCiPe (E) - ESD'!B467*10^6</f>
        <v>3.0082173377679413</v>
      </c>
      <c r="D20" s="127">
        <f>'Results ReCiPe (E) - ESD'!B468*10^6</f>
        <v>8.7814617362954386E-2</v>
      </c>
      <c r="E20" s="127">
        <f>'Results ReCiPe (E) - ESD'!B469*10^6</f>
        <v>3.7022632215805318E-2</v>
      </c>
      <c r="F20" s="127">
        <f>'Results ReCiPe (E) - ESD'!B470*10^6</f>
        <v>6.7663899668688734E-4</v>
      </c>
      <c r="G20" s="127">
        <f>'Results ReCiPe (E) - ESD'!B471*10^6</f>
        <v>0.34669954776334799</v>
      </c>
      <c r="H20" s="127">
        <f>'Results ReCiPe (E) - ESD'!B472*10^6</f>
        <v>0</v>
      </c>
      <c r="I20" s="127">
        <f>'Results ReCiPe (E) - ESD'!B473*10^6</f>
        <v>33.92343245338688</v>
      </c>
      <c r="J20" s="127">
        <f>'Results ReCiPe (E) - ESD'!B474*10^6</f>
        <v>3.4296565214190733</v>
      </c>
      <c r="K20" s="127">
        <f>'Results ReCiPe (E) - ESD'!B475*10^6</f>
        <v>-25.000681999999987</v>
      </c>
      <c r="L20" s="127">
        <f>'Results ReCiPe (E) - ESD'!B476*10^6</f>
        <v>15.832837748912707</v>
      </c>
      <c r="M20" s="109">
        <v>8.5</v>
      </c>
      <c r="N20" s="125"/>
    </row>
    <row r="21" spans="1:14" x14ac:dyDescent="0.35">
      <c r="A21" s="327"/>
      <c r="B21" s="109" t="s">
        <v>914</v>
      </c>
      <c r="C21" s="127">
        <f>'Results ReCiPe (E) - ESD'!C467*10^6</f>
        <v>2.9565096267427267</v>
      </c>
      <c r="D21" s="127">
        <f>'Results ReCiPe (E) - ESD'!C468*10^6</f>
        <v>8.5011362732008072E-2</v>
      </c>
      <c r="E21" s="127">
        <f>'Results ReCiPe (E) - ESD'!C469*10^6</f>
        <v>3.5536505157966483E-2</v>
      </c>
      <c r="F21" s="127">
        <f>'Results ReCiPe (E) - ESD'!C470*10^6</f>
        <v>6.5578365607868124E-4</v>
      </c>
      <c r="G21" s="127">
        <f>'Results ReCiPe (E) - ESD'!C471*10^6</f>
        <v>0.31991358603107201</v>
      </c>
      <c r="H21" s="127">
        <f>'Results ReCiPe (E) - ESD'!C472*10^6</f>
        <v>0</v>
      </c>
      <c r="I21" s="127">
        <f>'Results ReCiPe (E) - ESD'!C473*10^6</f>
        <v>7.5761902562716488</v>
      </c>
      <c r="J21" s="127">
        <f>'Results ReCiPe (E) - ESD'!C474*10^6</f>
        <v>1.4452949276998275</v>
      </c>
      <c r="K21" s="127">
        <f>'Results ReCiPe (E) - ESD'!C475*10^6</f>
        <v>-25.000681999999987</v>
      </c>
      <c r="L21" s="127">
        <f>'Results ReCiPe (E) - ESD'!C476*10^6</f>
        <v>-12.581569951708664</v>
      </c>
      <c r="M21" s="109">
        <v>7.5</v>
      </c>
      <c r="N21" s="125"/>
    </row>
    <row r="22" spans="1:14" x14ac:dyDescent="0.35">
      <c r="A22" s="327"/>
      <c r="B22" s="109" t="s">
        <v>915</v>
      </c>
      <c r="C22" s="127">
        <f>'Results ReCiPe (E) - ESD'!D467*10^6</f>
        <v>2.8339387678759458</v>
      </c>
      <c r="D22" s="127">
        <f>'Results ReCiPe (E) - ESD'!D468*10^6</f>
        <v>8.0684346632417928E-2</v>
      </c>
      <c r="E22" s="127">
        <f>'Results ReCiPe (E) - ESD'!D469*10^6</f>
        <v>3.491384734128021E-2</v>
      </c>
      <c r="F22" s="127">
        <f>'Results ReCiPe (E) - ESD'!D470*10^6</f>
        <v>6.4577164767378522E-4</v>
      </c>
      <c r="G22" s="127">
        <f>'Results ReCiPe (E) - ESD'!D471*10^6</f>
        <v>0.30525487270276219</v>
      </c>
      <c r="H22" s="127">
        <f>'Results ReCiPe (E) - ESD'!D472*10^6</f>
        <v>0</v>
      </c>
      <c r="I22" s="127">
        <f>'Results ReCiPe (E) - ESD'!D473*10^6</f>
        <v>3.7241524620473192</v>
      </c>
      <c r="J22" s="127">
        <f>'Results ReCiPe (E) - ESD'!D474*10^6</f>
        <v>1.1525183269720216</v>
      </c>
      <c r="K22" s="127">
        <f>'Results ReCiPe (E) - ESD'!D475*10^6</f>
        <v>-25.000681999999987</v>
      </c>
      <c r="L22" s="127">
        <f>'Results ReCiPe (E) - ESD'!D476*10^6</f>
        <v>-16.868573604780579</v>
      </c>
      <c r="M22" s="109">
        <v>6.5</v>
      </c>
      <c r="N22" s="125"/>
    </row>
    <row r="23" spans="1:14" x14ac:dyDescent="0.35">
      <c r="A23" s="328" t="s">
        <v>852</v>
      </c>
      <c r="B23" s="109" t="s">
        <v>855</v>
      </c>
      <c r="C23" s="127">
        <f>'Results ReCiPe (E) - ESD'!E467*10^6</f>
        <v>3.0082173377679413</v>
      </c>
      <c r="D23" s="127">
        <f>'Results ReCiPe (E) - ESD'!E468*10^6</f>
        <v>8.7814617362954386E-2</v>
      </c>
      <c r="E23" s="127">
        <f>'Results ReCiPe (E) - ESD'!E469*10^6</f>
        <v>3.7022632215805318E-2</v>
      </c>
      <c r="F23" s="127">
        <f>'Results ReCiPe (E) - ESD'!E470*10^6</f>
        <v>6.7663899668688734E-4</v>
      </c>
      <c r="G23" s="127">
        <f>'Results ReCiPe (E) - ESD'!E471*10^6</f>
        <v>0.34669954776334799</v>
      </c>
      <c r="H23" s="127">
        <f>'Results ReCiPe (E) - ESD'!E472*10^6</f>
        <v>0</v>
      </c>
      <c r="I23" s="127">
        <f>'Results ReCiPe (E) - ESD'!E473*10^6</f>
        <v>27.53032069091142</v>
      </c>
      <c r="J23" s="127">
        <f>'Results ReCiPe (E) - ESD'!E474*10^6</f>
        <v>7.8882099992638698E-3</v>
      </c>
      <c r="K23" s="127">
        <f>'Results ReCiPe (E) - ESD'!E475*10^6</f>
        <v>-25.000681999999987</v>
      </c>
      <c r="L23" s="127">
        <f>'Results ReCiPe (E) - ESD'!E476*10^6</f>
        <v>6.0179576750174242</v>
      </c>
      <c r="M23" s="109">
        <v>5.5</v>
      </c>
      <c r="N23" s="125"/>
    </row>
    <row r="24" spans="1:14" x14ac:dyDescent="0.35">
      <c r="A24" s="328"/>
      <c r="B24" s="109" t="s">
        <v>914</v>
      </c>
      <c r="C24" s="127">
        <f>'Results ReCiPe (E) - ESD'!F467*10^6</f>
        <v>2.9565096267427267</v>
      </c>
      <c r="D24" s="127">
        <f>'Results ReCiPe (E) - ESD'!F468*10^6</f>
        <v>8.5011362732008072E-2</v>
      </c>
      <c r="E24" s="127">
        <f>'Results ReCiPe (E) - ESD'!F469*10^6</f>
        <v>3.5536505157966483E-2</v>
      </c>
      <c r="F24" s="127">
        <f>'Results ReCiPe (E) - ESD'!F470*10^6</f>
        <v>6.5578365607868124E-4</v>
      </c>
      <c r="G24" s="127">
        <f>'Results ReCiPe (E) - ESD'!F471*10^6</f>
        <v>0.31991358603107201</v>
      </c>
      <c r="H24" s="127">
        <f>'Results ReCiPe (E) - ESD'!F472*10^6</f>
        <v>0</v>
      </c>
      <c r="I24" s="127">
        <f>'Results ReCiPe (E) - ESD'!F473*10^6</f>
        <v>7.3528096077674459</v>
      </c>
      <c r="J24" s="127">
        <f>'Results ReCiPe (E) - ESD'!F474*10^6</f>
        <v>3.3241783337096048E-3</v>
      </c>
      <c r="K24" s="127">
        <f>'Results ReCiPe (E) - ESD'!F475*10^6</f>
        <v>-25.000681999999987</v>
      </c>
      <c r="L24" s="127">
        <f>'Results ReCiPe (E) - ESD'!F476*10^6</f>
        <v>-14.24692134957899</v>
      </c>
      <c r="M24" s="109">
        <v>4.5</v>
      </c>
      <c r="N24" s="125"/>
    </row>
    <row r="25" spans="1:14" x14ac:dyDescent="0.35">
      <c r="A25" s="328"/>
      <c r="B25" s="109" t="s">
        <v>915</v>
      </c>
      <c r="C25" s="127">
        <f>'Results ReCiPe (E) - ESD'!G467*10^6</f>
        <v>2.8339387678759458</v>
      </c>
      <c r="D25" s="127">
        <f>'Results ReCiPe (E) - ESD'!G468*10^6</f>
        <v>8.0684346632417928E-2</v>
      </c>
      <c r="E25" s="127">
        <f>'Results ReCiPe (E) - ESD'!G469*10^6</f>
        <v>3.491384734128021E-2</v>
      </c>
      <c r="F25" s="127">
        <f>'Results ReCiPe (E) - ESD'!G470*10^6</f>
        <v>6.4577164767378522E-4</v>
      </c>
      <c r="G25" s="127">
        <f>'Results ReCiPe (E) - ESD'!G471*10^6</f>
        <v>0.30525487270276219</v>
      </c>
      <c r="H25" s="127">
        <f>'Results ReCiPe (E) - ESD'!G472*10^6</f>
        <v>0</v>
      </c>
      <c r="I25" s="127">
        <f>'Results ReCiPe (E) - ESD'!G473*10^6</f>
        <v>4.3789657972742129</v>
      </c>
      <c r="J25" s="127">
        <f>'Results ReCiPe (E) - ESD'!G474*10^6</f>
        <v>2.65079215203565E-3</v>
      </c>
      <c r="K25" s="127">
        <f>'Results ReCiPe (E) - ESD'!G475*10^6</f>
        <v>-25.000681999999987</v>
      </c>
      <c r="L25" s="127">
        <f>'Results ReCiPe (E) - ESD'!G476*10^6</f>
        <v>-17.363627804373667</v>
      </c>
      <c r="M25" s="109">
        <v>3.5</v>
      </c>
      <c r="N25" s="125"/>
    </row>
    <row r="26" spans="1:14" x14ac:dyDescent="0.35">
      <c r="A26" s="328" t="s">
        <v>854</v>
      </c>
      <c r="B26" s="109" t="s">
        <v>855</v>
      </c>
      <c r="C26" s="127">
        <f>'Results ReCiPe (E) - ESD'!H467*10^6</f>
        <v>5.8559215312032764</v>
      </c>
      <c r="D26" s="127">
        <f>'Results ReCiPe (E) - ESD'!H468*10^6</f>
        <v>8.7814617362954386E-2</v>
      </c>
      <c r="E26" s="127">
        <f>'Results ReCiPe (E) - ESD'!H469*10^6</f>
        <v>7.4045264431610636E-2</v>
      </c>
      <c r="F26" s="127">
        <f>'Results ReCiPe (E) - ESD'!H470*10^6</f>
        <v>6.7663899668688734E-4</v>
      </c>
      <c r="G26" s="127">
        <f>'Results ReCiPe (E) - ESD'!H471*10^6</f>
        <v>0.69339909552669599</v>
      </c>
      <c r="H26" s="127">
        <f>'Results ReCiPe (E) - ESD'!H472*10^6</f>
        <v>39.853332087885228</v>
      </c>
      <c r="I26" s="127">
        <f>'Results ReCiPe (E) - ESD'!H473*10^6</f>
        <v>24.188569796484504</v>
      </c>
      <c r="J26" s="127">
        <f>'Results ReCiPe (E) - ESD'!H474*10^6</f>
        <v>3.4296565214190733</v>
      </c>
      <c r="K26" s="127">
        <f>'Results ReCiPe (E) - ESD'!H475*10^6</f>
        <v>-25.000681999999987</v>
      </c>
      <c r="L26" s="127">
        <f>'Results ReCiPe (E) - ESD'!H476*10^6</f>
        <v>49.182733553310051</v>
      </c>
      <c r="M26" s="109">
        <v>2.5</v>
      </c>
      <c r="N26" s="125"/>
    </row>
    <row r="27" spans="1:14" x14ac:dyDescent="0.35">
      <c r="A27" s="328"/>
      <c r="B27" s="109" t="s">
        <v>914</v>
      </c>
      <c r="C27" s="127">
        <f>'Results ReCiPe (E) - ESD'!I467*10^6</f>
        <v>5.7535066581488756</v>
      </c>
      <c r="D27" s="127">
        <f>'Results ReCiPe (E) - ESD'!I468*10^6</f>
        <v>8.5011362732008072E-2</v>
      </c>
      <c r="E27" s="127">
        <f>'Results ReCiPe (E) - ESD'!I469*10^6</f>
        <v>7.1073010315932966E-2</v>
      </c>
      <c r="F27" s="127">
        <f>'Results ReCiPe (E) - ESD'!I470*10^6</f>
        <v>6.5578365607868124E-4</v>
      </c>
      <c r="G27" s="127">
        <f>'Results ReCiPe (E) - ESD'!I471*10^6</f>
        <v>0.63982717206214401</v>
      </c>
      <c r="H27" s="127">
        <f>'Results ReCiPe (E) - ESD'!I472*10^6</f>
        <v>39.470429256718283</v>
      </c>
      <c r="I27" s="127">
        <f>'Results ReCiPe (E) - ESD'!I473*10^6</f>
        <v>23.409518159503119</v>
      </c>
      <c r="J27" s="127">
        <f>'Results ReCiPe (E) - ESD'!I474*10^6</f>
        <v>1.4452949276998275</v>
      </c>
      <c r="K27" s="127">
        <f>'Results ReCiPe (E) - ESD'!I475*10^6</f>
        <v>-25.000681999999987</v>
      </c>
      <c r="L27" s="127">
        <f>'Results ReCiPe (E) - ESD'!I476*10^6</f>
        <v>45.874634330836273</v>
      </c>
      <c r="M27" s="109">
        <v>1.5</v>
      </c>
      <c r="N27" s="125"/>
    </row>
    <row r="28" spans="1:14" x14ac:dyDescent="0.35">
      <c r="A28" s="328"/>
      <c r="B28" s="109" t="s">
        <v>915</v>
      </c>
      <c r="C28" s="127">
        <f>'Results ReCiPe (E) - ESD'!J467*10^6</f>
        <v>5.5107750765399013</v>
      </c>
      <c r="D28" s="127">
        <f>'Results ReCiPe (E) - ESD'!J468*10^6</f>
        <v>8.0684346632417928E-2</v>
      </c>
      <c r="E28" s="127">
        <f>'Results ReCiPe (E) - ESD'!J469*10^6</f>
        <v>6.9827694682560421E-2</v>
      </c>
      <c r="F28" s="127">
        <f>'Results ReCiPe (E) - ESD'!J470*10^6</f>
        <v>6.4577164767378522E-4</v>
      </c>
      <c r="G28" s="127">
        <f>'Results ReCiPe (E) - ESD'!J471*10^6</f>
        <v>0.61050974540552438</v>
      </c>
      <c r="H28" s="127">
        <f>'Results ReCiPe (E) - ESD'!J472*10^6</f>
        <v>38.399844402274695</v>
      </c>
      <c r="I28" s="127">
        <f>'Results ReCiPe (E) - ESD'!J473*10^6</f>
        <v>23.052642018081137</v>
      </c>
      <c r="J28" s="127">
        <f>'Results ReCiPe (E) - ESD'!J474*10^6</f>
        <v>1.1525183269720216</v>
      </c>
      <c r="K28" s="127">
        <f>'Results ReCiPe (E) - ESD'!J475*10^6</f>
        <v>-25.000681999999987</v>
      </c>
      <c r="L28" s="127">
        <f>'Results ReCiPe (E) - ESD'!J476*10^6</f>
        <v>43.876765382235931</v>
      </c>
      <c r="M28" s="109">
        <v>0.5</v>
      </c>
      <c r="N28" s="125"/>
    </row>
    <row r="29" spans="1:14" x14ac:dyDescent="0.35">
      <c r="N29" s="125"/>
    </row>
    <row r="30" spans="1:14" x14ac:dyDescent="0.35">
      <c r="N30" s="125"/>
    </row>
    <row r="31" spans="1:14" s="33" customFormat="1" x14ac:dyDescent="0.35">
      <c r="A31" s="125"/>
      <c r="B31" s="125" t="s">
        <v>498</v>
      </c>
      <c r="C31" s="125"/>
      <c r="D31" s="125"/>
      <c r="E31" s="125"/>
      <c r="F31" s="125"/>
      <c r="G31" s="125"/>
      <c r="H31" s="125"/>
      <c r="I31" s="125"/>
      <c r="J31" s="125"/>
      <c r="K31" s="125"/>
      <c r="L31" s="125"/>
      <c r="M31" s="125"/>
      <c r="N31" s="125"/>
    </row>
    <row r="32" spans="1:14" x14ac:dyDescent="0.35">
      <c r="N32" s="125"/>
    </row>
    <row r="33" spans="1:14" ht="16.5" x14ac:dyDescent="0.45">
      <c r="A33" s="109"/>
      <c r="B33" s="109"/>
      <c r="C33" s="109" t="s">
        <v>117</v>
      </c>
      <c r="D33" s="109" t="s">
        <v>118</v>
      </c>
      <c r="E33" s="109" t="s">
        <v>119</v>
      </c>
      <c r="F33" s="109" t="s">
        <v>120</v>
      </c>
      <c r="G33" s="109" t="s">
        <v>121</v>
      </c>
      <c r="H33" s="109" t="s">
        <v>797</v>
      </c>
      <c r="I33" s="109" t="s">
        <v>122</v>
      </c>
      <c r="J33" s="109" t="s">
        <v>123</v>
      </c>
      <c r="K33" s="109" t="s">
        <v>856</v>
      </c>
      <c r="L33" s="109" t="s">
        <v>46</v>
      </c>
      <c r="M33" s="109"/>
      <c r="N33" s="125"/>
    </row>
    <row r="34" spans="1:14" x14ac:dyDescent="0.35">
      <c r="A34" s="327" t="s">
        <v>853</v>
      </c>
      <c r="B34" s="109" t="s">
        <v>855</v>
      </c>
      <c r="C34" s="127">
        <f>'Results ReCiPe (E) - HHD'!B467*10^3</f>
        <v>6.1856398999458051</v>
      </c>
      <c r="D34" s="127">
        <f>'Results ReCiPe (E) - HHD'!B468*10^3</f>
        <v>0.23736856971768738</v>
      </c>
      <c r="E34" s="127">
        <f>'Results ReCiPe (E) - HHD'!B469*10^3</f>
        <v>5.1813372048564774E-2</v>
      </c>
      <c r="F34" s="127">
        <f>'Results ReCiPe (E) - HHD'!B470*10^3</f>
        <v>7.4457936210623995E-4</v>
      </c>
      <c r="G34" s="127">
        <f>'Results ReCiPe (E) - HHD'!B471*10^3</f>
        <v>0.54087599333583036</v>
      </c>
      <c r="H34" s="127">
        <f>'Results ReCiPe (E) - HHD'!B472*10^3</f>
        <v>0</v>
      </c>
      <c r="I34" s="127">
        <f>'Results ReCiPe (E) - HHD'!B473*10^3</f>
        <v>53.48003803483401</v>
      </c>
      <c r="J34" s="127">
        <f>'Results ReCiPe (E) - HHD'!B474*10^3</f>
        <v>5.5171453370358536</v>
      </c>
      <c r="K34" s="127">
        <f>'Results ReCiPe (E) - HHD'!B475*10^3</f>
        <v>-12.5</v>
      </c>
      <c r="L34" s="127">
        <f>'Results ReCiPe (E) - HHD'!B476*10^3</f>
        <v>53.513625786279867</v>
      </c>
      <c r="M34" s="278">
        <v>8.5</v>
      </c>
      <c r="N34" s="125"/>
    </row>
    <row r="35" spans="1:14" x14ac:dyDescent="0.35">
      <c r="A35" s="327"/>
      <c r="B35" s="109" t="s">
        <v>914</v>
      </c>
      <c r="C35" s="127">
        <f>'Results ReCiPe (E) - HHD'!C467*10^3</f>
        <v>6.065450135278466</v>
      </c>
      <c r="D35" s="127">
        <f>'Results ReCiPe (E) - HHD'!C468*10^3</f>
        <v>0.22730135326480799</v>
      </c>
      <c r="E35" s="127">
        <f>'Results ReCiPe (E) - HHD'!C469*10^3</f>
        <v>5.0224336999571441E-2</v>
      </c>
      <c r="F35" s="127">
        <f>'Results ReCiPe (E) - HHD'!C470*10^3</f>
        <v>7.2060673589576007E-4</v>
      </c>
      <c r="G35" s="127">
        <f>'Results ReCiPe (E) - HHD'!C471*10^3</f>
        <v>0.5064937346607693</v>
      </c>
      <c r="H35" s="127">
        <f>'Results ReCiPe (E) - HHD'!C472*10^3</f>
        <v>0</v>
      </c>
      <c r="I35" s="127">
        <f>'Results ReCiPe (E) - HHD'!C473*10^3</f>
        <v>13.164398138698337</v>
      </c>
      <c r="J35" s="127">
        <f>'Results ReCiPe (E) - HHD'!C474*10^3</f>
        <v>2.3520784467059221</v>
      </c>
      <c r="K35" s="127">
        <f>'Results ReCiPe (E) - HHD'!C475*10^3</f>
        <v>-12.5</v>
      </c>
      <c r="L35" s="127">
        <f>'Results ReCiPe (E) - HHD'!C476*10^3</f>
        <v>9.8666667523437681</v>
      </c>
      <c r="M35" s="109">
        <v>7.5</v>
      </c>
      <c r="N35" s="125"/>
    </row>
    <row r="36" spans="1:14" x14ac:dyDescent="0.35">
      <c r="A36" s="327"/>
      <c r="B36" s="109" t="s">
        <v>915</v>
      </c>
      <c r="C36" s="127">
        <f>'Results ReCiPe (E) - HHD'!D467*10^3</f>
        <v>5.8953516980141547</v>
      </c>
      <c r="D36" s="127">
        <f>'Results ReCiPe (E) - HHD'!D468*10^3</f>
        <v>0.22026478703469121</v>
      </c>
      <c r="E36" s="127">
        <f>'Results ReCiPe (E) - HHD'!D469*10^3</f>
        <v>4.9926887196575398E-2</v>
      </c>
      <c r="F36" s="127">
        <f>'Results ReCiPe (E) - HHD'!D470*10^3</f>
        <v>7.1540342543945405E-4</v>
      </c>
      <c r="G36" s="127">
        <f>'Results ReCiPe (E) - HHD'!D471*10^3</f>
        <v>0.49198881672725742</v>
      </c>
      <c r="H36" s="127">
        <f>'Results ReCiPe (E) - HHD'!D472*10^3</f>
        <v>0</v>
      </c>
      <c r="I36" s="127">
        <f>'Results ReCiPe (E) - HHD'!D473*10^3</f>
        <v>9.5196055823756645</v>
      </c>
      <c r="J36" s="127">
        <f>'Results ReCiPe (E) - HHD'!D474*10^3</f>
        <v>2.2088799157929073</v>
      </c>
      <c r="K36" s="127">
        <f>'Results ReCiPe (E) - HHD'!D475*10^3</f>
        <v>-12.5</v>
      </c>
      <c r="L36" s="127">
        <f>'Results ReCiPe (E) - HHD'!D476*10^3</f>
        <v>5.8867330905666941</v>
      </c>
      <c r="M36" s="109">
        <v>6.5</v>
      </c>
      <c r="N36" s="125"/>
    </row>
    <row r="37" spans="1:14" x14ac:dyDescent="0.35">
      <c r="A37" s="328" t="s">
        <v>852</v>
      </c>
      <c r="B37" s="109" t="s">
        <v>855</v>
      </c>
      <c r="C37" s="127">
        <f>'Results ReCiPe (E) - HHD'!E467*10^3</f>
        <v>6.1856398999458051</v>
      </c>
      <c r="D37" s="127">
        <f>'Results ReCiPe (E) - HHD'!E468*10^3</f>
        <v>0.23736856971768738</v>
      </c>
      <c r="E37" s="127">
        <f>'Results ReCiPe (E) - HHD'!E469*10^3</f>
        <v>5.1813372048564774E-2</v>
      </c>
      <c r="F37" s="127">
        <f>'Results ReCiPe (E) - HHD'!E470*10^3</f>
        <v>7.4457936210623995E-4</v>
      </c>
      <c r="G37" s="127">
        <f>'Results ReCiPe (E) - HHD'!E471*10^3</f>
        <v>0.54087599333583036</v>
      </c>
      <c r="H37" s="127">
        <f>'Results ReCiPe (E) - HHD'!E472*10^3</f>
        <v>0</v>
      </c>
      <c r="I37" s="127">
        <f>'Results ReCiPe (E) - HHD'!E473*10^3</f>
        <v>43.777477849085102</v>
      </c>
      <c r="J37" s="127">
        <f>'Results ReCiPe (E) - HHD'!E474*10^3</f>
        <v>5.5171453370358536</v>
      </c>
      <c r="K37" s="127">
        <f>'Results ReCiPe (E) - HHD'!E475*10^3</f>
        <v>-12.5</v>
      </c>
      <c r="L37" s="127">
        <f>'Results ReCiPe (E) - HHD'!E476*10^3</f>
        <v>43.811065600530952</v>
      </c>
      <c r="M37" s="109">
        <v>5.5</v>
      </c>
      <c r="N37" s="125"/>
    </row>
    <row r="38" spans="1:14" x14ac:dyDescent="0.35">
      <c r="A38" s="328"/>
      <c r="B38" s="109" t="s">
        <v>914</v>
      </c>
      <c r="C38" s="127">
        <f>'Results ReCiPe (E) - HHD'!F467*10^3</f>
        <v>6.065450135278466</v>
      </c>
      <c r="D38" s="127">
        <f>'Results ReCiPe (E) - HHD'!F468*10^3</f>
        <v>0.22730135326480799</v>
      </c>
      <c r="E38" s="127">
        <f>'Results ReCiPe (E) - HHD'!F469*10^3</f>
        <v>5.0224336999571441E-2</v>
      </c>
      <c r="F38" s="127">
        <f>'Results ReCiPe (E) - HHD'!F470*10^3</f>
        <v>7.2060673589576007E-4</v>
      </c>
      <c r="G38" s="127">
        <f>'Results ReCiPe (E) - HHD'!F471*10^3</f>
        <v>0.5064937346607693</v>
      </c>
      <c r="H38" s="127">
        <f>'Results ReCiPe (E) - HHD'!F472*10^3</f>
        <v>0</v>
      </c>
      <c r="I38" s="127">
        <f>'Results ReCiPe (E) - HHD'!F473*10^3</f>
        <v>12.901387339406217</v>
      </c>
      <c r="J38" s="127">
        <f>'Results ReCiPe (E) - HHD'!F474*10^3</f>
        <v>2.4847264117793162</v>
      </c>
      <c r="K38" s="127">
        <f>'Results ReCiPe (E) - HHD'!F475*10^3</f>
        <v>-12.5</v>
      </c>
      <c r="L38" s="127">
        <f>'Results ReCiPe (E) - HHD'!F476*10^3</f>
        <v>9.7363039181250421</v>
      </c>
      <c r="M38" s="109">
        <v>4.5</v>
      </c>
      <c r="N38" s="125"/>
    </row>
    <row r="39" spans="1:14" x14ac:dyDescent="0.35">
      <c r="A39" s="328"/>
      <c r="B39" s="109" t="s">
        <v>915</v>
      </c>
      <c r="C39" s="127">
        <f>'Results ReCiPe (E) - HHD'!G467*10^3</f>
        <v>5.8953516980141547</v>
      </c>
      <c r="D39" s="127">
        <f>'Results ReCiPe (E) - HHD'!G468*10^3</f>
        <v>0.22026478703469121</v>
      </c>
      <c r="E39" s="127">
        <f>'Results ReCiPe (E) - HHD'!G469*10^3</f>
        <v>4.9926887196575398E-2</v>
      </c>
      <c r="F39" s="127">
        <f>'Results ReCiPe (E) - HHD'!G470*10^3</f>
        <v>7.1540342543945405E-4</v>
      </c>
      <c r="G39" s="127">
        <f>'Results ReCiPe (E) - HHD'!G471*10^3</f>
        <v>0.49198881672725742</v>
      </c>
      <c r="H39" s="127">
        <f>'Results ReCiPe (E) - HHD'!G472*10^3</f>
        <v>0</v>
      </c>
      <c r="I39" s="127">
        <f>'Results ReCiPe (E) - HHD'!G473*10^3</f>
        <v>10.069475651227652</v>
      </c>
      <c r="J39" s="127">
        <f>'Results ReCiPe (E) - HHD'!G474*10^3</f>
        <v>2.2088799157929073</v>
      </c>
      <c r="K39" s="127">
        <f>'Results ReCiPe (E) - HHD'!G475*10^3</f>
        <v>-12.5</v>
      </c>
      <c r="L39" s="127">
        <f>'Results ReCiPe (E) - HHD'!G476*10^3</f>
        <v>6.4366031594186737</v>
      </c>
      <c r="M39" s="109">
        <v>3.5</v>
      </c>
      <c r="N39" s="125"/>
    </row>
    <row r="40" spans="1:14" x14ac:dyDescent="0.35">
      <c r="A40" s="328" t="s">
        <v>854</v>
      </c>
      <c r="B40" s="109" t="s">
        <v>855</v>
      </c>
      <c r="C40" s="127">
        <f>'Results ReCiPe (E) - HHD'!H467*10^3</f>
        <v>12.074302023961396</v>
      </c>
      <c r="D40" s="127">
        <f>'Results ReCiPe (E) - HHD'!H468*10^3</f>
        <v>0.23736856971768738</v>
      </c>
      <c r="E40" s="127">
        <f>'Results ReCiPe (E) - HHD'!H469*10^3</f>
        <v>0.10362674409712955</v>
      </c>
      <c r="F40" s="127">
        <f>'Results ReCiPe (E) - HHD'!H470*10^3</f>
        <v>7.4457936210623995E-4</v>
      </c>
      <c r="G40" s="127">
        <f>'Results ReCiPe (E) - HHD'!H471*10^3</f>
        <v>1.0817519866716607</v>
      </c>
      <c r="H40" s="127">
        <f>'Results ReCiPe (E) - HHD'!H472*10^3</f>
        <v>75.521153324716877</v>
      </c>
      <c r="I40" s="127">
        <f>'Results ReCiPe (E) - HHD'!H473*10^3</f>
        <v>42.219567915144154</v>
      </c>
      <c r="J40" s="127">
        <f>'Results ReCiPe (E) - HHD'!H474*10^3</f>
        <v>5.5171453370358536</v>
      </c>
      <c r="K40" s="127">
        <f>'Results ReCiPe (E) - HHD'!H475*10^3</f>
        <v>-12.5</v>
      </c>
      <c r="L40" s="127">
        <f>'Results ReCiPe (E) - HHD'!H476*10^3</f>
        <v>124.25566048070687</v>
      </c>
      <c r="M40" s="109">
        <v>2.5</v>
      </c>
      <c r="N40" s="125"/>
    </row>
    <row r="41" spans="1:14" x14ac:dyDescent="0.35">
      <c r="A41" s="328"/>
      <c r="B41" s="109" t="s">
        <v>914</v>
      </c>
      <c r="C41" s="127">
        <f>'Results ReCiPe (E) - HHD'!I467*10^3</f>
        <v>11.836542748911091</v>
      </c>
      <c r="D41" s="127">
        <f>'Results ReCiPe (E) - HHD'!I468*10^3</f>
        <v>0.22730135326480799</v>
      </c>
      <c r="E41" s="127">
        <f>'Results ReCiPe (E) - HHD'!I469*10^3</f>
        <v>0.10044867399914288</v>
      </c>
      <c r="F41" s="127">
        <f>'Results ReCiPe (E) - HHD'!I470*10^3</f>
        <v>7.2060673589576007E-4</v>
      </c>
      <c r="G41" s="127">
        <f>'Results ReCiPe (E) - HHD'!I471*10^3</f>
        <v>1.0129874693215386</v>
      </c>
      <c r="H41" s="127">
        <f>'Results ReCiPe (E) - HHD'!I472*10^3</f>
        <v>74.793228807015836</v>
      </c>
      <c r="I41" s="127">
        <f>'Results ReCiPe (E) - HHD'!I473*10^3</f>
        <v>41.030747936407508</v>
      </c>
      <c r="J41" s="127">
        <f>'Results ReCiPe (E) - HHD'!I474*10^3</f>
        <v>2.3520784467059221</v>
      </c>
      <c r="K41" s="127">
        <f>'Results ReCiPe (E) - HHD'!I475*10^3</f>
        <v>-12.5</v>
      </c>
      <c r="L41" s="127">
        <f>'Results ReCiPe (E) - HHD'!I476*10^3</f>
        <v>118.85405604236179</v>
      </c>
      <c r="M41" s="109">
        <v>1.5</v>
      </c>
      <c r="N41" s="125"/>
    </row>
    <row r="42" spans="1:14" x14ac:dyDescent="0.35">
      <c r="A42" s="328"/>
      <c r="B42" s="109" t="s">
        <v>915</v>
      </c>
      <c r="C42" s="127">
        <f>'Results ReCiPe (E) - HHD'!J467*10^3</f>
        <v>11.499632518513906</v>
      </c>
      <c r="D42" s="127">
        <f>'Results ReCiPe (E) - HHD'!J468*10^3</f>
        <v>0.22026478703469121</v>
      </c>
      <c r="E42" s="127">
        <f>'Results ReCiPe (E) - HHD'!J469*10^3</f>
        <v>9.9853774393150796E-2</v>
      </c>
      <c r="F42" s="127">
        <f>'Results ReCiPe (E) - HHD'!J470*10^3</f>
        <v>7.1540342543945405E-4</v>
      </c>
      <c r="G42" s="127">
        <f>'Results ReCiPe (E) - HHD'!J471*10^3</f>
        <v>0.98397763345451483</v>
      </c>
      <c r="H42" s="127">
        <f>'Results ReCiPe (E) - HHD'!J472*10^3</f>
        <v>73.402514692256091</v>
      </c>
      <c r="I42" s="127">
        <f>'Results ReCiPe (E) - HHD'!J473*10^3</f>
        <v>40.528017239822574</v>
      </c>
      <c r="J42" s="127">
        <f>'Results ReCiPe (E) - HHD'!J474*10^3</f>
        <v>2.2088799157929073</v>
      </c>
      <c r="K42" s="127">
        <f>'Results ReCiPe (E) - HHD'!J475*10^3</f>
        <v>-12.5</v>
      </c>
      <c r="L42" s="127">
        <f>'Results ReCiPe (E) - HHD'!J476*10^3</f>
        <v>116.44385596469324</v>
      </c>
      <c r="M42" s="109">
        <v>0.5</v>
      </c>
      <c r="N42" s="125"/>
    </row>
    <row r="43" spans="1:14" x14ac:dyDescent="0.35">
      <c r="C43" s="6"/>
      <c r="D43" s="6"/>
      <c r="E43" s="6"/>
      <c r="F43" s="6"/>
      <c r="G43" s="6"/>
      <c r="H43" s="6"/>
      <c r="I43" s="6"/>
      <c r="J43" s="6"/>
      <c r="K43" s="7"/>
      <c r="L43" s="6"/>
      <c r="N43" s="125"/>
    </row>
    <row r="44" spans="1:14" ht="17.5" customHeight="1" x14ac:dyDescent="0.35">
      <c r="N44" s="125"/>
    </row>
    <row r="45" spans="1:14" s="33" customFormat="1" x14ac:dyDescent="0.35">
      <c r="A45" s="125"/>
      <c r="B45" s="125" t="s">
        <v>802</v>
      </c>
      <c r="C45" s="125"/>
      <c r="D45" s="125"/>
      <c r="E45" s="125"/>
      <c r="F45" s="125"/>
      <c r="G45" s="125"/>
      <c r="H45" s="125"/>
      <c r="I45" s="125"/>
      <c r="J45" s="125"/>
      <c r="K45" s="125"/>
      <c r="L45" s="125"/>
      <c r="M45" s="125"/>
      <c r="N45" s="125"/>
    </row>
    <row r="46" spans="1:14" x14ac:dyDescent="0.35">
      <c r="N46" s="125"/>
    </row>
    <row r="47" spans="1:14" ht="16.5" x14ac:dyDescent="0.45">
      <c r="A47" s="109"/>
      <c r="B47" s="109"/>
      <c r="C47" s="109" t="s">
        <v>117</v>
      </c>
      <c r="D47" s="109" t="s">
        <v>118</v>
      </c>
      <c r="E47" s="109" t="s">
        <v>119</v>
      </c>
      <c r="F47" s="109" t="s">
        <v>120</v>
      </c>
      <c r="G47" s="109" t="s">
        <v>121</v>
      </c>
      <c r="H47" s="109" t="s">
        <v>797</v>
      </c>
      <c r="I47" s="109" t="s">
        <v>122</v>
      </c>
      <c r="J47" s="109" t="s">
        <v>123</v>
      </c>
      <c r="K47" s="109" t="s">
        <v>856</v>
      </c>
      <c r="L47" s="109" t="s">
        <v>46</v>
      </c>
      <c r="M47" s="109"/>
      <c r="N47" s="125"/>
    </row>
    <row r="48" spans="1:14" x14ac:dyDescent="0.35">
      <c r="A48" s="327" t="s">
        <v>853</v>
      </c>
      <c r="B48" s="109" t="s">
        <v>855</v>
      </c>
      <c r="C48" s="126">
        <f>'Results ReCiPe (E) - RD'!B467</f>
        <v>1.186012057134346</v>
      </c>
      <c r="D48" s="126">
        <f>'Results ReCiPe (E) - RD'!B468</f>
        <v>0.10893344159114481</v>
      </c>
      <c r="E48" s="126">
        <f>'Results ReCiPe (E) - RD'!B469</f>
        <v>1.8465261582675644E-2</v>
      </c>
      <c r="F48" s="126">
        <f>'Results ReCiPe (E) - RD'!B470</f>
        <v>5.4014217469741817E-4</v>
      </c>
      <c r="G48" s="126">
        <f>'Results ReCiPe (E) - RD'!B471</f>
        <v>0.42473420511842591</v>
      </c>
      <c r="H48" s="126">
        <f>'Results ReCiPe (E) - RD'!B472</f>
        <v>0</v>
      </c>
      <c r="I48" s="126">
        <f>'Results ReCiPe (E) - RD'!B473</f>
        <v>33.825868815022822</v>
      </c>
      <c r="J48" s="126">
        <f>'Results ReCiPe (E) - RD'!B474</f>
        <v>2.6255774119610105</v>
      </c>
      <c r="K48" s="126">
        <f>'Results ReCiPe (E) - RD'!B475</f>
        <v>0</v>
      </c>
      <c r="L48" s="127">
        <f>'Results ReCiPe (E) - RD'!B476</f>
        <v>38.190131334585118</v>
      </c>
      <c r="M48" s="278">
        <v>8.5</v>
      </c>
      <c r="N48" s="125"/>
    </row>
    <row r="49" spans="1:14" x14ac:dyDescent="0.35">
      <c r="A49" s="327"/>
      <c r="B49" s="109" t="s">
        <v>914</v>
      </c>
      <c r="C49" s="126">
        <f>'Results ReCiPe (E) - RD'!C467</f>
        <v>1.157063722997238</v>
      </c>
      <c r="D49" s="126">
        <f>'Results ReCiPe (E) - RD'!C468</f>
        <v>0.10757851995532861</v>
      </c>
      <c r="E49" s="126">
        <f>'Results ReCiPe (E) - RD'!C469</f>
        <v>1.6729882887585364E-2</v>
      </c>
      <c r="F49" s="126">
        <f>'Results ReCiPe (E) - RD'!C470</f>
        <v>5.1880680171746349E-4</v>
      </c>
      <c r="G49" s="126">
        <f>'Results ReCiPe (E) - RD'!C471</f>
        <v>0.41442176653533608</v>
      </c>
      <c r="H49" s="126">
        <f>'Results ReCiPe (E) - RD'!C472</f>
        <v>0</v>
      </c>
      <c r="I49" s="126">
        <f>'Results ReCiPe (E) - RD'!C473</f>
        <v>23.254130190429287</v>
      </c>
      <c r="J49" s="126">
        <f>'Results ReCiPe (E) - RD'!C474</f>
        <v>1.8308153145585815E-2</v>
      </c>
      <c r="K49" s="126">
        <f>'Results ReCiPe (E) - RD'!C475</f>
        <v>0</v>
      </c>
      <c r="L49" s="127">
        <f>'Results ReCiPe (E) - RD'!C476</f>
        <v>24.968751042752078</v>
      </c>
      <c r="M49" s="109">
        <v>7.5</v>
      </c>
      <c r="N49" s="125"/>
    </row>
    <row r="50" spans="1:14" x14ac:dyDescent="0.35">
      <c r="A50" s="327"/>
      <c r="B50" s="109" t="s">
        <v>915</v>
      </c>
      <c r="C50" s="126">
        <f>'Results ReCiPe (E) - RD'!D467</f>
        <v>1.0808954106731399</v>
      </c>
      <c r="D50" s="126">
        <f>'Results ReCiPe (E) - RD'!D468</f>
        <v>0.1038814101950728</v>
      </c>
      <c r="E50" s="126">
        <f>'Results ReCiPe (E) - RD'!D469</f>
        <v>1.5521589480191562E-2</v>
      </c>
      <c r="F50" s="126">
        <f>'Results ReCiPe (E) - RD'!D470</f>
        <v>4.9169034518989601E-4</v>
      </c>
      <c r="G50" s="126">
        <f>'Results ReCiPe (E) - RD'!D471</f>
        <v>0.40610070649230723</v>
      </c>
      <c r="H50" s="126">
        <f>'Results ReCiPe (E) - RD'!D472</f>
        <v>0</v>
      </c>
      <c r="I50" s="126">
        <f>'Results ReCiPe (E) - RD'!D473</f>
        <v>17.681175766916773</v>
      </c>
      <c r="J50" s="126">
        <f>'Results ReCiPe (E) - RD'!D474</f>
        <v>1.4042504423184488</v>
      </c>
      <c r="K50" s="126">
        <f>'Results ReCiPe (E) - RD'!D475</f>
        <v>0</v>
      </c>
      <c r="L50" s="127">
        <f>'Results ReCiPe (E) - RD'!D476</f>
        <v>20.692317016421125</v>
      </c>
      <c r="M50" s="109">
        <v>6.5</v>
      </c>
      <c r="N50" s="125"/>
    </row>
    <row r="51" spans="1:14" x14ac:dyDescent="0.35">
      <c r="A51" s="328" t="s">
        <v>852</v>
      </c>
      <c r="B51" s="109" t="s">
        <v>855</v>
      </c>
      <c r="C51" s="126">
        <f>'Results ReCiPe (E) - RD'!E467</f>
        <v>1.186012057134346</v>
      </c>
      <c r="D51" s="126">
        <f>'Results ReCiPe (E) - RD'!E468</f>
        <v>0.10893344159114481</v>
      </c>
      <c r="E51" s="126">
        <f>'Results ReCiPe (E) - RD'!E469</f>
        <v>1.8465261582675644E-2</v>
      </c>
      <c r="F51" s="126">
        <f>'Results ReCiPe (E) - RD'!E470</f>
        <v>5.4014217469741817E-4</v>
      </c>
      <c r="G51" s="126">
        <f>'Results ReCiPe (E) - RD'!E471</f>
        <v>0.42473420511842591</v>
      </c>
      <c r="H51" s="126">
        <f>'Results ReCiPe (E) - RD'!E472</f>
        <v>0</v>
      </c>
      <c r="I51" s="126">
        <f>'Results ReCiPe (E) - RD'!E473</f>
        <v>26.467355623738076</v>
      </c>
      <c r="J51" s="126">
        <f>'Results ReCiPe (E) - RD'!E474</f>
        <v>2.6255774119610105</v>
      </c>
      <c r="K51" s="126">
        <f>'Results ReCiPe (E) - RD'!E475</f>
        <v>0</v>
      </c>
      <c r="L51" s="127">
        <f>'Results ReCiPe (E) - RD'!E476</f>
        <v>30.831618143300386</v>
      </c>
      <c r="M51" s="109">
        <v>5.5</v>
      </c>
      <c r="N51" s="125"/>
    </row>
    <row r="52" spans="1:14" x14ac:dyDescent="0.35">
      <c r="A52" s="328"/>
      <c r="B52" s="109" t="s">
        <v>914</v>
      </c>
      <c r="C52" s="126">
        <f>'Results ReCiPe (E) - RD'!F467</f>
        <v>1.157063722997238</v>
      </c>
      <c r="D52" s="126">
        <f>'Results ReCiPe (E) - RD'!F468</f>
        <v>0.10757851995532861</v>
      </c>
      <c r="E52" s="126">
        <f>'Results ReCiPe (E) - RD'!F469</f>
        <v>1.6729882887585364E-2</v>
      </c>
      <c r="F52" s="126">
        <f>'Results ReCiPe (E) - RD'!F470</f>
        <v>5.1880680171746349E-4</v>
      </c>
      <c r="G52" s="126">
        <f>'Results ReCiPe (E) - RD'!F471</f>
        <v>0.41442176653533608</v>
      </c>
      <c r="H52" s="126">
        <f>'Results ReCiPe (E) - RD'!F472</f>
        <v>0</v>
      </c>
      <c r="I52" s="126">
        <f>'Results ReCiPe (E) - RD'!F473</f>
        <v>18.390080068075431</v>
      </c>
      <c r="J52" s="126">
        <f>'Results ReCiPe (E) - RD'!F474</f>
        <v>1.8308153145585815</v>
      </c>
      <c r="K52" s="126">
        <f>'Results ReCiPe (E) - RD'!F475</f>
        <v>0</v>
      </c>
      <c r="L52" s="127">
        <f>'Results ReCiPe (E) - RD'!F476</f>
        <v>21.917208081811218</v>
      </c>
      <c r="M52" s="109">
        <v>4.5</v>
      </c>
      <c r="N52" s="125"/>
    </row>
    <row r="53" spans="1:14" x14ac:dyDescent="0.35">
      <c r="A53" s="328"/>
      <c r="B53" s="109" t="s">
        <v>915</v>
      </c>
      <c r="C53" s="126">
        <f>'Results ReCiPe (E) - RD'!G467</f>
        <v>1.0808954106731399</v>
      </c>
      <c r="D53" s="126">
        <f>'Results ReCiPe (E) - RD'!G468</f>
        <v>0.1038814101950728</v>
      </c>
      <c r="E53" s="126">
        <f>'Results ReCiPe (E) - RD'!G469</f>
        <v>1.5521589480191562E-2</v>
      </c>
      <c r="F53" s="126">
        <f>'Results ReCiPe (E) - RD'!G470</f>
        <v>4.9169034518989601E-4</v>
      </c>
      <c r="G53" s="126">
        <f>'Results ReCiPe (E) - RD'!G471</f>
        <v>0.40610070649230723</v>
      </c>
      <c r="H53" s="126">
        <f>'Results ReCiPe (E) - RD'!G472</f>
        <v>0</v>
      </c>
      <c r="I53" s="126">
        <f>'Results ReCiPe (E) - RD'!G473</f>
        <v>14.119587652558842</v>
      </c>
      <c r="J53" s="126">
        <f>'Results ReCiPe (E) - RD'!G474</f>
        <v>1.4042504423184488</v>
      </c>
      <c r="K53" s="126">
        <f>'Results ReCiPe (E) - RD'!G475</f>
        <v>0</v>
      </c>
      <c r="L53" s="127">
        <f>'Results ReCiPe (E) - RD'!G476</f>
        <v>17.13072890206319</v>
      </c>
      <c r="M53" s="109">
        <v>3.5</v>
      </c>
      <c r="N53" s="125"/>
    </row>
    <row r="54" spans="1:14" x14ac:dyDescent="0.35">
      <c r="A54" s="328" t="s">
        <v>854</v>
      </c>
      <c r="B54" s="109" t="s">
        <v>855</v>
      </c>
      <c r="C54" s="126">
        <f>'Results ReCiPe (E) - RD'!H467</f>
        <v>2.3336130001008182</v>
      </c>
      <c r="D54" s="126">
        <f>'Results ReCiPe (E) - RD'!H468</f>
        <v>0.10893344159114481</v>
      </c>
      <c r="E54" s="126">
        <f>'Results ReCiPe (E) - RD'!H469</f>
        <v>3.6930523165351288E-2</v>
      </c>
      <c r="F54" s="126">
        <f>'Results ReCiPe (E) - RD'!H470</f>
        <v>5.4014217469741817E-4</v>
      </c>
      <c r="G54" s="126">
        <f>'Results ReCiPe (E) - RD'!H471</f>
        <v>0.84946841023685182</v>
      </c>
      <c r="H54" s="126">
        <f>'Results ReCiPe (E) - RD'!H472</f>
        <v>8.7749969655497608</v>
      </c>
      <c r="I54" s="126">
        <f>'Results ReCiPe (E) - RD'!H473</f>
        <v>6.9605431078849334</v>
      </c>
      <c r="J54" s="126">
        <f>'Results ReCiPe (E) - RD'!H474</f>
        <v>2.6255774119610105</v>
      </c>
      <c r="K54" s="126">
        <f>'Results ReCiPe (E) - RD'!H475</f>
        <v>0</v>
      </c>
      <c r="L54" s="127">
        <f>'Results ReCiPe (E) - RD'!H476</f>
        <v>21.690603002664567</v>
      </c>
      <c r="M54" s="109">
        <v>2.5</v>
      </c>
      <c r="N54" s="125"/>
    </row>
    <row r="55" spans="1:14" x14ac:dyDescent="0.35">
      <c r="A55" s="328"/>
      <c r="B55" s="109" t="s">
        <v>914</v>
      </c>
      <c r="C55" s="126">
        <f>'Results ReCiPe (E) - RD'!I467</f>
        <v>2.27636576183634</v>
      </c>
      <c r="D55" s="126">
        <f>'Results ReCiPe (E) - RD'!I468</f>
        <v>0.10757851995532861</v>
      </c>
      <c r="E55" s="126">
        <f>'Results ReCiPe (E) - RD'!I469</f>
        <v>3.3459765775170729E-2</v>
      </c>
      <c r="F55" s="126">
        <f>'Results ReCiPe (E) - RD'!I470</f>
        <v>5.1880680171746349E-4</v>
      </c>
      <c r="G55" s="126">
        <f>'Results ReCiPe (E) - RD'!I471</f>
        <v>0.82884353307067216</v>
      </c>
      <c r="H55" s="126">
        <f>'Results ReCiPe (E) - RD'!I472</f>
        <v>8.5473331583172651</v>
      </c>
      <c r="I55" s="126">
        <f>'Results ReCiPe (E) - RD'!I473</f>
        <v>6.8147062633059354</v>
      </c>
      <c r="J55" s="126">
        <f>'Results ReCiPe (E) - RD'!I474</f>
        <v>1.8308153145585815E-2</v>
      </c>
      <c r="K55" s="126">
        <f>'Results ReCiPe (E) - RD'!I475</f>
        <v>0</v>
      </c>
      <c r="L55" s="127">
        <f>'Results ReCiPe (E) - RD'!I476</f>
        <v>18.627113962208011</v>
      </c>
      <c r="M55" s="109">
        <v>1.5</v>
      </c>
      <c r="N55" s="125"/>
    </row>
    <row r="56" spans="1:14" x14ac:dyDescent="0.35">
      <c r="A56" s="328"/>
      <c r="B56" s="109" t="s">
        <v>915</v>
      </c>
      <c r="C56" s="126">
        <f>'Results ReCiPe (E) - RD'!J467</f>
        <v>2.1253860334053551</v>
      </c>
      <c r="D56" s="126">
        <f>'Results ReCiPe (E) - RD'!J468</f>
        <v>0.1038814101950728</v>
      </c>
      <c r="E56" s="126">
        <f>'Results ReCiPe (E) - RD'!J469</f>
        <v>3.1043178960383125E-2</v>
      </c>
      <c r="F56" s="126">
        <f>'Results ReCiPe (E) - RD'!J470</f>
        <v>4.9169034518989601E-4</v>
      </c>
      <c r="G56" s="126">
        <f>'Results ReCiPe (E) - RD'!J471</f>
        <v>0.81220141298461446</v>
      </c>
      <c r="H56" s="126">
        <f>'Results ReCiPe (E) - RD'!J472</f>
        <v>7.8987260007031379</v>
      </c>
      <c r="I56" s="126">
        <f>'Results ReCiPe (E) - RD'!J473</f>
        <v>6.6208669670753917</v>
      </c>
      <c r="J56" s="126">
        <f>'Results ReCiPe (E) - RD'!J474</f>
        <v>1.4042504423184488</v>
      </c>
      <c r="K56" s="126">
        <f>'Results ReCiPe (E) - RD'!J475</f>
        <v>0</v>
      </c>
      <c r="L56" s="127">
        <f>'Results ReCiPe (E) - RD'!J476</f>
        <v>18.996847135987597</v>
      </c>
      <c r="M56" s="109">
        <v>0.5</v>
      </c>
      <c r="N56" s="125"/>
    </row>
    <row r="57" spans="1:14" x14ac:dyDescent="0.35">
      <c r="N57" s="125"/>
    </row>
    <row r="58" spans="1:14" x14ac:dyDescent="0.35">
      <c r="N58" s="125"/>
    </row>
    <row r="59" spans="1:14" x14ac:dyDescent="0.35">
      <c r="A59" s="125"/>
      <c r="B59" s="125"/>
      <c r="C59" s="125"/>
      <c r="D59" s="125"/>
      <c r="E59" s="125"/>
      <c r="F59" s="125"/>
      <c r="G59" s="125"/>
      <c r="H59" s="125"/>
      <c r="I59" s="125"/>
      <c r="J59" s="125"/>
      <c r="K59" s="125"/>
      <c r="L59" s="125"/>
      <c r="M59" s="125"/>
      <c r="N59" s="125"/>
    </row>
    <row r="60" spans="1:14" x14ac:dyDescent="0.35">
      <c r="N60" s="33"/>
    </row>
    <row r="61" spans="1:14" x14ac:dyDescent="0.35">
      <c r="N61" s="33"/>
    </row>
    <row r="62" spans="1:14" x14ac:dyDescent="0.35">
      <c r="N62" s="33"/>
    </row>
    <row r="63" spans="1:14" x14ac:dyDescent="0.35">
      <c r="D63" s="1"/>
      <c r="E63" s="1"/>
      <c r="F63" s="1"/>
      <c r="I63" s="1"/>
      <c r="J63" s="1"/>
      <c r="K63" s="1"/>
      <c r="N63" s="33"/>
    </row>
    <row r="64" spans="1:14" x14ac:dyDescent="0.35">
      <c r="D64" s="1"/>
      <c r="E64" s="1"/>
      <c r="F64" s="1"/>
      <c r="I64" s="1"/>
      <c r="J64" s="1"/>
      <c r="K64" s="1"/>
      <c r="N64" s="33"/>
    </row>
    <row r="65" spans="4:14" x14ac:dyDescent="0.35">
      <c r="D65" s="1"/>
      <c r="E65" s="1"/>
      <c r="F65" s="1"/>
      <c r="I65" s="1"/>
      <c r="J65" s="1"/>
      <c r="K65" s="1"/>
      <c r="N65" s="33"/>
    </row>
    <row r="66" spans="4:14" x14ac:dyDescent="0.35">
      <c r="D66" s="1"/>
      <c r="E66" s="1"/>
      <c r="F66" s="1"/>
      <c r="I66" s="1"/>
      <c r="J66" s="1"/>
      <c r="K66" s="1"/>
      <c r="N66" s="33"/>
    </row>
    <row r="67" spans="4:14" x14ac:dyDescent="0.35">
      <c r="D67" s="1"/>
      <c r="E67" s="1"/>
      <c r="F67" s="1"/>
      <c r="I67" s="1"/>
      <c r="J67" s="1"/>
      <c r="K67" s="1"/>
      <c r="N67" s="33"/>
    </row>
    <row r="68" spans="4:14" x14ac:dyDescent="0.35">
      <c r="D68" s="1"/>
      <c r="E68" s="1"/>
      <c r="F68" s="1"/>
      <c r="I68" s="1"/>
      <c r="J68" s="1"/>
      <c r="K68" s="1"/>
      <c r="N68" s="33"/>
    </row>
    <row r="69" spans="4:14" x14ac:dyDescent="0.35">
      <c r="D69" s="1"/>
      <c r="E69" s="1"/>
      <c r="F69" s="1"/>
      <c r="I69" s="1"/>
      <c r="J69" s="1"/>
      <c r="K69" s="1"/>
      <c r="N69" s="33"/>
    </row>
    <row r="70" spans="4:14" x14ac:dyDescent="0.35">
      <c r="N70" s="33"/>
    </row>
    <row r="71" spans="4:14" x14ac:dyDescent="0.35">
      <c r="N71" s="33"/>
    </row>
    <row r="72" spans="4:14" x14ac:dyDescent="0.35">
      <c r="N72" s="33"/>
    </row>
    <row r="73" spans="4:14" x14ac:dyDescent="0.35">
      <c r="N73" s="33"/>
    </row>
    <row r="74" spans="4:14" x14ac:dyDescent="0.35">
      <c r="N74" s="33"/>
    </row>
    <row r="75" spans="4:14" x14ac:dyDescent="0.35">
      <c r="N75" s="33"/>
    </row>
    <row r="76" spans="4:14" x14ac:dyDescent="0.35">
      <c r="N76" s="33"/>
    </row>
    <row r="77" spans="4:14" x14ac:dyDescent="0.35">
      <c r="N77" s="33"/>
    </row>
    <row r="78" spans="4:14" x14ac:dyDescent="0.35">
      <c r="N78" s="33"/>
    </row>
    <row r="79" spans="4:14" x14ac:dyDescent="0.35">
      <c r="N79" s="33"/>
    </row>
    <row r="80" spans="4:14" x14ac:dyDescent="0.35">
      <c r="N80" s="33"/>
    </row>
    <row r="81" spans="14:14" x14ac:dyDescent="0.35">
      <c r="N81" s="33"/>
    </row>
    <row r="82" spans="14:14" x14ac:dyDescent="0.35">
      <c r="N82" s="33"/>
    </row>
    <row r="83" spans="14:14" x14ac:dyDescent="0.35">
      <c r="N83" s="33"/>
    </row>
    <row r="84" spans="14:14" x14ac:dyDescent="0.35">
      <c r="N84" s="33"/>
    </row>
    <row r="85" spans="14:14" x14ac:dyDescent="0.35">
      <c r="N85" s="33"/>
    </row>
  </sheetData>
  <mergeCells count="13">
    <mergeCell ref="A23:A25"/>
    <mergeCell ref="B2:M2"/>
    <mergeCell ref="A6:A8"/>
    <mergeCell ref="A9:A11"/>
    <mergeCell ref="A12:A14"/>
    <mergeCell ref="A20:A22"/>
    <mergeCell ref="A54:A56"/>
    <mergeCell ref="A26:A28"/>
    <mergeCell ref="A34:A36"/>
    <mergeCell ref="A37:A39"/>
    <mergeCell ref="A40:A42"/>
    <mergeCell ref="A48:A50"/>
    <mergeCell ref="A51:A53"/>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2F5FB-7028-4499-A909-7C86F8B395A8}">
  <sheetPr>
    <tabColor theme="5" tint="-0.499984740745262"/>
  </sheetPr>
  <dimension ref="A1:N85"/>
  <sheetViews>
    <sheetView topLeftCell="A46" zoomScale="70" zoomScaleNormal="50" workbookViewId="0">
      <selection activeCell="Q75" sqref="Q75"/>
    </sheetView>
  </sheetViews>
  <sheetFormatPr defaultRowHeight="14.5" x14ac:dyDescent="0.35"/>
  <cols>
    <col min="1" max="1" width="30.54296875" style="282" bestFit="1" customWidth="1"/>
    <col min="2" max="2" width="35.453125" style="282" bestFit="1" customWidth="1"/>
    <col min="3" max="4" width="12.26953125" style="282" bestFit="1" customWidth="1"/>
    <col min="5" max="5" width="14.453125" style="282" bestFit="1" customWidth="1"/>
    <col min="6" max="6" width="13.54296875" style="282" bestFit="1" customWidth="1"/>
    <col min="7" max="7" width="19.1796875" style="282" bestFit="1" customWidth="1"/>
    <col min="8" max="8" width="19.1796875" style="282" customWidth="1"/>
    <col min="9" max="9" width="14.453125" style="282" bestFit="1" customWidth="1"/>
    <col min="10" max="10" width="13.26953125" style="282" customWidth="1"/>
    <col min="11" max="11" width="12.81640625" style="282" bestFit="1" customWidth="1"/>
    <col min="12" max="12" width="10.81640625" style="282" bestFit="1" customWidth="1"/>
    <col min="13" max="13" width="8.7265625" style="282"/>
    <col min="14" max="14" width="3.26953125" style="282" customWidth="1"/>
    <col min="15" max="16384" width="8.7265625" style="282"/>
  </cols>
  <sheetData>
    <row r="1" spans="1:14" s="138" customFormat="1" ht="21" x14ac:dyDescent="0.5">
      <c r="B1" s="138" t="s">
        <v>495</v>
      </c>
    </row>
    <row r="2" spans="1:14" s="18" customFormat="1" ht="21" x14ac:dyDescent="0.5">
      <c r="B2" s="329" t="s">
        <v>708</v>
      </c>
      <c r="C2" s="329"/>
      <c r="D2" s="329"/>
      <c r="E2" s="329"/>
      <c r="F2" s="329"/>
      <c r="G2" s="329"/>
      <c r="H2" s="329"/>
      <c r="I2" s="329"/>
      <c r="J2" s="329"/>
      <c r="K2" s="329"/>
      <c r="L2" s="329"/>
      <c r="M2" s="329"/>
    </row>
    <row r="3" spans="1:14" s="33" customFormat="1" x14ac:dyDescent="0.35">
      <c r="A3" s="125"/>
      <c r="B3" s="125" t="s">
        <v>496</v>
      </c>
      <c r="C3" s="125"/>
      <c r="D3" s="125"/>
      <c r="E3" s="125"/>
      <c r="F3" s="125"/>
      <c r="G3" s="125"/>
      <c r="H3" s="125"/>
      <c r="I3" s="125"/>
      <c r="J3" s="125"/>
      <c r="K3" s="125"/>
      <c r="L3" s="125"/>
      <c r="M3" s="125"/>
      <c r="N3" s="125"/>
    </row>
    <row r="4" spans="1:14" x14ac:dyDescent="0.35">
      <c r="N4" s="125"/>
    </row>
    <row r="5" spans="1:14" ht="16.5" x14ac:dyDescent="0.45">
      <c r="A5" s="109"/>
      <c r="B5" s="109"/>
      <c r="C5" s="109" t="s">
        <v>117</v>
      </c>
      <c r="D5" s="109" t="s">
        <v>118</v>
      </c>
      <c r="E5" s="109" t="s">
        <v>119</v>
      </c>
      <c r="F5" s="109" t="s">
        <v>120</v>
      </c>
      <c r="G5" s="109" t="s">
        <v>121</v>
      </c>
      <c r="H5" s="109" t="s">
        <v>797</v>
      </c>
      <c r="I5" s="109" t="s">
        <v>122</v>
      </c>
      <c r="J5" s="109" t="s">
        <v>123</v>
      </c>
      <c r="K5" s="109" t="s">
        <v>856</v>
      </c>
      <c r="L5" s="109" t="s">
        <v>46</v>
      </c>
      <c r="M5" s="109"/>
      <c r="N5" s="125"/>
    </row>
    <row r="6" spans="1:14" x14ac:dyDescent="0.35">
      <c r="A6" s="327" t="s">
        <v>853</v>
      </c>
      <c r="B6" s="109" t="s">
        <v>855</v>
      </c>
      <c r="C6" s="126">
        <f>'Results ReCiPe (I) - CC'!B467</f>
        <v>21.648297407610993</v>
      </c>
      <c r="D6" s="126">
        <f>'Results ReCiPe (I) - CC'!B468</f>
        <v>1.1487692132385161</v>
      </c>
      <c r="E6" s="126">
        <f>'Results ReCiPe (I) - CC'!B469</f>
        <v>0.3426742964977646</v>
      </c>
      <c r="F6" s="126">
        <f>'Results ReCiPe (I) - CC'!B470</f>
        <v>9.5622005617439533E-3</v>
      </c>
      <c r="G6" s="126">
        <f>'Results ReCiPe (I) - CC'!B471</f>
        <v>4.9916985219058336</v>
      </c>
      <c r="H6" s="126">
        <f>'Results ReCiPe (I) - CC'!B472</f>
        <v>0</v>
      </c>
      <c r="I6" s="126">
        <f>'Results ReCiPe (I) - CC'!B473</f>
        <v>620.34672931479292</v>
      </c>
      <c r="J6" s="126">
        <f>'Results ReCiPe (I) - CC'!B474</f>
        <v>48.013202454855644</v>
      </c>
      <c r="K6" s="126">
        <f>'Results ReCiPe (I) - CC'!B475</f>
        <v>-1000</v>
      </c>
      <c r="L6" s="127">
        <f>'Results ReCiPe (I) - CC'!B476</f>
        <v>-303.49906659053676</v>
      </c>
      <c r="M6" s="109">
        <v>8.5</v>
      </c>
      <c r="N6" s="125"/>
    </row>
    <row r="7" spans="1:14" x14ac:dyDescent="0.35">
      <c r="A7" s="327"/>
      <c r="B7" s="109" t="s">
        <v>914</v>
      </c>
      <c r="C7" s="126">
        <f>'Results ReCiPe (I) - CC'!C467</f>
        <v>20.397158783337506</v>
      </c>
      <c r="D7" s="126">
        <f>'Results ReCiPe (I) - CC'!C468</f>
        <v>1.07578436114747</v>
      </c>
      <c r="E7" s="126">
        <f>'Results ReCiPe (I) - CC'!C469</f>
        <v>0.29473764507668293</v>
      </c>
      <c r="F7" s="126">
        <f>'Results ReCiPe (I) - CC'!C470</f>
        <v>8.9024847258240628E-3</v>
      </c>
      <c r="G7" s="126">
        <f>'Results ReCiPe (I) - CC'!C471</f>
        <v>4.2449532954219578</v>
      </c>
      <c r="H7" s="126">
        <f>'Results ReCiPe (I) - CC'!C472</f>
        <v>0</v>
      </c>
      <c r="I7" s="126">
        <f>'Results ReCiPe (I) - CC'!C473</f>
        <v>152.91730482015899</v>
      </c>
      <c r="J7" s="126">
        <f>'Results ReCiPe (I) - CC'!C474</f>
        <v>12.681709846519183</v>
      </c>
      <c r="K7" s="126">
        <f>'Results ReCiPe (I) - CC'!C475</f>
        <v>-1000</v>
      </c>
      <c r="L7" s="127">
        <f>'Results ReCiPe (I) - CC'!C476</f>
        <v>-808.37944876361234</v>
      </c>
      <c r="M7" s="109">
        <v>7.5</v>
      </c>
      <c r="N7" s="125"/>
    </row>
    <row r="8" spans="1:14" x14ac:dyDescent="0.35">
      <c r="A8" s="327"/>
      <c r="B8" s="109" t="s">
        <v>915</v>
      </c>
      <c r="C8" s="126">
        <f>'Results ReCiPe (I) - CC'!D467</f>
        <v>16.834902867680867</v>
      </c>
      <c r="D8" s="126">
        <f>'Results ReCiPe (I) - CC'!D468</f>
        <v>0.94528529174609632</v>
      </c>
      <c r="E8" s="126">
        <f>'Results ReCiPe (I) - CC'!D469</f>
        <v>0.26454183462024822</v>
      </c>
      <c r="F8" s="126">
        <f>'Results ReCiPe (I) - CC'!D470</f>
        <v>8.377210918449108E-3</v>
      </c>
      <c r="G8" s="126">
        <f>'Results ReCiPe (I) - CC'!D471</f>
        <v>3.6680844415288685</v>
      </c>
      <c r="H8" s="126">
        <f>'Results ReCiPe (I) - CC'!D472</f>
        <v>0</v>
      </c>
      <c r="I8" s="126">
        <f>'Results ReCiPe (I) - CC'!D473</f>
        <v>20.352401064451549</v>
      </c>
      <c r="J8" s="126">
        <f>'Results ReCiPe (I) - CC'!D474</f>
        <v>2.4911230532034634</v>
      </c>
      <c r="K8" s="126">
        <f>'Results ReCiPe (I) - CC'!D475</f>
        <v>-1000</v>
      </c>
      <c r="L8" s="127">
        <f>'Results ReCiPe (I) - CC'!D476</f>
        <v>-955.43528423585042</v>
      </c>
      <c r="M8" s="109">
        <v>6.5</v>
      </c>
      <c r="N8" s="125"/>
    </row>
    <row r="9" spans="1:14" x14ac:dyDescent="0.35">
      <c r="A9" s="328" t="s">
        <v>852</v>
      </c>
      <c r="B9" s="109" t="s">
        <v>855</v>
      </c>
      <c r="C9" s="126">
        <f>'Results ReCiPe (I) - CC'!E467</f>
        <v>21.648297407610993</v>
      </c>
      <c r="D9" s="126">
        <f>'Results ReCiPe (I) - CC'!E468</f>
        <v>1.1487692132385161</v>
      </c>
      <c r="E9" s="126">
        <f>'Results ReCiPe (I) - CC'!E469</f>
        <v>0.3426742964977646</v>
      </c>
      <c r="F9" s="126">
        <f>'Results ReCiPe (I) - CC'!E470</f>
        <v>9.5622005617439533E-3</v>
      </c>
      <c r="G9" s="126">
        <f>'Results ReCiPe (I) - CC'!E471</f>
        <v>4.9916985219058336</v>
      </c>
      <c r="H9" s="126">
        <f>'Results ReCiPe (I) - CC'!E472</f>
        <v>0</v>
      </c>
      <c r="I9" s="126">
        <f>'Results ReCiPe (I) - CC'!E473</f>
        <v>479.52955576712077</v>
      </c>
      <c r="J9" s="126">
        <f>'Results ReCiPe (I) - CC'!E474</f>
        <v>48.013202454855644</v>
      </c>
      <c r="K9" s="126">
        <f>'Results ReCiPe (I) - CC'!E475</f>
        <v>-1000</v>
      </c>
      <c r="L9" s="127">
        <f>'Results ReCiPe (I) - CC'!E476</f>
        <v>-444.31624013820891</v>
      </c>
      <c r="M9" s="109">
        <v>5.5</v>
      </c>
      <c r="N9" s="125"/>
    </row>
    <row r="10" spans="1:14" x14ac:dyDescent="0.35">
      <c r="A10" s="328"/>
      <c r="B10" s="109" t="s">
        <v>914</v>
      </c>
      <c r="C10" s="126">
        <f>'Results ReCiPe (I) - CC'!F467</f>
        <v>20.397158783337506</v>
      </c>
      <c r="D10" s="126">
        <f>'Results ReCiPe (I) - CC'!F468</f>
        <v>1.07578436114747</v>
      </c>
      <c r="E10" s="126">
        <f>'Results ReCiPe (I) - CC'!F469</f>
        <v>0.29473764507668293</v>
      </c>
      <c r="F10" s="126">
        <f>'Results ReCiPe (I) - CC'!F470</f>
        <v>8.9024847258240628E-3</v>
      </c>
      <c r="G10" s="126">
        <f>'Results ReCiPe (I) - CC'!F471</f>
        <v>4.2449532954219578</v>
      </c>
      <c r="H10" s="126">
        <f>'Results ReCiPe (I) - CC'!F472</f>
        <v>0</v>
      </c>
      <c r="I10" s="126">
        <f>'Results ReCiPe (I) - CC'!F473</f>
        <v>120.76531338893916</v>
      </c>
      <c r="J10" s="126">
        <f>'Results ReCiPe (I) - CC'!F474</f>
        <v>12.681709846519183</v>
      </c>
      <c r="K10" s="126">
        <f>'Results ReCiPe (I) - CC'!F475</f>
        <v>-1000</v>
      </c>
      <c r="L10" s="127">
        <f>'Results ReCiPe (I) - CC'!F476</f>
        <v>-840.53144019483216</v>
      </c>
      <c r="M10" s="109">
        <v>4.5</v>
      </c>
      <c r="N10" s="125"/>
    </row>
    <row r="11" spans="1:14" x14ac:dyDescent="0.35">
      <c r="A11" s="328"/>
      <c r="B11" s="109" t="s">
        <v>915</v>
      </c>
      <c r="C11" s="126">
        <f>'Results ReCiPe (I) - CC'!G467</f>
        <v>16.834902867680867</v>
      </c>
      <c r="D11" s="126">
        <f>'Results ReCiPe (I) - CC'!G468</f>
        <v>0.94528529174609632</v>
      </c>
      <c r="E11" s="126">
        <f>'Results ReCiPe (I) - CC'!G469</f>
        <v>0.26454183462024822</v>
      </c>
      <c r="F11" s="126">
        <f>'Results ReCiPe (I) - CC'!G470</f>
        <v>8.377210918449108E-3</v>
      </c>
      <c r="G11" s="126">
        <f>'Results ReCiPe (I) - CC'!G471</f>
        <v>3.6680844415288685</v>
      </c>
      <c r="H11" s="126">
        <f>'Results ReCiPe (I) - CC'!G472</f>
        <v>0</v>
      </c>
      <c r="I11" s="126">
        <f>'Results ReCiPe (I) - CC'!G473</f>
        <v>18.347470538600451</v>
      </c>
      <c r="J11" s="126">
        <f>'Results ReCiPe (I) - CC'!G474</f>
        <v>2.4911230532034634</v>
      </c>
      <c r="K11" s="126">
        <f>'Results ReCiPe (I) - CC'!G475</f>
        <v>-1000</v>
      </c>
      <c r="L11" s="127">
        <f>'Results ReCiPe (I) - CC'!G476</f>
        <v>-957.44021476170167</v>
      </c>
      <c r="M11" s="109">
        <v>3.5</v>
      </c>
      <c r="N11" s="125"/>
    </row>
    <row r="12" spans="1:14" x14ac:dyDescent="0.35">
      <c r="A12" s="328" t="s">
        <v>854</v>
      </c>
      <c r="B12" s="109" t="s">
        <v>855</v>
      </c>
      <c r="C12" s="126">
        <f>'Results ReCiPe (I) - CC'!H467</f>
        <v>35.571071061253775</v>
      </c>
      <c r="D12" s="126">
        <f>'Results ReCiPe (I) - CC'!H468</f>
        <v>1.1487692132385161</v>
      </c>
      <c r="E12" s="126">
        <f>'Results ReCiPe (I) - CC'!H469</f>
        <v>0.68534859299552919</v>
      </c>
      <c r="F12" s="126">
        <f>'Results ReCiPe (I) - CC'!H470</f>
        <v>9.5622005617439533E-3</v>
      </c>
      <c r="G12" s="126">
        <f>'Results ReCiPe (I) - CC'!H471</f>
        <v>9.9833970438116673</v>
      </c>
      <c r="H12" s="277">
        <f>'Results ReCiPe (I) - CC'!H472</f>
        <v>103.78901288942717</v>
      </c>
      <c r="I12" s="126">
        <f>'Results ReCiPe (I) - CC'!H473</f>
        <v>81.243437969355639</v>
      </c>
      <c r="J12" s="126">
        <f>'Results ReCiPe (I) - CC'!H474</f>
        <v>48.013202454855644</v>
      </c>
      <c r="K12" s="126">
        <f>'Results ReCiPe (I) - CC'!H475</f>
        <v>-1000</v>
      </c>
      <c r="L12" s="127">
        <f>'Results ReCiPe (I) - CC'!H476</f>
        <v>-719.5561985745004</v>
      </c>
      <c r="M12" s="109">
        <v>2.5</v>
      </c>
      <c r="N12" s="125"/>
    </row>
    <row r="13" spans="1:14" x14ac:dyDescent="0.35">
      <c r="A13" s="328"/>
      <c r="B13" s="109" t="s">
        <v>914</v>
      </c>
      <c r="C13" s="126">
        <f>'Results ReCiPe (I) - CC'!I467</f>
        <v>33.094270177989991</v>
      </c>
      <c r="D13" s="126">
        <f>'Results ReCiPe (I) - CC'!I468</f>
        <v>1.07578436114747</v>
      </c>
      <c r="E13" s="126">
        <f>'Results ReCiPe (I) - CC'!I469</f>
        <v>0.58947529015336586</v>
      </c>
      <c r="F13" s="126">
        <f>'Results ReCiPe (I) - CC'!I470</f>
        <v>8.9024847258240628E-3</v>
      </c>
      <c r="G13" s="126">
        <f>'Results ReCiPe (I) - CC'!I471</f>
        <v>8.4899065908439155</v>
      </c>
      <c r="H13" s="277">
        <f>'Results ReCiPe (I) - CC'!I472</f>
        <v>94.926905277603382</v>
      </c>
      <c r="I13" s="126">
        <f>'Results ReCiPe (I) - CC'!I473</f>
        <v>59.563922572709551</v>
      </c>
      <c r="J13" s="126">
        <f>'Results ReCiPe (I) - CC'!I474</f>
        <v>12.681709846519183</v>
      </c>
      <c r="K13" s="126">
        <f>'Results ReCiPe (I) - CC'!I475</f>
        <v>-1000</v>
      </c>
      <c r="L13" s="127">
        <f>'Results ReCiPe (I) - CC'!I476</f>
        <v>-789.56912339830728</v>
      </c>
      <c r="M13" s="109">
        <v>1.5</v>
      </c>
      <c r="N13" s="125"/>
    </row>
    <row r="14" spans="1:14" x14ac:dyDescent="0.35">
      <c r="A14" s="328"/>
      <c r="B14" s="109" t="s">
        <v>915</v>
      </c>
      <c r="C14" s="126">
        <f>'Results ReCiPe (I) - CC'!J467</f>
        <v>26.047464426294315</v>
      </c>
      <c r="D14" s="126">
        <f>'Results ReCiPe (I) - CC'!J468</f>
        <v>0.94528529174609632</v>
      </c>
      <c r="E14" s="126">
        <f>'Results ReCiPe (I) - CC'!J469</f>
        <v>0.52908366924049643</v>
      </c>
      <c r="F14" s="126">
        <f>'Results ReCiPe (I) - CC'!J470</f>
        <v>8.377210918449108E-3</v>
      </c>
      <c r="G14" s="126">
        <f>'Results ReCiPe (I) - CC'!J471</f>
        <v>7.336168883057737</v>
      </c>
      <c r="H14" s="277">
        <f>'Results ReCiPe (I) - CC'!J472</f>
        <v>6.986301369863015</v>
      </c>
      <c r="I14" s="126">
        <f>'Results ReCiPe (I) - CC'!J473</f>
        <v>46.651181660107135</v>
      </c>
      <c r="J14" s="126">
        <f>'Results ReCiPe (I) - CC'!J474</f>
        <v>2.4911230532034634</v>
      </c>
      <c r="K14" s="126">
        <f>'Results ReCiPe (I) - CC'!J475</f>
        <v>-1000</v>
      </c>
      <c r="L14" s="127">
        <f>'Results ReCiPe (I) - CC'!J476</f>
        <v>-909.00501443556914</v>
      </c>
      <c r="M14" s="109">
        <v>0.5</v>
      </c>
      <c r="N14" s="125"/>
    </row>
    <row r="15" spans="1:14" x14ac:dyDescent="0.35">
      <c r="C15" s="1"/>
      <c r="D15" s="1"/>
      <c r="E15" s="1"/>
      <c r="I15" s="1"/>
      <c r="J15" s="1"/>
      <c r="K15" s="1"/>
      <c r="N15" s="125"/>
    </row>
    <row r="16" spans="1:14" x14ac:dyDescent="0.35">
      <c r="D16" s="1"/>
      <c r="E16" s="1"/>
      <c r="F16" s="1"/>
      <c r="I16" s="1"/>
      <c r="J16" s="1"/>
      <c r="K16" s="1"/>
      <c r="N16" s="125"/>
    </row>
    <row r="17" spans="1:14" s="33" customFormat="1" x14ac:dyDescent="0.35">
      <c r="A17" s="125"/>
      <c r="B17" s="125" t="s">
        <v>497</v>
      </c>
      <c r="C17" s="125"/>
      <c r="D17" s="125"/>
      <c r="E17" s="125"/>
      <c r="F17" s="125"/>
      <c r="G17" s="125"/>
      <c r="H17" s="125"/>
      <c r="I17" s="125"/>
      <c r="J17" s="125"/>
      <c r="K17" s="125"/>
      <c r="L17" s="125"/>
      <c r="M17" s="125"/>
      <c r="N17" s="125"/>
    </row>
    <row r="18" spans="1:14" x14ac:dyDescent="0.35">
      <c r="N18" s="125"/>
    </row>
    <row r="19" spans="1:14" ht="16.5" x14ac:dyDescent="0.45">
      <c r="A19" s="109"/>
      <c r="B19" s="109"/>
      <c r="C19" s="109" t="s">
        <v>117</v>
      </c>
      <c r="D19" s="109" t="s">
        <v>118</v>
      </c>
      <c r="E19" s="109" t="s">
        <v>119</v>
      </c>
      <c r="F19" s="109" t="s">
        <v>120</v>
      </c>
      <c r="G19" s="109" t="s">
        <v>121</v>
      </c>
      <c r="H19" s="109" t="s">
        <v>797</v>
      </c>
      <c r="I19" s="109" t="s">
        <v>122</v>
      </c>
      <c r="J19" s="109" t="s">
        <v>123</v>
      </c>
      <c r="K19" s="109" t="s">
        <v>856</v>
      </c>
      <c r="L19" s="109" t="s">
        <v>46</v>
      </c>
      <c r="M19" s="109"/>
      <c r="N19" s="125"/>
    </row>
    <row r="20" spans="1:14" x14ac:dyDescent="0.35">
      <c r="A20" s="327" t="s">
        <v>853</v>
      </c>
      <c r="B20" s="109" t="s">
        <v>855</v>
      </c>
      <c r="C20" s="127">
        <f>'Results ReCiPe (I) - ESD'!B467*10^9</f>
        <v>43.812957792641285</v>
      </c>
      <c r="D20" s="127">
        <f>'Results ReCiPe (I) - ESD'!B468*10^9</f>
        <v>2.2328694640301179</v>
      </c>
      <c r="E20" s="127">
        <f>'Results ReCiPe (I) - ESD'!B469*10^9</f>
        <v>0.49552487485115543</v>
      </c>
      <c r="F20" s="127">
        <f>'Results ReCiPe (I) - ESD'!B470*10^9</f>
        <v>1.5598354448040979E-2</v>
      </c>
      <c r="G20" s="127">
        <f>'Results ReCiPe (I) - ESD'!B471*10^9</f>
        <v>6.7793379736803612</v>
      </c>
      <c r="H20" s="127">
        <f>'Results ReCiPe (I) - ESD'!B472*10^9</f>
        <v>0</v>
      </c>
      <c r="I20" s="127">
        <f>'Results ReCiPe (I) - ESD'!B473*10^9</f>
        <v>1154.9633231724424</v>
      </c>
      <c r="J20" s="127">
        <f>'Results ReCiPe (I) - ESD'!B474*10^9</f>
        <v>98.516709870010587</v>
      </c>
      <c r="K20" s="127">
        <f>'Results ReCiPe (I) - ESD'!B475*10^9</f>
        <v>-532.01450000000034</v>
      </c>
      <c r="L20" s="127">
        <f>'Results ReCiPe (I) - ESD'!B476*10^9</f>
        <v>774.80182150210362</v>
      </c>
      <c r="M20" s="109">
        <v>8.5</v>
      </c>
      <c r="N20" s="125"/>
    </row>
    <row r="21" spans="1:14" x14ac:dyDescent="0.35">
      <c r="A21" s="327"/>
      <c r="B21" s="109" t="s">
        <v>914</v>
      </c>
      <c r="C21" s="127">
        <f>'Results ReCiPe (I) - ESD'!C467*10^9</f>
        <v>41.77423562439332</v>
      </c>
      <c r="D21" s="127">
        <f>'Results ReCiPe (I) - ESD'!C468*10^9</f>
        <v>2.134640684270519</v>
      </c>
      <c r="E21" s="127">
        <f>'Results ReCiPe (I) - ESD'!C469*10^9</f>
        <v>0.4956020537347281</v>
      </c>
      <c r="F21" s="127">
        <f>'Results ReCiPe (I) - ESD'!C470*10^9</f>
        <v>1.5589426826469951E-2</v>
      </c>
      <c r="G21" s="127">
        <f>'Results ReCiPe (I) - ESD'!C471*10^9</f>
        <v>5.807291026588862</v>
      </c>
      <c r="H21" s="127">
        <f>'Results ReCiPe (I) - ESD'!C472*10^9</f>
        <v>0</v>
      </c>
      <c r="I21" s="127">
        <f>'Results ReCiPe (I) - ESD'!C473*10^9</f>
        <v>330.11906104006954</v>
      </c>
      <c r="J21" s="127">
        <f>'Results ReCiPe (I) - ESD'!C474*10^9</f>
        <v>36.284884994475313</v>
      </c>
      <c r="K21" s="127">
        <f>'Results ReCiPe (I) - ESD'!C475*10^9</f>
        <v>-532.01450000000034</v>
      </c>
      <c r="L21" s="127">
        <f>'Results ReCiPe (I) - ESD'!C476*10^9</f>
        <v>-115.38319514964134</v>
      </c>
      <c r="M21" s="109">
        <v>7.5</v>
      </c>
      <c r="N21" s="125"/>
    </row>
    <row r="22" spans="1:14" x14ac:dyDescent="0.35">
      <c r="A22" s="327"/>
      <c r="B22" s="109" t="s">
        <v>915</v>
      </c>
      <c r="C22" s="127">
        <f>'Results ReCiPe (I) - ESD'!D467*10^9</f>
        <v>36.152447217254199</v>
      </c>
      <c r="D22" s="127">
        <f>'Results ReCiPe (I) - ESD'!D468*10^9</f>
        <v>1.9993022840392169</v>
      </c>
      <c r="E22" s="127">
        <f>'Results ReCiPe (I) - ESD'!D469*10^9</f>
        <v>0.52685374557554843</v>
      </c>
      <c r="F22" s="127">
        <f>'Results ReCiPe (I) - ESD'!D470*10^9</f>
        <v>1.6748904685144825E-2</v>
      </c>
      <c r="G22" s="127">
        <f>'Results ReCiPe (I) - ESD'!D471*10^9</f>
        <v>5.3243205029919389</v>
      </c>
      <c r="H22" s="127">
        <f>'Results ReCiPe (I) - ESD'!D472*10^9</f>
        <v>0</v>
      </c>
      <c r="I22" s="127">
        <f>'Results ReCiPe (I) - ESD'!D473*10^9</f>
        <v>238.91879287545524</v>
      </c>
      <c r="J22" s="127">
        <f>'Results ReCiPe (I) - ESD'!D474*10^9</f>
        <v>29.186540527348029</v>
      </c>
      <c r="K22" s="127">
        <f>'Results ReCiPe (I) - ESD'!D475*10^9</f>
        <v>-532.01450000000034</v>
      </c>
      <c r="L22" s="127">
        <f>'Results ReCiPe (I) - ESD'!D476*10^9</f>
        <v>-219.88949394265074</v>
      </c>
      <c r="M22" s="109">
        <v>6.5</v>
      </c>
      <c r="N22" s="125"/>
    </row>
    <row r="23" spans="1:14" x14ac:dyDescent="0.35">
      <c r="A23" s="328" t="s">
        <v>852</v>
      </c>
      <c r="B23" s="109" t="s">
        <v>855</v>
      </c>
      <c r="C23" s="127">
        <f>'Results ReCiPe (I) - ESD'!E467*10^9</f>
        <v>43.812957792641285</v>
      </c>
      <c r="D23" s="127">
        <f>'Results ReCiPe (I) - ESD'!E468*10^9</f>
        <v>2.2328694640301179</v>
      </c>
      <c r="E23" s="127">
        <f>'Results ReCiPe (I) - ESD'!E469*10^9</f>
        <v>0.49552487485115543</v>
      </c>
      <c r="F23" s="127">
        <f>'Results ReCiPe (I) - ESD'!E470*10^9</f>
        <v>1.5598354448040979E-2</v>
      </c>
      <c r="G23" s="127">
        <f>'Results ReCiPe (I) - ESD'!E471*10^9</f>
        <v>6.7793379736803612</v>
      </c>
      <c r="H23" s="127">
        <f>'Results ReCiPe (I) - ESD'!E472*10^9</f>
        <v>0</v>
      </c>
      <c r="I23" s="127">
        <f>'Results ReCiPe (I) - ESD'!E473*10^9</f>
        <v>912.44181982257294</v>
      </c>
      <c r="J23" s="127">
        <f>'Results ReCiPe (I) - ESD'!E474*10^9</f>
        <v>0.2265884327010243</v>
      </c>
      <c r="K23" s="127">
        <f>'Results ReCiPe (I) - ESD'!E475*10^9</f>
        <v>-532.01450000000034</v>
      </c>
      <c r="L23" s="127">
        <f>'Results ReCiPe (I) - ESD'!E476*10^9</f>
        <v>433.99019671492505</v>
      </c>
      <c r="M23" s="109">
        <v>5.5</v>
      </c>
      <c r="N23" s="125"/>
    </row>
    <row r="24" spans="1:14" x14ac:dyDescent="0.35">
      <c r="A24" s="328"/>
      <c r="B24" s="109" t="s">
        <v>914</v>
      </c>
      <c r="C24" s="127">
        <f>'Results ReCiPe (I) - ESD'!F467*10^9</f>
        <v>41.77423562439332</v>
      </c>
      <c r="D24" s="127">
        <f>'Results ReCiPe (I) - ESD'!F468*10^9</f>
        <v>2.134640684270519</v>
      </c>
      <c r="E24" s="127">
        <f>'Results ReCiPe (I) - ESD'!F469*10^9</f>
        <v>0.4956020537347281</v>
      </c>
      <c r="F24" s="127">
        <f>'Results ReCiPe (I) - ESD'!F470*10^9</f>
        <v>1.5589426826469951E-2</v>
      </c>
      <c r="G24" s="127">
        <f>'Results ReCiPe (I) - ESD'!F471*10^9</f>
        <v>5.807291026588862</v>
      </c>
      <c r="H24" s="127">
        <f>'Results ReCiPe (I) - ESD'!F472*10^9</f>
        <v>0</v>
      </c>
      <c r="I24" s="127">
        <f>'Results ReCiPe (I) - ESD'!F473*10^9</f>
        <v>280.15661044715296</v>
      </c>
      <c r="J24" s="127">
        <f>'Results ReCiPe (I) - ESD'!F474*10^9</f>
        <v>8.3455235487293181E-2</v>
      </c>
      <c r="K24" s="127">
        <f>'Results ReCiPe (I) - ESD'!F475*10^9</f>
        <v>-532.01450000000034</v>
      </c>
      <c r="L24" s="127">
        <f>'Results ReCiPe (I) - ESD'!F476*10^9</f>
        <v>-201.54707550154595</v>
      </c>
      <c r="M24" s="109">
        <v>4.5</v>
      </c>
      <c r="N24" s="125"/>
    </row>
    <row r="25" spans="1:14" x14ac:dyDescent="0.35">
      <c r="A25" s="328"/>
      <c r="B25" s="109" t="s">
        <v>915</v>
      </c>
      <c r="C25" s="127">
        <f>'Results ReCiPe (I) - ESD'!G467*10^9</f>
        <v>36.152447217254199</v>
      </c>
      <c r="D25" s="127">
        <f>'Results ReCiPe (I) - ESD'!G468*10^9</f>
        <v>1.9993022840392169</v>
      </c>
      <c r="E25" s="127">
        <f>'Results ReCiPe (I) - ESD'!G469*10^9</f>
        <v>0.52685374557554843</v>
      </c>
      <c r="F25" s="127">
        <f>'Results ReCiPe (I) - ESD'!G470*10^9</f>
        <v>1.6748904685144825E-2</v>
      </c>
      <c r="G25" s="127">
        <f>'Results ReCiPe (I) - ESD'!G471*10^9</f>
        <v>5.3243205029919389</v>
      </c>
      <c r="H25" s="127">
        <f>'Results ReCiPe (I) - ESD'!G472*10^9</f>
        <v>0</v>
      </c>
      <c r="I25" s="127">
        <f>'Results ReCiPe (I) - ESD'!G473*10^9</f>
        <v>210.10770405265143</v>
      </c>
      <c r="J25" s="127">
        <f>'Results ReCiPe (I) - ESD'!G474*10^9</f>
        <v>6.7129043212900474E-2</v>
      </c>
      <c r="K25" s="127">
        <f>'Results ReCiPe (I) - ESD'!G475*10^9</f>
        <v>-532.01450000000034</v>
      </c>
      <c r="L25" s="127">
        <f>'Results ReCiPe (I) - ESD'!G476*10^9</f>
        <v>-277.81999424958963</v>
      </c>
      <c r="M25" s="109">
        <v>3.5</v>
      </c>
      <c r="N25" s="125"/>
    </row>
    <row r="26" spans="1:14" x14ac:dyDescent="0.35">
      <c r="A26" s="328" t="s">
        <v>854</v>
      </c>
      <c r="B26" s="109" t="s">
        <v>855</v>
      </c>
      <c r="C26" s="127">
        <f>'Results ReCiPe (I) - ESD'!H467*10^9</f>
        <v>81.509088285324069</v>
      </c>
      <c r="D26" s="127">
        <f>'Results ReCiPe (I) - ESD'!H468*10^9</f>
        <v>2.2328694640301179</v>
      </c>
      <c r="E26" s="127">
        <f>'Results ReCiPe (I) - ESD'!H469*10^9</f>
        <v>0.99104974970231086</v>
      </c>
      <c r="F26" s="127">
        <f>'Results ReCiPe (I) - ESD'!H470*10^9</f>
        <v>1.5598354448040979E-2</v>
      </c>
      <c r="G26" s="127">
        <f>'Results ReCiPe (I) - ESD'!H471*10^9</f>
        <v>13.558675947360722</v>
      </c>
      <c r="H26" s="127">
        <f>'Results ReCiPe (I) - ESD'!H472*10^9</f>
        <v>582.61150210976382</v>
      </c>
      <c r="I26" s="127">
        <f>'Results ReCiPe (I) - ESD'!H473*10^9</f>
        <v>416.51716547569799</v>
      </c>
      <c r="J26" s="127">
        <f>'Results ReCiPe (I) - ESD'!H474*10^9</f>
        <v>98.516709870010587</v>
      </c>
      <c r="K26" s="127">
        <f>'Results ReCiPe (I) - ESD'!H475*10^9</f>
        <v>-532.01450000000034</v>
      </c>
      <c r="L26" s="127">
        <f>'Results ReCiPe (I) - ESD'!H476*10^9</f>
        <v>663.93815925633749</v>
      </c>
      <c r="M26" s="109">
        <v>2.5</v>
      </c>
      <c r="N26" s="125"/>
    </row>
    <row r="27" spans="1:14" x14ac:dyDescent="0.35">
      <c r="A27" s="328"/>
      <c r="B27" s="109" t="s">
        <v>914</v>
      </c>
      <c r="C27" s="127">
        <f>'Results ReCiPe (I) - ESD'!I467*10^9</f>
        <v>77.468792775947321</v>
      </c>
      <c r="D27" s="127">
        <f>'Results ReCiPe (I) - ESD'!I468*10^9</f>
        <v>2.134640684270519</v>
      </c>
      <c r="E27" s="127">
        <f>'Results ReCiPe (I) - ESD'!I469*10^9</f>
        <v>0.9912041074694562</v>
      </c>
      <c r="F27" s="127">
        <f>'Results ReCiPe (I) - ESD'!I470*10^9</f>
        <v>1.5589426826469951E-2</v>
      </c>
      <c r="G27" s="127">
        <f>'Results ReCiPe (I) - ESD'!I471*10^9</f>
        <v>11.614582053177724</v>
      </c>
      <c r="H27" s="127">
        <f>'Results ReCiPe (I) - ESD'!I472*10^9</f>
        <v>567.92993826575389</v>
      </c>
      <c r="I27" s="127">
        <f>'Results ReCiPe (I) - ESD'!I473*10^9</f>
        <v>389.4571631020483</v>
      </c>
      <c r="J27" s="127">
        <f>'Results ReCiPe (I) - ESD'!I474*10^9</f>
        <v>36.284884994475313</v>
      </c>
      <c r="K27" s="127">
        <f>'Results ReCiPe (I) - ESD'!I475*10^9</f>
        <v>-532.01450000000034</v>
      </c>
      <c r="L27" s="127">
        <f>'Results ReCiPe (I) - ESD'!I476*10^9</f>
        <v>553.88229540996872</v>
      </c>
      <c r="M27" s="109">
        <v>1.5</v>
      </c>
      <c r="N27" s="125"/>
    </row>
    <row r="28" spans="1:14" x14ac:dyDescent="0.35">
      <c r="A28" s="328"/>
      <c r="B28" s="109" t="s">
        <v>915</v>
      </c>
      <c r="C28" s="127">
        <f>'Results ReCiPe (I) - ESD'!J467*10^9</f>
        <v>66.328680917544901</v>
      </c>
      <c r="D28" s="127">
        <f>'Results ReCiPe (I) - ESD'!J468*10^9</f>
        <v>1.9993022840392169</v>
      </c>
      <c r="E28" s="127">
        <f>'Results ReCiPe (I) - ESD'!J469*10^9</f>
        <v>1.0537074911510969</v>
      </c>
      <c r="F28" s="127">
        <f>'Results ReCiPe (I) - ESD'!J470*10^9</f>
        <v>1.6748904685144825E-2</v>
      </c>
      <c r="G28" s="127">
        <f>'Results ReCiPe (I) - ESD'!J471*10^9</f>
        <v>10.648641005983878</v>
      </c>
      <c r="H28" s="127">
        <f>'Results ReCiPe (I) - ESD'!J472*10^9</f>
        <v>518.29191677815152</v>
      </c>
      <c r="I28" s="127">
        <f>'Results ReCiPe (I) - ESD'!J473*10^9</f>
        <v>380.86000770104482</v>
      </c>
      <c r="J28" s="127">
        <f>'Results ReCiPe (I) - ESD'!J474*10^9</f>
        <v>29.186540527348029</v>
      </c>
      <c r="K28" s="127">
        <f>'Results ReCiPe (I) - ESD'!J475*10^9</f>
        <v>-532.01450000000034</v>
      </c>
      <c r="L28" s="127">
        <f>'Results ReCiPe (I) - ESD'!J476*10^9</f>
        <v>476.37104560994874</v>
      </c>
      <c r="M28" s="109">
        <v>0.5</v>
      </c>
      <c r="N28" s="125"/>
    </row>
    <row r="29" spans="1:14" x14ac:dyDescent="0.35">
      <c r="N29" s="125"/>
    </row>
    <row r="30" spans="1:14" x14ac:dyDescent="0.35">
      <c r="N30" s="125"/>
    </row>
    <row r="31" spans="1:14" s="33" customFormat="1" x14ac:dyDescent="0.35">
      <c r="A31" s="125"/>
      <c r="B31" s="125" t="s">
        <v>498</v>
      </c>
      <c r="C31" s="125"/>
      <c r="D31" s="125"/>
      <c r="E31" s="125"/>
      <c r="F31" s="125"/>
      <c r="G31" s="125"/>
      <c r="H31" s="125"/>
      <c r="I31" s="125"/>
      <c r="J31" s="125"/>
      <c r="K31" s="125"/>
      <c r="L31" s="125"/>
      <c r="M31" s="125"/>
      <c r="N31" s="125"/>
    </row>
    <row r="32" spans="1:14" x14ac:dyDescent="0.35">
      <c r="N32" s="125"/>
    </row>
    <row r="33" spans="1:14" ht="16.5" x14ac:dyDescent="0.45">
      <c r="A33" s="109"/>
      <c r="B33" s="109"/>
      <c r="C33" s="109" t="s">
        <v>117</v>
      </c>
      <c r="D33" s="109" t="s">
        <v>118</v>
      </c>
      <c r="E33" s="109" t="s">
        <v>119</v>
      </c>
      <c r="F33" s="109" t="s">
        <v>120</v>
      </c>
      <c r="G33" s="109" t="s">
        <v>121</v>
      </c>
      <c r="H33" s="109" t="s">
        <v>797</v>
      </c>
      <c r="I33" s="109" t="s">
        <v>122</v>
      </c>
      <c r="J33" s="109" t="s">
        <v>123</v>
      </c>
      <c r="K33" s="109" t="s">
        <v>856</v>
      </c>
      <c r="L33" s="109" t="s">
        <v>46</v>
      </c>
      <c r="M33" s="109"/>
      <c r="N33" s="125"/>
    </row>
    <row r="34" spans="1:14" x14ac:dyDescent="0.35">
      <c r="A34" s="327" t="s">
        <v>853</v>
      </c>
      <c r="B34" s="109" t="s">
        <v>855</v>
      </c>
      <c r="C34" s="127">
        <f>'Results ReCiPe (I) - HHD'!B467*10^6</f>
        <v>7.1191274683244021</v>
      </c>
      <c r="D34" s="127">
        <f>'Results ReCiPe (I) - HHD'!B468*10^6</f>
        <v>0.42282716610996196</v>
      </c>
      <c r="E34" s="127">
        <f>'Results ReCiPe (I) - HHD'!B469*10^6</f>
        <v>6.0339697447134265E-2</v>
      </c>
      <c r="F34" s="127">
        <f>'Results ReCiPe (I) - HHD'!B470*10^6</f>
        <v>2.0675384522667239E-3</v>
      </c>
      <c r="G34" s="127">
        <f>'Results ReCiPe (I) - HHD'!B471*10^6</f>
        <v>1.0858026612057008</v>
      </c>
      <c r="H34" s="127">
        <f>'Results ReCiPe (I) - HHD'!B472*10^6</f>
        <v>0</v>
      </c>
      <c r="I34" s="127">
        <f>'Results ReCiPe (I) - HHD'!B473*10^6</f>
        <v>100.03528147641921</v>
      </c>
      <c r="J34" s="127">
        <f>'Results ReCiPe (I) - HHD'!B474*10^6</f>
        <v>8.2232134487580844</v>
      </c>
      <c r="K34" s="127">
        <f>'Results ReCiPe (I) - HHD'!B475*10^6</f>
        <v>-81.19999999999996</v>
      </c>
      <c r="L34" s="127">
        <f>'Results ReCiPe (I) - HHD'!B476*10^6</f>
        <v>35.748659456716773</v>
      </c>
      <c r="M34" s="278">
        <v>8.5</v>
      </c>
      <c r="N34" s="125"/>
    </row>
    <row r="35" spans="1:14" x14ac:dyDescent="0.35">
      <c r="A35" s="327"/>
      <c r="B35" s="109" t="s">
        <v>914</v>
      </c>
      <c r="C35" s="127">
        <f>'Results ReCiPe (I) - HHD'!C467*10^6</f>
        <v>6.7981413280216296</v>
      </c>
      <c r="D35" s="127">
        <f>'Results ReCiPe (I) - HHD'!C468*10^6</f>
        <v>0.39908445143758253</v>
      </c>
      <c r="E35" s="127">
        <f>'Results ReCiPe (I) - HHD'!C469*10^6</f>
        <v>5.529180640693792E-2</v>
      </c>
      <c r="F35" s="127">
        <f>'Results ReCiPe (I) - HHD'!C470*10^6</f>
        <v>1.9884022504237544E-3</v>
      </c>
      <c r="G35" s="127">
        <f>'Results ReCiPe (I) - HHD'!C471*10^6</f>
        <v>0.96354760218112512</v>
      </c>
      <c r="H35" s="127">
        <f>'Results ReCiPe (I) - HHD'!C472*10^6</f>
        <v>0</v>
      </c>
      <c r="I35" s="127">
        <f>'Results ReCiPe (I) - HHD'!C473*10^6</f>
        <v>53.080008252036869</v>
      </c>
      <c r="J35" s="127">
        <f>'Results ReCiPe (I) - HHD'!C474*10^6</f>
        <v>4.6517640237957156</v>
      </c>
      <c r="K35" s="127">
        <f>'Results ReCiPe (I) - HHD'!C475*10^6</f>
        <v>-81.19999999999996</v>
      </c>
      <c r="L35" s="127">
        <f>'Results ReCiPe (I) - HHD'!C476*10^6</f>
        <v>-15.250174133869701</v>
      </c>
      <c r="M35" s="109">
        <v>7.5</v>
      </c>
      <c r="N35" s="125"/>
    </row>
    <row r="36" spans="1:14" x14ac:dyDescent="0.35">
      <c r="A36" s="327"/>
      <c r="B36" s="109" t="s">
        <v>915</v>
      </c>
      <c r="C36" s="127">
        <f>'Results ReCiPe (I) - HHD'!D467*10^6</f>
        <v>6.1425146440572762</v>
      </c>
      <c r="D36" s="127">
        <f>'Results ReCiPe (I) - HHD'!D468*10^6</f>
        <v>0.3748519928927736</v>
      </c>
      <c r="E36" s="127">
        <f>'Results ReCiPe (I) - HHD'!D469*10^6</f>
        <v>5.2844270496462203E-2</v>
      </c>
      <c r="F36" s="127">
        <f>'Results ReCiPe (I) - HHD'!D470*10^6</f>
        <v>1.9465068158079437E-3</v>
      </c>
      <c r="G36" s="127">
        <f>'Results ReCiPe (I) - HHD'!D471*10^6</f>
        <v>0.86365706419980692</v>
      </c>
      <c r="H36" s="127">
        <f>'Results ReCiPe (I) - HHD'!D472*10^6</f>
        <v>0</v>
      </c>
      <c r="I36" s="127">
        <f>'Results ReCiPe (I) - HHD'!D473*10^6</f>
        <v>45.807806637409527</v>
      </c>
      <c r="J36" s="127">
        <f>'Results ReCiPe (I) - HHD'!D474*10^6</f>
        <v>3.7735793782251146</v>
      </c>
      <c r="K36" s="127">
        <f>'Results ReCiPe (I) - HHD'!D475*10^6</f>
        <v>-81.19999999999996</v>
      </c>
      <c r="L36" s="127">
        <f>'Results ReCiPe (I) - HHD'!D476*10^6</f>
        <v>-24.182799505903219</v>
      </c>
      <c r="M36" s="109">
        <v>6.5</v>
      </c>
      <c r="N36" s="125"/>
    </row>
    <row r="37" spans="1:14" x14ac:dyDescent="0.35">
      <c r="A37" s="328" t="s">
        <v>852</v>
      </c>
      <c r="B37" s="109" t="s">
        <v>855</v>
      </c>
      <c r="C37" s="127">
        <f>'Results ReCiPe (I) - HHD'!E467*10^6</f>
        <v>7.1191274683244021</v>
      </c>
      <c r="D37" s="127">
        <f>'Results ReCiPe (I) - HHD'!E468*10^6</f>
        <v>0.42282716610996196</v>
      </c>
      <c r="E37" s="127">
        <f>'Results ReCiPe (I) - HHD'!E469*10^6</f>
        <v>6.0339697447134265E-2</v>
      </c>
      <c r="F37" s="127">
        <f>'Results ReCiPe (I) - HHD'!E470*10^6</f>
        <v>2.0675384522667239E-3</v>
      </c>
      <c r="G37" s="127">
        <f>'Results ReCiPe (I) - HHD'!E471*10^6</f>
        <v>1.0858026612057008</v>
      </c>
      <c r="H37" s="127">
        <f>'Results ReCiPe (I) - HHD'!E472*10^6</f>
        <v>0</v>
      </c>
      <c r="I37" s="127">
        <f>'Results ReCiPe (I) - HHD'!E473*10^6</f>
        <v>79.956696319389067</v>
      </c>
      <c r="J37" s="127">
        <f>'Results ReCiPe (I) - HHD'!E474*10^6</f>
        <v>8.2232134487580844</v>
      </c>
      <c r="K37" s="127">
        <f>'Results ReCiPe (I) - HHD'!E475*10^6</f>
        <v>-81.19999999999996</v>
      </c>
      <c r="L37" s="127">
        <f>'Results ReCiPe (I) - HHD'!E476*10^6</f>
        <v>15.670074299686643</v>
      </c>
      <c r="M37" s="109">
        <v>5.5</v>
      </c>
      <c r="N37" s="125"/>
    </row>
    <row r="38" spans="1:14" x14ac:dyDescent="0.35">
      <c r="A38" s="328"/>
      <c r="B38" s="109" t="s">
        <v>914</v>
      </c>
      <c r="C38" s="127">
        <f>'Results ReCiPe (I) - HHD'!F467*10^6</f>
        <v>6.7981413280216296</v>
      </c>
      <c r="D38" s="127">
        <f>'Results ReCiPe (I) - HHD'!F468*10^6</f>
        <v>0.39908445143758253</v>
      </c>
      <c r="E38" s="127">
        <f>'Results ReCiPe (I) - HHD'!F469*10^6</f>
        <v>5.529180640693792E-2</v>
      </c>
      <c r="F38" s="127">
        <f>'Results ReCiPe (I) - HHD'!F470*10^6</f>
        <v>1.9884022504237544E-3</v>
      </c>
      <c r="G38" s="127">
        <f>'Results ReCiPe (I) - HHD'!F471*10^6</f>
        <v>0.96354760218112512</v>
      </c>
      <c r="H38" s="127">
        <f>'Results ReCiPe (I) - HHD'!F472*10^6</f>
        <v>0</v>
      </c>
      <c r="I38" s="127">
        <f>'Results ReCiPe (I) - HHD'!F473*10^6</f>
        <v>43.785044384578221</v>
      </c>
      <c r="J38" s="127">
        <f>'Results ReCiPe (I) - HHD'!F474*10^6</f>
        <v>4.6517640237957156</v>
      </c>
      <c r="K38" s="127">
        <f>'Results ReCiPe (I) - HHD'!F475*10^6</f>
        <v>-81.19999999999996</v>
      </c>
      <c r="L38" s="127">
        <f>'Results ReCiPe (I) - HHD'!F476*10^6</f>
        <v>-24.545138001328347</v>
      </c>
      <c r="M38" s="109">
        <v>4.5</v>
      </c>
      <c r="N38" s="125"/>
    </row>
    <row r="39" spans="1:14" x14ac:dyDescent="0.35">
      <c r="A39" s="328"/>
      <c r="B39" s="109" t="s">
        <v>915</v>
      </c>
      <c r="C39" s="127">
        <f>'Results ReCiPe (I) - HHD'!G467*10^6</f>
        <v>6.1425146440572762</v>
      </c>
      <c r="D39" s="127">
        <f>'Results ReCiPe (I) - HHD'!G468*10^6</f>
        <v>0.3748519928927736</v>
      </c>
      <c r="E39" s="127">
        <f>'Results ReCiPe (I) - HHD'!G469*10^6</f>
        <v>5.2844270496462203E-2</v>
      </c>
      <c r="F39" s="127">
        <f>'Results ReCiPe (I) - HHD'!G470*10^6</f>
        <v>1.9465068158079437E-3</v>
      </c>
      <c r="G39" s="127">
        <f>'Results ReCiPe (I) - HHD'!G471*10^6</f>
        <v>0.86365706419980692</v>
      </c>
      <c r="H39" s="127">
        <f>'Results ReCiPe (I) - HHD'!G472*10^6</f>
        <v>0</v>
      </c>
      <c r="I39" s="127">
        <f>'Results ReCiPe (I) - HHD'!G473*10^6</f>
        <v>35.142457001867193</v>
      </c>
      <c r="J39" s="127">
        <f>'Results ReCiPe (I) - HHD'!G474*10^6</f>
        <v>3.7735793782251146</v>
      </c>
      <c r="K39" s="127">
        <f>'Results ReCiPe (I) - HHD'!G475*10^6</f>
        <v>-81.19999999999996</v>
      </c>
      <c r="L39" s="127">
        <f>'Results ReCiPe (I) - HHD'!G476*10^6</f>
        <v>-34.848149141445539</v>
      </c>
      <c r="M39" s="109">
        <v>3.5</v>
      </c>
      <c r="N39" s="125"/>
    </row>
    <row r="40" spans="1:14" x14ac:dyDescent="0.35">
      <c r="A40" s="328" t="s">
        <v>854</v>
      </c>
      <c r="B40" s="109" t="s">
        <v>855</v>
      </c>
      <c r="C40" s="127">
        <f>'Results ReCiPe (I) - HHD'!H467*10^6</f>
        <v>13.453905091956926</v>
      </c>
      <c r="D40" s="127">
        <f>'Results ReCiPe (I) - HHD'!H468*10^6</f>
        <v>0.42282716610996196</v>
      </c>
      <c r="E40" s="127">
        <f>'Results ReCiPe (I) - HHD'!H469*10^6</f>
        <v>0.12067939489426853</v>
      </c>
      <c r="F40" s="127">
        <f>'Results ReCiPe (I) - HHD'!H470*10^6</f>
        <v>2.0675384522667239E-3</v>
      </c>
      <c r="G40" s="127">
        <f>'Results ReCiPe (I) - HHD'!H471*10^6</f>
        <v>2.1716053224114016</v>
      </c>
      <c r="H40" s="127">
        <f>'Results ReCiPe (I) - HHD'!H472*10^6</f>
        <v>47.321270741391281</v>
      </c>
      <c r="I40" s="127">
        <f>'Results ReCiPe (I) - HHD'!H473*10^6</f>
        <v>41.76338870069273</v>
      </c>
      <c r="J40" s="127">
        <f>'Results ReCiPe (I) - HHD'!H474*10^6</f>
        <v>8.2232134487580844</v>
      </c>
      <c r="K40" s="127">
        <f>'Results ReCiPe (I) - HHD'!H475*10^6</f>
        <v>-81.19999999999996</v>
      </c>
      <c r="L40" s="127">
        <f>'Results ReCiPe (I) - HHD'!H476*10^6</f>
        <v>32.278957404666947</v>
      </c>
      <c r="M40" s="109">
        <v>2.5</v>
      </c>
      <c r="N40" s="125"/>
    </row>
    <row r="41" spans="1:14" x14ac:dyDescent="0.35">
      <c r="A41" s="328"/>
      <c r="B41" s="109" t="s">
        <v>914</v>
      </c>
      <c r="C41" s="127">
        <f>'Results ReCiPe (I) - HHD'!I467*10^6</f>
        <v>12.818215757321449</v>
      </c>
      <c r="D41" s="127">
        <f>'Results ReCiPe (I) - HHD'!I468*10^6</f>
        <v>0.39908445143758253</v>
      </c>
      <c r="E41" s="127">
        <f>'Results ReCiPe (I) - HHD'!I469*10^6</f>
        <v>0.11058361281387584</v>
      </c>
      <c r="F41" s="127">
        <f>'Results ReCiPe (I) - HHD'!I470*10^6</f>
        <v>1.9884022504237544E-3</v>
      </c>
      <c r="G41" s="127">
        <f>'Results ReCiPe (I) - HHD'!I471*10^6</f>
        <v>1.9270952043622502</v>
      </c>
      <c r="H41" s="127">
        <f>'Results ReCiPe (I) - HHD'!I472*10^6</f>
        <v>45.683801208439007</v>
      </c>
      <c r="I41" s="127">
        <f>'Results ReCiPe (I) - HHD'!I473*10^6</f>
        <v>38.269296201749938</v>
      </c>
      <c r="J41" s="127">
        <f>'Results ReCiPe (I) - HHD'!I474*10^6</f>
        <v>4.6517640237957156</v>
      </c>
      <c r="K41" s="127">
        <f>'Results ReCiPe (I) - HHD'!I475*10^6</f>
        <v>-81.19999999999996</v>
      </c>
      <c r="L41" s="127">
        <f>'Results ReCiPe (I) - HHD'!I476*10^6</f>
        <v>22.661828862170232</v>
      </c>
      <c r="M41" s="109">
        <v>1.5</v>
      </c>
      <c r="N41" s="125"/>
    </row>
    <row r="42" spans="1:14" x14ac:dyDescent="0.35">
      <c r="A42" s="328"/>
      <c r="B42" s="109" t="s">
        <v>915</v>
      </c>
      <c r="C42" s="127">
        <f>'Results ReCiPe (I) - HHD'!J467*10^6</f>
        <v>11.522065211437216</v>
      </c>
      <c r="D42" s="127">
        <f>'Results ReCiPe (I) - HHD'!J468*10^6</f>
        <v>0.3748519928927736</v>
      </c>
      <c r="E42" s="127">
        <f>'Results ReCiPe (I) - HHD'!J469*10^6</f>
        <v>0.10568854099292441</v>
      </c>
      <c r="F42" s="127">
        <f>'Results ReCiPe (I) - HHD'!J470*10^6</f>
        <v>1.9465068158079437E-3</v>
      </c>
      <c r="G42" s="127">
        <f>'Results ReCiPe (I) - HHD'!J471*10^6</f>
        <v>1.7273141283996138</v>
      </c>
      <c r="H42" s="127">
        <f>'Results ReCiPe (I) - HHD'!J472*10^6</f>
        <v>40.174640545143113</v>
      </c>
      <c r="I42" s="127">
        <f>'Results ReCiPe (I) - HHD'!J473*10^6</f>
        <v>36.105740242390794</v>
      </c>
      <c r="J42" s="127">
        <f>'Results ReCiPe (I) - HHD'!J474*10^6</f>
        <v>3.7735793782251146</v>
      </c>
      <c r="K42" s="127">
        <f>'Results ReCiPe (I) - HHD'!J475*10^6</f>
        <v>-81.19999999999996</v>
      </c>
      <c r="L42" s="127">
        <f>'Results ReCiPe (I) - HHD'!J476*10^6</f>
        <v>12.585826546297394</v>
      </c>
      <c r="M42" s="109">
        <v>0.5</v>
      </c>
      <c r="N42" s="125"/>
    </row>
    <row r="43" spans="1:14" x14ac:dyDescent="0.35">
      <c r="C43" s="6"/>
      <c r="D43" s="6"/>
      <c r="E43" s="6"/>
      <c r="F43" s="6"/>
      <c r="G43" s="6"/>
      <c r="H43" s="6"/>
      <c r="I43" s="6"/>
      <c r="J43" s="6"/>
      <c r="K43" s="7"/>
      <c r="L43" s="6"/>
      <c r="N43" s="125"/>
    </row>
    <row r="44" spans="1:14" ht="17.5" customHeight="1" x14ac:dyDescent="0.35">
      <c r="N44" s="125"/>
    </row>
    <row r="45" spans="1:14" s="33" customFormat="1" x14ac:dyDescent="0.35">
      <c r="A45" s="125"/>
      <c r="B45" s="125" t="s">
        <v>802</v>
      </c>
      <c r="C45" s="125"/>
      <c r="D45" s="125"/>
      <c r="E45" s="125"/>
      <c r="F45" s="125"/>
      <c r="G45" s="125"/>
      <c r="H45" s="125"/>
      <c r="I45" s="125"/>
      <c r="J45" s="125"/>
      <c r="K45" s="125"/>
      <c r="L45" s="125"/>
      <c r="M45" s="125"/>
      <c r="N45" s="125"/>
    </row>
    <row r="46" spans="1:14" x14ac:dyDescent="0.35">
      <c r="N46" s="125"/>
    </row>
    <row r="47" spans="1:14" ht="16.5" x14ac:dyDescent="0.45">
      <c r="A47" s="109"/>
      <c r="B47" s="109"/>
      <c r="C47" s="109" t="s">
        <v>117</v>
      </c>
      <c r="D47" s="109" t="s">
        <v>118</v>
      </c>
      <c r="E47" s="109" t="s">
        <v>119</v>
      </c>
      <c r="F47" s="109" t="s">
        <v>120</v>
      </c>
      <c r="G47" s="109" t="s">
        <v>121</v>
      </c>
      <c r="H47" s="109" t="s">
        <v>797</v>
      </c>
      <c r="I47" s="109" t="s">
        <v>122</v>
      </c>
      <c r="J47" s="109" t="s">
        <v>123</v>
      </c>
      <c r="K47" s="109" t="s">
        <v>856</v>
      </c>
      <c r="L47" s="109" t="s">
        <v>46</v>
      </c>
      <c r="M47" s="109"/>
      <c r="N47" s="125"/>
    </row>
    <row r="48" spans="1:14" x14ac:dyDescent="0.35">
      <c r="A48" s="327" t="s">
        <v>853</v>
      </c>
      <c r="B48" s="109" t="s">
        <v>855</v>
      </c>
      <c r="C48" s="126">
        <f>'Results ReCiPe (I) - RD'!B467</f>
        <v>1.1515967230185089</v>
      </c>
      <c r="D48" s="126">
        <f>'Results ReCiPe (I) - RD'!B468</f>
        <v>0.1082252777454608</v>
      </c>
      <c r="E48" s="126">
        <f>'Results ReCiPe (I) - RD'!B469</f>
        <v>1.8266882554067047E-2</v>
      </c>
      <c r="F48" s="126">
        <f>'Results ReCiPe (I) - RD'!B470</f>
        <v>5.3707764367879154E-4</v>
      </c>
      <c r="G48" s="126">
        <f>'Results ReCiPe (I) - RD'!B471</f>
        <v>0.4194979940095252</v>
      </c>
      <c r="H48" s="126">
        <f>'Results ReCiPe (I) - RD'!B472</f>
        <v>0</v>
      </c>
      <c r="I48" s="126">
        <f>'Results ReCiPe (I) - RD'!B473</f>
        <v>26.564804933804421</v>
      </c>
      <c r="J48" s="126">
        <f>'Results ReCiPe (I) - RD'!B474</f>
        <v>2.0721250305297017</v>
      </c>
      <c r="K48" s="126">
        <f>'Results ReCiPe (I) - RD'!B475</f>
        <v>0</v>
      </c>
      <c r="L48" s="127">
        <f>'Results ReCiPe (I) - RD'!B476</f>
        <v>30.33505391930537</v>
      </c>
      <c r="M48" s="278">
        <v>8.5</v>
      </c>
      <c r="N48" s="125"/>
    </row>
    <row r="49" spans="1:14" x14ac:dyDescent="0.35">
      <c r="A49" s="327"/>
      <c r="B49" s="109" t="s">
        <v>914</v>
      </c>
      <c r="C49" s="126">
        <f>'Results ReCiPe (I) - RD'!C467</f>
        <v>1.1293942525793919</v>
      </c>
      <c r="D49" s="126">
        <f>'Results ReCiPe (I) - RD'!C468</f>
        <v>0.1071396242643588</v>
      </c>
      <c r="E49" s="126">
        <f>'Results ReCiPe (I) - RD'!C469</f>
        <v>1.6728017233718095E-2</v>
      </c>
      <c r="F49" s="126">
        <f>'Results ReCiPe (I) - RD'!C470</f>
        <v>5.1850403211101896E-4</v>
      </c>
      <c r="G49" s="126">
        <f>'Results ReCiPe (I) - RD'!C471</f>
        <v>0.41274687986951375</v>
      </c>
      <c r="H49" s="126">
        <f>'Results ReCiPe (I) - RD'!C472</f>
        <v>0</v>
      </c>
      <c r="I49" s="126">
        <f>'Results ReCiPe (I) - RD'!C473</f>
        <v>22.655669616321781</v>
      </c>
      <c r="J49" s="126">
        <f>'Results ReCiPe (I) - RD'!C474</f>
        <v>1.777667826511468</v>
      </c>
      <c r="K49" s="126">
        <f>'Results ReCiPe (I) - RD'!C475</f>
        <v>0</v>
      </c>
      <c r="L49" s="127">
        <f>'Results ReCiPe (I) - RD'!C476</f>
        <v>26.099864720812338</v>
      </c>
      <c r="M49" s="109">
        <v>7.5</v>
      </c>
      <c r="N49" s="125"/>
    </row>
    <row r="50" spans="1:14" x14ac:dyDescent="0.35">
      <c r="A50" s="327"/>
      <c r="B50" s="109" t="s">
        <v>915</v>
      </c>
      <c r="C50" s="126">
        <f>'Results ReCiPe (I) - RD'!D467</f>
        <v>1.0671055282471247</v>
      </c>
      <c r="D50" s="126">
        <f>'Results ReCiPe (I) - RD'!D468</f>
        <v>0.10391519072351391</v>
      </c>
      <c r="E50" s="126">
        <f>'Results ReCiPe (I) - RD'!D469</f>
        <v>1.5524483210548326E-2</v>
      </c>
      <c r="F50" s="126">
        <f>'Results ReCiPe (I) - RD'!D470</f>
        <v>4.9147263641052515E-4</v>
      </c>
      <c r="G50" s="126">
        <f>'Results ReCiPe (I) - RD'!D471</f>
        <v>0.40500272381770031</v>
      </c>
      <c r="H50" s="126">
        <f>'Results ReCiPe (I) - RD'!D472</f>
        <v>0</v>
      </c>
      <c r="I50" s="126">
        <f>'Results ReCiPe (I) - RD'!D473</f>
        <v>18.903630598836781</v>
      </c>
      <c r="J50" s="126">
        <f>'Results ReCiPe (I) - RD'!D474</f>
        <v>1.3844125603807391</v>
      </c>
      <c r="K50" s="126">
        <f>'Results ReCiPe (I) - RD'!D475</f>
        <v>0</v>
      </c>
      <c r="L50" s="127">
        <f>'Results ReCiPe (I) - RD'!D476</f>
        <v>21.880082557852816</v>
      </c>
      <c r="M50" s="109">
        <v>6.5</v>
      </c>
      <c r="N50" s="125"/>
    </row>
    <row r="51" spans="1:14" x14ac:dyDescent="0.35">
      <c r="A51" s="328" t="s">
        <v>852</v>
      </c>
      <c r="B51" s="109" t="s">
        <v>855</v>
      </c>
      <c r="C51" s="126">
        <f>'Results ReCiPe (I) - RD'!E467</f>
        <v>1.1515967230185089</v>
      </c>
      <c r="D51" s="126">
        <f>'Results ReCiPe (I) - RD'!E468</f>
        <v>0.1082252777454608</v>
      </c>
      <c r="E51" s="126">
        <f>'Results ReCiPe (I) - RD'!E469</f>
        <v>1.8266882554067047E-2</v>
      </c>
      <c r="F51" s="126">
        <f>'Results ReCiPe (I) - RD'!E470</f>
        <v>5.3707764367879154E-4</v>
      </c>
      <c r="G51" s="126">
        <f>'Results ReCiPe (I) - RD'!E471</f>
        <v>0.4194979940095252</v>
      </c>
      <c r="H51" s="126">
        <f>'Results ReCiPe (I) - RD'!E472</f>
        <v>0</v>
      </c>
      <c r="I51" s="126">
        <f>'Results ReCiPe (I) - RD'!E473</f>
        <v>20.911578417720222</v>
      </c>
      <c r="J51" s="126">
        <f>'Results ReCiPe (I) - RD'!E474</f>
        <v>2.0721250305297017</v>
      </c>
      <c r="K51" s="126">
        <f>'Results ReCiPe (I) - RD'!E475</f>
        <v>0</v>
      </c>
      <c r="L51" s="127">
        <f>'Results ReCiPe (I) - RD'!E476</f>
        <v>24.681827403221167</v>
      </c>
      <c r="M51" s="109">
        <v>5.5</v>
      </c>
      <c r="N51" s="125"/>
    </row>
    <row r="52" spans="1:14" x14ac:dyDescent="0.35">
      <c r="A52" s="328"/>
      <c r="B52" s="109" t="s">
        <v>914</v>
      </c>
      <c r="C52" s="126">
        <f>'Results ReCiPe (I) - RD'!F467</f>
        <v>1.1293942525793919</v>
      </c>
      <c r="D52" s="126">
        <f>'Results ReCiPe (I) - RD'!F468</f>
        <v>0.1071396242643588</v>
      </c>
      <c r="E52" s="126">
        <f>'Results ReCiPe (I) - RD'!F469</f>
        <v>1.6728017233718095E-2</v>
      </c>
      <c r="F52" s="126">
        <f>'Results ReCiPe (I) - RD'!F470</f>
        <v>5.1850403211101896E-4</v>
      </c>
      <c r="G52" s="126">
        <f>'Results ReCiPe (I) - RD'!F471</f>
        <v>0.41274687986951375</v>
      </c>
      <c r="H52" s="126">
        <f>'Results ReCiPe (I) - RD'!F472</f>
        <v>0</v>
      </c>
      <c r="I52" s="126">
        <f>'Results ReCiPe (I) - RD'!F473</f>
        <v>17.92634162349545</v>
      </c>
      <c r="J52" s="126">
        <f>'Results ReCiPe (I) - RD'!F474</f>
        <v>1.777667826511468</v>
      </c>
      <c r="K52" s="126">
        <f>'Results ReCiPe (I) - RD'!F475</f>
        <v>0</v>
      </c>
      <c r="L52" s="127">
        <f>'Results ReCiPe (I) - RD'!F476</f>
        <v>21.370536727986011</v>
      </c>
      <c r="M52" s="109">
        <v>4.5</v>
      </c>
      <c r="N52" s="125"/>
    </row>
    <row r="53" spans="1:14" x14ac:dyDescent="0.35">
      <c r="A53" s="328"/>
      <c r="B53" s="109" t="s">
        <v>915</v>
      </c>
      <c r="C53" s="126">
        <f>'Results ReCiPe (I) - RD'!G467</f>
        <v>1.0671055282471247</v>
      </c>
      <c r="D53" s="126">
        <f>'Results ReCiPe (I) - RD'!G468</f>
        <v>0.10391519072351391</v>
      </c>
      <c r="E53" s="126">
        <f>'Results ReCiPe (I) - RD'!G469</f>
        <v>1.5524483210548326E-2</v>
      </c>
      <c r="F53" s="126">
        <f>'Results ReCiPe (I) - RD'!G470</f>
        <v>4.9147263641052515E-4</v>
      </c>
      <c r="G53" s="126">
        <f>'Results ReCiPe (I) - RD'!G471</f>
        <v>0.40500272381770031</v>
      </c>
      <c r="H53" s="126">
        <f>'Results ReCiPe (I) - RD'!G472</f>
        <v>0</v>
      </c>
      <c r="I53" s="126">
        <f>'Results ReCiPe (I) - RD'!G473</f>
        <v>13.990751528943925</v>
      </c>
      <c r="J53" s="126">
        <f>'Results ReCiPe (I) - RD'!G474</f>
        <v>1.3844125603807391</v>
      </c>
      <c r="K53" s="126">
        <f>'Results ReCiPe (I) - RD'!G475</f>
        <v>0</v>
      </c>
      <c r="L53" s="127">
        <f>'Results ReCiPe (I) - RD'!G476</f>
        <v>16.967203487959964</v>
      </c>
      <c r="M53" s="109">
        <v>3.5</v>
      </c>
      <c r="N53" s="125"/>
    </row>
    <row r="54" spans="1:14" x14ac:dyDescent="0.35">
      <c r="A54" s="328" t="s">
        <v>854</v>
      </c>
      <c r="B54" s="109" t="s">
        <v>855</v>
      </c>
      <c r="C54" s="126">
        <f>'Results ReCiPe (I) - RD'!H467</f>
        <v>2.2653592824915005</v>
      </c>
      <c r="D54" s="126">
        <f>'Results ReCiPe (I) - RD'!H468</f>
        <v>0.1082252777454608</v>
      </c>
      <c r="E54" s="126">
        <f>'Results ReCiPe (I) - RD'!H469</f>
        <v>3.6533765108134095E-2</v>
      </c>
      <c r="F54" s="126">
        <f>'Results ReCiPe (I) - RD'!H470</f>
        <v>5.3707764367879154E-4</v>
      </c>
      <c r="G54" s="126">
        <f>'Results ReCiPe (I) - RD'!H471</f>
        <v>0.8389959880190504</v>
      </c>
      <c r="H54" s="126">
        <f>'Results ReCiPe (I) - RD'!H472</f>
        <v>7.7169504869852199</v>
      </c>
      <c r="I54" s="126">
        <f>'Results ReCiPe (I) - RD'!H473</f>
        <v>6.7109378104943342</v>
      </c>
      <c r="J54" s="126">
        <f>'Results ReCiPe (I) - RD'!H474</f>
        <v>2.0721250305297017</v>
      </c>
      <c r="K54" s="126">
        <f>'Results ReCiPe (I) - RD'!H475</f>
        <v>0</v>
      </c>
      <c r="L54" s="127">
        <f>'Results ReCiPe (I) - RD'!H476</f>
        <v>19.749664719017069</v>
      </c>
      <c r="M54" s="109">
        <v>2.5</v>
      </c>
      <c r="N54" s="125"/>
    </row>
    <row r="55" spans="1:14" x14ac:dyDescent="0.35">
      <c r="A55" s="328"/>
      <c r="B55" s="109" t="s">
        <v>914</v>
      </c>
      <c r="C55" s="126">
        <f>'Results ReCiPe (I) - RD'!I467</f>
        <v>2.2214930863023823</v>
      </c>
      <c r="D55" s="126">
        <f>'Results ReCiPe (I) - RD'!I468</f>
        <v>0.1071396242643588</v>
      </c>
      <c r="E55" s="126">
        <f>'Results ReCiPe (I) - RD'!I469</f>
        <v>3.345603446743619E-2</v>
      </c>
      <c r="F55" s="126">
        <f>'Results ReCiPe (I) - RD'!I470</f>
        <v>5.1850403211101896E-4</v>
      </c>
      <c r="G55" s="126">
        <f>'Results ReCiPe (I) - RD'!I471</f>
        <v>0.8254937597390275</v>
      </c>
      <c r="H55" s="126">
        <f>'Results ReCiPe (I) - RD'!I472</f>
        <v>7.5438552721320811</v>
      </c>
      <c r="I55" s="126">
        <f>'Results ReCiPe (I) - RD'!I473</f>
        <v>6.6608463386879553</v>
      </c>
      <c r="J55" s="126">
        <f>'Results ReCiPe (I) - RD'!I474</f>
        <v>1.777667826511468</v>
      </c>
      <c r="K55" s="126">
        <f>'Results ReCiPe (I) - RD'!I475</f>
        <v>0</v>
      </c>
      <c r="L55" s="127">
        <f>'Results ReCiPe (I) - RD'!I476</f>
        <v>19.170470446136825</v>
      </c>
      <c r="M55" s="109">
        <v>1.5</v>
      </c>
      <c r="N55" s="125"/>
    </row>
    <row r="56" spans="1:14" x14ac:dyDescent="0.35">
      <c r="A56" s="328"/>
      <c r="B56" s="109" t="s">
        <v>915</v>
      </c>
      <c r="C56" s="126">
        <f>'Results ReCiPe (I) - RD'!J467</f>
        <v>2.0980690250342109</v>
      </c>
      <c r="D56" s="126">
        <f>'Results ReCiPe (I) - RD'!J468</f>
        <v>0.10391519072351391</v>
      </c>
      <c r="E56" s="126">
        <f>'Results ReCiPe (I) - RD'!J469</f>
        <v>3.1048966421096651E-2</v>
      </c>
      <c r="F56" s="126">
        <f>'Results ReCiPe (I) - RD'!J470</f>
        <v>4.9147263641052515E-4</v>
      </c>
      <c r="G56" s="126">
        <f>'Results ReCiPe (I) - RD'!J471</f>
        <v>0.81000544763540061</v>
      </c>
      <c r="H56" s="126">
        <f>'Results ReCiPe (I) - RD'!J472</f>
        <v>7.0133183365503848</v>
      </c>
      <c r="I56" s="126">
        <f>'Results ReCiPe (I) - RD'!J473</f>
        <v>6.4866276273098444</v>
      </c>
      <c r="J56" s="126">
        <f>'Results ReCiPe (I) - RD'!J474</f>
        <v>1.3844125603807391</v>
      </c>
      <c r="K56" s="126">
        <f>'Results ReCiPe (I) - RD'!J475</f>
        <v>0</v>
      </c>
      <c r="L56" s="127">
        <f>'Results ReCiPe (I) - RD'!J476</f>
        <v>17.927888626691598</v>
      </c>
      <c r="M56" s="109">
        <v>0.5</v>
      </c>
      <c r="N56" s="125"/>
    </row>
    <row r="57" spans="1:14" x14ac:dyDescent="0.35">
      <c r="N57" s="125"/>
    </row>
    <row r="58" spans="1:14" x14ac:dyDescent="0.35">
      <c r="N58" s="125"/>
    </row>
    <row r="59" spans="1:14" x14ac:dyDescent="0.35">
      <c r="A59" s="125"/>
      <c r="B59" s="125"/>
      <c r="C59" s="125"/>
      <c r="D59" s="125"/>
      <c r="E59" s="125"/>
      <c r="F59" s="125"/>
      <c r="G59" s="125"/>
      <c r="H59" s="125"/>
      <c r="I59" s="125"/>
      <c r="J59" s="125"/>
      <c r="K59" s="125"/>
      <c r="L59" s="125"/>
      <c r="M59" s="125"/>
      <c r="N59" s="125"/>
    </row>
    <row r="60" spans="1:14" x14ac:dyDescent="0.35">
      <c r="N60" s="33"/>
    </row>
    <row r="61" spans="1:14" x14ac:dyDescent="0.35">
      <c r="N61" s="33"/>
    </row>
    <row r="62" spans="1:14" x14ac:dyDescent="0.35">
      <c r="N62" s="33"/>
    </row>
    <row r="63" spans="1:14" x14ac:dyDescent="0.35">
      <c r="D63" s="1"/>
      <c r="E63" s="1"/>
      <c r="F63" s="1"/>
      <c r="I63" s="1"/>
      <c r="J63" s="1"/>
      <c r="K63" s="1"/>
      <c r="N63" s="33"/>
    </row>
    <row r="64" spans="1:14" x14ac:dyDescent="0.35">
      <c r="D64" s="1"/>
      <c r="E64" s="1"/>
      <c r="F64" s="1"/>
      <c r="I64" s="1"/>
      <c r="J64" s="1"/>
      <c r="K64" s="1"/>
      <c r="N64" s="33"/>
    </row>
    <row r="65" spans="4:14" x14ac:dyDescent="0.35">
      <c r="D65" s="1"/>
      <c r="E65" s="1"/>
      <c r="F65" s="1"/>
      <c r="I65" s="1"/>
      <c r="J65" s="1"/>
      <c r="K65" s="1"/>
      <c r="N65" s="33"/>
    </row>
    <row r="66" spans="4:14" x14ac:dyDescent="0.35">
      <c r="D66" s="1"/>
      <c r="E66" s="1"/>
      <c r="F66" s="1"/>
      <c r="I66" s="1"/>
      <c r="J66" s="1"/>
      <c r="K66" s="1"/>
      <c r="N66" s="33"/>
    </row>
    <row r="67" spans="4:14" x14ac:dyDescent="0.35">
      <c r="D67" s="1"/>
      <c r="E67" s="1"/>
      <c r="F67" s="1"/>
      <c r="I67" s="1"/>
      <c r="J67" s="1"/>
      <c r="K67" s="1"/>
      <c r="N67" s="33"/>
    </row>
    <row r="68" spans="4:14" x14ac:dyDescent="0.35">
      <c r="D68" s="1"/>
      <c r="E68" s="1"/>
      <c r="F68" s="1"/>
      <c r="I68" s="1"/>
      <c r="J68" s="1"/>
      <c r="K68" s="1"/>
      <c r="N68" s="33"/>
    </row>
    <row r="69" spans="4:14" x14ac:dyDescent="0.35">
      <c r="D69" s="1"/>
      <c r="E69" s="1"/>
      <c r="F69" s="1"/>
      <c r="I69" s="1"/>
      <c r="J69" s="1"/>
      <c r="K69" s="1"/>
      <c r="N69" s="33"/>
    </row>
    <row r="70" spans="4:14" x14ac:dyDescent="0.35">
      <c r="N70" s="33"/>
    </row>
    <row r="71" spans="4:14" x14ac:dyDescent="0.35">
      <c r="N71" s="33"/>
    </row>
    <row r="72" spans="4:14" x14ac:dyDescent="0.35">
      <c r="N72" s="33"/>
    </row>
    <row r="73" spans="4:14" x14ac:dyDescent="0.35">
      <c r="N73" s="33"/>
    </row>
    <row r="74" spans="4:14" x14ac:dyDescent="0.35">
      <c r="N74" s="33"/>
    </row>
    <row r="75" spans="4:14" x14ac:dyDescent="0.35">
      <c r="N75" s="33"/>
    </row>
    <row r="76" spans="4:14" x14ac:dyDescent="0.35">
      <c r="N76" s="33"/>
    </row>
    <row r="77" spans="4:14" x14ac:dyDescent="0.35">
      <c r="N77" s="33"/>
    </row>
    <row r="78" spans="4:14" x14ac:dyDescent="0.35">
      <c r="N78" s="33"/>
    </row>
    <row r="79" spans="4:14" x14ac:dyDescent="0.35">
      <c r="N79" s="33"/>
    </row>
    <row r="80" spans="4:14" x14ac:dyDescent="0.35">
      <c r="N80" s="33"/>
    </row>
    <row r="81" spans="14:14" x14ac:dyDescent="0.35">
      <c r="N81" s="33"/>
    </row>
    <row r="82" spans="14:14" x14ac:dyDescent="0.35">
      <c r="N82" s="33"/>
    </row>
    <row r="83" spans="14:14" x14ac:dyDescent="0.35">
      <c r="N83" s="33"/>
    </row>
    <row r="84" spans="14:14" x14ac:dyDescent="0.35">
      <c r="N84" s="33"/>
    </row>
    <row r="85" spans="14:14" x14ac:dyDescent="0.35">
      <c r="N85" s="33"/>
    </row>
  </sheetData>
  <mergeCells count="13">
    <mergeCell ref="A23:A25"/>
    <mergeCell ref="B2:M2"/>
    <mergeCell ref="A6:A8"/>
    <mergeCell ref="A9:A11"/>
    <mergeCell ref="A12:A14"/>
    <mergeCell ref="A20:A22"/>
    <mergeCell ref="A54:A56"/>
    <mergeCell ref="A26:A28"/>
    <mergeCell ref="A34:A36"/>
    <mergeCell ref="A37:A39"/>
    <mergeCell ref="A40:A42"/>
    <mergeCell ref="A48:A50"/>
    <mergeCell ref="A51:A53"/>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1F756-A76C-4AC3-A2EA-885DAA2EA8FE}">
  <sheetPr>
    <tabColor theme="5" tint="0.39997558519241921"/>
  </sheetPr>
  <dimension ref="A1:BB526"/>
  <sheetViews>
    <sheetView tabSelected="1" topLeftCell="L394" zoomScale="40" zoomScaleNormal="40" workbookViewId="0">
      <selection activeCell="AT468" sqref="AT468"/>
    </sheetView>
  </sheetViews>
  <sheetFormatPr defaultColWidth="8.7265625" defaultRowHeight="14.5" outlineLevelRow="1" x14ac:dyDescent="0.35"/>
  <cols>
    <col min="1" max="1" width="31.54296875" style="282" customWidth="1"/>
    <col min="2" max="2" width="36.54296875" style="282" bestFit="1" customWidth="1"/>
    <col min="3" max="3" width="40.7265625" style="282" bestFit="1" customWidth="1"/>
    <col min="4" max="4" width="22.453125" style="282" bestFit="1" customWidth="1"/>
    <col min="5" max="5" width="19.7265625" style="282" bestFit="1" customWidth="1"/>
    <col min="6" max="6" width="28.453125" style="282" bestFit="1" customWidth="1"/>
    <col min="7" max="7" width="22.7265625" style="282" bestFit="1" customWidth="1"/>
    <col min="8" max="8" width="21.08984375" style="282" bestFit="1" customWidth="1"/>
    <col min="9" max="9" width="22.453125" style="282" bestFit="1" customWidth="1"/>
    <col min="10" max="10" width="22.7265625" style="282" bestFit="1" customWidth="1"/>
    <col min="11" max="11" width="28.453125" style="282" bestFit="1" customWidth="1"/>
    <col min="12" max="12" width="22.453125" style="282" bestFit="1" customWidth="1"/>
    <col min="13" max="13" width="27.90625" style="282" bestFit="1" customWidth="1"/>
    <col min="14" max="14" width="12.08984375" style="282" customWidth="1"/>
    <col min="15" max="15" width="22.7265625" style="282" bestFit="1" customWidth="1"/>
    <col min="16" max="16" width="10.6328125" style="282" customWidth="1"/>
    <col min="17" max="17" width="13.36328125" style="282" customWidth="1"/>
    <col min="18" max="18" width="8.81640625" style="282" customWidth="1"/>
    <col min="19" max="19" width="11.26953125" style="282" bestFit="1" customWidth="1"/>
    <col min="20" max="20" width="22.7265625" style="33" bestFit="1" customWidth="1"/>
    <col min="21" max="22" width="11.6328125" style="282" bestFit="1" customWidth="1"/>
    <col min="23" max="23" width="24.26953125" style="282" bestFit="1" customWidth="1"/>
    <col min="24" max="24" width="11.6328125" style="282" bestFit="1" customWidth="1"/>
    <col min="25" max="25" width="22.7265625" style="282" bestFit="1" customWidth="1"/>
    <col min="26" max="26" width="11.6328125" style="282" bestFit="1" customWidth="1"/>
    <col min="27" max="27" width="8.81640625" style="282" customWidth="1"/>
    <col min="28" max="28" width="11.6328125" style="282" bestFit="1" customWidth="1"/>
    <col min="29" max="29" width="10.81640625" style="282" bestFit="1" customWidth="1"/>
    <col min="30" max="30" width="22.7265625" style="282" bestFit="1" customWidth="1"/>
    <col min="31" max="31" width="27.90625" style="282" customWidth="1"/>
    <col min="32" max="32" width="14.54296875" style="282" bestFit="1" customWidth="1"/>
    <col min="33" max="33" width="11.6328125" style="282" bestFit="1" customWidth="1"/>
    <col min="34" max="34" width="22.7265625" style="282" bestFit="1" customWidth="1"/>
    <col min="35" max="35" width="11.6328125" style="282" bestFit="1" customWidth="1"/>
    <col min="36" max="36" width="24.26953125" style="282" bestFit="1" customWidth="1"/>
    <col min="37" max="38" width="11.6328125" style="282" bestFit="1" customWidth="1"/>
    <col min="39" max="39" width="10.1796875" style="282" bestFit="1" customWidth="1"/>
    <col min="40" max="40" width="22.7265625" style="282" bestFit="1" customWidth="1"/>
    <col min="41" max="41" width="9.08984375" style="282" bestFit="1" customWidth="1"/>
    <col min="42" max="44" width="8.7265625" style="282"/>
    <col min="45" max="45" width="22.7265625" style="282" bestFit="1" customWidth="1"/>
    <col min="46" max="49" width="8.7265625" style="282"/>
    <col min="50" max="50" width="23.26953125" style="282" bestFit="1" customWidth="1"/>
    <col min="51" max="16384" width="8.7265625" style="282"/>
  </cols>
  <sheetData>
    <row r="1" spans="1:13" s="18" customFormat="1" ht="21" x14ac:dyDescent="0.5">
      <c r="A1" s="18" t="s">
        <v>867</v>
      </c>
    </row>
    <row r="2" spans="1:13" s="125" customFormat="1" x14ac:dyDescent="0.35">
      <c r="A2" s="125" t="s">
        <v>499</v>
      </c>
    </row>
    <row r="3" spans="1:13" x14ac:dyDescent="0.35">
      <c r="A3" s="109"/>
      <c r="B3" s="128" t="s">
        <v>147</v>
      </c>
      <c r="C3" s="128" t="s">
        <v>148</v>
      </c>
      <c r="D3" s="128" t="s">
        <v>149</v>
      </c>
    </row>
    <row r="4" spans="1:13" x14ac:dyDescent="0.35">
      <c r="A4" s="129" t="s">
        <v>150</v>
      </c>
      <c r="B4" s="109" t="s">
        <v>502</v>
      </c>
      <c r="C4" s="109" t="s">
        <v>500</v>
      </c>
      <c r="D4" s="109" t="s">
        <v>501</v>
      </c>
    </row>
    <row r="5" spans="1:13" x14ac:dyDescent="0.35">
      <c r="A5" s="129" t="s">
        <v>151</v>
      </c>
      <c r="B5" s="109" t="s">
        <v>857</v>
      </c>
      <c r="C5" s="109" t="s">
        <v>506</v>
      </c>
      <c r="D5" s="109" t="s">
        <v>152</v>
      </c>
    </row>
    <row r="6" spans="1:13" x14ac:dyDescent="0.35">
      <c r="A6" s="129" t="s">
        <v>858</v>
      </c>
      <c r="B6" s="109" t="s">
        <v>153</v>
      </c>
      <c r="C6" s="109" t="s">
        <v>154</v>
      </c>
      <c r="D6" s="109" t="s">
        <v>154</v>
      </c>
    </row>
    <row r="7" spans="1:13" x14ac:dyDescent="0.35">
      <c r="A7" s="129" t="s">
        <v>859</v>
      </c>
      <c r="B7" s="109" t="s">
        <v>155</v>
      </c>
      <c r="C7" s="109" t="s">
        <v>156</v>
      </c>
      <c r="D7" s="109" t="s">
        <v>157</v>
      </c>
    </row>
    <row r="8" spans="1:13" x14ac:dyDescent="0.35">
      <c r="A8" s="129" t="s">
        <v>158</v>
      </c>
      <c r="B8" s="109" t="s">
        <v>159</v>
      </c>
      <c r="C8" s="109" t="s">
        <v>160</v>
      </c>
      <c r="D8" s="109" t="s">
        <v>161</v>
      </c>
    </row>
    <row r="9" spans="1:13" x14ac:dyDescent="0.35">
      <c r="A9" s="129" t="s">
        <v>817</v>
      </c>
      <c r="B9" s="109"/>
      <c r="C9" s="109">
        <v>0.23</v>
      </c>
      <c r="D9" s="144" t="s">
        <v>861</v>
      </c>
    </row>
    <row r="10" spans="1:13" x14ac:dyDescent="0.35">
      <c r="A10" s="290" t="s">
        <v>836</v>
      </c>
      <c r="B10" s="291"/>
      <c r="C10" s="280" t="s">
        <v>862</v>
      </c>
      <c r="D10" s="291"/>
    </row>
    <row r="12" spans="1:13" s="33" customFormat="1" ht="15.5" x14ac:dyDescent="0.35">
      <c r="A12" s="51" t="s">
        <v>162</v>
      </c>
      <c r="B12" s="4"/>
      <c r="C12" s="4"/>
      <c r="D12" s="4"/>
      <c r="E12" s="4"/>
      <c r="F12" s="4"/>
      <c r="G12" s="4"/>
      <c r="H12" s="4"/>
      <c r="I12" s="4"/>
      <c r="J12" s="4"/>
      <c r="K12" s="4"/>
      <c r="L12" s="4"/>
      <c r="M12" s="4"/>
    </row>
    <row r="13" spans="1:13" outlineLevel="1" x14ac:dyDescent="0.35">
      <c r="A13" s="15" t="s">
        <v>148</v>
      </c>
      <c r="B13" s="30"/>
      <c r="C13" s="140" t="s">
        <v>180</v>
      </c>
      <c r="D13" s="6" t="s">
        <v>889</v>
      </c>
      <c r="E13" s="6" t="s">
        <v>891</v>
      </c>
      <c r="F13" s="6" t="s">
        <v>895</v>
      </c>
      <c r="G13" s="6" t="s">
        <v>892</v>
      </c>
      <c r="H13" s="6" t="s">
        <v>893</v>
      </c>
      <c r="I13" s="6" t="s">
        <v>894</v>
      </c>
      <c r="J13" s="6" t="s">
        <v>896</v>
      </c>
      <c r="K13" s="6" t="s">
        <v>897</v>
      </c>
      <c r="L13" s="6" t="s">
        <v>895</v>
      </c>
      <c r="M13" s="4"/>
    </row>
    <row r="14" spans="1:13" outlineLevel="1" x14ac:dyDescent="0.35">
      <c r="B14" s="282" t="s">
        <v>117</v>
      </c>
      <c r="C14" s="282" t="s">
        <v>567</v>
      </c>
      <c r="D14" s="6">
        <f>'Results ReCiPe (H) - HHD'!B467</f>
        <v>6.6853280384452626E-5</v>
      </c>
      <c r="E14" s="6">
        <f>'Results ReCiPe (H) - HHD'!C467</f>
        <v>6.4027258518085386E-5</v>
      </c>
      <c r="F14" s="6">
        <f>'Results ReCiPe (H) - HHD'!D467</f>
        <v>5.794571268055849E-5</v>
      </c>
      <c r="G14" s="6">
        <f>'Results ReCiPe (H) - HHD'!E467</f>
        <v>6.6853280384452626E-5</v>
      </c>
      <c r="H14" s="6">
        <f>'Results ReCiPe (H) - HHD'!F467</f>
        <v>6.4027258518085386E-5</v>
      </c>
      <c r="I14" s="6">
        <f>'Results ReCiPe (H) - HHD'!G467</f>
        <v>5.794571268055849E-5</v>
      </c>
      <c r="J14" s="6">
        <f>'Results ReCiPe (H) - HHD'!H467</f>
        <v>1.2783620330818223E-4</v>
      </c>
      <c r="K14" s="6">
        <f>'Results ReCiPe (H) - HHD'!I467</f>
        <v>1.2224287529591124E-4</v>
      </c>
      <c r="L14" s="6">
        <f>'Results ReCiPe (H) - HHD'!J467</f>
        <v>1.1019930815134711E-4</v>
      </c>
      <c r="M14" s="4"/>
    </row>
    <row r="15" spans="1:13" outlineLevel="1" x14ac:dyDescent="0.35">
      <c r="B15" s="282" t="s">
        <v>118</v>
      </c>
      <c r="C15" s="282" t="s">
        <v>567</v>
      </c>
      <c r="D15" s="6">
        <f>'Results ReCiPe (H) - HHD'!B468</f>
        <v>4.0040114297033507E-6</v>
      </c>
      <c r="E15" s="6">
        <f>'Results ReCiPe (H) - HHD'!C468</f>
        <v>3.8025533906393124E-6</v>
      </c>
      <c r="F15" s="6">
        <f>'Results ReCiPe (H) - HHD'!D468</f>
        <v>3.5909746967405102E-6</v>
      </c>
      <c r="G15" s="6">
        <f>'Results ReCiPe (H) - HHD'!E468</f>
        <v>4.0040114297033507E-6</v>
      </c>
      <c r="H15" s="6">
        <f>'Results ReCiPe (H) - HHD'!F468</f>
        <v>3.8025533906393124E-6</v>
      </c>
      <c r="I15" s="6">
        <f>'Results ReCiPe (H) - HHD'!G468</f>
        <v>3.5909746967405102E-6</v>
      </c>
      <c r="J15" s="6">
        <f>'Results ReCiPe (H) - HHD'!H468</f>
        <v>4.0040114297033507E-6</v>
      </c>
      <c r="K15" s="6">
        <f>'Results ReCiPe (H) - HHD'!I468</f>
        <v>3.8025533906393124E-6</v>
      </c>
      <c r="L15" s="6">
        <f>'Results ReCiPe (H) - HHD'!J468</f>
        <v>3.5909746967405102E-6</v>
      </c>
      <c r="M15" s="4"/>
    </row>
    <row r="16" spans="1:13" outlineLevel="1" x14ac:dyDescent="0.35">
      <c r="B16" s="282" t="s">
        <v>119</v>
      </c>
      <c r="C16" s="282" t="s">
        <v>567</v>
      </c>
      <c r="D16" s="6">
        <f>'Results ReCiPe (H) - HHD'!B469</f>
        <v>5.3842860968435531E-7</v>
      </c>
      <c r="E16" s="6">
        <f>'Results ReCiPe (H) - HHD'!C469</f>
        <v>4.8155270986090666E-7</v>
      </c>
      <c r="F16" s="6">
        <f>'Results ReCiPe (H) - HHD'!D469</f>
        <v>4.5457967317424136E-7</v>
      </c>
      <c r="G16" s="6">
        <f>'Results ReCiPe (H) - HHD'!E469</f>
        <v>5.3842860968435531E-7</v>
      </c>
      <c r="H16" s="6">
        <f>'Results ReCiPe (H) - HHD'!F469</f>
        <v>4.8155270986090666E-7</v>
      </c>
      <c r="I16" s="6">
        <f>'Results ReCiPe (H) - HHD'!G469</f>
        <v>4.5457967317424136E-7</v>
      </c>
      <c r="J16" s="6">
        <f>'Results ReCiPe (H) - HHD'!H469</f>
        <v>1.0768572193687106E-6</v>
      </c>
      <c r="K16" s="6">
        <f>'Results ReCiPe (H) - HHD'!I469</f>
        <v>9.6310541972181332E-7</v>
      </c>
      <c r="L16" s="6">
        <f>'Results ReCiPe (H) - HHD'!J469</f>
        <v>9.0915934634848273E-7</v>
      </c>
      <c r="M16" s="4"/>
    </row>
    <row r="17" spans="1:13" outlineLevel="1" x14ac:dyDescent="0.35">
      <c r="B17" s="282" t="s">
        <v>120</v>
      </c>
      <c r="C17" s="282" t="s">
        <v>567</v>
      </c>
      <c r="D17" s="6">
        <f>'Results ReCiPe (H) - HHD'!B470</f>
        <v>1.4907496099019133E-8</v>
      </c>
      <c r="E17" s="6">
        <f>'Results ReCiPe (H) - HHD'!C470</f>
        <v>1.4090857538857629E-8</v>
      </c>
      <c r="F17" s="6">
        <f>'Results ReCiPe (H) - HHD'!D470</f>
        <v>1.3616739030439631E-8</v>
      </c>
      <c r="G17" s="6">
        <f>'Results ReCiPe (H) - HHD'!E470</f>
        <v>1.4907496099019133E-8</v>
      </c>
      <c r="H17" s="6">
        <f>'Results ReCiPe (H) - HHD'!F470</f>
        <v>1.4090857538857629E-8</v>
      </c>
      <c r="I17" s="6">
        <f>'Results ReCiPe (H) - HHD'!G470</f>
        <v>1.3616739030439631E-8</v>
      </c>
      <c r="J17" s="6">
        <f>'Results ReCiPe (H) - HHD'!H470</f>
        <v>1.4907496099019133E-8</v>
      </c>
      <c r="K17" s="6">
        <f>'Results ReCiPe (H) - HHD'!I470</f>
        <v>1.4090857538857629E-8</v>
      </c>
      <c r="L17" s="6">
        <f>'Results ReCiPe (H) - HHD'!J470</f>
        <v>1.3616739030439631E-8</v>
      </c>
      <c r="M17" s="4"/>
    </row>
    <row r="18" spans="1:13" outlineLevel="1" x14ac:dyDescent="0.35">
      <c r="B18" s="282" t="s">
        <v>121</v>
      </c>
      <c r="C18" s="282" t="s">
        <v>567</v>
      </c>
      <c r="D18" s="6">
        <f>'Results ReCiPe (H) - HHD'!B471</f>
        <v>8.3992169268362136E-6</v>
      </c>
      <c r="E18" s="6">
        <f>'Results ReCiPe (H) - HHD'!C471</f>
        <v>7.2964263088321881E-6</v>
      </c>
      <c r="F18" s="6">
        <f>'Results ReCiPe (H) - HHD'!D471</f>
        <v>6.5857117699468779E-6</v>
      </c>
      <c r="G18" s="6">
        <f>'Results ReCiPe (H) - HHD'!E471</f>
        <v>8.3992169268362136E-6</v>
      </c>
      <c r="H18" s="6">
        <f>'Results ReCiPe (H) - HHD'!F471</f>
        <v>7.2964263088321881E-6</v>
      </c>
      <c r="I18" s="6">
        <f>'Results ReCiPe (H) - HHD'!G471</f>
        <v>6.5857117699468779E-6</v>
      </c>
      <c r="J18" s="6">
        <f>'Results ReCiPe (H) - HHD'!H471</f>
        <v>1.6798433853672427E-5</v>
      </c>
      <c r="K18" s="6">
        <f>'Results ReCiPe (H) - HHD'!I471</f>
        <v>1.4592852617664376E-5</v>
      </c>
      <c r="L18" s="6">
        <f>'Results ReCiPe (H) - HHD'!J471</f>
        <v>1.3171423539893756E-5</v>
      </c>
      <c r="M18" s="4"/>
    </row>
    <row r="19" spans="1:13" outlineLevel="1" x14ac:dyDescent="0.35">
      <c r="B19" s="282" t="s">
        <v>797</v>
      </c>
      <c r="C19" s="282" t="s">
        <v>567</v>
      </c>
      <c r="D19" s="6">
        <f>'Results ReCiPe (H) - HHD'!B472</f>
        <v>0</v>
      </c>
      <c r="E19" s="6">
        <f>'Results ReCiPe (H) - HHD'!C472</f>
        <v>0</v>
      </c>
      <c r="F19" s="6">
        <f>'Results ReCiPe (H) - HHD'!D472</f>
        <v>0</v>
      </c>
      <c r="G19" s="6">
        <f>'Results ReCiPe (H) - HHD'!E472</f>
        <v>0</v>
      </c>
      <c r="H19" s="6">
        <f>'Results ReCiPe (H) - HHD'!F472</f>
        <v>0</v>
      </c>
      <c r="I19" s="6">
        <f>'Results ReCiPe (H) - HHD'!G472</f>
        <v>0</v>
      </c>
      <c r="J19" s="6">
        <f>'Results ReCiPe (H) - HHD'!H472</f>
        <v>7.52137686956862E-4</v>
      </c>
      <c r="K19" s="6">
        <f>'Results ReCiPe (H) - HHD'!I472</f>
        <v>7.3397540621486621E-4</v>
      </c>
      <c r="L19" s="6">
        <f>'Results ReCiPe (H) - HHD'!J472</f>
        <v>6.8187832086746847E-4</v>
      </c>
      <c r="M19" s="4"/>
    </row>
    <row r="20" spans="1:13" outlineLevel="1" x14ac:dyDescent="0.35">
      <c r="B20" s="282" t="s">
        <v>122</v>
      </c>
      <c r="C20" s="282" t="s">
        <v>567</v>
      </c>
      <c r="D20" s="6">
        <f>'Results ReCiPe (H) - HHD'!B473</f>
        <v>1.0864615132376188E-3</v>
      </c>
      <c r="E20" s="6">
        <f>'Results ReCiPe (H) - HHD'!C473</f>
        <v>3.1060149197345745E-4</v>
      </c>
      <c r="F20" s="6">
        <f>'Results ReCiPe (H) - HHD'!D473</f>
        <v>1.6993610666151968E-4</v>
      </c>
      <c r="G20" s="6">
        <f>'Results ReCiPe (H) - HHD'!E473</f>
        <v>8.6689461788745366E-4</v>
      </c>
      <c r="H20" s="6">
        <f>'Results ReCiPe (H) - HHD'!F473</f>
        <v>2.7131124935677535E-4</v>
      </c>
      <c r="I20" s="6">
        <f>'Results ReCiPe (H) - HHD'!G473</f>
        <v>1.6210302646538829E-4</v>
      </c>
      <c r="J20" s="6">
        <f>'Results ReCiPe (H) - HHD'!H473</f>
        <v>5.0429260636688296E-4</v>
      </c>
      <c r="K20" s="6">
        <f>'Results ReCiPe (H) - HHD'!I473</f>
        <v>4.6749199485788325E-4</v>
      </c>
      <c r="L20" s="6">
        <f>'Results ReCiPe (H) - HHD'!J473</f>
        <v>4.486261428523726E-4</v>
      </c>
      <c r="M20" s="4"/>
    </row>
    <row r="21" spans="1:13" outlineLevel="1" x14ac:dyDescent="0.35">
      <c r="B21" s="282" t="s">
        <v>123</v>
      </c>
      <c r="C21" s="282" t="s">
        <v>567</v>
      </c>
      <c r="D21" s="6">
        <f>'Results ReCiPe (H) - HHD'!B474</f>
        <v>9.5457509224026042E-5</v>
      </c>
      <c r="E21" s="6">
        <f>'Results ReCiPe (H) - HHD'!C474</f>
        <v>3.6833645004563829E-5</v>
      </c>
      <c r="F21" s="6">
        <f>'Results ReCiPe (H) - HHD'!D474</f>
        <v>2.5964444667500321E-5</v>
      </c>
      <c r="G21" s="6">
        <f>'Results ReCiPe (H) - HHD'!E474</f>
        <v>9.5457509224026042E-5</v>
      </c>
      <c r="H21" s="6">
        <f>'Results ReCiPe (H) - HHD'!F474</f>
        <v>3.6833645004563829E-5</v>
      </c>
      <c r="I21" s="6">
        <f>'Results ReCiPe (H) - HHD'!G474</f>
        <v>2.5964444667500321E-5</v>
      </c>
      <c r="J21" s="6">
        <f>'Results ReCiPe (H) - HHD'!H474</f>
        <v>9.5457509224026042E-5</v>
      </c>
      <c r="K21" s="6">
        <f>'Results ReCiPe (H) - HHD'!I474</f>
        <v>3.6833645004563829E-5</v>
      </c>
      <c r="L21" s="6">
        <f>'Results ReCiPe (H) - HHD'!J474</f>
        <v>2.5964444667500321E-5</v>
      </c>
      <c r="M21" s="4"/>
    </row>
    <row r="22" spans="1:13" outlineLevel="1" x14ac:dyDescent="0.35">
      <c r="B22" s="282" t="s">
        <v>124</v>
      </c>
      <c r="C22" s="282" t="s">
        <v>567</v>
      </c>
      <c r="D22" s="6">
        <f>'Results ReCiPe (H) - HHD'!B475</f>
        <v>-9.279999999999999E-4</v>
      </c>
      <c r="E22" s="6">
        <f>'Results ReCiPe (H) - HHD'!C475</f>
        <v>-9.279999999999999E-4</v>
      </c>
      <c r="F22" s="6">
        <f>'Results ReCiPe (H) - HHD'!D475</f>
        <v>-9.279999999999999E-4</v>
      </c>
      <c r="G22" s="6">
        <f>'Results ReCiPe (H) - HHD'!E475</f>
        <v>-9.279999999999999E-4</v>
      </c>
      <c r="H22" s="6">
        <f>'Results ReCiPe (H) - HHD'!F475</f>
        <v>-9.279999999999999E-4</v>
      </c>
      <c r="I22" s="6">
        <f>'Results ReCiPe (H) - HHD'!G475</f>
        <v>-9.279999999999999E-4</v>
      </c>
      <c r="J22" s="6">
        <f>'Results ReCiPe (H) - HHD'!H475</f>
        <v>-9.279999999999999E-4</v>
      </c>
      <c r="K22" s="6">
        <f>'Results ReCiPe (H) - HHD'!I475</f>
        <v>-9.279999999999999E-4</v>
      </c>
      <c r="L22" s="6">
        <f>'Results ReCiPe (H) - HHD'!J475</f>
        <v>-9.279999999999999E-4</v>
      </c>
      <c r="M22" s="4"/>
    </row>
    <row r="23" spans="1:13" outlineLevel="1" x14ac:dyDescent="0.35">
      <c r="B23" s="282" t="s">
        <v>137</v>
      </c>
      <c r="C23" s="282" t="s">
        <v>567</v>
      </c>
      <c r="D23" s="6">
        <f>'Results ReCiPe (H) - HHD'!B476</f>
        <v>3.337288673084206E-4</v>
      </c>
      <c r="E23" s="6">
        <f>'Results ReCiPe (H) - HHD'!C476</f>
        <v>-5.0494298123702206E-4</v>
      </c>
      <c r="F23" s="6">
        <f>'Results ReCiPe (H) - HHD'!D476</f>
        <v>-6.6350885311152938E-4</v>
      </c>
      <c r="G23" s="6">
        <f>'Results ReCiPe (H) - HHD'!E476</f>
        <v>1.1416197195825549E-4</v>
      </c>
      <c r="H23" s="6">
        <f>'Results ReCiPe (H) - HHD'!F476</f>
        <v>-5.4423322385370421E-4</v>
      </c>
      <c r="I23" s="6">
        <f>'Results ReCiPe (H) - HHD'!G476</f>
        <v>-6.7134193330766075E-4</v>
      </c>
      <c r="J23" s="6">
        <f>'Results ReCiPe (H) - HHD'!H476</f>
        <v>5.7361821585479695E-4</v>
      </c>
      <c r="K23" s="6">
        <f>'Results ReCiPe (H) - HHD'!I476</f>
        <v>4.5191652365878887E-4</v>
      </c>
      <c r="L23" s="6">
        <f>'Results ReCiPe (H) - HHD'!J476</f>
        <v>3.5635339086070183E-4</v>
      </c>
      <c r="M23" s="4"/>
    </row>
    <row r="24" spans="1:13" outlineLevel="1" x14ac:dyDescent="0.35">
      <c r="M24" s="4"/>
    </row>
    <row r="25" spans="1:13" outlineLevel="1" x14ac:dyDescent="0.35">
      <c r="A25" s="15" t="s">
        <v>501</v>
      </c>
      <c r="B25" s="30"/>
      <c r="C25" s="140" t="s">
        <v>180</v>
      </c>
      <c r="D25" s="6" t="s">
        <v>889</v>
      </c>
      <c r="E25" s="6" t="s">
        <v>891</v>
      </c>
      <c r="F25" s="6" t="s">
        <v>890</v>
      </c>
      <c r="G25" s="6" t="s">
        <v>892</v>
      </c>
      <c r="H25" s="6" t="s">
        <v>893</v>
      </c>
      <c r="I25" s="6" t="s">
        <v>894</v>
      </c>
      <c r="J25" s="6" t="s">
        <v>896</v>
      </c>
      <c r="K25" s="6" t="s">
        <v>897</v>
      </c>
      <c r="L25" s="6" t="s">
        <v>895</v>
      </c>
      <c r="M25" s="4"/>
    </row>
    <row r="26" spans="1:13" outlineLevel="1" x14ac:dyDescent="0.35">
      <c r="B26" s="282" t="s">
        <v>117</v>
      </c>
      <c r="C26" s="282" t="s">
        <v>567</v>
      </c>
      <c r="D26" s="6">
        <f>D14*0.8</f>
        <v>5.3482624307562102E-5</v>
      </c>
      <c r="E26" s="6">
        <f t="shared" ref="E26:L29" si="0">E14*0.8</f>
        <v>5.1221806814468313E-5</v>
      </c>
      <c r="F26" s="6">
        <f t="shared" si="0"/>
        <v>4.6356570144446792E-5</v>
      </c>
      <c r="G26" s="6">
        <f t="shared" si="0"/>
        <v>5.3482624307562102E-5</v>
      </c>
      <c r="H26" s="6">
        <f t="shared" si="0"/>
        <v>5.1221806814468313E-5</v>
      </c>
      <c r="I26" s="6">
        <f t="shared" si="0"/>
        <v>4.6356570144446792E-5</v>
      </c>
      <c r="J26" s="6">
        <f t="shared" si="0"/>
        <v>1.0226896264654579E-4</v>
      </c>
      <c r="K26" s="6">
        <f t="shared" si="0"/>
        <v>9.7794300236728998E-5</v>
      </c>
      <c r="L26" s="6">
        <f t="shared" si="0"/>
        <v>8.8159446521077689E-5</v>
      </c>
      <c r="M26" s="4"/>
    </row>
    <row r="27" spans="1:13" outlineLevel="1" x14ac:dyDescent="0.35">
      <c r="B27" s="282" t="s">
        <v>118</v>
      </c>
      <c r="C27" s="282" t="s">
        <v>567</v>
      </c>
      <c r="D27" s="6">
        <f>D15*0.8</f>
        <v>3.2032091437626807E-6</v>
      </c>
      <c r="E27" s="6">
        <f t="shared" si="0"/>
        <v>3.0420427125114501E-6</v>
      </c>
      <c r="F27" s="6">
        <f t="shared" si="0"/>
        <v>2.8727797573924083E-6</v>
      </c>
      <c r="G27" s="6">
        <f t="shared" si="0"/>
        <v>3.2032091437626807E-6</v>
      </c>
      <c r="H27" s="6">
        <f t="shared" si="0"/>
        <v>3.0420427125114501E-6</v>
      </c>
      <c r="I27" s="6">
        <f t="shared" si="0"/>
        <v>2.8727797573924083E-6</v>
      </c>
      <c r="J27" s="6">
        <f t="shared" si="0"/>
        <v>3.2032091437626807E-6</v>
      </c>
      <c r="K27" s="6">
        <f t="shared" si="0"/>
        <v>3.0420427125114501E-6</v>
      </c>
      <c r="L27" s="6">
        <f t="shared" si="0"/>
        <v>2.8727797573924083E-6</v>
      </c>
      <c r="M27" s="4"/>
    </row>
    <row r="28" spans="1:13" outlineLevel="1" x14ac:dyDescent="0.35">
      <c r="B28" s="282" t="s">
        <v>119</v>
      </c>
      <c r="C28" s="282" t="s">
        <v>567</v>
      </c>
      <c r="D28" s="6">
        <f>D16*0.8</f>
        <v>4.3074288774748428E-7</v>
      </c>
      <c r="E28" s="6">
        <f t="shared" si="0"/>
        <v>3.8524216788872534E-7</v>
      </c>
      <c r="F28" s="6">
        <f t="shared" si="0"/>
        <v>3.6366373853939309E-7</v>
      </c>
      <c r="G28" s="6">
        <f t="shared" si="0"/>
        <v>4.3074288774748428E-7</v>
      </c>
      <c r="H28" s="6">
        <f t="shared" si="0"/>
        <v>3.8524216788872534E-7</v>
      </c>
      <c r="I28" s="6">
        <f t="shared" si="0"/>
        <v>3.6366373853939309E-7</v>
      </c>
      <c r="J28" s="6">
        <f t="shared" si="0"/>
        <v>8.6148577549496857E-7</v>
      </c>
      <c r="K28" s="6">
        <f t="shared" si="0"/>
        <v>7.7048433577745068E-7</v>
      </c>
      <c r="L28" s="6">
        <f t="shared" si="0"/>
        <v>7.2732747707878618E-7</v>
      </c>
      <c r="M28" s="4"/>
    </row>
    <row r="29" spans="1:13" outlineLevel="1" x14ac:dyDescent="0.35">
      <c r="B29" s="282" t="s">
        <v>120</v>
      </c>
      <c r="C29" s="282" t="s">
        <v>567</v>
      </c>
      <c r="D29" s="6">
        <f>D17*0.8</f>
        <v>1.1925996879215306E-8</v>
      </c>
      <c r="E29" s="6">
        <f t="shared" si="0"/>
        <v>1.1272686031086104E-8</v>
      </c>
      <c r="F29" s="6">
        <f t="shared" si="0"/>
        <v>1.0893391224351705E-8</v>
      </c>
      <c r="G29" s="6">
        <f t="shared" si="0"/>
        <v>1.1925996879215306E-8</v>
      </c>
      <c r="H29" s="6">
        <f t="shared" si="0"/>
        <v>1.1272686031086104E-8</v>
      </c>
      <c r="I29" s="6">
        <f t="shared" si="0"/>
        <v>1.0893391224351705E-8</v>
      </c>
      <c r="J29" s="6">
        <f t="shared" si="0"/>
        <v>1.1925996879215306E-8</v>
      </c>
      <c r="K29" s="6">
        <f t="shared" si="0"/>
        <v>1.1272686031086104E-8</v>
      </c>
      <c r="L29" s="6">
        <f t="shared" si="0"/>
        <v>1.0893391224351705E-8</v>
      </c>
      <c r="M29" s="4"/>
    </row>
    <row r="30" spans="1:13" outlineLevel="1" x14ac:dyDescent="0.35">
      <c r="B30" s="282" t="s">
        <v>121</v>
      </c>
      <c r="C30" s="282" t="s">
        <v>567</v>
      </c>
      <c r="D30" s="6">
        <f>D18</f>
        <v>8.3992169268362136E-6</v>
      </c>
      <c r="E30" s="6">
        <f t="shared" ref="E30:L34" si="1">E18</f>
        <v>7.2964263088321881E-6</v>
      </c>
      <c r="F30" s="6">
        <f t="shared" si="1"/>
        <v>6.5857117699468779E-6</v>
      </c>
      <c r="G30" s="6">
        <f t="shared" si="1"/>
        <v>8.3992169268362136E-6</v>
      </c>
      <c r="H30" s="6">
        <f t="shared" si="1"/>
        <v>7.2964263088321881E-6</v>
      </c>
      <c r="I30" s="6">
        <f t="shared" si="1"/>
        <v>6.5857117699468779E-6</v>
      </c>
      <c r="J30" s="6">
        <f t="shared" si="1"/>
        <v>1.6798433853672427E-5</v>
      </c>
      <c r="K30" s="6">
        <f t="shared" si="1"/>
        <v>1.4592852617664376E-5</v>
      </c>
      <c r="L30" s="6">
        <f t="shared" si="1"/>
        <v>1.3171423539893756E-5</v>
      </c>
      <c r="M30" s="4"/>
    </row>
    <row r="31" spans="1:13" outlineLevel="1" x14ac:dyDescent="0.35">
      <c r="B31" s="282" t="s">
        <v>797</v>
      </c>
      <c r="C31" s="282" t="s">
        <v>567</v>
      </c>
      <c r="D31" s="6">
        <f>D19</f>
        <v>0</v>
      </c>
      <c r="E31" s="6">
        <f t="shared" si="1"/>
        <v>0</v>
      </c>
      <c r="F31" s="6">
        <f t="shared" si="1"/>
        <v>0</v>
      </c>
      <c r="G31" s="6">
        <f t="shared" si="1"/>
        <v>0</v>
      </c>
      <c r="H31" s="6">
        <f t="shared" si="1"/>
        <v>0</v>
      </c>
      <c r="I31" s="6">
        <f t="shared" si="1"/>
        <v>0</v>
      </c>
      <c r="J31" s="6">
        <f t="shared" si="1"/>
        <v>7.52137686956862E-4</v>
      </c>
      <c r="K31" s="6">
        <f t="shared" si="1"/>
        <v>7.3397540621486621E-4</v>
      </c>
      <c r="L31" s="6">
        <f t="shared" si="1"/>
        <v>6.8187832086746847E-4</v>
      </c>
      <c r="M31" s="4"/>
    </row>
    <row r="32" spans="1:13" outlineLevel="1" x14ac:dyDescent="0.35">
      <c r="B32" s="282" t="s">
        <v>122</v>
      </c>
      <c r="C32" s="282" t="s">
        <v>567</v>
      </c>
      <c r="D32" s="6">
        <f>D20</f>
        <v>1.0864615132376188E-3</v>
      </c>
      <c r="E32" s="6">
        <f t="shared" si="1"/>
        <v>3.1060149197345745E-4</v>
      </c>
      <c r="F32" s="6">
        <f t="shared" si="1"/>
        <v>1.6993610666151968E-4</v>
      </c>
      <c r="G32" s="6">
        <f t="shared" si="1"/>
        <v>8.6689461788745366E-4</v>
      </c>
      <c r="H32" s="6">
        <f t="shared" si="1"/>
        <v>2.7131124935677535E-4</v>
      </c>
      <c r="I32" s="6">
        <f t="shared" si="1"/>
        <v>1.6210302646538829E-4</v>
      </c>
      <c r="J32" s="6">
        <f t="shared" si="1"/>
        <v>5.0429260636688296E-4</v>
      </c>
      <c r="K32" s="6">
        <f t="shared" si="1"/>
        <v>4.6749199485788325E-4</v>
      </c>
      <c r="L32" s="6">
        <f t="shared" si="1"/>
        <v>4.486261428523726E-4</v>
      </c>
      <c r="M32" s="4"/>
    </row>
    <row r="33" spans="1:20" outlineLevel="1" x14ac:dyDescent="0.35">
      <c r="B33" s="282" t="s">
        <v>123</v>
      </c>
      <c r="C33" s="282" t="s">
        <v>567</v>
      </c>
      <c r="D33" s="6">
        <f>D21</f>
        <v>9.5457509224026042E-5</v>
      </c>
      <c r="E33" s="6">
        <f t="shared" si="1"/>
        <v>3.6833645004563829E-5</v>
      </c>
      <c r="F33" s="6">
        <f t="shared" si="1"/>
        <v>2.5964444667500321E-5</v>
      </c>
      <c r="G33" s="6">
        <f t="shared" si="1"/>
        <v>9.5457509224026042E-5</v>
      </c>
      <c r="H33" s="6">
        <f t="shared" si="1"/>
        <v>3.6833645004563829E-5</v>
      </c>
      <c r="I33" s="6">
        <f t="shared" si="1"/>
        <v>2.5964444667500321E-5</v>
      </c>
      <c r="J33" s="6">
        <f t="shared" si="1"/>
        <v>9.5457509224026042E-5</v>
      </c>
      <c r="K33" s="6">
        <f t="shared" si="1"/>
        <v>3.6833645004563829E-5</v>
      </c>
      <c r="L33" s="6">
        <f t="shared" si="1"/>
        <v>2.5964444667500321E-5</v>
      </c>
      <c r="M33" s="4"/>
    </row>
    <row r="34" spans="1:20" outlineLevel="1" x14ac:dyDescent="0.35">
      <c r="B34" s="282" t="s">
        <v>124</v>
      </c>
      <c r="C34" s="282" t="s">
        <v>567</v>
      </c>
      <c r="D34" s="6">
        <f>D22</f>
        <v>-9.279999999999999E-4</v>
      </c>
      <c r="E34" s="6">
        <f t="shared" si="1"/>
        <v>-9.279999999999999E-4</v>
      </c>
      <c r="F34" s="6">
        <f t="shared" si="1"/>
        <v>-9.279999999999999E-4</v>
      </c>
      <c r="G34" s="6">
        <f t="shared" si="1"/>
        <v>-9.279999999999999E-4</v>
      </c>
      <c r="H34" s="6">
        <f t="shared" si="1"/>
        <v>-9.279999999999999E-4</v>
      </c>
      <c r="I34" s="6">
        <f t="shared" si="1"/>
        <v>-9.279999999999999E-4</v>
      </c>
      <c r="J34" s="6">
        <f t="shared" si="1"/>
        <v>-9.279999999999999E-4</v>
      </c>
      <c r="K34" s="6">
        <f t="shared" si="1"/>
        <v>-9.279999999999999E-4</v>
      </c>
      <c r="L34" s="6">
        <f t="shared" si="1"/>
        <v>-9.279999999999999E-4</v>
      </c>
      <c r="M34" s="4"/>
    </row>
    <row r="35" spans="1:20" outlineLevel="1" x14ac:dyDescent="0.35">
      <c r="B35" s="282" t="s">
        <v>137</v>
      </c>
      <c r="C35" s="282" t="s">
        <v>567</v>
      </c>
      <c r="D35" s="6">
        <f>SUM(D26:D34)</f>
        <v>3.1944674172443256E-4</v>
      </c>
      <c r="E35" s="6">
        <f t="shared" ref="E35:L35" si="2">SUM(E26:E34)</f>
        <v>-5.1860807233224679E-4</v>
      </c>
      <c r="F35" s="6">
        <f t="shared" si="2"/>
        <v>-6.7590982986943005E-4</v>
      </c>
      <c r="G35" s="6">
        <f t="shared" si="2"/>
        <v>9.9879846374267421E-5</v>
      </c>
      <c r="H35" s="6">
        <f t="shared" si="2"/>
        <v>-5.5789831494892895E-4</v>
      </c>
      <c r="I35" s="6">
        <f t="shared" si="2"/>
        <v>-6.8374291006556153E-4</v>
      </c>
      <c r="J35" s="6">
        <f t="shared" si="2"/>
        <v>5.4703181996412613E-4</v>
      </c>
      <c r="K35" s="6">
        <f t="shared" si="2"/>
        <v>4.265119986660268E-4</v>
      </c>
      <c r="L35" s="6">
        <f t="shared" si="2"/>
        <v>3.3341077907400845E-4</v>
      </c>
      <c r="M35" s="4"/>
    </row>
    <row r="36" spans="1:20" outlineLevel="1" x14ac:dyDescent="0.35">
      <c r="M36" s="4"/>
    </row>
    <row r="37" spans="1:20" outlineLevel="1" x14ac:dyDescent="0.35">
      <c r="A37" s="15" t="s">
        <v>502</v>
      </c>
      <c r="B37" s="30"/>
      <c r="C37" s="140" t="s">
        <v>180</v>
      </c>
      <c r="D37" s="6" t="s">
        <v>889</v>
      </c>
      <c r="E37" s="6" t="s">
        <v>891</v>
      </c>
      <c r="F37" s="6" t="s">
        <v>890</v>
      </c>
      <c r="G37" s="6" t="s">
        <v>892</v>
      </c>
      <c r="H37" s="6" t="s">
        <v>893</v>
      </c>
      <c r="I37" s="6" t="s">
        <v>894</v>
      </c>
      <c r="J37" s="6" t="s">
        <v>896</v>
      </c>
      <c r="K37" s="6" t="s">
        <v>897</v>
      </c>
      <c r="L37" s="6" t="s">
        <v>895</v>
      </c>
      <c r="M37" s="4"/>
    </row>
    <row r="38" spans="1:20" outlineLevel="1" x14ac:dyDescent="0.35">
      <c r="B38" s="282" t="s">
        <v>117</v>
      </c>
      <c r="C38" s="282" t="s">
        <v>567</v>
      </c>
      <c r="D38" s="6">
        <f>D14*1.2</f>
        <v>8.0223936461343144E-5</v>
      </c>
      <c r="E38" s="6">
        <f t="shared" ref="E38:L41" si="3">E14*1.2</f>
        <v>7.6832710221702466E-5</v>
      </c>
      <c r="F38" s="6">
        <f t="shared" si="3"/>
        <v>6.9534855216670189E-5</v>
      </c>
      <c r="G38" s="6">
        <f t="shared" si="3"/>
        <v>8.0223936461343144E-5</v>
      </c>
      <c r="H38" s="6">
        <f t="shared" si="3"/>
        <v>7.6832710221702466E-5</v>
      </c>
      <c r="I38" s="6">
        <f t="shared" si="3"/>
        <v>6.9534855216670189E-5</v>
      </c>
      <c r="J38" s="6">
        <f t="shared" si="3"/>
        <v>1.5340344396981868E-4</v>
      </c>
      <c r="K38" s="6">
        <f t="shared" si="3"/>
        <v>1.4669145035509348E-4</v>
      </c>
      <c r="L38" s="6">
        <f t="shared" si="3"/>
        <v>1.3223916978161653E-4</v>
      </c>
      <c r="M38" s="4"/>
    </row>
    <row r="39" spans="1:20" outlineLevel="1" x14ac:dyDescent="0.35">
      <c r="B39" s="282" t="s">
        <v>118</v>
      </c>
      <c r="C39" s="282" t="s">
        <v>567</v>
      </c>
      <c r="D39" s="6">
        <f>D15*1.2</f>
        <v>4.8048137156440204E-6</v>
      </c>
      <c r="E39" s="6">
        <f t="shared" si="3"/>
        <v>4.5630640687671748E-6</v>
      </c>
      <c r="F39" s="6">
        <f t="shared" si="3"/>
        <v>4.3091696360886121E-6</v>
      </c>
      <c r="G39" s="6">
        <f t="shared" si="3"/>
        <v>4.8048137156440204E-6</v>
      </c>
      <c r="H39" s="6">
        <f t="shared" si="3"/>
        <v>4.5630640687671748E-6</v>
      </c>
      <c r="I39" s="6">
        <f t="shared" si="3"/>
        <v>4.3091696360886121E-6</v>
      </c>
      <c r="J39" s="6">
        <f t="shared" si="3"/>
        <v>4.8048137156440204E-6</v>
      </c>
      <c r="K39" s="6">
        <f t="shared" si="3"/>
        <v>4.5630640687671748E-6</v>
      </c>
      <c r="L39" s="6">
        <f t="shared" si="3"/>
        <v>4.3091696360886121E-6</v>
      </c>
      <c r="M39" s="4"/>
    </row>
    <row r="40" spans="1:20" outlineLevel="1" x14ac:dyDescent="0.35">
      <c r="B40" s="282" t="s">
        <v>119</v>
      </c>
      <c r="C40" s="282" t="s">
        <v>567</v>
      </c>
      <c r="D40" s="6">
        <f>D16*1.2</f>
        <v>6.461143316212264E-7</v>
      </c>
      <c r="E40" s="6">
        <f t="shared" si="3"/>
        <v>5.7786325183308793E-7</v>
      </c>
      <c r="F40" s="6">
        <f t="shared" si="3"/>
        <v>5.4549560780908964E-7</v>
      </c>
      <c r="G40" s="6">
        <f t="shared" si="3"/>
        <v>6.461143316212264E-7</v>
      </c>
      <c r="H40" s="6">
        <f t="shared" si="3"/>
        <v>5.7786325183308793E-7</v>
      </c>
      <c r="I40" s="6">
        <f t="shared" si="3"/>
        <v>5.4549560780908964E-7</v>
      </c>
      <c r="J40" s="6">
        <f t="shared" si="3"/>
        <v>1.2922286632424528E-6</v>
      </c>
      <c r="K40" s="6">
        <f t="shared" si="3"/>
        <v>1.1557265036661759E-6</v>
      </c>
      <c r="L40" s="6">
        <f t="shared" si="3"/>
        <v>1.0909912156181793E-6</v>
      </c>
      <c r="M40" s="4"/>
    </row>
    <row r="41" spans="1:20" outlineLevel="1" x14ac:dyDescent="0.35">
      <c r="B41" s="282" t="s">
        <v>120</v>
      </c>
      <c r="C41" s="282" t="s">
        <v>567</v>
      </c>
      <c r="D41" s="6">
        <f>D17*1.2</f>
        <v>1.7888995318822957E-8</v>
      </c>
      <c r="E41" s="6">
        <f t="shared" si="3"/>
        <v>1.6909029046629156E-8</v>
      </c>
      <c r="F41" s="6">
        <f t="shared" si="3"/>
        <v>1.6340086836527555E-8</v>
      </c>
      <c r="G41" s="6">
        <f t="shared" si="3"/>
        <v>1.7888995318822957E-8</v>
      </c>
      <c r="H41" s="6">
        <f t="shared" si="3"/>
        <v>1.6909029046629156E-8</v>
      </c>
      <c r="I41" s="6">
        <f t="shared" si="3"/>
        <v>1.6340086836527555E-8</v>
      </c>
      <c r="J41" s="6">
        <f t="shared" si="3"/>
        <v>1.7888995318822957E-8</v>
      </c>
      <c r="K41" s="6">
        <f t="shared" si="3"/>
        <v>1.6909029046629156E-8</v>
      </c>
      <c r="L41" s="6">
        <f t="shared" si="3"/>
        <v>1.6340086836527555E-8</v>
      </c>
      <c r="M41" s="4"/>
    </row>
    <row r="42" spans="1:20" outlineLevel="1" x14ac:dyDescent="0.35">
      <c r="B42" s="282" t="s">
        <v>121</v>
      </c>
      <c r="C42" s="282" t="s">
        <v>567</v>
      </c>
      <c r="D42" s="6">
        <f>D18</f>
        <v>8.3992169268362136E-6</v>
      </c>
      <c r="E42" s="6">
        <f t="shared" ref="E42:L46" si="4">E18</f>
        <v>7.2964263088321881E-6</v>
      </c>
      <c r="F42" s="6">
        <f t="shared" si="4"/>
        <v>6.5857117699468779E-6</v>
      </c>
      <c r="G42" s="6">
        <f t="shared" si="4"/>
        <v>8.3992169268362136E-6</v>
      </c>
      <c r="H42" s="6">
        <f t="shared" si="4"/>
        <v>7.2964263088321881E-6</v>
      </c>
      <c r="I42" s="6">
        <f t="shared" si="4"/>
        <v>6.5857117699468779E-6</v>
      </c>
      <c r="J42" s="6">
        <f t="shared" si="4"/>
        <v>1.6798433853672427E-5</v>
      </c>
      <c r="K42" s="6">
        <f t="shared" si="4"/>
        <v>1.4592852617664376E-5</v>
      </c>
      <c r="L42" s="6">
        <f t="shared" si="4"/>
        <v>1.3171423539893756E-5</v>
      </c>
      <c r="M42" s="4"/>
    </row>
    <row r="43" spans="1:20" outlineLevel="1" x14ac:dyDescent="0.35">
      <c r="B43" s="282" t="s">
        <v>797</v>
      </c>
      <c r="C43" s="282" t="s">
        <v>567</v>
      </c>
      <c r="D43" s="6">
        <f>D19</f>
        <v>0</v>
      </c>
      <c r="E43" s="6">
        <f t="shared" si="4"/>
        <v>0</v>
      </c>
      <c r="F43" s="6">
        <f t="shared" si="4"/>
        <v>0</v>
      </c>
      <c r="G43" s="6">
        <f t="shared" si="4"/>
        <v>0</v>
      </c>
      <c r="H43" s="6">
        <f t="shared" si="4"/>
        <v>0</v>
      </c>
      <c r="I43" s="6">
        <f t="shared" si="4"/>
        <v>0</v>
      </c>
      <c r="J43" s="6">
        <f t="shared" si="4"/>
        <v>7.52137686956862E-4</v>
      </c>
      <c r="K43" s="6">
        <f t="shared" si="4"/>
        <v>7.3397540621486621E-4</v>
      </c>
      <c r="L43" s="6">
        <f t="shared" si="4"/>
        <v>6.8187832086746847E-4</v>
      </c>
      <c r="M43" s="4"/>
    </row>
    <row r="44" spans="1:20" outlineLevel="1" x14ac:dyDescent="0.35">
      <c r="B44" s="282" t="s">
        <v>122</v>
      </c>
      <c r="C44" s="282" t="s">
        <v>567</v>
      </c>
      <c r="D44" s="6">
        <f>D20</f>
        <v>1.0864615132376188E-3</v>
      </c>
      <c r="E44" s="6">
        <f t="shared" si="4"/>
        <v>3.1060149197345745E-4</v>
      </c>
      <c r="F44" s="6">
        <f t="shared" si="4"/>
        <v>1.6993610666151968E-4</v>
      </c>
      <c r="G44" s="6">
        <f t="shared" si="4"/>
        <v>8.6689461788745366E-4</v>
      </c>
      <c r="H44" s="6">
        <f t="shared" si="4"/>
        <v>2.7131124935677535E-4</v>
      </c>
      <c r="I44" s="6">
        <f t="shared" si="4"/>
        <v>1.6210302646538829E-4</v>
      </c>
      <c r="J44" s="6">
        <f t="shared" si="4"/>
        <v>5.0429260636688296E-4</v>
      </c>
      <c r="K44" s="6">
        <f t="shared" si="4"/>
        <v>4.6749199485788325E-4</v>
      </c>
      <c r="L44" s="6">
        <f t="shared" si="4"/>
        <v>4.486261428523726E-4</v>
      </c>
      <c r="M44" s="4"/>
    </row>
    <row r="45" spans="1:20" outlineLevel="1" x14ac:dyDescent="0.35">
      <c r="B45" s="282" t="s">
        <v>123</v>
      </c>
      <c r="C45" s="282" t="s">
        <v>567</v>
      </c>
      <c r="D45" s="6">
        <f>D21</f>
        <v>9.5457509224026042E-5</v>
      </c>
      <c r="E45" s="6">
        <f t="shared" si="4"/>
        <v>3.6833645004563829E-5</v>
      </c>
      <c r="F45" s="6">
        <f t="shared" si="4"/>
        <v>2.5964444667500321E-5</v>
      </c>
      <c r="G45" s="6">
        <f t="shared" si="4"/>
        <v>9.5457509224026042E-5</v>
      </c>
      <c r="H45" s="6">
        <f t="shared" si="4"/>
        <v>3.6833645004563829E-5</v>
      </c>
      <c r="I45" s="6">
        <f t="shared" si="4"/>
        <v>2.5964444667500321E-5</v>
      </c>
      <c r="J45" s="6">
        <f t="shared" si="4"/>
        <v>9.5457509224026042E-5</v>
      </c>
      <c r="K45" s="6">
        <f t="shared" si="4"/>
        <v>3.6833645004563829E-5</v>
      </c>
      <c r="L45" s="6">
        <f t="shared" si="4"/>
        <v>2.5964444667500321E-5</v>
      </c>
      <c r="M45" s="4"/>
    </row>
    <row r="46" spans="1:20" outlineLevel="1" x14ac:dyDescent="0.35">
      <c r="B46" s="282" t="s">
        <v>124</v>
      </c>
      <c r="C46" s="282" t="s">
        <v>567</v>
      </c>
      <c r="D46" s="6">
        <f>D22</f>
        <v>-9.279999999999999E-4</v>
      </c>
      <c r="E46" s="6">
        <f t="shared" si="4"/>
        <v>-9.279999999999999E-4</v>
      </c>
      <c r="F46" s="6">
        <f t="shared" si="4"/>
        <v>-9.279999999999999E-4</v>
      </c>
      <c r="G46" s="6">
        <f t="shared" si="4"/>
        <v>-9.279999999999999E-4</v>
      </c>
      <c r="H46" s="6">
        <f t="shared" si="4"/>
        <v>-9.279999999999999E-4</v>
      </c>
      <c r="I46" s="6">
        <f t="shared" si="4"/>
        <v>-9.279999999999999E-4</v>
      </c>
      <c r="J46" s="6">
        <f t="shared" si="4"/>
        <v>-9.279999999999999E-4</v>
      </c>
      <c r="K46" s="6">
        <f t="shared" si="4"/>
        <v>-9.279999999999999E-4</v>
      </c>
      <c r="L46" s="6">
        <f t="shared" si="4"/>
        <v>-9.279999999999999E-4</v>
      </c>
      <c r="M46" s="4"/>
    </row>
    <row r="47" spans="1:20" outlineLevel="1" x14ac:dyDescent="0.35">
      <c r="B47" s="282" t="s">
        <v>137</v>
      </c>
      <c r="C47" s="282" t="s">
        <v>567</v>
      </c>
      <c r="D47" s="6">
        <f>SUM(D38:D46)</f>
        <v>3.4801099289240832E-4</v>
      </c>
      <c r="E47" s="6">
        <f t="shared" ref="E47:L47" si="5">SUM(E38:E46)</f>
        <v>-4.9127789014179711E-4</v>
      </c>
      <c r="F47" s="6">
        <f t="shared" si="5"/>
        <v>-6.5110787635362861E-4</v>
      </c>
      <c r="G47" s="6">
        <f t="shared" si="5"/>
        <v>1.2844409754224318E-4</v>
      </c>
      <c r="H47" s="6">
        <f t="shared" si="5"/>
        <v>-5.3056813275847927E-4</v>
      </c>
      <c r="I47" s="6">
        <f t="shared" si="5"/>
        <v>-6.5894095654975998E-4</v>
      </c>
      <c r="J47" s="6">
        <f t="shared" si="5"/>
        <v>6.0020461174546734E-4</v>
      </c>
      <c r="K47" s="6">
        <f t="shared" si="5"/>
        <v>4.7732104865155116E-4</v>
      </c>
      <c r="L47" s="6">
        <f t="shared" si="5"/>
        <v>3.792960026473951E-4</v>
      </c>
      <c r="M47" s="4"/>
    </row>
    <row r="48" spans="1:20" outlineLevel="1" x14ac:dyDescent="0.35">
      <c r="M48" s="4"/>
      <c r="T48" s="282"/>
    </row>
    <row r="49" spans="1:23" s="33" customFormat="1" ht="15.5" x14ac:dyDescent="0.35">
      <c r="A49" s="51" t="s">
        <v>503</v>
      </c>
      <c r="B49" s="4"/>
      <c r="C49" s="4"/>
      <c r="D49" s="4"/>
      <c r="E49" s="4"/>
      <c r="F49" s="4"/>
      <c r="G49" s="4"/>
      <c r="H49" s="4"/>
      <c r="I49" s="4"/>
      <c r="J49" s="4"/>
      <c r="K49" s="4"/>
      <c r="L49" s="4"/>
      <c r="M49" s="4"/>
      <c r="N49" s="282"/>
      <c r="O49" s="282"/>
      <c r="P49" s="282"/>
      <c r="Q49" s="282"/>
      <c r="R49" s="282"/>
      <c r="S49" s="282"/>
      <c r="T49" s="282"/>
      <c r="U49" s="282"/>
      <c r="V49" s="282"/>
      <c r="W49" s="282"/>
    </row>
    <row r="50" spans="1:23" s="33" customFormat="1" outlineLevel="1" x14ac:dyDescent="0.35">
      <c r="A50" s="15" t="s">
        <v>568</v>
      </c>
      <c r="B50" s="30"/>
      <c r="C50" s="140" t="s">
        <v>180</v>
      </c>
      <c r="D50" s="6" t="s">
        <v>889</v>
      </c>
      <c r="E50" s="6" t="s">
        <v>891</v>
      </c>
      <c r="F50" s="6" t="s">
        <v>890</v>
      </c>
      <c r="G50" s="6" t="s">
        <v>892</v>
      </c>
      <c r="H50" s="6" t="s">
        <v>893</v>
      </c>
      <c r="I50" s="6" t="s">
        <v>894</v>
      </c>
      <c r="J50" s="6" t="s">
        <v>896</v>
      </c>
      <c r="K50" s="6" t="s">
        <v>897</v>
      </c>
      <c r="L50" s="6" t="s">
        <v>895</v>
      </c>
      <c r="M50" s="4"/>
      <c r="N50" s="282"/>
      <c r="O50" s="282"/>
      <c r="P50" s="282"/>
      <c r="Q50" s="282"/>
      <c r="R50" s="282"/>
      <c r="S50" s="282"/>
      <c r="T50" s="282"/>
      <c r="U50" s="282"/>
      <c r="V50" s="282"/>
      <c r="W50" s="282"/>
    </row>
    <row r="51" spans="1:23" s="33" customFormat="1" outlineLevel="1" x14ac:dyDescent="0.35">
      <c r="B51" s="282" t="s">
        <v>117</v>
      </c>
      <c r="C51" s="282" t="s">
        <v>567</v>
      </c>
      <c r="D51" s="6">
        <f>'Results ReCiPe (H) - HHD'!B467</f>
        <v>6.6853280384452626E-5</v>
      </c>
      <c r="E51" s="6">
        <f>'Results ReCiPe (H) - HHD'!C467</f>
        <v>6.4027258518085386E-5</v>
      </c>
      <c r="F51" s="6">
        <f>'Results ReCiPe (H) - HHD'!D467</f>
        <v>5.794571268055849E-5</v>
      </c>
      <c r="G51" s="6">
        <f>'Results ReCiPe (H) - HHD'!E467</f>
        <v>6.6853280384452626E-5</v>
      </c>
      <c r="H51" s="6">
        <f>'Results ReCiPe (H) - HHD'!F467</f>
        <v>6.4027258518085386E-5</v>
      </c>
      <c r="I51" s="6">
        <f>'Results ReCiPe (H) - HHD'!G467</f>
        <v>5.794571268055849E-5</v>
      </c>
      <c r="J51" s="6">
        <f>'Results ReCiPe (H) - HHD'!H467</f>
        <v>1.2783620330818223E-4</v>
      </c>
      <c r="K51" s="6">
        <f>'Results ReCiPe (H) - HHD'!I467</f>
        <v>1.2224287529591124E-4</v>
      </c>
      <c r="L51" s="6">
        <f>'Results ReCiPe (H) - HHD'!J467</f>
        <v>1.1019930815134711E-4</v>
      </c>
      <c r="M51" s="4"/>
      <c r="N51" s="282"/>
      <c r="O51" s="282"/>
      <c r="P51" s="282"/>
      <c r="Q51" s="282"/>
      <c r="R51" s="282"/>
      <c r="S51" s="282"/>
      <c r="T51" s="282"/>
      <c r="U51" s="282"/>
      <c r="V51" s="282"/>
      <c r="W51" s="282"/>
    </row>
    <row r="52" spans="1:23" s="33" customFormat="1" outlineLevel="1" x14ac:dyDescent="0.35">
      <c r="A52" s="282"/>
      <c r="B52" s="282" t="s">
        <v>118</v>
      </c>
      <c r="C52" s="282" t="s">
        <v>567</v>
      </c>
      <c r="D52" s="6">
        <f>'Results ReCiPe (H) - HHD'!B468</f>
        <v>4.0040114297033507E-6</v>
      </c>
      <c r="E52" s="6">
        <f>'Results ReCiPe (H) - HHD'!C468</f>
        <v>3.8025533906393124E-6</v>
      </c>
      <c r="F52" s="6">
        <f>'Results ReCiPe (H) - HHD'!D468</f>
        <v>3.5909746967405102E-6</v>
      </c>
      <c r="G52" s="6">
        <f>'Results ReCiPe (H) - HHD'!E468</f>
        <v>4.0040114297033507E-6</v>
      </c>
      <c r="H52" s="6">
        <f>'Results ReCiPe (H) - HHD'!F468</f>
        <v>3.8025533906393124E-6</v>
      </c>
      <c r="I52" s="6">
        <f>'Results ReCiPe (H) - HHD'!G468</f>
        <v>3.5909746967405102E-6</v>
      </c>
      <c r="J52" s="6">
        <f>'Results ReCiPe (H) - HHD'!H468</f>
        <v>4.0040114297033507E-6</v>
      </c>
      <c r="K52" s="6">
        <f>'Results ReCiPe (H) - HHD'!I468</f>
        <v>3.8025533906393124E-6</v>
      </c>
      <c r="L52" s="6">
        <f>'Results ReCiPe (H) - HHD'!J468</f>
        <v>3.5909746967405102E-6</v>
      </c>
      <c r="M52" s="4"/>
      <c r="R52" s="32"/>
    </row>
    <row r="53" spans="1:23" s="33" customFormat="1" outlineLevel="1" x14ac:dyDescent="0.35">
      <c r="A53" s="282"/>
      <c r="B53" s="282" t="s">
        <v>119</v>
      </c>
      <c r="C53" s="282" t="s">
        <v>567</v>
      </c>
      <c r="D53" s="6">
        <f>'Results ReCiPe (H) - HHD'!B469</f>
        <v>5.3842860968435531E-7</v>
      </c>
      <c r="E53" s="6">
        <f>'Results ReCiPe (H) - HHD'!C469</f>
        <v>4.8155270986090666E-7</v>
      </c>
      <c r="F53" s="6">
        <f>'Results ReCiPe (H) - HHD'!D469</f>
        <v>4.5457967317424136E-7</v>
      </c>
      <c r="G53" s="6">
        <f>'Results ReCiPe (H) - HHD'!E469</f>
        <v>5.3842860968435531E-7</v>
      </c>
      <c r="H53" s="6">
        <f>'Results ReCiPe (H) - HHD'!F469</f>
        <v>4.8155270986090666E-7</v>
      </c>
      <c r="I53" s="6">
        <f>'Results ReCiPe (H) - HHD'!G469</f>
        <v>4.5457967317424136E-7</v>
      </c>
      <c r="J53" s="6">
        <f>'Results ReCiPe (H) - HHD'!H469</f>
        <v>1.0768572193687106E-6</v>
      </c>
      <c r="K53" s="6">
        <f>'Results ReCiPe (H) - HHD'!I469</f>
        <v>9.6310541972181332E-7</v>
      </c>
      <c r="L53" s="6">
        <f>'Results ReCiPe (H) - HHD'!J469</f>
        <v>9.0915934634848273E-7</v>
      </c>
      <c r="M53" s="4"/>
      <c r="R53" s="6"/>
    </row>
    <row r="54" spans="1:23" s="33" customFormat="1" outlineLevel="1" x14ac:dyDescent="0.35">
      <c r="A54" s="282"/>
      <c r="B54" s="282" t="s">
        <v>120</v>
      </c>
      <c r="C54" s="282" t="s">
        <v>567</v>
      </c>
      <c r="D54" s="6">
        <f>'Results ReCiPe (H) - HHD'!B470</f>
        <v>1.4907496099019133E-8</v>
      </c>
      <c r="E54" s="6">
        <f>'Results ReCiPe (H) - HHD'!C470</f>
        <v>1.4090857538857629E-8</v>
      </c>
      <c r="F54" s="6">
        <f>'Results ReCiPe (H) - HHD'!D470</f>
        <v>1.3616739030439631E-8</v>
      </c>
      <c r="G54" s="6">
        <f>'Results ReCiPe (H) - HHD'!E470</f>
        <v>1.4907496099019133E-8</v>
      </c>
      <c r="H54" s="6">
        <f>'Results ReCiPe (H) - HHD'!F470</f>
        <v>1.4090857538857629E-8</v>
      </c>
      <c r="I54" s="6">
        <f>'Results ReCiPe (H) - HHD'!G470</f>
        <v>1.3616739030439631E-8</v>
      </c>
      <c r="J54" s="6">
        <f>'Results ReCiPe (H) - HHD'!H470</f>
        <v>1.4907496099019133E-8</v>
      </c>
      <c r="K54" s="6">
        <f>'Results ReCiPe (H) - HHD'!I470</f>
        <v>1.4090857538857629E-8</v>
      </c>
      <c r="L54" s="6">
        <f>'Results ReCiPe (H) - HHD'!J470</f>
        <v>1.3616739030439631E-8</v>
      </c>
      <c r="M54" s="4"/>
      <c r="R54" s="6"/>
    </row>
    <row r="55" spans="1:23" s="33" customFormat="1" outlineLevel="1" x14ac:dyDescent="0.35">
      <c r="A55" s="282"/>
      <c r="B55" s="282" t="s">
        <v>121</v>
      </c>
      <c r="C55" s="282" t="s">
        <v>567</v>
      </c>
      <c r="D55" s="6">
        <f>'Results ReCiPe (H) - HHD'!B471</f>
        <v>8.3992169268362136E-6</v>
      </c>
      <c r="E55" s="6">
        <f>'Results ReCiPe (H) - HHD'!C471</f>
        <v>7.2964263088321881E-6</v>
      </c>
      <c r="F55" s="6">
        <f>'Results ReCiPe (H) - HHD'!D471</f>
        <v>6.5857117699468779E-6</v>
      </c>
      <c r="G55" s="6">
        <f>'Results ReCiPe (H) - HHD'!E471</f>
        <v>8.3992169268362136E-6</v>
      </c>
      <c r="H55" s="6">
        <f>'Results ReCiPe (H) - HHD'!F471</f>
        <v>7.2964263088321881E-6</v>
      </c>
      <c r="I55" s="6">
        <f>'Results ReCiPe (H) - HHD'!G471</f>
        <v>6.5857117699468779E-6</v>
      </c>
      <c r="J55" s="6">
        <f>'Results ReCiPe (H) - HHD'!H471</f>
        <v>1.6798433853672427E-5</v>
      </c>
      <c r="K55" s="6">
        <f>'Results ReCiPe (H) - HHD'!I471</f>
        <v>1.4592852617664376E-5</v>
      </c>
      <c r="L55" s="6">
        <f>'Results ReCiPe (H) - HHD'!J471</f>
        <v>1.3171423539893756E-5</v>
      </c>
      <c r="M55" s="4"/>
      <c r="R55" s="6"/>
    </row>
    <row r="56" spans="1:23" s="33" customFormat="1" outlineLevel="1" x14ac:dyDescent="0.35">
      <c r="A56" s="282"/>
      <c r="B56" s="282" t="s">
        <v>797</v>
      </c>
      <c r="C56" s="282" t="s">
        <v>567</v>
      </c>
      <c r="D56" s="6">
        <f>'Results ReCiPe (H) - HHD'!B472</f>
        <v>0</v>
      </c>
      <c r="E56" s="6">
        <f>'Results ReCiPe (H) - HHD'!C472</f>
        <v>0</v>
      </c>
      <c r="F56" s="6">
        <f>'Results ReCiPe (H) - HHD'!D472</f>
        <v>0</v>
      </c>
      <c r="G56" s="6">
        <f>'Results ReCiPe (H) - HHD'!E472</f>
        <v>0</v>
      </c>
      <c r="H56" s="6">
        <f>'Results ReCiPe (H) - HHD'!F472</f>
        <v>0</v>
      </c>
      <c r="I56" s="6">
        <f>'Results ReCiPe (H) - HHD'!G472</f>
        <v>0</v>
      </c>
      <c r="J56" s="6">
        <f>'Results ReCiPe (H) - HHD'!H472</f>
        <v>7.52137686956862E-4</v>
      </c>
      <c r="K56" s="6">
        <f>'Results ReCiPe (H) - HHD'!I472</f>
        <v>7.3397540621486621E-4</v>
      </c>
      <c r="L56" s="6">
        <f>'Results ReCiPe (H) - HHD'!J472</f>
        <v>6.8187832086746847E-4</v>
      </c>
      <c r="M56" s="4"/>
      <c r="R56" s="6"/>
    </row>
    <row r="57" spans="1:23" s="33" customFormat="1" outlineLevel="1" x14ac:dyDescent="0.35">
      <c r="A57" s="282"/>
      <c r="B57" s="282" t="s">
        <v>122</v>
      </c>
      <c r="C57" s="282" t="s">
        <v>567</v>
      </c>
      <c r="D57" s="6">
        <f>'Results ReCiPe (H) - HHD'!B473</f>
        <v>1.0864615132376188E-3</v>
      </c>
      <c r="E57" s="6">
        <f>'Results ReCiPe (H) - HHD'!C473</f>
        <v>3.1060149197345745E-4</v>
      </c>
      <c r="F57" s="6">
        <f>'Results ReCiPe (H) - HHD'!D473</f>
        <v>1.6993610666151968E-4</v>
      </c>
      <c r="G57" s="6">
        <f>'Results ReCiPe (H) - HHD'!E473</f>
        <v>8.6689461788745366E-4</v>
      </c>
      <c r="H57" s="6">
        <f>'Results ReCiPe (H) - HHD'!F473</f>
        <v>2.7131124935677535E-4</v>
      </c>
      <c r="I57" s="6">
        <f>'Results ReCiPe (H) - HHD'!G473</f>
        <v>1.6210302646538829E-4</v>
      </c>
      <c r="J57" s="6">
        <f>'Results ReCiPe (H) - HHD'!H473</f>
        <v>5.0429260636688296E-4</v>
      </c>
      <c r="K57" s="6">
        <f>'Results ReCiPe (H) - HHD'!I473</f>
        <v>4.6749199485788325E-4</v>
      </c>
      <c r="L57" s="6">
        <f>'Results ReCiPe (H) - HHD'!J473</f>
        <v>4.486261428523726E-4</v>
      </c>
      <c r="M57" s="4"/>
      <c r="R57" s="6"/>
    </row>
    <row r="58" spans="1:23" s="33" customFormat="1" outlineLevel="1" x14ac:dyDescent="0.35">
      <c r="A58" s="282"/>
      <c r="B58" s="282" t="s">
        <v>123</v>
      </c>
      <c r="C58" s="282" t="s">
        <v>567</v>
      </c>
      <c r="D58" s="6">
        <f>'Results ReCiPe (H) - HHD'!B474</f>
        <v>9.5457509224026042E-5</v>
      </c>
      <c r="E58" s="6">
        <f>'Results ReCiPe (H) - HHD'!C474</f>
        <v>3.6833645004563829E-5</v>
      </c>
      <c r="F58" s="6">
        <f>'Results ReCiPe (H) - HHD'!D474</f>
        <v>2.5964444667500321E-5</v>
      </c>
      <c r="G58" s="6">
        <f>'Results ReCiPe (H) - HHD'!E474</f>
        <v>9.5457509224026042E-5</v>
      </c>
      <c r="H58" s="6">
        <f>'Results ReCiPe (H) - HHD'!F474</f>
        <v>3.6833645004563829E-5</v>
      </c>
      <c r="I58" s="6">
        <f>'Results ReCiPe (H) - HHD'!G474</f>
        <v>2.5964444667500321E-5</v>
      </c>
      <c r="J58" s="6">
        <f>'Results ReCiPe (H) - HHD'!H474</f>
        <v>9.5457509224026042E-5</v>
      </c>
      <c r="K58" s="6">
        <f>'Results ReCiPe (H) - HHD'!I474</f>
        <v>3.6833645004563829E-5</v>
      </c>
      <c r="L58" s="6">
        <f>'Results ReCiPe (H) - HHD'!J474</f>
        <v>2.5964444667500321E-5</v>
      </c>
      <c r="M58" s="4"/>
      <c r="R58" s="282"/>
    </row>
    <row r="59" spans="1:23" s="33" customFormat="1" outlineLevel="1" x14ac:dyDescent="0.35">
      <c r="A59" s="282"/>
      <c r="B59" s="282" t="s">
        <v>124</v>
      </c>
      <c r="C59" s="282" t="s">
        <v>567</v>
      </c>
      <c r="D59" s="6">
        <f>'Results ReCiPe (H) - HHD'!B475</f>
        <v>-9.279999999999999E-4</v>
      </c>
      <c r="E59" s="6">
        <f>'Results ReCiPe (H) - HHD'!C475</f>
        <v>-9.279999999999999E-4</v>
      </c>
      <c r="F59" s="6">
        <f>'Results ReCiPe (H) - HHD'!D475</f>
        <v>-9.279999999999999E-4</v>
      </c>
      <c r="G59" s="6">
        <f>'Results ReCiPe (H) - HHD'!E475</f>
        <v>-9.279999999999999E-4</v>
      </c>
      <c r="H59" s="6">
        <f>'Results ReCiPe (H) - HHD'!F475</f>
        <v>-9.279999999999999E-4</v>
      </c>
      <c r="I59" s="6">
        <f>'Results ReCiPe (H) - HHD'!G475</f>
        <v>-9.279999999999999E-4</v>
      </c>
      <c r="J59" s="6">
        <f>'Results ReCiPe (H) - HHD'!H475</f>
        <v>-9.279999999999999E-4</v>
      </c>
      <c r="K59" s="6">
        <f>'Results ReCiPe (H) - HHD'!I475</f>
        <v>-9.279999999999999E-4</v>
      </c>
      <c r="L59" s="6">
        <f>'Results ReCiPe (H) - HHD'!J475</f>
        <v>-9.279999999999999E-4</v>
      </c>
      <c r="M59" s="4"/>
      <c r="R59" s="282"/>
    </row>
    <row r="60" spans="1:23" s="33" customFormat="1" outlineLevel="1" x14ac:dyDescent="0.35">
      <c r="A60" s="282"/>
      <c r="B60" s="282" t="s">
        <v>137</v>
      </c>
      <c r="C60" s="282" t="s">
        <v>567</v>
      </c>
      <c r="D60" s="6">
        <f>'Results ReCiPe (H) - HHD'!B476</f>
        <v>3.337288673084206E-4</v>
      </c>
      <c r="E60" s="6">
        <f>'Results ReCiPe (H) - HHD'!C476</f>
        <v>-5.0494298123702206E-4</v>
      </c>
      <c r="F60" s="6">
        <f>'Results ReCiPe (H) - HHD'!D476</f>
        <v>-6.6350885311152938E-4</v>
      </c>
      <c r="G60" s="6">
        <f>'Results ReCiPe (H) - HHD'!E476</f>
        <v>1.1416197195825549E-4</v>
      </c>
      <c r="H60" s="6">
        <f>'Results ReCiPe (H) - HHD'!F476</f>
        <v>-5.4423322385370421E-4</v>
      </c>
      <c r="I60" s="6">
        <f>'Results ReCiPe (H) - HHD'!G476</f>
        <v>-6.7134193330766075E-4</v>
      </c>
      <c r="J60" s="6">
        <f>'Results ReCiPe (H) - HHD'!H476</f>
        <v>5.7361821585479695E-4</v>
      </c>
      <c r="K60" s="6">
        <f>'Results ReCiPe (H) - HHD'!I476</f>
        <v>4.5191652365878887E-4</v>
      </c>
      <c r="L60" s="6">
        <f>'Results ReCiPe (H) - HHD'!J476</f>
        <v>3.5635339086070183E-4</v>
      </c>
      <c r="M60" s="4"/>
      <c r="R60" s="282"/>
    </row>
    <row r="61" spans="1:23" s="33" customFormat="1" outlineLevel="1" x14ac:dyDescent="0.35">
      <c r="A61" s="282"/>
      <c r="B61" s="282"/>
      <c r="C61" s="282"/>
      <c r="D61" s="3"/>
      <c r="E61" s="3"/>
      <c r="F61" s="3"/>
      <c r="G61" s="3"/>
      <c r="H61" s="3"/>
      <c r="I61" s="3"/>
      <c r="J61" s="3"/>
      <c r="K61" s="3"/>
      <c r="L61" s="3"/>
      <c r="M61" s="4"/>
      <c r="R61" s="282"/>
    </row>
    <row r="62" spans="1:23" s="33" customFormat="1" outlineLevel="1" x14ac:dyDescent="0.35">
      <c r="A62" s="15" t="s">
        <v>569</v>
      </c>
      <c r="B62" s="30"/>
      <c r="C62" s="140" t="s">
        <v>180</v>
      </c>
      <c r="D62" s="6" t="s">
        <v>889</v>
      </c>
      <c r="E62" s="6" t="s">
        <v>891</v>
      </c>
      <c r="F62" s="6" t="s">
        <v>890</v>
      </c>
      <c r="G62" s="6" t="s">
        <v>892</v>
      </c>
      <c r="H62" s="6" t="s">
        <v>893</v>
      </c>
      <c r="I62" s="6" t="s">
        <v>894</v>
      </c>
      <c r="J62" s="6" t="s">
        <v>896</v>
      </c>
      <c r="K62" s="6" t="s">
        <v>897</v>
      </c>
      <c r="L62" s="6" t="s">
        <v>895</v>
      </c>
      <c r="M62" s="4"/>
      <c r="N62" s="282"/>
      <c r="O62" s="282"/>
      <c r="P62" s="282"/>
      <c r="R62" s="282"/>
    </row>
    <row r="63" spans="1:23" s="33" customFormat="1" outlineLevel="1" x14ac:dyDescent="0.35">
      <c r="A63" s="282"/>
      <c r="B63" s="282" t="s">
        <v>117</v>
      </c>
      <c r="C63" s="282" t="s">
        <v>567</v>
      </c>
      <c r="D63" s="6">
        <f t="shared" ref="D63:L68" si="6">D51</f>
        <v>6.6853280384452626E-5</v>
      </c>
      <c r="E63" s="6">
        <f t="shared" si="6"/>
        <v>6.4027258518085386E-5</v>
      </c>
      <c r="F63" s="6">
        <f t="shared" si="6"/>
        <v>5.794571268055849E-5</v>
      </c>
      <c r="G63" s="6">
        <f t="shared" si="6"/>
        <v>6.6853280384452626E-5</v>
      </c>
      <c r="H63" s="6">
        <f t="shared" si="6"/>
        <v>6.4027258518085386E-5</v>
      </c>
      <c r="I63" s="6">
        <f t="shared" si="6"/>
        <v>5.794571268055849E-5</v>
      </c>
      <c r="J63" s="6">
        <f t="shared" si="6"/>
        <v>1.2783620330818223E-4</v>
      </c>
      <c r="K63" s="6">
        <f t="shared" si="6"/>
        <v>1.2224287529591124E-4</v>
      </c>
      <c r="L63" s="6">
        <f t="shared" si="6"/>
        <v>1.1019930815134711E-4</v>
      </c>
      <c r="M63" s="4"/>
      <c r="N63" s="282"/>
      <c r="O63" s="282"/>
      <c r="P63" s="282"/>
      <c r="R63" s="282"/>
    </row>
    <row r="64" spans="1:23" s="33" customFormat="1" outlineLevel="1" x14ac:dyDescent="0.35">
      <c r="A64" s="282"/>
      <c r="B64" s="282" t="s">
        <v>118</v>
      </c>
      <c r="C64" s="282" t="s">
        <v>567</v>
      </c>
      <c r="D64" s="6">
        <f t="shared" si="6"/>
        <v>4.0040114297033507E-6</v>
      </c>
      <c r="E64" s="6">
        <f t="shared" si="6"/>
        <v>3.8025533906393124E-6</v>
      </c>
      <c r="F64" s="6">
        <f t="shared" si="6"/>
        <v>3.5909746967405102E-6</v>
      </c>
      <c r="G64" s="6">
        <f t="shared" si="6"/>
        <v>4.0040114297033507E-6</v>
      </c>
      <c r="H64" s="6">
        <f t="shared" si="6"/>
        <v>3.8025533906393124E-6</v>
      </c>
      <c r="I64" s="6">
        <f t="shared" si="6"/>
        <v>3.5909746967405102E-6</v>
      </c>
      <c r="J64" s="6">
        <f t="shared" si="6"/>
        <v>4.0040114297033507E-6</v>
      </c>
      <c r="K64" s="6">
        <f t="shared" si="6"/>
        <v>3.8025533906393124E-6</v>
      </c>
      <c r="L64" s="6">
        <f t="shared" si="6"/>
        <v>3.5909746967405102E-6</v>
      </c>
      <c r="M64" s="4"/>
      <c r="N64" s="282"/>
      <c r="O64" s="282"/>
      <c r="P64" s="282"/>
      <c r="R64" s="282"/>
    </row>
    <row r="65" spans="1:18" s="33" customFormat="1" outlineLevel="1" x14ac:dyDescent="0.35">
      <c r="A65" s="282"/>
      <c r="B65" s="282" t="s">
        <v>119</v>
      </c>
      <c r="C65" s="282" t="s">
        <v>567</v>
      </c>
      <c r="D65" s="6">
        <f t="shared" si="6"/>
        <v>5.3842860968435531E-7</v>
      </c>
      <c r="E65" s="6">
        <f t="shared" si="6"/>
        <v>4.8155270986090666E-7</v>
      </c>
      <c r="F65" s="6">
        <f t="shared" si="6"/>
        <v>4.5457967317424136E-7</v>
      </c>
      <c r="G65" s="6">
        <f t="shared" si="6"/>
        <v>5.3842860968435531E-7</v>
      </c>
      <c r="H65" s="6">
        <f t="shared" si="6"/>
        <v>4.8155270986090666E-7</v>
      </c>
      <c r="I65" s="6">
        <f t="shared" si="6"/>
        <v>4.5457967317424136E-7</v>
      </c>
      <c r="J65" s="6">
        <f t="shared" si="6"/>
        <v>1.0768572193687106E-6</v>
      </c>
      <c r="K65" s="6">
        <f t="shared" si="6"/>
        <v>9.6310541972181332E-7</v>
      </c>
      <c r="L65" s="6">
        <f t="shared" si="6"/>
        <v>9.0915934634848273E-7</v>
      </c>
      <c r="M65" s="4"/>
      <c r="N65" s="282"/>
      <c r="O65" s="282"/>
      <c r="P65" s="282"/>
      <c r="Q65" s="282"/>
      <c r="R65" s="282"/>
    </row>
    <row r="66" spans="1:18" s="33" customFormat="1" outlineLevel="1" x14ac:dyDescent="0.35">
      <c r="A66" s="282"/>
      <c r="B66" s="282" t="s">
        <v>120</v>
      </c>
      <c r="C66" s="282" t="s">
        <v>567</v>
      </c>
      <c r="D66" s="6">
        <f t="shared" si="6"/>
        <v>1.4907496099019133E-8</v>
      </c>
      <c r="E66" s="6">
        <f t="shared" si="6"/>
        <v>1.4090857538857629E-8</v>
      </c>
      <c r="F66" s="6">
        <f t="shared" si="6"/>
        <v>1.3616739030439631E-8</v>
      </c>
      <c r="G66" s="6">
        <f t="shared" si="6"/>
        <v>1.4907496099019133E-8</v>
      </c>
      <c r="H66" s="6">
        <f t="shared" si="6"/>
        <v>1.4090857538857629E-8</v>
      </c>
      <c r="I66" s="6">
        <f t="shared" si="6"/>
        <v>1.3616739030439631E-8</v>
      </c>
      <c r="J66" s="6">
        <f t="shared" si="6"/>
        <v>1.4907496099019133E-8</v>
      </c>
      <c r="K66" s="6">
        <f t="shared" si="6"/>
        <v>1.4090857538857629E-8</v>
      </c>
      <c r="L66" s="6">
        <f t="shared" si="6"/>
        <v>1.3616739030439631E-8</v>
      </c>
      <c r="M66" s="4"/>
      <c r="N66" s="282"/>
      <c r="O66" s="282"/>
      <c r="P66" s="282"/>
      <c r="Q66" s="282"/>
      <c r="R66" s="282"/>
    </row>
    <row r="67" spans="1:18" s="33" customFormat="1" outlineLevel="1" x14ac:dyDescent="0.35">
      <c r="A67" s="282"/>
      <c r="B67" s="282" t="s">
        <v>121</v>
      </c>
      <c r="C67" s="282" t="s">
        <v>567</v>
      </c>
      <c r="D67" s="6">
        <f t="shared" si="6"/>
        <v>8.3992169268362136E-6</v>
      </c>
      <c r="E67" s="6">
        <f t="shared" si="6"/>
        <v>7.2964263088321881E-6</v>
      </c>
      <c r="F67" s="6">
        <f t="shared" si="6"/>
        <v>6.5857117699468779E-6</v>
      </c>
      <c r="G67" s="6">
        <f t="shared" si="6"/>
        <v>8.3992169268362136E-6</v>
      </c>
      <c r="H67" s="6">
        <f t="shared" si="6"/>
        <v>7.2964263088321881E-6</v>
      </c>
      <c r="I67" s="6">
        <f t="shared" si="6"/>
        <v>6.5857117699468779E-6</v>
      </c>
      <c r="J67" s="6">
        <f t="shared" si="6"/>
        <v>1.6798433853672427E-5</v>
      </c>
      <c r="K67" s="6">
        <f t="shared" si="6"/>
        <v>1.4592852617664376E-5</v>
      </c>
      <c r="L67" s="6">
        <f t="shared" si="6"/>
        <v>1.3171423539893756E-5</v>
      </c>
      <c r="M67" s="4"/>
      <c r="N67" s="282"/>
      <c r="O67" s="282"/>
      <c r="P67" s="282"/>
      <c r="Q67" s="282"/>
      <c r="R67" s="282"/>
    </row>
    <row r="68" spans="1:18" s="33" customFormat="1" outlineLevel="1" x14ac:dyDescent="0.35">
      <c r="A68" s="282"/>
      <c r="B68" s="282" t="s">
        <v>797</v>
      </c>
      <c r="C68" s="282" t="s">
        <v>567</v>
      </c>
      <c r="D68" s="6">
        <f t="shared" si="6"/>
        <v>0</v>
      </c>
      <c r="E68" s="6">
        <f t="shared" si="6"/>
        <v>0</v>
      </c>
      <c r="F68" s="6">
        <f t="shared" si="6"/>
        <v>0</v>
      </c>
      <c r="G68" s="6">
        <f t="shared" si="6"/>
        <v>0</v>
      </c>
      <c r="H68" s="6">
        <f t="shared" si="6"/>
        <v>0</v>
      </c>
      <c r="I68" s="6">
        <f t="shared" si="6"/>
        <v>0</v>
      </c>
      <c r="J68" s="6">
        <f t="shared" si="6"/>
        <v>7.52137686956862E-4</v>
      </c>
      <c r="K68" s="6">
        <f t="shared" si="6"/>
        <v>7.3397540621486621E-4</v>
      </c>
      <c r="L68" s="6">
        <f t="shared" si="6"/>
        <v>6.8187832086746847E-4</v>
      </c>
      <c r="M68" s="4"/>
      <c r="N68" s="282"/>
      <c r="O68" s="282"/>
      <c r="P68" s="282"/>
      <c r="Q68" s="282"/>
      <c r="R68" s="282"/>
    </row>
    <row r="69" spans="1:18" s="33" customFormat="1" outlineLevel="1" x14ac:dyDescent="0.35">
      <c r="A69" s="282"/>
      <c r="B69" s="282" t="s">
        <v>122</v>
      </c>
      <c r="C69" s="282" t="s">
        <v>567</v>
      </c>
      <c r="D69" s="6">
        <f>D57/150*100</f>
        <v>7.2430767549174586E-4</v>
      </c>
      <c r="E69" s="6">
        <f t="shared" ref="E69:L69" si="7">E57/150*100</f>
        <v>2.0706766131563831E-4</v>
      </c>
      <c r="F69" s="6">
        <f t="shared" si="7"/>
        <v>1.1329073777434645E-4</v>
      </c>
      <c r="G69" s="6">
        <f t="shared" si="7"/>
        <v>5.7792974525830237E-4</v>
      </c>
      <c r="H69" s="6">
        <f t="shared" si="7"/>
        <v>1.8087416623785023E-4</v>
      </c>
      <c r="I69" s="6">
        <f t="shared" si="7"/>
        <v>1.0806868431025884E-4</v>
      </c>
      <c r="J69" s="6">
        <f t="shared" si="7"/>
        <v>3.3619507091125534E-4</v>
      </c>
      <c r="K69" s="6">
        <f t="shared" si="7"/>
        <v>3.1166132990525548E-4</v>
      </c>
      <c r="L69" s="6">
        <f t="shared" si="7"/>
        <v>2.9908409523491503E-4</v>
      </c>
      <c r="M69" s="4"/>
      <c r="N69" s="282"/>
      <c r="O69" s="282"/>
      <c r="P69" s="282"/>
      <c r="Q69" s="282"/>
      <c r="R69" s="282"/>
    </row>
    <row r="70" spans="1:18" s="33" customFormat="1" outlineLevel="1" x14ac:dyDescent="0.35">
      <c r="A70" s="282"/>
      <c r="B70" s="282" t="s">
        <v>123</v>
      </c>
      <c r="C70" s="282" t="s">
        <v>567</v>
      </c>
      <c r="D70" s="6">
        <f>D58</f>
        <v>9.5457509224026042E-5</v>
      </c>
      <c r="E70" s="6">
        <f t="shared" ref="E70:L71" si="8">E58</f>
        <v>3.6833645004563829E-5</v>
      </c>
      <c r="F70" s="6">
        <f t="shared" si="8"/>
        <v>2.5964444667500321E-5</v>
      </c>
      <c r="G70" s="6">
        <f t="shared" si="8"/>
        <v>9.5457509224026042E-5</v>
      </c>
      <c r="H70" s="6">
        <f t="shared" si="8"/>
        <v>3.6833645004563829E-5</v>
      </c>
      <c r="I70" s="6">
        <f t="shared" si="8"/>
        <v>2.5964444667500321E-5</v>
      </c>
      <c r="J70" s="6">
        <f t="shared" si="8"/>
        <v>9.5457509224026042E-5</v>
      </c>
      <c r="K70" s="6">
        <f t="shared" si="8"/>
        <v>3.6833645004563829E-5</v>
      </c>
      <c r="L70" s="6">
        <f t="shared" si="8"/>
        <v>2.5964444667500321E-5</v>
      </c>
      <c r="M70" s="4"/>
      <c r="N70" s="282"/>
      <c r="O70" s="282"/>
      <c r="P70" s="282"/>
      <c r="Q70" s="282"/>
      <c r="R70" s="282"/>
    </row>
    <row r="71" spans="1:18" s="33" customFormat="1" outlineLevel="1" x14ac:dyDescent="0.35">
      <c r="A71" s="282"/>
      <c r="B71" s="282" t="s">
        <v>124</v>
      </c>
      <c r="C71" s="282" t="s">
        <v>567</v>
      </c>
      <c r="D71" s="6">
        <f>D59</f>
        <v>-9.279999999999999E-4</v>
      </c>
      <c r="E71" s="6">
        <f t="shared" si="8"/>
        <v>-9.279999999999999E-4</v>
      </c>
      <c r="F71" s="6">
        <f t="shared" si="8"/>
        <v>-9.279999999999999E-4</v>
      </c>
      <c r="G71" s="6">
        <f t="shared" si="8"/>
        <v>-9.279999999999999E-4</v>
      </c>
      <c r="H71" s="6">
        <f t="shared" si="8"/>
        <v>-9.279999999999999E-4</v>
      </c>
      <c r="I71" s="6">
        <f t="shared" si="8"/>
        <v>-9.279999999999999E-4</v>
      </c>
      <c r="J71" s="6">
        <f t="shared" si="8"/>
        <v>-9.279999999999999E-4</v>
      </c>
      <c r="K71" s="6">
        <f t="shared" si="8"/>
        <v>-9.279999999999999E-4</v>
      </c>
      <c r="L71" s="6">
        <f t="shared" si="8"/>
        <v>-9.279999999999999E-4</v>
      </c>
      <c r="M71" s="4"/>
      <c r="N71" s="282"/>
      <c r="O71" s="282"/>
      <c r="P71" s="282"/>
      <c r="Q71" s="282"/>
      <c r="R71" s="282"/>
    </row>
    <row r="72" spans="1:18" s="33" customFormat="1" outlineLevel="1" x14ac:dyDescent="0.35">
      <c r="A72" s="282"/>
      <c r="B72" s="282" t="s">
        <v>137</v>
      </c>
      <c r="C72" s="282" t="s">
        <v>567</v>
      </c>
      <c r="D72" s="6">
        <f>SUM(D63:D71)</f>
        <v>-2.8424970437452386E-5</v>
      </c>
      <c r="E72" s="6">
        <f t="shared" ref="E72:L72" si="9">SUM(E63:E71)</f>
        <v>-6.0847681189484112E-4</v>
      </c>
      <c r="F72" s="6">
        <f t="shared" si="9"/>
        <v>-7.201542219987026E-4</v>
      </c>
      <c r="G72" s="6">
        <f t="shared" si="9"/>
        <v>-1.7480290067089588E-4</v>
      </c>
      <c r="H72" s="6">
        <f t="shared" si="9"/>
        <v>-6.3467030697262911E-4</v>
      </c>
      <c r="I72" s="6">
        <f t="shared" si="9"/>
        <v>-7.2537627546279018E-4</v>
      </c>
      <c r="J72" s="6">
        <f t="shared" si="9"/>
        <v>4.0552068039916933E-4</v>
      </c>
      <c r="K72" s="6">
        <f t="shared" si="9"/>
        <v>2.9608585870616116E-4</v>
      </c>
      <c r="L72" s="6">
        <f t="shared" si="9"/>
        <v>2.0681134324324437E-4</v>
      </c>
      <c r="M72" s="4"/>
      <c r="N72" s="282"/>
      <c r="O72" s="282"/>
      <c r="P72" s="282"/>
      <c r="Q72" s="282"/>
      <c r="R72" s="282"/>
    </row>
    <row r="73" spans="1:18" s="33" customFormat="1" outlineLevel="1" x14ac:dyDescent="0.35">
      <c r="A73" s="282"/>
      <c r="B73" s="282"/>
      <c r="C73" s="282"/>
      <c r="D73" s="282"/>
      <c r="E73" s="282"/>
      <c r="F73" s="282"/>
      <c r="G73" s="282"/>
      <c r="H73" s="282"/>
      <c r="I73" s="282"/>
      <c r="J73" s="282"/>
      <c r="K73" s="282"/>
      <c r="L73" s="282"/>
      <c r="M73" s="4"/>
      <c r="N73" s="282"/>
      <c r="O73" s="282"/>
      <c r="P73" s="282"/>
      <c r="R73" s="282"/>
    </row>
    <row r="74" spans="1:18" s="33" customFormat="1" outlineLevel="1" x14ac:dyDescent="0.35">
      <c r="A74" s="15" t="s">
        <v>570</v>
      </c>
      <c r="B74" s="30"/>
      <c r="C74" s="140" t="s">
        <v>180</v>
      </c>
      <c r="D74" s="6" t="s">
        <v>889</v>
      </c>
      <c r="E74" s="6" t="s">
        <v>891</v>
      </c>
      <c r="F74" s="6" t="s">
        <v>890</v>
      </c>
      <c r="G74" s="6" t="s">
        <v>892</v>
      </c>
      <c r="H74" s="6" t="s">
        <v>893</v>
      </c>
      <c r="I74" s="6" t="s">
        <v>894</v>
      </c>
      <c r="J74" s="6" t="s">
        <v>896</v>
      </c>
      <c r="K74" s="6" t="s">
        <v>897</v>
      </c>
      <c r="L74" s="6" t="s">
        <v>895</v>
      </c>
      <c r="M74" s="4"/>
      <c r="N74" s="282"/>
      <c r="O74" s="282"/>
      <c r="P74" s="282"/>
      <c r="R74" s="282"/>
    </row>
    <row r="75" spans="1:18" s="33" customFormat="1" outlineLevel="1" x14ac:dyDescent="0.35">
      <c r="A75" s="282"/>
      <c r="B75" s="282" t="s">
        <v>117</v>
      </c>
      <c r="C75" s="282" t="s">
        <v>567</v>
      </c>
      <c r="D75" s="6">
        <f t="shared" ref="D75:L80" si="10">D51</f>
        <v>6.6853280384452626E-5</v>
      </c>
      <c r="E75" s="6">
        <f t="shared" si="10"/>
        <v>6.4027258518085386E-5</v>
      </c>
      <c r="F75" s="6">
        <f t="shared" si="10"/>
        <v>5.794571268055849E-5</v>
      </c>
      <c r="G75" s="6">
        <f t="shared" si="10"/>
        <v>6.6853280384452626E-5</v>
      </c>
      <c r="H75" s="6">
        <f t="shared" si="10"/>
        <v>6.4027258518085386E-5</v>
      </c>
      <c r="I75" s="6">
        <f t="shared" si="10"/>
        <v>5.794571268055849E-5</v>
      </c>
      <c r="J75" s="6">
        <f t="shared" si="10"/>
        <v>1.2783620330818223E-4</v>
      </c>
      <c r="K75" s="6">
        <f t="shared" si="10"/>
        <v>1.2224287529591124E-4</v>
      </c>
      <c r="L75" s="6">
        <f t="shared" si="10"/>
        <v>1.1019930815134711E-4</v>
      </c>
      <c r="M75" s="4"/>
      <c r="N75" s="282"/>
      <c r="O75" s="282"/>
      <c r="P75" s="282"/>
      <c r="R75" s="282"/>
    </row>
    <row r="76" spans="1:18" s="33" customFormat="1" outlineLevel="1" x14ac:dyDescent="0.35">
      <c r="A76" s="282"/>
      <c r="B76" s="282" t="s">
        <v>118</v>
      </c>
      <c r="C76" s="282" t="s">
        <v>567</v>
      </c>
      <c r="D76" s="6">
        <f t="shared" si="10"/>
        <v>4.0040114297033507E-6</v>
      </c>
      <c r="E76" s="6">
        <f t="shared" si="10"/>
        <v>3.8025533906393124E-6</v>
      </c>
      <c r="F76" s="6">
        <f t="shared" si="10"/>
        <v>3.5909746967405102E-6</v>
      </c>
      <c r="G76" s="6">
        <f t="shared" si="10"/>
        <v>4.0040114297033507E-6</v>
      </c>
      <c r="H76" s="6">
        <f t="shared" si="10"/>
        <v>3.8025533906393124E-6</v>
      </c>
      <c r="I76" s="6">
        <f t="shared" si="10"/>
        <v>3.5909746967405102E-6</v>
      </c>
      <c r="J76" s="6">
        <f t="shared" si="10"/>
        <v>4.0040114297033507E-6</v>
      </c>
      <c r="K76" s="6">
        <f t="shared" si="10"/>
        <v>3.8025533906393124E-6</v>
      </c>
      <c r="L76" s="6">
        <f t="shared" si="10"/>
        <v>3.5909746967405102E-6</v>
      </c>
      <c r="M76" s="4"/>
      <c r="N76" s="282"/>
      <c r="O76" s="282"/>
      <c r="P76" s="282"/>
      <c r="R76" s="282"/>
    </row>
    <row r="77" spans="1:18" s="33" customFormat="1" outlineLevel="1" x14ac:dyDescent="0.35">
      <c r="A77" s="282"/>
      <c r="B77" s="282" t="s">
        <v>119</v>
      </c>
      <c r="C77" s="282" t="s">
        <v>567</v>
      </c>
      <c r="D77" s="6">
        <f t="shared" si="10"/>
        <v>5.3842860968435531E-7</v>
      </c>
      <c r="E77" s="6">
        <f t="shared" si="10"/>
        <v>4.8155270986090666E-7</v>
      </c>
      <c r="F77" s="6">
        <f t="shared" si="10"/>
        <v>4.5457967317424136E-7</v>
      </c>
      <c r="G77" s="6">
        <f t="shared" si="10"/>
        <v>5.3842860968435531E-7</v>
      </c>
      <c r="H77" s="6">
        <f t="shared" si="10"/>
        <v>4.8155270986090666E-7</v>
      </c>
      <c r="I77" s="6">
        <f t="shared" si="10"/>
        <v>4.5457967317424136E-7</v>
      </c>
      <c r="J77" s="6">
        <f t="shared" si="10"/>
        <v>1.0768572193687106E-6</v>
      </c>
      <c r="K77" s="6">
        <f t="shared" si="10"/>
        <v>9.6310541972181332E-7</v>
      </c>
      <c r="L77" s="6">
        <f t="shared" si="10"/>
        <v>9.0915934634848273E-7</v>
      </c>
      <c r="M77" s="4"/>
      <c r="N77" s="282"/>
      <c r="O77" s="282"/>
      <c r="P77" s="282"/>
      <c r="Q77" s="282"/>
      <c r="R77" s="282"/>
    </row>
    <row r="78" spans="1:18" s="33" customFormat="1" outlineLevel="1" x14ac:dyDescent="0.35">
      <c r="A78" s="282"/>
      <c r="B78" s="282" t="s">
        <v>120</v>
      </c>
      <c r="C78" s="282" t="s">
        <v>567</v>
      </c>
      <c r="D78" s="6">
        <f t="shared" si="10"/>
        <v>1.4907496099019133E-8</v>
      </c>
      <c r="E78" s="6">
        <f t="shared" si="10"/>
        <v>1.4090857538857629E-8</v>
      </c>
      <c r="F78" s="6">
        <f t="shared" si="10"/>
        <v>1.3616739030439631E-8</v>
      </c>
      <c r="G78" s="6">
        <f t="shared" si="10"/>
        <v>1.4907496099019133E-8</v>
      </c>
      <c r="H78" s="6">
        <f t="shared" si="10"/>
        <v>1.4090857538857629E-8</v>
      </c>
      <c r="I78" s="6">
        <f t="shared" si="10"/>
        <v>1.3616739030439631E-8</v>
      </c>
      <c r="J78" s="6">
        <f t="shared" si="10"/>
        <v>1.4907496099019133E-8</v>
      </c>
      <c r="K78" s="6">
        <f t="shared" si="10"/>
        <v>1.4090857538857629E-8</v>
      </c>
      <c r="L78" s="6">
        <f t="shared" si="10"/>
        <v>1.3616739030439631E-8</v>
      </c>
      <c r="M78" s="4"/>
      <c r="N78" s="282"/>
      <c r="O78" s="282"/>
      <c r="P78" s="282"/>
      <c r="Q78" s="282"/>
      <c r="R78" s="282"/>
    </row>
    <row r="79" spans="1:18" s="33" customFormat="1" outlineLevel="1" x14ac:dyDescent="0.35">
      <c r="A79" s="282"/>
      <c r="B79" s="282" t="s">
        <v>121</v>
      </c>
      <c r="C79" s="282" t="s">
        <v>567</v>
      </c>
      <c r="D79" s="6">
        <f t="shared" si="10"/>
        <v>8.3992169268362136E-6</v>
      </c>
      <c r="E79" s="6">
        <f t="shared" si="10"/>
        <v>7.2964263088321881E-6</v>
      </c>
      <c r="F79" s="6">
        <f t="shared" si="10"/>
        <v>6.5857117699468779E-6</v>
      </c>
      <c r="G79" s="6">
        <f t="shared" si="10"/>
        <v>8.3992169268362136E-6</v>
      </c>
      <c r="H79" s="6">
        <f t="shared" si="10"/>
        <v>7.2964263088321881E-6</v>
      </c>
      <c r="I79" s="6">
        <f t="shared" si="10"/>
        <v>6.5857117699468779E-6</v>
      </c>
      <c r="J79" s="6">
        <f t="shared" si="10"/>
        <v>1.6798433853672427E-5</v>
      </c>
      <c r="K79" s="6">
        <f t="shared" si="10"/>
        <v>1.4592852617664376E-5</v>
      </c>
      <c r="L79" s="6">
        <f t="shared" si="10"/>
        <v>1.3171423539893756E-5</v>
      </c>
      <c r="M79" s="4"/>
      <c r="N79" s="282"/>
      <c r="O79" s="282"/>
      <c r="P79" s="282"/>
      <c r="Q79" s="282"/>
      <c r="R79" s="282"/>
    </row>
    <row r="80" spans="1:18" s="33" customFormat="1" outlineLevel="1" x14ac:dyDescent="0.35">
      <c r="A80" s="282"/>
      <c r="B80" s="282" t="s">
        <v>797</v>
      </c>
      <c r="C80" s="282" t="s">
        <v>567</v>
      </c>
      <c r="D80" s="6">
        <f t="shared" si="10"/>
        <v>0</v>
      </c>
      <c r="E80" s="6">
        <f t="shared" si="10"/>
        <v>0</v>
      </c>
      <c r="F80" s="6">
        <f t="shared" si="10"/>
        <v>0</v>
      </c>
      <c r="G80" s="6">
        <f t="shared" si="10"/>
        <v>0</v>
      </c>
      <c r="H80" s="6">
        <f t="shared" si="10"/>
        <v>0</v>
      </c>
      <c r="I80" s="6">
        <f t="shared" si="10"/>
        <v>0</v>
      </c>
      <c r="J80" s="6">
        <f t="shared" si="10"/>
        <v>7.52137686956862E-4</v>
      </c>
      <c r="K80" s="6">
        <f t="shared" si="10"/>
        <v>7.3397540621486621E-4</v>
      </c>
      <c r="L80" s="6">
        <f t="shared" si="10"/>
        <v>6.8187832086746847E-4</v>
      </c>
      <c r="M80" s="4"/>
      <c r="N80" s="282"/>
      <c r="O80" s="282"/>
      <c r="P80" s="282"/>
      <c r="Q80" s="282"/>
      <c r="R80" s="282"/>
    </row>
    <row r="81" spans="1:24" s="33" customFormat="1" outlineLevel="1" x14ac:dyDescent="0.35">
      <c r="A81" s="282"/>
      <c r="B81" s="282" t="s">
        <v>122</v>
      </c>
      <c r="C81" s="282" t="s">
        <v>567</v>
      </c>
      <c r="D81" s="6">
        <f>D57/150*250</f>
        <v>1.8107691887293647E-3</v>
      </c>
      <c r="E81" s="6">
        <f t="shared" ref="E81:L81" si="11">E57/150*250</f>
        <v>5.1766915328909583E-4</v>
      </c>
      <c r="F81" s="6">
        <f t="shared" si="11"/>
        <v>2.8322684443586615E-4</v>
      </c>
      <c r="G81" s="6">
        <f t="shared" si="11"/>
        <v>1.444824363145756E-3</v>
      </c>
      <c r="H81" s="6">
        <f t="shared" si="11"/>
        <v>4.5218541559462558E-4</v>
      </c>
      <c r="I81" s="6">
        <f t="shared" si="11"/>
        <v>2.7017171077564715E-4</v>
      </c>
      <c r="J81" s="6">
        <f t="shared" si="11"/>
        <v>8.4048767727813831E-4</v>
      </c>
      <c r="K81" s="6">
        <f t="shared" si="11"/>
        <v>7.7915332476313878E-4</v>
      </c>
      <c r="L81" s="6">
        <f t="shared" si="11"/>
        <v>7.4771023808728758E-4</v>
      </c>
      <c r="M81" s="4"/>
      <c r="N81" s="282"/>
      <c r="O81" s="282"/>
      <c r="P81" s="282"/>
      <c r="Q81" s="282"/>
      <c r="R81" s="282"/>
    </row>
    <row r="82" spans="1:24" s="33" customFormat="1" outlineLevel="1" x14ac:dyDescent="0.35">
      <c r="A82" s="282"/>
      <c r="B82" s="282" t="s">
        <v>123</v>
      </c>
      <c r="C82" s="282" t="s">
        <v>567</v>
      </c>
      <c r="D82" s="6">
        <f>D58</f>
        <v>9.5457509224026042E-5</v>
      </c>
      <c r="E82" s="6">
        <f t="shared" ref="E82:L83" si="12">E58</f>
        <v>3.6833645004563829E-5</v>
      </c>
      <c r="F82" s="6">
        <f t="shared" si="12"/>
        <v>2.5964444667500321E-5</v>
      </c>
      <c r="G82" s="6">
        <f t="shared" si="12"/>
        <v>9.5457509224026042E-5</v>
      </c>
      <c r="H82" s="6">
        <f t="shared" si="12"/>
        <v>3.6833645004563829E-5</v>
      </c>
      <c r="I82" s="6">
        <f t="shared" si="12"/>
        <v>2.5964444667500321E-5</v>
      </c>
      <c r="J82" s="6">
        <f t="shared" si="12"/>
        <v>9.5457509224026042E-5</v>
      </c>
      <c r="K82" s="6">
        <f t="shared" si="12"/>
        <v>3.6833645004563829E-5</v>
      </c>
      <c r="L82" s="6">
        <f t="shared" si="12"/>
        <v>2.5964444667500321E-5</v>
      </c>
      <c r="M82" s="4"/>
      <c r="N82" s="282"/>
      <c r="O82" s="282"/>
      <c r="P82" s="282"/>
      <c r="Q82" s="282"/>
      <c r="R82" s="282"/>
    </row>
    <row r="83" spans="1:24" s="33" customFormat="1" outlineLevel="1" x14ac:dyDescent="0.35">
      <c r="A83" s="282"/>
      <c r="B83" s="282" t="s">
        <v>124</v>
      </c>
      <c r="C83" s="282" t="s">
        <v>567</v>
      </c>
      <c r="D83" s="6">
        <f>D59</f>
        <v>-9.279999999999999E-4</v>
      </c>
      <c r="E83" s="6">
        <f t="shared" si="12"/>
        <v>-9.279999999999999E-4</v>
      </c>
      <c r="F83" s="6">
        <f t="shared" si="12"/>
        <v>-9.279999999999999E-4</v>
      </c>
      <c r="G83" s="6">
        <f t="shared" si="12"/>
        <v>-9.279999999999999E-4</v>
      </c>
      <c r="H83" s="6">
        <f t="shared" si="12"/>
        <v>-9.279999999999999E-4</v>
      </c>
      <c r="I83" s="6">
        <f t="shared" si="12"/>
        <v>-9.279999999999999E-4</v>
      </c>
      <c r="J83" s="6">
        <f t="shared" si="12"/>
        <v>-9.279999999999999E-4</v>
      </c>
      <c r="K83" s="6">
        <f t="shared" si="12"/>
        <v>-9.279999999999999E-4</v>
      </c>
      <c r="L83" s="6">
        <f t="shared" si="12"/>
        <v>-9.279999999999999E-4</v>
      </c>
      <c r="M83" s="4"/>
      <c r="N83" s="282"/>
      <c r="O83" s="34"/>
      <c r="P83" s="32"/>
      <c r="Q83" s="32"/>
      <c r="R83" s="32"/>
    </row>
    <row r="84" spans="1:24" s="33" customFormat="1" outlineLevel="1" x14ac:dyDescent="0.35">
      <c r="A84" s="282"/>
      <c r="B84" s="282" t="s">
        <v>137</v>
      </c>
      <c r="C84" s="282" t="s">
        <v>567</v>
      </c>
      <c r="D84" s="6">
        <f>SUM(D75:D83)</f>
        <v>1.0580365428001664E-3</v>
      </c>
      <c r="E84" s="6">
        <f t="shared" ref="E84:L84" si="13">SUM(E75:E83)</f>
        <v>-2.9787531992138351E-4</v>
      </c>
      <c r="F84" s="6">
        <f t="shared" si="13"/>
        <v>-5.5021811533718283E-4</v>
      </c>
      <c r="G84" s="6">
        <f t="shared" si="13"/>
        <v>6.9209171721655767E-4</v>
      </c>
      <c r="H84" s="6">
        <f t="shared" si="13"/>
        <v>-3.6335905761585377E-4</v>
      </c>
      <c r="I84" s="6">
        <f t="shared" si="13"/>
        <v>-5.6327324899740189E-4</v>
      </c>
      <c r="J84" s="6">
        <f t="shared" si="13"/>
        <v>9.0981328676605219E-4</v>
      </c>
      <c r="K84" s="6">
        <f t="shared" si="13"/>
        <v>7.6357785356404452E-4</v>
      </c>
      <c r="L84" s="6">
        <f t="shared" si="13"/>
        <v>6.5543748609561681E-4</v>
      </c>
      <c r="M84" s="4"/>
      <c r="N84" s="282"/>
      <c r="O84" s="282"/>
      <c r="P84" s="282"/>
      <c r="Q84" s="282"/>
      <c r="R84" s="282"/>
    </row>
    <row r="85" spans="1:24" s="33" customFormat="1" outlineLevel="1" x14ac:dyDescent="0.35">
      <c r="A85" s="282"/>
      <c r="B85" s="282"/>
      <c r="C85" s="282"/>
      <c r="D85" s="282"/>
      <c r="E85" s="282"/>
      <c r="F85" s="282"/>
      <c r="G85" s="282"/>
      <c r="H85" s="282"/>
      <c r="I85" s="282"/>
      <c r="J85" s="282"/>
      <c r="K85" s="282"/>
      <c r="L85" s="282"/>
      <c r="M85" s="4"/>
      <c r="N85" s="282"/>
      <c r="O85" s="282"/>
      <c r="P85" s="282"/>
      <c r="Q85" s="282"/>
      <c r="R85" s="282"/>
    </row>
    <row r="86" spans="1:24" s="33" customFormat="1" ht="15.5" x14ac:dyDescent="0.35">
      <c r="A86" s="51" t="s">
        <v>504</v>
      </c>
      <c r="B86" s="4"/>
      <c r="C86" s="4"/>
      <c r="D86" s="4"/>
      <c r="E86" s="4"/>
      <c r="F86" s="4"/>
      <c r="G86" s="4"/>
      <c r="H86" s="4"/>
      <c r="I86" s="4"/>
      <c r="J86" s="4"/>
      <c r="K86" s="4"/>
      <c r="L86" s="4"/>
      <c r="M86" s="4"/>
      <c r="N86" s="282"/>
      <c r="O86" s="282"/>
      <c r="P86" s="282"/>
      <c r="Q86" s="282"/>
      <c r="R86" s="282"/>
      <c r="S86" s="282"/>
      <c r="T86" s="282"/>
      <c r="U86" s="282"/>
      <c r="V86" s="282"/>
      <c r="W86" s="282"/>
      <c r="X86" s="282"/>
    </row>
    <row r="87" spans="1:24" outlineLevel="1" x14ac:dyDescent="0.35">
      <c r="A87" s="15" t="s">
        <v>164</v>
      </c>
      <c r="B87" s="30"/>
      <c r="C87" s="140" t="s">
        <v>180</v>
      </c>
      <c r="D87" s="6" t="s">
        <v>889</v>
      </c>
      <c r="E87" s="6" t="s">
        <v>891</v>
      </c>
      <c r="F87" s="6" t="s">
        <v>890</v>
      </c>
      <c r="G87" s="6" t="s">
        <v>892</v>
      </c>
      <c r="H87" s="6" t="s">
        <v>893</v>
      </c>
      <c r="I87" s="6" t="s">
        <v>894</v>
      </c>
      <c r="J87" s="6" t="s">
        <v>896</v>
      </c>
      <c r="K87" s="6" t="s">
        <v>897</v>
      </c>
      <c r="L87" s="6" t="s">
        <v>895</v>
      </c>
      <c r="M87" s="4"/>
    </row>
    <row r="88" spans="1:24" outlineLevel="1" x14ac:dyDescent="0.35">
      <c r="B88" s="282" t="s">
        <v>117</v>
      </c>
      <c r="C88" s="282" t="s">
        <v>572</v>
      </c>
      <c r="D88" s="6">
        <f>'Results ReCiPe (H) - HHD'!B435</f>
        <v>0.16713320096113157</v>
      </c>
      <c r="E88" s="6">
        <f>'Results ReCiPe (H) - HHD'!C435</f>
        <v>0.16006814629521346</v>
      </c>
      <c r="F88" s="6">
        <f>'Results ReCiPe (H) - HHD'!D435</f>
        <v>0.14486428170139623</v>
      </c>
      <c r="G88" s="6">
        <f>'Results ReCiPe (H) - HHD'!E435</f>
        <v>0.16713320096113157</v>
      </c>
      <c r="H88" s="6">
        <f>'Results ReCiPe (H) - HHD'!F435</f>
        <v>0.16006814629521346</v>
      </c>
      <c r="I88" s="6">
        <f>'Results ReCiPe (H) - HHD'!G435</f>
        <v>0.14486428170139623</v>
      </c>
      <c r="J88" s="6">
        <f>'Results ReCiPe (H) - HHD'!H435</f>
        <v>0.1597952541352278</v>
      </c>
      <c r="K88" s="6">
        <f>'Results ReCiPe (H) - HHD'!I435</f>
        <v>0.15280359411988906</v>
      </c>
      <c r="L88" s="6">
        <f>'Results ReCiPe (H) - HHD'!J435</f>
        <v>0.13774913518918389</v>
      </c>
      <c r="M88" s="4"/>
    </row>
    <row r="89" spans="1:24" outlineLevel="1" x14ac:dyDescent="0.35">
      <c r="B89" s="282" t="s">
        <v>118</v>
      </c>
      <c r="C89" s="282" t="s">
        <v>572</v>
      </c>
      <c r="D89" s="6">
        <f>'Results ReCiPe (H) - HHD'!B436</f>
        <v>1.0010028574258376E-2</v>
      </c>
      <c r="E89" s="6">
        <f>'Results ReCiPe (H) - HHD'!C436</f>
        <v>9.5063834765982819E-3</v>
      </c>
      <c r="F89" s="6">
        <f>'Results ReCiPe (H) - HHD'!D436</f>
        <v>8.977436741851275E-3</v>
      </c>
      <c r="G89" s="6">
        <f>'Results ReCiPe (H) - HHD'!E436</f>
        <v>1.0010028574258376E-2</v>
      </c>
      <c r="H89" s="6">
        <f>'Results ReCiPe (H) - HHD'!F436</f>
        <v>9.5063834765982819E-3</v>
      </c>
      <c r="I89" s="6">
        <f>'Results ReCiPe (H) - HHD'!G436</f>
        <v>8.977436741851275E-3</v>
      </c>
      <c r="J89" s="6">
        <f>'Results ReCiPe (H) - HHD'!H436</f>
        <v>5.005014287129188E-3</v>
      </c>
      <c r="K89" s="6">
        <f>'Results ReCiPe (H) - HHD'!I436</f>
        <v>4.7531917382991409E-3</v>
      </c>
      <c r="L89" s="6">
        <f>'Results ReCiPe (H) - HHD'!J436</f>
        <v>4.4887183709256375E-3</v>
      </c>
      <c r="M89" s="4"/>
      <c r="Q89" s="32"/>
    </row>
    <row r="90" spans="1:24" outlineLevel="1" x14ac:dyDescent="0.35">
      <c r="B90" s="282" t="s">
        <v>119</v>
      </c>
      <c r="C90" s="282" t="s">
        <v>572</v>
      </c>
      <c r="D90" s="6">
        <f>'Results ReCiPe (H) - HHD'!B437</f>
        <v>1.3460715242108881E-3</v>
      </c>
      <c r="E90" s="6">
        <f>'Results ReCiPe (H) - HHD'!C437</f>
        <v>1.2038817746522666E-3</v>
      </c>
      <c r="F90" s="6">
        <f>'Results ReCiPe (H) - HHD'!D437</f>
        <v>1.1364491829356034E-3</v>
      </c>
      <c r="G90" s="6">
        <f>'Results ReCiPe (H) - HHD'!E437</f>
        <v>1.3460715242108881E-3</v>
      </c>
      <c r="H90" s="6">
        <f>'Results ReCiPe (H) - HHD'!F437</f>
        <v>1.2038817746522666E-3</v>
      </c>
      <c r="I90" s="6">
        <f>'Results ReCiPe (H) - HHD'!G437</f>
        <v>1.1364491829356034E-3</v>
      </c>
      <c r="J90" s="6">
        <f>'Results ReCiPe (H) - HHD'!H437</f>
        <v>1.3460715242108881E-3</v>
      </c>
      <c r="K90" s="6">
        <f>'Results ReCiPe (H) - HHD'!I437</f>
        <v>1.2038817746522666E-3</v>
      </c>
      <c r="L90" s="6">
        <f>'Results ReCiPe (H) - HHD'!J437</f>
        <v>1.1364491829356034E-3</v>
      </c>
      <c r="M90" s="4"/>
      <c r="Q90" s="3"/>
    </row>
    <row r="91" spans="1:24" outlineLevel="1" x14ac:dyDescent="0.35">
      <c r="B91" s="282" t="s">
        <v>120</v>
      </c>
      <c r="C91" s="282" t="s">
        <v>572</v>
      </c>
      <c r="D91" s="6">
        <f>'Results ReCiPe (H) - HHD'!B438</f>
        <v>3.7268740247547826E-5</v>
      </c>
      <c r="E91" s="6">
        <f>'Results ReCiPe (H) - HHD'!C438</f>
        <v>3.5227143847144076E-5</v>
      </c>
      <c r="F91" s="6">
        <f>'Results ReCiPe (H) - HHD'!D438</f>
        <v>3.4041847576099076E-5</v>
      </c>
      <c r="G91" s="6">
        <f>'Results ReCiPe (H) - HHD'!E438</f>
        <v>3.7268740247547826E-5</v>
      </c>
      <c r="H91" s="6">
        <f>'Results ReCiPe (H) - HHD'!F438</f>
        <v>3.5227143847144076E-5</v>
      </c>
      <c r="I91" s="6">
        <f>'Results ReCiPe (H) - HHD'!G438</f>
        <v>3.4041847576099076E-5</v>
      </c>
      <c r="J91" s="6">
        <f>'Results ReCiPe (H) - HHD'!H438</f>
        <v>1.8634370123773913E-5</v>
      </c>
      <c r="K91" s="6">
        <f>'Results ReCiPe (H) - HHD'!I438</f>
        <v>1.7613571923572038E-5</v>
      </c>
      <c r="L91" s="6">
        <f>'Results ReCiPe (H) - HHD'!J438</f>
        <v>1.7020923788049538E-5</v>
      </c>
      <c r="M91" s="4"/>
      <c r="Q91" s="3"/>
    </row>
    <row r="92" spans="1:24" outlineLevel="1" x14ac:dyDescent="0.35">
      <c r="B92" s="282" t="s">
        <v>121</v>
      </c>
      <c r="C92" s="282" t="s">
        <v>572</v>
      </c>
      <c r="D92" s="6">
        <f>'Results ReCiPe (H) - HHD'!B439</f>
        <v>2.0998042317090532E-2</v>
      </c>
      <c r="E92" s="6">
        <f>'Results ReCiPe (H) - HHD'!C439</f>
        <v>1.824106577208047E-2</v>
      </c>
      <c r="F92" s="6">
        <f>'Results ReCiPe (H) - HHD'!D439</f>
        <v>1.6464279424867195E-2</v>
      </c>
      <c r="G92" s="6">
        <f>'Results ReCiPe (H) - HHD'!E439</f>
        <v>2.0998042317090532E-2</v>
      </c>
      <c r="H92" s="6">
        <f>'Results ReCiPe (H) - HHD'!F439</f>
        <v>1.824106577208047E-2</v>
      </c>
      <c r="I92" s="6">
        <f>'Results ReCiPe (H) - HHD'!G439</f>
        <v>1.6464279424867195E-2</v>
      </c>
      <c r="J92" s="6">
        <f>'Results ReCiPe (H) - HHD'!H439</f>
        <v>2.0998042317090532E-2</v>
      </c>
      <c r="K92" s="6">
        <f>'Results ReCiPe (H) - HHD'!I439</f>
        <v>1.824106577208047E-2</v>
      </c>
      <c r="L92" s="6">
        <f>'Results ReCiPe (H) - HHD'!J439</f>
        <v>1.6464279424867195E-2</v>
      </c>
      <c r="M92" s="4"/>
      <c r="Q92" s="3"/>
    </row>
    <row r="93" spans="1:24" outlineLevel="1" x14ac:dyDescent="0.35">
      <c r="B93" s="282" t="s">
        <v>797</v>
      </c>
      <c r="C93" s="282" t="s">
        <v>572</v>
      </c>
      <c r="D93" s="6">
        <f>'Results ReCiPe (H) - HHD'!B440</f>
        <v>0</v>
      </c>
      <c r="E93" s="6">
        <f>'Results ReCiPe (H) - HHD'!C440</f>
        <v>0</v>
      </c>
      <c r="F93" s="6">
        <f>'Results ReCiPe (H) - HHD'!D440</f>
        <v>0</v>
      </c>
      <c r="G93" s="6">
        <f>'Results ReCiPe (H) - HHD'!E440</f>
        <v>0</v>
      </c>
      <c r="H93" s="6">
        <f>'Results ReCiPe (H) - HHD'!F440</f>
        <v>0</v>
      </c>
      <c r="I93" s="6">
        <f>'Results ReCiPe (H) - HHD'!G440</f>
        <v>0</v>
      </c>
      <c r="J93" s="6">
        <f>'Results ReCiPe (H) - HHD'!H440</f>
        <v>0.94017210869607748</v>
      </c>
      <c r="K93" s="6">
        <f>'Results ReCiPe (H) - HHD'!I440</f>
        <v>0.91746925776858279</v>
      </c>
      <c r="L93" s="6">
        <f>'Results ReCiPe (H) - HHD'!J440</f>
        <v>0.85234790108433556</v>
      </c>
      <c r="M93" s="4"/>
      <c r="Q93" s="3"/>
    </row>
    <row r="94" spans="1:24" outlineLevel="1" x14ac:dyDescent="0.35">
      <c r="B94" s="282" t="s">
        <v>122</v>
      </c>
      <c r="C94" s="282" t="s">
        <v>572</v>
      </c>
      <c r="D94" s="6">
        <f>'Results ReCiPe (H) - HHD'!B441</f>
        <v>2.7161537830940472</v>
      </c>
      <c r="E94" s="6">
        <f>'Results ReCiPe (H) - HHD'!C441</f>
        <v>0.77650372993364369</v>
      </c>
      <c r="F94" s="6">
        <f>'Results ReCiPe (H) - HHD'!D441</f>
        <v>0.4248402666537992</v>
      </c>
      <c r="G94" s="6">
        <f>'Results ReCiPe (H) - HHD'!E441</f>
        <v>2.1672365447186341</v>
      </c>
      <c r="H94" s="6">
        <f>'Results ReCiPe (H) - HHD'!F441</f>
        <v>0.67827812339193838</v>
      </c>
      <c r="I94" s="6">
        <f>'Results ReCiPe (H) - HHD'!G441</f>
        <v>0.40525756616347069</v>
      </c>
      <c r="J94" s="6">
        <f>'Results ReCiPe (H) - HHD'!H441</f>
        <v>0.63036575795860372</v>
      </c>
      <c r="K94" s="6">
        <f>'Results ReCiPe (H) - HHD'!I441</f>
        <v>0.58436499357235405</v>
      </c>
      <c r="L94" s="6">
        <f>'Results ReCiPe (H) - HHD'!J441</f>
        <v>0.56078267856546571</v>
      </c>
      <c r="M94" s="4"/>
      <c r="Q94" s="3"/>
    </row>
    <row r="95" spans="1:24" outlineLevel="1" x14ac:dyDescent="0.35">
      <c r="B95" s="282" t="s">
        <v>123</v>
      </c>
      <c r="C95" s="282" t="s">
        <v>572</v>
      </c>
      <c r="D95" s="6">
        <f>'Results ReCiPe (H) - HHD'!B442</f>
        <v>0.23864377306006512</v>
      </c>
      <c r="E95" s="6">
        <f>'Results ReCiPe (H) - HHD'!C442</f>
        <v>9.2084112511409577E-2</v>
      </c>
      <c r="F95" s="6">
        <f>'Results ReCiPe (H) - HHD'!D442</f>
        <v>6.4911111668750798E-2</v>
      </c>
      <c r="G95" s="6">
        <f>'Results ReCiPe (H) - HHD'!E442</f>
        <v>0.23864377306006512</v>
      </c>
      <c r="H95" s="6">
        <f>'Results ReCiPe (H) - HHD'!F442</f>
        <v>9.2084112511409577E-2</v>
      </c>
      <c r="I95" s="6">
        <f>'Results ReCiPe (H) - HHD'!G442</f>
        <v>6.4911111668750798E-2</v>
      </c>
      <c r="J95" s="6">
        <f>'Results ReCiPe (H) - HHD'!H442</f>
        <v>0.11932188653003256</v>
      </c>
      <c r="K95" s="6">
        <f>'Results ReCiPe (H) - HHD'!I442</f>
        <v>4.6042056255704789E-2</v>
      </c>
      <c r="L95" s="6">
        <f>'Results ReCiPe (H) - HHD'!J442</f>
        <v>3.2455555834375399E-2</v>
      </c>
      <c r="M95" s="4"/>
      <c r="Q95" s="3"/>
    </row>
    <row r="96" spans="1:24" outlineLevel="1" x14ac:dyDescent="0.35">
      <c r="B96" s="282" t="s">
        <v>124</v>
      </c>
      <c r="C96" s="282" t="s">
        <v>572</v>
      </c>
      <c r="D96" s="6">
        <f>'Results ReCiPe (H) - HHD'!B443</f>
        <v>-2.3199999999999998</v>
      </c>
      <c r="E96" s="6">
        <f>'Results ReCiPe (H) - HHD'!C443</f>
        <v>-2.3199999999999998</v>
      </c>
      <c r="F96" s="6">
        <f>'Results ReCiPe (H) - HHD'!D443</f>
        <v>-2.3199999999999998</v>
      </c>
      <c r="G96" s="6">
        <f>'Results ReCiPe (H) - HHD'!E443</f>
        <v>-2.3199999999999998</v>
      </c>
      <c r="H96" s="6">
        <f>'Results ReCiPe (H) - HHD'!F443</f>
        <v>-2.3199999999999998</v>
      </c>
      <c r="I96" s="6">
        <f>'Results ReCiPe (H) - HHD'!G443</f>
        <v>-2.3199999999999998</v>
      </c>
      <c r="J96" s="6">
        <f>'Results ReCiPe (H) - HHD'!H443</f>
        <v>-1.1599999999999999</v>
      </c>
      <c r="K96" s="6">
        <f>'Results ReCiPe (H) - HHD'!I443</f>
        <v>-1.1599999999999999</v>
      </c>
      <c r="L96" s="6">
        <f>'Results ReCiPe (H) - HHD'!J443</f>
        <v>-1.1599999999999999</v>
      </c>
      <c r="M96" s="4"/>
    </row>
    <row r="97" spans="1:13" outlineLevel="1" x14ac:dyDescent="0.35">
      <c r="B97" s="282" t="s">
        <v>137</v>
      </c>
      <c r="C97" s="282" t="s">
        <v>572</v>
      </c>
      <c r="D97" s="6">
        <f>'Results ReCiPe (H) - HHD'!B444</f>
        <v>0.83432216827105143</v>
      </c>
      <c r="E97" s="6">
        <f>'Results ReCiPe (H) - HHD'!C444</f>
        <v>-1.2623574530925552</v>
      </c>
      <c r="F97" s="6">
        <f>'Results ReCiPe (H) - HHD'!D444</f>
        <v>-1.6587721327788234</v>
      </c>
      <c r="G97" s="6">
        <f>'Results ReCiPe (H) - HHD'!E444</f>
        <v>0.28540492989563876</v>
      </c>
      <c r="H97" s="6">
        <f>'Results ReCiPe (H) - HHD'!F444</f>
        <v>-1.3605830596342607</v>
      </c>
      <c r="I97" s="6">
        <f>'Results ReCiPe (H) - HHD'!G444</f>
        <v>-1.678354833269152</v>
      </c>
      <c r="J97" s="6">
        <f>'Results ReCiPe (H) - HHD'!H444</f>
        <v>0.71702276981849622</v>
      </c>
      <c r="K97" s="6">
        <f>'Results ReCiPe (H) - HHD'!I444</f>
        <v>0.56489565457348612</v>
      </c>
      <c r="L97" s="6">
        <f>'Results ReCiPe (H) - HHD'!J444</f>
        <v>0.44544173857587727</v>
      </c>
      <c r="M97" s="4"/>
    </row>
    <row r="98" spans="1:13" outlineLevel="1" x14ac:dyDescent="0.35">
      <c r="M98" s="4"/>
    </row>
    <row r="99" spans="1:13" outlineLevel="1" x14ac:dyDescent="0.35">
      <c r="A99" s="15" t="s">
        <v>507</v>
      </c>
      <c r="B99" s="30"/>
      <c r="C99" s="140" t="s">
        <v>180</v>
      </c>
      <c r="D99" s="6" t="s">
        <v>889</v>
      </c>
      <c r="E99" s="6" t="s">
        <v>891</v>
      </c>
      <c r="F99" s="6" t="s">
        <v>890</v>
      </c>
      <c r="G99" s="6" t="s">
        <v>892</v>
      </c>
      <c r="H99" s="6" t="s">
        <v>893</v>
      </c>
      <c r="I99" s="6" t="s">
        <v>894</v>
      </c>
      <c r="J99" s="6" t="s">
        <v>896</v>
      </c>
      <c r="K99" s="6" t="s">
        <v>897</v>
      </c>
      <c r="L99" s="6" t="s">
        <v>895</v>
      </c>
      <c r="M99" s="4"/>
    </row>
    <row r="100" spans="1:13" outlineLevel="1" x14ac:dyDescent="0.35">
      <c r="A100" s="141" t="s">
        <v>508</v>
      </c>
      <c r="B100" s="282" t="s">
        <v>117</v>
      </c>
      <c r="C100" s="282" t="s">
        <v>564</v>
      </c>
      <c r="D100" s="6">
        <f>D88/25</f>
        <v>6.6853280384452625E-3</v>
      </c>
      <c r="E100" s="6">
        <f t="shared" ref="E100:L100" si="14">E88/25</f>
        <v>6.4027258518085384E-3</v>
      </c>
      <c r="F100" s="6">
        <f t="shared" si="14"/>
        <v>5.7945712680558493E-3</v>
      </c>
      <c r="G100" s="6">
        <f t="shared" si="14"/>
        <v>6.6853280384452625E-3</v>
      </c>
      <c r="H100" s="6">
        <f t="shared" si="14"/>
        <v>6.4027258518085384E-3</v>
      </c>
      <c r="I100" s="6">
        <f t="shared" si="14"/>
        <v>5.7945712680558493E-3</v>
      </c>
      <c r="J100" s="6">
        <f t="shared" si="14"/>
        <v>6.3918101654091121E-3</v>
      </c>
      <c r="K100" s="6">
        <f t="shared" si="14"/>
        <v>6.1121437647955624E-3</v>
      </c>
      <c r="L100" s="6">
        <f t="shared" si="14"/>
        <v>5.5099654075673552E-3</v>
      </c>
      <c r="M100" s="4"/>
    </row>
    <row r="101" spans="1:13" outlineLevel="1" x14ac:dyDescent="0.35">
      <c r="B101" s="282" t="s">
        <v>118</v>
      </c>
      <c r="C101" s="282" t="s">
        <v>564</v>
      </c>
      <c r="D101" s="6">
        <f t="shared" ref="D101:L108" si="15">D89/25</f>
        <v>4.0040114297033505E-4</v>
      </c>
      <c r="E101" s="6">
        <f t="shared" si="15"/>
        <v>3.8025533906393125E-4</v>
      </c>
      <c r="F101" s="6">
        <f t="shared" si="15"/>
        <v>3.5909746967405102E-4</v>
      </c>
      <c r="G101" s="6">
        <f t="shared" si="15"/>
        <v>4.0040114297033505E-4</v>
      </c>
      <c r="H101" s="6">
        <f t="shared" si="15"/>
        <v>3.8025533906393125E-4</v>
      </c>
      <c r="I101" s="6">
        <f t="shared" si="15"/>
        <v>3.5909746967405102E-4</v>
      </c>
      <c r="J101" s="6">
        <f t="shared" si="15"/>
        <v>2.0020057148516753E-4</v>
      </c>
      <c r="K101" s="6">
        <f t="shared" si="15"/>
        <v>1.9012766953196563E-4</v>
      </c>
      <c r="L101" s="6">
        <f t="shared" si="15"/>
        <v>1.7954873483702551E-4</v>
      </c>
      <c r="M101" s="4"/>
    </row>
    <row r="102" spans="1:13" outlineLevel="1" x14ac:dyDescent="0.35">
      <c r="B102" s="282" t="s">
        <v>119</v>
      </c>
      <c r="C102" s="282" t="s">
        <v>564</v>
      </c>
      <c r="D102" s="6">
        <f t="shared" si="15"/>
        <v>5.3842860968435526E-5</v>
      </c>
      <c r="E102" s="6">
        <f t="shared" si="15"/>
        <v>4.8155270986090666E-5</v>
      </c>
      <c r="F102" s="6">
        <f t="shared" si="15"/>
        <v>4.5457967317424134E-5</v>
      </c>
      <c r="G102" s="6">
        <f t="shared" si="15"/>
        <v>5.3842860968435526E-5</v>
      </c>
      <c r="H102" s="6">
        <f t="shared" si="15"/>
        <v>4.8155270986090666E-5</v>
      </c>
      <c r="I102" s="6">
        <f t="shared" si="15"/>
        <v>4.5457967317424134E-5</v>
      </c>
      <c r="J102" s="6">
        <f t="shared" si="15"/>
        <v>5.3842860968435526E-5</v>
      </c>
      <c r="K102" s="6">
        <f t="shared" si="15"/>
        <v>4.8155270986090666E-5</v>
      </c>
      <c r="L102" s="6">
        <f t="shared" si="15"/>
        <v>4.5457967317424134E-5</v>
      </c>
      <c r="M102" s="4"/>
    </row>
    <row r="103" spans="1:13" outlineLevel="1" x14ac:dyDescent="0.35">
      <c r="B103" s="282" t="s">
        <v>120</v>
      </c>
      <c r="C103" s="282" t="s">
        <v>564</v>
      </c>
      <c r="D103" s="6">
        <f t="shared" si="15"/>
        <v>1.4907496099019131E-6</v>
      </c>
      <c r="E103" s="6">
        <f t="shared" si="15"/>
        <v>1.409085753885763E-6</v>
      </c>
      <c r="F103" s="6">
        <f t="shared" si="15"/>
        <v>1.361673903043963E-6</v>
      </c>
      <c r="G103" s="6">
        <f t="shared" si="15"/>
        <v>1.4907496099019131E-6</v>
      </c>
      <c r="H103" s="6">
        <f t="shared" si="15"/>
        <v>1.409085753885763E-6</v>
      </c>
      <c r="I103" s="6">
        <f t="shared" si="15"/>
        <v>1.361673903043963E-6</v>
      </c>
      <c r="J103" s="6">
        <f t="shared" si="15"/>
        <v>7.4537480495095655E-7</v>
      </c>
      <c r="K103" s="6">
        <f t="shared" si="15"/>
        <v>7.0454287694288149E-7</v>
      </c>
      <c r="L103" s="6">
        <f t="shared" si="15"/>
        <v>6.8083695152198152E-7</v>
      </c>
      <c r="M103" s="4"/>
    </row>
    <row r="104" spans="1:13" outlineLevel="1" x14ac:dyDescent="0.35">
      <c r="B104" s="282" t="s">
        <v>121</v>
      </c>
      <c r="C104" s="282" t="s">
        <v>564</v>
      </c>
      <c r="D104" s="6">
        <f t="shared" si="15"/>
        <v>8.3992169268362127E-4</v>
      </c>
      <c r="E104" s="6">
        <f t="shared" si="15"/>
        <v>7.2964263088321879E-4</v>
      </c>
      <c r="F104" s="6">
        <f t="shared" si="15"/>
        <v>6.5857117699468783E-4</v>
      </c>
      <c r="G104" s="6">
        <f t="shared" si="15"/>
        <v>8.3992169268362127E-4</v>
      </c>
      <c r="H104" s="6">
        <f t="shared" si="15"/>
        <v>7.2964263088321879E-4</v>
      </c>
      <c r="I104" s="6">
        <f t="shared" si="15"/>
        <v>6.5857117699468783E-4</v>
      </c>
      <c r="J104" s="6">
        <f t="shared" si="15"/>
        <v>8.3992169268362127E-4</v>
      </c>
      <c r="K104" s="6">
        <f t="shared" si="15"/>
        <v>7.2964263088321879E-4</v>
      </c>
      <c r="L104" s="6">
        <f t="shared" si="15"/>
        <v>6.5857117699468783E-4</v>
      </c>
      <c r="M104" s="4"/>
    </row>
    <row r="105" spans="1:13" outlineLevel="1" x14ac:dyDescent="0.35">
      <c r="B105" s="282" t="s">
        <v>797</v>
      </c>
      <c r="C105" s="282" t="s">
        <v>564</v>
      </c>
      <c r="D105" s="6">
        <f t="shared" si="15"/>
        <v>0</v>
      </c>
      <c r="E105" s="6">
        <f t="shared" si="15"/>
        <v>0</v>
      </c>
      <c r="F105" s="6">
        <f t="shared" si="15"/>
        <v>0</v>
      </c>
      <c r="G105" s="6">
        <f t="shared" si="15"/>
        <v>0</v>
      </c>
      <c r="H105" s="6">
        <f t="shared" si="15"/>
        <v>0</v>
      </c>
      <c r="I105" s="6">
        <f t="shared" si="15"/>
        <v>0</v>
      </c>
      <c r="J105" s="6">
        <f t="shared" si="15"/>
        <v>3.7606884347843102E-2</v>
      </c>
      <c r="K105" s="6">
        <f t="shared" si="15"/>
        <v>3.6698770310743312E-2</v>
      </c>
      <c r="L105" s="6">
        <f t="shared" si="15"/>
        <v>3.4093916043373425E-2</v>
      </c>
      <c r="M105" s="4"/>
    </row>
    <row r="106" spans="1:13" outlineLevel="1" x14ac:dyDescent="0.35">
      <c r="B106" s="282" t="s">
        <v>122</v>
      </c>
      <c r="C106" s="282" t="s">
        <v>564</v>
      </c>
      <c r="D106" s="6">
        <f t="shared" si="15"/>
        <v>0.10864615132376189</v>
      </c>
      <c r="E106" s="6">
        <f t="shared" si="15"/>
        <v>3.1060149197345746E-2</v>
      </c>
      <c r="F106" s="6">
        <f t="shared" si="15"/>
        <v>1.699361066615197E-2</v>
      </c>
      <c r="G106" s="6">
        <f t="shared" si="15"/>
        <v>8.668946178874537E-2</v>
      </c>
      <c r="H106" s="6">
        <f t="shared" si="15"/>
        <v>2.7131124935677535E-2</v>
      </c>
      <c r="I106" s="6">
        <f t="shared" si="15"/>
        <v>1.6210302646538829E-2</v>
      </c>
      <c r="J106" s="6">
        <f t="shared" si="15"/>
        <v>2.5214630318344148E-2</v>
      </c>
      <c r="K106" s="6">
        <f t="shared" si="15"/>
        <v>2.3374599742894162E-2</v>
      </c>
      <c r="L106" s="6">
        <f t="shared" si="15"/>
        <v>2.243130714261863E-2</v>
      </c>
      <c r="M106" s="4"/>
    </row>
    <row r="107" spans="1:13" outlineLevel="1" x14ac:dyDescent="0.35">
      <c r="B107" s="282" t="s">
        <v>123</v>
      </c>
      <c r="C107" s="282" t="s">
        <v>564</v>
      </c>
      <c r="D107" s="6">
        <f t="shared" si="15"/>
        <v>9.5457509224026044E-3</v>
      </c>
      <c r="E107" s="6">
        <f t="shared" si="15"/>
        <v>3.6833645004563831E-3</v>
      </c>
      <c r="F107" s="6">
        <f t="shared" si="15"/>
        <v>2.5964444667500321E-3</v>
      </c>
      <c r="G107" s="6">
        <f t="shared" si="15"/>
        <v>9.5457509224026044E-3</v>
      </c>
      <c r="H107" s="6">
        <f t="shared" si="15"/>
        <v>3.6833645004563831E-3</v>
      </c>
      <c r="I107" s="6">
        <f t="shared" si="15"/>
        <v>2.5964444667500321E-3</v>
      </c>
      <c r="J107" s="6">
        <f t="shared" si="15"/>
        <v>4.7728754612013022E-3</v>
      </c>
      <c r="K107" s="6">
        <f t="shared" si="15"/>
        <v>1.8416822502281916E-3</v>
      </c>
      <c r="L107" s="6">
        <f t="shared" si="15"/>
        <v>1.2982222333750161E-3</v>
      </c>
      <c r="M107" s="4"/>
    </row>
    <row r="108" spans="1:13" outlineLevel="1" x14ac:dyDescent="0.35">
      <c r="B108" s="282" t="s">
        <v>124</v>
      </c>
      <c r="C108" s="282" t="s">
        <v>564</v>
      </c>
      <c r="D108" s="6">
        <f t="shared" si="15"/>
        <v>-9.2799999999999994E-2</v>
      </c>
      <c r="E108" s="6">
        <f t="shared" si="15"/>
        <v>-9.2799999999999994E-2</v>
      </c>
      <c r="F108" s="6">
        <f t="shared" si="15"/>
        <v>-9.2799999999999994E-2</v>
      </c>
      <c r="G108" s="6">
        <f t="shared" si="15"/>
        <v>-9.2799999999999994E-2</v>
      </c>
      <c r="H108" s="6">
        <f t="shared" si="15"/>
        <v>-9.2799999999999994E-2</v>
      </c>
      <c r="I108" s="6">
        <f t="shared" si="15"/>
        <v>-9.2799999999999994E-2</v>
      </c>
      <c r="J108" s="6">
        <f t="shared" si="15"/>
        <v>-4.6399999999999997E-2</v>
      </c>
      <c r="K108" s="6">
        <f t="shared" si="15"/>
        <v>-4.6399999999999997E-2</v>
      </c>
      <c r="L108" s="6">
        <f t="shared" si="15"/>
        <v>-4.6399999999999997E-2</v>
      </c>
      <c r="M108" s="4"/>
    </row>
    <row r="109" spans="1:13" outlineLevel="1" x14ac:dyDescent="0.35">
      <c r="B109" s="282" t="s">
        <v>137</v>
      </c>
      <c r="C109" s="282" t="s">
        <v>564</v>
      </c>
      <c r="D109" s="6">
        <f>SUM(D100:D108)</f>
        <v>3.3372886730842044E-2</v>
      </c>
      <c r="E109" s="6">
        <f t="shared" ref="E109:L109" si="16">SUM(E100:E108)</f>
        <v>-5.0494298123702194E-2</v>
      </c>
      <c r="F109" s="6">
        <f t="shared" si="16"/>
        <v>-6.6350885311152935E-2</v>
      </c>
      <c r="G109" s="6">
        <f t="shared" si="16"/>
        <v>1.1416197195825539E-2</v>
      </c>
      <c r="H109" s="6">
        <f t="shared" si="16"/>
        <v>-5.4423322385370405E-2</v>
      </c>
      <c r="I109" s="6">
        <f t="shared" si="16"/>
        <v>-6.7134193330766076E-2</v>
      </c>
      <c r="J109" s="6">
        <f t="shared" si="16"/>
        <v>2.868091079273985E-2</v>
      </c>
      <c r="K109" s="6">
        <f t="shared" si="16"/>
        <v>2.2595826182939455E-2</v>
      </c>
      <c r="L109" s="6">
        <f t="shared" si="16"/>
        <v>1.7817669543035083E-2</v>
      </c>
      <c r="M109" s="4"/>
    </row>
    <row r="110" spans="1:13" outlineLevel="1" x14ac:dyDescent="0.35">
      <c r="M110" s="4"/>
    </row>
    <row r="111" spans="1:13" outlineLevel="1" x14ac:dyDescent="0.35">
      <c r="A111" s="15" t="s">
        <v>509</v>
      </c>
      <c r="B111" s="30"/>
      <c r="C111" s="140" t="s">
        <v>180</v>
      </c>
      <c r="D111" s="6" t="s">
        <v>889</v>
      </c>
      <c r="E111" s="6" t="s">
        <v>891</v>
      </c>
      <c r="F111" s="6" t="s">
        <v>890</v>
      </c>
      <c r="G111" s="6" t="s">
        <v>892</v>
      </c>
      <c r="H111" s="6" t="s">
        <v>893</v>
      </c>
      <c r="I111" s="6" t="s">
        <v>894</v>
      </c>
      <c r="J111" s="6" t="s">
        <v>896</v>
      </c>
      <c r="K111" s="6" t="s">
        <v>897</v>
      </c>
      <c r="L111" s="6" t="s">
        <v>895</v>
      </c>
      <c r="M111" s="4"/>
    </row>
    <row r="112" spans="1:13" outlineLevel="1" x14ac:dyDescent="0.35">
      <c r="B112" s="282" t="s">
        <v>117</v>
      </c>
      <c r="C112" s="282" t="s">
        <v>567</v>
      </c>
      <c r="D112" s="6">
        <f t="shared" ref="D112:I120" si="17">D100/100</f>
        <v>6.6853280384452626E-5</v>
      </c>
      <c r="E112" s="6">
        <f t="shared" si="17"/>
        <v>6.4027258518085386E-5</v>
      </c>
      <c r="F112" s="6">
        <f t="shared" si="17"/>
        <v>5.794571268055849E-5</v>
      </c>
      <c r="G112" s="6">
        <f t="shared" si="17"/>
        <v>6.6853280384452626E-5</v>
      </c>
      <c r="H112" s="6">
        <f t="shared" si="17"/>
        <v>6.4027258518085386E-5</v>
      </c>
      <c r="I112" s="6">
        <f t="shared" si="17"/>
        <v>5.794571268055849E-5</v>
      </c>
      <c r="J112" s="6">
        <f>J100/50</f>
        <v>1.2783620330818223E-4</v>
      </c>
      <c r="K112" s="6">
        <f>K100/50</f>
        <v>1.2224287529591124E-4</v>
      </c>
      <c r="L112" s="6">
        <f>L100/50</f>
        <v>1.1019930815134711E-4</v>
      </c>
      <c r="M112" s="4"/>
    </row>
    <row r="113" spans="1:13" outlineLevel="1" x14ac:dyDescent="0.35">
      <c r="B113" s="282" t="s">
        <v>118</v>
      </c>
      <c r="C113" s="282" t="s">
        <v>567</v>
      </c>
      <c r="D113" s="6">
        <f t="shared" si="17"/>
        <v>4.0040114297033507E-6</v>
      </c>
      <c r="E113" s="6">
        <f t="shared" si="17"/>
        <v>3.8025533906393124E-6</v>
      </c>
      <c r="F113" s="6">
        <f t="shared" si="17"/>
        <v>3.5909746967405102E-6</v>
      </c>
      <c r="G113" s="6">
        <f t="shared" si="17"/>
        <v>4.0040114297033507E-6</v>
      </c>
      <c r="H113" s="6">
        <f t="shared" si="17"/>
        <v>3.8025533906393124E-6</v>
      </c>
      <c r="I113" s="6">
        <f t="shared" si="17"/>
        <v>3.5909746967405102E-6</v>
      </c>
      <c r="J113" s="6">
        <f t="shared" ref="J113:L120" si="18">J101/50</f>
        <v>4.0040114297033507E-6</v>
      </c>
      <c r="K113" s="6">
        <f t="shared" si="18"/>
        <v>3.8025533906393124E-6</v>
      </c>
      <c r="L113" s="6">
        <f t="shared" si="18"/>
        <v>3.5909746967405102E-6</v>
      </c>
      <c r="M113" s="4"/>
    </row>
    <row r="114" spans="1:13" outlineLevel="1" x14ac:dyDescent="0.35">
      <c r="B114" s="282" t="s">
        <v>119</v>
      </c>
      <c r="C114" s="282" t="s">
        <v>567</v>
      </c>
      <c r="D114" s="6">
        <f t="shared" si="17"/>
        <v>5.3842860968435531E-7</v>
      </c>
      <c r="E114" s="6">
        <f t="shared" si="17"/>
        <v>4.8155270986090666E-7</v>
      </c>
      <c r="F114" s="6">
        <f t="shared" si="17"/>
        <v>4.5457967317424136E-7</v>
      </c>
      <c r="G114" s="6">
        <f t="shared" si="17"/>
        <v>5.3842860968435531E-7</v>
      </c>
      <c r="H114" s="6">
        <f t="shared" si="17"/>
        <v>4.8155270986090666E-7</v>
      </c>
      <c r="I114" s="6">
        <f t="shared" si="17"/>
        <v>4.5457967317424136E-7</v>
      </c>
      <c r="J114" s="6">
        <f t="shared" si="18"/>
        <v>1.0768572193687106E-6</v>
      </c>
      <c r="K114" s="6">
        <f t="shared" si="18"/>
        <v>9.6310541972181332E-7</v>
      </c>
      <c r="L114" s="6">
        <f t="shared" si="18"/>
        <v>9.0915934634848273E-7</v>
      </c>
      <c r="M114" s="4"/>
    </row>
    <row r="115" spans="1:13" outlineLevel="1" x14ac:dyDescent="0.35">
      <c r="B115" s="282" t="s">
        <v>120</v>
      </c>
      <c r="C115" s="282" t="s">
        <v>567</v>
      </c>
      <c r="D115" s="6">
        <f t="shared" si="17"/>
        <v>1.4907496099019133E-8</v>
      </c>
      <c r="E115" s="6">
        <f t="shared" si="17"/>
        <v>1.4090857538857629E-8</v>
      </c>
      <c r="F115" s="6">
        <f t="shared" si="17"/>
        <v>1.3616739030439631E-8</v>
      </c>
      <c r="G115" s="6">
        <f t="shared" si="17"/>
        <v>1.4907496099019133E-8</v>
      </c>
      <c r="H115" s="6">
        <f t="shared" si="17"/>
        <v>1.4090857538857629E-8</v>
      </c>
      <c r="I115" s="6">
        <f t="shared" si="17"/>
        <v>1.3616739030439631E-8</v>
      </c>
      <c r="J115" s="6">
        <f t="shared" si="18"/>
        <v>1.4907496099019133E-8</v>
      </c>
      <c r="K115" s="6">
        <f t="shared" si="18"/>
        <v>1.4090857538857629E-8</v>
      </c>
      <c r="L115" s="6">
        <f t="shared" si="18"/>
        <v>1.3616739030439631E-8</v>
      </c>
      <c r="M115" s="4"/>
    </row>
    <row r="116" spans="1:13" outlineLevel="1" x14ac:dyDescent="0.35">
      <c r="B116" s="282" t="s">
        <v>121</v>
      </c>
      <c r="C116" s="282" t="s">
        <v>567</v>
      </c>
      <c r="D116" s="6">
        <f t="shared" si="17"/>
        <v>8.3992169268362136E-6</v>
      </c>
      <c r="E116" s="6">
        <f t="shared" si="17"/>
        <v>7.2964263088321881E-6</v>
      </c>
      <c r="F116" s="6">
        <f t="shared" si="17"/>
        <v>6.5857117699468779E-6</v>
      </c>
      <c r="G116" s="6">
        <f t="shared" si="17"/>
        <v>8.3992169268362136E-6</v>
      </c>
      <c r="H116" s="6">
        <f t="shared" si="17"/>
        <v>7.2964263088321881E-6</v>
      </c>
      <c r="I116" s="6">
        <f t="shared" si="17"/>
        <v>6.5857117699468779E-6</v>
      </c>
      <c r="J116" s="6">
        <f t="shared" si="18"/>
        <v>1.6798433853672427E-5</v>
      </c>
      <c r="K116" s="6">
        <f t="shared" si="18"/>
        <v>1.4592852617664376E-5</v>
      </c>
      <c r="L116" s="6">
        <f t="shared" si="18"/>
        <v>1.3171423539893756E-5</v>
      </c>
      <c r="M116" s="4"/>
    </row>
    <row r="117" spans="1:13" outlineLevel="1" x14ac:dyDescent="0.35">
      <c r="B117" s="282" t="s">
        <v>797</v>
      </c>
      <c r="C117" s="282" t="s">
        <v>567</v>
      </c>
      <c r="D117" s="6">
        <f t="shared" si="17"/>
        <v>0</v>
      </c>
      <c r="E117" s="6">
        <f t="shared" si="17"/>
        <v>0</v>
      </c>
      <c r="F117" s="6">
        <f t="shared" si="17"/>
        <v>0</v>
      </c>
      <c r="G117" s="6">
        <f t="shared" si="17"/>
        <v>0</v>
      </c>
      <c r="H117" s="6">
        <f t="shared" si="17"/>
        <v>0</v>
      </c>
      <c r="I117" s="6">
        <f t="shared" si="17"/>
        <v>0</v>
      </c>
      <c r="J117" s="6">
        <f t="shared" si="18"/>
        <v>7.52137686956862E-4</v>
      </c>
      <c r="K117" s="6">
        <f t="shared" si="18"/>
        <v>7.3397540621486621E-4</v>
      </c>
      <c r="L117" s="6">
        <f t="shared" si="18"/>
        <v>6.8187832086746847E-4</v>
      </c>
      <c r="M117" s="4"/>
    </row>
    <row r="118" spans="1:13" outlineLevel="1" x14ac:dyDescent="0.35">
      <c r="B118" s="282" t="s">
        <v>122</v>
      </c>
      <c r="C118" s="282" t="s">
        <v>567</v>
      </c>
      <c r="D118" s="6">
        <f t="shared" si="17"/>
        <v>1.0864615132376188E-3</v>
      </c>
      <c r="E118" s="6">
        <f t="shared" si="17"/>
        <v>3.1060149197345745E-4</v>
      </c>
      <c r="F118" s="6">
        <f t="shared" si="17"/>
        <v>1.6993610666151968E-4</v>
      </c>
      <c r="G118" s="6">
        <f t="shared" si="17"/>
        <v>8.6689461788745366E-4</v>
      </c>
      <c r="H118" s="6">
        <f t="shared" si="17"/>
        <v>2.7131124935677535E-4</v>
      </c>
      <c r="I118" s="6">
        <f t="shared" si="17"/>
        <v>1.6210302646538829E-4</v>
      </c>
      <c r="J118" s="6">
        <f t="shared" si="18"/>
        <v>5.0429260636688296E-4</v>
      </c>
      <c r="K118" s="6">
        <f t="shared" si="18"/>
        <v>4.6749199485788325E-4</v>
      </c>
      <c r="L118" s="6">
        <f t="shared" si="18"/>
        <v>4.486261428523726E-4</v>
      </c>
      <c r="M118" s="4"/>
    </row>
    <row r="119" spans="1:13" outlineLevel="1" x14ac:dyDescent="0.35">
      <c r="B119" s="282" t="s">
        <v>123</v>
      </c>
      <c r="C119" s="282" t="s">
        <v>567</v>
      </c>
      <c r="D119" s="6">
        <f t="shared" si="17"/>
        <v>9.5457509224026042E-5</v>
      </c>
      <c r="E119" s="6">
        <f t="shared" si="17"/>
        <v>3.6833645004563829E-5</v>
      </c>
      <c r="F119" s="6">
        <f t="shared" si="17"/>
        <v>2.5964444667500321E-5</v>
      </c>
      <c r="G119" s="6">
        <f t="shared" si="17"/>
        <v>9.5457509224026042E-5</v>
      </c>
      <c r="H119" s="6">
        <f t="shared" si="17"/>
        <v>3.6833645004563829E-5</v>
      </c>
      <c r="I119" s="6">
        <f t="shared" si="17"/>
        <v>2.5964444667500321E-5</v>
      </c>
      <c r="J119" s="6">
        <f t="shared" si="18"/>
        <v>9.5457509224026042E-5</v>
      </c>
      <c r="K119" s="6">
        <f t="shared" si="18"/>
        <v>3.6833645004563829E-5</v>
      </c>
      <c r="L119" s="6">
        <f t="shared" si="18"/>
        <v>2.5964444667500321E-5</v>
      </c>
      <c r="M119" s="4"/>
    </row>
    <row r="120" spans="1:13" outlineLevel="1" x14ac:dyDescent="0.35">
      <c r="B120" s="282" t="s">
        <v>124</v>
      </c>
      <c r="C120" s="282" t="s">
        <v>567</v>
      </c>
      <c r="D120" s="6">
        <f t="shared" si="17"/>
        <v>-9.279999999999999E-4</v>
      </c>
      <c r="E120" s="6">
        <f t="shared" si="17"/>
        <v>-9.279999999999999E-4</v>
      </c>
      <c r="F120" s="6">
        <f t="shared" si="17"/>
        <v>-9.279999999999999E-4</v>
      </c>
      <c r="G120" s="6">
        <f t="shared" si="17"/>
        <v>-9.279999999999999E-4</v>
      </c>
      <c r="H120" s="6">
        <f t="shared" si="17"/>
        <v>-9.279999999999999E-4</v>
      </c>
      <c r="I120" s="6">
        <f t="shared" si="17"/>
        <v>-9.279999999999999E-4</v>
      </c>
      <c r="J120" s="6">
        <f t="shared" si="18"/>
        <v>-9.279999999999999E-4</v>
      </c>
      <c r="K120" s="6">
        <f t="shared" si="18"/>
        <v>-9.279999999999999E-4</v>
      </c>
      <c r="L120" s="6">
        <f t="shared" si="18"/>
        <v>-9.279999999999999E-4</v>
      </c>
      <c r="M120" s="4"/>
    </row>
    <row r="121" spans="1:13" outlineLevel="1" x14ac:dyDescent="0.35">
      <c r="B121" s="282" t="s">
        <v>137</v>
      </c>
      <c r="C121" s="282" t="s">
        <v>567</v>
      </c>
      <c r="D121" s="6">
        <f>SUM(D112:D120)</f>
        <v>3.3372886730842044E-4</v>
      </c>
      <c r="E121" s="6">
        <f t="shared" ref="E121:L121" si="19">SUM(E112:E120)</f>
        <v>-5.0494298123702195E-4</v>
      </c>
      <c r="F121" s="6">
        <f t="shared" si="19"/>
        <v>-6.6350885311152927E-4</v>
      </c>
      <c r="G121" s="6">
        <f t="shared" si="19"/>
        <v>1.141619719582553E-4</v>
      </c>
      <c r="H121" s="6">
        <f t="shared" si="19"/>
        <v>-5.4423322385370411E-4</v>
      </c>
      <c r="I121" s="6">
        <f t="shared" si="19"/>
        <v>-6.7134193330766075E-4</v>
      </c>
      <c r="J121" s="6">
        <f t="shared" si="19"/>
        <v>5.7361821585479695E-4</v>
      </c>
      <c r="K121" s="6">
        <f t="shared" si="19"/>
        <v>4.5191652365878909E-4</v>
      </c>
      <c r="L121" s="6">
        <f t="shared" si="19"/>
        <v>3.5635339086070178E-4</v>
      </c>
      <c r="M121" s="4"/>
    </row>
    <row r="122" spans="1:13" outlineLevel="1" x14ac:dyDescent="0.35">
      <c r="D122" s="3"/>
      <c r="E122" s="3"/>
      <c r="F122" s="3"/>
      <c r="G122" s="3"/>
      <c r="H122" s="3"/>
      <c r="I122" s="3"/>
      <c r="J122" s="3"/>
      <c r="K122" s="3"/>
      <c r="L122" s="3"/>
      <c r="M122" s="4"/>
    </row>
    <row r="123" spans="1:13" outlineLevel="1" x14ac:dyDescent="0.35">
      <c r="A123" s="15" t="s">
        <v>507</v>
      </c>
      <c r="B123" s="30"/>
      <c r="C123" s="140" t="s">
        <v>180</v>
      </c>
      <c r="D123" s="6" t="s">
        <v>889</v>
      </c>
      <c r="E123" s="6" t="s">
        <v>891</v>
      </c>
      <c r="F123" s="6" t="s">
        <v>890</v>
      </c>
      <c r="G123" s="6" t="s">
        <v>892</v>
      </c>
      <c r="H123" s="6" t="s">
        <v>893</v>
      </c>
      <c r="I123" s="6" t="s">
        <v>894</v>
      </c>
      <c r="J123" s="6" t="s">
        <v>896</v>
      </c>
      <c r="K123" s="6" t="s">
        <v>897</v>
      </c>
      <c r="L123" s="6" t="s">
        <v>895</v>
      </c>
      <c r="M123" s="4"/>
    </row>
    <row r="124" spans="1:13" outlineLevel="1" x14ac:dyDescent="0.35">
      <c r="A124" s="141" t="s">
        <v>510</v>
      </c>
      <c r="B124" s="282" t="s">
        <v>117</v>
      </c>
      <c r="C124" s="282" t="s">
        <v>564</v>
      </c>
      <c r="D124" s="6">
        <f>D88/20</f>
        <v>8.3566600480565779E-3</v>
      </c>
      <c r="E124" s="6">
        <f t="shared" ref="E124:L124" si="20">E88/20</f>
        <v>8.003407314760673E-3</v>
      </c>
      <c r="F124" s="6">
        <f t="shared" si="20"/>
        <v>7.2432140850698119E-3</v>
      </c>
      <c r="G124" s="6">
        <f t="shared" si="20"/>
        <v>8.3566600480565779E-3</v>
      </c>
      <c r="H124" s="6">
        <f t="shared" si="20"/>
        <v>8.003407314760673E-3</v>
      </c>
      <c r="I124" s="6">
        <f t="shared" si="20"/>
        <v>7.2432140850698119E-3</v>
      </c>
      <c r="J124" s="6">
        <f t="shared" si="20"/>
        <v>7.9897627067613899E-3</v>
      </c>
      <c r="K124" s="6">
        <f t="shared" si="20"/>
        <v>7.6401797059944525E-3</v>
      </c>
      <c r="L124" s="6">
        <f t="shared" si="20"/>
        <v>6.8874567594591945E-3</v>
      </c>
      <c r="M124" s="4"/>
    </row>
    <row r="125" spans="1:13" outlineLevel="1" x14ac:dyDescent="0.35">
      <c r="B125" s="282" t="s">
        <v>118</v>
      </c>
      <c r="C125" s="282" t="s">
        <v>564</v>
      </c>
      <c r="D125" s="6">
        <f t="shared" ref="D125:L132" si="21">D89/20</f>
        <v>5.0050142871291877E-4</v>
      </c>
      <c r="E125" s="6">
        <f t="shared" si="21"/>
        <v>4.7531917382991409E-4</v>
      </c>
      <c r="F125" s="6">
        <f t="shared" si="21"/>
        <v>4.4887183709256377E-4</v>
      </c>
      <c r="G125" s="6">
        <f t="shared" si="21"/>
        <v>5.0050142871291877E-4</v>
      </c>
      <c r="H125" s="6">
        <f t="shared" si="21"/>
        <v>4.7531917382991409E-4</v>
      </c>
      <c r="I125" s="6">
        <f t="shared" si="21"/>
        <v>4.4887183709256377E-4</v>
      </c>
      <c r="J125" s="6">
        <f t="shared" si="21"/>
        <v>2.5025071435645939E-4</v>
      </c>
      <c r="K125" s="6">
        <f t="shared" si="21"/>
        <v>2.3765958691495705E-4</v>
      </c>
      <c r="L125" s="6">
        <f t="shared" si="21"/>
        <v>2.2443591854628188E-4</v>
      </c>
      <c r="M125" s="4"/>
    </row>
    <row r="126" spans="1:13" outlineLevel="1" x14ac:dyDescent="0.35">
      <c r="B126" s="282" t="s">
        <v>119</v>
      </c>
      <c r="C126" s="282" t="s">
        <v>564</v>
      </c>
      <c r="D126" s="6">
        <f t="shared" si="21"/>
        <v>6.730357621054441E-5</v>
      </c>
      <c r="E126" s="6">
        <f t="shared" si="21"/>
        <v>6.0194088732613325E-5</v>
      </c>
      <c r="F126" s="6">
        <f t="shared" si="21"/>
        <v>5.6822459146780172E-5</v>
      </c>
      <c r="G126" s="6">
        <f t="shared" si="21"/>
        <v>6.730357621054441E-5</v>
      </c>
      <c r="H126" s="6">
        <f t="shared" si="21"/>
        <v>6.0194088732613325E-5</v>
      </c>
      <c r="I126" s="6">
        <f t="shared" si="21"/>
        <v>5.6822459146780172E-5</v>
      </c>
      <c r="J126" s="6">
        <f t="shared" si="21"/>
        <v>6.730357621054441E-5</v>
      </c>
      <c r="K126" s="6">
        <f t="shared" si="21"/>
        <v>6.0194088732613325E-5</v>
      </c>
      <c r="L126" s="6">
        <f t="shared" si="21"/>
        <v>5.6822459146780172E-5</v>
      </c>
      <c r="M126" s="4"/>
    </row>
    <row r="127" spans="1:13" outlineLevel="1" x14ac:dyDescent="0.35">
      <c r="B127" s="282" t="s">
        <v>120</v>
      </c>
      <c r="C127" s="282" t="s">
        <v>564</v>
      </c>
      <c r="D127" s="6">
        <f t="shared" si="21"/>
        <v>1.8634370123773913E-6</v>
      </c>
      <c r="E127" s="6">
        <f t="shared" si="21"/>
        <v>1.7613571923572039E-6</v>
      </c>
      <c r="F127" s="6">
        <f t="shared" si="21"/>
        <v>1.7020923788049539E-6</v>
      </c>
      <c r="G127" s="6">
        <f t="shared" si="21"/>
        <v>1.8634370123773913E-6</v>
      </c>
      <c r="H127" s="6">
        <f t="shared" si="21"/>
        <v>1.7613571923572039E-6</v>
      </c>
      <c r="I127" s="6">
        <f t="shared" si="21"/>
        <v>1.7020923788049539E-6</v>
      </c>
      <c r="J127" s="6">
        <f t="shared" si="21"/>
        <v>9.3171850618869566E-7</v>
      </c>
      <c r="K127" s="6">
        <f t="shared" si="21"/>
        <v>8.8067859617860194E-7</v>
      </c>
      <c r="L127" s="6">
        <f t="shared" si="21"/>
        <v>8.5104618940247695E-7</v>
      </c>
      <c r="M127" s="4"/>
    </row>
    <row r="128" spans="1:13" outlineLevel="1" x14ac:dyDescent="0.35">
      <c r="B128" s="282" t="s">
        <v>121</v>
      </c>
      <c r="C128" s="282" t="s">
        <v>564</v>
      </c>
      <c r="D128" s="6">
        <f t="shared" si="21"/>
        <v>1.0499021158545266E-3</v>
      </c>
      <c r="E128" s="6">
        <f t="shared" si="21"/>
        <v>9.1205328860402351E-4</v>
      </c>
      <c r="F128" s="6">
        <f t="shared" si="21"/>
        <v>8.2321397124335977E-4</v>
      </c>
      <c r="G128" s="6">
        <f t="shared" si="21"/>
        <v>1.0499021158545266E-3</v>
      </c>
      <c r="H128" s="6">
        <f t="shared" si="21"/>
        <v>9.1205328860402351E-4</v>
      </c>
      <c r="I128" s="6">
        <f t="shared" si="21"/>
        <v>8.2321397124335977E-4</v>
      </c>
      <c r="J128" s="6">
        <f t="shared" si="21"/>
        <v>1.0499021158545266E-3</v>
      </c>
      <c r="K128" s="6">
        <f t="shared" si="21"/>
        <v>9.1205328860402351E-4</v>
      </c>
      <c r="L128" s="6">
        <f t="shared" si="21"/>
        <v>8.2321397124335977E-4</v>
      </c>
      <c r="M128" s="4"/>
    </row>
    <row r="129" spans="1:13" outlineLevel="1" x14ac:dyDescent="0.35">
      <c r="B129" s="282" t="s">
        <v>797</v>
      </c>
      <c r="C129" s="282" t="s">
        <v>564</v>
      </c>
      <c r="D129" s="6">
        <f t="shared" si="21"/>
        <v>0</v>
      </c>
      <c r="E129" s="6">
        <f t="shared" si="21"/>
        <v>0</v>
      </c>
      <c r="F129" s="6">
        <f t="shared" si="21"/>
        <v>0</v>
      </c>
      <c r="G129" s="6">
        <f t="shared" si="21"/>
        <v>0</v>
      </c>
      <c r="H129" s="6">
        <f t="shared" si="21"/>
        <v>0</v>
      </c>
      <c r="I129" s="6">
        <f t="shared" si="21"/>
        <v>0</v>
      </c>
      <c r="J129" s="6">
        <f t="shared" si="21"/>
        <v>4.7008605434803875E-2</v>
      </c>
      <c r="K129" s="6">
        <f t="shared" si="21"/>
        <v>4.587346288842914E-2</v>
      </c>
      <c r="L129" s="6">
        <f t="shared" si="21"/>
        <v>4.2617395054216779E-2</v>
      </c>
      <c r="M129" s="4"/>
    </row>
    <row r="130" spans="1:13" outlineLevel="1" x14ac:dyDescent="0.35">
      <c r="B130" s="282" t="s">
        <v>122</v>
      </c>
      <c r="C130" s="282" t="s">
        <v>564</v>
      </c>
      <c r="D130" s="6">
        <f t="shared" si="21"/>
        <v>0.13580768915470237</v>
      </c>
      <c r="E130" s="6">
        <f t="shared" si="21"/>
        <v>3.8825186496682186E-2</v>
      </c>
      <c r="F130" s="6">
        <f t="shared" si="21"/>
        <v>2.1242013332689959E-2</v>
      </c>
      <c r="G130" s="6">
        <f t="shared" si="21"/>
        <v>0.10836182723593171</v>
      </c>
      <c r="H130" s="6">
        <f t="shared" si="21"/>
        <v>3.391390616959692E-2</v>
      </c>
      <c r="I130" s="6">
        <f t="shared" si="21"/>
        <v>2.0262878308173533E-2</v>
      </c>
      <c r="J130" s="6">
        <f t="shared" si="21"/>
        <v>3.1518287897930188E-2</v>
      </c>
      <c r="K130" s="6">
        <f t="shared" si="21"/>
        <v>2.9218249678617702E-2</v>
      </c>
      <c r="L130" s="6">
        <f t="shared" si="21"/>
        <v>2.8039133928273285E-2</v>
      </c>
      <c r="M130" s="4"/>
    </row>
    <row r="131" spans="1:13" outlineLevel="1" x14ac:dyDescent="0.35">
      <c r="B131" s="282" t="s">
        <v>123</v>
      </c>
      <c r="C131" s="282" t="s">
        <v>564</v>
      </c>
      <c r="D131" s="6">
        <f t="shared" si="21"/>
        <v>1.1932188653003255E-2</v>
      </c>
      <c r="E131" s="6">
        <f t="shared" si="21"/>
        <v>4.6042056255704792E-3</v>
      </c>
      <c r="F131" s="6">
        <f t="shared" si="21"/>
        <v>3.2455555834375398E-3</v>
      </c>
      <c r="G131" s="6">
        <f t="shared" si="21"/>
        <v>1.1932188653003255E-2</v>
      </c>
      <c r="H131" s="6">
        <f t="shared" si="21"/>
        <v>4.6042056255704792E-3</v>
      </c>
      <c r="I131" s="6">
        <f t="shared" si="21"/>
        <v>3.2455555834375398E-3</v>
      </c>
      <c r="J131" s="6">
        <f t="shared" si="21"/>
        <v>5.9660943265016277E-3</v>
      </c>
      <c r="K131" s="6">
        <f t="shared" si="21"/>
        <v>2.3021028127852396E-3</v>
      </c>
      <c r="L131" s="6">
        <f t="shared" si="21"/>
        <v>1.6227777917187699E-3</v>
      </c>
      <c r="M131" s="4"/>
    </row>
    <row r="132" spans="1:13" outlineLevel="1" x14ac:dyDescent="0.35">
      <c r="B132" s="282" t="s">
        <v>124</v>
      </c>
      <c r="C132" s="282" t="s">
        <v>564</v>
      </c>
      <c r="D132" s="6">
        <f>D96/20</f>
        <v>-0.11599999999999999</v>
      </c>
      <c r="E132" s="6">
        <f t="shared" si="21"/>
        <v>-0.11599999999999999</v>
      </c>
      <c r="F132" s="6">
        <f t="shared" si="21"/>
        <v>-0.11599999999999999</v>
      </c>
      <c r="G132" s="6">
        <f t="shared" si="21"/>
        <v>-0.11599999999999999</v>
      </c>
      <c r="H132" s="6">
        <f t="shared" si="21"/>
        <v>-0.11599999999999999</v>
      </c>
      <c r="I132" s="6">
        <f t="shared" si="21"/>
        <v>-0.11599999999999999</v>
      </c>
      <c r="J132" s="6">
        <f t="shared" si="21"/>
        <v>-5.7999999999999996E-2</v>
      </c>
      <c r="K132" s="6">
        <f t="shared" si="21"/>
        <v>-5.7999999999999996E-2</v>
      </c>
      <c r="L132" s="6">
        <f t="shared" si="21"/>
        <v>-5.7999999999999996E-2</v>
      </c>
      <c r="M132" s="4"/>
    </row>
    <row r="133" spans="1:13" outlineLevel="1" x14ac:dyDescent="0.35">
      <c r="B133" s="282" t="s">
        <v>137</v>
      </c>
      <c r="C133" s="282" t="s">
        <v>564</v>
      </c>
      <c r="D133" s="6">
        <f>SUM(D124:D132)</f>
        <v>4.1716108413552583E-2</v>
      </c>
      <c r="E133" s="6">
        <f t="shared" ref="E133:L133" si="22">SUM(E124:E132)</f>
        <v>-6.3117872654627746E-2</v>
      </c>
      <c r="F133" s="6">
        <f t="shared" si="22"/>
        <v>-8.2938606638941176E-2</v>
      </c>
      <c r="G133" s="6">
        <f t="shared" si="22"/>
        <v>1.4270246494781924E-2</v>
      </c>
      <c r="H133" s="6">
        <f t="shared" si="22"/>
        <v>-6.8029152981713012E-2</v>
      </c>
      <c r="I133" s="6">
        <f t="shared" si="22"/>
        <v>-8.3917741663457598E-2</v>
      </c>
      <c r="J133" s="6">
        <f t="shared" si="22"/>
        <v>3.5851138490924792E-2</v>
      </c>
      <c r="K133" s="6">
        <f t="shared" si="22"/>
        <v>2.8244782728674311E-2</v>
      </c>
      <c r="L133" s="6">
        <f t="shared" si="22"/>
        <v>2.2272086928793858E-2</v>
      </c>
      <c r="M133" s="4"/>
    </row>
    <row r="134" spans="1:13" outlineLevel="1" x14ac:dyDescent="0.35">
      <c r="D134" s="3"/>
      <c r="E134" s="3"/>
      <c r="F134" s="3"/>
      <c r="G134" s="3"/>
      <c r="H134" s="3"/>
      <c r="I134" s="3"/>
      <c r="J134" s="3"/>
      <c r="K134" s="3"/>
      <c r="L134" s="3"/>
      <c r="M134" s="4"/>
    </row>
    <row r="135" spans="1:13" outlineLevel="1" x14ac:dyDescent="0.35">
      <c r="A135" s="15" t="s">
        <v>509</v>
      </c>
      <c r="B135" s="30"/>
      <c r="C135" s="140" t="s">
        <v>180</v>
      </c>
      <c r="D135" s="6" t="s">
        <v>889</v>
      </c>
      <c r="E135" s="6" t="s">
        <v>891</v>
      </c>
      <c r="F135" s="6" t="s">
        <v>890</v>
      </c>
      <c r="G135" s="6" t="s">
        <v>892</v>
      </c>
      <c r="H135" s="6" t="s">
        <v>893</v>
      </c>
      <c r="I135" s="6" t="s">
        <v>894</v>
      </c>
      <c r="J135" s="6" t="s">
        <v>896</v>
      </c>
      <c r="K135" s="6" t="s">
        <v>897</v>
      </c>
      <c r="L135" s="6" t="s">
        <v>895</v>
      </c>
      <c r="M135" s="4"/>
    </row>
    <row r="136" spans="1:13" outlineLevel="1" x14ac:dyDescent="0.35">
      <c r="A136" s="141" t="s">
        <v>803</v>
      </c>
      <c r="B136" s="282" t="s">
        <v>117</v>
      </c>
      <c r="C136" s="282" t="s">
        <v>567</v>
      </c>
      <c r="D136" s="6">
        <f t="shared" ref="D136:I143" si="23">D124/100</f>
        <v>8.3566600480565776E-5</v>
      </c>
      <c r="E136" s="6">
        <f t="shared" si="23"/>
        <v>8.0034073147606732E-5</v>
      </c>
      <c r="F136" s="6">
        <f t="shared" si="23"/>
        <v>7.2432140850698116E-5</v>
      </c>
      <c r="G136" s="6">
        <f t="shared" si="23"/>
        <v>8.3566600480565776E-5</v>
      </c>
      <c r="H136" s="6">
        <f t="shared" si="23"/>
        <v>8.0034073147606732E-5</v>
      </c>
      <c r="I136" s="6">
        <f t="shared" si="23"/>
        <v>7.2432140850698116E-5</v>
      </c>
      <c r="J136" s="6">
        <f>J124/50</f>
        <v>1.5979525413522779E-4</v>
      </c>
      <c r="K136" s="6">
        <f>K124/50</f>
        <v>1.5280359411988905E-4</v>
      </c>
      <c r="L136" s="6">
        <f>L124/50</f>
        <v>1.377491351891839E-4</v>
      </c>
      <c r="M136" s="4"/>
    </row>
    <row r="137" spans="1:13" outlineLevel="1" x14ac:dyDescent="0.35">
      <c r="A137" s="141" t="s">
        <v>804</v>
      </c>
      <c r="B137" s="282" t="s">
        <v>118</v>
      </c>
      <c r="C137" s="282" t="s">
        <v>567</v>
      </c>
      <c r="D137" s="6">
        <f t="shared" si="23"/>
        <v>5.005014287129188E-6</v>
      </c>
      <c r="E137" s="6">
        <f t="shared" si="23"/>
        <v>4.7531917382991407E-6</v>
      </c>
      <c r="F137" s="6">
        <f t="shared" si="23"/>
        <v>4.4887183709256379E-6</v>
      </c>
      <c r="G137" s="6">
        <f t="shared" si="23"/>
        <v>5.005014287129188E-6</v>
      </c>
      <c r="H137" s="6">
        <f t="shared" si="23"/>
        <v>4.7531917382991407E-6</v>
      </c>
      <c r="I137" s="6">
        <f t="shared" si="23"/>
        <v>4.4887183709256379E-6</v>
      </c>
      <c r="J137" s="6">
        <f t="shared" ref="J137:L143" si="24">J125/50</f>
        <v>5.005014287129188E-6</v>
      </c>
      <c r="K137" s="6">
        <f t="shared" si="24"/>
        <v>4.7531917382991407E-6</v>
      </c>
      <c r="L137" s="6">
        <f t="shared" si="24"/>
        <v>4.4887183709256379E-6</v>
      </c>
      <c r="M137" s="4"/>
    </row>
    <row r="138" spans="1:13" outlineLevel="1" x14ac:dyDescent="0.35">
      <c r="B138" s="282" t="s">
        <v>119</v>
      </c>
      <c r="C138" s="282" t="s">
        <v>567</v>
      </c>
      <c r="D138" s="6">
        <f t="shared" si="23"/>
        <v>6.7303576210544414E-7</v>
      </c>
      <c r="E138" s="6">
        <f t="shared" si="23"/>
        <v>6.019408873261333E-7</v>
      </c>
      <c r="F138" s="6">
        <f t="shared" si="23"/>
        <v>5.6822459146780176E-7</v>
      </c>
      <c r="G138" s="6">
        <f t="shared" si="23"/>
        <v>6.7303576210544414E-7</v>
      </c>
      <c r="H138" s="6">
        <f t="shared" si="23"/>
        <v>6.019408873261333E-7</v>
      </c>
      <c r="I138" s="6">
        <f t="shared" si="23"/>
        <v>5.6822459146780176E-7</v>
      </c>
      <c r="J138" s="6">
        <f t="shared" si="24"/>
        <v>1.3460715242108883E-6</v>
      </c>
      <c r="K138" s="6">
        <f t="shared" si="24"/>
        <v>1.2038817746522666E-6</v>
      </c>
      <c r="L138" s="6">
        <f t="shared" si="24"/>
        <v>1.1364491829356035E-6</v>
      </c>
      <c r="M138" s="4"/>
    </row>
    <row r="139" spans="1:13" outlineLevel="1" x14ac:dyDescent="0.35">
      <c r="B139" s="282" t="s">
        <v>120</v>
      </c>
      <c r="C139" s="282" t="s">
        <v>567</v>
      </c>
      <c r="D139" s="6">
        <f t="shared" si="23"/>
        <v>1.8634370123773912E-8</v>
      </c>
      <c r="E139" s="6">
        <f t="shared" si="23"/>
        <v>1.7613571923572039E-8</v>
      </c>
      <c r="F139" s="6">
        <f t="shared" si="23"/>
        <v>1.7020923788049539E-8</v>
      </c>
      <c r="G139" s="6">
        <f t="shared" si="23"/>
        <v>1.8634370123773912E-8</v>
      </c>
      <c r="H139" s="6">
        <f t="shared" si="23"/>
        <v>1.7613571923572039E-8</v>
      </c>
      <c r="I139" s="6">
        <f t="shared" si="23"/>
        <v>1.7020923788049539E-8</v>
      </c>
      <c r="J139" s="6">
        <f t="shared" si="24"/>
        <v>1.8634370123773912E-8</v>
      </c>
      <c r="K139" s="6">
        <f t="shared" si="24"/>
        <v>1.7613571923572039E-8</v>
      </c>
      <c r="L139" s="6">
        <f t="shared" si="24"/>
        <v>1.7020923788049539E-8</v>
      </c>
      <c r="M139" s="4"/>
    </row>
    <row r="140" spans="1:13" outlineLevel="1" x14ac:dyDescent="0.35">
      <c r="B140" s="282" t="s">
        <v>121</v>
      </c>
      <c r="C140" s="282" t="s">
        <v>567</v>
      </c>
      <c r="D140" s="6">
        <f t="shared" si="23"/>
        <v>1.0499021158545267E-5</v>
      </c>
      <c r="E140" s="6">
        <f t="shared" si="23"/>
        <v>9.1205328860402352E-6</v>
      </c>
      <c r="F140" s="6">
        <f t="shared" si="23"/>
        <v>8.2321397124335983E-6</v>
      </c>
      <c r="G140" s="6">
        <f t="shared" si="23"/>
        <v>1.0499021158545267E-5</v>
      </c>
      <c r="H140" s="6">
        <f t="shared" si="23"/>
        <v>9.1205328860402352E-6</v>
      </c>
      <c r="I140" s="6">
        <f t="shared" si="23"/>
        <v>8.2321397124335983E-6</v>
      </c>
      <c r="J140" s="6">
        <f t="shared" si="24"/>
        <v>2.0998042317090534E-5</v>
      </c>
      <c r="K140" s="6">
        <f t="shared" si="24"/>
        <v>1.824106577208047E-5</v>
      </c>
      <c r="L140" s="6">
        <f t="shared" si="24"/>
        <v>1.6464279424867197E-5</v>
      </c>
      <c r="M140" s="4"/>
    </row>
    <row r="141" spans="1:13" outlineLevel="1" x14ac:dyDescent="0.35">
      <c r="B141" s="282" t="s">
        <v>797</v>
      </c>
      <c r="C141" s="282" t="s">
        <v>567</v>
      </c>
      <c r="D141" s="6">
        <f t="shared" si="23"/>
        <v>0</v>
      </c>
      <c r="E141" s="6">
        <f t="shared" si="23"/>
        <v>0</v>
      </c>
      <c r="F141" s="6">
        <f t="shared" si="23"/>
        <v>0</v>
      </c>
      <c r="G141" s="6">
        <f t="shared" si="23"/>
        <v>0</v>
      </c>
      <c r="H141" s="6">
        <f t="shared" si="23"/>
        <v>0</v>
      </c>
      <c r="I141" s="6">
        <f t="shared" si="23"/>
        <v>0</v>
      </c>
      <c r="J141" s="6">
        <f t="shared" si="24"/>
        <v>9.401721086960775E-4</v>
      </c>
      <c r="K141" s="6">
        <f t="shared" si="24"/>
        <v>9.1746925776858281E-4</v>
      </c>
      <c r="L141" s="6">
        <f t="shared" si="24"/>
        <v>8.5234790108433555E-4</v>
      </c>
      <c r="M141" s="4"/>
    </row>
    <row r="142" spans="1:13" outlineLevel="1" x14ac:dyDescent="0.35">
      <c r="B142" s="282" t="s">
        <v>122</v>
      </c>
      <c r="C142" s="282" t="s">
        <v>567</v>
      </c>
      <c r="D142" s="6">
        <f t="shared" si="23"/>
        <v>1.3580768915470237E-3</v>
      </c>
      <c r="E142" s="6">
        <f t="shared" si="23"/>
        <v>3.8825186496682185E-4</v>
      </c>
      <c r="F142" s="6">
        <f t="shared" si="23"/>
        <v>2.124201333268996E-4</v>
      </c>
      <c r="G142" s="6">
        <f t="shared" si="23"/>
        <v>1.0836182723593171E-3</v>
      </c>
      <c r="H142" s="6">
        <f t="shared" si="23"/>
        <v>3.3913906169596921E-4</v>
      </c>
      <c r="I142" s="6">
        <f t="shared" si="23"/>
        <v>2.0262878308173533E-4</v>
      </c>
      <c r="J142" s="6">
        <f t="shared" si="24"/>
        <v>6.3036575795860379E-4</v>
      </c>
      <c r="K142" s="6">
        <f t="shared" si="24"/>
        <v>5.8436499357235403E-4</v>
      </c>
      <c r="L142" s="6">
        <f t="shared" si="24"/>
        <v>5.6078267856546566E-4</v>
      </c>
      <c r="M142" s="4"/>
    </row>
    <row r="143" spans="1:13" outlineLevel="1" x14ac:dyDescent="0.35">
      <c r="B143" s="282" t="s">
        <v>123</v>
      </c>
      <c r="C143" s="282" t="s">
        <v>567</v>
      </c>
      <c r="D143" s="6">
        <f t="shared" si="23"/>
        <v>1.1932188653003255E-4</v>
      </c>
      <c r="E143" s="6">
        <f t="shared" si="23"/>
        <v>4.604205625570479E-5</v>
      </c>
      <c r="F143" s="6">
        <f t="shared" si="23"/>
        <v>3.24555558343754E-5</v>
      </c>
      <c r="G143" s="6">
        <f t="shared" si="23"/>
        <v>1.1932188653003255E-4</v>
      </c>
      <c r="H143" s="6">
        <f t="shared" si="23"/>
        <v>4.604205625570479E-5</v>
      </c>
      <c r="I143" s="6">
        <f t="shared" si="23"/>
        <v>3.24555558343754E-5</v>
      </c>
      <c r="J143" s="6">
        <f t="shared" si="24"/>
        <v>1.1932188653003255E-4</v>
      </c>
      <c r="K143" s="6">
        <f t="shared" si="24"/>
        <v>4.604205625570479E-5</v>
      </c>
      <c r="L143" s="6">
        <f t="shared" si="24"/>
        <v>3.24555558343754E-5</v>
      </c>
      <c r="M143" s="4"/>
    </row>
    <row r="144" spans="1:13" outlineLevel="1" x14ac:dyDescent="0.35">
      <c r="B144" s="282" t="s">
        <v>124</v>
      </c>
      <c r="C144" s="282" t="s">
        <v>567</v>
      </c>
      <c r="D144" s="6">
        <f>-1000*0.000000928</f>
        <v>-9.2800000000000001E-4</v>
      </c>
      <c r="E144" s="6">
        <f t="shared" ref="E144:L144" si="25">-1000*0.000000928</f>
        <v>-9.2800000000000001E-4</v>
      </c>
      <c r="F144" s="6">
        <f t="shared" si="25"/>
        <v>-9.2800000000000001E-4</v>
      </c>
      <c r="G144" s="6">
        <f t="shared" si="25"/>
        <v>-9.2800000000000001E-4</v>
      </c>
      <c r="H144" s="6">
        <f t="shared" si="25"/>
        <v>-9.2800000000000001E-4</v>
      </c>
      <c r="I144" s="6">
        <f t="shared" si="25"/>
        <v>-9.2800000000000001E-4</v>
      </c>
      <c r="J144" s="6">
        <f t="shared" si="25"/>
        <v>-9.2800000000000001E-4</v>
      </c>
      <c r="K144" s="6">
        <f t="shared" si="25"/>
        <v>-9.2800000000000001E-4</v>
      </c>
      <c r="L144" s="6">
        <f t="shared" si="25"/>
        <v>-9.2800000000000001E-4</v>
      </c>
      <c r="M144" s="4"/>
    </row>
    <row r="145" spans="1:23" outlineLevel="1" x14ac:dyDescent="0.35">
      <c r="B145" s="282" t="s">
        <v>137</v>
      </c>
      <c r="C145" s="282" t="s">
        <v>567</v>
      </c>
      <c r="D145" s="6">
        <f>SUM(D136:D144)</f>
        <v>6.4916108413552547E-4</v>
      </c>
      <c r="E145" s="6">
        <f t="shared" ref="E145:L145" si="26">SUM(E136:E144)</f>
        <v>-3.991787265462776E-4</v>
      </c>
      <c r="F145" s="6">
        <f t="shared" si="26"/>
        <v>-5.9738606638941186E-4</v>
      </c>
      <c r="G145" s="6">
        <f t="shared" si="26"/>
        <v>3.7470246494781894E-4</v>
      </c>
      <c r="H145" s="6">
        <f t="shared" si="26"/>
        <v>-4.4829152981713024E-4</v>
      </c>
      <c r="I145" s="6">
        <f t="shared" si="26"/>
        <v>-6.0717741663457599E-4</v>
      </c>
      <c r="J145" s="6">
        <f t="shared" si="26"/>
        <v>9.4902276981849595E-4</v>
      </c>
      <c r="K145" s="6">
        <f t="shared" si="26"/>
        <v>7.9689565457348606E-4</v>
      </c>
      <c r="L145" s="6">
        <f t="shared" si="26"/>
        <v>6.7744173857587687E-4</v>
      </c>
      <c r="M145" s="4"/>
    </row>
    <row r="146" spans="1:23" outlineLevel="1" x14ac:dyDescent="0.35">
      <c r="D146" s="6"/>
      <c r="E146" s="6"/>
      <c r="F146" s="6"/>
      <c r="G146" s="6"/>
      <c r="H146" s="6"/>
      <c r="I146" s="6"/>
      <c r="J146" s="6"/>
      <c r="K146" s="6"/>
      <c r="L146" s="6"/>
      <c r="M146" s="4"/>
      <c r="T146" s="282"/>
    </row>
    <row r="147" spans="1:23" s="33" customFormat="1" ht="15.5" x14ac:dyDescent="0.35">
      <c r="A147" s="51" t="s">
        <v>505</v>
      </c>
      <c r="B147" s="4"/>
      <c r="C147" s="4"/>
      <c r="D147" s="4"/>
      <c r="E147" s="4"/>
      <c r="F147" s="4"/>
      <c r="G147" s="4"/>
      <c r="H147" s="4"/>
      <c r="I147" s="4"/>
      <c r="J147" s="4"/>
      <c r="K147" s="4"/>
      <c r="L147" s="4"/>
      <c r="M147" s="4"/>
      <c r="N147" s="282"/>
      <c r="O147" s="282"/>
      <c r="P147" s="282"/>
      <c r="Q147" s="282"/>
      <c r="R147" s="282"/>
      <c r="S147" s="282"/>
      <c r="T147" s="282"/>
      <c r="U147" s="282"/>
      <c r="V147" s="282"/>
      <c r="W147" s="282"/>
    </row>
    <row r="148" spans="1:23" outlineLevel="1" x14ac:dyDescent="0.35">
      <c r="A148" s="15" t="s">
        <v>507</v>
      </c>
      <c r="B148" s="30"/>
      <c r="C148" s="140" t="s">
        <v>180</v>
      </c>
      <c r="D148" s="6" t="s">
        <v>889</v>
      </c>
      <c r="E148" s="6" t="s">
        <v>891</v>
      </c>
      <c r="F148" s="6" t="s">
        <v>890</v>
      </c>
      <c r="G148" s="6" t="s">
        <v>892</v>
      </c>
      <c r="H148" s="6" t="s">
        <v>893</v>
      </c>
      <c r="I148" s="6" t="s">
        <v>894</v>
      </c>
      <c r="J148" s="6" t="s">
        <v>896</v>
      </c>
      <c r="K148" s="6" t="s">
        <v>897</v>
      </c>
      <c r="L148" s="6" t="s">
        <v>895</v>
      </c>
      <c r="M148" s="4"/>
      <c r="T148" s="282"/>
    </row>
    <row r="149" spans="1:23" outlineLevel="1" x14ac:dyDescent="0.35">
      <c r="A149" s="141" t="s">
        <v>508</v>
      </c>
      <c r="B149" s="282" t="s">
        <v>117</v>
      </c>
      <c r="C149" s="282" t="s">
        <v>564</v>
      </c>
      <c r="D149" s="6">
        <f>'Results ReCiPe (H) - HHD'!B449</f>
        <v>6.6853280384452625E-3</v>
      </c>
      <c r="E149" s="6">
        <f>'Results ReCiPe (H) - HHD'!C449</f>
        <v>6.4027258518085384E-3</v>
      </c>
      <c r="F149" s="6">
        <f>'Results ReCiPe (H) - HHD'!D449</f>
        <v>5.7945712680558493E-3</v>
      </c>
      <c r="G149" s="6">
        <f>'Results ReCiPe (H) - HHD'!E449</f>
        <v>6.6853280384452625E-3</v>
      </c>
      <c r="H149" s="6">
        <f>'Results ReCiPe (H) - HHD'!F449</f>
        <v>6.4027258518085384E-3</v>
      </c>
      <c r="I149" s="6">
        <f>'Results ReCiPe (H) - HHD'!G449</f>
        <v>5.7945712680558493E-3</v>
      </c>
      <c r="J149" s="6">
        <f>'Results ReCiPe (H) - HHD'!H449</f>
        <v>6.3918101654091121E-3</v>
      </c>
      <c r="K149" s="6">
        <f>'Results ReCiPe (H) - HHD'!I449</f>
        <v>6.1121437647955624E-3</v>
      </c>
      <c r="L149" s="6">
        <f>'Results ReCiPe (H) - HHD'!J449</f>
        <v>5.5099654075673552E-3</v>
      </c>
      <c r="M149" s="4"/>
    </row>
    <row r="150" spans="1:23" outlineLevel="1" x14ac:dyDescent="0.35">
      <c r="B150" s="282" t="s">
        <v>118</v>
      </c>
      <c r="C150" s="282" t="s">
        <v>564</v>
      </c>
      <c r="D150" s="6">
        <f>'Results ReCiPe (H) - HHD'!B450</f>
        <v>4.0040114297033505E-4</v>
      </c>
      <c r="E150" s="6">
        <f>'Results ReCiPe (H) - HHD'!C450</f>
        <v>3.8025533906393125E-4</v>
      </c>
      <c r="F150" s="6">
        <f>'Results ReCiPe (H) - HHD'!D450</f>
        <v>3.5909746967405102E-4</v>
      </c>
      <c r="G150" s="6">
        <f>'Results ReCiPe (H) - HHD'!E450</f>
        <v>4.0040114297033505E-4</v>
      </c>
      <c r="H150" s="6">
        <f>'Results ReCiPe (H) - HHD'!F450</f>
        <v>3.8025533906393125E-4</v>
      </c>
      <c r="I150" s="6">
        <f>'Results ReCiPe (H) - HHD'!G450</f>
        <v>3.5909746967405102E-4</v>
      </c>
      <c r="J150" s="6">
        <f>'Results ReCiPe (H) - HHD'!H450</f>
        <v>2.0020057148516753E-4</v>
      </c>
      <c r="K150" s="6">
        <f>'Results ReCiPe (H) - HHD'!I450</f>
        <v>1.9012766953196563E-4</v>
      </c>
      <c r="L150" s="6">
        <f>'Results ReCiPe (H) - HHD'!J450</f>
        <v>1.7954873483702551E-4</v>
      </c>
      <c r="M150" s="4"/>
    </row>
    <row r="151" spans="1:23" outlineLevel="1" x14ac:dyDescent="0.35">
      <c r="B151" s="282" t="s">
        <v>119</v>
      </c>
      <c r="C151" s="282" t="s">
        <v>564</v>
      </c>
      <c r="D151" s="6">
        <f>'Results ReCiPe (H) - HHD'!B451</f>
        <v>5.3842860968435526E-5</v>
      </c>
      <c r="E151" s="6">
        <f>'Results ReCiPe (H) - HHD'!C451</f>
        <v>4.8155270986090666E-5</v>
      </c>
      <c r="F151" s="6">
        <f>'Results ReCiPe (H) - HHD'!D451</f>
        <v>4.5457967317424134E-5</v>
      </c>
      <c r="G151" s="6">
        <f>'Results ReCiPe (H) - HHD'!E451</f>
        <v>5.3842860968435526E-5</v>
      </c>
      <c r="H151" s="6">
        <f>'Results ReCiPe (H) - HHD'!F451</f>
        <v>4.8155270986090666E-5</v>
      </c>
      <c r="I151" s="6">
        <f>'Results ReCiPe (H) - HHD'!G451</f>
        <v>4.5457967317424134E-5</v>
      </c>
      <c r="J151" s="6">
        <f>'Results ReCiPe (H) - HHD'!H451</f>
        <v>5.3842860968435526E-5</v>
      </c>
      <c r="K151" s="6">
        <f>'Results ReCiPe (H) - HHD'!I451</f>
        <v>4.8155270986090666E-5</v>
      </c>
      <c r="L151" s="6">
        <f>'Results ReCiPe (H) - HHD'!J451</f>
        <v>4.5457967317424134E-5</v>
      </c>
      <c r="M151" s="4"/>
    </row>
    <row r="152" spans="1:23" outlineLevel="1" x14ac:dyDescent="0.35">
      <c r="B152" s="282" t="s">
        <v>120</v>
      </c>
      <c r="C152" s="282" t="s">
        <v>564</v>
      </c>
      <c r="D152" s="6">
        <f>'Results ReCiPe (H) - HHD'!B452</f>
        <v>1.4907496099019131E-6</v>
      </c>
      <c r="E152" s="6">
        <f>'Results ReCiPe (H) - HHD'!C452</f>
        <v>1.409085753885763E-6</v>
      </c>
      <c r="F152" s="6">
        <f>'Results ReCiPe (H) - HHD'!D452</f>
        <v>1.361673903043963E-6</v>
      </c>
      <c r="G152" s="6">
        <f>'Results ReCiPe (H) - HHD'!E452</f>
        <v>1.4907496099019131E-6</v>
      </c>
      <c r="H152" s="6">
        <f>'Results ReCiPe (H) - HHD'!F452</f>
        <v>1.409085753885763E-6</v>
      </c>
      <c r="I152" s="6">
        <f>'Results ReCiPe (H) - HHD'!G452</f>
        <v>1.361673903043963E-6</v>
      </c>
      <c r="J152" s="6">
        <f>'Results ReCiPe (H) - HHD'!H452</f>
        <v>7.4537480495095655E-7</v>
      </c>
      <c r="K152" s="6">
        <f>'Results ReCiPe (H) - HHD'!I452</f>
        <v>7.0454287694288149E-7</v>
      </c>
      <c r="L152" s="6">
        <f>'Results ReCiPe (H) - HHD'!J452</f>
        <v>6.8083695152198152E-7</v>
      </c>
      <c r="M152" s="4"/>
    </row>
    <row r="153" spans="1:23" outlineLevel="1" x14ac:dyDescent="0.35">
      <c r="B153" s="282" t="s">
        <v>121</v>
      </c>
      <c r="C153" s="282" t="s">
        <v>564</v>
      </c>
      <c r="D153" s="6">
        <f>'Results ReCiPe (H) - HHD'!B453</f>
        <v>8.3992169268362127E-4</v>
      </c>
      <c r="E153" s="6">
        <f>'Results ReCiPe (H) - HHD'!C453</f>
        <v>7.2964263088321879E-4</v>
      </c>
      <c r="F153" s="6">
        <f>'Results ReCiPe (H) - HHD'!D453</f>
        <v>6.5857117699468783E-4</v>
      </c>
      <c r="G153" s="6">
        <f>'Results ReCiPe (H) - HHD'!E453</f>
        <v>8.3992169268362127E-4</v>
      </c>
      <c r="H153" s="6">
        <f>'Results ReCiPe (H) - HHD'!F453</f>
        <v>7.2964263088321879E-4</v>
      </c>
      <c r="I153" s="6">
        <f>'Results ReCiPe (H) - HHD'!G453</f>
        <v>6.5857117699468783E-4</v>
      </c>
      <c r="J153" s="6">
        <f>'Results ReCiPe (H) - HHD'!H453</f>
        <v>8.3992169268362127E-4</v>
      </c>
      <c r="K153" s="6">
        <f>'Results ReCiPe (H) - HHD'!I453</f>
        <v>7.2964263088321879E-4</v>
      </c>
      <c r="L153" s="6">
        <f>'Results ReCiPe (H) - HHD'!J453</f>
        <v>6.5857117699468783E-4</v>
      </c>
      <c r="M153" s="4"/>
    </row>
    <row r="154" spans="1:23" outlineLevel="1" x14ac:dyDescent="0.35">
      <c r="B154" s="282" t="s">
        <v>797</v>
      </c>
      <c r="C154" s="282" t="s">
        <v>564</v>
      </c>
      <c r="D154" s="6">
        <f>'Results ReCiPe (H) - HHD'!B454</f>
        <v>0</v>
      </c>
      <c r="E154" s="6">
        <f>'Results ReCiPe (H) - HHD'!C454</f>
        <v>0</v>
      </c>
      <c r="F154" s="6">
        <f>'Results ReCiPe (H) - HHD'!D454</f>
        <v>0</v>
      </c>
      <c r="G154" s="6">
        <f>'Results ReCiPe (H) - HHD'!E454</f>
        <v>0</v>
      </c>
      <c r="H154" s="6">
        <f>'Results ReCiPe (H) - HHD'!F454</f>
        <v>0</v>
      </c>
      <c r="I154" s="6">
        <f>'Results ReCiPe (H) - HHD'!G454</f>
        <v>0</v>
      </c>
      <c r="J154" s="6">
        <f>'Results ReCiPe (H) - HHD'!H454</f>
        <v>3.7606884347843102E-2</v>
      </c>
      <c r="K154" s="6">
        <f>'Results ReCiPe (H) - HHD'!I454</f>
        <v>3.6698770310743312E-2</v>
      </c>
      <c r="L154" s="6">
        <f>'Results ReCiPe (H) - HHD'!J454</f>
        <v>3.4093916043373425E-2</v>
      </c>
      <c r="M154" s="4"/>
    </row>
    <row r="155" spans="1:23" outlineLevel="1" x14ac:dyDescent="0.35">
      <c r="B155" s="282" t="s">
        <v>122</v>
      </c>
      <c r="C155" s="282" t="s">
        <v>564</v>
      </c>
      <c r="D155" s="6">
        <f>'Results ReCiPe (H) - HHD'!B455</f>
        <v>0.10864615132376189</v>
      </c>
      <c r="E155" s="6">
        <f>'Results ReCiPe (H) - HHD'!C455</f>
        <v>3.1060149197345746E-2</v>
      </c>
      <c r="F155" s="6">
        <f>'Results ReCiPe (H) - HHD'!D455</f>
        <v>1.699361066615197E-2</v>
      </c>
      <c r="G155" s="6">
        <f>'Results ReCiPe (H) - HHD'!E455</f>
        <v>8.668946178874537E-2</v>
      </c>
      <c r="H155" s="6">
        <f>'Results ReCiPe (H) - HHD'!F455</f>
        <v>2.7131124935677535E-2</v>
      </c>
      <c r="I155" s="6">
        <f>'Results ReCiPe (H) - HHD'!G455</f>
        <v>1.6210302646538829E-2</v>
      </c>
      <c r="J155" s="6">
        <f>'Results ReCiPe (H) - HHD'!H455</f>
        <v>2.5214630318344148E-2</v>
      </c>
      <c r="K155" s="6">
        <f>'Results ReCiPe (H) - HHD'!I455</f>
        <v>2.3374599742894162E-2</v>
      </c>
      <c r="L155" s="6">
        <f>'Results ReCiPe (H) - HHD'!J455</f>
        <v>2.243130714261863E-2</v>
      </c>
      <c r="M155" s="4"/>
    </row>
    <row r="156" spans="1:23" outlineLevel="1" x14ac:dyDescent="0.35">
      <c r="B156" s="282" t="s">
        <v>123</v>
      </c>
      <c r="C156" s="282" t="s">
        <v>564</v>
      </c>
      <c r="D156" s="6">
        <f>'Results ReCiPe (H) - HHD'!B456</f>
        <v>9.5457509224026044E-3</v>
      </c>
      <c r="E156" s="6">
        <f>'Results ReCiPe (H) - HHD'!C456</f>
        <v>3.6833645004563831E-3</v>
      </c>
      <c r="F156" s="6">
        <f>'Results ReCiPe (H) - HHD'!D456</f>
        <v>2.5964444667500321E-3</v>
      </c>
      <c r="G156" s="6">
        <f>'Results ReCiPe (H) - HHD'!E456</f>
        <v>9.5457509224026044E-3</v>
      </c>
      <c r="H156" s="6">
        <f>'Results ReCiPe (H) - HHD'!F456</f>
        <v>3.6833645004563831E-3</v>
      </c>
      <c r="I156" s="6">
        <f>'Results ReCiPe (H) - HHD'!G456</f>
        <v>2.5964444667500321E-3</v>
      </c>
      <c r="J156" s="6">
        <f>'Results ReCiPe (H) - HHD'!H456</f>
        <v>4.7728754612013022E-3</v>
      </c>
      <c r="K156" s="6">
        <f>'Results ReCiPe (H) - HHD'!I456</f>
        <v>1.8416822502281916E-3</v>
      </c>
      <c r="L156" s="6">
        <f>'Results ReCiPe (H) - HHD'!J456</f>
        <v>1.2982222333750161E-3</v>
      </c>
      <c r="M156" s="4"/>
    </row>
    <row r="157" spans="1:23" outlineLevel="1" x14ac:dyDescent="0.35">
      <c r="B157" s="282" t="s">
        <v>124</v>
      </c>
      <c r="C157" s="282" t="s">
        <v>564</v>
      </c>
      <c r="D157" s="6">
        <f>'Results ReCiPe (H) - HHD'!B457</f>
        <v>-9.2799999999999994E-2</v>
      </c>
      <c r="E157" s="6">
        <f>'Results ReCiPe (H) - HHD'!C457</f>
        <v>-9.2799999999999994E-2</v>
      </c>
      <c r="F157" s="6">
        <f>'Results ReCiPe (H) - HHD'!D457</f>
        <v>-9.2799999999999994E-2</v>
      </c>
      <c r="G157" s="6">
        <f>'Results ReCiPe (H) - HHD'!E457</f>
        <v>-9.2799999999999994E-2</v>
      </c>
      <c r="H157" s="6">
        <f>'Results ReCiPe (H) - HHD'!F457</f>
        <v>-9.2799999999999994E-2</v>
      </c>
      <c r="I157" s="6">
        <f>'Results ReCiPe (H) - HHD'!G457</f>
        <v>-9.2799999999999994E-2</v>
      </c>
      <c r="J157" s="6">
        <f>'Results ReCiPe (H) - HHD'!H457</f>
        <v>-4.6399999999999997E-2</v>
      </c>
      <c r="K157" s="6">
        <f>'Results ReCiPe (H) - HHD'!I457</f>
        <v>-4.6399999999999997E-2</v>
      </c>
      <c r="L157" s="6">
        <f>'Results ReCiPe (H) - HHD'!J457</f>
        <v>-4.6399999999999997E-2</v>
      </c>
      <c r="M157" s="4"/>
    </row>
    <row r="158" spans="1:23" outlineLevel="1" x14ac:dyDescent="0.35">
      <c r="B158" s="282" t="s">
        <v>137</v>
      </c>
      <c r="C158" s="282" t="s">
        <v>564</v>
      </c>
      <c r="D158" s="6">
        <f>SUM(D148:D157)</f>
        <v>3.3372886730842044E-2</v>
      </c>
      <c r="E158" s="6">
        <f t="shared" ref="E158:L158" si="27">SUM(E148:E157)</f>
        <v>-5.0494298123702194E-2</v>
      </c>
      <c r="F158" s="6">
        <f t="shared" si="27"/>
        <v>-6.6350885311152935E-2</v>
      </c>
      <c r="G158" s="6">
        <f t="shared" si="27"/>
        <v>1.1416197195825539E-2</v>
      </c>
      <c r="H158" s="6">
        <f t="shared" si="27"/>
        <v>-5.4423322385370405E-2</v>
      </c>
      <c r="I158" s="6">
        <f t="shared" si="27"/>
        <v>-6.7134193330766076E-2</v>
      </c>
      <c r="J158" s="6">
        <f t="shared" si="27"/>
        <v>2.868091079273985E-2</v>
      </c>
      <c r="K158" s="6">
        <f t="shared" si="27"/>
        <v>2.2595826182939455E-2</v>
      </c>
      <c r="L158" s="6">
        <f t="shared" si="27"/>
        <v>1.7817669543035083E-2</v>
      </c>
      <c r="M158" s="4"/>
    </row>
    <row r="159" spans="1:23" outlineLevel="1" x14ac:dyDescent="0.35">
      <c r="M159" s="4"/>
    </row>
    <row r="160" spans="1:23" outlineLevel="1" x14ac:dyDescent="0.35">
      <c r="A160" s="15" t="s">
        <v>509</v>
      </c>
      <c r="B160" s="30"/>
      <c r="C160" s="140" t="s">
        <v>180</v>
      </c>
      <c r="D160" s="6" t="s">
        <v>889</v>
      </c>
      <c r="E160" s="6" t="s">
        <v>891</v>
      </c>
      <c r="F160" s="6" t="s">
        <v>890</v>
      </c>
      <c r="G160" s="6" t="s">
        <v>892</v>
      </c>
      <c r="H160" s="6" t="s">
        <v>893</v>
      </c>
      <c r="I160" s="6" t="s">
        <v>894</v>
      </c>
      <c r="J160" s="6" t="s">
        <v>896</v>
      </c>
      <c r="K160" s="6" t="s">
        <v>897</v>
      </c>
      <c r="L160" s="6" t="s">
        <v>895</v>
      </c>
      <c r="M160" s="4"/>
    </row>
    <row r="161" spans="1:13" outlineLevel="1" x14ac:dyDescent="0.35">
      <c r="A161" s="141" t="s">
        <v>803</v>
      </c>
      <c r="B161" s="282" t="s">
        <v>117</v>
      </c>
      <c r="C161" s="282" t="s">
        <v>567</v>
      </c>
      <c r="D161" s="6">
        <f t="shared" ref="D161:I169" si="28">D149/100</f>
        <v>6.6853280384452626E-5</v>
      </c>
      <c r="E161" s="6">
        <f t="shared" si="28"/>
        <v>6.4027258518085386E-5</v>
      </c>
      <c r="F161" s="6">
        <f t="shared" si="28"/>
        <v>5.794571268055849E-5</v>
      </c>
      <c r="G161" s="6">
        <f t="shared" si="28"/>
        <v>6.6853280384452626E-5</v>
      </c>
      <c r="H161" s="6">
        <f t="shared" si="28"/>
        <v>6.4027258518085386E-5</v>
      </c>
      <c r="I161" s="6">
        <f t="shared" si="28"/>
        <v>5.794571268055849E-5</v>
      </c>
      <c r="J161" s="6">
        <f>J149/50</f>
        <v>1.2783620330818223E-4</v>
      </c>
      <c r="K161" s="6">
        <f>K149/50</f>
        <v>1.2224287529591124E-4</v>
      </c>
      <c r="L161" s="6">
        <f>L149/50</f>
        <v>1.1019930815134711E-4</v>
      </c>
      <c r="M161" s="4"/>
    </row>
    <row r="162" spans="1:13" outlineLevel="1" x14ac:dyDescent="0.35">
      <c r="A162" s="141" t="s">
        <v>804</v>
      </c>
      <c r="B162" s="282" t="s">
        <v>118</v>
      </c>
      <c r="C162" s="282" t="s">
        <v>567</v>
      </c>
      <c r="D162" s="6">
        <f t="shared" si="28"/>
        <v>4.0040114297033507E-6</v>
      </c>
      <c r="E162" s="6">
        <f t="shared" si="28"/>
        <v>3.8025533906393124E-6</v>
      </c>
      <c r="F162" s="6">
        <f t="shared" si="28"/>
        <v>3.5909746967405102E-6</v>
      </c>
      <c r="G162" s="6">
        <f t="shared" si="28"/>
        <v>4.0040114297033507E-6</v>
      </c>
      <c r="H162" s="6">
        <f t="shared" si="28"/>
        <v>3.8025533906393124E-6</v>
      </c>
      <c r="I162" s="6">
        <f t="shared" si="28"/>
        <v>3.5909746967405102E-6</v>
      </c>
      <c r="J162" s="6">
        <f t="shared" ref="J162:L169" si="29">J150/50</f>
        <v>4.0040114297033507E-6</v>
      </c>
      <c r="K162" s="6">
        <f t="shared" si="29"/>
        <v>3.8025533906393124E-6</v>
      </c>
      <c r="L162" s="6">
        <f t="shared" si="29"/>
        <v>3.5909746967405102E-6</v>
      </c>
      <c r="M162" s="4"/>
    </row>
    <row r="163" spans="1:13" outlineLevel="1" x14ac:dyDescent="0.35">
      <c r="B163" s="282" t="s">
        <v>119</v>
      </c>
      <c r="C163" s="282" t="s">
        <v>567</v>
      </c>
      <c r="D163" s="6">
        <f t="shared" si="28"/>
        <v>5.3842860968435531E-7</v>
      </c>
      <c r="E163" s="6">
        <f t="shared" si="28"/>
        <v>4.8155270986090666E-7</v>
      </c>
      <c r="F163" s="6">
        <f t="shared" si="28"/>
        <v>4.5457967317424136E-7</v>
      </c>
      <c r="G163" s="6">
        <f t="shared" si="28"/>
        <v>5.3842860968435531E-7</v>
      </c>
      <c r="H163" s="6">
        <f t="shared" si="28"/>
        <v>4.8155270986090666E-7</v>
      </c>
      <c r="I163" s="6">
        <f t="shared" si="28"/>
        <v>4.5457967317424136E-7</v>
      </c>
      <c r="J163" s="6">
        <f t="shared" si="29"/>
        <v>1.0768572193687106E-6</v>
      </c>
      <c r="K163" s="6">
        <f t="shared" si="29"/>
        <v>9.6310541972181332E-7</v>
      </c>
      <c r="L163" s="6">
        <f t="shared" si="29"/>
        <v>9.0915934634848273E-7</v>
      </c>
      <c r="M163" s="4"/>
    </row>
    <row r="164" spans="1:13" outlineLevel="1" x14ac:dyDescent="0.35">
      <c r="B164" s="282" t="s">
        <v>120</v>
      </c>
      <c r="C164" s="282" t="s">
        <v>567</v>
      </c>
      <c r="D164" s="6">
        <f t="shared" si="28"/>
        <v>1.4907496099019133E-8</v>
      </c>
      <c r="E164" s="6">
        <f t="shared" si="28"/>
        <v>1.4090857538857629E-8</v>
      </c>
      <c r="F164" s="6">
        <f t="shared" si="28"/>
        <v>1.3616739030439631E-8</v>
      </c>
      <c r="G164" s="6">
        <f t="shared" si="28"/>
        <v>1.4907496099019133E-8</v>
      </c>
      <c r="H164" s="6">
        <f t="shared" si="28"/>
        <v>1.4090857538857629E-8</v>
      </c>
      <c r="I164" s="6">
        <f t="shared" si="28"/>
        <v>1.3616739030439631E-8</v>
      </c>
      <c r="J164" s="6">
        <f t="shared" si="29"/>
        <v>1.4907496099019133E-8</v>
      </c>
      <c r="K164" s="6">
        <f t="shared" si="29"/>
        <v>1.4090857538857629E-8</v>
      </c>
      <c r="L164" s="6">
        <f t="shared" si="29"/>
        <v>1.3616739030439631E-8</v>
      </c>
      <c r="M164" s="4"/>
    </row>
    <row r="165" spans="1:13" outlineLevel="1" x14ac:dyDescent="0.35">
      <c r="B165" s="282" t="s">
        <v>121</v>
      </c>
      <c r="C165" s="282" t="s">
        <v>567</v>
      </c>
      <c r="D165" s="6">
        <f t="shared" si="28"/>
        <v>8.3992169268362136E-6</v>
      </c>
      <c r="E165" s="6">
        <f t="shared" si="28"/>
        <v>7.2964263088321881E-6</v>
      </c>
      <c r="F165" s="6">
        <f t="shared" si="28"/>
        <v>6.5857117699468779E-6</v>
      </c>
      <c r="G165" s="6">
        <f t="shared" si="28"/>
        <v>8.3992169268362136E-6</v>
      </c>
      <c r="H165" s="6">
        <f t="shared" si="28"/>
        <v>7.2964263088321881E-6</v>
      </c>
      <c r="I165" s="6">
        <f t="shared" si="28"/>
        <v>6.5857117699468779E-6</v>
      </c>
      <c r="J165" s="6">
        <f t="shared" si="29"/>
        <v>1.6798433853672427E-5</v>
      </c>
      <c r="K165" s="6">
        <f t="shared" si="29"/>
        <v>1.4592852617664376E-5</v>
      </c>
      <c r="L165" s="6">
        <f t="shared" si="29"/>
        <v>1.3171423539893756E-5</v>
      </c>
      <c r="M165" s="4"/>
    </row>
    <row r="166" spans="1:13" outlineLevel="1" x14ac:dyDescent="0.35">
      <c r="B166" s="282" t="s">
        <v>797</v>
      </c>
      <c r="C166" s="282" t="s">
        <v>567</v>
      </c>
      <c r="D166" s="6">
        <f t="shared" si="28"/>
        <v>0</v>
      </c>
      <c r="E166" s="6">
        <f t="shared" si="28"/>
        <v>0</v>
      </c>
      <c r="F166" s="6">
        <f t="shared" si="28"/>
        <v>0</v>
      </c>
      <c r="G166" s="6">
        <f t="shared" si="28"/>
        <v>0</v>
      </c>
      <c r="H166" s="6">
        <f t="shared" si="28"/>
        <v>0</v>
      </c>
      <c r="I166" s="6">
        <f t="shared" si="28"/>
        <v>0</v>
      </c>
      <c r="J166" s="6">
        <f t="shared" si="29"/>
        <v>7.52137686956862E-4</v>
      </c>
      <c r="K166" s="6">
        <f t="shared" si="29"/>
        <v>7.3397540621486621E-4</v>
      </c>
      <c r="L166" s="6">
        <f t="shared" si="29"/>
        <v>6.8187832086746847E-4</v>
      </c>
      <c r="M166" s="4"/>
    </row>
    <row r="167" spans="1:13" outlineLevel="1" x14ac:dyDescent="0.35">
      <c r="B167" s="282" t="s">
        <v>122</v>
      </c>
      <c r="C167" s="282" t="s">
        <v>567</v>
      </c>
      <c r="D167" s="6">
        <f t="shared" si="28"/>
        <v>1.0864615132376188E-3</v>
      </c>
      <c r="E167" s="6">
        <f t="shared" si="28"/>
        <v>3.1060149197345745E-4</v>
      </c>
      <c r="F167" s="6">
        <f t="shared" si="28"/>
        <v>1.6993610666151968E-4</v>
      </c>
      <c r="G167" s="6">
        <f t="shared" si="28"/>
        <v>8.6689461788745366E-4</v>
      </c>
      <c r="H167" s="6">
        <f t="shared" si="28"/>
        <v>2.7131124935677535E-4</v>
      </c>
      <c r="I167" s="6">
        <f t="shared" si="28"/>
        <v>1.6210302646538829E-4</v>
      </c>
      <c r="J167" s="6">
        <f t="shared" si="29"/>
        <v>5.0429260636688296E-4</v>
      </c>
      <c r="K167" s="6">
        <f t="shared" si="29"/>
        <v>4.6749199485788325E-4</v>
      </c>
      <c r="L167" s="6">
        <f t="shared" si="29"/>
        <v>4.486261428523726E-4</v>
      </c>
      <c r="M167" s="4"/>
    </row>
    <row r="168" spans="1:13" outlineLevel="1" x14ac:dyDescent="0.35">
      <c r="B168" s="282" t="s">
        <v>123</v>
      </c>
      <c r="C168" s="282" t="s">
        <v>567</v>
      </c>
      <c r="D168" s="6">
        <f t="shared" si="28"/>
        <v>9.5457509224026042E-5</v>
      </c>
      <c r="E168" s="6">
        <f t="shared" si="28"/>
        <v>3.6833645004563829E-5</v>
      </c>
      <c r="F168" s="6">
        <f t="shared" si="28"/>
        <v>2.5964444667500321E-5</v>
      </c>
      <c r="G168" s="6">
        <f t="shared" si="28"/>
        <v>9.5457509224026042E-5</v>
      </c>
      <c r="H168" s="6">
        <f t="shared" si="28"/>
        <v>3.6833645004563829E-5</v>
      </c>
      <c r="I168" s="6">
        <f t="shared" si="28"/>
        <v>2.5964444667500321E-5</v>
      </c>
      <c r="J168" s="6">
        <f t="shared" si="29"/>
        <v>9.5457509224026042E-5</v>
      </c>
      <c r="K168" s="6">
        <f t="shared" si="29"/>
        <v>3.6833645004563829E-5</v>
      </c>
      <c r="L168" s="6">
        <f t="shared" si="29"/>
        <v>2.5964444667500321E-5</v>
      </c>
      <c r="M168" s="4"/>
    </row>
    <row r="169" spans="1:13" outlineLevel="1" x14ac:dyDescent="0.35">
      <c r="B169" s="282" t="s">
        <v>124</v>
      </c>
      <c r="C169" s="282" t="s">
        <v>567</v>
      </c>
      <c r="D169" s="6">
        <f t="shared" si="28"/>
        <v>-9.279999999999999E-4</v>
      </c>
      <c r="E169" s="6">
        <f t="shared" si="28"/>
        <v>-9.279999999999999E-4</v>
      </c>
      <c r="F169" s="6">
        <f t="shared" si="28"/>
        <v>-9.279999999999999E-4</v>
      </c>
      <c r="G169" s="6">
        <f t="shared" si="28"/>
        <v>-9.279999999999999E-4</v>
      </c>
      <c r="H169" s="6">
        <f t="shared" si="28"/>
        <v>-9.279999999999999E-4</v>
      </c>
      <c r="I169" s="6">
        <f t="shared" si="28"/>
        <v>-9.279999999999999E-4</v>
      </c>
      <c r="J169" s="6">
        <f t="shared" si="29"/>
        <v>-9.279999999999999E-4</v>
      </c>
      <c r="K169" s="6">
        <f t="shared" si="29"/>
        <v>-9.279999999999999E-4</v>
      </c>
      <c r="L169" s="6">
        <f t="shared" si="29"/>
        <v>-9.279999999999999E-4</v>
      </c>
      <c r="M169" s="4"/>
    </row>
    <row r="170" spans="1:13" outlineLevel="1" x14ac:dyDescent="0.35">
      <c r="B170" s="282" t="s">
        <v>137</v>
      </c>
      <c r="C170" s="282" t="s">
        <v>567</v>
      </c>
      <c r="D170" s="6">
        <f>SUM(D161:D169)</f>
        <v>3.3372886730842044E-4</v>
      </c>
      <c r="E170" s="6">
        <f t="shared" ref="E170:L170" si="30">SUM(E161:E169)</f>
        <v>-5.0494298123702195E-4</v>
      </c>
      <c r="F170" s="6">
        <f t="shared" si="30"/>
        <v>-6.6350885311152927E-4</v>
      </c>
      <c r="G170" s="6">
        <f t="shared" si="30"/>
        <v>1.141619719582553E-4</v>
      </c>
      <c r="H170" s="6">
        <f t="shared" si="30"/>
        <v>-5.4423322385370411E-4</v>
      </c>
      <c r="I170" s="6">
        <f t="shared" si="30"/>
        <v>-6.7134193330766075E-4</v>
      </c>
      <c r="J170" s="6">
        <f t="shared" si="30"/>
        <v>5.7361821585479695E-4</v>
      </c>
      <c r="K170" s="6">
        <f t="shared" si="30"/>
        <v>4.5191652365878909E-4</v>
      </c>
      <c r="L170" s="6">
        <f t="shared" si="30"/>
        <v>3.5635339086070178E-4</v>
      </c>
      <c r="M170" s="4"/>
    </row>
    <row r="171" spans="1:13" outlineLevel="1" x14ac:dyDescent="0.35">
      <c r="M171" s="4"/>
    </row>
    <row r="172" spans="1:13" outlineLevel="1" x14ac:dyDescent="0.35">
      <c r="A172" s="15" t="s">
        <v>509</v>
      </c>
      <c r="B172" s="30"/>
      <c r="C172" s="140" t="s">
        <v>180</v>
      </c>
      <c r="D172" s="6" t="s">
        <v>889</v>
      </c>
      <c r="E172" s="6" t="s">
        <v>891</v>
      </c>
      <c r="F172" s="6" t="s">
        <v>890</v>
      </c>
      <c r="G172" s="6" t="s">
        <v>892</v>
      </c>
      <c r="H172" s="6" t="s">
        <v>893</v>
      </c>
      <c r="I172" s="6" t="s">
        <v>894</v>
      </c>
      <c r="J172" s="6" t="s">
        <v>896</v>
      </c>
      <c r="K172" s="6" t="s">
        <v>897</v>
      </c>
      <c r="L172" s="6" t="s">
        <v>895</v>
      </c>
      <c r="M172" s="4"/>
    </row>
    <row r="173" spans="1:13" outlineLevel="1" x14ac:dyDescent="0.35">
      <c r="A173" s="141" t="s">
        <v>805</v>
      </c>
      <c r="B173" s="282" t="s">
        <v>117</v>
      </c>
      <c r="C173" s="282" t="s">
        <v>567</v>
      </c>
      <c r="D173" s="6">
        <f t="shared" ref="D173:I180" si="31">D149/50</f>
        <v>1.3370656076890525E-4</v>
      </c>
      <c r="E173" s="6">
        <f t="shared" si="31"/>
        <v>1.2805451703617077E-4</v>
      </c>
      <c r="F173" s="6">
        <f t="shared" si="31"/>
        <v>1.1589142536111698E-4</v>
      </c>
      <c r="G173" s="6">
        <f t="shared" si="31"/>
        <v>1.3370656076890525E-4</v>
      </c>
      <c r="H173" s="6">
        <f t="shared" si="31"/>
        <v>1.2805451703617077E-4</v>
      </c>
      <c r="I173" s="6">
        <f t="shared" si="31"/>
        <v>1.1589142536111698E-4</v>
      </c>
      <c r="J173" s="6">
        <f>J149/25</f>
        <v>2.5567240661636447E-4</v>
      </c>
      <c r="K173" s="6">
        <f>K149/25</f>
        <v>2.4448575059182249E-4</v>
      </c>
      <c r="L173" s="6">
        <f>L149/25</f>
        <v>2.2039861630269422E-4</v>
      </c>
      <c r="M173" s="4"/>
    </row>
    <row r="174" spans="1:13" outlineLevel="1" x14ac:dyDescent="0.35">
      <c r="A174" s="141" t="s">
        <v>806</v>
      </c>
      <c r="B174" s="282" t="s">
        <v>118</v>
      </c>
      <c r="C174" s="282" t="s">
        <v>567</v>
      </c>
      <c r="D174" s="6">
        <f t="shared" si="31"/>
        <v>8.0080228594067014E-6</v>
      </c>
      <c r="E174" s="6">
        <f t="shared" si="31"/>
        <v>7.6051067812786249E-6</v>
      </c>
      <c r="F174" s="6">
        <f t="shared" si="31"/>
        <v>7.1819493934810204E-6</v>
      </c>
      <c r="G174" s="6">
        <f t="shared" si="31"/>
        <v>8.0080228594067014E-6</v>
      </c>
      <c r="H174" s="6">
        <f t="shared" si="31"/>
        <v>7.6051067812786249E-6</v>
      </c>
      <c r="I174" s="6">
        <f t="shared" si="31"/>
        <v>7.1819493934810204E-6</v>
      </c>
      <c r="J174" s="6">
        <f t="shared" ref="J174:L180" si="32">J150/25</f>
        <v>8.0080228594067014E-6</v>
      </c>
      <c r="K174" s="6">
        <f t="shared" si="32"/>
        <v>7.6051067812786249E-6</v>
      </c>
      <c r="L174" s="6">
        <f t="shared" si="32"/>
        <v>7.1819493934810204E-6</v>
      </c>
      <c r="M174" s="4"/>
    </row>
    <row r="175" spans="1:13" outlineLevel="1" x14ac:dyDescent="0.35">
      <c r="B175" s="282" t="s">
        <v>119</v>
      </c>
      <c r="C175" s="282" t="s">
        <v>567</v>
      </c>
      <c r="D175" s="6">
        <f t="shared" si="31"/>
        <v>1.0768572193687106E-6</v>
      </c>
      <c r="E175" s="6">
        <f t="shared" si="31"/>
        <v>9.6310541972181332E-7</v>
      </c>
      <c r="F175" s="6">
        <f t="shared" si="31"/>
        <v>9.0915934634848273E-7</v>
      </c>
      <c r="G175" s="6">
        <f t="shared" si="31"/>
        <v>1.0768572193687106E-6</v>
      </c>
      <c r="H175" s="6">
        <f t="shared" si="31"/>
        <v>9.6310541972181332E-7</v>
      </c>
      <c r="I175" s="6">
        <f t="shared" si="31"/>
        <v>9.0915934634848273E-7</v>
      </c>
      <c r="J175" s="6">
        <f t="shared" si="32"/>
        <v>2.1537144387374213E-6</v>
      </c>
      <c r="K175" s="6">
        <f t="shared" si="32"/>
        <v>1.9262108394436266E-6</v>
      </c>
      <c r="L175" s="6">
        <f t="shared" si="32"/>
        <v>1.8183186926969655E-6</v>
      </c>
      <c r="M175" s="4"/>
    </row>
    <row r="176" spans="1:13" outlineLevel="1" x14ac:dyDescent="0.35">
      <c r="B176" s="282" t="s">
        <v>120</v>
      </c>
      <c r="C176" s="282" t="s">
        <v>567</v>
      </c>
      <c r="D176" s="6">
        <f t="shared" si="31"/>
        <v>2.9814992198038265E-8</v>
      </c>
      <c r="E176" s="6">
        <f t="shared" si="31"/>
        <v>2.8181715077715259E-8</v>
      </c>
      <c r="F176" s="6">
        <f t="shared" si="31"/>
        <v>2.7233478060879262E-8</v>
      </c>
      <c r="G176" s="6">
        <f t="shared" si="31"/>
        <v>2.9814992198038265E-8</v>
      </c>
      <c r="H176" s="6">
        <f t="shared" si="31"/>
        <v>2.8181715077715259E-8</v>
      </c>
      <c r="I176" s="6">
        <f t="shared" si="31"/>
        <v>2.7233478060879262E-8</v>
      </c>
      <c r="J176" s="6">
        <f t="shared" si="32"/>
        <v>2.9814992198038265E-8</v>
      </c>
      <c r="K176" s="6">
        <f t="shared" si="32"/>
        <v>2.8181715077715259E-8</v>
      </c>
      <c r="L176" s="6">
        <f t="shared" si="32"/>
        <v>2.7233478060879262E-8</v>
      </c>
      <c r="M176" s="4"/>
    </row>
    <row r="177" spans="1:13" outlineLevel="1" x14ac:dyDescent="0.35">
      <c r="B177" s="282" t="s">
        <v>121</v>
      </c>
      <c r="C177" s="282" t="s">
        <v>567</v>
      </c>
      <c r="D177" s="6">
        <f t="shared" si="31"/>
        <v>1.6798433853672427E-5</v>
      </c>
      <c r="E177" s="6">
        <f t="shared" si="31"/>
        <v>1.4592852617664376E-5</v>
      </c>
      <c r="F177" s="6">
        <f t="shared" si="31"/>
        <v>1.3171423539893756E-5</v>
      </c>
      <c r="G177" s="6">
        <f t="shared" si="31"/>
        <v>1.6798433853672427E-5</v>
      </c>
      <c r="H177" s="6">
        <f t="shared" si="31"/>
        <v>1.4592852617664376E-5</v>
      </c>
      <c r="I177" s="6">
        <f t="shared" si="31"/>
        <v>1.3171423539893756E-5</v>
      </c>
      <c r="J177" s="6">
        <f t="shared" si="32"/>
        <v>3.3596867707344854E-5</v>
      </c>
      <c r="K177" s="6">
        <f t="shared" si="32"/>
        <v>2.9185705235328753E-5</v>
      </c>
      <c r="L177" s="6">
        <f t="shared" si="32"/>
        <v>2.6342847079787512E-5</v>
      </c>
      <c r="M177" s="4"/>
    </row>
    <row r="178" spans="1:13" outlineLevel="1" x14ac:dyDescent="0.35">
      <c r="B178" s="282" t="s">
        <v>797</v>
      </c>
      <c r="C178" s="282" t="s">
        <v>567</v>
      </c>
      <c r="D178" s="6">
        <f t="shared" si="31"/>
        <v>0</v>
      </c>
      <c r="E178" s="6">
        <f t="shared" si="31"/>
        <v>0</v>
      </c>
      <c r="F178" s="6">
        <f t="shared" si="31"/>
        <v>0</v>
      </c>
      <c r="G178" s="6">
        <f t="shared" si="31"/>
        <v>0</v>
      </c>
      <c r="H178" s="6">
        <f t="shared" si="31"/>
        <v>0</v>
      </c>
      <c r="I178" s="6">
        <f t="shared" si="31"/>
        <v>0</v>
      </c>
      <c r="J178" s="6">
        <f t="shared" si="32"/>
        <v>1.504275373913724E-3</v>
      </c>
      <c r="K178" s="6">
        <f t="shared" si="32"/>
        <v>1.4679508124297324E-3</v>
      </c>
      <c r="L178" s="6">
        <f t="shared" si="32"/>
        <v>1.3637566417349369E-3</v>
      </c>
      <c r="M178" s="4"/>
    </row>
    <row r="179" spans="1:13" outlineLevel="1" x14ac:dyDescent="0.35">
      <c r="B179" s="282" t="s">
        <v>122</v>
      </c>
      <c r="C179" s="282" t="s">
        <v>567</v>
      </c>
      <c r="D179" s="6">
        <f>D155/50</f>
        <v>2.1729230264752376E-3</v>
      </c>
      <c r="E179" s="6">
        <f t="shared" si="31"/>
        <v>6.2120298394691489E-4</v>
      </c>
      <c r="F179" s="6">
        <f t="shared" si="31"/>
        <v>3.3987221332303937E-4</v>
      </c>
      <c r="G179" s="6">
        <f t="shared" si="31"/>
        <v>1.7337892357749073E-3</v>
      </c>
      <c r="H179" s="6">
        <f t="shared" si="31"/>
        <v>5.4262249871355069E-4</v>
      </c>
      <c r="I179" s="6">
        <f t="shared" si="31"/>
        <v>3.2420605293077658E-4</v>
      </c>
      <c r="J179" s="6">
        <f t="shared" si="32"/>
        <v>1.0085852127337659E-3</v>
      </c>
      <c r="K179" s="6">
        <f t="shared" si="32"/>
        <v>9.349839897157665E-4</v>
      </c>
      <c r="L179" s="6">
        <f t="shared" si="32"/>
        <v>8.972522857047452E-4</v>
      </c>
      <c r="M179" s="4"/>
    </row>
    <row r="180" spans="1:13" outlineLevel="1" x14ac:dyDescent="0.35">
      <c r="B180" s="282" t="s">
        <v>123</v>
      </c>
      <c r="C180" s="282" t="s">
        <v>567</v>
      </c>
      <c r="D180" s="6">
        <f t="shared" si="31"/>
        <v>1.9091501844805208E-4</v>
      </c>
      <c r="E180" s="6">
        <f t="shared" si="31"/>
        <v>7.3667290009127659E-5</v>
      </c>
      <c r="F180" s="6">
        <f t="shared" si="31"/>
        <v>5.1928889335000643E-5</v>
      </c>
      <c r="G180" s="6">
        <f t="shared" si="31"/>
        <v>1.9091501844805208E-4</v>
      </c>
      <c r="H180" s="6">
        <f t="shared" si="31"/>
        <v>7.3667290009127659E-5</v>
      </c>
      <c r="I180" s="6">
        <f t="shared" si="31"/>
        <v>5.1928889335000643E-5</v>
      </c>
      <c r="J180" s="6">
        <f t="shared" si="32"/>
        <v>1.9091501844805208E-4</v>
      </c>
      <c r="K180" s="6">
        <f t="shared" si="32"/>
        <v>7.3667290009127659E-5</v>
      </c>
      <c r="L180" s="6">
        <f t="shared" si="32"/>
        <v>5.1928889335000643E-5</v>
      </c>
      <c r="M180" s="4"/>
    </row>
    <row r="181" spans="1:13" outlineLevel="1" x14ac:dyDescent="0.35">
      <c r="B181" s="282" t="s">
        <v>124</v>
      </c>
      <c r="C181" s="282" t="s">
        <v>567</v>
      </c>
      <c r="D181" s="6">
        <f>-1000*0.000000928</f>
        <v>-9.2800000000000001E-4</v>
      </c>
      <c r="E181" s="6">
        <f t="shared" ref="E181:L181" si="33">-1000*0.000000928</f>
        <v>-9.2800000000000001E-4</v>
      </c>
      <c r="F181" s="6">
        <f t="shared" si="33"/>
        <v>-9.2800000000000001E-4</v>
      </c>
      <c r="G181" s="6">
        <f t="shared" si="33"/>
        <v>-9.2800000000000001E-4</v>
      </c>
      <c r="H181" s="6">
        <f t="shared" si="33"/>
        <v>-9.2800000000000001E-4</v>
      </c>
      <c r="I181" s="6">
        <f t="shared" si="33"/>
        <v>-9.2800000000000001E-4</v>
      </c>
      <c r="J181" s="6">
        <f t="shared" si="33"/>
        <v>-9.2800000000000001E-4</v>
      </c>
      <c r="K181" s="6">
        <f t="shared" si="33"/>
        <v>-9.2800000000000001E-4</v>
      </c>
      <c r="L181" s="6">
        <f t="shared" si="33"/>
        <v>-9.2800000000000001E-4</v>
      </c>
      <c r="M181" s="4"/>
    </row>
    <row r="182" spans="1:13" outlineLevel="1" x14ac:dyDescent="0.35">
      <c r="B182" s="282" t="s">
        <v>137</v>
      </c>
      <c r="C182" s="282" t="s">
        <v>567</v>
      </c>
      <c r="D182" s="6">
        <f>SUM(D173:D181)</f>
        <v>1.5954577346168407E-3</v>
      </c>
      <c r="E182" s="6">
        <f t="shared" ref="E182:L182" si="34">SUM(E173:E181)</f>
        <v>-8.1885962474044223E-5</v>
      </c>
      <c r="F182" s="6">
        <f t="shared" si="34"/>
        <v>-3.9901770622305887E-4</v>
      </c>
      <c r="G182" s="6">
        <f t="shared" si="34"/>
        <v>1.1563239439165104E-3</v>
      </c>
      <c r="H182" s="6">
        <f t="shared" si="34"/>
        <v>-1.6046644770740831E-4</v>
      </c>
      <c r="I182" s="6">
        <f t="shared" si="34"/>
        <v>-4.1468386661532171E-4</v>
      </c>
      <c r="J182" s="6">
        <f t="shared" si="34"/>
        <v>2.0752364317095937E-3</v>
      </c>
      <c r="K182" s="6">
        <f t="shared" si="34"/>
        <v>1.831833047317578E-3</v>
      </c>
      <c r="L182" s="6">
        <f t="shared" si="34"/>
        <v>1.6407067817214033E-3</v>
      </c>
      <c r="M182" s="4"/>
    </row>
    <row r="183" spans="1:13" outlineLevel="1" x14ac:dyDescent="0.35">
      <c r="M183" s="4"/>
    </row>
    <row r="184" spans="1:13" outlineLevel="1" x14ac:dyDescent="0.35">
      <c r="A184" s="15" t="s">
        <v>509</v>
      </c>
      <c r="B184" s="30"/>
      <c r="C184" s="140" t="s">
        <v>180</v>
      </c>
      <c r="D184" s="6" t="s">
        <v>889</v>
      </c>
      <c r="E184" s="6" t="s">
        <v>891</v>
      </c>
      <c r="F184" s="6" t="s">
        <v>890</v>
      </c>
      <c r="G184" s="6" t="s">
        <v>892</v>
      </c>
      <c r="H184" s="6" t="s">
        <v>893</v>
      </c>
      <c r="I184" s="6" t="s">
        <v>894</v>
      </c>
      <c r="J184" s="6" t="s">
        <v>896</v>
      </c>
      <c r="K184" s="6" t="s">
        <v>897</v>
      </c>
      <c r="L184" s="6" t="s">
        <v>895</v>
      </c>
      <c r="M184" s="4"/>
    </row>
    <row r="185" spans="1:13" outlineLevel="1" x14ac:dyDescent="0.35">
      <c r="A185" s="141" t="s">
        <v>807</v>
      </c>
      <c r="B185" s="282" t="s">
        <v>117</v>
      </c>
      <c r="C185" s="282" t="s">
        <v>567</v>
      </c>
      <c r="D185" s="6">
        <f t="shared" ref="D185:I192" si="35">D149/150</f>
        <v>4.4568853589635082E-5</v>
      </c>
      <c r="E185" s="6">
        <f t="shared" si="35"/>
        <v>4.2684839012056919E-5</v>
      </c>
      <c r="F185" s="6">
        <f t="shared" si="35"/>
        <v>3.8630475120372327E-5</v>
      </c>
      <c r="G185" s="6">
        <f t="shared" si="35"/>
        <v>4.4568853589635082E-5</v>
      </c>
      <c r="H185" s="6">
        <f t="shared" si="35"/>
        <v>4.2684839012056919E-5</v>
      </c>
      <c r="I185" s="6">
        <f t="shared" si="35"/>
        <v>3.8630475120372327E-5</v>
      </c>
      <c r="J185" s="6">
        <f>J149/75</f>
        <v>8.5224135538788156E-5</v>
      </c>
      <c r="K185" s="6">
        <f>K149/75</f>
        <v>8.1495250197274158E-5</v>
      </c>
      <c r="L185" s="6">
        <f>L149/75</f>
        <v>7.3466205434231398E-5</v>
      </c>
      <c r="M185" s="4"/>
    </row>
    <row r="186" spans="1:13" outlineLevel="1" x14ac:dyDescent="0.35">
      <c r="A186" s="141" t="s">
        <v>808</v>
      </c>
      <c r="B186" s="282" t="s">
        <v>118</v>
      </c>
      <c r="C186" s="282" t="s">
        <v>567</v>
      </c>
      <c r="D186" s="6">
        <f t="shared" si="35"/>
        <v>2.669340953135567E-6</v>
      </c>
      <c r="E186" s="6">
        <f t="shared" si="35"/>
        <v>2.5350355937595418E-6</v>
      </c>
      <c r="F186" s="6">
        <f t="shared" si="35"/>
        <v>2.3939831311603401E-6</v>
      </c>
      <c r="G186" s="6">
        <f t="shared" si="35"/>
        <v>2.669340953135567E-6</v>
      </c>
      <c r="H186" s="6">
        <f t="shared" si="35"/>
        <v>2.5350355937595418E-6</v>
      </c>
      <c r="I186" s="6">
        <f t="shared" si="35"/>
        <v>2.3939831311603401E-6</v>
      </c>
      <c r="J186" s="6">
        <f t="shared" ref="J186:L192" si="36">J150/75</f>
        <v>2.669340953135567E-6</v>
      </c>
      <c r="K186" s="6">
        <f t="shared" si="36"/>
        <v>2.5350355937595418E-6</v>
      </c>
      <c r="L186" s="6">
        <f t="shared" si="36"/>
        <v>2.3939831311603401E-6</v>
      </c>
      <c r="M186" s="4"/>
    </row>
    <row r="187" spans="1:13" outlineLevel="1" x14ac:dyDescent="0.35">
      <c r="B187" s="282" t="s">
        <v>119</v>
      </c>
      <c r="C187" s="282" t="s">
        <v>567</v>
      </c>
      <c r="D187" s="6">
        <f t="shared" si="35"/>
        <v>3.5895240645623684E-7</v>
      </c>
      <c r="E187" s="6">
        <f t="shared" si="35"/>
        <v>3.2103513990727109E-7</v>
      </c>
      <c r="F187" s="6">
        <f t="shared" si="35"/>
        <v>3.0305311544949421E-7</v>
      </c>
      <c r="G187" s="6">
        <f t="shared" si="35"/>
        <v>3.5895240645623684E-7</v>
      </c>
      <c r="H187" s="6">
        <f t="shared" si="35"/>
        <v>3.2103513990727109E-7</v>
      </c>
      <c r="I187" s="6">
        <f t="shared" si="35"/>
        <v>3.0305311544949421E-7</v>
      </c>
      <c r="J187" s="6">
        <f t="shared" si="36"/>
        <v>7.1790481291247368E-7</v>
      </c>
      <c r="K187" s="6">
        <f t="shared" si="36"/>
        <v>6.4207027981454218E-7</v>
      </c>
      <c r="L187" s="6">
        <f t="shared" si="36"/>
        <v>6.0610623089898841E-7</v>
      </c>
      <c r="M187" s="4"/>
    </row>
    <row r="188" spans="1:13" outlineLevel="1" x14ac:dyDescent="0.35">
      <c r="B188" s="282" t="s">
        <v>120</v>
      </c>
      <c r="C188" s="282" t="s">
        <v>567</v>
      </c>
      <c r="D188" s="6">
        <f t="shared" si="35"/>
        <v>9.9383307326794201E-9</v>
      </c>
      <c r="E188" s="6">
        <f t="shared" si="35"/>
        <v>9.3939050259050857E-9</v>
      </c>
      <c r="F188" s="6">
        <f t="shared" si="35"/>
        <v>9.0778260202930874E-9</v>
      </c>
      <c r="G188" s="6">
        <f t="shared" si="35"/>
        <v>9.9383307326794201E-9</v>
      </c>
      <c r="H188" s="6">
        <f t="shared" si="35"/>
        <v>9.3939050259050857E-9</v>
      </c>
      <c r="I188" s="6">
        <f t="shared" si="35"/>
        <v>9.0778260202930874E-9</v>
      </c>
      <c r="J188" s="6">
        <f t="shared" si="36"/>
        <v>9.9383307326794201E-9</v>
      </c>
      <c r="K188" s="6">
        <f t="shared" si="36"/>
        <v>9.3939050259050857E-9</v>
      </c>
      <c r="L188" s="6">
        <f t="shared" si="36"/>
        <v>9.0778260202930874E-9</v>
      </c>
      <c r="M188" s="4"/>
    </row>
    <row r="189" spans="1:13" outlineLevel="1" x14ac:dyDescent="0.35">
      <c r="B189" s="282" t="s">
        <v>121</v>
      </c>
      <c r="C189" s="282" t="s">
        <v>567</v>
      </c>
      <c r="D189" s="6">
        <f t="shared" si="35"/>
        <v>5.5994779512241415E-6</v>
      </c>
      <c r="E189" s="6">
        <f t="shared" si="35"/>
        <v>4.8642842058881254E-6</v>
      </c>
      <c r="F189" s="6">
        <f t="shared" si="35"/>
        <v>4.3904745132979192E-6</v>
      </c>
      <c r="G189" s="6">
        <f t="shared" si="35"/>
        <v>5.5994779512241415E-6</v>
      </c>
      <c r="H189" s="6">
        <f t="shared" si="35"/>
        <v>4.8642842058881254E-6</v>
      </c>
      <c r="I189" s="6">
        <f t="shared" si="35"/>
        <v>4.3904745132979192E-6</v>
      </c>
      <c r="J189" s="6">
        <f t="shared" si="36"/>
        <v>1.1198955902448283E-5</v>
      </c>
      <c r="K189" s="6">
        <f t="shared" si="36"/>
        <v>9.7285684117762508E-6</v>
      </c>
      <c r="L189" s="6">
        <f t="shared" si="36"/>
        <v>8.7809490265958384E-6</v>
      </c>
      <c r="M189" s="4"/>
    </row>
    <row r="190" spans="1:13" outlineLevel="1" x14ac:dyDescent="0.35">
      <c r="B190" s="282" t="s">
        <v>797</v>
      </c>
      <c r="C190" s="282" t="s">
        <v>567</v>
      </c>
      <c r="D190" s="6">
        <f t="shared" si="35"/>
        <v>0</v>
      </c>
      <c r="E190" s="6">
        <f t="shared" si="35"/>
        <v>0</v>
      </c>
      <c r="F190" s="6">
        <f t="shared" si="35"/>
        <v>0</v>
      </c>
      <c r="G190" s="6">
        <f t="shared" si="35"/>
        <v>0</v>
      </c>
      <c r="H190" s="6">
        <f t="shared" si="35"/>
        <v>0</v>
      </c>
      <c r="I190" s="6">
        <f t="shared" si="35"/>
        <v>0</v>
      </c>
      <c r="J190" s="6">
        <f t="shared" si="36"/>
        <v>5.0142512463790807E-4</v>
      </c>
      <c r="K190" s="6">
        <f t="shared" si="36"/>
        <v>4.8931693747657744E-4</v>
      </c>
      <c r="L190" s="6">
        <f t="shared" si="36"/>
        <v>4.5458554724497901E-4</v>
      </c>
      <c r="M190" s="4"/>
    </row>
    <row r="191" spans="1:13" outlineLevel="1" x14ac:dyDescent="0.35">
      <c r="B191" s="282" t="s">
        <v>122</v>
      </c>
      <c r="C191" s="282" t="s">
        <v>567</v>
      </c>
      <c r="D191" s="6">
        <f t="shared" si="35"/>
        <v>7.2430767549174597E-4</v>
      </c>
      <c r="E191" s="6">
        <f t="shared" si="35"/>
        <v>2.0706766131563831E-4</v>
      </c>
      <c r="F191" s="6">
        <f t="shared" si="35"/>
        <v>1.1329073777434647E-4</v>
      </c>
      <c r="G191" s="6">
        <f t="shared" si="35"/>
        <v>5.7792974525830247E-4</v>
      </c>
      <c r="H191" s="6">
        <f t="shared" si="35"/>
        <v>1.8087416623785023E-4</v>
      </c>
      <c r="I191" s="6">
        <f t="shared" si="35"/>
        <v>1.0806868431025886E-4</v>
      </c>
      <c r="J191" s="6">
        <f t="shared" si="36"/>
        <v>3.3619507091125529E-4</v>
      </c>
      <c r="K191" s="6">
        <f t="shared" si="36"/>
        <v>3.1166132990525548E-4</v>
      </c>
      <c r="L191" s="6">
        <f t="shared" si="36"/>
        <v>2.9908409523491509E-4</v>
      </c>
      <c r="M191" s="4"/>
    </row>
    <row r="192" spans="1:13" outlineLevel="1" x14ac:dyDescent="0.35">
      <c r="B192" s="282" t="s">
        <v>123</v>
      </c>
      <c r="C192" s="282" t="s">
        <v>567</v>
      </c>
      <c r="D192" s="6">
        <f t="shared" si="35"/>
        <v>6.3638339482684033E-5</v>
      </c>
      <c r="E192" s="6">
        <f t="shared" si="35"/>
        <v>2.4555763336375887E-5</v>
      </c>
      <c r="F192" s="6">
        <f t="shared" si="35"/>
        <v>1.7309629778333548E-5</v>
      </c>
      <c r="G192" s="6">
        <f t="shared" si="35"/>
        <v>6.3638339482684033E-5</v>
      </c>
      <c r="H192" s="6">
        <f t="shared" si="35"/>
        <v>2.4555763336375887E-5</v>
      </c>
      <c r="I192" s="6">
        <f t="shared" si="35"/>
        <v>1.7309629778333548E-5</v>
      </c>
      <c r="J192" s="6">
        <f t="shared" si="36"/>
        <v>6.3638339482684033E-5</v>
      </c>
      <c r="K192" s="6">
        <f t="shared" si="36"/>
        <v>2.4555763336375887E-5</v>
      </c>
      <c r="L192" s="6">
        <f t="shared" si="36"/>
        <v>1.7309629778333548E-5</v>
      </c>
      <c r="M192" s="4"/>
    </row>
    <row r="193" spans="1:19" outlineLevel="1" x14ac:dyDescent="0.35">
      <c r="B193" s="282" t="s">
        <v>124</v>
      </c>
      <c r="C193" s="282" t="s">
        <v>567</v>
      </c>
      <c r="D193" s="6">
        <f>-1000*0.000000928</f>
        <v>-9.2800000000000001E-4</v>
      </c>
      <c r="E193" s="6">
        <f t="shared" ref="E193:L193" si="37">-1000*0.000000928</f>
        <v>-9.2800000000000001E-4</v>
      </c>
      <c r="F193" s="6">
        <f t="shared" si="37"/>
        <v>-9.2800000000000001E-4</v>
      </c>
      <c r="G193" s="6">
        <f t="shared" si="37"/>
        <v>-9.2800000000000001E-4</v>
      </c>
      <c r="H193" s="6">
        <f t="shared" si="37"/>
        <v>-9.2800000000000001E-4</v>
      </c>
      <c r="I193" s="6">
        <f t="shared" si="37"/>
        <v>-9.2800000000000001E-4</v>
      </c>
      <c r="J193" s="6">
        <f t="shared" si="37"/>
        <v>-9.2800000000000001E-4</v>
      </c>
      <c r="K193" s="6">
        <f t="shared" si="37"/>
        <v>-9.2800000000000001E-4</v>
      </c>
      <c r="L193" s="6">
        <f t="shared" si="37"/>
        <v>-9.2800000000000001E-4</v>
      </c>
      <c r="M193" s="4"/>
    </row>
    <row r="194" spans="1:19" outlineLevel="1" x14ac:dyDescent="0.35">
      <c r="B194" s="282" t="s">
        <v>137</v>
      </c>
      <c r="C194" s="282" t="s">
        <v>567</v>
      </c>
      <c r="D194" s="6">
        <f>SUM(D185:D193)</f>
        <v>-8.6847421794386342E-5</v>
      </c>
      <c r="E194" s="6">
        <f t="shared" ref="E194:L194" si="38">SUM(E185:E193)</f>
        <v>-6.4596198749134804E-4</v>
      </c>
      <c r="F194" s="6">
        <f t="shared" si="38"/>
        <v>-7.5167256874101966E-4</v>
      </c>
      <c r="G194" s="6">
        <f t="shared" si="38"/>
        <v>-2.3322535202782984E-4</v>
      </c>
      <c r="H194" s="6">
        <f t="shared" si="38"/>
        <v>-6.7215548256913614E-4</v>
      </c>
      <c r="I194" s="6">
        <f t="shared" si="38"/>
        <v>-7.5689462220510724E-4</v>
      </c>
      <c r="J194" s="6">
        <f t="shared" si="38"/>
        <v>7.3078810569864559E-5</v>
      </c>
      <c r="K194" s="6">
        <f t="shared" si="38"/>
        <v>-8.0556508941408622E-6</v>
      </c>
      <c r="L194" s="6">
        <f t="shared" si="38"/>
        <v>-7.1764406092865484E-5</v>
      </c>
      <c r="M194" s="4"/>
    </row>
    <row r="195" spans="1:19" outlineLevel="1" x14ac:dyDescent="0.35">
      <c r="D195" s="6"/>
      <c r="E195" s="6"/>
      <c r="F195" s="6"/>
      <c r="G195" s="6"/>
      <c r="H195" s="6"/>
      <c r="I195" s="6"/>
      <c r="J195" s="6"/>
      <c r="K195" s="6"/>
      <c r="L195" s="6"/>
      <c r="M195" s="4"/>
    </row>
    <row r="196" spans="1:19" s="33" customFormat="1" ht="15.5" x14ac:dyDescent="0.35">
      <c r="A196" s="51" t="s">
        <v>860</v>
      </c>
      <c r="B196" s="4"/>
      <c r="C196" s="4"/>
      <c r="D196" s="4"/>
      <c r="E196" s="4"/>
      <c r="F196" s="4"/>
      <c r="G196" s="4"/>
      <c r="H196" s="4"/>
      <c r="I196" s="4"/>
      <c r="J196" s="4"/>
      <c r="K196" s="4"/>
      <c r="L196" s="4"/>
      <c r="M196" s="4"/>
      <c r="N196" s="282"/>
      <c r="O196" s="282"/>
      <c r="P196" s="282"/>
      <c r="Q196" s="282"/>
      <c r="R196" s="282"/>
      <c r="S196" s="282"/>
    </row>
    <row r="197" spans="1:19" outlineLevel="1" x14ac:dyDescent="0.35">
      <c r="A197" s="15" t="s">
        <v>573</v>
      </c>
      <c r="B197" s="30"/>
      <c r="C197" s="140" t="s">
        <v>180</v>
      </c>
      <c r="D197" s="6" t="s">
        <v>889</v>
      </c>
      <c r="E197" s="6" t="s">
        <v>891</v>
      </c>
      <c r="F197" s="6" t="s">
        <v>890</v>
      </c>
      <c r="G197" s="6" t="s">
        <v>892</v>
      </c>
      <c r="H197" s="6" t="s">
        <v>893</v>
      </c>
      <c r="I197" s="6" t="s">
        <v>894</v>
      </c>
      <c r="J197" s="6" t="s">
        <v>896</v>
      </c>
      <c r="K197" s="6" t="s">
        <v>897</v>
      </c>
      <c r="L197" s="6" t="s">
        <v>895</v>
      </c>
      <c r="M197" s="4"/>
    </row>
    <row r="198" spans="1:19" outlineLevel="1" x14ac:dyDescent="0.35">
      <c r="B198" s="282" t="s">
        <v>117</v>
      </c>
      <c r="C198" s="282" t="s">
        <v>567</v>
      </c>
      <c r="D198" s="6">
        <f>'Results ReCiPe (H) - HHD'!B467</f>
        <v>6.6853280384452626E-5</v>
      </c>
      <c r="E198" s="6">
        <f>'Results ReCiPe (H) - HHD'!C467</f>
        <v>6.4027258518085386E-5</v>
      </c>
      <c r="F198" s="6">
        <f>'Results ReCiPe (H) - HHD'!D467</f>
        <v>5.794571268055849E-5</v>
      </c>
      <c r="G198" s="6">
        <f>'Results ReCiPe (H) - HHD'!E467</f>
        <v>6.6853280384452626E-5</v>
      </c>
      <c r="H198" s="6">
        <f>'Results ReCiPe (H) - HHD'!F467</f>
        <v>6.4027258518085386E-5</v>
      </c>
      <c r="I198" s="6">
        <f>'Results ReCiPe (H) - HHD'!G467</f>
        <v>5.794571268055849E-5</v>
      </c>
      <c r="J198" s="6">
        <f>'Results ReCiPe (H) - HHD'!H467</f>
        <v>1.2783620330818223E-4</v>
      </c>
      <c r="K198" s="6">
        <f>'Results ReCiPe (H) - HHD'!I467</f>
        <v>1.2224287529591124E-4</v>
      </c>
      <c r="L198" s="6">
        <f>'Results ReCiPe (H) - HHD'!J467</f>
        <v>1.1019930815134711E-4</v>
      </c>
      <c r="M198" s="4"/>
    </row>
    <row r="199" spans="1:19" outlineLevel="1" x14ac:dyDescent="0.35">
      <c r="B199" s="282" t="s">
        <v>118</v>
      </c>
      <c r="C199" s="282" t="s">
        <v>567</v>
      </c>
      <c r="D199" s="6">
        <f>'Results ReCiPe (H) - HHD'!B468</f>
        <v>4.0040114297033507E-6</v>
      </c>
      <c r="E199" s="6">
        <f>'Results ReCiPe (H) - HHD'!C468</f>
        <v>3.8025533906393124E-6</v>
      </c>
      <c r="F199" s="6">
        <f>'Results ReCiPe (H) - HHD'!D468</f>
        <v>3.5909746967405102E-6</v>
      </c>
      <c r="G199" s="6">
        <f>'Results ReCiPe (H) - HHD'!E468</f>
        <v>4.0040114297033507E-6</v>
      </c>
      <c r="H199" s="6">
        <f>'Results ReCiPe (H) - HHD'!F468</f>
        <v>3.8025533906393124E-6</v>
      </c>
      <c r="I199" s="6">
        <f>'Results ReCiPe (H) - HHD'!G468</f>
        <v>3.5909746967405102E-6</v>
      </c>
      <c r="J199" s="6">
        <f>'Results ReCiPe (H) - HHD'!H468</f>
        <v>4.0040114297033507E-6</v>
      </c>
      <c r="K199" s="6">
        <f>'Results ReCiPe (H) - HHD'!I468</f>
        <v>3.8025533906393124E-6</v>
      </c>
      <c r="L199" s="6">
        <f>'Results ReCiPe (H) - HHD'!J468</f>
        <v>3.5909746967405102E-6</v>
      </c>
      <c r="M199" s="4"/>
    </row>
    <row r="200" spans="1:19" outlineLevel="1" x14ac:dyDescent="0.35">
      <c r="B200" s="282" t="s">
        <v>119</v>
      </c>
      <c r="C200" s="282" t="s">
        <v>567</v>
      </c>
      <c r="D200" s="6">
        <f>'Results ReCiPe (H) - HHD'!B469</f>
        <v>5.3842860968435531E-7</v>
      </c>
      <c r="E200" s="6">
        <f>'Results ReCiPe (H) - HHD'!C469</f>
        <v>4.8155270986090666E-7</v>
      </c>
      <c r="F200" s="6">
        <f>'Results ReCiPe (H) - HHD'!D469</f>
        <v>4.5457967317424136E-7</v>
      </c>
      <c r="G200" s="6">
        <f>'Results ReCiPe (H) - HHD'!E469</f>
        <v>5.3842860968435531E-7</v>
      </c>
      <c r="H200" s="6">
        <f>'Results ReCiPe (H) - HHD'!F469</f>
        <v>4.8155270986090666E-7</v>
      </c>
      <c r="I200" s="6">
        <f>'Results ReCiPe (H) - HHD'!G469</f>
        <v>4.5457967317424136E-7</v>
      </c>
      <c r="J200" s="6">
        <f>'Results ReCiPe (H) - HHD'!H469</f>
        <v>1.0768572193687106E-6</v>
      </c>
      <c r="K200" s="6">
        <f>'Results ReCiPe (H) - HHD'!I469</f>
        <v>9.6310541972181332E-7</v>
      </c>
      <c r="L200" s="6">
        <f>'Results ReCiPe (H) - HHD'!J469</f>
        <v>9.0915934634848273E-7</v>
      </c>
      <c r="M200" s="4"/>
    </row>
    <row r="201" spans="1:19" outlineLevel="1" x14ac:dyDescent="0.35">
      <c r="B201" s="282" t="s">
        <v>120</v>
      </c>
      <c r="C201" s="282" t="s">
        <v>567</v>
      </c>
      <c r="D201" s="6">
        <f>'Results ReCiPe (H) - HHD'!B470</f>
        <v>1.4907496099019133E-8</v>
      </c>
      <c r="E201" s="6">
        <f>'Results ReCiPe (H) - HHD'!C470</f>
        <v>1.4090857538857629E-8</v>
      </c>
      <c r="F201" s="6">
        <f>'Results ReCiPe (H) - HHD'!D470</f>
        <v>1.3616739030439631E-8</v>
      </c>
      <c r="G201" s="6">
        <f>'Results ReCiPe (H) - HHD'!E470</f>
        <v>1.4907496099019133E-8</v>
      </c>
      <c r="H201" s="6">
        <f>'Results ReCiPe (H) - HHD'!F470</f>
        <v>1.4090857538857629E-8</v>
      </c>
      <c r="I201" s="6">
        <f>'Results ReCiPe (H) - HHD'!G470</f>
        <v>1.3616739030439631E-8</v>
      </c>
      <c r="J201" s="6">
        <f>'Results ReCiPe (H) - HHD'!H470</f>
        <v>1.4907496099019133E-8</v>
      </c>
      <c r="K201" s="6">
        <f>'Results ReCiPe (H) - HHD'!I470</f>
        <v>1.4090857538857629E-8</v>
      </c>
      <c r="L201" s="6">
        <f>'Results ReCiPe (H) - HHD'!J470</f>
        <v>1.3616739030439631E-8</v>
      </c>
      <c r="M201" s="4"/>
    </row>
    <row r="202" spans="1:19" outlineLevel="1" x14ac:dyDescent="0.35">
      <c r="B202" s="282" t="s">
        <v>121</v>
      </c>
      <c r="C202" s="282" t="s">
        <v>567</v>
      </c>
      <c r="D202" s="6">
        <f>'Results ReCiPe (H) - HHD'!B471</f>
        <v>8.3992169268362136E-6</v>
      </c>
      <c r="E202" s="6">
        <f>'Results ReCiPe (H) - HHD'!C471</f>
        <v>7.2964263088321881E-6</v>
      </c>
      <c r="F202" s="6">
        <f>'Results ReCiPe (H) - HHD'!D471</f>
        <v>6.5857117699468779E-6</v>
      </c>
      <c r="G202" s="6">
        <f>'Results ReCiPe (H) - HHD'!E471</f>
        <v>8.3992169268362136E-6</v>
      </c>
      <c r="H202" s="6">
        <f>'Results ReCiPe (H) - HHD'!F471</f>
        <v>7.2964263088321881E-6</v>
      </c>
      <c r="I202" s="6">
        <f>'Results ReCiPe (H) - HHD'!G471</f>
        <v>6.5857117699468779E-6</v>
      </c>
      <c r="J202" s="6">
        <f>'Results ReCiPe (H) - HHD'!H471</f>
        <v>1.6798433853672427E-5</v>
      </c>
      <c r="K202" s="6">
        <f>'Results ReCiPe (H) - HHD'!I471</f>
        <v>1.4592852617664376E-5</v>
      </c>
      <c r="L202" s="6">
        <f>'Results ReCiPe (H) - HHD'!J471</f>
        <v>1.3171423539893756E-5</v>
      </c>
      <c r="M202" s="4"/>
    </row>
    <row r="203" spans="1:19" outlineLevel="1" x14ac:dyDescent="0.35">
      <c r="B203" s="282" t="s">
        <v>797</v>
      </c>
      <c r="C203" s="282" t="s">
        <v>567</v>
      </c>
      <c r="D203" s="6">
        <f>'Results ReCiPe (H) - HHD'!B472</f>
        <v>0</v>
      </c>
      <c r="E203" s="6">
        <f>'Results ReCiPe (H) - HHD'!C472</f>
        <v>0</v>
      </c>
      <c r="F203" s="6">
        <f>'Results ReCiPe (H) - HHD'!D472</f>
        <v>0</v>
      </c>
      <c r="G203" s="6">
        <f>'Results ReCiPe (H) - HHD'!E472</f>
        <v>0</v>
      </c>
      <c r="H203" s="6">
        <f>'Results ReCiPe (H) - HHD'!F472</f>
        <v>0</v>
      </c>
      <c r="I203" s="6">
        <f>'Results ReCiPe (H) - HHD'!G472</f>
        <v>0</v>
      </c>
      <c r="J203" s="6">
        <f>'Results ReCiPe (H) - HHD'!H472</f>
        <v>7.52137686956862E-4</v>
      </c>
      <c r="K203" s="6">
        <f>'Results ReCiPe (H) - HHD'!I472</f>
        <v>7.3397540621486621E-4</v>
      </c>
      <c r="L203" s="6">
        <f>'Results ReCiPe (H) - HHD'!J472</f>
        <v>6.8187832086746847E-4</v>
      </c>
      <c r="M203" s="4"/>
    </row>
    <row r="204" spans="1:19" outlineLevel="1" x14ac:dyDescent="0.35">
      <c r="B204" s="282" t="s">
        <v>122</v>
      </c>
      <c r="C204" s="282" t="s">
        <v>567</v>
      </c>
      <c r="D204" s="6">
        <f>'Results ReCiPe (H) - HHD'!B473</f>
        <v>1.0864615132376188E-3</v>
      </c>
      <c r="E204" s="6">
        <f>'Results ReCiPe (H) - HHD'!C473</f>
        <v>3.1060149197345745E-4</v>
      </c>
      <c r="F204" s="6">
        <f>'Results ReCiPe (H) - HHD'!D473</f>
        <v>1.6993610666151968E-4</v>
      </c>
      <c r="G204" s="6">
        <f>'Results ReCiPe (H) - HHD'!E473</f>
        <v>8.6689461788745366E-4</v>
      </c>
      <c r="H204" s="6">
        <f>'Results ReCiPe (H) - HHD'!F473</f>
        <v>2.7131124935677535E-4</v>
      </c>
      <c r="I204" s="6">
        <f>'Results ReCiPe (H) - HHD'!G473</f>
        <v>1.6210302646538829E-4</v>
      </c>
      <c r="J204" s="6">
        <f>'Results ReCiPe (H) - HHD'!H473</f>
        <v>5.0429260636688296E-4</v>
      </c>
      <c r="K204" s="6">
        <f>'Results ReCiPe (H) - HHD'!I473</f>
        <v>4.6749199485788325E-4</v>
      </c>
      <c r="L204" s="6">
        <f>'Results ReCiPe (H) - HHD'!J473</f>
        <v>4.486261428523726E-4</v>
      </c>
      <c r="M204" s="4"/>
    </row>
    <row r="205" spans="1:19" outlineLevel="1" x14ac:dyDescent="0.35">
      <c r="B205" s="282" t="s">
        <v>123</v>
      </c>
      <c r="C205" s="282" t="s">
        <v>567</v>
      </c>
      <c r="D205" s="6">
        <f>'Results ReCiPe (H) - HHD'!B474</f>
        <v>9.5457509224026042E-5</v>
      </c>
      <c r="E205" s="6">
        <f>'Results ReCiPe (H) - HHD'!C474</f>
        <v>3.6833645004563829E-5</v>
      </c>
      <c r="F205" s="6">
        <f>'Results ReCiPe (H) - HHD'!D474</f>
        <v>2.5964444667500321E-5</v>
      </c>
      <c r="G205" s="6">
        <f>'Results ReCiPe (H) - HHD'!E474</f>
        <v>9.5457509224026042E-5</v>
      </c>
      <c r="H205" s="6">
        <f>'Results ReCiPe (H) - HHD'!F474</f>
        <v>3.6833645004563829E-5</v>
      </c>
      <c r="I205" s="6">
        <f>'Results ReCiPe (H) - HHD'!G474</f>
        <v>2.5964444667500321E-5</v>
      </c>
      <c r="J205" s="6">
        <f>'Results ReCiPe (H) - HHD'!H474</f>
        <v>9.5457509224026042E-5</v>
      </c>
      <c r="K205" s="6">
        <f>'Results ReCiPe (H) - HHD'!I474</f>
        <v>3.6833645004563829E-5</v>
      </c>
      <c r="L205" s="6">
        <f>'Results ReCiPe (H) - HHD'!J474</f>
        <v>2.5964444667500321E-5</v>
      </c>
      <c r="M205" s="4"/>
    </row>
    <row r="206" spans="1:19" outlineLevel="1" x14ac:dyDescent="0.35">
      <c r="B206" s="282" t="s">
        <v>124</v>
      </c>
      <c r="C206" s="282" t="s">
        <v>567</v>
      </c>
      <c r="D206" s="6">
        <f>'Results ReCiPe (H) - HHD'!B475</f>
        <v>-9.279999999999999E-4</v>
      </c>
      <c r="E206" s="6">
        <f>'Results ReCiPe (H) - HHD'!C475</f>
        <v>-9.279999999999999E-4</v>
      </c>
      <c r="F206" s="6">
        <f>'Results ReCiPe (H) - HHD'!D475</f>
        <v>-9.279999999999999E-4</v>
      </c>
      <c r="G206" s="6">
        <f>'Results ReCiPe (H) - HHD'!E475</f>
        <v>-9.279999999999999E-4</v>
      </c>
      <c r="H206" s="6">
        <f>'Results ReCiPe (H) - HHD'!F475</f>
        <v>-9.279999999999999E-4</v>
      </c>
      <c r="I206" s="6">
        <f>'Results ReCiPe (H) - HHD'!G475</f>
        <v>-9.279999999999999E-4</v>
      </c>
      <c r="J206" s="6">
        <f>'Results ReCiPe (H) - HHD'!H475</f>
        <v>-9.279999999999999E-4</v>
      </c>
      <c r="K206" s="6">
        <f>'Results ReCiPe (H) - HHD'!I475</f>
        <v>-9.279999999999999E-4</v>
      </c>
      <c r="L206" s="6">
        <f>'Results ReCiPe (H) - HHD'!J475</f>
        <v>-9.279999999999999E-4</v>
      </c>
      <c r="M206" s="4"/>
    </row>
    <row r="207" spans="1:19" outlineLevel="1" x14ac:dyDescent="0.35">
      <c r="B207" s="282" t="s">
        <v>137</v>
      </c>
      <c r="C207" s="282" t="s">
        <v>567</v>
      </c>
      <c r="D207" s="6">
        <f>'Results ReCiPe (H) - HHD'!B476</f>
        <v>3.337288673084206E-4</v>
      </c>
      <c r="E207" s="6">
        <f>'Results ReCiPe (H) - HHD'!C476</f>
        <v>-5.0494298123702206E-4</v>
      </c>
      <c r="F207" s="6">
        <f>'Results ReCiPe (H) - HHD'!D476</f>
        <v>-6.6350885311152938E-4</v>
      </c>
      <c r="G207" s="6">
        <f>'Results ReCiPe (H) - HHD'!E476</f>
        <v>1.1416197195825549E-4</v>
      </c>
      <c r="H207" s="6">
        <f>'Results ReCiPe (H) - HHD'!F476</f>
        <v>-5.4423322385370421E-4</v>
      </c>
      <c r="I207" s="6">
        <f>'Results ReCiPe (H) - HHD'!G476</f>
        <v>-6.7134193330766075E-4</v>
      </c>
      <c r="J207" s="6">
        <f>'Results ReCiPe (H) - HHD'!H476</f>
        <v>5.7361821585479695E-4</v>
      </c>
      <c r="K207" s="6">
        <f>'Results ReCiPe (H) - HHD'!I476</f>
        <v>4.5191652365878887E-4</v>
      </c>
      <c r="L207" s="6">
        <f>'Results ReCiPe (H) - HHD'!J476</f>
        <v>3.5635339086070183E-4</v>
      </c>
      <c r="M207" s="4"/>
    </row>
    <row r="208" spans="1:19" outlineLevel="1" x14ac:dyDescent="0.35">
      <c r="M208" s="4"/>
    </row>
    <row r="209" spans="1:13" outlineLevel="1" x14ac:dyDescent="0.35">
      <c r="A209" s="15" t="s">
        <v>165</v>
      </c>
      <c r="B209" s="30"/>
      <c r="C209" s="140" t="s">
        <v>180</v>
      </c>
      <c r="D209" s="6" t="s">
        <v>889</v>
      </c>
      <c r="E209" s="6" t="s">
        <v>891</v>
      </c>
      <c r="F209" s="6" t="s">
        <v>890</v>
      </c>
      <c r="G209" s="6" t="s">
        <v>892</v>
      </c>
      <c r="H209" s="6" t="s">
        <v>893</v>
      </c>
      <c r="I209" s="6" t="s">
        <v>894</v>
      </c>
      <c r="J209" s="6" t="s">
        <v>896</v>
      </c>
      <c r="K209" s="6" t="s">
        <v>897</v>
      </c>
      <c r="L209" s="6" t="s">
        <v>895</v>
      </c>
      <c r="M209" s="4"/>
    </row>
    <row r="210" spans="1:13" outlineLevel="1" x14ac:dyDescent="0.35">
      <c r="B210" s="282" t="s">
        <v>117</v>
      </c>
      <c r="C210" s="282" t="s">
        <v>567</v>
      </c>
      <c r="D210" s="6">
        <f>D198</f>
        <v>6.6853280384452626E-5</v>
      </c>
      <c r="E210" s="6">
        <f t="shared" ref="E210:L213" si="39">E198</f>
        <v>6.4027258518085386E-5</v>
      </c>
      <c r="F210" s="6">
        <f t="shared" si="39"/>
        <v>5.794571268055849E-5</v>
      </c>
      <c r="G210" s="6">
        <f t="shared" si="39"/>
        <v>6.6853280384452626E-5</v>
      </c>
      <c r="H210" s="6">
        <f t="shared" si="39"/>
        <v>6.4027258518085386E-5</v>
      </c>
      <c r="I210" s="6">
        <f t="shared" si="39"/>
        <v>5.794571268055849E-5</v>
      </c>
      <c r="J210" s="6">
        <f t="shared" si="39"/>
        <v>1.2783620330818223E-4</v>
      </c>
      <c r="K210" s="6">
        <f t="shared" si="39"/>
        <v>1.2224287529591124E-4</v>
      </c>
      <c r="L210" s="6">
        <f t="shared" si="39"/>
        <v>1.1019930815134711E-4</v>
      </c>
      <c r="M210" s="4"/>
    </row>
    <row r="211" spans="1:13" outlineLevel="1" x14ac:dyDescent="0.35">
      <c r="B211" s="282" t="s">
        <v>118</v>
      </c>
      <c r="C211" s="282" t="s">
        <v>567</v>
      </c>
      <c r="D211" s="6">
        <f>D199</f>
        <v>4.0040114297033507E-6</v>
      </c>
      <c r="E211" s="6">
        <f t="shared" si="39"/>
        <v>3.8025533906393124E-6</v>
      </c>
      <c r="F211" s="6">
        <f t="shared" si="39"/>
        <v>3.5909746967405102E-6</v>
      </c>
      <c r="G211" s="6">
        <f t="shared" si="39"/>
        <v>4.0040114297033507E-6</v>
      </c>
      <c r="H211" s="6">
        <f t="shared" si="39"/>
        <v>3.8025533906393124E-6</v>
      </c>
      <c r="I211" s="6">
        <f t="shared" si="39"/>
        <v>3.5909746967405102E-6</v>
      </c>
      <c r="J211" s="6">
        <f t="shared" si="39"/>
        <v>4.0040114297033507E-6</v>
      </c>
      <c r="K211" s="6">
        <f t="shared" si="39"/>
        <v>3.8025533906393124E-6</v>
      </c>
      <c r="L211" s="6">
        <f t="shared" si="39"/>
        <v>3.5909746967405102E-6</v>
      </c>
      <c r="M211" s="4"/>
    </row>
    <row r="212" spans="1:13" outlineLevel="1" x14ac:dyDescent="0.35">
      <c r="B212" s="282" t="s">
        <v>119</v>
      </c>
      <c r="C212" s="282" t="s">
        <v>567</v>
      </c>
      <c r="D212" s="6">
        <f>D200</f>
        <v>5.3842860968435531E-7</v>
      </c>
      <c r="E212" s="6">
        <f t="shared" si="39"/>
        <v>4.8155270986090666E-7</v>
      </c>
      <c r="F212" s="6">
        <f t="shared" si="39"/>
        <v>4.5457967317424136E-7</v>
      </c>
      <c r="G212" s="6">
        <f t="shared" si="39"/>
        <v>5.3842860968435531E-7</v>
      </c>
      <c r="H212" s="6">
        <f t="shared" si="39"/>
        <v>4.8155270986090666E-7</v>
      </c>
      <c r="I212" s="6">
        <f t="shared" si="39"/>
        <v>4.5457967317424136E-7</v>
      </c>
      <c r="J212" s="6">
        <f t="shared" si="39"/>
        <v>1.0768572193687106E-6</v>
      </c>
      <c r="K212" s="6">
        <f t="shared" si="39"/>
        <v>9.6310541972181332E-7</v>
      </c>
      <c r="L212" s="6">
        <f t="shared" si="39"/>
        <v>9.0915934634848273E-7</v>
      </c>
      <c r="M212" s="4"/>
    </row>
    <row r="213" spans="1:13" outlineLevel="1" x14ac:dyDescent="0.35">
      <c r="B213" s="282" t="s">
        <v>120</v>
      </c>
      <c r="C213" s="282" t="s">
        <v>567</v>
      </c>
      <c r="D213" s="6">
        <f>D201</f>
        <v>1.4907496099019133E-8</v>
      </c>
      <c r="E213" s="6">
        <f t="shared" si="39"/>
        <v>1.4090857538857629E-8</v>
      </c>
      <c r="F213" s="6">
        <f t="shared" si="39"/>
        <v>1.3616739030439631E-8</v>
      </c>
      <c r="G213" s="6">
        <f t="shared" si="39"/>
        <v>1.4907496099019133E-8</v>
      </c>
      <c r="H213" s="6">
        <f t="shared" si="39"/>
        <v>1.4090857538857629E-8</v>
      </c>
      <c r="I213" s="6">
        <f t="shared" si="39"/>
        <v>1.3616739030439631E-8</v>
      </c>
      <c r="J213" s="6">
        <f t="shared" si="39"/>
        <v>1.4907496099019133E-8</v>
      </c>
      <c r="K213" s="6">
        <f t="shared" si="39"/>
        <v>1.4090857538857629E-8</v>
      </c>
      <c r="L213" s="6">
        <f t="shared" si="39"/>
        <v>1.3616739030439631E-8</v>
      </c>
      <c r="M213" s="4"/>
    </row>
    <row r="214" spans="1:13" outlineLevel="1" x14ac:dyDescent="0.35">
      <c r="B214" s="282" t="s">
        <v>121</v>
      </c>
      <c r="C214" s="282" t="s">
        <v>567</v>
      </c>
      <c r="D214" s="16">
        <f>SUM('Results ReCiPe (H) - HHD'!$B$37:$Z$37)/25/100</f>
        <v>2.3335868612280575E-5</v>
      </c>
      <c r="E214" s="6">
        <f>SUM('Results ReCiPe (H) - HHD'!$B$77:$Z$77)/25/100</f>
        <v>2.0238427274410292E-5</v>
      </c>
      <c r="F214" s="6">
        <f>SUM('Results ReCiPe (H) - HHD'!$B$117:$Z$117)/25/100</f>
        <v>1.8235503578159594E-5</v>
      </c>
      <c r="G214" s="6">
        <f>SUM('Results ReCiPe (H) - HHD'!$B$37:$Z$37)/25/100</f>
        <v>2.3335868612280575E-5</v>
      </c>
      <c r="H214" s="6">
        <f>SUM('Results ReCiPe (H) - HHD'!$B$77:$Z$77)/25/100</f>
        <v>2.0238427274410292E-5</v>
      </c>
      <c r="I214" s="6">
        <f>SUM('Results ReCiPe (H) - HHD'!$B$117:$Z$117)/25/100</f>
        <v>1.8235503578159594E-5</v>
      </c>
      <c r="J214" s="6">
        <f>SUM('Results ReCiPe (H) - HHD'!$B$37:$Z$37)/25/100</f>
        <v>2.3335868612280575E-5</v>
      </c>
      <c r="K214" s="6">
        <f>SUM('Results ReCiPe (H) - HHD'!$B$77:$Z$77)/25/100</f>
        <v>2.0238427274410292E-5</v>
      </c>
      <c r="L214" s="6">
        <f>SUM('Results ReCiPe (H) - HHD'!$B$117:$Z$117)/25/100</f>
        <v>1.8235503578159594E-5</v>
      </c>
      <c r="M214" s="4"/>
    </row>
    <row r="215" spans="1:13" outlineLevel="1" x14ac:dyDescent="0.35">
      <c r="B215" s="282" t="s">
        <v>797</v>
      </c>
      <c r="C215" s="282" t="s">
        <v>567</v>
      </c>
      <c r="D215" s="6">
        <f t="shared" ref="D215:L218" si="40">D203</f>
        <v>0</v>
      </c>
      <c r="E215" s="6">
        <f t="shared" si="40"/>
        <v>0</v>
      </c>
      <c r="F215" s="6">
        <f t="shared" si="40"/>
        <v>0</v>
      </c>
      <c r="G215" s="6">
        <f t="shared" si="40"/>
        <v>0</v>
      </c>
      <c r="H215" s="6">
        <f t="shared" si="40"/>
        <v>0</v>
      </c>
      <c r="I215" s="6">
        <f t="shared" si="40"/>
        <v>0</v>
      </c>
      <c r="J215" s="6">
        <f t="shared" si="40"/>
        <v>7.52137686956862E-4</v>
      </c>
      <c r="K215" s="6">
        <f t="shared" si="40"/>
        <v>7.3397540621486621E-4</v>
      </c>
      <c r="L215" s="6">
        <f t="shared" si="40"/>
        <v>6.8187832086746847E-4</v>
      </c>
      <c r="M215" s="4"/>
    </row>
    <row r="216" spans="1:13" outlineLevel="1" x14ac:dyDescent="0.35">
      <c r="B216" s="282" t="s">
        <v>122</v>
      </c>
      <c r="C216" s="282" t="s">
        <v>567</v>
      </c>
      <c r="D216" s="6">
        <f t="shared" si="40"/>
        <v>1.0864615132376188E-3</v>
      </c>
      <c r="E216" s="6">
        <f t="shared" si="40"/>
        <v>3.1060149197345745E-4</v>
      </c>
      <c r="F216" s="6">
        <f t="shared" si="40"/>
        <v>1.6993610666151968E-4</v>
      </c>
      <c r="G216" s="6">
        <f t="shared" si="40"/>
        <v>8.6689461788745366E-4</v>
      </c>
      <c r="H216" s="6">
        <f t="shared" si="40"/>
        <v>2.7131124935677535E-4</v>
      </c>
      <c r="I216" s="6">
        <f t="shared" si="40"/>
        <v>1.6210302646538829E-4</v>
      </c>
      <c r="J216" s="6">
        <f t="shared" si="40"/>
        <v>5.0429260636688296E-4</v>
      </c>
      <c r="K216" s="6">
        <f t="shared" si="40"/>
        <v>4.6749199485788325E-4</v>
      </c>
      <c r="L216" s="6">
        <f t="shared" si="40"/>
        <v>4.486261428523726E-4</v>
      </c>
      <c r="M216" s="4"/>
    </row>
    <row r="217" spans="1:13" outlineLevel="1" x14ac:dyDescent="0.35">
      <c r="B217" s="282" t="s">
        <v>123</v>
      </c>
      <c r="C217" s="282" t="s">
        <v>567</v>
      </c>
      <c r="D217" s="6">
        <f t="shared" si="40"/>
        <v>9.5457509224026042E-5</v>
      </c>
      <c r="E217" s="6">
        <f t="shared" si="40"/>
        <v>3.6833645004563829E-5</v>
      </c>
      <c r="F217" s="6">
        <f t="shared" si="40"/>
        <v>2.5964444667500321E-5</v>
      </c>
      <c r="G217" s="6">
        <f t="shared" si="40"/>
        <v>9.5457509224026042E-5</v>
      </c>
      <c r="H217" s="6">
        <f t="shared" si="40"/>
        <v>3.6833645004563829E-5</v>
      </c>
      <c r="I217" s="6">
        <f t="shared" si="40"/>
        <v>2.5964444667500321E-5</v>
      </c>
      <c r="J217" s="6">
        <f t="shared" si="40"/>
        <v>9.5457509224026042E-5</v>
      </c>
      <c r="K217" s="6">
        <f t="shared" si="40"/>
        <v>3.6833645004563829E-5</v>
      </c>
      <c r="L217" s="6">
        <f t="shared" si="40"/>
        <v>2.5964444667500321E-5</v>
      </c>
      <c r="M217" s="4"/>
    </row>
    <row r="218" spans="1:13" outlineLevel="1" x14ac:dyDescent="0.35">
      <c r="B218" s="282" t="s">
        <v>124</v>
      </c>
      <c r="C218" s="282" t="s">
        <v>567</v>
      </c>
      <c r="D218" s="6">
        <f>D206</f>
        <v>-9.279999999999999E-4</v>
      </c>
      <c r="E218" s="6">
        <f t="shared" si="40"/>
        <v>-9.279999999999999E-4</v>
      </c>
      <c r="F218" s="6">
        <f t="shared" si="40"/>
        <v>-9.279999999999999E-4</v>
      </c>
      <c r="G218" s="6">
        <f t="shared" si="40"/>
        <v>-9.279999999999999E-4</v>
      </c>
      <c r="H218" s="6">
        <f t="shared" si="40"/>
        <v>-9.279999999999999E-4</v>
      </c>
      <c r="I218" s="6">
        <f t="shared" si="40"/>
        <v>-9.279999999999999E-4</v>
      </c>
      <c r="J218" s="6">
        <f t="shared" si="40"/>
        <v>-9.279999999999999E-4</v>
      </c>
      <c r="K218" s="6">
        <f t="shared" si="40"/>
        <v>-9.279999999999999E-4</v>
      </c>
      <c r="L218" s="6">
        <f t="shared" si="40"/>
        <v>-9.279999999999999E-4</v>
      </c>
      <c r="M218" s="4"/>
    </row>
    <row r="219" spans="1:13" outlineLevel="1" x14ac:dyDescent="0.35">
      <c r="B219" s="282" t="s">
        <v>137</v>
      </c>
      <c r="C219" s="282" t="s">
        <v>567</v>
      </c>
      <c r="D219" s="6">
        <f>SUM(D210:D218)</f>
        <v>3.4866551899386488E-4</v>
      </c>
      <c r="E219" s="6">
        <f t="shared" ref="E219:L219" si="41">SUM(E210:E218)</f>
        <v>-4.9200098027144391E-4</v>
      </c>
      <c r="F219" s="6">
        <f t="shared" si="41"/>
        <v>-6.5185906130331667E-4</v>
      </c>
      <c r="G219" s="6">
        <f t="shared" si="41"/>
        <v>1.2909862364369974E-4</v>
      </c>
      <c r="H219" s="6">
        <f t="shared" si="41"/>
        <v>-5.3129122288812596E-4</v>
      </c>
      <c r="I219" s="6">
        <f t="shared" si="41"/>
        <v>-6.5969214149944804E-4</v>
      </c>
      <c r="J219" s="6">
        <f t="shared" si="41"/>
        <v>5.8015565061340501E-4</v>
      </c>
      <c r="K219" s="6">
        <f t="shared" si="41"/>
        <v>4.5756209831553497E-4</v>
      </c>
      <c r="L219" s="6">
        <f t="shared" si="41"/>
        <v>3.6141747089896766E-4</v>
      </c>
      <c r="M219" s="4"/>
    </row>
    <row r="220" spans="1:13" outlineLevel="1" x14ac:dyDescent="0.35">
      <c r="M220" s="4"/>
    </row>
    <row r="221" spans="1:13" outlineLevel="1" x14ac:dyDescent="0.35">
      <c r="A221" s="15" t="s">
        <v>166</v>
      </c>
      <c r="B221" s="30"/>
      <c r="C221" s="140" t="s">
        <v>180</v>
      </c>
      <c r="D221" s="6" t="s">
        <v>889</v>
      </c>
      <c r="E221" s="6" t="s">
        <v>891</v>
      </c>
      <c r="F221" s="6" t="s">
        <v>890</v>
      </c>
      <c r="G221" s="6" t="s">
        <v>892</v>
      </c>
      <c r="H221" s="6" t="s">
        <v>893</v>
      </c>
      <c r="I221" s="6" t="s">
        <v>894</v>
      </c>
      <c r="J221" s="6" t="s">
        <v>896</v>
      </c>
      <c r="K221" s="6" t="s">
        <v>897</v>
      </c>
      <c r="L221" s="6" t="s">
        <v>895</v>
      </c>
      <c r="M221" s="4"/>
    </row>
    <row r="222" spans="1:13" outlineLevel="1" x14ac:dyDescent="0.35">
      <c r="B222" s="282" t="s">
        <v>117</v>
      </c>
      <c r="C222" s="282" t="s">
        <v>567</v>
      </c>
      <c r="D222" s="6">
        <f>D198</f>
        <v>6.6853280384452626E-5</v>
      </c>
      <c r="E222" s="6">
        <f t="shared" ref="E222:L225" si="42">E198</f>
        <v>6.4027258518085386E-5</v>
      </c>
      <c r="F222" s="6">
        <f t="shared" si="42"/>
        <v>5.794571268055849E-5</v>
      </c>
      <c r="G222" s="6">
        <f t="shared" si="42"/>
        <v>6.6853280384452626E-5</v>
      </c>
      <c r="H222" s="6">
        <f t="shared" si="42"/>
        <v>6.4027258518085386E-5</v>
      </c>
      <c r="I222" s="6">
        <f t="shared" si="42"/>
        <v>5.794571268055849E-5</v>
      </c>
      <c r="J222" s="6">
        <f t="shared" si="42"/>
        <v>1.2783620330818223E-4</v>
      </c>
      <c r="K222" s="6">
        <f t="shared" si="42"/>
        <v>1.2224287529591124E-4</v>
      </c>
      <c r="L222" s="6">
        <f t="shared" si="42"/>
        <v>1.1019930815134711E-4</v>
      </c>
      <c r="M222" s="4"/>
    </row>
    <row r="223" spans="1:13" outlineLevel="1" x14ac:dyDescent="0.35">
      <c r="B223" s="282" t="s">
        <v>118</v>
      </c>
      <c r="C223" s="282" t="s">
        <v>567</v>
      </c>
      <c r="D223" s="6">
        <f>D199</f>
        <v>4.0040114297033507E-6</v>
      </c>
      <c r="E223" s="6">
        <f t="shared" si="42"/>
        <v>3.8025533906393124E-6</v>
      </c>
      <c r="F223" s="6">
        <f t="shared" si="42"/>
        <v>3.5909746967405102E-6</v>
      </c>
      <c r="G223" s="6">
        <f t="shared" si="42"/>
        <v>4.0040114297033507E-6</v>
      </c>
      <c r="H223" s="6">
        <f t="shared" si="42"/>
        <v>3.8025533906393124E-6</v>
      </c>
      <c r="I223" s="6">
        <f t="shared" si="42"/>
        <v>3.5909746967405102E-6</v>
      </c>
      <c r="J223" s="6">
        <f t="shared" si="42"/>
        <v>4.0040114297033507E-6</v>
      </c>
      <c r="K223" s="6">
        <f t="shared" si="42"/>
        <v>3.8025533906393124E-6</v>
      </c>
      <c r="L223" s="6">
        <f t="shared" si="42"/>
        <v>3.5909746967405102E-6</v>
      </c>
      <c r="M223" s="4"/>
    </row>
    <row r="224" spans="1:13" outlineLevel="1" x14ac:dyDescent="0.35">
      <c r="B224" s="282" t="s">
        <v>119</v>
      </c>
      <c r="C224" s="282" t="s">
        <v>567</v>
      </c>
      <c r="D224" s="6">
        <f>D200</f>
        <v>5.3842860968435531E-7</v>
      </c>
      <c r="E224" s="6">
        <f t="shared" si="42"/>
        <v>4.8155270986090666E-7</v>
      </c>
      <c r="F224" s="6">
        <f t="shared" si="42"/>
        <v>4.5457967317424136E-7</v>
      </c>
      <c r="G224" s="6">
        <f t="shared" si="42"/>
        <v>5.3842860968435531E-7</v>
      </c>
      <c r="H224" s="6">
        <f t="shared" si="42"/>
        <v>4.8155270986090666E-7</v>
      </c>
      <c r="I224" s="6">
        <f t="shared" si="42"/>
        <v>4.5457967317424136E-7</v>
      </c>
      <c r="J224" s="6">
        <f t="shared" si="42"/>
        <v>1.0768572193687106E-6</v>
      </c>
      <c r="K224" s="6">
        <f t="shared" si="42"/>
        <v>9.6310541972181332E-7</v>
      </c>
      <c r="L224" s="6">
        <f t="shared" si="42"/>
        <v>9.0915934634848273E-7</v>
      </c>
      <c r="M224" s="4"/>
    </row>
    <row r="225" spans="1:20" outlineLevel="1" x14ac:dyDescent="0.35">
      <c r="B225" s="282" t="s">
        <v>120</v>
      </c>
      <c r="C225" s="282" t="s">
        <v>567</v>
      </c>
      <c r="D225" s="6">
        <f>D201</f>
        <v>1.4907496099019133E-8</v>
      </c>
      <c r="E225" s="6">
        <f t="shared" si="42"/>
        <v>1.4090857538857629E-8</v>
      </c>
      <c r="F225" s="6">
        <f t="shared" si="42"/>
        <v>1.3616739030439631E-8</v>
      </c>
      <c r="G225" s="6">
        <f t="shared" si="42"/>
        <v>1.4907496099019133E-8</v>
      </c>
      <c r="H225" s="6">
        <f t="shared" si="42"/>
        <v>1.4090857538857629E-8</v>
      </c>
      <c r="I225" s="6">
        <f t="shared" si="42"/>
        <v>1.3616739030439631E-8</v>
      </c>
      <c r="J225" s="6">
        <f t="shared" si="42"/>
        <v>1.4907496099019133E-8</v>
      </c>
      <c r="K225" s="6">
        <f t="shared" si="42"/>
        <v>1.4090857538857629E-8</v>
      </c>
      <c r="L225" s="6">
        <f t="shared" si="42"/>
        <v>1.3616739030439631E-8</v>
      </c>
      <c r="M225" s="4"/>
    </row>
    <row r="226" spans="1:20" outlineLevel="1" x14ac:dyDescent="0.35">
      <c r="B226" s="282" t="s">
        <v>121</v>
      </c>
      <c r="C226" s="282" t="s">
        <v>567</v>
      </c>
      <c r="D226" s="16">
        <f>SUM('Results ReCiPe (H) - HHD'!$B$37,'Results ReCiPe (H) - HHD'!$G$37,'Results ReCiPe (H) - HHD'!$L$37,'Results ReCiPe (H) - HHD'!$Q$37,'Results ReCiPe (H) - HHD'!$V$37)/25/100</f>
        <v>4.6780234288558156E-6</v>
      </c>
      <c r="E226" s="6">
        <f>SUM('Results ReCiPe (H) - HHD'!$B$77,'Results ReCiPe (H) - HHD'!$G$77,'Results ReCiPe (H) - HHD'!$L$77,'Results ReCiPe (H) - HHD'!$Q$77,'Results ReCiPe (H) - HHD'!$V$77)/25/100</f>
        <v>4.1192274417184934E-6</v>
      </c>
      <c r="F226" s="6">
        <f>SUM('Results ReCiPe (H) - HHD'!$B$117,'Results ReCiPe (H) - HHD'!$G$117,'Results ReCiPe (H) - HHD'!$L$117,'Results ReCiPe (H) - HHD'!$Q$117,'Results ReCiPe (H) - HHD'!$V$117)/25/100</f>
        <v>3.676920646953749E-6</v>
      </c>
      <c r="G226" s="6">
        <f>SUM('Results ReCiPe (H) - HHD'!$B$37,'Results ReCiPe (H) - HHD'!$G$37,'Results ReCiPe (H) - HHD'!$L$37,'Results ReCiPe (H) - HHD'!$Q$37,'Results ReCiPe (H) - HHD'!$V$37)/25/100</f>
        <v>4.6780234288558156E-6</v>
      </c>
      <c r="H226" s="6">
        <f>SUM('Results ReCiPe (H) - HHD'!$B$77,'Results ReCiPe (H) - HHD'!$G$77,'Results ReCiPe (H) - HHD'!$L$77,'Results ReCiPe (H) - HHD'!$Q$77,'Results ReCiPe (H) - HHD'!$V$77)/25/100</f>
        <v>4.1192274417184934E-6</v>
      </c>
      <c r="I226" s="6">
        <f>SUM('Results ReCiPe (H) - HHD'!$B$117,'Results ReCiPe (H) - HHD'!$G$117,'Results ReCiPe (H) - HHD'!$L$117,'Results ReCiPe (H) - HHD'!$Q$117,'Results ReCiPe (H) - HHD'!$V$117)/25/100</f>
        <v>3.676920646953749E-6</v>
      </c>
      <c r="J226" s="6">
        <f>SUM('Results ReCiPe (H) - HHD'!$B$37,'Results ReCiPe (H) - HHD'!$G$37,'Results ReCiPe (H) - HHD'!$L$37,'Results ReCiPe (H) - HHD'!$Q$37,'Results ReCiPe (H) - HHD'!$V$37)/25/100</f>
        <v>4.6780234288558156E-6</v>
      </c>
      <c r="K226" s="6">
        <f>SUM('Results ReCiPe (H) - HHD'!$B$77,'Results ReCiPe (H) - HHD'!$G$77,'Results ReCiPe (H) - HHD'!$L$77,'Results ReCiPe (H) - HHD'!$Q$77,'Results ReCiPe (H) - HHD'!$V$77)/25/100</f>
        <v>4.1192274417184934E-6</v>
      </c>
      <c r="L226" s="6">
        <f>SUM('Results ReCiPe (H) - HHD'!$B$117,'Results ReCiPe (H) - HHD'!$G$117,'Results ReCiPe (H) - HHD'!$L$117,'Results ReCiPe (H) - HHD'!$Q$117,'Results ReCiPe (H) - HHD'!$V$117)/25/100</f>
        <v>3.676920646953749E-6</v>
      </c>
      <c r="M226" s="4"/>
    </row>
    <row r="227" spans="1:20" outlineLevel="1" x14ac:dyDescent="0.35">
      <c r="B227" s="282" t="s">
        <v>797</v>
      </c>
      <c r="C227" s="282" t="s">
        <v>567</v>
      </c>
      <c r="D227" s="6">
        <f>D203</f>
        <v>0</v>
      </c>
      <c r="E227" s="6">
        <f t="shared" ref="E227:L227" si="43">E203</f>
        <v>0</v>
      </c>
      <c r="F227" s="6">
        <f t="shared" si="43"/>
        <v>0</v>
      </c>
      <c r="G227" s="6">
        <f t="shared" si="43"/>
        <v>0</v>
      </c>
      <c r="H227" s="6">
        <f t="shared" si="43"/>
        <v>0</v>
      </c>
      <c r="I227" s="6">
        <f t="shared" si="43"/>
        <v>0</v>
      </c>
      <c r="J227" s="6">
        <f t="shared" si="43"/>
        <v>7.52137686956862E-4</v>
      </c>
      <c r="K227" s="6">
        <f t="shared" si="43"/>
        <v>7.3397540621486621E-4</v>
      </c>
      <c r="L227" s="6">
        <f t="shared" si="43"/>
        <v>6.8187832086746847E-4</v>
      </c>
      <c r="M227" s="4"/>
    </row>
    <row r="228" spans="1:20" outlineLevel="1" x14ac:dyDescent="0.35">
      <c r="B228" s="282" t="s">
        <v>122</v>
      </c>
      <c r="C228" s="282" t="s">
        <v>567</v>
      </c>
      <c r="D228" s="6">
        <f t="shared" ref="D228:L230" si="44">D204</f>
        <v>1.0864615132376188E-3</v>
      </c>
      <c r="E228" s="6">
        <f t="shared" si="44"/>
        <v>3.1060149197345745E-4</v>
      </c>
      <c r="F228" s="6">
        <f t="shared" si="44"/>
        <v>1.6993610666151968E-4</v>
      </c>
      <c r="G228" s="6">
        <f t="shared" si="44"/>
        <v>8.6689461788745366E-4</v>
      </c>
      <c r="H228" s="6">
        <f t="shared" si="44"/>
        <v>2.7131124935677535E-4</v>
      </c>
      <c r="I228" s="6">
        <f t="shared" si="44"/>
        <v>1.6210302646538829E-4</v>
      </c>
      <c r="J228" s="6">
        <f t="shared" si="44"/>
        <v>5.0429260636688296E-4</v>
      </c>
      <c r="K228" s="6">
        <f t="shared" si="44"/>
        <v>4.6749199485788325E-4</v>
      </c>
      <c r="L228" s="6">
        <f t="shared" si="44"/>
        <v>4.486261428523726E-4</v>
      </c>
      <c r="M228" s="4"/>
    </row>
    <row r="229" spans="1:20" outlineLevel="1" x14ac:dyDescent="0.35">
      <c r="B229" s="282" t="s">
        <v>123</v>
      </c>
      <c r="C229" s="282" t="s">
        <v>567</v>
      </c>
      <c r="D229" s="6">
        <f t="shared" si="44"/>
        <v>9.5457509224026042E-5</v>
      </c>
      <c r="E229" s="6">
        <f t="shared" si="44"/>
        <v>3.6833645004563829E-5</v>
      </c>
      <c r="F229" s="6">
        <f t="shared" si="44"/>
        <v>2.5964444667500321E-5</v>
      </c>
      <c r="G229" s="6">
        <f t="shared" si="44"/>
        <v>9.5457509224026042E-5</v>
      </c>
      <c r="H229" s="6">
        <f t="shared" si="44"/>
        <v>3.6833645004563829E-5</v>
      </c>
      <c r="I229" s="6">
        <f t="shared" si="44"/>
        <v>2.5964444667500321E-5</v>
      </c>
      <c r="J229" s="6">
        <f t="shared" si="44"/>
        <v>9.5457509224026042E-5</v>
      </c>
      <c r="K229" s="6">
        <f t="shared" si="44"/>
        <v>3.6833645004563829E-5</v>
      </c>
      <c r="L229" s="6">
        <f t="shared" si="44"/>
        <v>2.5964444667500321E-5</v>
      </c>
      <c r="M229" s="4"/>
    </row>
    <row r="230" spans="1:20" outlineLevel="1" x14ac:dyDescent="0.35">
      <c r="B230" s="282" t="s">
        <v>124</v>
      </c>
      <c r="C230" s="282" t="s">
        <v>567</v>
      </c>
      <c r="D230" s="6">
        <f t="shared" si="44"/>
        <v>-9.279999999999999E-4</v>
      </c>
      <c r="E230" s="6">
        <f t="shared" si="44"/>
        <v>-9.279999999999999E-4</v>
      </c>
      <c r="F230" s="6">
        <f t="shared" si="44"/>
        <v>-9.279999999999999E-4</v>
      </c>
      <c r="G230" s="6">
        <f t="shared" si="44"/>
        <v>-9.279999999999999E-4</v>
      </c>
      <c r="H230" s="6">
        <f t="shared" si="44"/>
        <v>-9.279999999999999E-4</v>
      </c>
      <c r="I230" s="6">
        <f t="shared" si="44"/>
        <v>-9.279999999999999E-4</v>
      </c>
      <c r="J230" s="6">
        <f t="shared" si="44"/>
        <v>-9.279999999999999E-4</v>
      </c>
      <c r="K230" s="6">
        <f t="shared" si="44"/>
        <v>-9.279999999999999E-4</v>
      </c>
      <c r="L230" s="6">
        <f t="shared" si="44"/>
        <v>-9.279999999999999E-4</v>
      </c>
      <c r="M230" s="4"/>
    </row>
    <row r="231" spans="1:20" outlineLevel="1" x14ac:dyDescent="0.35">
      <c r="B231" s="282" t="s">
        <v>137</v>
      </c>
      <c r="C231" s="282" t="s">
        <v>567</v>
      </c>
      <c r="D231" s="6">
        <f>SUM(D222:D230)</f>
        <v>3.3000767381044006E-4</v>
      </c>
      <c r="E231" s="6">
        <f t="shared" ref="E231:L231" si="45">SUM(E222:E230)</f>
        <v>-5.0812018010413574E-4</v>
      </c>
      <c r="F231" s="6">
        <f t="shared" si="45"/>
        <v>-6.6641764423452249E-4</v>
      </c>
      <c r="G231" s="6">
        <f t="shared" si="45"/>
        <v>1.1044077846027493E-4</v>
      </c>
      <c r="H231" s="6">
        <f t="shared" si="45"/>
        <v>-5.4741042272081768E-4</v>
      </c>
      <c r="I231" s="6">
        <f t="shared" si="45"/>
        <v>-6.7425072443065386E-4</v>
      </c>
      <c r="J231" s="6">
        <f t="shared" si="45"/>
        <v>5.6149780542998019E-4</v>
      </c>
      <c r="K231" s="6">
        <f t="shared" si="45"/>
        <v>4.4144289848284315E-4</v>
      </c>
      <c r="L231" s="6">
        <f t="shared" si="45"/>
        <v>3.4685888796776173E-4</v>
      </c>
      <c r="M231" s="4"/>
    </row>
    <row r="232" spans="1:20" outlineLevel="1" x14ac:dyDescent="0.35">
      <c r="M232" s="4"/>
    </row>
    <row r="233" spans="1:20" x14ac:dyDescent="0.35">
      <c r="A233" s="170" t="s">
        <v>813</v>
      </c>
      <c r="B233" s="4"/>
      <c r="C233" s="4"/>
      <c r="D233" s="4"/>
      <c r="E233" s="4"/>
      <c r="F233" s="4"/>
      <c r="G233" s="4"/>
      <c r="H233" s="4"/>
      <c r="I233" s="4"/>
      <c r="J233" s="4"/>
      <c r="K233" s="4"/>
      <c r="L233" s="4"/>
      <c r="M233" s="4"/>
      <c r="T233" s="282"/>
    </row>
    <row r="234" spans="1:20" outlineLevel="1" x14ac:dyDescent="0.35">
      <c r="A234" s="15" t="s">
        <v>417</v>
      </c>
      <c r="B234" s="30"/>
      <c r="C234" s="140" t="s">
        <v>180</v>
      </c>
      <c r="D234" s="6" t="s">
        <v>889</v>
      </c>
      <c r="E234" s="6" t="s">
        <v>891</v>
      </c>
      <c r="F234" s="6" t="s">
        <v>890</v>
      </c>
      <c r="G234" s="6" t="s">
        <v>892</v>
      </c>
      <c r="H234" s="6" t="s">
        <v>893</v>
      </c>
      <c r="I234" s="6" t="s">
        <v>894</v>
      </c>
      <c r="J234" s="6" t="s">
        <v>896</v>
      </c>
      <c r="K234" s="6" t="s">
        <v>897</v>
      </c>
      <c r="L234" s="6" t="s">
        <v>895</v>
      </c>
      <c r="M234" s="4"/>
      <c r="T234" s="282"/>
    </row>
    <row r="235" spans="1:20" outlineLevel="1" x14ac:dyDescent="0.35">
      <c r="B235" s="282" t="s">
        <v>117</v>
      </c>
      <c r="C235" s="282" t="s">
        <v>567</v>
      </c>
      <c r="D235" s="6">
        <f>'Results ReCiPe (H) - HHD'!B467</f>
        <v>6.6853280384452626E-5</v>
      </c>
      <c r="E235" s="6">
        <f>'Results ReCiPe (H) - HHD'!C467</f>
        <v>6.4027258518085386E-5</v>
      </c>
      <c r="F235" s="6">
        <f>'Results ReCiPe (H) - HHD'!D467</f>
        <v>5.794571268055849E-5</v>
      </c>
      <c r="G235" s="6">
        <f>'Results ReCiPe (H) - HHD'!E467</f>
        <v>6.6853280384452626E-5</v>
      </c>
      <c r="H235" s="6">
        <f>'Results ReCiPe (H) - HHD'!F467</f>
        <v>6.4027258518085386E-5</v>
      </c>
      <c r="I235" s="6">
        <f>'Results ReCiPe (H) - HHD'!G467</f>
        <v>5.794571268055849E-5</v>
      </c>
      <c r="J235" s="6">
        <f>'Results ReCiPe (H) - HHD'!H467</f>
        <v>1.2783620330818223E-4</v>
      </c>
      <c r="K235" s="6">
        <f>'Results ReCiPe (H) - HHD'!I467</f>
        <v>1.2224287529591124E-4</v>
      </c>
      <c r="L235" s="6">
        <f>'Results ReCiPe (H) - HHD'!J467</f>
        <v>1.1019930815134711E-4</v>
      </c>
      <c r="M235" s="4"/>
      <c r="T235" s="282"/>
    </row>
    <row r="236" spans="1:20" outlineLevel="1" x14ac:dyDescent="0.35">
      <c r="B236" s="282" t="s">
        <v>118</v>
      </c>
      <c r="C236" s="282" t="s">
        <v>567</v>
      </c>
      <c r="D236" s="6">
        <f>'Results ReCiPe (H) - HHD'!B468</f>
        <v>4.0040114297033507E-6</v>
      </c>
      <c r="E236" s="6">
        <f>'Results ReCiPe (H) - HHD'!C468</f>
        <v>3.8025533906393124E-6</v>
      </c>
      <c r="F236" s="6">
        <f>'Results ReCiPe (H) - HHD'!D468</f>
        <v>3.5909746967405102E-6</v>
      </c>
      <c r="G236" s="6">
        <f>'Results ReCiPe (H) - HHD'!E468</f>
        <v>4.0040114297033507E-6</v>
      </c>
      <c r="H236" s="6">
        <f>'Results ReCiPe (H) - HHD'!F468</f>
        <v>3.8025533906393124E-6</v>
      </c>
      <c r="I236" s="6">
        <f>'Results ReCiPe (H) - HHD'!G468</f>
        <v>3.5909746967405102E-6</v>
      </c>
      <c r="J236" s="6">
        <f>'Results ReCiPe (H) - HHD'!H468</f>
        <v>4.0040114297033507E-6</v>
      </c>
      <c r="K236" s="6">
        <f>'Results ReCiPe (H) - HHD'!I468</f>
        <v>3.8025533906393124E-6</v>
      </c>
      <c r="L236" s="6">
        <f>'Results ReCiPe (H) - HHD'!J468</f>
        <v>3.5909746967405102E-6</v>
      </c>
      <c r="M236" s="4"/>
      <c r="T236" s="282"/>
    </row>
    <row r="237" spans="1:20" outlineLevel="1" x14ac:dyDescent="0.35">
      <c r="B237" s="282" t="s">
        <v>119</v>
      </c>
      <c r="C237" s="282" t="s">
        <v>567</v>
      </c>
      <c r="D237" s="6">
        <f>'Results ReCiPe (H) - HHD'!B469</f>
        <v>5.3842860968435531E-7</v>
      </c>
      <c r="E237" s="6">
        <f>'Results ReCiPe (H) - HHD'!C469</f>
        <v>4.8155270986090666E-7</v>
      </c>
      <c r="F237" s="6">
        <f>'Results ReCiPe (H) - HHD'!D469</f>
        <v>4.5457967317424136E-7</v>
      </c>
      <c r="G237" s="6">
        <f>'Results ReCiPe (H) - HHD'!E469</f>
        <v>5.3842860968435531E-7</v>
      </c>
      <c r="H237" s="6">
        <f>'Results ReCiPe (H) - HHD'!F469</f>
        <v>4.8155270986090666E-7</v>
      </c>
      <c r="I237" s="6">
        <f>'Results ReCiPe (H) - HHD'!G469</f>
        <v>4.5457967317424136E-7</v>
      </c>
      <c r="J237" s="6">
        <f>'Results ReCiPe (H) - HHD'!H469</f>
        <v>1.0768572193687106E-6</v>
      </c>
      <c r="K237" s="6">
        <f>'Results ReCiPe (H) - HHD'!I469</f>
        <v>9.6310541972181332E-7</v>
      </c>
      <c r="L237" s="6">
        <f>'Results ReCiPe (H) - HHD'!J469</f>
        <v>9.0915934634848273E-7</v>
      </c>
      <c r="M237" s="4"/>
    </row>
    <row r="238" spans="1:20" outlineLevel="1" x14ac:dyDescent="0.35">
      <c r="B238" s="282" t="s">
        <v>120</v>
      </c>
      <c r="C238" s="282" t="s">
        <v>567</v>
      </c>
      <c r="D238" s="6">
        <f>'Results ReCiPe (H) - HHD'!B470</f>
        <v>1.4907496099019133E-8</v>
      </c>
      <c r="E238" s="6">
        <f>'Results ReCiPe (H) - HHD'!C470</f>
        <v>1.4090857538857629E-8</v>
      </c>
      <c r="F238" s="6">
        <f>'Results ReCiPe (H) - HHD'!D470</f>
        <v>1.3616739030439631E-8</v>
      </c>
      <c r="G238" s="6">
        <f>'Results ReCiPe (H) - HHD'!E470</f>
        <v>1.4907496099019133E-8</v>
      </c>
      <c r="H238" s="6">
        <f>'Results ReCiPe (H) - HHD'!F470</f>
        <v>1.4090857538857629E-8</v>
      </c>
      <c r="I238" s="6">
        <f>'Results ReCiPe (H) - HHD'!G470</f>
        <v>1.3616739030439631E-8</v>
      </c>
      <c r="J238" s="6">
        <f>'Results ReCiPe (H) - HHD'!H470</f>
        <v>1.4907496099019133E-8</v>
      </c>
      <c r="K238" s="6">
        <f>'Results ReCiPe (H) - HHD'!I470</f>
        <v>1.4090857538857629E-8</v>
      </c>
      <c r="L238" s="6">
        <f>'Results ReCiPe (H) - HHD'!J470</f>
        <v>1.3616739030439631E-8</v>
      </c>
      <c r="M238" s="4"/>
    </row>
    <row r="239" spans="1:20" outlineLevel="1" x14ac:dyDescent="0.35">
      <c r="B239" s="282" t="s">
        <v>121</v>
      </c>
      <c r="C239" s="282" t="s">
        <v>567</v>
      </c>
      <c r="D239" s="6">
        <f>'Results ReCiPe (H) - HHD'!B471</f>
        <v>8.3992169268362136E-6</v>
      </c>
      <c r="E239" s="6">
        <f>'Results ReCiPe (H) - HHD'!C471</f>
        <v>7.2964263088321881E-6</v>
      </c>
      <c r="F239" s="6">
        <f>'Results ReCiPe (H) - HHD'!D471</f>
        <v>6.5857117699468779E-6</v>
      </c>
      <c r="G239" s="6">
        <f>'Results ReCiPe (H) - HHD'!E471</f>
        <v>8.3992169268362136E-6</v>
      </c>
      <c r="H239" s="6">
        <f>'Results ReCiPe (H) - HHD'!F471</f>
        <v>7.2964263088321881E-6</v>
      </c>
      <c r="I239" s="6">
        <f>'Results ReCiPe (H) - HHD'!G471</f>
        <v>6.5857117699468779E-6</v>
      </c>
      <c r="J239" s="6">
        <f>'Results ReCiPe (H) - HHD'!H471</f>
        <v>1.6798433853672427E-5</v>
      </c>
      <c r="K239" s="6">
        <f>'Results ReCiPe (H) - HHD'!I471</f>
        <v>1.4592852617664376E-5</v>
      </c>
      <c r="L239" s="6">
        <f>'Results ReCiPe (H) - HHD'!J471</f>
        <v>1.3171423539893756E-5</v>
      </c>
      <c r="M239" s="4"/>
    </row>
    <row r="240" spans="1:20" outlineLevel="1" x14ac:dyDescent="0.35">
      <c r="B240" s="282" t="s">
        <v>797</v>
      </c>
      <c r="C240" s="282" t="s">
        <v>567</v>
      </c>
      <c r="D240" s="6">
        <f>'Results ReCiPe (H) - HHD'!B472</f>
        <v>0</v>
      </c>
      <c r="E240" s="6">
        <f>'Results ReCiPe (H) - HHD'!C472</f>
        <v>0</v>
      </c>
      <c r="F240" s="6">
        <f>'Results ReCiPe (H) - HHD'!D472</f>
        <v>0</v>
      </c>
      <c r="G240" s="6">
        <f>'Results ReCiPe (H) - HHD'!E472</f>
        <v>0</v>
      </c>
      <c r="H240" s="6">
        <f>'Results ReCiPe (H) - HHD'!F472</f>
        <v>0</v>
      </c>
      <c r="I240" s="6">
        <f>'Results ReCiPe (H) - HHD'!G472</f>
        <v>0</v>
      </c>
      <c r="J240" s="6">
        <f>'Results ReCiPe (H) - HHD'!H472</f>
        <v>7.52137686956862E-4</v>
      </c>
      <c r="K240" s="6">
        <f>'Results ReCiPe (H) - HHD'!I472</f>
        <v>7.3397540621486621E-4</v>
      </c>
      <c r="L240" s="6">
        <f>'Results ReCiPe (H) - HHD'!J472</f>
        <v>6.8187832086746847E-4</v>
      </c>
      <c r="M240" s="4"/>
    </row>
    <row r="241" spans="1:13" outlineLevel="1" x14ac:dyDescent="0.35">
      <c r="B241" s="282" t="s">
        <v>122</v>
      </c>
      <c r="C241" s="282" t="s">
        <v>567</v>
      </c>
      <c r="D241" s="6">
        <f>'Results ReCiPe (H) - HHD'!B473</f>
        <v>1.0864615132376188E-3</v>
      </c>
      <c r="E241" s="6">
        <f>'Results ReCiPe (H) - HHD'!C473</f>
        <v>3.1060149197345745E-4</v>
      </c>
      <c r="F241" s="6">
        <f>'Results ReCiPe (H) - HHD'!D473</f>
        <v>1.6993610666151968E-4</v>
      </c>
      <c r="G241" s="6">
        <f>'Results ReCiPe (H) - HHD'!E473</f>
        <v>8.6689461788745366E-4</v>
      </c>
      <c r="H241" s="6">
        <f>'Results ReCiPe (H) - HHD'!F473</f>
        <v>2.7131124935677535E-4</v>
      </c>
      <c r="I241" s="6">
        <f>'Results ReCiPe (H) - HHD'!G473</f>
        <v>1.6210302646538829E-4</v>
      </c>
      <c r="J241" s="6">
        <f>'Results ReCiPe (H) - HHD'!H473</f>
        <v>5.0429260636688296E-4</v>
      </c>
      <c r="K241" s="6">
        <f>'Results ReCiPe (H) - HHD'!I473</f>
        <v>4.6749199485788325E-4</v>
      </c>
      <c r="L241" s="6">
        <f>'Results ReCiPe (H) - HHD'!J473</f>
        <v>4.486261428523726E-4</v>
      </c>
      <c r="M241" s="4"/>
    </row>
    <row r="242" spans="1:13" outlineLevel="1" x14ac:dyDescent="0.35">
      <c r="B242" s="282" t="s">
        <v>123</v>
      </c>
      <c r="C242" s="282" t="s">
        <v>567</v>
      </c>
      <c r="D242" s="6">
        <f>'Results ReCiPe (H) - HHD'!B474</f>
        <v>9.5457509224026042E-5</v>
      </c>
      <c r="E242" s="6">
        <f>'Results ReCiPe (H) - HHD'!C474</f>
        <v>3.6833645004563829E-5</v>
      </c>
      <c r="F242" s="6">
        <f>'Results ReCiPe (H) - HHD'!D474</f>
        <v>2.5964444667500321E-5</v>
      </c>
      <c r="G242" s="6">
        <f>'Results ReCiPe (H) - HHD'!E474</f>
        <v>9.5457509224026042E-5</v>
      </c>
      <c r="H242" s="6">
        <f>'Results ReCiPe (H) - HHD'!F474</f>
        <v>3.6833645004563829E-5</v>
      </c>
      <c r="I242" s="6">
        <f>'Results ReCiPe (H) - HHD'!G474</f>
        <v>2.5964444667500321E-5</v>
      </c>
      <c r="J242" s="6">
        <f>'Results ReCiPe (H) - HHD'!H474</f>
        <v>9.5457509224026042E-5</v>
      </c>
      <c r="K242" s="6">
        <f>'Results ReCiPe (H) - HHD'!I474</f>
        <v>3.6833645004563829E-5</v>
      </c>
      <c r="L242" s="6">
        <f>'Results ReCiPe (H) - HHD'!J474</f>
        <v>2.5964444667500321E-5</v>
      </c>
      <c r="M242" s="4"/>
    </row>
    <row r="243" spans="1:13" outlineLevel="1" x14ac:dyDescent="0.35">
      <c r="B243" s="282" t="s">
        <v>124</v>
      </c>
      <c r="C243" s="282" t="s">
        <v>567</v>
      </c>
      <c r="D243" s="6">
        <f>'Results ReCiPe (H) - HHD'!B475</f>
        <v>-9.279999999999999E-4</v>
      </c>
      <c r="E243" s="6">
        <f>'Results ReCiPe (H) - HHD'!C475</f>
        <v>-9.279999999999999E-4</v>
      </c>
      <c r="F243" s="6">
        <f>'Results ReCiPe (H) - HHD'!D475</f>
        <v>-9.279999999999999E-4</v>
      </c>
      <c r="G243" s="6">
        <f>'Results ReCiPe (H) - HHD'!E475</f>
        <v>-9.279999999999999E-4</v>
      </c>
      <c r="H243" s="6">
        <f>'Results ReCiPe (H) - HHD'!F475</f>
        <v>-9.279999999999999E-4</v>
      </c>
      <c r="I243" s="6">
        <f>'Results ReCiPe (H) - HHD'!G475</f>
        <v>-9.279999999999999E-4</v>
      </c>
      <c r="J243" s="6">
        <f>'Results ReCiPe (H) - HHD'!H475</f>
        <v>-9.279999999999999E-4</v>
      </c>
      <c r="K243" s="6">
        <f>'Results ReCiPe (H) - HHD'!I475</f>
        <v>-9.279999999999999E-4</v>
      </c>
      <c r="L243" s="6">
        <f>'Results ReCiPe (H) - HHD'!J475</f>
        <v>-9.279999999999999E-4</v>
      </c>
      <c r="M243" s="4"/>
    </row>
    <row r="244" spans="1:13" outlineLevel="1" x14ac:dyDescent="0.35">
      <c r="B244" s="282" t="s">
        <v>137</v>
      </c>
      <c r="C244" s="282" t="s">
        <v>567</v>
      </c>
      <c r="D244" s="6">
        <f>SUM(D235:D243)</f>
        <v>3.3372886730842044E-4</v>
      </c>
      <c r="E244" s="6">
        <f t="shared" ref="E244:L244" si="46">SUM(E235:E243)</f>
        <v>-5.0494298123702195E-4</v>
      </c>
      <c r="F244" s="6">
        <f t="shared" si="46"/>
        <v>-6.6350885311152927E-4</v>
      </c>
      <c r="G244" s="6">
        <f t="shared" si="46"/>
        <v>1.141619719582553E-4</v>
      </c>
      <c r="H244" s="6">
        <f t="shared" si="46"/>
        <v>-5.4423322385370411E-4</v>
      </c>
      <c r="I244" s="6">
        <f t="shared" si="46"/>
        <v>-6.7134193330766075E-4</v>
      </c>
      <c r="J244" s="6">
        <f t="shared" si="46"/>
        <v>5.7361821585479695E-4</v>
      </c>
      <c r="K244" s="6">
        <f t="shared" si="46"/>
        <v>4.5191652365878909E-4</v>
      </c>
      <c r="L244" s="6">
        <f t="shared" si="46"/>
        <v>3.5635339086070178E-4</v>
      </c>
      <c r="M244" s="4"/>
    </row>
    <row r="245" spans="1:13" outlineLevel="1" x14ac:dyDescent="0.35">
      <c r="M245" s="4"/>
    </row>
    <row r="246" spans="1:13" outlineLevel="1" x14ac:dyDescent="0.35">
      <c r="A246" s="15" t="s">
        <v>814</v>
      </c>
      <c r="B246" s="30"/>
      <c r="C246" s="140" t="s">
        <v>180</v>
      </c>
      <c r="D246" s="6" t="s">
        <v>889</v>
      </c>
      <c r="E246" s="6" t="s">
        <v>891</v>
      </c>
      <c r="F246" s="6" t="s">
        <v>890</v>
      </c>
      <c r="G246" s="6" t="s">
        <v>892</v>
      </c>
      <c r="H246" s="6" t="s">
        <v>893</v>
      </c>
      <c r="I246" s="6" t="s">
        <v>894</v>
      </c>
      <c r="J246" s="6" t="s">
        <v>896</v>
      </c>
      <c r="K246" s="6" t="s">
        <v>897</v>
      </c>
      <c r="L246" s="6" t="s">
        <v>895</v>
      </c>
      <c r="M246" s="4"/>
    </row>
    <row r="247" spans="1:13" outlineLevel="1" x14ac:dyDescent="0.35">
      <c r="B247" s="282" t="s">
        <v>117</v>
      </c>
      <c r="C247" s="282" t="s">
        <v>567</v>
      </c>
      <c r="D247" s="6">
        <f>'Results ReCiPe (H) - HHD'!B467</f>
        <v>6.6853280384452626E-5</v>
      </c>
      <c r="E247" s="6">
        <f>'Results ReCiPe (H) - HHD'!C467</f>
        <v>6.4027258518085386E-5</v>
      </c>
      <c r="F247" s="6">
        <f>'Results ReCiPe (H) - HHD'!D467</f>
        <v>5.794571268055849E-5</v>
      </c>
      <c r="G247" s="6">
        <f>'Results ReCiPe (H) - HHD'!E467</f>
        <v>6.6853280384452626E-5</v>
      </c>
      <c r="H247" s="6">
        <f>'Results ReCiPe (H) - HHD'!F467</f>
        <v>6.4027258518085386E-5</v>
      </c>
      <c r="I247" s="6">
        <f>'Results ReCiPe (H) - HHD'!G467</f>
        <v>5.794571268055849E-5</v>
      </c>
      <c r="J247" s="6">
        <f>'Results ReCiPe (H) - HHD'!H467</f>
        <v>1.2783620330818223E-4</v>
      </c>
      <c r="K247" s="6">
        <f>'Results ReCiPe (H) - HHD'!I467</f>
        <v>1.2224287529591124E-4</v>
      </c>
      <c r="L247" s="6">
        <f>'Results ReCiPe (H) - HHD'!J467</f>
        <v>1.1019930815134711E-4</v>
      </c>
      <c r="M247" s="4"/>
    </row>
    <row r="248" spans="1:13" outlineLevel="1" x14ac:dyDescent="0.35">
      <c r="B248" s="282" t="s">
        <v>118</v>
      </c>
      <c r="C248" s="282" t="s">
        <v>567</v>
      </c>
      <c r="D248" s="6">
        <f>'Results ReCiPe (H) - HHD'!B468</f>
        <v>4.0040114297033507E-6</v>
      </c>
      <c r="E248" s="6">
        <f>'Results ReCiPe (H) - HHD'!C468</f>
        <v>3.8025533906393124E-6</v>
      </c>
      <c r="F248" s="6">
        <f>'Results ReCiPe (H) - HHD'!D468</f>
        <v>3.5909746967405102E-6</v>
      </c>
      <c r="G248" s="6">
        <f>'Results ReCiPe (H) - HHD'!E468</f>
        <v>4.0040114297033507E-6</v>
      </c>
      <c r="H248" s="6">
        <f>'Results ReCiPe (H) - HHD'!F468</f>
        <v>3.8025533906393124E-6</v>
      </c>
      <c r="I248" s="6">
        <f>'Results ReCiPe (H) - HHD'!G468</f>
        <v>3.5909746967405102E-6</v>
      </c>
      <c r="J248" s="6">
        <f>'Results ReCiPe (H) - HHD'!H468</f>
        <v>4.0040114297033507E-6</v>
      </c>
      <c r="K248" s="6">
        <f>'Results ReCiPe (H) - HHD'!I468</f>
        <v>3.8025533906393124E-6</v>
      </c>
      <c r="L248" s="6">
        <f>'Results ReCiPe (H) - HHD'!J468</f>
        <v>3.5909746967405102E-6</v>
      </c>
      <c r="M248" s="4"/>
    </row>
    <row r="249" spans="1:13" outlineLevel="1" x14ac:dyDescent="0.35">
      <c r="B249" s="282" t="s">
        <v>119</v>
      </c>
      <c r="C249" s="282" t="s">
        <v>567</v>
      </c>
      <c r="D249" s="6">
        <f>'Results ReCiPe (H) - HHD'!B469</f>
        <v>5.3842860968435531E-7</v>
      </c>
      <c r="E249" s="6">
        <f>'Results ReCiPe (H) - HHD'!C469</f>
        <v>4.8155270986090666E-7</v>
      </c>
      <c r="F249" s="6">
        <f>'Results ReCiPe (H) - HHD'!D469</f>
        <v>4.5457967317424136E-7</v>
      </c>
      <c r="G249" s="6">
        <f>'Results ReCiPe (H) - HHD'!E469</f>
        <v>5.3842860968435531E-7</v>
      </c>
      <c r="H249" s="6">
        <f>'Results ReCiPe (H) - HHD'!F469</f>
        <v>4.8155270986090666E-7</v>
      </c>
      <c r="I249" s="6">
        <f>'Results ReCiPe (H) - HHD'!G469</f>
        <v>4.5457967317424136E-7</v>
      </c>
      <c r="J249" s="6">
        <f>'Results ReCiPe (H) - HHD'!H469</f>
        <v>1.0768572193687106E-6</v>
      </c>
      <c r="K249" s="6">
        <f>'Results ReCiPe (H) - HHD'!I469</f>
        <v>9.6310541972181332E-7</v>
      </c>
      <c r="L249" s="6">
        <f>'Results ReCiPe (H) - HHD'!J469</f>
        <v>9.0915934634848273E-7</v>
      </c>
      <c r="M249" s="4"/>
    </row>
    <row r="250" spans="1:13" outlineLevel="1" x14ac:dyDescent="0.35">
      <c r="B250" s="282" t="s">
        <v>120</v>
      </c>
      <c r="C250" s="282" t="s">
        <v>567</v>
      </c>
      <c r="D250" s="6">
        <f>'Results ReCiPe (H) - HHD'!B470</f>
        <v>1.4907496099019133E-8</v>
      </c>
      <c r="E250" s="6">
        <f>'Results ReCiPe (H) - HHD'!C470</f>
        <v>1.4090857538857629E-8</v>
      </c>
      <c r="F250" s="6">
        <f>'Results ReCiPe (H) - HHD'!D470</f>
        <v>1.3616739030439631E-8</v>
      </c>
      <c r="G250" s="6">
        <f>'Results ReCiPe (H) - HHD'!E470</f>
        <v>1.4907496099019133E-8</v>
      </c>
      <c r="H250" s="6">
        <f>'Results ReCiPe (H) - HHD'!F470</f>
        <v>1.4090857538857629E-8</v>
      </c>
      <c r="I250" s="6">
        <f>'Results ReCiPe (H) - HHD'!G470</f>
        <v>1.3616739030439631E-8</v>
      </c>
      <c r="J250" s="6">
        <f>'Results ReCiPe (H) - HHD'!H470</f>
        <v>1.4907496099019133E-8</v>
      </c>
      <c r="K250" s="6">
        <f>'Results ReCiPe (H) - HHD'!I470</f>
        <v>1.4090857538857629E-8</v>
      </c>
      <c r="L250" s="6">
        <f>'Results ReCiPe (H) - HHD'!J470</f>
        <v>1.3616739030439631E-8</v>
      </c>
      <c r="M250" s="4"/>
    </row>
    <row r="251" spans="1:13" outlineLevel="1" x14ac:dyDescent="0.35">
      <c r="B251" s="282" t="s">
        <v>121</v>
      </c>
      <c r="C251" s="282" t="s">
        <v>567</v>
      </c>
      <c r="D251" s="16">
        <f>AVERAGE('Results - raw data ReCiPe (H)'!$C$186:$AA$186)*0.8</f>
        <v>2.4717202148758308E-5</v>
      </c>
      <c r="E251" s="6">
        <f>AVERAGE('Results - raw data ReCiPe (H)'!$C$192:$AA$192)*0.8</f>
        <v>2.1674808984796608E-5</v>
      </c>
      <c r="F251" s="6">
        <f>AVERAGE('Results - raw data ReCiPe (H)'!$C$198:$AA$198)*0.8</f>
        <v>1.9694483677898109E-5</v>
      </c>
      <c r="G251" s="6">
        <f>AVERAGE('Results - raw data ReCiPe (H)'!$C$186:$AA$186)*0.8</f>
        <v>2.4717202148758308E-5</v>
      </c>
      <c r="H251" s="6">
        <f>AVERAGE('Results - raw data ReCiPe (H)'!$C$192:$AA$192)*0.8</f>
        <v>2.1674808984796608E-5</v>
      </c>
      <c r="I251" s="6">
        <f>AVERAGE('Results - raw data ReCiPe (H)'!$C$198:$AA$198)*0.8</f>
        <v>1.9694483677898109E-5</v>
      </c>
      <c r="J251" s="6">
        <f>AVERAGE('Results - raw data ReCiPe (H)'!$C$186:$AA$186)*0.8*2</f>
        <v>4.9434404297516616E-5</v>
      </c>
      <c r="K251" s="6">
        <f>AVERAGE('Results - raw data ReCiPe (H)'!$C$192:$AA$192)*0.8*2</f>
        <v>4.3349617969593216E-5</v>
      </c>
      <c r="L251" s="6">
        <f>AVERAGE('Results - raw data ReCiPe (H)'!$C$198:$AA$198)*0.8*2</f>
        <v>3.9388967355796218E-5</v>
      </c>
      <c r="M251" s="4"/>
    </row>
    <row r="252" spans="1:13" outlineLevel="1" x14ac:dyDescent="0.35">
      <c r="B252" s="282" t="s">
        <v>797</v>
      </c>
      <c r="C252" s="282" t="s">
        <v>567</v>
      </c>
      <c r="D252" s="6">
        <f>'Results ReCiPe (H) - HHD'!B472</f>
        <v>0</v>
      </c>
      <c r="E252" s="6">
        <f>'Results ReCiPe (H) - HHD'!C472</f>
        <v>0</v>
      </c>
      <c r="F252" s="6">
        <f>'Results ReCiPe (H) - HHD'!D472</f>
        <v>0</v>
      </c>
      <c r="G252" s="6">
        <f>'Results ReCiPe (H) - HHD'!E472</f>
        <v>0</v>
      </c>
      <c r="H252" s="6">
        <f>'Results ReCiPe (H) - HHD'!F472</f>
        <v>0</v>
      </c>
      <c r="I252" s="6">
        <f>'Results ReCiPe (H) - HHD'!G472</f>
        <v>0</v>
      </c>
      <c r="J252" s="6">
        <f>'Results ReCiPe (H) - HHD'!H472</f>
        <v>7.52137686956862E-4</v>
      </c>
      <c r="K252" s="6">
        <f>'Results ReCiPe (H) - HHD'!I472</f>
        <v>7.3397540621486621E-4</v>
      </c>
      <c r="L252" s="6">
        <f>'Results ReCiPe (H) - HHD'!J472</f>
        <v>6.8187832086746847E-4</v>
      </c>
      <c r="M252" s="4"/>
    </row>
    <row r="253" spans="1:13" outlineLevel="1" x14ac:dyDescent="0.35">
      <c r="B253" s="282" t="s">
        <v>122</v>
      </c>
      <c r="C253" s="282" t="s">
        <v>567</v>
      </c>
      <c r="D253" s="6">
        <f>'Results ReCiPe (H) - HHD'!B473</f>
        <v>1.0864615132376188E-3</v>
      </c>
      <c r="E253" s="6">
        <f>'Results ReCiPe (H) - HHD'!C473</f>
        <v>3.1060149197345745E-4</v>
      </c>
      <c r="F253" s="6">
        <f>'Results ReCiPe (H) - HHD'!D473</f>
        <v>1.6993610666151968E-4</v>
      </c>
      <c r="G253" s="6">
        <f>'Results ReCiPe (H) - HHD'!E473</f>
        <v>8.6689461788745366E-4</v>
      </c>
      <c r="H253" s="6">
        <f>'Results ReCiPe (H) - HHD'!F473</f>
        <v>2.7131124935677535E-4</v>
      </c>
      <c r="I253" s="6">
        <f>'Results ReCiPe (H) - HHD'!G473</f>
        <v>1.6210302646538829E-4</v>
      </c>
      <c r="J253" s="6">
        <f>'Results ReCiPe (H) - HHD'!H473</f>
        <v>5.0429260636688296E-4</v>
      </c>
      <c r="K253" s="6">
        <f>'Results ReCiPe (H) - HHD'!I473</f>
        <v>4.6749199485788325E-4</v>
      </c>
      <c r="L253" s="6">
        <f>'Results ReCiPe (H) - HHD'!J473</f>
        <v>4.486261428523726E-4</v>
      </c>
      <c r="M253" s="4"/>
    </row>
    <row r="254" spans="1:13" outlineLevel="1" x14ac:dyDescent="0.35">
      <c r="B254" s="282" t="s">
        <v>123</v>
      </c>
      <c r="C254" s="282" t="s">
        <v>567</v>
      </c>
      <c r="D254" s="6">
        <f>'Results ReCiPe (H) - HHD'!B474</f>
        <v>9.5457509224026042E-5</v>
      </c>
      <c r="E254" s="6">
        <f>'Results ReCiPe (H) - HHD'!C474</f>
        <v>3.6833645004563829E-5</v>
      </c>
      <c r="F254" s="6">
        <f>'Results ReCiPe (H) - HHD'!D474</f>
        <v>2.5964444667500321E-5</v>
      </c>
      <c r="G254" s="6">
        <f>'Results ReCiPe (H) - HHD'!E474</f>
        <v>9.5457509224026042E-5</v>
      </c>
      <c r="H254" s="6">
        <f>'Results ReCiPe (H) - HHD'!F474</f>
        <v>3.6833645004563829E-5</v>
      </c>
      <c r="I254" s="6">
        <f>'Results ReCiPe (H) - HHD'!G474</f>
        <v>2.5964444667500321E-5</v>
      </c>
      <c r="J254" s="6">
        <f>'Results ReCiPe (H) - HHD'!H474</f>
        <v>9.5457509224026042E-5</v>
      </c>
      <c r="K254" s="6">
        <f>'Results ReCiPe (H) - HHD'!I474</f>
        <v>3.6833645004563829E-5</v>
      </c>
      <c r="L254" s="6">
        <f>'Results ReCiPe (H) - HHD'!J474</f>
        <v>2.5964444667500321E-5</v>
      </c>
      <c r="M254" s="4"/>
    </row>
    <row r="255" spans="1:13" outlineLevel="1" x14ac:dyDescent="0.35">
      <c r="B255" s="282" t="s">
        <v>124</v>
      </c>
      <c r="C255" s="282" t="s">
        <v>567</v>
      </c>
      <c r="D255" s="6">
        <f>'Results ReCiPe (H) - HHD'!B475</f>
        <v>-9.279999999999999E-4</v>
      </c>
      <c r="E255" s="6">
        <f>'Results ReCiPe (H) - HHD'!C475</f>
        <v>-9.279999999999999E-4</v>
      </c>
      <c r="F255" s="6">
        <f>'Results ReCiPe (H) - HHD'!D475</f>
        <v>-9.279999999999999E-4</v>
      </c>
      <c r="G255" s="6">
        <f>'Results ReCiPe (H) - HHD'!E475</f>
        <v>-9.279999999999999E-4</v>
      </c>
      <c r="H255" s="6">
        <f>'Results ReCiPe (H) - HHD'!F475</f>
        <v>-9.279999999999999E-4</v>
      </c>
      <c r="I255" s="6">
        <f>'Results ReCiPe (H) - HHD'!G475</f>
        <v>-9.279999999999999E-4</v>
      </c>
      <c r="J255" s="6">
        <f>'Results ReCiPe (H) - HHD'!H475</f>
        <v>-9.279999999999999E-4</v>
      </c>
      <c r="K255" s="6">
        <f>'Results ReCiPe (H) - HHD'!I475</f>
        <v>-9.279999999999999E-4</v>
      </c>
      <c r="L255" s="6">
        <f>'Results ReCiPe (H) - HHD'!J475</f>
        <v>-9.279999999999999E-4</v>
      </c>
      <c r="M255" s="4"/>
    </row>
    <row r="256" spans="1:13" outlineLevel="1" x14ac:dyDescent="0.35">
      <c r="B256" s="282" t="s">
        <v>137</v>
      </c>
      <c r="C256" s="282" t="s">
        <v>567</v>
      </c>
      <c r="D256" s="6">
        <f>SUM(D247:D255)</f>
        <v>3.5004685253034256E-4</v>
      </c>
      <c r="E256" s="6">
        <f t="shared" ref="E256:L256" si="47">SUM(E247:E255)</f>
        <v>-4.9056459856105746E-4</v>
      </c>
      <c r="F256" s="6">
        <f t="shared" si="47"/>
        <v>-6.5040008120357813E-4</v>
      </c>
      <c r="G256" s="6">
        <f t="shared" si="47"/>
        <v>1.3047995718017743E-4</v>
      </c>
      <c r="H256" s="6">
        <f t="shared" si="47"/>
        <v>-5.2985484117773962E-4</v>
      </c>
      <c r="I256" s="6">
        <f t="shared" si="47"/>
        <v>-6.582331613997095E-4</v>
      </c>
      <c r="J256" s="6">
        <f t="shared" si="47"/>
        <v>6.0625418629864098E-4</v>
      </c>
      <c r="K256" s="6">
        <f t="shared" si="47"/>
        <v>4.8067328901071806E-4</v>
      </c>
      <c r="L256" s="6">
        <f t="shared" si="47"/>
        <v>3.8257093467660428E-4</v>
      </c>
      <c r="M256" s="4"/>
    </row>
    <row r="257" spans="1:20" outlineLevel="1" x14ac:dyDescent="0.35">
      <c r="M257" s="4"/>
      <c r="T257" s="282"/>
    </row>
    <row r="258" spans="1:20" x14ac:dyDescent="0.35">
      <c r="A258" s="170" t="s">
        <v>816</v>
      </c>
      <c r="B258" s="4"/>
      <c r="C258" s="4"/>
      <c r="D258" s="4"/>
      <c r="E258" s="4"/>
      <c r="F258" s="4"/>
      <c r="G258" s="4"/>
      <c r="H258" s="4"/>
      <c r="I258" s="4"/>
      <c r="J258" s="4"/>
      <c r="K258" s="4"/>
      <c r="L258" s="4"/>
      <c r="M258" s="4"/>
      <c r="T258" s="282"/>
    </row>
    <row r="259" spans="1:20" outlineLevel="1" x14ac:dyDescent="0.35">
      <c r="A259" s="15">
        <v>0.23</v>
      </c>
      <c r="B259" s="30"/>
      <c r="C259" s="140" t="s">
        <v>180</v>
      </c>
      <c r="D259" s="6" t="s">
        <v>889</v>
      </c>
      <c r="E259" s="6" t="s">
        <v>891</v>
      </c>
      <c r="F259" s="6" t="s">
        <v>890</v>
      </c>
      <c r="G259" s="6" t="s">
        <v>892</v>
      </c>
      <c r="H259" s="6" t="s">
        <v>893</v>
      </c>
      <c r="I259" s="6" t="s">
        <v>894</v>
      </c>
      <c r="J259" s="6" t="s">
        <v>896</v>
      </c>
      <c r="K259" s="6" t="s">
        <v>897</v>
      </c>
      <c r="L259" s="6" t="s">
        <v>895</v>
      </c>
      <c r="M259" s="4"/>
    </row>
    <row r="260" spans="1:20" outlineLevel="1" x14ac:dyDescent="0.35">
      <c r="B260" s="282" t="s">
        <v>117</v>
      </c>
      <c r="C260" s="282" t="s">
        <v>567</v>
      </c>
      <c r="D260" s="6"/>
      <c r="E260" s="6"/>
      <c r="F260" s="6"/>
      <c r="G260" s="6">
        <f>'Results ReCiPe (H) - HHD'!E467</f>
        <v>6.6853280384452626E-5</v>
      </c>
      <c r="H260" s="6">
        <f>'Results ReCiPe (H) - HHD'!F467</f>
        <v>6.4027258518085386E-5</v>
      </c>
      <c r="I260" s="6">
        <f>'Results ReCiPe (H) - HHD'!G467</f>
        <v>5.794571268055849E-5</v>
      </c>
      <c r="J260" s="6"/>
      <c r="K260" s="6"/>
      <c r="L260" s="6"/>
      <c r="M260" s="4"/>
    </row>
    <row r="261" spans="1:20" outlineLevel="1" x14ac:dyDescent="0.35">
      <c r="B261" s="282" t="s">
        <v>118</v>
      </c>
      <c r="C261" s="282" t="s">
        <v>567</v>
      </c>
      <c r="D261" s="6"/>
      <c r="E261" s="6"/>
      <c r="F261" s="6"/>
      <c r="G261" s="6">
        <f>'Results ReCiPe (H) - HHD'!E468</f>
        <v>4.0040114297033507E-6</v>
      </c>
      <c r="H261" s="6">
        <f>'Results ReCiPe (H) - HHD'!F468</f>
        <v>3.8025533906393124E-6</v>
      </c>
      <c r="I261" s="6">
        <f>'Results ReCiPe (H) - HHD'!G468</f>
        <v>3.5909746967405102E-6</v>
      </c>
      <c r="J261" s="6"/>
      <c r="K261" s="6"/>
      <c r="L261" s="6"/>
      <c r="M261" s="4"/>
    </row>
    <row r="262" spans="1:20" outlineLevel="1" x14ac:dyDescent="0.35">
      <c r="B262" s="282" t="s">
        <v>119</v>
      </c>
      <c r="C262" s="282" t="s">
        <v>567</v>
      </c>
      <c r="D262" s="6"/>
      <c r="E262" s="6"/>
      <c r="F262" s="6"/>
      <c r="G262" s="6">
        <f>'Results ReCiPe (H) - HHD'!E469</f>
        <v>5.3842860968435531E-7</v>
      </c>
      <c r="H262" s="6">
        <f>'Results ReCiPe (H) - HHD'!F469</f>
        <v>4.8155270986090666E-7</v>
      </c>
      <c r="I262" s="6">
        <f>'Results ReCiPe (H) - HHD'!G469</f>
        <v>4.5457967317424136E-7</v>
      </c>
      <c r="J262" s="6"/>
      <c r="K262" s="6"/>
      <c r="L262" s="6"/>
      <c r="M262" s="4"/>
    </row>
    <row r="263" spans="1:20" outlineLevel="1" x14ac:dyDescent="0.35">
      <c r="B263" s="282" t="s">
        <v>120</v>
      </c>
      <c r="C263" s="282" t="s">
        <v>567</v>
      </c>
      <c r="D263" s="6"/>
      <c r="E263" s="6"/>
      <c r="F263" s="6"/>
      <c r="G263" s="6">
        <f>'Results ReCiPe (H) - HHD'!E470</f>
        <v>1.4907496099019133E-8</v>
      </c>
      <c r="H263" s="6">
        <f>'Results ReCiPe (H) - HHD'!F470</f>
        <v>1.4090857538857629E-8</v>
      </c>
      <c r="I263" s="6">
        <f>'Results ReCiPe (H) - HHD'!G470</f>
        <v>1.3616739030439631E-8</v>
      </c>
      <c r="J263" s="6"/>
      <c r="K263" s="6"/>
      <c r="L263" s="6"/>
      <c r="M263" s="4"/>
    </row>
    <row r="264" spans="1:20" outlineLevel="1" x14ac:dyDescent="0.35">
      <c r="B264" s="282" t="s">
        <v>121</v>
      </c>
      <c r="C264" s="282" t="s">
        <v>567</v>
      </c>
      <c r="D264" s="6"/>
      <c r="E264" s="6"/>
      <c r="F264" s="6"/>
      <c r="G264" s="6">
        <f>'Results ReCiPe (H) - HHD'!E471</f>
        <v>8.3992169268362136E-6</v>
      </c>
      <c r="H264" s="6">
        <f>'Results ReCiPe (H) - HHD'!F471</f>
        <v>7.2964263088321881E-6</v>
      </c>
      <c r="I264" s="6">
        <f>'Results ReCiPe (H) - HHD'!G471</f>
        <v>6.5857117699468779E-6</v>
      </c>
      <c r="J264" s="6"/>
      <c r="K264" s="6"/>
      <c r="L264" s="6"/>
      <c r="M264" s="4"/>
    </row>
    <row r="265" spans="1:20" outlineLevel="1" x14ac:dyDescent="0.35">
      <c r="B265" s="282" t="s">
        <v>797</v>
      </c>
      <c r="C265" s="282" t="s">
        <v>567</v>
      </c>
      <c r="D265" s="6"/>
      <c r="E265" s="6"/>
      <c r="F265" s="6"/>
      <c r="G265" s="6">
        <f>'Results ReCiPe (H) - HHD'!E472</f>
        <v>0</v>
      </c>
      <c r="H265" s="6">
        <f>'Results ReCiPe (H) - HHD'!F472</f>
        <v>0</v>
      </c>
      <c r="I265" s="6">
        <f>'Results ReCiPe (H) - HHD'!G472</f>
        <v>0</v>
      </c>
      <c r="J265" s="6"/>
      <c r="K265" s="6"/>
      <c r="L265" s="6"/>
      <c r="M265" s="4"/>
    </row>
    <row r="266" spans="1:20" outlineLevel="1" x14ac:dyDescent="0.35">
      <c r="B266" s="282" t="s">
        <v>122</v>
      </c>
      <c r="C266" s="282" t="s">
        <v>567</v>
      </c>
      <c r="D266" s="6"/>
      <c r="E266" s="6"/>
      <c r="F266" s="6"/>
      <c r="G266" s="6">
        <f>'Results ReCiPe (H) - HHD'!E473</f>
        <v>8.6689461788745366E-4</v>
      </c>
      <c r="H266" s="6">
        <f>'Results ReCiPe (H) - HHD'!F473</f>
        <v>2.7131124935677535E-4</v>
      </c>
      <c r="I266" s="6">
        <f>'Results ReCiPe (H) - HHD'!G473</f>
        <v>1.6210302646538829E-4</v>
      </c>
      <c r="J266" s="6"/>
      <c r="K266" s="6"/>
      <c r="L266" s="6"/>
      <c r="M266" s="4"/>
    </row>
    <row r="267" spans="1:20" outlineLevel="1" x14ac:dyDescent="0.35">
      <c r="B267" s="282" t="s">
        <v>123</v>
      </c>
      <c r="C267" s="282" t="s">
        <v>567</v>
      </c>
      <c r="D267" s="6"/>
      <c r="E267" s="6"/>
      <c r="F267" s="6"/>
      <c r="G267" s="6">
        <f>'Results ReCiPe (H) - HHD'!E474</f>
        <v>9.5457509224026042E-5</v>
      </c>
      <c r="H267" s="6">
        <f>'Results ReCiPe (H) - HHD'!F474</f>
        <v>3.6833645004563829E-5</v>
      </c>
      <c r="I267" s="6">
        <f>'Results ReCiPe (H) - HHD'!G474</f>
        <v>2.5964444667500321E-5</v>
      </c>
      <c r="J267" s="6"/>
      <c r="K267" s="6"/>
      <c r="L267" s="6"/>
      <c r="M267" s="4"/>
    </row>
    <row r="268" spans="1:20" outlineLevel="1" x14ac:dyDescent="0.35">
      <c r="B268" s="282" t="s">
        <v>124</v>
      </c>
      <c r="C268" s="282" t="s">
        <v>567</v>
      </c>
      <c r="D268" s="6"/>
      <c r="E268" s="6"/>
      <c r="F268" s="6"/>
      <c r="G268" s="6">
        <f>'Results ReCiPe (H) - HHD'!E475</f>
        <v>-9.279999999999999E-4</v>
      </c>
      <c r="H268" s="6">
        <f>'Results ReCiPe (H) - HHD'!F475</f>
        <v>-9.279999999999999E-4</v>
      </c>
      <c r="I268" s="6">
        <f>'Results ReCiPe (H) - HHD'!G475</f>
        <v>-9.279999999999999E-4</v>
      </c>
      <c r="J268" s="6"/>
      <c r="K268" s="6"/>
      <c r="L268" s="6"/>
      <c r="M268" s="4"/>
    </row>
    <row r="269" spans="1:20" outlineLevel="1" x14ac:dyDescent="0.35">
      <c r="B269" s="282" t="s">
        <v>137</v>
      </c>
      <c r="C269" s="282" t="s">
        <v>567</v>
      </c>
      <c r="D269" s="6"/>
      <c r="E269" s="6"/>
      <c r="F269" s="6"/>
      <c r="G269" s="6">
        <f>SUM(G260:G268)</f>
        <v>1.141619719582553E-4</v>
      </c>
      <c r="H269" s="6">
        <f>SUM(H260:H268)</f>
        <v>-5.4423322385370411E-4</v>
      </c>
      <c r="I269" s="6">
        <f>SUM(I260:I268)</f>
        <v>-6.7134193330766075E-4</v>
      </c>
      <c r="J269" s="6"/>
      <c r="K269" s="6"/>
      <c r="L269" s="6"/>
      <c r="M269" s="4"/>
    </row>
    <row r="270" spans="1:20" outlineLevel="1" x14ac:dyDescent="0.35">
      <c r="M270" s="4"/>
    </row>
    <row r="271" spans="1:20" outlineLevel="1" x14ac:dyDescent="0.35">
      <c r="A271" s="15">
        <v>0.35</v>
      </c>
      <c r="B271" s="30"/>
      <c r="C271" s="140" t="s">
        <v>180</v>
      </c>
      <c r="D271" s="6" t="s">
        <v>889</v>
      </c>
      <c r="E271" s="6" t="s">
        <v>891</v>
      </c>
      <c r="F271" s="6" t="s">
        <v>890</v>
      </c>
      <c r="G271" s="6" t="s">
        <v>892</v>
      </c>
      <c r="H271" s="6" t="s">
        <v>893</v>
      </c>
      <c r="I271" s="6" t="s">
        <v>894</v>
      </c>
      <c r="J271" s="6" t="s">
        <v>896</v>
      </c>
      <c r="K271" s="6" t="s">
        <v>897</v>
      </c>
      <c r="L271" s="6" t="s">
        <v>895</v>
      </c>
      <c r="M271" s="4"/>
    </row>
    <row r="272" spans="1:20" outlineLevel="1" x14ac:dyDescent="0.35">
      <c r="B272" s="282" t="s">
        <v>117</v>
      </c>
      <c r="C272" s="282" t="s">
        <v>567</v>
      </c>
      <c r="D272" s="6"/>
      <c r="E272" s="6"/>
      <c r="F272" s="6"/>
      <c r="G272" s="6">
        <f>'Results ReCiPe (H) - HHD'!E467</f>
        <v>6.6853280384452626E-5</v>
      </c>
      <c r="H272" s="6">
        <f>'Results ReCiPe (H) - HHD'!F467</f>
        <v>6.4027258518085386E-5</v>
      </c>
      <c r="I272" s="6">
        <f>'Results ReCiPe (H) - HHD'!G467</f>
        <v>5.794571268055849E-5</v>
      </c>
      <c r="J272" s="6"/>
      <c r="K272" s="6"/>
      <c r="L272" s="6"/>
      <c r="M272" s="4"/>
    </row>
    <row r="273" spans="1:13" outlineLevel="1" x14ac:dyDescent="0.35">
      <c r="B273" s="282" t="s">
        <v>118</v>
      </c>
      <c r="C273" s="282" t="s">
        <v>567</v>
      </c>
      <c r="D273" s="6"/>
      <c r="E273" s="6"/>
      <c r="F273" s="6"/>
      <c r="G273" s="6">
        <f>'Results ReCiPe (H) - HHD'!E468</f>
        <v>4.0040114297033507E-6</v>
      </c>
      <c r="H273" s="6">
        <f>'Results ReCiPe (H) - HHD'!F468</f>
        <v>3.8025533906393124E-6</v>
      </c>
      <c r="I273" s="6">
        <f>'Results ReCiPe (H) - HHD'!G468</f>
        <v>3.5909746967405102E-6</v>
      </c>
      <c r="J273" s="6"/>
      <c r="K273" s="6"/>
      <c r="L273" s="6"/>
      <c r="M273" s="4"/>
    </row>
    <row r="274" spans="1:13" outlineLevel="1" x14ac:dyDescent="0.35">
      <c r="B274" s="282" t="s">
        <v>119</v>
      </c>
      <c r="C274" s="282" t="s">
        <v>567</v>
      </c>
      <c r="D274" s="6"/>
      <c r="E274" s="6"/>
      <c r="F274" s="6"/>
      <c r="G274" s="6">
        <f>'Results ReCiPe (H) - HHD'!E469</f>
        <v>5.3842860968435531E-7</v>
      </c>
      <c r="H274" s="6">
        <f>'Results ReCiPe (H) - HHD'!F469</f>
        <v>4.8155270986090666E-7</v>
      </c>
      <c r="I274" s="6">
        <f>'Results ReCiPe (H) - HHD'!G469</f>
        <v>4.5457967317424136E-7</v>
      </c>
      <c r="J274" s="6"/>
      <c r="K274" s="6"/>
      <c r="L274" s="6"/>
      <c r="M274" s="4"/>
    </row>
    <row r="275" spans="1:13" outlineLevel="1" x14ac:dyDescent="0.35">
      <c r="B275" s="282" t="s">
        <v>120</v>
      </c>
      <c r="C275" s="282" t="s">
        <v>567</v>
      </c>
      <c r="D275" s="6"/>
      <c r="E275" s="6"/>
      <c r="F275" s="6"/>
      <c r="G275" s="6">
        <f>'Results ReCiPe (H) - HHD'!E470</f>
        <v>1.4907496099019133E-8</v>
      </c>
      <c r="H275" s="6">
        <f>'Results ReCiPe (H) - HHD'!F470</f>
        <v>1.4090857538857629E-8</v>
      </c>
      <c r="I275" s="6">
        <f>'Results ReCiPe (H) - HHD'!G470</f>
        <v>1.3616739030439631E-8</v>
      </c>
      <c r="J275" s="6"/>
      <c r="K275" s="6"/>
      <c r="L275" s="6"/>
      <c r="M275" s="4"/>
    </row>
    <row r="276" spans="1:13" outlineLevel="1" x14ac:dyDescent="0.35">
      <c r="B276" s="282" t="s">
        <v>121</v>
      </c>
      <c r="C276" s="282" t="s">
        <v>567</v>
      </c>
      <c r="D276" s="6"/>
      <c r="E276" s="6"/>
      <c r="F276" s="6"/>
      <c r="G276" s="6">
        <f>'Results ReCiPe (H) - HHD'!E471</f>
        <v>8.3992169268362136E-6</v>
      </c>
      <c r="H276" s="6">
        <f>'Results ReCiPe (H) - HHD'!F471</f>
        <v>7.2964263088321881E-6</v>
      </c>
      <c r="I276" s="6">
        <f>'Results ReCiPe (H) - HHD'!G471</f>
        <v>6.5857117699468779E-6</v>
      </c>
      <c r="J276" s="6"/>
      <c r="K276" s="6"/>
      <c r="L276" s="6"/>
      <c r="M276" s="4"/>
    </row>
    <row r="277" spans="1:13" outlineLevel="1" x14ac:dyDescent="0.35">
      <c r="B277" s="282" t="s">
        <v>797</v>
      </c>
      <c r="C277" s="282" t="s">
        <v>567</v>
      </c>
      <c r="D277" s="6"/>
      <c r="E277" s="6"/>
      <c r="F277" s="6"/>
      <c r="G277" s="6">
        <f>'Results ReCiPe (H) - HHD'!E472</f>
        <v>0</v>
      </c>
      <c r="H277" s="6">
        <f>'Results ReCiPe (H) - HHD'!F472</f>
        <v>0</v>
      </c>
      <c r="I277" s="6">
        <f>'Results ReCiPe (H) - HHD'!G472</f>
        <v>0</v>
      </c>
      <c r="J277" s="6"/>
      <c r="K277" s="6"/>
      <c r="L277" s="6"/>
      <c r="M277" s="4"/>
    </row>
    <row r="278" spans="1:13" outlineLevel="1" x14ac:dyDescent="0.35">
      <c r="B278" s="282" t="s">
        <v>122</v>
      </c>
      <c r="C278" s="282" t="s">
        <v>567</v>
      </c>
      <c r="D278" s="6"/>
      <c r="E278" s="6"/>
      <c r="F278" s="6"/>
      <c r="G278" s="16">
        <f>1500*(0.35*AVERAGE('Results - raw data ReCiPe (H)'!$C$114:$AA$114)+0.65*AVERAGE('Results - raw data ReCiPe (H)'!$C$115:$AA$115))</f>
        <v>7.7002764443473957E-4</v>
      </c>
      <c r="H278" s="16">
        <f>1500*(0.35*AVERAGE('Results - raw data ReCiPe (H)'!$C$121:$AA$121)+0.65*AVERAGE('Results - raw data ReCiPe (H)'!$C$122:$AA$122))</f>
        <v>2.6447238525529926E-4</v>
      </c>
      <c r="I278" s="16">
        <f>1500*(0.35*AVERAGE('Results - raw data ReCiPe (H)'!$C$128:$AA$128)+0.65*AVERAGE('Results - raw data ReCiPe (H)'!$C$129:$AA$129))</f>
        <v>1.7085329080567614E-4</v>
      </c>
      <c r="J278" s="6"/>
      <c r="K278" s="6"/>
      <c r="L278" s="6"/>
      <c r="M278" s="4"/>
    </row>
    <row r="279" spans="1:13" outlineLevel="1" x14ac:dyDescent="0.35">
      <c r="B279" s="282" t="s">
        <v>123</v>
      </c>
      <c r="C279" s="282" t="s">
        <v>567</v>
      </c>
      <c r="D279" s="6"/>
      <c r="E279" s="6"/>
      <c r="F279" s="6"/>
      <c r="G279" s="6">
        <f>'Results ReCiPe (H) - HHD'!E474</f>
        <v>9.5457509224026042E-5</v>
      </c>
      <c r="H279" s="6">
        <f>'Results ReCiPe (H) - HHD'!F474</f>
        <v>3.6833645004563829E-5</v>
      </c>
      <c r="I279" s="6">
        <f>'Results ReCiPe (H) - HHD'!G474</f>
        <v>2.5964444667500321E-5</v>
      </c>
      <c r="J279" s="6"/>
      <c r="K279" s="6"/>
      <c r="L279" s="6"/>
      <c r="M279" s="4"/>
    </row>
    <row r="280" spans="1:13" outlineLevel="1" x14ac:dyDescent="0.35">
      <c r="B280" s="282" t="s">
        <v>124</v>
      </c>
      <c r="C280" s="282" t="s">
        <v>567</v>
      </c>
      <c r="D280" s="6"/>
      <c r="E280" s="6"/>
      <c r="F280" s="6"/>
      <c r="G280" s="6">
        <f>'Results ReCiPe (H) - HHD'!E475</f>
        <v>-9.279999999999999E-4</v>
      </c>
      <c r="H280" s="6">
        <f>'Results ReCiPe (H) - HHD'!F475</f>
        <v>-9.279999999999999E-4</v>
      </c>
      <c r="I280" s="6">
        <f>'Results ReCiPe (H) - HHD'!G475</f>
        <v>-9.279999999999999E-4</v>
      </c>
      <c r="J280" s="6"/>
      <c r="K280" s="6"/>
      <c r="L280" s="6"/>
      <c r="M280" s="4"/>
    </row>
    <row r="281" spans="1:13" outlineLevel="1" x14ac:dyDescent="0.35">
      <c r="B281" s="282" t="s">
        <v>137</v>
      </c>
      <c r="C281" s="282" t="s">
        <v>567</v>
      </c>
      <c r="D281" s="6"/>
      <c r="E281" s="6"/>
      <c r="F281" s="6"/>
      <c r="G281" s="6">
        <f>SUM(G272:G280)</f>
        <v>1.7294998505541326E-5</v>
      </c>
      <c r="H281" s="6">
        <f>SUM(H272:H280)</f>
        <v>-5.5107208795518014E-4</v>
      </c>
      <c r="I281" s="6">
        <f>SUM(I272:I280)</f>
        <v>-6.6259166896737295E-4</v>
      </c>
      <c r="J281" s="6"/>
      <c r="K281" s="6"/>
      <c r="L281" s="6"/>
      <c r="M281" s="4"/>
    </row>
    <row r="282" spans="1:13" outlineLevel="1" x14ac:dyDescent="0.35">
      <c r="M282" s="4"/>
    </row>
    <row r="283" spans="1:13" outlineLevel="1" x14ac:dyDescent="0.35">
      <c r="A283" s="15">
        <v>0.45</v>
      </c>
      <c r="C283" s="140" t="s">
        <v>180</v>
      </c>
      <c r="D283" s="6" t="s">
        <v>889</v>
      </c>
      <c r="E283" s="6" t="s">
        <v>891</v>
      </c>
      <c r="F283" s="6" t="s">
        <v>890</v>
      </c>
      <c r="G283" s="6" t="s">
        <v>892</v>
      </c>
      <c r="H283" s="6" t="s">
        <v>893</v>
      </c>
      <c r="I283" s="6" t="s">
        <v>894</v>
      </c>
      <c r="J283" s="6" t="s">
        <v>896</v>
      </c>
      <c r="K283" s="6" t="s">
        <v>897</v>
      </c>
      <c r="L283" s="6" t="s">
        <v>895</v>
      </c>
      <c r="M283" s="4"/>
    </row>
    <row r="284" spans="1:13" outlineLevel="1" x14ac:dyDescent="0.35">
      <c r="B284" s="282" t="s">
        <v>117</v>
      </c>
      <c r="C284" s="282" t="s">
        <v>567</v>
      </c>
      <c r="D284" s="6"/>
      <c r="E284" s="6"/>
      <c r="F284" s="6"/>
      <c r="G284" s="6">
        <f>'Results ReCiPe (H) - HHD'!E467</f>
        <v>6.6853280384452626E-5</v>
      </c>
      <c r="H284" s="6">
        <f>'Results ReCiPe (H) - HHD'!F467</f>
        <v>6.4027258518085386E-5</v>
      </c>
      <c r="I284" s="6">
        <f>'Results ReCiPe (H) - HHD'!G467</f>
        <v>5.794571268055849E-5</v>
      </c>
      <c r="J284" s="6"/>
      <c r="K284" s="6"/>
      <c r="L284" s="6"/>
      <c r="M284" s="4"/>
    </row>
    <row r="285" spans="1:13" outlineLevel="1" x14ac:dyDescent="0.35">
      <c r="B285" s="282" t="s">
        <v>118</v>
      </c>
      <c r="C285" s="282" t="s">
        <v>567</v>
      </c>
      <c r="D285" s="6"/>
      <c r="E285" s="6"/>
      <c r="F285" s="6"/>
      <c r="G285" s="6">
        <f>'Results ReCiPe (H) - HHD'!E468</f>
        <v>4.0040114297033507E-6</v>
      </c>
      <c r="H285" s="6">
        <f>'Results ReCiPe (H) - HHD'!F468</f>
        <v>3.8025533906393124E-6</v>
      </c>
      <c r="I285" s="6">
        <f>'Results ReCiPe (H) - HHD'!G468</f>
        <v>3.5909746967405102E-6</v>
      </c>
      <c r="J285" s="6"/>
      <c r="K285" s="6"/>
      <c r="L285" s="6"/>
      <c r="M285" s="4"/>
    </row>
    <row r="286" spans="1:13" outlineLevel="1" x14ac:dyDescent="0.35">
      <c r="B286" s="282" t="s">
        <v>119</v>
      </c>
      <c r="C286" s="282" t="s">
        <v>567</v>
      </c>
      <c r="D286" s="6"/>
      <c r="E286" s="6"/>
      <c r="F286" s="6"/>
      <c r="G286" s="6">
        <f>'Results ReCiPe (H) - HHD'!E469</f>
        <v>5.3842860968435531E-7</v>
      </c>
      <c r="H286" s="6">
        <f>'Results ReCiPe (H) - HHD'!F469</f>
        <v>4.8155270986090666E-7</v>
      </c>
      <c r="I286" s="6">
        <f>'Results ReCiPe (H) - HHD'!G469</f>
        <v>4.5457967317424136E-7</v>
      </c>
      <c r="J286" s="6"/>
      <c r="K286" s="6"/>
      <c r="L286" s="6"/>
      <c r="M286" s="4"/>
    </row>
    <row r="287" spans="1:13" outlineLevel="1" x14ac:dyDescent="0.35">
      <c r="B287" s="282" t="s">
        <v>120</v>
      </c>
      <c r="C287" s="282" t="s">
        <v>567</v>
      </c>
      <c r="D287" s="6"/>
      <c r="E287" s="6"/>
      <c r="F287" s="6"/>
      <c r="G287" s="6">
        <f>'Results ReCiPe (H) - HHD'!E470</f>
        <v>1.4907496099019133E-8</v>
      </c>
      <c r="H287" s="6">
        <f>'Results ReCiPe (H) - HHD'!F470</f>
        <v>1.4090857538857629E-8</v>
      </c>
      <c r="I287" s="6">
        <f>'Results ReCiPe (H) - HHD'!G470</f>
        <v>1.3616739030439631E-8</v>
      </c>
      <c r="J287" s="6"/>
      <c r="K287" s="6"/>
      <c r="L287" s="6"/>
      <c r="M287" s="4"/>
    </row>
    <row r="288" spans="1:13" outlineLevel="1" x14ac:dyDescent="0.35">
      <c r="B288" s="282" t="s">
        <v>121</v>
      </c>
      <c r="C288" s="282" t="s">
        <v>567</v>
      </c>
      <c r="D288" s="6"/>
      <c r="E288" s="6"/>
      <c r="F288" s="6"/>
      <c r="G288" s="6">
        <f>'Results ReCiPe (H) - HHD'!E471</f>
        <v>8.3992169268362136E-6</v>
      </c>
      <c r="H288" s="6">
        <f>'Results ReCiPe (H) - HHD'!F471</f>
        <v>7.2964263088321881E-6</v>
      </c>
      <c r="I288" s="6">
        <f>'Results ReCiPe (H) - HHD'!G471</f>
        <v>6.5857117699468779E-6</v>
      </c>
      <c r="J288" s="6"/>
      <c r="K288" s="6"/>
      <c r="L288" s="6"/>
      <c r="M288" s="4"/>
    </row>
    <row r="289" spans="1:20" outlineLevel="1" x14ac:dyDescent="0.35">
      <c r="B289" s="282" t="s">
        <v>797</v>
      </c>
      <c r="C289" s="282" t="s">
        <v>567</v>
      </c>
      <c r="D289" s="6"/>
      <c r="E289" s="6"/>
      <c r="F289" s="6"/>
      <c r="G289" s="6">
        <f>'Results ReCiPe (H) - HHD'!E472</f>
        <v>0</v>
      </c>
      <c r="H289" s="6">
        <f>'Results ReCiPe (H) - HHD'!F472</f>
        <v>0</v>
      </c>
      <c r="I289" s="6">
        <f>'Results ReCiPe (H) - HHD'!G472</f>
        <v>0</v>
      </c>
      <c r="J289" s="6"/>
      <c r="K289" s="6"/>
      <c r="L289" s="6"/>
      <c r="M289" s="4"/>
    </row>
    <row r="290" spans="1:20" outlineLevel="1" x14ac:dyDescent="0.35">
      <c r="B290" s="282" t="s">
        <v>122</v>
      </c>
      <c r="C290" s="282" t="s">
        <v>567</v>
      </c>
      <c r="D290" s="6"/>
      <c r="E290" s="6"/>
      <c r="F290" s="6"/>
      <c r="G290" s="16">
        <f>1500*(0.45*AVERAGE('Results - raw data ReCiPe (H)'!$C$114:$AA$114)+0.55*AVERAGE('Results - raw data ReCiPe (H)'!$C$115:$AA$115))</f>
        <v>6.8930516655747785E-4</v>
      </c>
      <c r="H290" s="16">
        <f>1500*(0.45*AVERAGE('Results - raw data ReCiPe (H)'!$C$121:$AA$121)+0.55*AVERAGE('Results - raw data ReCiPe (H)'!$C$122:$AA$122))</f>
        <v>2.5877333183740251E-4</v>
      </c>
      <c r="I290" s="16">
        <f>1500*(0.45*AVERAGE('Results - raw data ReCiPe (H)'!$C$128:$AA$128)+0.55*AVERAGE('Results - raw data ReCiPe (H)'!$C$129:$AA$129))</f>
        <v>1.7814517775591602E-4</v>
      </c>
      <c r="J290" s="6"/>
      <c r="K290" s="6"/>
      <c r="L290" s="6"/>
      <c r="M290" s="4"/>
    </row>
    <row r="291" spans="1:20" outlineLevel="1" x14ac:dyDescent="0.35">
      <c r="B291" s="282" t="s">
        <v>123</v>
      </c>
      <c r="C291" s="282" t="s">
        <v>567</v>
      </c>
      <c r="D291" s="6"/>
      <c r="E291" s="6"/>
      <c r="F291" s="6"/>
      <c r="G291" s="6">
        <f>'Results ReCiPe (H) - HHD'!E474</f>
        <v>9.5457509224026042E-5</v>
      </c>
      <c r="H291" s="6">
        <f>'Results ReCiPe (H) - HHD'!F474</f>
        <v>3.6833645004563829E-5</v>
      </c>
      <c r="I291" s="6">
        <f>'Results ReCiPe (H) - HHD'!G474</f>
        <v>2.5964444667500321E-5</v>
      </c>
      <c r="J291" s="6"/>
      <c r="K291" s="6"/>
      <c r="L291" s="6"/>
      <c r="M291" s="4"/>
    </row>
    <row r="292" spans="1:20" outlineLevel="1" x14ac:dyDescent="0.35">
      <c r="B292" s="282" t="s">
        <v>124</v>
      </c>
      <c r="C292" s="282" t="s">
        <v>567</v>
      </c>
      <c r="D292" s="6"/>
      <c r="E292" s="6"/>
      <c r="F292" s="6"/>
      <c r="G292" s="6">
        <f>'Results ReCiPe (H) - HHD'!E475</f>
        <v>-9.279999999999999E-4</v>
      </c>
      <c r="H292" s="6">
        <f>'Results ReCiPe (H) - HHD'!F475</f>
        <v>-9.279999999999999E-4</v>
      </c>
      <c r="I292" s="6">
        <f>'Results ReCiPe (H) - HHD'!G475</f>
        <v>-9.279999999999999E-4</v>
      </c>
      <c r="J292" s="6"/>
      <c r="K292" s="6"/>
      <c r="L292" s="6"/>
      <c r="M292" s="4"/>
    </row>
    <row r="293" spans="1:20" outlineLevel="1" x14ac:dyDescent="0.35">
      <c r="B293" s="282" t="s">
        <v>137</v>
      </c>
      <c r="C293" s="282" t="s">
        <v>567</v>
      </c>
      <c r="D293" s="6"/>
      <c r="E293" s="6"/>
      <c r="F293" s="6"/>
      <c r="G293" s="6">
        <f>SUM(G284:G292)</f>
        <v>-6.3427479371720393E-5</v>
      </c>
      <c r="H293" s="6">
        <f>SUM(H284:H292)</f>
        <v>-5.5677114137307683E-4</v>
      </c>
      <c r="I293" s="6">
        <f>SUM(I284:I292)</f>
        <v>-6.5529978201713294E-4</v>
      </c>
      <c r="J293" s="6"/>
      <c r="K293" s="6"/>
      <c r="L293" s="6"/>
      <c r="M293" s="4"/>
    </row>
    <row r="294" spans="1:20" x14ac:dyDescent="0.35">
      <c r="M294" s="4"/>
    </row>
    <row r="295" spans="1:20" x14ac:dyDescent="0.35">
      <c r="A295" s="170" t="s">
        <v>818</v>
      </c>
      <c r="B295" s="4"/>
      <c r="C295" s="4"/>
      <c r="D295" s="4"/>
      <c r="E295" s="4"/>
      <c r="F295" s="4"/>
      <c r="G295" s="4"/>
      <c r="H295" s="4"/>
      <c r="I295" s="4"/>
      <c r="J295" s="4"/>
      <c r="K295" s="4"/>
      <c r="L295" s="4"/>
      <c r="M295" s="4"/>
      <c r="T295" s="282"/>
    </row>
    <row r="296" spans="1:20" outlineLevel="1" x14ac:dyDescent="0.35">
      <c r="A296" s="15" t="s">
        <v>822</v>
      </c>
      <c r="B296" s="30"/>
      <c r="C296" s="140" t="s">
        <v>180</v>
      </c>
      <c r="J296" s="6" t="s">
        <v>896</v>
      </c>
      <c r="K296" s="6" t="s">
        <v>897</v>
      </c>
      <c r="L296" s="6" t="s">
        <v>895</v>
      </c>
      <c r="M296" s="4"/>
      <c r="T296" s="282"/>
    </row>
    <row r="297" spans="1:20" outlineLevel="1" x14ac:dyDescent="0.35">
      <c r="B297" s="6" t="s">
        <v>117</v>
      </c>
      <c r="C297" s="282" t="s">
        <v>567</v>
      </c>
      <c r="J297" s="6">
        <v>1.2783620330818223E-4</v>
      </c>
      <c r="K297" s="6">
        <v>1.2224287529591124E-4</v>
      </c>
      <c r="L297" s="6">
        <v>1.1019930815134711E-4</v>
      </c>
      <c r="M297" s="4"/>
      <c r="T297" s="282"/>
    </row>
    <row r="298" spans="1:20" outlineLevel="1" x14ac:dyDescent="0.35">
      <c r="B298" s="6" t="s">
        <v>118</v>
      </c>
      <c r="C298" s="282" t="s">
        <v>567</v>
      </c>
      <c r="J298" s="6">
        <v>4.0040114297033507E-6</v>
      </c>
      <c r="K298" s="6">
        <v>3.8025533906393124E-6</v>
      </c>
      <c r="L298" s="6">
        <v>3.5909746967405102E-6</v>
      </c>
      <c r="M298" s="4"/>
      <c r="T298" s="282"/>
    </row>
    <row r="299" spans="1:20" outlineLevel="1" x14ac:dyDescent="0.35">
      <c r="B299" s="6" t="s">
        <v>119</v>
      </c>
      <c r="C299" s="282" t="s">
        <v>567</v>
      </c>
      <c r="J299" s="6">
        <v>1.0768572193687106E-6</v>
      </c>
      <c r="K299" s="6">
        <v>9.6310541972181332E-7</v>
      </c>
      <c r="L299" s="6">
        <v>9.0915934634848273E-7</v>
      </c>
      <c r="M299" s="4"/>
      <c r="T299" s="282"/>
    </row>
    <row r="300" spans="1:20" outlineLevel="1" x14ac:dyDescent="0.35">
      <c r="B300" s="6" t="s">
        <v>120</v>
      </c>
      <c r="C300" s="282" t="s">
        <v>567</v>
      </c>
      <c r="J300" s="6">
        <v>1.4907496099019133E-8</v>
      </c>
      <c r="K300" s="6">
        <v>1.4090857538857629E-8</v>
      </c>
      <c r="L300" s="6">
        <v>1.3616739030439631E-8</v>
      </c>
      <c r="M300" s="4"/>
      <c r="T300" s="282"/>
    </row>
    <row r="301" spans="1:20" outlineLevel="1" x14ac:dyDescent="0.35">
      <c r="B301" s="6" t="s">
        <v>121</v>
      </c>
      <c r="C301" s="282" t="s">
        <v>567</v>
      </c>
      <c r="J301" s="6">
        <v>1.6798433853672427E-5</v>
      </c>
      <c r="K301" s="6">
        <v>1.4592852617664376E-5</v>
      </c>
      <c r="L301" s="6">
        <v>1.3171423539893756E-5</v>
      </c>
      <c r="M301" s="4"/>
      <c r="T301" s="282"/>
    </row>
    <row r="302" spans="1:20" outlineLevel="1" x14ac:dyDescent="0.35">
      <c r="B302" s="6" t="s">
        <v>800</v>
      </c>
      <c r="C302" s="282" t="s">
        <v>567</v>
      </c>
      <c r="J302" s="6">
        <v>7.52137686956862E-4</v>
      </c>
      <c r="K302" s="6">
        <v>7.3397540621486621E-4</v>
      </c>
      <c r="L302" s="6">
        <v>6.8187832086746847E-4</v>
      </c>
      <c r="M302" s="4"/>
      <c r="T302" s="282"/>
    </row>
    <row r="303" spans="1:20" outlineLevel="1" x14ac:dyDescent="0.35">
      <c r="B303" s="6" t="s">
        <v>122</v>
      </c>
      <c r="C303" s="282" t="s">
        <v>567</v>
      </c>
      <c r="J303" s="6">
        <v>5.0429260636688296E-4</v>
      </c>
      <c r="K303" s="6">
        <v>4.6749199485788325E-4</v>
      </c>
      <c r="L303" s="6">
        <v>4.486261428523726E-4</v>
      </c>
      <c r="M303" s="4"/>
      <c r="T303" s="282"/>
    </row>
    <row r="304" spans="1:20" outlineLevel="1" x14ac:dyDescent="0.35">
      <c r="B304" s="6" t="s">
        <v>123</v>
      </c>
      <c r="C304" s="282" t="s">
        <v>567</v>
      </c>
      <c r="J304" s="6">
        <v>9.5457509224026042E-5</v>
      </c>
      <c r="K304" s="6">
        <v>3.6833645004563829E-5</v>
      </c>
      <c r="L304" s="6">
        <v>2.5964444667500321E-5</v>
      </c>
      <c r="M304" s="4"/>
      <c r="T304" s="282"/>
    </row>
    <row r="305" spans="1:20" outlineLevel="1" x14ac:dyDescent="0.35">
      <c r="B305" s="6" t="s">
        <v>124</v>
      </c>
      <c r="C305" s="282" t="s">
        <v>567</v>
      </c>
      <c r="J305" s="6">
        <v>-9.279999999999999E-4</v>
      </c>
      <c r="K305" s="6">
        <v>-9.279999999999999E-4</v>
      </c>
      <c r="L305" s="6">
        <v>-9.279999999999999E-4</v>
      </c>
      <c r="M305" s="4"/>
      <c r="T305" s="282"/>
    </row>
    <row r="306" spans="1:20" outlineLevel="1" x14ac:dyDescent="0.35">
      <c r="B306" s="6" t="s">
        <v>137</v>
      </c>
      <c r="C306" s="282" t="s">
        <v>567</v>
      </c>
      <c r="J306" s="6">
        <v>5.7361821585479695E-4</v>
      </c>
      <c r="K306" s="6">
        <v>4.5191652365878887E-4</v>
      </c>
      <c r="L306" s="6">
        <v>3.5635339086070183E-4</v>
      </c>
      <c r="M306" s="4"/>
      <c r="T306" s="282"/>
    </row>
    <row r="307" spans="1:20" outlineLevel="1" x14ac:dyDescent="0.35">
      <c r="M307" s="4"/>
      <c r="T307" s="282"/>
    </row>
    <row r="308" spans="1:20" outlineLevel="1" x14ac:dyDescent="0.35">
      <c r="A308" s="15" t="s">
        <v>819</v>
      </c>
      <c r="B308" s="30"/>
      <c r="C308" s="140" t="s">
        <v>180</v>
      </c>
      <c r="J308" s="6" t="s">
        <v>896</v>
      </c>
      <c r="K308" s="6" t="s">
        <v>897</v>
      </c>
      <c r="L308" s="6" t="s">
        <v>895</v>
      </c>
      <c r="M308" s="4"/>
      <c r="T308" s="282"/>
    </row>
    <row r="309" spans="1:20" outlineLevel="1" x14ac:dyDescent="0.35">
      <c r="B309" s="6" t="s">
        <v>117</v>
      </c>
      <c r="C309" s="282" t="s">
        <v>567</v>
      </c>
      <c r="J309" s="6">
        <v>1.2783620330818223E-4</v>
      </c>
      <c r="K309" s="6">
        <v>1.2224287529591124E-4</v>
      </c>
      <c r="L309" s="6">
        <v>1.1019930815134711E-4</v>
      </c>
      <c r="M309" s="4"/>
      <c r="T309" s="282"/>
    </row>
    <row r="310" spans="1:20" outlineLevel="1" x14ac:dyDescent="0.35">
      <c r="B310" s="6" t="s">
        <v>118</v>
      </c>
      <c r="C310" s="282" t="s">
        <v>567</v>
      </c>
      <c r="J310" s="6">
        <v>4.0040114297033507E-6</v>
      </c>
      <c r="K310" s="6">
        <v>3.8025533906393124E-6</v>
      </c>
      <c r="L310" s="6">
        <v>3.5909746967405102E-6</v>
      </c>
      <c r="M310" s="4"/>
      <c r="T310" s="282"/>
    </row>
    <row r="311" spans="1:20" outlineLevel="1" x14ac:dyDescent="0.35">
      <c r="B311" s="6" t="s">
        <v>119</v>
      </c>
      <c r="C311" s="282" t="s">
        <v>567</v>
      </c>
      <c r="J311" s="6">
        <v>1.0768572193687106E-6</v>
      </c>
      <c r="K311" s="6">
        <v>9.6310541972181332E-7</v>
      </c>
      <c r="L311" s="6">
        <v>9.0915934634848273E-7</v>
      </c>
      <c r="M311" s="4"/>
      <c r="T311" s="282"/>
    </row>
    <row r="312" spans="1:20" outlineLevel="1" x14ac:dyDescent="0.35">
      <c r="B312" s="6" t="s">
        <v>120</v>
      </c>
      <c r="C312" s="282" t="s">
        <v>567</v>
      </c>
      <c r="J312" s="6">
        <v>1.4907496099019133E-8</v>
      </c>
      <c r="K312" s="6">
        <v>1.4090857538857629E-8</v>
      </c>
      <c r="L312" s="6">
        <v>1.3616739030439631E-8</v>
      </c>
      <c r="M312" s="4"/>
      <c r="T312" s="282"/>
    </row>
    <row r="313" spans="1:20" outlineLevel="1" x14ac:dyDescent="0.35">
      <c r="B313" s="6" t="s">
        <v>121</v>
      </c>
      <c r="C313" s="282" t="s">
        <v>567</v>
      </c>
      <c r="J313" s="6">
        <v>1.6798433853672427E-5</v>
      </c>
      <c r="K313" s="6">
        <v>1.4592852617664376E-5</v>
      </c>
      <c r="L313" s="6">
        <v>1.3171423539893756E-5</v>
      </c>
      <c r="M313" s="4"/>
      <c r="T313" s="282"/>
    </row>
    <row r="314" spans="1:20" outlineLevel="1" x14ac:dyDescent="0.35">
      <c r="B314" s="6" t="s">
        <v>800</v>
      </c>
      <c r="C314" s="282" t="s">
        <v>567</v>
      </c>
      <c r="J314" s="6">
        <v>7.52137686956862E-4</v>
      </c>
      <c r="K314" s="6">
        <v>7.3397540621486621E-4</v>
      </c>
      <c r="L314" s="6">
        <v>6.8187832086746847E-4</v>
      </c>
      <c r="M314" s="4"/>
      <c r="T314" s="282"/>
    </row>
    <row r="315" spans="1:20" outlineLevel="1" x14ac:dyDescent="0.35">
      <c r="B315" s="6" t="s">
        <v>122</v>
      </c>
      <c r="C315" s="282" t="s">
        <v>567</v>
      </c>
      <c r="J315" s="6">
        <v>2.5214630318344148E-4</v>
      </c>
      <c r="K315" s="6">
        <v>2.3374599742894162E-4</v>
      </c>
      <c r="L315" s="6">
        <v>2.243130714261863E-4</v>
      </c>
      <c r="M315" s="4"/>
      <c r="T315" s="282"/>
    </row>
    <row r="316" spans="1:20" outlineLevel="1" x14ac:dyDescent="0.35">
      <c r="B316" s="6" t="s">
        <v>123</v>
      </c>
      <c r="C316" s="282" t="s">
        <v>567</v>
      </c>
      <c r="J316" s="6">
        <v>9.5457509224026042E-5</v>
      </c>
      <c r="K316" s="6">
        <v>3.6833645004563829E-5</v>
      </c>
      <c r="L316" s="6">
        <v>2.5964444667500321E-5</v>
      </c>
      <c r="M316" s="4"/>
      <c r="T316" s="282"/>
    </row>
    <row r="317" spans="1:20" outlineLevel="1" x14ac:dyDescent="0.35">
      <c r="B317" s="6" t="s">
        <v>124</v>
      </c>
      <c r="C317" s="282" t="s">
        <v>567</v>
      </c>
      <c r="J317" s="6">
        <v>-9.279999999999999E-4</v>
      </c>
      <c r="K317" s="6">
        <v>-9.279999999999999E-4</v>
      </c>
      <c r="L317" s="6">
        <v>-9.279999999999999E-4</v>
      </c>
      <c r="M317" s="4"/>
      <c r="T317" s="282"/>
    </row>
    <row r="318" spans="1:20" outlineLevel="1" x14ac:dyDescent="0.35">
      <c r="B318" s="6" t="s">
        <v>137</v>
      </c>
      <c r="C318" s="282" t="s">
        <v>567</v>
      </c>
      <c r="J318" s="6">
        <v>3.2147191267135541E-4</v>
      </c>
      <c r="K318" s="6">
        <v>2.1817052622984733E-4</v>
      </c>
      <c r="L318" s="6">
        <v>1.320403194345155E-4</v>
      </c>
      <c r="M318" s="4"/>
      <c r="T318" s="282"/>
    </row>
    <row r="319" spans="1:20" outlineLevel="1" x14ac:dyDescent="0.35">
      <c r="M319" s="4"/>
      <c r="T319" s="282"/>
    </row>
    <row r="320" spans="1:20" outlineLevel="1" x14ac:dyDescent="0.35">
      <c r="A320" s="15" t="s">
        <v>823</v>
      </c>
      <c r="B320" s="30"/>
      <c r="C320" s="140" t="s">
        <v>180</v>
      </c>
      <c r="J320" s="6" t="s">
        <v>896</v>
      </c>
      <c r="K320" s="6" t="s">
        <v>897</v>
      </c>
      <c r="L320" s="6" t="s">
        <v>895</v>
      </c>
      <c r="M320" s="4"/>
      <c r="T320" s="282"/>
    </row>
    <row r="321" spans="1:20" outlineLevel="1" x14ac:dyDescent="0.35">
      <c r="B321" s="6" t="s">
        <v>117</v>
      </c>
      <c r="C321" s="282" t="s">
        <v>567</v>
      </c>
      <c r="J321" s="6">
        <v>1.2783620330818223E-4</v>
      </c>
      <c r="K321" s="6">
        <v>1.2224287529591124E-4</v>
      </c>
      <c r="L321" s="6">
        <v>1.1019930815134711E-4</v>
      </c>
      <c r="M321" s="4"/>
      <c r="T321" s="282"/>
    </row>
    <row r="322" spans="1:20" outlineLevel="1" x14ac:dyDescent="0.35">
      <c r="B322" s="6" t="s">
        <v>118</v>
      </c>
      <c r="C322" s="282" t="s">
        <v>567</v>
      </c>
      <c r="J322" s="6">
        <v>4.0040114297033507E-6</v>
      </c>
      <c r="K322" s="6">
        <v>3.8025533906393124E-6</v>
      </c>
      <c r="L322" s="6">
        <v>3.5909746967405102E-6</v>
      </c>
      <c r="M322" s="4"/>
      <c r="T322" s="282"/>
    </row>
    <row r="323" spans="1:20" outlineLevel="1" x14ac:dyDescent="0.35">
      <c r="B323" s="6" t="s">
        <v>119</v>
      </c>
      <c r="C323" s="282" t="s">
        <v>567</v>
      </c>
      <c r="J323" s="6">
        <v>1.0768572193687106E-6</v>
      </c>
      <c r="K323" s="6">
        <v>9.6310541972181332E-7</v>
      </c>
      <c r="L323" s="6">
        <v>9.0915934634848273E-7</v>
      </c>
      <c r="M323" s="4"/>
      <c r="T323" s="282"/>
    </row>
    <row r="324" spans="1:20" outlineLevel="1" x14ac:dyDescent="0.35">
      <c r="B324" s="6" t="s">
        <v>120</v>
      </c>
      <c r="C324" s="282" t="s">
        <v>567</v>
      </c>
      <c r="J324" s="6">
        <v>1.4907496099019133E-8</v>
      </c>
      <c r="K324" s="6">
        <v>1.4090857538857629E-8</v>
      </c>
      <c r="L324" s="6">
        <v>1.3616739030439631E-8</v>
      </c>
      <c r="M324" s="4"/>
      <c r="T324" s="282"/>
    </row>
    <row r="325" spans="1:20" outlineLevel="1" x14ac:dyDescent="0.35">
      <c r="B325" s="6" t="s">
        <v>121</v>
      </c>
      <c r="C325" s="282" t="s">
        <v>567</v>
      </c>
      <c r="J325" s="6">
        <v>1.6798433853672427E-5</v>
      </c>
      <c r="K325" s="6">
        <v>1.4592852617664376E-5</v>
      </c>
      <c r="L325" s="6">
        <v>1.3171423539893756E-5</v>
      </c>
      <c r="M325" s="4"/>
      <c r="T325" s="282"/>
    </row>
    <row r="326" spans="1:20" outlineLevel="1" x14ac:dyDescent="0.35">
      <c r="B326" s="6" t="s">
        <v>800</v>
      </c>
      <c r="C326" s="282" t="s">
        <v>567</v>
      </c>
      <c r="J326" s="6">
        <v>7.52137686956862E-4</v>
      </c>
      <c r="K326" s="6">
        <v>7.3397540621486621E-4</v>
      </c>
      <c r="L326" s="6">
        <v>6.8187832086746847E-4</v>
      </c>
      <c r="M326" s="4"/>
      <c r="T326" s="282"/>
    </row>
    <row r="327" spans="1:20" outlineLevel="1" x14ac:dyDescent="0.35">
      <c r="B327" s="6" t="s">
        <v>122</v>
      </c>
      <c r="C327" s="282" t="s">
        <v>567</v>
      </c>
      <c r="J327" s="6">
        <v>3.3619507091125529E-4</v>
      </c>
      <c r="K327" s="6">
        <v>3.1166132990525543E-4</v>
      </c>
      <c r="L327" s="6">
        <v>2.9908409523491509E-4</v>
      </c>
      <c r="M327" s="4"/>
      <c r="T327" s="282"/>
    </row>
    <row r="328" spans="1:20" outlineLevel="1" x14ac:dyDescent="0.35">
      <c r="B328" s="6" t="s">
        <v>123</v>
      </c>
      <c r="C328" s="282" t="s">
        <v>567</v>
      </c>
      <c r="J328" s="6">
        <v>9.5457509224026042E-5</v>
      </c>
      <c r="K328" s="6">
        <v>3.6833645004563829E-5</v>
      </c>
      <c r="L328" s="6">
        <v>2.5964444667500321E-5</v>
      </c>
      <c r="M328" s="4"/>
      <c r="T328" s="282"/>
    </row>
    <row r="329" spans="1:20" outlineLevel="1" x14ac:dyDescent="0.35">
      <c r="B329" s="6" t="s">
        <v>124</v>
      </c>
      <c r="C329" s="282" t="s">
        <v>567</v>
      </c>
      <c r="J329" s="6">
        <v>-9.279999999999999E-4</v>
      </c>
      <c r="K329" s="6">
        <v>-9.279999999999999E-4</v>
      </c>
      <c r="L329" s="6">
        <v>-9.279999999999999E-4</v>
      </c>
      <c r="M329" s="4"/>
      <c r="T329" s="282"/>
    </row>
    <row r="330" spans="1:20" outlineLevel="1" x14ac:dyDescent="0.35">
      <c r="B330" s="6" t="s">
        <v>137</v>
      </c>
      <c r="C330" s="282" t="s">
        <v>567</v>
      </c>
      <c r="J330" s="6">
        <v>4.0552068039916928E-4</v>
      </c>
      <c r="K330" s="6">
        <v>2.960858587061611E-4</v>
      </c>
      <c r="L330" s="6">
        <v>2.0681134324324421E-4</v>
      </c>
      <c r="M330" s="4"/>
      <c r="T330" s="282"/>
    </row>
    <row r="331" spans="1:20" outlineLevel="1" x14ac:dyDescent="0.35">
      <c r="M331" s="4"/>
      <c r="T331" s="282"/>
    </row>
    <row r="332" spans="1:20" outlineLevel="1" x14ac:dyDescent="0.35">
      <c r="A332" s="15" t="s">
        <v>824</v>
      </c>
      <c r="B332" s="30"/>
      <c r="C332" s="140" t="s">
        <v>180</v>
      </c>
      <c r="J332" s="6" t="s">
        <v>896</v>
      </c>
      <c r="K332" s="6" t="s">
        <v>897</v>
      </c>
      <c r="L332" s="6" t="s">
        <v>895</v>
      </c>
      <c r="M332" s="4"/>
      <c r="T332" s="282"/>
    </row>
    <row r="333" spans="1:20" outlineLevel="1" x14ac:dyDescent="0.35">
      <c r="B333" s="6" t="s">
        <v>117</v>
      </c>
      <c r="C333" s="282" t="s">
        <v>567</v>
      </c>
      <c r="J333" s="6">
        <v>1.2783620330818223E-4</v>
      </c>
      <c r="K333" s="6">
        <v>1.2224287529591124E-4</v>
      </c>
      <c r="L333" s="6">
        <v>1.1019930815134711E-4</v>
      </c>
      <c r="M333" s="4"/>
      <c r="T333" s="282"/>
    </row>
    <row r="334" spans="1:20" outlineLevel="1" x14ac:dyDescent="0.35">
      <c r="B334" s="6" t="s">
        <v>118</v>
      </c>
      <c r="C334" s="282" t="s">
        <v>567</v>
      </c>
      <c r="J334" s="6">
        <v>4.0040114297033507E-6</v>
      </c>
      <c r="K334" s="6">
        <v>3.8025533906393124E-6</v>
      </c>
      <c r="L334" s="6">
        <v>3.5909746967405102E-6</v>
      </c>
      <c r="M334" s="4"/>
      <c r="T334" s="282"/>
    </row>
    <row r="335" spans="1:20" outlineLevel="1" x14ac:dyDescent="0.35">
      <c r="B335" s="6" t="s">
        <v>119</v>
      </c>
      <c r="C335" s="282" t="s">
        <v>567</v>
      </c>
      <c r="J335" s="6">
        <v>1.0768572193687106E-6</v>
      </c>
      <c r="K335" s="6">
        <v>9.6310541972181332E-7</v>
      </c>
      <c r="L335" s="6">
        <v>9.0915934634848273E-7</v>
      </c>
      <c r="M335" s="4"/>
      <c r="T335" s="282"/>
    </row>
    <row r="336" spans="1:20" outlineLevel="1" x14ac:dyDescent="0.35">
      <c r="B336" s="6" t="s">
        <v>120</v>
      </c>
      <c r="C336" s="282" t="s">
        <v>567</v>
      </c>
      <c r="J336" s="6">
        <v>1.4907496099019133E-8</v>
      </c>
      <c r="K336" s="6">
        <v>1.4090857538857629E-8</v>
      </c>
      <c r="L336" s="6">
        <v>1.3616739030439631E-8</v>
      </c>
      <c r="M336" s="4"/>
      <c r="T336" s="282"/>
    </row>
    <row r="337" spans="1:20" outlineLevel="1" x14ac:dyDescent="0.35">
      <c r="B337" s="6" t="s">
        <v>121</v>
      </c>
      <c r="C337" s="282" t="s">
        <v>567</v>
      </c>
      <c r="J337" s="6">
        <v>1.6798433853672427E-5</v>
      </c>
      <c r="K337" s="6">
        <v>1.4592852617664376E-5</v>
      </c>
      <c r="L337" s="6">
        <v>1.3171423539893756E-5</v>
      </c>
      <c r="M337" s="4"/>
      <c r="T337" s="282"/>
    </row>
    <row r="338" spans="1:20" outlineLevel="1" x14ac:dyDescent="0.35">
      <c r="B338" s="6" t="s">
        <v>800</v>
      </c>
      <c r="C338" s="282" t="s">
        <v>567</v>
      </c>
      <c r="J338" s="6">
        <v>7.52137686956862E-4</v>
      </c>
      <c r="K338" s="6">
        <v>7.3397540621486621E-4</v>
      </c>
      <c r="L338" s="6">
        <v>6.8187832086746847E-4</v>
      </c>
      <c r="M338" s="4"/>
      <c r="T338" s="282"/>
    </row>
    <row r="339" spans="1:20" outlineLevel="1" x14ac:dyDescent="0.35">
      <c r="B339" s="6" t="s">
        <v>122</v>
      </c>
      <c r="C339" s="282" t="s">
        <v>567</v>
      </c>
      <c r="J339" s="6">
        <v>1.0085852127337659E-3</v>
      </c>
      <c r="K339" s="6">
        <v>9.349839897157665E-4</v>
      </c>
      <c r="L339" s="6">
        <v>8.972522857047452E-4</v>
      </c>
      <c r="M339" s="4"/>
      <c r="T339" s="282"/>
    </row>
    <row r="340" spans="1:20" outlineLevel="1" x14ac:dyDescent="0.35">
      <c r="B340" s="6" t="s">
        <v>123</v>
      </c>
      <c r="C340" s="282" t="s">
        <v>567</v>
      </c>
      <c r="J340" s="6">
        <v>9.5457509224026042E-5</v>
      </c>
      <c r="K340" s="6">
        <v>3.6833645004563829E-5</v>
      </c>
      <c r="L340" s="6">
        <v>2.5964444667500321E-5</v>
      </c>
      <c r="M340" s="4"/>
      <c r="T340" s="282"/>
    </row>
    <row r="341" spans="1:20" outlineLevel="1" x14ac:dyDescent="0.35">
      <c r="B341" s="6" t="s">
        <v>124</v>
      </c>
      <c r="C341" s="282" t="s">
        <v>567</v>
      </c>
      <c r="J341" s="6">
        <v>-9.279999999999999E-4</v>
      </c>
      <c r="K341" s="6">
        <v>-9.279999999999999E-4</v>
      </c>
      <c r="L341" s="6">
        <v>-9.279999999999999E-4</v>
      </c>
      <c r="M341" s="4"/>
      <c r="T341" s="282"/>
    </row>
    <row r="342" spans="1:20" outlineLevel="1" x14ac:dyDescent="0.35">
      <c r="B342" s="6" t="s">
        <v>137</v>
      </c>
      <c r="C342" s="282" t="s">
        <v>567</v>
      </c>
      <c r="J342" s="6">
        <v>1.0779108222216801E-3</v>
      </c>
      <c r="K342" s="6">
        <v>9.194085185166719E-4</v>
      </c>
      <c r="L342" s="6">
        <v>8.0497953371307422E-4</v>
      </c>
      <c r="M342" s="4"/>
      <c r="T342" s="282"/>
    </row>
    <row r="343" spans="1:20" outlineLevel="1" x14ac:dyDescent="0.35">
      <c r="M343" s="4"/>
      <c r="T343" s="282"/>
    </row>
    <row r="344" spans="1:20" x14ac:dyDescent="0.35">
      <c r="A344" s="170" t="s">
        <v>777</v>
      </c>
      <c r="B344" s="4"/>
      <c r="C344" s="4"/>
      <c r="D344" s="4"/>
      <c r="E344" s="4"/>
      <c r="F344" s="4"/>
      <c r="G344" s="4"/>
      <c r="H344" s="4"/>
      <c r="I344" s="4"/>
      <c r="J344" s="4"/>
      <c r="K344" s="4"/>
      <c r="L344" s="4"/>
      <c r="M344" s="4"/>
      <c r="T344" s="282"/>
    </row>
    <row r="345" spans="1:20" outlineLevel="1" x14ac:dyDescent="0.35">
      <c r="A345" s="15" t="s">
        <v>825</v>
      </c>
      <c r="B345" s="30"/>
      <c r="C345" s="140" t="s">
        <v>180</v>
      </c>
      <c r="J345" s="6" t="s">
        <v>896</v>
      </c>
      <c r="K345" s="6" t="s">
        <v>897</v>
      </c>
      <c r="L345" s="6" t="s">
        <v>895</v>
      </c>
      <c r="M345" s="4"/>
      <c r="T345" s="282"/>
    </row>
    <row r="346" spans="1:20" outlineLevel="1" x14ac:dyDescent="0.35">
      <c r="B346" s="6" t="s">
        <v>117</v>
      </c>
      <c r="C346" s="282" t="s">
        <v>567</v>
      </c>
      <c r="J346" s="6">
        <v>1.2783620330818223E-4</v>
      </c>
      <c r="K346" s="6">
        <v>1.2224287529591124E-4</v>
      </c>
      <c r="L346" s="6">
        <v>1.1019930815134711E-4</v>
      </c>
      <c r="M346" s="4"/>
      <c r="T346" s="282"/>
    </row>
    <row r="347" spans="1:20" outlineLevel="1" x14ac:dyDescent="0.35">
      <c r="B347" s="6" t="s">
        <v>118</v>
      </c>
      <c r="C347" s="282" t="s">
        <v>567</v>
      </c>
      <c r="I347" s="32"/>
      <c r="J347" s="6">
        <v>4.0040114297033507E-6</v>
      </c>
      <c r="K347" s="6">
        <v>3.8025533906393124E-6</v>
      </c>
      <c r="L347" s="6">
        <v>3.5909746967405102E-6</v>
      </c>
      <c r="M347" s="4"/>
      <c r="T347" s="282"/>
    </row>
    <row r="348" spans="1:20" outlineLevel="1" x14ac:dyDescent="0.35">
      <c r="B348" s="6" t="s">
        <v>119</v>
      </c>
      <c r="C348" s="282" t="s">
        <v>567</v>
      </c>
      <c r="H348" s="6"/>
      <c r="J348" s="6">
        <v>1.0768572193687106E-6</v>
      </c>
      <c r="K348" s="6">
        <v>9.6310541972181332E-7</v>
      </c>
      <c r="L348" s="6">
        <v>9.0915934634848273E-7</v>
      </c>
      <c r="M348" s="4"/>
      <c r="T348" s="282"/>
    </row>
    <row r="349" spans="1:20" outlineLevel="1" x14ac:dyDescent="0.35">
      <c r="B349" s="6" t="s">
        <v>120</v>
      </c>
      <c r="C349" s="282" t="s">
        <v>567</v>
      </c>
      <c r="H349" s="6"/>
      <c r="J349" s="6">
        <v>1.4907496099019133E-8</v>
      </c>
      <c r="K349" s="6">
        <v>1.4090857538857629E-8</v>
      </c>
      <c r="L349" s="6">
        <v>1.3616739030439631E-8</v>
      </c>
      <c r="M349" s="4"/>
      <c r="T349" s="282"/>
    </row>
    <row r="350" spans="1:20" outlineLevel="1" x14ac:dyDescent="0.35">
      <c r="B350" s="6" t="s">
        <v>121</v>
      </c>
      <c r="C350" s="282" t="s">
        <v>567</v>
      </c>
      <c r="H350" s="6"/>
      <c r="J350" s="6">
        <v>1.6798433853672427E-5</v>
      </c>
      <c r="K350" s="6">
        <v>1.4592852617664376E-5</v>
      </c>
      <c r="L350" s="6">
        <v>1.3171423539893756E-5</v>
      </c>
      <c r="M350" s="4"/>
      <c r="T350" s="282"/>
    </row>
    <row r="351" spans="1:20" outlineLevel="1" x14ac:dyDescent="0.35">
      <c r="B351" s="6" t="s">
        <v>800</v>
      </c>
      <c r="C351" s="282" t="s">
        <v>567</v>
      </c>
      <c r="J351" s="6">
        <v>7.52137686956862E-4</v>
      </c>
      <c r="K351" s="6">
        <v>7.3397540621486621E-4</v>
      </c>
      <c r="L351" s="6">
        <v>6.8187832086746847E-4</v>
      </c>
      <c r="M351" s="4"/>
      <c r="T351" s="282"/>
    </row>
    <row r="352" spans="1:20" outlineLevel="1" x14ac:dyDescent="0.35">
      <c r="B352" s="6" t="s">
        <v>122</v>
      </c>
      <c r="C352" s="282" t="s">
        <v>567</v>
      </c>
      <c r="J352" s="6">
        <v>5.0429260636688296E-4</v>
      </c>
      <c r="K352" s="6">
        <v>4.6749199485788325E-4</v>
      </c>
      <c r="L352" s="6">
        <v>4.486261428523726E-4</v>
      </c>
      <c r="M352" s="4"/>
      <c r="T352" s="282"/>
    </row>
    <row r="353" spans="1:20" outlineLevel="1" x14ac:dyDescent="0.35">
      <c r="B353" s="6" t="s">
        <v>123</v>
      </c>
      <c r="C353" s="282" t="s">
        <v>567</v>
      </c>
      <c r="J353" s="6">
        <v>9.5457509224026042E-5</v>
      </c>
      <c r="K353" s="6">
        <v>3.6833645004563829E-5</v>
      </c>
      <c r="L353" s="6">
        <v>2.5964444667500321E-5</v>
      </c>
      <c r="M353" s="4"/>
      <c r="T353" s="282"/>
    </row>
    <row r="354" spans="1:20" outlineLevel="1" x14ac:dyDescent="0.35">
      <c r="B354" s="6" t="s">
        <v>124</v>
      </c>
      <c r="C354" s="282" t="s">
        <v>567</v>
      </c>
      <c r="J354" s="6">
        <v>-9.279999999999999E-4</v>
      </c>
      <c r="K354" s="6">
        <v>-9.279999999999999E-4</v>
      </c>
      <c r="L354" s="6">
        <v>-9.279999999999999E-4</v>
      </c>
      <c r="M354" s="4"/>
      <c r="T354" s="282"/>
    </row>
    <row r="355" spans="1:20" outlineLevel="1" x14ac:dyDescent="0.35">
      <c r="B355" s="6" t="s">
        <v>137</v>
      </c>
      <c r="C355" s="282" t="s">
        <v>567</v>
      </c>
      <c r="J355" s="6">
        <v>5.7361821585479695E-4</v>
      </c>
      <c r="K355" s="6">
        <v>4.5191652365878887E-4</v>
      </c>
      <c r="L355" s="6">
        <v>3.5635339086070183E-4</v>
      </c>
      <c r="M355" s="4"/>
      <c r="T355" s="282"/>
    </row>
    <row r="356" spans="1:20" outlineLevel="1" x14ac:dyDescent="0.35">
      <c r="M356" s="4"/>
      <c r="T356" s="282"/>
    </row>
    <row r="357" spans="1:20" outlineLevel="1" x14ac:dyDescent="0.35">
      <c r="A357" s="15" t="s">
        <v>826</v>
      </c>
      <c r="B357" s="30"/>
      <c r="C357" s="140" t="s">
        <v>180</v>
      </c>
      <c r="J357" s="6" t="s">
        <v>896</v>
      </c>
      <c r="K357" s="6" t="s">
        <v>897</v>
      </c>
      <c r="L357" s="6" t="s">
        <v>895</v>
      </c>
      <c r="M357" s="4"/>
      <c r="T357" s="282"/>
    </row>
    <row r="358" spans="1:20" outlineLevel="1" x14ac:dyDescent="0.35">
      <c r="B358" s="6" t="s">
        <v>117</v>
      </c>
      <c r="C358" s="282" t="s">
        <v>567</v>
      </c>
      <c r="J358" s="6">
        <v>1.2783620330818223E-4</v>
      </c>
      <c r="K358" s="6">
        <v>1.2224287529591124E-4</v>
      </c>
      <c r="L358" s="6">
        <v>1.1019930815134711E-4</v>
      </c>
      <c r="M358" s="4"/>
      <c r="T358" s="282"/>
    </row>
    <row r="359" spans="1:20" outlineLevel="1" x14ac:dyDescent="0.35">
      <c r="B359" s="6" t="s">
        <v>118</v>
      </c>
      <c r="C359" s="282" t="s">
        <v>567</v>
      </c>
      <c r="J359" s="6">
        <v>4.0040114297033507E-6</v>
      </c>
      <c r="K359" s="6">
        <v>3.8025533906393124E-6</v>
      </c>
      <c r="L359" s="6">
        <v>3.5909746967405102E-6</v>
      </c>
      <c r="M359" s="4"/>
      <c r="T359" s="282"/>
    </row>
    <row r="360" spans="1:20" outlineLevel="1" x14ac:dyDescent="0.35">
      <c r="B360" s="6" t="s">
        <v>119</v>
      </c>
      <c r="C360" s="282" t="s">
        <v>567</v>
      </c>
      <c r="J360" s="6">
        <v>1.0768572193687106E-6</v>
      </c>
      <c r="K360" s="6">
        <v>9.6310541972181332E-7</v>
      </c>
      <c r="L360" s="6">
        <v>9.0915934634848273E-7</v>
      </c>
      <c r="M360" s="4"/>
      <c r="T360" s="282"/>
    </row>
    <row r="361" spans="1:20" outlineLevel="1" x14ac:dyDescent="0.35">
      <c r="B361" s="6" t="s">
        <v>120</v>
      </c>
      <c r="C361" s="282" t="s">
        <v>567</v>
      </c>
      <c r="J361" s="6">
        <v>1.4907496099019133E-8</v>
      </c>
      <c r="K361" s="6">
        <v>1.4090857538857629E-8</v>
      </c>
      <c r="L361" s="6">
        <v>1.3616739030439631E-8</v>
      </c>
      <c r="M361" s="4"/>
      <c r="T361" s="282"/>
    </row>
    <row r="362" spans="1:20" outlineLevel="1" x14ac:dyDescent="0.35">
      <c r="B362" s="6" t="s">
        <v>121</v>
      </c>
      <c r="C362" s="282" t="s">
        <v>567</v>
      </c>
      <c r="J362" s="6">
        <v>1.6798433853672427E-5</v>
      </c>
      <c r="K362" s="6">
        <v>1.4592852617664376E-5</v>
      </c>
      <c r="L362" s="6">
        <v>1.3171423539893756E-5</v>
      </c>
      <c r="M362" s="4"/>
      <c r="T362" s="282"/>
    </row>
    <row r="363" spans="1:20" outlineLevel="1" x14ac:dyDescent="0.35">
      <c r="B363" s="6" t="s">
        <v>800</v>
      </c>
      <c r="C363" s="282" t="s">
        <v>567</v>
      </c>
      <c r="J363" s="6">
        <v>2.0982968459407433E-4</v>
      </c>
      <c r="K363" s="6">
        <v>2.0476538648392937E-4</v>
      </c>
      <c r="L363" s="6">
        <v>1.9036147634322656E-4</v>
      </c>
      <c r="M363" s="4"/>
      <c r="T363" s="282"/>
    </row>
    <row r="364" spans="1:20" outlineLevel="1" x14ac:dyDescent="0.35">
      <c r="B364" s="6" t="s">
        <v>122</v>
      </c>
      <c r="C364" s="282" t="s">
        <v>567</v>
      </c>
      <c r="J364" s="6">
        <v>5.0429260636688296E-4</v>
      </c>
      <c r="K364" s="6">
        <v>4.6749199485788325E-4</v>
      </c>
      <c r="L364" s="6">
        <v>4.486261428523726E-4</v>
      </c>
      <c r="M364" s="4"/>
      <c r="T364" s="282"/>
    </row>
    <row r="365" spans="1:20" outlineLevel="1" x14ac:dyDescent="0.35">
      <c r="B365" s="6" t="s">
        <v>123</v>
      </c>
      <c r="C365" s="282" t="s">
        <v>567</v>
      </c>
      <c r="J365" s="6">
        <v>9.5457509224026042E-5</v>
      </c>
      <c r="K365" s="6">
        <v>3.6833645004563829E-5</v>
      </c>
      <c r="L365" s="6">
        <v>2.5964444667500321E-5</v>
      </c>
      <c r="M365" s="4"/>
      <c r="T365" s="282"/>
    </row>
    <row r="366" spans="1:20" outlineLevel="1" x14ac:dyDescent="0.35">
      <c r="B366" s="6" t="s">
        <v>124</v>
      </c>
      <c r="C366" s="282" t="s">
        <v>567</v>
      </c>
      <c r="J366" s="6">
        <v>-9.279999999999999E-4</v>
      </c>
      <c r="K366" s="6">
        <v>-9.279999999999999E-4</v>
      </c>
      <c r="L366" s="6">
        <v>-9.279999999999999E-4</v>
      </c>
      <c r="M366" s="4"/>
      <c r="T366" s="282"/>
    </row>
    <row r="367" spans="1:20" outlineLevel="1" x14ac:dyDescent="0.35">
      <c r="B367" s="6" t="s">
        <v>137</v>
      </c>
      <c r="C367" s="282" t="s">
        <v>567</v>
      </c>
      <c r="J367" s="6">
        <v>3.1310213492009089E-5</v>
      </c>
      <c r="K367" s="6">
        <v>-7.7293496072148034E-5</v>
      </c>
      <c r="L367" s="6">
        <v>-1.3516345366354013E-4</v>
      </c>
      <c r="M367" s="4"/>
      <c r="T367" s="282"/>
    </row>
    <row r="368" spans="1:20" outlineLevel="1" x14ac:dyDescent="0.35">
      <c r="M368" s="4"/>
      <c r="T368" s="282"/>
    </row>
    <row r="369" spans="1:20" outlineLevel="1" x14ac:dyDescent="0.35">
      <c r="A369" s="15" t="s">
        <v>827</v>
      </c>
      <c r="B369" s="30"/>
      <c r="C369" s="140" t="s">
        <v>180</v>
      </c>
      <c r="J369" s="6" t="s">
        <v>896</v>
      </c>
      <c r="K369" s="6" t="s">
        <v>897</v>
      </c>
      <c r="L369" s="6" t="s">
        <v>895</v>
      </c>
      <c r="M369" s="4"/>
      <c r="T369" s="282"/>
    </row>
    <row r="370" spans="1:20" outlineLevel="1" x14ac:dyDescent="0.35">
      <c r="B370" s="6" t="s">
        <v>117</v>
      </c>
      <c r="C370" s="282" t="s">
        <v>567</v>
      </c>
      <c r="J370" s="6">
        <v>1.2783620330818223E-4</v>
      </c>
      <c r="K370" s="6">
        <v>1.2224287529591124E-4</v>
      </c>
      <c r="L370" s="6">
        <v>1.1019930815134711E-4</v>
      </c>
      <c r="M370" s="4"/>
      <c r="T370" s="282"/>
    </row>
    <row r="371" spans="1:20" outlineLevel="1" x14ac:dyDescent="0.35">
      <c r="B371" s="6" t="s">
        <v>118</v>
      </c>
      <c r="C371" s="282" t="s">
        <v>567</v>
      </c>
      <c r="J371" s="6">
        <v>4.0040114297033507E-6</v>
      </c>
      <c r="K371" s="6">
        <v>3.8025533906393124E-6</v>
      </c>
      <c r="L371" s="6">
        <v>3.5909746967405102E-6</v>
      </c>
      <c r="M371" s="4"/>
      <c r="T371" s="282"/>
    </row>
    <row r="372" spans="1:20" outlineLevel="1" x14ac:dyDescent="0.35">
      <c r="B372" s="6" t="s">
        <v>119</v>
      </c>
      <c r="C372" s="282" t="s">
        <v>567</v>
      </c>
      <c r="J372" s="6">
        <v>1.0768572193687106E-6</v>
      </c>
      <c r="K372" s="6">
        <v>9.6310541972181332E-7</v>
      </c>
      <c r="L372" s="6">
        <v>9.0915934634848273E-7</v>
      </c>
      <c r="M372" s="4"/>
      <c r="T372" s="282"/>
    </row>
    <row r="373" spans="1:20" outlineLevel="1" x14ac:dyDescent="0.35">
      <c r="B373" s="6" t="s">
        <v>120</v>
      </c>
      <c r="C373" s="282" t="s">
        <v>567</v>
      </c>
      <c r="J373" s="6">
        <v>1.4907496099019133E-8</v>
      </c>
      <c r="K373" s="6">
        <v>1.4090857538857629E-8</v>
      </c>
      <c r="L373" s="6">
        <v>1.3616739030439631E-8</v>
      </c>
      <c r="M373" s="4"/>
      <c r="T373" s="282"/>
    </row>
    <row r="374" spans="1:20" outlineLevel="1" x14ac:dyDescent="0.35">
      <c r="B374" s="6" t="s">
        <v>121</v>
      </c>
      <c r="C374" s="282" t="s">
        <v>567</v>
      </c>
      <c r="J374" s="6">
        <v>1.6798433853672427E-5</v>
      </c>
      <c r="K374" s="6">
        <v>1.4592852617664376E-5</v>
      </c>
      <c r="L374" s="6">
        <v>1.3171423539893756E-5</v>
      </c>
      <c r="M374" s="4"/>
      <c r="T374" s="282"/>
    </row>
    <row r="375" spans="1:20" outlineLevel="1" x14ac:dyDescent="0.35">
      <c r="B375" s="6" t="s">
        <v>800</v>
      </c>
      <c r="C375" s="282" t="s">
        <v>567</v>
      </c>
      <c r="J375" s="6">
        <v>2.8341886449885761E-3</v>
      </c>
      <c r="K375" s="6">
        <v>2.7657293454177627E-3</v>
      </c>
      <c r="L375" s="6">
        <v>2.5683781144589983E-3</v>
      </c>
      <c r="M375" s="4"/>
      <c r="T375" s="282"/>
    </row>
    <row r="376" spans="1:20" outlineLevel="1" x14ac:dyDescent="0.35">
      <c r="B376" s="6" t="s">
        <v>122</v>
      </c>
      <c r="C376" s="282" t="s">
        <v>567</v>
      </c>
      <c r="J376" s="6">
        <v>5.0429260636688296E-4</v>
      </c>
      <c r="K376" s="6">
        <v>4.6749199485788325E-4</v>
      </c>
      <c r="L376" s="6">
        <v>4.486261428523726E-4</v>
      </c>
      <c r="M376" s="4"/>
      <c r="T376" s="282"/>
    </row>
    <row r="377" spans="1:20" outlineLevel="1" x14ac:dyDescent="0.35">
      <c r="B377" s="6" t="s">
        <v>123</v>
      </c>
      <c r="C377" s="282" t="s">
        <v>567</v>
      </c>
      <c r="J377" s="6">
        <v>9.5457509224026042E-5</v>
      </c>
      <c r="K377" s="6">
        <v>3.6833645004563829E-5</v>
      </c>
      <c r="L377" s="6">
        <v>2.5964444667500321E-5</v>
      </c>
      <c r="M377" s="4"/>
      <c r="T377" s="282"/>
    </row>
    <row r="378" spans="1:20" outlineLevel="1" x14ac:dyDescent="0.35">
      <c r="B378" s="6" t="s">
        <v>124</v>
      </c>
      <c r="C378" s="282" t="s">
        <v>567</v>
      </c>
      <c r="J378" s="6">
        <v>-9.279999999999999E-4</v>
      </c>
      <c r="K378" s="6">
        <v>-9.279999999999999E-4</v>
      </c>
      <c r="L378" s="6">
        <v>-9.279999999999999E-4</v>
      </c>
      <c r="M378" s="4"/>
      <c r="T378" s="282"/>
    </row>
    <row r="379" spans="1:20" outlineLevel="1" x14ac:dyDescent="0.35">
      <c r="B379" s="6" t="s">
        <v>137</v>
      </c>
      <c r="C379" s="282" t="s">
        <v>567</v>
      </c>
      <c r="J379" s="6">
        <v>2.6556691738865122E-3</v>
      </c>
      <c r="K379" s="6">
        <v>2.4836704628616855E-3</v>
      </c>
      <c r="L379" s="6">
        <v>2.2428531844522329E-3</v>
      </c>
      <c r="M379" s="4"/>
      <c r="T379" s="282"/>
    </row>
    <row r="380" spans="1:20" outlineLevel="1" x14ac:dyDescent="0.35">
      <c r="M380" s="4"/>
      <c r="T380" s="282"/>
    </row>
    <row r="381" spans="1:20" x14ac:dyDescent="0.35">
      <c r="A381" s="170" t="s">
        <v>798</v>
      </c>
      <c r="B381" s="4"/>
      <c r="C381" s="4"/>
      <c r="D381" s="4"/>
      <c r="E381" s="4"/>
      <c r="F381" s="4"/>
      <c r="G381" s="4"/>
      <c r="H381" s="4"/>
      <c r="I381" s="4"/>
      <c r="J381" s="4"/>
      <c r="K381" s="4"/>
      <c r="L381" s="4"/>
      <c r="M381" s="4"/>
      <c r="T381" s="282"/>
    </row>
    <row r="382" spans="1:20" outlineLevel="1" x14ac:dyDescent="0.35">
      <c r="A382" s="15" t="s">
        <v>828</v>
      </c>
      <c r="B382" s="30"/>
      <c r="C382" s="140" t="s">
        <v>180</v>
      </c>
      <c r="J382" s="6" t="s">
        <v>896</v>
      </c>
      <c r="K382" s="6" t="s">
        <v>897</v>
      </c>
      <c r="L382" s="6" t="s">
        <v>895</v>
      </c>
      <c r="M382" s="4"/>
      <c r="T382" s="282"/>
    </row>
    <row r="383" spans="1:20" outlineLevel="1" x14ac:dyDescent="0.35">
      <c r="B383" s="6" t="s">
        <v>117</v>
      </c>
      <c r="C383" s="282" t="s">
        <v>567</v>
      </c>
      <c r="J383" s="6">
        <v>1.2783620330818223E-4</v>
      </c>
      <c r="K383" s="6">
        <v>1.2224287529591124E-4</v>
      </c>
      <c r="L383" s="6">
        <v>1.1019930815134711E-4</v>
      </c>
      <c r="M383" s="4"/>
      <c r="T383" s="282"/>
    </row>
    <row r="384" spans="1:20" outlineLevel="1" x14ac:dyDescent="0.35">
      <c r="B384" s="6" t="s">
        <v>118</v>
      </c>
      <c r="C384" s="282" t="s">
        <v>567</v>
      </c>
      <c r="I384" s="32"/>
      <c r="J384" s="6">
        <v>4.0040114297033507E-6</v>
      </c>
      <c r="K384" s="6">
        <v>3.8025533906393124E-6</v>
      </c>
      <c r="L384" s="6">
        <v>3.5909746967405102E-6</v>
      </c>
      <c r="M384" s="4"/>
      <c r="T384" s="282"/>
    </row>
    <row r="385" spans="1:20" outlineLevel="1" x14ac:dyDescent="0.35">
      <c r="B385" s="6" t="s">
        <v>119</v>
      </c>
      <c r="C385" s="282" t="s">
        <v>567</v>
      </c>
      <c r="H385" s="6"/>
      <c r="J385" s="6">
        <v>1.0768572193687106E-6</v>
      </c>
      <c r="K385" s="6">
        <v>9.6310541972181332E-7</v>
      </c>
      <c r="L385" s="6">
        <v>9.0915934634848273E-7</v>
      </c>
      <c r="M385" s="4"/>
      <c r="T385" s="282"/>
    </row>
    <row r="386" spans="1:20" outlineLevel="1" x14ac:dyDescent="0.35">
      <c r="B386" s="6" t="s">
        <v>120</v>
      </c>
      <c r="C386" s="282" t="s">
        <v>567</v>
      </c>
      <c r="H386" s="6"/>
      <c r="J386" s="6">
        <v>1.4907496099019133E-8</v>
      </c>
      <c r="K386" s="6">
        <v>1.4090857538857629E-8</v>
      </c>
      <c r="L386" s="6">
        <v>1.3616739030439631E-8</v>
      </c>
      <c r="M386" s="4"/>
      <c r="T386" s="282"/>
    </row>
    <row r="387" spans="1:20" outlineLevel="1" x14ac:dyDescent="0.35">
      <c r="B387" s="6" t="s">
        <v>121</v>
      </c>
      <c r="C387" s="282" t="s">
        <v>567</v>
      </c>
      <c r="H387" s="6"/>
      <c r="J387" s="6">
        <v>1.6798433853672427E-5</v>
      </c>
      <c r="K387" s="6">
        <v>1.4592852617664376E-5</v>
      </c>
      <c r="L387" s="6">
        <v>1.3171423539893756E-5</v>
      </c>
      <c r="M387" s="4"/>
      <c r="T387" s="282"/>
    </row>
    <row r="388" spans="1:20" outlineLevel="1" x14ac:dyDescent="0.35">
      <c r="B388" s="6" t="s">
        <v>800</v>
      </c>
      <c r="C388" s="282" t="s">
        <v>567</v>
      </c>
      <c r="J388" s="6">
        <v>7.52137686956862E-4</v>
      </c>
      <c r="K388" s="6">
        <v>7.3397540621486621E-4</v>
      </c>
      <c r="L388" s="6">
        <v>6.8187832086746847E-4</v>
      </c>
      <c r="M388" s="4"/>
      <c r="T388" s="282"/>
    </row>
    <row r="389" spans="1:20" outlineLevel="1" x14ac:dyDescent="0.35">
      <c r="B389" s="6" t="s">
        <v>122</v>
      </c>
      <c r="C389" s="282" t="s">
        <v>567</v>
      </c>
      <c r="J389" s="6">
        <v>5.0429260636688296E-4</v>
      </c>
      <c r="K389" s="6">
        <v>4.6749199485788325E-4</v>
      </c>
      <c r="L389" s="6">
        <v>4.486261428523726E-4</v>
      </c>
      <c r="M389" s="4"/>
      <c r="T389" s="282"/>
    </row>
    <row r="390" spans="1:20" outlineLevel="1" x14ac:dyDescent="0.35">
      <c r="B390" s="6" t="s">
        <v>123</v>
      </c>
      <c r="C390" s="282" t="s">
        <v>567</v>
      </c>
      <c r="J390" s="6">
        <v>9.5457509224026042E-5</v>
      </c>
      <c r="K390" s="6">
        <v>3.6833645004563829E-5</v>
      </c>
      <c r="L390" s="6">
        <v>2.5964444667500321E-5</v>
      </c>
      <c r="M390" s="4"/>
      <c r="T390" s="282"/>
    </row>
    <row r="391" spans="1:20" outlineLevel="1" x14ac:dyDescent="0.35">
      <c r="B391" s="6" t="s">
        <v>124</v>
      </c>
      <c r="C391" s="282" t="s">
        <v>567</v>
      </c>
      <c r="J391" s="6">
        <v>-9.279999999999999E-4</v>
      </c>
      <c r="K391" s="6">
        <v>-9.279999999999999E-4</v>
      </c>
      <c r="L391" s="6">
        <v>-9.279999999999999E-4</v>
      </c>
      <c r="M391" s="4"/>
      <c r="T391" s="282"/>
    </row>
    <row r="392" spans="1:20" outlineLevel="1" x14ac:dyDescent="0.35">
      <c r="B392" s="6" t="s">
        <v>137</v>
      </c>
      <c r="C392" s="282" t="s">
        <v>567</v>
      </c>
      <c r="J392" s="6">
        <v>5.7361821585479695E-4</v>
      </c>
      <c r="K392" s="6">
        <v>4.5191652365878887E-4</v>
      </c>
      <c r="L392" s="6">
        <v>3.5635339086070183E-4</v>
      </c>
      <c r="M392" s="4"/>
      <c r="T392" s="282"/>
    </row>
    <row r="393" spans="1:20" outlineLevel="1" x14ac:dyDescent="0.35">
      <c r="M393" s="4"/>
      <c r="T393" s="282"/>
    </row>
    <row r="394" spans="1:20" outlineLevel="1" x14ac:dyDescent="0.35">
      <c r="A394" s="15" t="s">
        <v>830</v>
      </c>
      <c r="B394" s="30"/>
      <c r="C394" s="140" t="s">
        <v>180</v>
      </c>
      <c r="J394" s="6" t="s">
        <v>896</v>
      </c>
      <c r="K394" s="6" t="s">
        <v>897</v>
      </c>
      <c r="L394" s="6" t="s">
        <v>895</v>
      </c>
      <c r="M394" s="4"/>
      <c r="T394" s="282"/>
    </row>
    <row r="395" spans="1:20" outlineLevel="1" x14ac:dyDescent="0.35">
      <c r="B395" s="6" t="s">
        <v>117</v>
      </c>
      <c r="C395" s="282" t="s">
        <v>567</v>
      </c>
      <c r="J395" s="6">
        <v>1.2783620330818223E-4</v>
      </c>
      <c r="K395" s="6">
        <v>1.2224287529591124E-4</v>
      </c>
      <c r="L395" s="6">
        <v>1.1019930815134711E-4</v>
      </c>
      <c r="M395" s="4"/>
      <c r="T395" s="282"/>
    </row>
    <row r="396" spans="1:20" outlineLevel="1" x14ac:dyDescent="0.35">
      <c r="B396" s="6" t="s">
        <v>118</v>
      </c>
      <c r="C396" s="282" t="s">
        <v>567</v>
      </c>
      <c r="J396" s="6">
        <v>4.0040114297033507E-6</v>
      </c>
      <c r="K396" s="6">
        <v>3.8025533906393124E-6</v>
      </c>
      <c r="L396" s="6">
        <v>3.5909746967405102E-6</v>
      </c>
      <c r="M396" s="4"/>
      <c r="T396" s="282"/>
    </row>
    <row r="397" spans="1:20" outlineLevel="1" x14ac:dyDescent="0.35">
      <c r="B397" s="6" t="s">
        <v>119</v>
      </c>
      <c r="C397" s="282" t="s">
        <v>567</v>
      </c>
      <c r="J397" s="6">
        <v>1.0768572193687106E-6</v>
      </c>
      <c r="K397" s="6">
        <v>9.6310541972181332E-7</v>
      </c>
      <c r="L397" s="6">
        <v>9.0915934634848273E-7</v>
      </c>
      <c r="M397" s="4"/>
      <c r="T397" s="282"/>
    </row>
    <row r="398" spans="1:20" outlineLevel="1" x14ac:dyDescent="0.35">
      <c r="B398" s="6" t="s">
        <v>120</v>
      </c>
      <c r="C398" s="282" t="s">
        <v>567</v>
      </c>
      <c r="J398" s="6">
        <v>1.4907496099019133E-8</v>
      </c>
      <c r="K398" s="6">
        <v>1.4090857538857629E-8</v>
      </c>
      <c r="L398" s="6">
        <v>1.3616739030439631E-8</v>
      </c>
      <c r="M398" s="4"/>
      <c r="T398" s="282"/>
    </row>
    <row r="399" spans="1:20" outlineLevel="1" x14ac:dyDescent="0.35">
      <c r="B399" s="6" t="s">
        <v>121</v>
      </c>
      <c r="C399" s="282" t="s">
        <v>567</v>
      </c>
      <c r="J399" s="6">
        <v>1.6798433853672427E-5</v>
      </c>
      <c r="K399" s="6">
        <v>1.4592852617664376E-5</v>
      </c>
      <c r="L399" s="6">
        <v>1.3171423539893756E-5</v>
      </c>
      <c r="M399" s="4"/>
      <c r="T399" s="282"/>
    </row>
    <row r="400" spans="1:20" outlineLevel="1" x14ac:dyDescent="0.35">
      <c r="B400" s="6" t="s">
        <v>800</v>
      </c>
      <c r="C400" s="282" t="s">
        <v>567</v>
      </c>
      <c r="J400" s="6">
        <v>7.52137686956862E-4</v>
      </c>
      <c r="K400" s="6">
        <v>7.3397540621486621E-4</v>
      </c>
      <c r="L400" s="6">
        <v>6.8187832086746847E-4</v>
      </c>
      <c r="M400" s="4"/>
      <c r="T400" s="282"/>
    </row>
    <row r="401" spans="1:20" outlineLevel="1" x14ac:dyDescent="0.35">
      <c r="B401" s="6" t="s">
        <v>122</v>
      </c>
      <c r="C401" s="282" t="s">
        <v>567</v>
      </c>
      <c r="J401" s="6">
        <v>4.9720525081794293E-4</v>
      </c>
      <c r="K401" s="6">
        <v>4.6092183709231277E-4</v>
      </c>
      <c r="L401" s="6">
        <v>4.4232112679066355E-4</v>
      </c>
      <c r="M401" s="4"/>
      <c r="T401" s="282"/>
    </row>
    <row r="402" spans="1:20" outlineLevel="1" x14ac:dyDescent="0.35">
      <c r="B402" s="6" t="s">
        <v>123</v>
      </c>
      <c r="C402" s="282" t="s">
        <v>567</v>
      </c>
      <c r="J402" s="6">
        <v>9.5457509224026042E-5</v>
      </c>
      <c r="K402" s="6">
        <v>3.6833645004563829E-5</v>
      </c>
      <c r="L402" s="6">
        <v>2.5964444667500321E-5</v>
      </c>
      <c r="M402" s="4"/>
      <c r="T402" s="282"/>
    </row>
    <row r="403" spans="1:20" outlineLevel="1" x14ac:dyDescent="0.35">
      <c r="B403" s="6" t="s">
        <v>124</v>
      </c>
      <c r="C403" s="282" t="s">
        <v>567</v>
      </c>
      <c r="J403" s="6">
        <v>-9.279999999999999E-4</v>
      </c>
      <c r="K403" s="6">
        <v>-9.279999999999999E-4</v>
      </c>
      <c r="L403" s="6">
        <v>-9.279999999999999E-4</v>
      </c>
      <c r="M403" s="4"/>
      <c r="T403" s="282"/>
    </row>
    <row r="404" spans="1:20" outlineLevel="1" x14ac:dyDescent="0.35">
      <c r="B404" s="6" t="s">
        <v>137</v>
      </c>
      <c r="C404" s="282" t="s">
        <v>567</v>
      </c>
      <c r="J404" s="6">
        <v>5.6653086030585714E-4</v>
      </c>
      <c r="K404" s="6">
        <v>4.4534636589321867E-4</v>
      </c>
      <c r="L404" s="6">
        <v>3.5004837479899278E-4</v>
      </c>
      <c r="M404" s="4"/>
      <c r="T404" s="282"/>
    </row>
    <row r="405" spans="1:20" outlineLevel="1" x14ac:dyDescent="0.35">
      <c r="M405" s="4"/>
      <c r="T405" s="282"/>
    </row>
    <row r="406" spans="1:20" outlineLevel="1" x14ac:dyDescent="0.35">
      <c r="A406" s="15" t="s">
        <v>829</v>
      </c>
      <c r="B406" s="30"/>
      <c r="C406" s="140" t="s">
        <v>180</v>
      </c>
      <c r="J406" s="6" t="s">
        <v>896</v>
      </c>
      <c r="K406" s="6" t="s">
        <v>897</v>
      </c>
      <c r="L406" s="6" t="s">
        <v>895</v>
      </c>
      <c r="M406" s="4"/>
      <c r="T406" s="282"/>
    </row>
    <row r="407" spans="1:20" outlineLevel="1" x14ac:dyDescent="0.35">
      <c r="B407" s="6" t="s">
        <v>117</v>
      </c>
      <c r="C407" s="282" t="s">
        <v>567</v>
      </c>
      <c r="J407" s="6">
        <v>1.2783620330818223E-4</v>
      </c>
      <c r="K407" s="6">
        <v>1.2224287529591124E-4</v>
      </c>
      <c r="L407" s="6">
        <v>1.1019930815134711E-4</v>
      </c>
      <c r="M407" s="4"/>
      <c r="T407" s="282"/>
    </row>
    <row r="408" spans="1:20" outlineLevel="1" x14ac:dyDescent="0.35">
      <c r="B408" s="6" t="s">
        <v>118</v>
      </c>
      <c r="C408" s="282" t="s">
        <v>567</v>
      </c>
      <c r="J408" s="6">
        <v>4.0040114297033507E-6</v>
      </c>
      <c r="K408" s="6">
        <v>3.8025533906393124E-6</v>
      </c>
      <c r="L408" s="6">
        <v>3.5909746967405102E-6</v>
      </c>
      <c r="M408" s="4"/>
      <c r="T408" s="282"/>
    </row>
    <row r="409" spans="1:20" outlineLevel="1" x14ac:dyDescent="0.35">
      <c r="B409" s="6" t="s">
        <v>119</v>
      </c>
      <c r="C409" s="282" t="s">
        <v>567</v>
      </c>
      <c r="J409" s="6">
        <v>1.0768572193687106E-6</v>
      </c>
      <c r="K409" s="6">
        <v>9.6310541972181332E-7</v>
      </c>
      <c r="L409" s="6">
        <v>9.0915934634848273E-7</v>
      </c>
      <c r="M409" s="4"/>
      <c r="T409" s="282"/>
    </row>
    <row r="410" spans="1:20" outlineLevel="1" x14ac:dyDescent="0.35">
      <c r="B410" s="6" t="s">
        <v>120</v>
      </c>
      <c r="C410" s="282" t="s">
        <v>567</v>
      </c>
      <c r="J410" s="6">
        <v>1.4907496099019133E-8</v>
      </c>
      <c r="K410" s="6">
        <v>1.4090857538857629E-8</v>
      </c>
      <c r="L410" s="6">
        <v>1.3616739030439631E-8</v>
      </c>
      <c r="M410" s="4"/>
      <c r="T410" s="282"/>
    </row>
    <row r="411" spans="1:20" outlineLevel="1" x14ac:dyDescent="0.35">
      <c r="B411" s="6" t="s">
        <v>121</v>
      </c>
      <c r="C411" s="282" t="s">
        <v>567</v>
      </c>
      <c r="J411" s="6">
        <v>1.6798433853672427E-5</v>
      </c>
      <c r="K411" s="6">
        <v>1.4592852617664376E-5</v>
      </c>
      <c r="L411" s="6">
        <v>1.3171423539893756E-5</v>
      </c>
      <c r="M411" s="4"/>
      <c r="T411" s="282"/>
    </row>
    <row r="412" spans="1:20" outlineLevel="1" x14ac:dyDescent="0.35">
      <c r="B412" s="6" t="s">
        <v>800</v>
      </c>
      <c r="C412" s="282" t="s">
        <v>567</v>
      </c>
      <c r="J412" s="6">
        <v>7.52137686956862E-4</v>
      </c>
      <c r="K412" s="6">
        <v>7.3397540621486621E-4</v>
      </c>
      <c r="L412" s="6">
        <v>6.8187832086746847E-4</v>
      </c>
      <c r="M412" s="4"/>
      <c r="T412" s="282"/>
    </row>
    <row r="413" spans="1:20" outlineLevel="1" x14ac:dyDescent="0.35">
      <c r="B413" s="6" t="s">
        <v>122</v>
      </c>
      <c r="C413" s="282" t="s">
        <v>567</v>
      </c>
      <c r="J413" s="6">
        <v>5.1792213626869065E-4</v>
      </c>
      <c r="K413" s="6">
        <v>4.8012691363782614E-4</v>
      </c>
      <c r="L413" s="6">
        <v>4.6075117374027468E-4</v>
      </c>
      <c r="M413" s="4"/>
      <c r="T413" s="282"/>
    </row>
    <row r="414" spans="1:20" outlineLevel="1" x14ac:dyDescent="0.35">
      <c r="B414" s="6" t="s">
        <v>123</v>
      </c>
      <c r="C414" s="282" t="s">
        <v>567</v>
      </c>
      <c r="J414" s="6">
        <v>9.5457509224026042E-5</v>
      </c>
      <c r="K414" s="6">
        <v>3.6833645004563829E-5</v>
      </c>
      <c r="L414" s="6">
        <v>2.5964444667500321E-5</v>
      </c>
      <c r="M414" s="4"/>
      <c r="T414" s="282"/>
    </row>
    <row r="415" spans="1:20" outlineLevel="1" x14ac:dyDescent="0.35">
      <c r="B415" s="6" t="s">
        <v>124</v>
      </c>
      <c r="C415" s="282" t="s">
        <v>567</v>
      </c>
      <c r="J415" s="6">
        <v>-9.279999999999999E-4</v>
      </c>
      <c r="K415" s="6">
        <v>-9.279999999999999E-4</v>
      </c>
      <c r="L415" s="6">
        <v>-9.279999999999999E-4</v>
      </c>
      <c r="M415" s="4"/>
      <c r="T415" s="282"/>
    </row>
    <row r="416" spans="1:20" outlineLevel="1" x14ac:dyDescent="0.35">
      <c r="B416" s="6" t="s">
        <v>137</v>
      </c>
      <c r="C416" s="282" t="s">
        <v>567</v>
      </c>
      <c r="J416" s="6">
        <v>5.8724774575660474E-4</v>
      </c>
      <c r="K416" s="6">
        <v>4.6455144243873171E-4</v>
      </c>
      <c r="L416" s="6">
        <v>3.6847842174860391E-4</v>
      </c>
      <c r="M416" s="4"/>
      <c r="T416" s="282"/>
    </row>
    <row r="417" spans="1:54" outlineLevel="1" x14ac:dyDescent="0.35">
      <c r="M417" s="4"/>
      <c r="T417" s="282"/>
    </row>
    <row r="418" spans="1:54" x14ac:dyDescent="0.35">
      <c r="A418" s="170"/>
      <c r="B418" s="4"/>
      <c r="C418" s="4"/>
      <c r="D418" s="4"/>
      <c r="E418" s="4"/>
      <c r="F418" s="4"/>
      <c r="G418" s="4"/>
      <c r="H418" s="4"/>
      <c r="I418" s="4"/>
      <c r="J418" s="4"/>
      <c r="K418" s="4"/>
      <c r="L418" s="4"/>
      <c r="M418" s="4"/>
      <c r="T418" s="282"/>
    </row>
    <row r="419" spans="1:54" s="125" customFormat="1" x14ac:dyDescent="0.35">
      <c r="A419" s="125" t="s">
        <v>571</v>
      </c>
    </row>
    <row r="423" spans="1:54" x14ac:dyDescent="0.35">
      <c r="A423" s="330" t="s">
        <v>150</v>
      </c>
      <c r="B423" s="330"/>
      <c r="C423" s="330"/>
      <c r="D423" s="330"/>
      <c r="F423" s="330" t="s">
        <v>151</v>
      </c>
      <c r="G423" s="330"/>
      <c r="H423" s="330"/>
      <c r="I423" s="330"/>
      <c r="K423" s="330" t="s">
        <v>834</v>
      </c>
      <c r="L423" s="330"/>
      <c r="M423" s="330"/>
      <c r="O423" s="330" t="s">
        <v>835</v>
      </c>
      <c r="P423" s="330"/>
      <c r="Q423" s="330"/>
      <c r="R423" s="330"/>
      <c r="T423" s="330" t="s">
        <v>163</v>
      </c>
      <c r="U423" s="330"/>
      <c r="V423" s="330"/>
      <c r="W423" s="330"/>
      <c r="Y423" s="330" t="s">
        <v>817</v>
      </c>
      <c r="Z423" s="330"/>
      <c r="AA423" s="330"/>
      <c r="AB423" s="330"/>
      <c r="AD423" s="330" t="s">
        <v>836</v>
      </c>
      <c r="AE423" s="330"/>
      <c r="AF423" s="330"/>
      <c r="AH423" s="330" t="s">
        <v>818</v>
      </c>
      <c r="AI423" s="330"/>
      <c r="AJ423" s="330"/>
      <c r="AK423" s="330"/>
      <c r="AL423" s="330"/>
      <c r="AN423" s="330" t="s">
        <v>777</v>
      </c>
      <c r="AO423" s="330"/>
      <c r="AP423" s="330"/>
      <c r="AQ423" s="330"/>
      <c r="AS423" s="330" t="s">
        <v>837</v>
      </c>
      <c r="AT423" s="330"/>
      <c r="AU423" s="330"/>
      <c r="AV423" s="330"/>
      <c r="AX423" s="117"/>
      <c r="AY423" s="117"/>
      <c r="AZ423" s="117"/>
      <c r="BA423" s="117"/>
    </row>
    <row r="425" spans="1:54" x14ac:dyDescent="0.35">
      <c r="A425" s="109"/>
      <c r="B425" s="142">
        <v>0.8</v>
      </c>
      <c r="C425" s="142">
        <v>1</v>
      </c>
      <c r="D425" s="142">
        <v>1.2</v>
      </c>
      <c r="F425" s="109"/>
      <c r="G425" s="288">
        <f>100/150</f>
        <v>0.66666666666666663</v>
      </c>
      <c r="H425" s="142">
        <v>1</v>
      </c>
      <c r="I425" s="142">
        <f>250/150</f>
        <v>1.6666666666666667</v>
      </c>
      <c r="K425" s="109"/>
      <c r="L425" s="142">
        <v>0.8</v>
      </c>
      <c r="M425" s="142">
        <v>1</v>
      </c>
      <c r="O425" s="109"/>
      <c r="P425" s="142">
        <v>0.33</v>
      </c>
      <c r="Q425" s="142">
        <v>1</v>
      </c>
      <c r="R425" s="142">
        <v>1.67</v>
      </c>
      <c r="T425" s="144"/>
      <c r="U425" s="142">
        <v>0.5</v>
      </c>
      <c r="V425" s="142">
        <v>1</v>
      </c>
      <c r="W425" s="142">
        <v>1.5</v>
      </c>
      <c r="Y425" s="109"/>
      <c r="Z425" s="142">
        <v>1</v>
      </c>
      <c r="AA425" s="142">
        <v>1.5</v>
      </c>
      <c r="AB425" s="142">
        <v>2</v>
      </c>
      <c r="AD425" s="109"/>
      <c r="AE425" s="109" t="s">
        <v>417</v>
      </c>
      <c r="AF425" s="109" t="s">
        <v>814</v>
      </c>
      <c r="AH425" s="109"/>
      <c r="AI425" s="109">
        <v>0</v>
      </c>
      <c r="AJ425" s="109">
        <v>0.5</v>
      </c>
      <c r="AK425" s="109">
        <v>1</v>
      </c>
      <c r="AL425" s="109">
        <v>1.5</v>
      </c>
      <c r="AN425" s="109"/>
      <c r="AO425" s="109">
        <v>0.5</v>
      </c>
      <c r="AP425" s="109">
        <v>1</v>
      </c>
      <c r="AQ425" s="109">
        <v>2</v>
      </c>
      <c r="AS425" s="109"/>
      <c r="AT425" s="109">
        <v>0.5</v>
      </c>
      <c r="AU425" s="109">
        <v>1</v>
      </c>
      <c r="AV425" s="109">
        <v>2</v>
      </c>
      <c r="BB425" s="32"/>
    </row>
    <row r="426" spans="1:54" x14ac:dyDescent="0.35">
      <c r="A426" s="126" t="s">
        <v>889</v>
      </c>
      <c r="B426" s="126">
        <f>D35</f>
        <v>3.1944674172443256E-4</v>
      </c>
      <c r="C426" s="126">
        <f>D23</f>
        <v>3.337288673084206E-4</v>
      </c>
      <c r="D426" s="126">
        <f>D47</f>
        <v>3.4801099289240832E-4</v>
      </c>
      <c r="F426" s="126" t="s">
        <v>889</v>
      </c>
      <c r="G426" s="289">
        <f>D72</f>
        <v>-2.8424970437452386E-5</v>
      </c>
      <c r="H426" s="126">
        <f>D60</f>
        <v>3.337288673084206E-4</v>
      </c>
      <c r="I426" s="126">
        <f>D84</f>
        <v>1.0580365428001664E-3</v>
      </c>
      <c r="K426" s="126" t="s">
        <v>889</v>
      </c>
      <c r="L426" s="277">
        <f>D145</f>
        <v>6.4916108413552547E-4</v>
      </c>
      <c r="M426" s="277">
        <f>D121</f>
        <v>3.3372886730842044E-4</v>
      </c>
      <c r="O426" s="126" t="s">
        <v>889</v>
      </c>
      <c r="P426" s="126">
        <f>D219</f>
        <v>3.4866551899386488E-4</v>
      </c>
      <c r="Q426" s="126">
        <f>D207</f>
        <v>3.337288673084206E-4</v>
      </c>
      <c r="R426" s="126">
        <f>D231</f>
        <v>3.3000767381044006E-4</v>
      </c>
      <c r="T426" s="289" t="s">
        <v>889</v>
      </c>
      <c r="U426" s="126">
        <f>D182</f>
        <v>1.5954577346168407E-3</v>
      </c>
      <c r="V426" s="126">
        <f>D170</f>
        <v>3.3372886730842044E-4</v>
      </c>
      <c r="W426" s="126">
        <f>D194</f>
        <v>-8.6847421794386342E-5</v>
      </c>
      <c r="Y426" s="126" t="s">
        <v>889</v>
      </c>
      <c r="Z426" s="126"/>
      <c r="AA426" s="126"/>
      <c r="AB426" s="109"/>
      <c r="AD426" s="126" t="s">
        <v>889</v>
      </c>
      <c r="AE426" s="126">
        <f>D244</f>
        <v>3.3372886730842044E-4</v>
      </c>
      <c r="AF426" s="126">
        <f>D256</f>
        <v>3.5004685253034256E-4</v>
      </c>
      <c r="AH426" s="109"/>
      <c r="AI426" s="109"/>
      <c r="AJ426" s="109"/>
      <c r="AK426" s="109"/>
      <c r="AL426" s="109"/>
      <c r="AN426" s="109"/>
      <c r="AO426" s="109"/>
      <c r="AP426" s="109"/>
      <c r="AQ426" s="109"/>
      <c r="AS426" s="109"/>
      <c r="AT426" s="109"/>
      <c r="AU426" s="109"/>
      <c r="AV426" s="109"/>
    </row>
    <row r="427" spans="1:54" x14ac:dyDescent="0.35">
      <c r="A427" s="126" t="s">
        <v>891</v>
      </c>
      <c r="B427" s="126">
        <f>E35</f>
        <v>-5.1860807233224679E-4</v>
      </c>
      <c r="C427" s="126">
        <f>E23</f>
        <v>-5.0494298123702206E-4</v>
      </c>
      <c r="D427" s="126">
        <f>E47</f>
        <v>-4.9127789014179711E-4</v>
      </c>
      <c r="F427" s="126" t="s">
        <v>891</v>
      </c>
      <c r="G427" s="289">
        <f>E72</f>
        <v>-6.0847681189484112E-4</v>
      </c>
      <c r="H427" s="126">
        <f>E60</f>
        <v>-5.0494298123702206E-4</v>
      </c>
      <c r="I427" s="126">
        <f>E84</f>
        <v>-2.9787531992138351E-4</v>
      </c>
      <c r="K427" s="126" t="s">
        <v>891</v>
      </c>
      <c r="L427" s="277">
        <f>E145</f>
        <v>-3.991787265462776E-4</v>
      </c>
      <c r="M427" s="277">
        <f>E121</f>
        <v>-5.0494298123702195E-4</v>
      </c>
      <c r="O427" s="126" t="s">
        <v>891</v>
      </c>
      <c r="P427" s="126">
        <f>E219</f>
        <v>-4.9200098027144391E-4</v>
      </c>
      <c r="Q427" s="126">
        <f>E207</f>
        <v>-5.0494298123702206E-4</v>
      </c>
      <c r="R427" s="126">
        <f>E231</f>
        <v>-5.0812018010413574E-4</v>
      </c>
      <c r="T427" s="126" t="s">
        <v>891</v>
      </c>
      <c r="U427" s="126">
        <f>E182</f>
        <v>-8.1885962474044223E-5</v>
      </c>
      <c r="V427" s="126">
        <f>E170</f>
        <v>-5.0494298123702195E-4</v>
      </c>
      <c r="W427" s="126">
        <f>E194</f>
        <v>-6.4596198749134804E-4</v>
      </c>
      <c r="Y427" s="126" t="s">
        <v>891</v>
      </c>
      <c r="Z427" s="126"/>
      <c r="AA427" s="126"/>
      <c r="AB427" s="109"/>
      <c r="AD427" s="126" t="s">
        <v>891</v>
      </c>
      <c r="AE427" s="126">
        <f>E244</f>
        <v>-5.0494298123702195E-4</v>
      </c>
      <c r="AF427" s="126">
        <f>E256</f>
        <v>-4.9056459856105746E-4</v>
      </c>
      <c r="AH427" s="109"/>
      <c r="AI427" s="109"/>
      <c r="AJ427" s="109"/>
      <c r="AK427" s="109"/>
      <c r="AL427" s="109"/>
      <c r="AN427" s="109"/>
      <c r="AO427" s="109"/>
      <c r="AP427" s="109"/>
      <c r="AQ427" s="109"/>
      <c r="AS427" s="109"/>
      <c r="AT427" s="109"/>
      <c r="AU427" s="109"/>
      <c r="AV427" s="109"/>
    </row>
    <row r="428" spans="1:54" x14ac:dyDescent="0.35">
      <c r="A428" s="126" t="s">
        <v>890</v>
      </c>
      <c r="B428" s="126">
        <f>F35</f>
        <v>-6.7590982986943005E-4</v>
      </c>
      <c r="C428" s="126">
        <f>F23</f>
        <v>-6.6350885311152938E-4</v>
      </c>
      <c r="D428" s="126">
        <f>F47</f>
        <v>-6.5110787635362861E-4</v>
      </c>
      <c r="F428" s="126" t="s">
        <v>890</v>
      </c>
      <c r="G428" s="289">
        <f>F72</f>
        <v>-7.201542219987026E-4</v>
      </c>
      <c r="H428" s="126">
        <f>F60</f>
        <v>-6.6350885311152938E-4</v>
      </c>
      <c r="I428" s="126">
        <f>F84</f>
        <v>-5.5021811533718283E-4</v>
      </c>
      <c r="K428" s="126" t="s">
        <v>890</v>
      </c>
      <c r="L428" s="277">
        <f>F145</f>
        <v>-5.9738606638941186E-4</v>
      </c>
      <c r="M428" s="277">
        <f>F121</f>
        <v>-6.6350885311152927E-4</v>
      </c>
      <c r="O428" s="126" t="s">
        <v>890</v>
      </c>
      <c r="P428" s="126">
        <f>F219</f>
        <v>-6.5185906130331667E-4</v>
      </c>
      <c r="Q428" s="126">
        <f>F207</f>
        <v>-6.6350885311152938E-4</v>
      </c>
      <c r="R428" s="126">
        <f>F231</f>
        <v>-6.6641764423452249E-4</v>
      </c>
      <c r="T428" s="289" t="s">
        <v>890</v>
      </c>
      <c r="U428" s="126">
        <f>F182</f>
        <v>-3.9901770622305887E-4</v>
      </c>
      <c r="V428" s="126">
        <f>F170</f>
        <v>-6.6350885311152927E-4</v>
      </c>
      <c r="W428" s="126">
        <f>F194</f>
        <v>-7.5167256874101966E-4</v>
      </c>
      <c r="Y428" s="126" t="s">
        <v>890</v>
      </c>
      <c r="Z428" s="126"/>
      <c r="AA428" s="126"/>
      <c r="AB428" s="109"/>
      <c r="AD428" s="126" t="s">
        <v>890</v>
      </c>
      <c r="AE428" s="126">
        <f>F244</f>
        <v>-6.6350885311152927E-4</v>
      </c>
      <c r="AF428" s="126">
        <f>F256</f>
        <v>-6.5040008120357813E-4</v>
      </c>
      <c r="AH428" s="109"/>
      <c r="AI428" s="109"/>
      <c r="AJ428" s="109"/>
      <c r="AK428" s="109"/>
      <c r="AL428" s="109"/>
      <c r="AN428" s="109"/>
      <c r="AO428" s="109"/>
      <c r="AP428" s="109"/>
      <c r="AQ428" s="109"/>
      <c r="AS428" s="109"/>
      <c r="AT428" s="109"/>
      <c r="AU428" s="109"/>
      <c r="AV428" s="109"/>
    </row>
    <row r="429" spans="1:54" x14ac:dyDescent="0.35">
      <c r="A429" s="126" t="s">
        <v>892</v>
      </c>
      <c r="B429" s="126">
        <f>G35</f>
        <v>9.9879846374267421E-5</v>
      </c>
      <c r="C429" s="126">
        <f>G23</f>
        <v>1.1416197195825549E-4</v>
      </c>
      <c r="D429" s="126">
        <f>G47</f>
        <v>1.2844409754224318E-4</v>
      </c>
      <c r="F429" s="126" t="s">
        <v>892</v>
      </c>
      <c r="G429" s="289">
        <f>G72</f>
        <v>-1.7480290067089588E-4</v>
      </c>
      <c r="H429" s="126">
        <f>G60</f>
        <v>1.1416197195825549E-4</v>
      </c>
      <c r="I429" s="126">
        <f>G84</f>
        <v>6.9209171721655767E-4</v>
      </c>
      <c r="K429" s="126" t="s">
        <v>892</v>
      </c>
      <c r="L429" s="277">
        <f>G145</f>
        <v>3.7470246494781894E-4</v>
      </c>
      <c r="M429" s="277">
        <f>G121</f>
        <v>1.141619719582553E-4</v>
      </c>
      <c r="O429" s="126" t="s">
        <v>892</v>
      </c>
      <c r="P429" s="126">
        <f>G219</f>
        <v>1.2909862364369974E-4</v>
      </c>
      <c r="Q429" s="126">
        <f>G207</f>
        <v>1.1416197195825549E-4</v>
      </c>
      <c r="R429" s="126">
        <f>G231</f>
        <v>1.1044077846027493E-4</v>
      </c>
      <c r="T429" s="289" t="s">
        <v>892</v>
      </c>
      <c r="U429" s="126">
        <f>G182</f>
        <v>1.1563239439165104E-3</v>
      </c>
      <c r="V429" s="126">
        <f>G170</f>
        <v>1.141619719582553E-4</v>
      </c>
      <c r="W429" s="126">
        <f>G194</f>
        <v>-2.3322535202782984E-4</v>
      </c>
      <c r="Y429" s="126" t="s">
        <v>892</v>
      </c>
      <c r="Z429" s="126">
        <f>G269</f>
        <v>1.141619719582553E-4</v>
      </c>
      <c r="AA429" s="126">
        <f>G281</f>
        <v>1.7294998505541326E-5</v>
      </c>
      <c r="AB429" s="126">
        <f>G293</f>
        <v>-6.3427479371720393E-5</v>
      </c>
      <c r="AD429" s="126" t="s">
        <v>892</v>
      </c>
      <c r="AE429" s="126">
        <f>G244</f>
        <v>1.141619719582553E-4</v>
      </c>
      <c r="AF429" s="126">
        <f>G256</f>
        <v>1.3047995718017743E-4</v>
      </c>
      <c r="AH429" s="109"/>
      <c r="AI429" s="109"/>
      <c r="AJ429" s="109"/>
      <c r="AK429" s="109"/>
      <c r="AL429" s="109"/>
      <c r="AN429" s="109"/>
      <c r="AO429" s="109"/>
      <c r="AP429" s="109"/>
      <c r="AQ429" s="109"/>
      <c r="AS429" s="109"/>
      <c r="AT429" s="109"/>
      <c r="AU429" s="109"/>
      <c r="AV429" s="109"/>
    </row>
    <row r="430" spans="1:54" x14ac:dyDescent="0.35">
      <c r="A430" s="126" t="s">
        <v>893</v>
      </c>
      <c r="B430" s="126">
        <f>H35</f>
        <v>-5.5789831494892895E-4</v>
      </c>
      <c r="C430" s="126">
        <f>H23</f>
        <v>-5.4423322385370421E-4</v>
      </c>
      <c r="D430" s="126">
        <f>H47</f>
        <v>-5.3056813275847927E-4</v>
      </c>
      <c r="F430" s="126" t="s">
        <v>893</v>
      </c>
      <c r="G430" s="289">
        <f>H72</f>
        <v>-6.3467030697262911E-4</v>
      </c>
      <c r="H430" s="126">
        <f>H60</f>
        <v>-5.4423322385370421E-4</v>
      </c>
      <c r="I430" s="126">
        <f>H84</f>
        <v>-3.6335905761585377E-4</v>
      </c>
      <c r="K430" s="126" t="s">
        <v>893</v>
      </c>
      <c r="L430" s="277">
        <f>H145</f>
        <v>-4.4829152981713024E-4</v>
      </c>
      <c r="M430" s="277">
        <f>H121</f>
        <v>-5.4423322385370411E-4</v>
      </c>
      <c r="O430" s="126" t="s">
        <v>893</v>
      </c>
      <c r="P430" s="126">
        <f>H219</f>
        <v>-5.3129122288812596E-4</v>
      </c>
      <c r="Q430" s="126">
        <f>H207</f>
        <v>-5.4423322385370421E-4</v>
      </c>
      <c r="R430" s="126">
        <f>H231</f>
        <v>-5.4741042272081768E-4</v>
      </c>
      <c r="T430" s="289" t="s">
        <v>893</v>
      </c>
      <c r="U430" s="126">
        <f>H182</f>
        <v>-1.6046644770740831E-4</v>
      </c>
      <c r="V430" s="126">
        <f>H170</f>
        <v>-5.4423322385370411E-4</v>
      </c>
      <c r="W430" s="126">
        <f>H194</f>
        <v>-6.7215548256913614E-4</v>
      </c>
      <c r="Y430" s="126" t="s">
        <v>893</v>
      </c>
      <c r="Z430" s="126">
        <f>H269</f>
        <v>-5.4423322385370411E-4</v>
      </c>
      <c r="AA430" s="126">
        <f>H281</f>
        <v>-5.5107208795518014E-4</v>
      </c>
      <c r="AB430" s="126">
        <f>H293</f>
        <v>-5.5677114137307683E-4</v>
      </c>
      <c r="AD430" s="126" t="s">
        <v>893</v>
      </c>
      <c r="AE430" s="126">
        <f>H244</f>
        <v>-5.4423322385370411E-4</v>
      </c>
      <c r="AF430" s="126">
        <f>H256</f>
        <v>-5.2985484117773962E-4</v>
      </c>
      <c r="AH430" s="109"/>
      <c r="AI430" s="109"/>
      <c r="AJ430" s="109"/>
      <c r="AK430" s="109"/>
      <c r="AL430" s="109"/>
      <c r="AN430" s="109"/>
      <c r="AO430" s="109"/>
      <c r="AP430" s="109"/>
      <c r="AQ430" s="109"/>
      <c r="AS430" s="109"/>
      <c r="AT430" s="109"/>
      <c r="AU430" s="109"/>
      <c r="AV430" s="109"/>
    </row>
    <row r="431" spans="1:54" s="37" customFormat="1" x14ac:dyDescent="0.35">
      <c r="A431" s="126" t="s">
        <v>894</v>
      </c>
      <c r="B431" s="292">
        <f>I35</f>
        <v>-6.8374291006556153E-4</v>
      </c>
      <c r="C431" s="292">
        <f>I23</f>
        <v>-6.7134193330766075E-4</v>
      </c>
      <c r="D431" s="292">
        <f>I47</f>
        <v>-6.5894095654975998E-4</v>
      </c>
      <c r="F431" s="292" t="s">
        <v>894</v>
      </c>
      <c r="G431" s="293">
        <f>I72</f>
        <v>-7.2537627546279018E-4</v>
      </c>
      <c r="H431" s="293">
        <f>I60</f>
        <v>-6.7134193330766075E-4</v>
      </c>
      <c r="I431" s="293">
        <f>I84</f>
        <v>-5.6327324899740189E-4</v>
      </c>
      <c r="K431" s="292" t="s">
        <v>894</v>
      </c>
      <c r="L431" s="294">
        <f>I145</f>
        <v>-6.0717741663457599E-4</v>
      </c>
      <c r="M431" s="294">
        <f>I121</f>
        <v>-6.7134193330766075E-4</v>
      </c>
      <c r="O431" s="292" t="s">
        <v>894</v>
      </c>
      <c r="P431" s="292">
        <f>I219</f>
        <v>-6.5969214149944804E-4</v>
      </c>
      <c r="Q431" s="292">
        <f>I207</f>
        <v>-6.7134193330766075E-4</v>
      </c>
      <c r="R431" s="292">
        <f>I231</f>
        <v>-6.7425072443065386E-4</v>
      </c>
      <c r="T431" s="293" t="s">
        <v>894</v>
      </c>
      <c r="U431" s="292">
        <f>I182</f>
        <v>-4.1468386661532171E-4</v>
      </c>
      <c r="V431" s="292">
        <f>I170</f>
        <v>-6.7134193330766075E-4</v>
      </c>
      <c r="W431" s="292">
        <f>I194</f>
        <v>-7.5689462220510724E-4</v>
      </c>
      <c r="Y431" s="292" t="s">
        <v>894</v>
      </c>
      <c r="Z431" s="292">
        <f>I269</f>
        <v>-6.7134193330766075E-4</v>
      </c>
      <c r="AA431" s="292">
        <f>I281</f>
        <v>-6.6259166896737295E-4</v>
      </c>
      <c r="AB431" s="292">
        <f>I293</f>
        <v>-6.5529978201713294E-4</v>
      </c>
      <c r="AD431" s="292" t="s">
        <v>894</v>
      </c>
      <c r="AE431" s="292">
        <f>I244</f>
        <v>-6.7134193330766075E-4</v>
      </c>
      <c r="AF431" s="292">
        <f>I256</f>
        <v>-6.582331613997095E-4</v>
      </c>
      <c r="AH431" s="295"/>
      <c r="AI431" s="295"/>
      <c r="AJ431" s="295"/>
      <c r="AK431" s="295"/>
      <c r="AL431" s="295"/>
      <c r="AN431" s="295"/>
      <c r="AO431" s="295"/>
      <c r="AP431" s="295"/>
      <c r="AQ431" s="295"/>
      <c r="AS431" s="295"/>
      <c r="AT431" s="295"/>
      <c r="AU431" s="295"/>
      <c r="AV431" s="295"/>
      <c r="AX431" s="282"/>
      <c r="AY431" s="282"/>
      <c r="AZ431" s="282"/>
      <c r="BA431" s="282"/>
    </row>
    <row r="432" spans="1:54" s="37" customFormat="1" x14ac:dyDescent="0.35">
      <c r="A432" s="292" t="s">
        <v>896</v>
      </c>
      <c r="B432" s="292">
        <f>J35</f>
        <v>5.4703181996412613E-4</v>
      </c>
      <c r="C432" s="292">
        <f>J23</f>
        <v>5.7361821585479695E-4</v>
      </c>
      <c r="D432" s="292">
        <f>J47</f>
        <v>6.0020461174546734E-4</v>
      </c>
      <c r="F432" s="292" t="s">
        <v>896</v>
      </c>
      <c r="G432" s="292">
        <f>J72</f>
        <v>4.0552068039916933E-4</v>
      </c>
      <c r="H432" s="292">
        <f>J60</f>
        <v>5.7361821585479695E-4</v>
      </c>
      <c r="I432" s="292">
        <f>J84</f>
        <v>9.0981328676605219E-4</v>
      </c>
      <c r="K432" s="292" t="s">
        <v>896</v>
      </c>
      <c r="L432" s="294">
        <f>J145</f>
        <v>9.4902276981849595E-4</v>
      </c>
      <c r="M432" s="294">
        <f>J121</f>
        <v>5.7361821585479695E-4</v>
      </c>
      <c r="O432" s="292" t="s">
        <v>896</v>
      </c>
      <c r="P432" s="292">
        <f>J219</f>
        <v>5.8015565061340501E-4</v>
      </c>
      <c r="Q432" s="292">
        <f>J207</f>
        <v>5.7361821585479695E-4</v>
      </c>
      <c r="R432" s="292">
        <f>J231</f>
        <v>5.6149780542998019E-4</v>
      </c>
      <c r="T432" s="293" t="s">
        <v>896</v>
      </c>
      <c r="U432" s="292">
        <f>J182</f>
        <v>2.0752364317095937E-3</v>
      </c>
      <c r="V432" s="292">
        <f>J170</f>
        <v>5.7361821585479695E-4</v>
      </c>
      <c r="W432" s="292">
        <f>J194</f>
        <v>7.3078810569864559E-5</v>
      </c>
      <c r="Y432" s="292" t="s">
        <v>896</v>
      </c>
      <c r="Z432" s="292"/>
      <c r="AA432" s="292"/>
      <c r="AB432" s="295"/>
      <c r="AD432" s="292" t="s">
        <v>896</v>
      </c>
      <c r="AE432" s="292">
        <f>J244</f>
        <v>5.7361821585479695E-4</v>
      </c>
      <c r="AF432" s="292">
        <f>J256</f>
        <v>6.0625418629864098E-4</v>
      </c>
      <c r="AH432" s="295" t="s">
        <v>896</v>
      </c>
      <c r="AI432" s="277">
        <f>J318</f>
        <v>3.2147191267135541E-4</v>
      </c>
      <c r="AJ432" s="277">
        <f>J330</f>
        <v>4.0552068039916928E-4</v>
      </c>
      <c r="AK432" s="277">
        <f>J306</f>
        <v>5.7361821585479695E-4</v>
      </c>
      <c r="AL432" s="277">
        <f>J342</f>
        <v>1.0779108222216801E-3</v>
      </c>
      <c r="AN432" s="295" t="s">
        <v>896</v>
      </c>
      <c r="AO432" s="277">
        <f>J367</f>
        <v>3.1310213492009089E-5</v>
      </c>
      <c r="AP432" s="277">
        <f>J355</f>
        <v>5.7361821585479695E-4</v>
      </c>
      <c r="AQ432" s="278">
        <f>J379</f>
        <v>2.6556691738865122E-3</v>
      </c>
      <c r="AS432" s="295" t="s">
        <v>896</v>
      </c>
      <c r="AT432" s="277">
        <f>J404</f>
        <v>5.6653086030585714E-4</v>
      </c>
      <c r="AU432" s="277">
        <f>J392</f>
        <v>5.7361821585479695E-4</v>
      </c>
      <c r="AV432" s="278">
        <f>J416</f>
        <v>5.8724774575660474E-4</v>
      </c>
      <c r="AX432" s="282"/>
      <c r="AY432" s="282"/>
      <c r="AZ432" s="282"/>
      <c r="BA432" s="282"/>
    </row>
    <row r="433" spans="1:53" s="37" customFormat="1" x14ac:dyDescent="0.35">
      <c r="A433" s="292" t="s">
        <v>897</v>
      </c>
      <c r="B433" s="292">
        <f>K35</f>
        <v>4.265119986660268E-4</v>
      </c>
      <c r="C433" s="292">
        <f>K23</f>
        <v>4.5191652365878887E-4</v>
      </c>
      <c r="D433" s="292">
        <f>K47</f>
        <v>4.7732104865155116E-4</v>
      </c>
      <c r="F433" s="292" t="s">
        <v>897</v>
      </c>
      <c r="G433" s="292">
        <f>K72</f>
        <v>2.9608585870616116E-4</v>
      </c>
      <c r="H433" s="292">
        <f>K60</f>
        <v>4.5191652365878887E-4</v>
      </c>
      <c r="I433" s="293">
        <f>K84</f>
        <v>7.6357785356404452E-4</v>
      </c>
      <c r="K433" s="292" t="s">
        <v>897</v>
      </c>
      <c r="L433" s="294">
        <f>K145</f>
        <v>7.9689565457348606E-4</v>
      </c>
      <c r="M433" s="294">
        <f>K121</f>
        <v>4.5191652365878909E-4</v>
      </c>
      <c r="O433" s="292" t="s">
        <v>897</v>
      </c>
      <c r="P433" s="292">
        <f>K219</f>
        <v>4.5756209831553497E-4</v>
      </c>
      <c r="Q433" s="292">
        <f>K207</f>
        <v>4.5191652365878887E-4</v>
      </c>
      <c r="R433" s="292">
        <f>K231</f>
        <v>4.4144289848284315E-4</v>
      </c>
      <c r="T433" s="293" t="s">
        <v>897</v>
      </c>
      <c r="U433" s="292">
        <f>K182</f>
        <v>1.831833047317578E-3</v>
      </c>
      <c r="V433" s="292">
        <f>K170</f>
        <v>4.5191652365878909E-4</v>
      </c>
      <c r="W433" s="292">
        <f>K194</f>
        <v>-8.0556508941408622E-6</v>
      </c>
      <c r="Y433" s="292" t="s">
        <v>897</v>
      </c>
      <c r="Z433" s="292"/>
      <c r="AA433" s="292"/>
      <c r="AB433" s="295"/>
      <c r="AD433" s="292" t="s">
        <v>897</v>
      </c>
      <c r="AE433" s="292">
        <f>K244</f>
        <v>4.5191652365878909E-4</v>
      </c>
      <c r="AF433" s="292">
        <f>K256</f>
        <v>4.8067328901071806E-4</v>
      </c>
      <c r="AH433" s="295" t="s">
        <v>897</v>
      </c>
      <c r="AI433" s="277">
        <f>K318</f>
        <v>2.1817052622984733E-4</v>
      </c>
      <c r="AJ433" s="277">
        <f>K330</f>
        <v>2.960858587061611E-4</v>
      </c>
      <c r="AK433" s="277">
        <f>K306</f>
        <v>4.5191652365878887E-4</v>
      </c>
      <c r="AL433" s="277">
        <f>K342</f>
        <v>9.194085185166719E-4</v>
      </c>
      <c r="AN433" s="295" t="s">
        <v>897</v>
      </c>
      <c r="AO433" s="277">
        <f>K367</f>
        <v>-7.7293496072148034E-5</v>
      </c>
      <c r="AP433" s="277">
        <f>K355</f>
        <v>4.5191652365878887E-4</v>
      </c>
      <c r="AQ433" s="278">
        <f>K379</f>
        <v>2.4836704628616855E-3</v>
      </c>
      <c r="AS433" s="295" t="s">
        <v>897</v>
      </c>
      <c r="AT433" s="277">
        <f>K404</f>
        <v>4.4534636589321867E-4</v>
      </c>
      <c r="AU433" s="277">
        <f>K392</f>
        <v>4.5191652365878887E-4</v>
      </c>
      <c r="AV433" s="278">
        <f>K416</f>
        <v>4.6455144243873171E-4</v>
      </c>
      <c r="AX433" s="282"/>
      <c r="AY433" s="282"/>
      <c r="AZ433" s="282"/>
      <c r="BA433" s="282"/>
    </row>
    <row r="434" spans="1:53" s="37" customFormat="1" x14ac:dyDescent="0.35">
      <c r="A434" s="292" t="s">
        <v>895</v>
      </c>
      <c r="B434" s="292">
        <f>L35</f>
        <v>3.3341077907400845E-4</v>
      </c>
      <c r="C434" s="292">
        <f>L23</f>
        <v>3.5635339086070183E-4</v>
      </c>
      <c r="D434" s="292">
        <f>L47</f>
        <v>3.792960026473951E-4</v>
      </c>
      <c r="F434" s="292" t="s">
        <v>895</v>
      </c>
      <c r="G434" s="292">
        <f>L72</f>
        <v>2.0681134324324437E-4</v>
      </c>
      <c r="H434" s="292">
        <f>L60</f>
        <v>3.5635339086070183E-4</v>
      </c>
      <c r="I434" s="293">
        <f>L84</f>
        <v>6.5543748609561681E-4</v>
      </c>
      <c r="K434" s="292" t="s">
        <v>895</v>
      </c>
      <c r="L434" s="294">
        <f>L145</f>
        <v>6.7744173857587687E-4</v>
      </c>
      <c r="M434" s="294">
        <f>L121</f>
        <v>3.5635339086070178E-4</v>
      </c>
      <c r="O434" s="292" t="s">
        <v>895</v>
      </c>
      <c r="P434" s="292">
        <f>L219</f>
        <v>3.6141747089896766E-4</v>
      </c>
      <c r="Q434" s="292">
        <f>L207</f>
        <v>3.5635339086070183E-4</v>
      </c>
      <c r="R434" s="292">
        <f>L231</f>
        <v>3.4685888796776173E-4</v>
      </c>
      <c r="T434" s="293" t="s">
        <v>895</v>
      </c>
      <c r="U434" s="292">
        <f>L182</f>
        <v>1.6407067817214033E-3</v>
      </c>
      <c r="V434" s="292">
        <f>L170</f>
        <v>3.5635339086070178E-4</v>
      </c>
      <c r="W434" s="292">
        <f>L194</f>
        <v>-7.1764406092865484E-5</v>
      </c>
      <c r="Y434" s="292" t="s">
        <v>895</v>
      </c>
      <c r="Z434" s="292"/>
      <c r="AA434" s="292"/>
      <c r="AB434" s="295"/>
      <c r="AD434" s="292" t="s">
        <v>895</v>
      </c>
      <c r="AE434" s="292">
        <f>L244</f>
        <v>3.5635339086070178E-4</v>
      </c>
      <c r="AF434" s="292">
        <f>L256</f>
        <v>3.8257093467660428E-4</v>
      </c>
      <c r="AH434" s="295" t="s">
        <v>895</v>
      </c>
      <c r="AI434" s="277">
        <f>L318</f>
        <v>1.320403194345155E-4</v>
      </c>
      <c r="AJ434" s="277">
        <f>L330</f>
        <v>2.0681134324324421E-4</v>
      </c>
      <c r="AK434" s="277">
        <f>L306</f>
        <v>3.5635339086070183E-4</v>
      </c>
      <c r="AL434" s="277">
        <f>L342</f>
        <v>8.0497953371307422E-4</v>
      </c>
      <c r="AN434" s="295" t="s">
        <v>895</v>
      </c>
      <c r="AO434" s="277">
        <f>L367</f>
        <v>-1.3516345366354013E-4</v>
      </c>
      <c r="AP434" s="277">
        <f>L355</f>
        <v>3.5635339086070183E-4</v>
      </c>
      <c r="AQ434" s="278">
        <f>L379</f>
        <v>2.2428531844522329E-3</v>
      </c>
      <c r="AS434" s="295" t="s">
        <v>895</v>
      </c>
      <c r="AT434" s="277">
        <f>L404</f>
        <v>3.5004837479899278E-4</v>
      </c>
      <c r="AU434" s="277">
        <f>L392</f>
        <v>3.5635339086070183E-4</v>
      </c>
      <c r="AV434" s="278">
        <f>L416</f>
        <v>3.6847842174860391E-4</v>
      </c>
      <c r="AX434" s="282"/>
      <c r="AY434" s="282"/>
      <c r="AZ434" s="282"/>
      <c r="BA434" s="282"/>
    </row>
    <row r="438" spans="1:53" ht="15.5" x14ac:dyDescent="0.35">
      <c r="A438" s="51"/>
      <c r="B438" s="4"/>
      <c r="C438" s="4"/>
      <c r="D438" s="4"/>
      <c r="E438" s="4"/>
      <c r="F438" s="4"/>
      <c r="G438" s="4"/>
      <c r="H438" s="4"/>
      <c r="I438" s="4"/>
      <c r="J438" s="4"/>
      <c r="K438" s="4"/>
      <c r="L438" s="4"/>
      <c r="M438" s="4"/>
      <c r="N438" s="4"/>
      <c r="O438" s="4"/>
      <c r="P438" s="4"/>
      <c r="Q438" s="4"/>
      <c r="R438" s="4"/>
      <c r="S438" s="4"/>
      <c r="U438" s="4"/>
      <c r="V438" s="4"/>
      <c r="W438" s="4"/>
      <c r="X438" s="4"/>
      <c r="Y438" s="4"/>
      <c r="Z438" s="4"/>
      <c r="AA438" s="4"/>
      <c r="AB438" s="4"/>
      <c r="AC438" s="4"/>
      <c r="AD438" s="4"/>
      <c r="AE438" s="4"/>
    </row>
    <row r="440" spans="1:53" x14ac:dyDescent="0.35">
      <c r="T440" s="282"/>
    </row>
    <row r="441" spans="1:53" x14ac:dyDescent="0.35">
      <c r="A441" s="126" t="s">
        <v>889</v>
      </c>
      <c r="M441" s="126" t="s">
        <v>891</v>
      </c>
      <c r="Q441" s="33"/>
      <c r="T441" s="282"/>
      <c r="Y441" s="126" t="s">
        <v>890</v>
      </c>
      <c r="AN441" s="33"/>
    </row>
    <row r="442" spans="1:53" x14ac:dyDescent="0.35">
      <c r="A442" s="109"/>
      <c r="B442" s="142">
        <v>0</v>
      </c>
      <c r="C442" s="142">
        <v>0.33</v>
      </c>
      <c r="D442" s="142">
        <v>0.5</v>
      </c>
      <c r="E442" s="142">
        <v>0.67</v>
      </c>
      <c r="F442" s="142">
        <v>0.8</v>
      </c>
      <c r="G442" s="142">
        <v>1</v>
      </c>
      <c r="H442" s="142">
        <v>1.2</v>
      </c>
      <c r="I442" s="142">
        <v>1.5</v>
      </c>
      <c r="J442" s="142">
        <v>1.67</v>
      </c>
      <c r="K442" s="142">
        <v>2</v>
      </c>
      <c r="M442" s="109"/>
      <c r="N442" s="142">
        <v>0</v>
      </c>
      <c r="O442" s="142">
        <v>0.33</v>
      </c>
      <c r="P442" s="142">
        <v>0.5</v>
      </c>
      <c r="Q442" s="288">
        <v>0.67</v>
      </c>
      <c r="R442" s="142">
        <v>0.8</v>
      </c>
      <c r="S442" s="142">
        <v>1</v>
      </c>
      <c r="T442" s="142">
        <v>1.2</v>
      </c>
      <c r="U442" s="142">
        <v>1.5</v>
      </c>
      <c r="V442" s="142">
        <v>1.67</v>
      </c>
      <c r="W442" s="142">
        <v>2</v>
      </c>
      <c r="Y442" s="109"/>
      <c r="Z442" s="142">
        <v>0</v>
      </c>
      <c r="AA442" s="142">
        <v>0.33</v>
      </c>
      <c r="AB442" s="142">
        <v>0.5</v>
      </c>
      <c r="AC442" s="142">
        <v>0.67</v>
      </c>
      <c r="AD442" s="142">
        <v>0.8</v>
      </c>
      <c r="AE442" s="142">
        <v>1</v>
      </c>
      <c r="AF442" s="142">
        <v>1.2</v>
      </c>
      <c r="AG442" s="142">
        <v>1.5</v>
      </c>
      <c r="AH442" s="142">
        <v>1.67</v>
      </c>
      <c r="AI442" s="142"/>
      <c r="AN442" s="34"/>
    </row>
    <row r="443" spans="1:53" x14ac:dyDescent="0.35">
      <c r="A443" s="109" t="s">
        <v>150</v>
      </c>
      <c r="B443" s="277"/>
      <c r="C443" s="277"/>
      <c r="D443" s="277"/>
      <c r="E443" s="277"/>
      <c r="F443" s="277">
        <f>B426</f>
        <v>3.1944674172443256E-4</v>
      </c>
      <c r="G443" s="277">
        <f>C426</f>
        <v>3.337288673084206E-4</v>
      </c>
      <c r="H443" s="277">
        <f>D426</f>
        <v>3.4801099289240832E-4</v>
      </c>
      <c r="I443" s="277"/>
      <c r="J443" s="277"/>
      <c r="K443" s="109"/>
      <c r="M443" s="109" t="s">
        <v>150</v>
      </c>
      <c r="N443" s="109"/>
      <c r="O443" s="126"/>
      <c r="P443" s="126"/>
      <c r="Q443" s="289"/>
      <c r="R443" s="126">
        <f>B427</f>
        <v>-5.1860807233224679E-4</v>
      </c>
      <c r="S443" s="126">
        <f>C427</f>
        <v>-5.0494298123702206E-4</v>
      </c>
      <c r="T443" s="126">
        <f>D427</f>
        <v>-4.9127789014179711E-4</v>
      </c>
      <c r="U443" s="126"/>
      <c r="V443" s="126"/>
      <c r="W443" s="126"/>
      <c r="Y443" s="109" t="s">
        <v>150</v>
      </c>
      <c r="Z443" s="109"/>
      <c r="AA443" s="126"/>
      <c r="AB443" s="126"/>
      <c r="AC443" s="126"/>
      <c r="AD443" s="126">
        <f>B428</f>
        <v>-6.7590982986943005E-4</v>
      </c>
      <c r="AE443" s="126">
        <f>C428</f>
        <v>-6.6350885311152938E-4</v>
      </c>
      <c r="AF443" s="126">
        <f>D428</f>
        <v>-6.5110787635362861E-4</v>
      </c>
      <c r="AG443" s="126"/>
      <c r="AH443" s="126"/>
      <c r="AI443" s="126"/>
      <c r="AN443" s="33"/>
    </row>
    <row r="444" spans="1:53" x14ac:dyDescent="0.35">
      <c r="A444" s="109" t="s">
        <v>151</v>
      </c>
      <c r="B444" s="277"/>
      <c r="C444" s="277"/>
      <c r="D444" s="277"/>
      <c r="E444" s="277">
        <f>G426</f>
        <v>-2.8424970437452386E-5</v>
      </c>
      <c r="F444" s="277"/>
      <c r="G444" s="277">
        <f>H426</f>
        <v>3.337288673084206E-4</v>
      </c>
      <c r="H444" s="277"/>
      <c r="I444" s="277"/>
      <c r="J444" s="277">
        <f>I426</f>
        <v>1.0580365428001664E-3</v>
      </c>
      <c r="K444" s="109"/>
      <c r="M444" s="109" t="s">
        <v>151</v>
      </c>
      <c r="N444" s="109"/>
      <c r="O444" s="126"/>
      <c r="P444" s="126"/>
      <c r="Q444" s="289">
        <f>G427</f>
        <v>-6.0847681189484112E-4</v>
      </c>
      <c r="R444" s="126"/>
      <c r="S444" s="126">
        <f>H427</f>
        <v>-5.0494298123702206E-4</v>
      </c>
      <c r="T444" s="126"/>
      <c r="U444" s="126"/>
      <c r="V444" s="126">
        <f>I427</f>
        <v>-2.9787531992138351E-4</v>
      </c>
      <c r="W444" s="126"/>
      <c r="Y444" s="109" t="s">
        <v>151</v>
      </c>
      <c r="Z444" s="109"/>
      <c r="AA444" s="126"/>
      <c r="AB444" s="126"/>
      <c r="AC444" s="126">
        <f>G428</f>
        <v>-7.201542219987026E-4</v>
      </c>
      <c r="AD444" s="126"/>
      <c r="AE444" s="126">
        <f>H428</f>
        <v>-6.6350885311152938E-4</v>
      </c>
      <c r="AF444" s="126"/>
      <c r="AG444" s="126"/>
      <c r="AH444" s="126">
        <f>I428</f>
        <v>-5.5021811533718283E-4</v>
      </c>
      <c r="AI444" s="126"/>
      <c r="AN444" s="35"/>
    </row>
    <row r="445" spans="1:53" x14ac:dyDescent="0.35">
      <c r="A445" s="109" t="s">
        <v>511</v>
      </c>
      <c r="B445" s="277"/>
      <c r="C445" s="277"/>
      <c r="D445" s="277"/>
      <c r="E445" s="277"/>
      <c r="F445" s="277">
        <f>L426</f>
        <v>6.4916108413552547E-4</v>
      </c>
      <c r="G445" s="277">
        <f>M426</f>
        <v>3.3372886730842044E-4</v>
      </c>
      <c r="H445" s="277"/>
      <c r="I445" s="277"/>
      <c r="J445" s="277"/>
      <c r="K445" s="109"/>
      <c r="M445" s="109" t="s">
        <v>511</v>
      </c>
      <c r="N445" s="109"/>
      <c r="O445" s="126"/>
      <c r="P445" s="126"/>
      <c r="Q445" s="289"/>
      <c r="R445" s="126">
        <f>L427</f>
        <v>-3.991787265462776E-4</v>
      </c>
      <c r="S445" s="126">
        <f>M427</f>
        <v>-5.0494298123702195E-4</v>
      </c>
      <c r="T445" s="126"/>
      <c r="U445" s="126"/>
      <c r="V445" s="126"/>
      <c r="W445" s="126"/>
      <c r="Y445" s="109" t="s">
        <v>511</v>
      </c>
      <c r="Z445" s="109"/>
      <c r="AA445" s="126"/>
      <c r="AB445" s="126"/>
      <c r="AC445" s="126"/>
      <c r="AD445" s="126">
        <f>L428</f>
        <v>-5.9738606638941186E-4</v>
      </c>
      <c r="AE445" s="126">
        <f>M428</f>
        <v>-6.6350885311152927E-4</v>
      </c>
      <c r="AF445" s="126"/>
      <c r="AG445" s="126"/>
      <c r="AH445" s="126"/>
      <c r="AI445" s="126"/>
      <c r="AN445" s="33"/>
    </row>
    <row r="446" spans="1:53" x14ac:dyDescent="0.35">
      <c r="A446" s="109" t="s">
        <v>461</v>
      </c>
      <c r="B446" s="277"/>
      <c r="C446" s="277">
        <f>P426</f>
        <v>3.4866551899386488E-4</v>
      </c>
      <c r="D446" s="277"/>
      <c r="E446" s="277"/>
      <c r="F446" s="277"/>
      <c r="G446" s="277">
        <f>Q426</f>
        <v>3.337288673084206E-4</v>
      </c>
      <c r="H446" s="277"/>
      <c r="I446" s="277"/>
      <c r="J446" s="277">
        <f>R426</f>
        <v>3.3000767381044006E-4</v>
      </c>
      <c r="K446" s="109"/>
      <c r="M446" s="109" t="s">
        <v>461</v>
      </c>
      <c r="N446" s="109"/>
      <c r="O446" s="126">
        <f>P427</f>
        <v>-4.9200098027144391E-4</v>
      </c>
      <c r="P446" s="126"/>
      <c r="Q446" s="289"/>
      <c r="R446" s="126"/>
      <c r="S446" s="126">
        <f>V427</f>
        <v>-5.0494298123702195E-4</v>
      </c>
      <c r="T446" s="126"/>
      <c r="U446" s="126"/>
      <c r="V446" s="126">
        <f>R427</f>
        <v>-5.0812018010413574E-4</v>
      </c>
      <c r="W446" s="126"/>
      <c r="Y446" s="109" t="s">
        <v>461</v>
      </c>
      <c r="Z446" s="109"/>
      <c r="AA446" s="126">
        <f>P428</f>
        <v>-6.5185906130331667E-4</v>
      </c>
      <c r="AB446" s="126"/>
      <c r="AC446" s="126"/>
      <c r="AD446" s="126"/>
      <c r="AE446" s="126">
        <f>Q428</f>
        <v>-6.6350885311152938E-4</v>
      </c>
      <c r="AF446" s="126"/>
      <c r="AG446" s="126"/>
      <c r="AH446" s="126">
        <f>R428</f>
        <v>-6.6641764423452249E-4</v>
      </c>
      <c r="AI446" s="126"/>
      <c r="AN446" s="33"/>
    </row>
    <row r="447" spans="1:53" x14ac:dyDescent="0.35">
      <c r="A447" s="109" t="s">
        <v>163</v>
      </c>
      <c r="B447" s="277"/>
      <c r="C447" s="277"/>
      <c r="D447" s="277">
        <f>U426</f>
        <v>1.5954577346168407E-3</v>
      </c>
      <c r="E447" s="277"/>
      <c r="F447" s="277"/>
      <c r="G447" s="277">
        <f>V426</f>
        <v>3.3372886730842044E-4</v>
      </c>
      <c r="H447" s="277"/>
      <c r="I447" s="277">
        <f>W426</f>
        <v>-8.6847421794386342E-5</v>
      </c>
      <c r="J447" s="277"/>
      <c r="K447" s="109"/>
      <c r="M447" s="109" t="s">
        <v>163</v>
      </c>
      <c r="N447" s="109"/>
      <c r="O447" s="126"/>
      <c r="P447" s="126">
        <f>U427</f>
        <v>-8.1885962474044223E-5</v>
      </c>
      <c r="Q447" s="289"/>
      <c r="R447" s="126"/>
      <c r="S447" s="126">
        <f>V427</f>
        <v>-5.0494298123702195E-4</v>
      </c>
      <c r="T447" s="126"/>
      <c r="U447" s="126">
        <f>W427</f>
        <v>-6.4596198749134804E-4</v>
      </c>
      <c r="V447" s="126"/>
      <c r="W447" s="126"/>
      <c r="Y447" s="109" t="s">
        <v>163</v>
      </c>
      <c r="Z447" s="109"/>
      <c r="AA447" s="126"/>
      <c r="AB447" s="126">
        <f>U428</f>
        <v>-3.9901770622305887E-4</v>
      </c>
      <c r="AC447" s="126"/>
      <c r="AD447" s="126"/>
      <c r="AE447" s="126">
        <f>V428</f>
        <v>-6.6350885311152927E-4</v>
      </c>
      <c r="AF447" s="126"/>
      <c r="AG447" s="126">
        <f>W428</f>
        <v>-7.5167256874101966E-4</v>
      </c>
      <c r="AH447" s="126"/>
      <c r="AI447" s="126"/>
      <c r="AN447" s="33"/>
    </row>
    <row r="448" spans="1:53" x14ac:dyDescent="0.35">
      <c r="A448" s="144" t="s">
        <v>815</v>
      </c>
      <c r="B448" s="277"/>
      <c r="C448" s="277"/>
      <c r="D448" s="277"/>
      <c r="E448" s="277"/>
      <c r="F448" s="277"/>
      <c r="G448" s="277">
        <f>AF426</f>
        <v>3.5004685253034256E-4</v>
      </c>
      <c r="H448" s="277"/>
      <c r="I448" s="277"/>
      <c r="J448" s="277"/>
      <c r="K448" s="109"/>
      <c r="M448" s="144" t="s">
        <v>815</v>
      </c>
      <c r="N448" s="109"/>
      <c r="O448" s="126"/>
      <c r="P448" s="126"/>
      <c r="Q448" s="289"/>
      <c r="R448" s="126"/>
      <c r="S448" s="126">
        <f>AF427</f>
        <v>-4.9056459856105746E-4</v>
      </c>
      <c r="T448" s="126"/>
      <c r="U448" s="126"/>
      <c r="V448" s="126"/>
      <c r="W448" s="126"/>
      <c r="Y448" s="144" t="s">
        <v>815</v>
      </c>
      <c r="Z448" s="109"/>
      <c r="AA448" s="109"/>
      <c r="AB448" s="109"/>
      <c r="AC448" s="109"/>
      <c r="AD448" s="109"/>
      <c r="AE448" s="126">
        <f>AF428</f>
        <v>-6.5040008120357813E-4</v>
      </c>
      <c r="AF448" s="109"/>
      <c r="AG448" s="109"/>
      <c r="AH448" s="109"/>
      <c r="AI448" s="109"/>
      <c r="AN448" s="33"/>
    </row>
    <row r="449" spans="1:40" x14ac:dyDescent="0.35">
      <c r="AN449" s="33"/>
    </row>
    <row r="450" spans="1:40" x14ac:dyDescent="0.35">
      <c r="AN450" s="33"/>
    </row>
    <row r="451" spans="1:40" x14ac:dyDescent="0.35">
      <c r="A451" s="126" t="s">
        <v>892</v>
      </c>
      <c r="M451" s="126" t="s">
        <v>893</v>
      </c>
      <c r="O451" s="33"/>
      <c r="T451" s="282"/>
      <c r="Y451" s="126" t="s">
        <v>894</v>
      </c>
      <c r="AN451" s="33"/>
    </row>
    <row r="452" spans="1:40" x14ac:dyDescent="0.35">
      <c r="A452" s="109"/>
      <c r="B452" s="142">
        <v>0</v>
      </c>
      <c r="C452" s="142">
        <v>0.33</v>
      </c>
      <c r="D452" s="142">
        <v>0.5</v>
      </c>
      <c r="E452" s="142">
        <v>0.67</v>
      </c>
      <c r="F452" s="142">
        <v>0.8</v>
      </c>
      <c r="G452" s="142">
        <v>1</v>
      </c>
      <c r="H452" s="142">
        <v>1.2</v>
      </c>
      <c r="I452" s="142">
        <v>1.5</v>
      </c>
      <c r="J452" s="142">
        <v>1.67</v>
      </c>
      <c r="K452" s="142">
        <v>2</v>
      </c>
      <c r="M452" s="109"/>
      <c r="N452" s="142">
        <v>0</v>
      </c>
      <c r="O452" s="288">
        <v>0.33</v>
      </c>
      <c r="P452" s="142">
        <v>0.5</v>
      </c>
      <c r="Q452" s="142">
        <v>0.67</v>
      </c>
      <c r="R452" s="142">
        <v>0.8</v>
      </c>
      <c r="S452" s="142">
        <v>1</v>
      </c>
      <c r="T452" s="142">
        <v>1.2</v>
      </c>
      <c r="U452" s="142">
        <v>1.5</v>
      </c>
      <c r="V452" s="142">
        <v>1.67</v>
      </c>
      <c r="W452" s="142">
        <v>2</v>
      </c>
      <c r="Y452" s="109"/>
      <c r="Z452" s="142">
        <v>0</v>
      </c>
      <c r="AA452" s="142">
        <v>0.33</v>
      </c>
      <c r="AB452" s="142">
        <v>0.5</v>
      </c>
      <c r="AC452" s="142">
        <v>0.67</v>
      </c>
      <c r="AD452" s="142">
        <v>0.8</v>
      </c>
      <c r="AE452" s="142">
        <v>1</v>
      </c>
      <c r="AF452" s="142">
        <v>1.2</v>
      </c>
      <c r="AG452" s="142">
        <v>1.5</v>
      </c>
      <c r="AH452" s="142">
        <v>1.67</v>
      </c>
      <c r="AI452" s="142">
        <v>2</v>
      </c>
      <c r="AN452" s="33"/>
    </row>
    <row r="453" spans="1:40" x14ac:dyDescent="0.35">
      <c r="A453" s="109" t="s">
        <v>150</v>
      </c>
      <c r="B453" s="109"/>
      <c r="C453" s="126"/>
      <c r="D453" s="126"/>
      <c r="E453" s="126"/>
      <c r="F453" s="126">
        <f>B429</f>
        <v>9.9879846374267421E-5</v>
      </c>
      <c r="G453" s="126">
        <f>C429</f>
        <v>1.1416197195825549E-4</v>
      </c>
      <c r="H453" s="126">
        <f>D429</f>
        <v>1.2844409754224318E-4</v>
      </c>
      <c r="I453" s="126"/>
      <c r="J453" s="126"/>
      <c r="K453" s="126"/>
      <c r="M453" s="109" t="s">
        <v>150</v>
      </c>
      <c r="N453" s="109"/>
      <c r="O453" s="289"/>
      <c r="P453" s="126"/>
      <c r="Q453" s="126"/>
      <c r="R453" s="126">
        <f>B430</f>
        <v>-5.5789831494892895E-4</v>
      </c>
      <c r="S453" s="126">
        <f>C430</f>
        <v>-5.4423322385370421E-4</v>
      </c>
      <c r="T453" s="126">
        <f>D430</f>
        <v>-5.3056813275847927E-4</v>
      </c>
      <c r="U453" s="126"/>
      <c r="V453" s="126"/>
      <c r="W453" s="126"/>
      <c r="Y453" s="109" t="s">
        <v>150</v>
      </c>
      <c r="Z453" s="109"/>
      <c r="AA453" s="126"/>
      <c r="AB453" s="126"/>
      <c r="AC453" s="126"/>
      <c r="AD453" s="126">
        <f>B431</f>
        <v>-6.8374291006556153E-4</v>
      </c>
      <c r="AE453" s="126">
        <f>C431</f>
        <v>-6.7134193330766075E-4</v>
      </c>
      <c r="AF453" s="126">
        <f>D431</f>
        <v>-6.5894095654975998E-4</v>
      </c>
      <c r="AG453" s="126"/>
      <c r="AH453" s="126"/>
      <c r="AI453" s="126"/>
      <c r="AN453" s="33"/>
    </row>
    <row r="454" spans="1:40" x14ac:dyDescent="0.35">
      <c r="A454" s="109" t="s">
        <v>151</v>
      </c>
      <c r="B454" s="109"/>
      <c r="C454" s="126"/>
      <c r="D454" s="126"/>
      <c r="E454" s="126">
        <f>G429</f>
        <v>-1.7480290067089588E-4</v>
      </c>
      <c r="F454" s="126"/>
      <c r="G454" s="126">
        <f>H429</f>
        <v>1.1416197195825549E-4</v>
      </c>
      <c r="H454" s="126"/>
      <c r="I454" s="126"/>
      <c r="J454" s="126">
        <f>I429</f>
        <v>6.9209171721655767E-4</v>
      </c>
      <c r="K454" s="126"/>
      <c r="M454" s="109" t="s">
        <v>151</v>
      </c>
      <c r="N454" s="109"/>
      <c r="O454" s="289"/>
      <c r="P454" s="126"/>
      <c r="Q454" s="126">
        <f>G430</f>
        <v>-6.3467030697262911E-4</v>
      </c>
      <c r="R454" s="126"/>
      <c r="S454" s="126">
        <f>H430</f>
        <v>-5.4423322385370421E-4</v>
      </c>
      <c r="T454" s="126"/>
      <c r="U454" s="126"/>
      <c r="V454" s="126">
        <f>I430</f>
        <v>-3.6335905761585377E-4</v>
      </c>
      <c r="W454" s="126"/>
      <c r="Y454" s="109" t="s">
        <v>151</v>
      </c>
      <c r="Z454" s="109"/>
      <c r="AA454" s="126"/>
      <c r="AB454" s="126"/>
      <c r="AC454" s="126">
        <f>G431</f>
        <v>-7.2537627546279018E-4</v>
      </c>
      <c r="AD454" s="126"/>
      <c r="AE454" s="126">
        <f>H431</f>
        <v>-6.7134193330766075E-4</v>
      </c>
      <c r="AF454" s="126"/>
      <c r="AG454" s="126"/>
      <c r="AH454" s="126">
        <f>I431</f>
        <v>-5.6327324899740189E-4</v>
      </c>
      <c r="AI454" s="126"/>
      <c r="AN454" s="33"/>
    </row>
    <row r="455" spans="1:40" x14ac:dyDescent="0.35">
      <c r="A455" s="109" t="s">
        <v>511</v>
      </c>
      <c r="B455" s="109"/>
      <c r="C455" s="126"/>
      <c r="D455" s="126"/>
      <c r="E455" s="126"/>
      <c r="F455" s="126">
        <f>L429</f>
        <v>3.7470246494781894E-4</v>
      </c>
      <c r="G455" s="126">
        <f>M429</f>
        <v>1.141619719582553E-4</v>
      </c>
      <c r="H455" s="126"/>
      <c r="I455" s="126"/>
      <c r="J455" s="126"/>
      <c r="K455" s="126"/>
      <c r="M455" s="109" t="s">
        <v>511</v>
      </c>
      <c r="N455" s="109"/>
      <c r="O455" s="289"/>
      <c r="P455" s="126"/>
      <c r="Q455" s="126"/>
      <c r="R455" s="126">
        <f>L430</f>
        <v>-4.4829152981713024E-4</v>
      </c>
      <c r="S455" s="126">
        <f>M430</f>
        <v>-5.4423322385370411E-4</v>
      </c>
      <c r="T455" s="126"/>
      <c r="U455" s="126"/>
      <c r="V455" s="126"/>
      <c r="W455" s="126"/>
      <c r="Y455" s="109" t="s">
        <v>511</v>
      </c>
      <c r="Z455" s="109"/>
      <c r="AA455" s="126"/>
      <c r="AB455" s="126"/>
      <c r="AC455" s="126"/>
      <c r="AD455" s="126">
        <f>L431</f>
        <v>-6.0717741663457599E-4</v>
      </c>
      <c r="AE455" s="126">
        <f>M431</f>
        <v>-6.7134193330766075E-4</v>
      </c>
      <c r="AF455" s="126"/>
      <c r="AG455" s="126"/>
      <c r="AH455" s="126"/>
      <c r="AI455" s="126"/>
      <c r="AN455" s="33"/>
    </row>
    <row r="456" spans="1:40" x14ac:dyDescent="0.35">
      <c r="A456" s="109" t="s">
        <v>461</v>
      </c>
      <c r="B456" s="109"/>
      <c r="C456" s="126">
        <f>P429</f>
        <v>1.2909862364369974E-4</v>
      </c>
      <c r="D456" s="126"/>
      <c r="E456" s="126"/>
      <c r="F456" s="126"/>
      <c r="G456" s="126">
        <f>Q429</f>
        <v>1.1416197195825549E-4</v>
      </c>
      <c r="H456" s="126"/>
      <c r="I456" s="126"/>
      <c r="J456" s="126">
        <f>R429</f>
        <v>1.1044077846027493E-4</v>
      </c>
      <c r="K456" s="126"/>
      <c r="M456" s="109" t="s">
        <v>461</v>
      </c>
      <c r="N456" s="109"/>
      <c r="O456" s="289">
        <f>P430</f>
        <v>-5.3129122288812596E-4</v>
      </c>
      <c r="P456" s="126"/>
      <c r="Q456" s="126"/>
      <c r="R456" s="126"/>
      <c r="S456" s="126">
        <f>Q430</f>
        <v>-5.4423322385370421E-4</v>
      </c>
      <c r="T456" s="126"/>
      <c r="U456" s="126"/>
      <c r="V456" s="126">
        <f>R430</f>
        <v>-5.4741042272081768E-4</v>
      </c>
      <c r="W456" s="126"/>
      <c r="Y456" s="109" t="s">
        <v>461</v>
      </c>
      <c r="Z456" s="109"/>
      <c r="AA456" s="126">
        <f>P431</f>
        <v>-6.5969214149944804E-4</v>
      </c>
      <c r="AB456" s="126"/>
      <c r="AC456" s="126"/>
      <c r="AD456" s="126"/>
      <c r="AE456" s="126">
        <f>Q431</f>
        <v>-6.7134193330766075E-4</v>
      </c>
      <c r="AF456" s="126"/>
      <c r="AG456" s="126"/>
      <c r="AH456" s="126">
        <f>R431</f>
        <v>-6.7425072443065386E-4</v>
      </c>
      <c r="AI456" s="126"/>
      <c r="AN456" s="33"/>
    </row>
    <row r="457" spans="1:40" x14ac:dyDescent="0.35">
      <c r="A457" s="109" t="s">
        <v>163</v>
      </c>
      <c r="B457" s="109"/>
      <c r="C457" s="126"/>
      <c r="D457" s="126">
        <f>U429</f>
        <v>1.1563239439165104E-3</v>
      </c>
      <c r="E457" s="126"/>
      <c r="F457" s="126"/>
      <c r="G457" s="126">
        <f>V429</f>
        <v>1.141619719582553E-4</v>
      </c>
      <c r="H457" s="126"/>
      <c r="I457" s="126">
        <f>W429</f>
        <v>-2.3322535202782984E-4</v>
      </c>
      <c r="J457" s="126"/>
      <c r="K457" s="126"/>
      <c r="M457" s="109" t="s">
        <v>163</v>
      </c>
      <c r="N457" s="109"/>
      <c r="O457" s="289"/>
      <c r="P457" s="126">
        <f>U430</f>
        <v>-1.6046644770740831E-4</v>
      </c>
      <c r="Q457" s="126"/>
      <c r="R457" s="126"/>
      <c r="S457" s="126">
        <f>V430</f>
        <v>-5.4423322385370411E-4</v>
      </c>
      <c r="T457" s="126"/>
      <c r="U457" s="126">
        <f>W430</f>
        <v>-6.7215548256913614E-4</v>
      </c>
      <c r="V457" s="126"/>
      <c r="W457" s="126"/>
      <c r="Y457" s="109" t="s">
        <v>163</v>
      </c>
      <c r="Z457" s="109"/>
      <c r="AA457" s="126"/>
      <c r="AB457" s="126">
        <f>U431</f>
        <v>-4.1468386661532171E-4</v>
      </c>
      <c r="AC457" s="126"/>
      <c r="AD457" s="126"/>
      <c r="AE457" s="126">
        <f>V431</f>
        <v>-6.7134193330766075E-4</v>
      </c>
      <c r="AF457" s="126"/>
      <c r="AG457" s="126">
        <f>W431</f>
        <v>-7.5689462220510724E-4</v>
      </c>
      <c r="AH457" s="126"/>
      <c r="AI457" s="126"/>
      <c r="AN457" s="33"/>
    </row>
    <row r="458" spans="1:40" x14ac:dyDescent="0.35">
      <c r="A458" s="144" t="s">
        <v>817</v>
      </c>
      <c r="B458" s="109"/>
      <c r="C458" s="109"/>
      <c r="D458" s="109"/>
      <c r="E458" s="109"/>
      <c r="F458" s="109"/>
      <c r="G458" s="126">
        <f>Z429</f>
        <v>1.141619719582553E-4</v>
      </c>
      <c r="H458" s="109"/>
      <c r="I458" s="126">
        <f>AA429</f>
        <v>1.7294998505541326E-5</v>
      </c>
      <c r="J458" s="109"/>
      <c r="K458" s="126">
        <f>AB429</f>
        <v>-6.3427479371720393E-5</v>
      </c>
      <c r="M458" s="144" t="s">
        <v>817</v>
      </c>
      <c r="N458" s="109"/>
      <c r="O458" s="144"/>
      <c r="P458" s="109"/>
      <c r="Q458" s="109"/>
      <c r="R458" s="109"/>
      <c r="S458" s="126">
        <f>Z430</f>
        <v>-5.4423322385370411E-4</v>
      </c>
      <c r="T458" s="109"/>
      <c r="U458" s="126">
        <f>AA430</f>
        <v>-5.5107208795518014E-4</v>
      </c>
      <c r="V458" s="109"/>
      <c r="W458" s="126">
        <f>AB430</f>
        <v>-5.5677114137307683E-4</v>
      </c>
      <c r="Y458" s="144" t="s">
        <v>817</v>
      </c>
      <c r="Z458" s="109"/>
      <c r="AA458" s="109"/>
      <c r="AB458" s="109"/>
      <c r="AC458" s="109"/>
      <c r="AD458" s="109"/>
      <c r="AE458" s="126">
        <f>Z431</f>
        <v>-6.7134193330766075E-4</v>
      </c>
      <c r="AF458" s="109"/>
      <c r="AG458" s="126">
        <f>AA431</f>
        <v>-6.6259166896737295E-4</v>
      </c>
      <c r="AH458" s="109"/>
      <c r="AI458" s="126">
        <f>AB431</f>
        <v>-6.5529978201713294E-4</v>
      </c>
      <c r="AN458" s="33"/>
    </row>
    <row r="459" spans="1:40" x14ac:dyDescent="0.35">
      <c r="A459" s="144" t="s">
        <v>815</v>
      </c>
      <c r="B459" s="109"/>
      <c r="C459" s="109"/>
      <c r="D459" s="109"/>
      <c r="E459" s="109"/>
      <c r="F459" s="109"/>
      <c r="G459" s="126">
        <f>AF429</f>
        <v>1.3047995718017743E-4</v>
      </c>
      <c r="H459" s="109"/>
      <c r="I459" s="109"/>
      <c r="J459" s="109"/>
      <c r="K459" s="109"/>
      <c r="M459" s="144" t="s">
        <v>815</v>
      </c>
      <c r="N459" s="109"/>
      <c r="O459" s="144"/>
      <c r="P459" s="109"/>
      <c r="Q459" s="109"/>
      <c r="R459" s="109"/>
      <c r="S459" s="126">
        <f>AF430</f>
        <v>-5.2985484117773962E-4</v>
      </c>
      <c r="T459" s="109"/>
      <c r="U459" s="109"/>
      <c r="V459" s="109"/>
      <c r="W459" s="109"/>
      <c r="Y459" s="144" t="s">
        <v>815</v>
      </c>
      <c r="Z459" s="109"/>
      <c r="AA459" s="109"/>
      <c r="AB459" s="109"/>
      <c r="AC459" s="109"/>
      <c r="AD459" s="109"/>
      <c r="AE459" s="126">
        <f>AF431</f>
        <v>-6.582331613997095E-4</v>
      </c>
      <c r="AF459" s="109"/>
      <c r="AG459" s="109"/>
      <c r="AH459" s="109"/>
      <c r="AI459" s="109"/>
      <c r="AN459" s="33"/>
    </row>
    <row r="460" spans="1:40" x14ac:dyDescent="0.35">
      <c r="AN460" s="33"/>
    </row>
    <row r="461" spans="1:40" x14ac:dyDescent="0.35">
      <c r="AN461" s="33"/>
    </row>
    <row r="462" spans="1:40" x14ac:dyDescent="0.35">
      <c r="A462" s="126" t="s">
        <v>896</v>
      </c>
      <c r="M462" s="292" t="s">
        <v>897</v>
      </c>
      <c r="P462" s="33"/>
      <c r="T462" s="282"/>
      <c r="Y462" s="292" t="s">
        <v>895</v>
      </c>
      <c r="AN462" s="33"/>
    </row>
    <row r="463" spans="1:40" x14ac:dyDescent="0.35">
      <c r="A463" s="109"/>
      <c r="B463" s="142">
        <v>0</v>
      </c>
      <c r="C463" s="142">
        <v>0.33</v>
      </c>
      <c r="D463" s="142">
        <v>0.5</v>
      </c>
      <c r="E463" s="142">
        <v>0.67</v>
      </c>
      <c r="F463" s="142">
        <v>0.8</v>
      </c>
      <c r="G463" s="142">
        <v>1</v>
      </c>
      <c r="H463" s="142">
        <v>1.2</v>
      </c>
      <c r="I463" s="142">
        <v>1.5</v>
      </c>
      <c r="J463" s="142">
        <v>1.67</v>
      </c>
      <c r="K463" s="142">
        <v>2</v>
      </c>
      <c r="M463" s="109"/>
      <c r="N463" s="142">
        <v>0</v>
      </c>
      <c r="O463" s="142">
        <v>0.33</v>
      </c>
      <c r="P463" s="288">
        <v>0.5</v>
      </c>
      <c r="Q463" s="142">
        <v>0.67</v>
      </c>
      <c r="R463" s="142">
        <v>0.8</v>
      </c>
      <c r="S463" s="142">
        <v>1</v>
      </c>
      <c r="T463" s="142">
        <v>1.2</v>
      </c>
      <c r="U463" s="142">
        <v>1.5</v>
      </c>
      <c r="V463" s="142">
        <v>1.67</v>
      </c>
      <c r="W463" s="142">
        <v>2</v>
      </c>
      <c r="Y463" s="109"/>
      <c r="Z463" s="142">
        <v>0</v>
      </c>
      <c r="AA463" s="142">
        <v>0.33</v>
      </c>
      <c r="AB463" s="142">
        <v>0.5</v>
      </c>
      <c r="AC463" s="142">
        <v>0.67</v>
      </c>
      <c r="AD463" s="142">
        <v>0.8</v>
      </c>
      <c r="AE463" s="142">
        <v>1</v>
      </c>
      <c r="AF463" s="142">
        <v>1.2</v>
      </c>
      <c r="AG463" s="142">
        <v>1.5</v>
      </c>
      <c r="AH463" s="142">
        <v>1.67</v>
      </c>
      <c r="AI463" s="142">
        <v>2</v>
      </c>
      <c r="AN463" s="33"/>
    </row>
    <row r="464" spans="1:40" x14ac:dyDescent="0.35">
      <c r="A464" s="109" t="s">
        <v>150</v>
      </c>
      <c r="B464" s="109"/>
      <c r="C464" s="126"/>
      <c r="D464" s="126"/>
      <c r="E464" s="126"/>
      <c r="F464" s="126">
        <f>B432</f>
        <v>5.4703181996412613E-4</v>
      </c>
      <c r="G464" s="126">
        <f>C432</f>
        <v>5.7361821585479695E-4</v>
      </c>
      <c r="H464" s="126">
        <f>D432</f>
        <v>6.0020461174546734E-4</v>
      </c>
      <c r="I464" s="126"/>
      <c r="J464" s="126"/>
      <c r="K464" s="126"/>
      <c r="M464" s="109" t="s">
        <v>150</v>
      </c>
      <c r="N464" s="109"/>
      <c r="O464" s="126"/>
      <c r="P464" s="289"/>
      <c r="Q464" s="126"/>
      <c r="R464" s="126">
        <f>B433</f>
        <v>4.265119986660268E-4</v>
      </c>
      <c r="S464" s="126">
        <f>C433</f>
        <v>4.5191652365878887E-4</v>
      </c>
      <c r="T464" s="126">
        <f>D433</f>
        <v>4.7732104865155116E-4</v>
      </c>
      <c r="U464" s="126"/>
      <c r="V464" s="126"/>
      <c r="W464" s="126"/>
      <c r="Y464" s="109" t="s">
        <v>150</v>
      </c>
      <c r="Z464" s="109"/>
      <c r="AA464" s="126"/>
      <c r="AB464" s="126"/>
      <c r="AC464" s="126"/>
      <c r="AD464" s="126">
        <f>B434</f>
        <v>3.3341077907400845E-4</v>
      </c>
      <c r="AE464" s="126">
        <f>C434</f>
        <v>3.5635339086070183E-4</v>
      </c>
      <c r="AF464" s="126">
        <f>R433</f>
        <v>4.4144289848284315E-4</v>
      </c>
      <c r="AG464" s="126"/>
      <c r="AH464" s="126"/>
      <c r="AI464" s="126"/>
      <c r="AN464" s="33"/>
    </row>
    <row r="465" spans="1:42" x14ac:dyDescent="0.35">
      <c r="A465" s="109" t="s">
        <v>151</v>
      </c>
      <c r="B465" s="109"/>
      <c r="C465" s="126"/>
      <c r="D465" s="126"/>
      <c r="E465" s="126">
        <f>G432</f>
        <v>4.0552068039916933E-4</v>
      </c>
      <c r="F465" s="126"/>
      <c r="G465" s="126">
        <f>H432</f>
        <v>5.7361821585479695E-4</v>
      </c>
      <c r="H465" s="126"/>
      <c r="I465" s="126"/>
      <c r="J465" s="126">
        <f>I432</f>
        <v>9.0981328676605219E-4</v>
      </c>
      <c r="K465" s="126"/>
      <c r="M465" s="109" t="s">
        <v>151</v>
      </c>
      <c r="N465" s="109"/>
      <c r="O465" s="126"/>
      <c r="P465" s="289"/>
      <c r="Q465" s="126">
        <f>G433</f>
        <v>2.9608585870616116E-4</v>
      </c>
      <c r="R465" s="126"/>
      <c r="S465" s="126">
        <f>H433</f>
        <v>4.5191652365878887E-4</v>
      </c>
      <c r="T465" s="126"/>
      <c r="U465" s="126"/>
      <c r="V465" s="126">
        <f>I433</f>
        <v>7.6357785356404452E-4</v>
      </c>
      <c r="W465" s="126"/>
      <c r="Y465" s="109" t="s">
        <v>151</v>
      </c>
      <c r="Z465" s="109"/>
      <c r="AA465" s="126"/>
      <c r="AB465" s="126"/>
      <c r="AC465" s="126">
        <f>G434</f>
        <v>2.0681134324324437E-4</v>
      </c>
      <c r="AD465" s="126"/>
      <c r="AE465" s="126">
        <f>H434</f>
        <v>3.5635339086070183E-4</v>
      </c>
      <c r="AF465" s="126"/>
      <c r="AG465" s="126"/>
      <c r="AH465" s="126">
        <f>I434</f>
        <v>6.5543748609561681E-4</v>
      </c>
      <c r="AI465" s="126"/>
      <c r="AN465" s="33"/>
    </row>
    <row r="466" spans="1:42" x14ac:dyDescent="0.35">
      <c r="A466" s="109" t="s">
        <v>511</v>
      </c>
      <c r="B466" s="109"/>
      <c r="C466" s="126"/>
      <c r="D466" s="126"/>
      <c r="E466" s="126"/>
      <c r="F466" s="126">
        <f>L432</f>
        <v>9.4902276981849595E-4</v>
      </c>
      <c r="G466" s="126">
        <f>M432</f>
        <v>5.7361821585479695E-4</v>
      </c>
      <c r="H466" s="126"/>
      <c r="I466" s="126"/>
      <c r="J466" s="126"/>
      <c r="K466" s="126"/>
      <c r="M466" s="109" t="s">
        <v>511</v>
      </c>
      <c r="N466" s="109"/>
      <c r="O466" s="126"/>
      <c r="P466" s="289"/>
      <c r="Q466" s="126"/>
      <c r="R466" s="126">
        <f>L433</f>
        <v>7.9689565457348606E-4</v>
      </c>
      <c r="S466" s="126">
        <f>M433</f>
        <v>4.5191652365878909E-4</v>
      </c>
      <c r="T466" s="126"/>
      <c r="U466" s="126"/>
      <c r="V466" s="126"/>
      <c r="W466" s="126"/>
      <c r="Y466" s="109" t="s">
        <v>511</v>
      </c>
      <c r="Z466" s="109"/>
      <c r="AA466" s="126"/>
      <c r="AB466" s="126"/>
      <c r="AC466" s="126"/>
      <c r="AD466" s="126">
        <f>L434</f>
        <v>6.7744173857587687E-4</v>
      </c>
      <c r="AE466" s="126">
        <f>M434</f>
        <v>3.5635339086070178E-4</v>
      </c>
      <c r="AF466" s="126"/>
      <c r="AG466" s="126"/>
      <c r="AH466" s="126"/>
      <c r="AI466" s="126"/>
      <c r="AN466" s="33"/>
    </row>
    <row r="467" spans="1:42" x14ac:dyDescent="0.35">
      <c r="A467" s="109" t="s">
        <v>461</v>
      </c>
      <c r="B467" s="109"/>
      <c r="C467" s="126">
        <f>P432</f>
        <v>5.8015565061340501E-4</v>
      </c>
      <c r="D467" s="126"/>
      <c r="E467" s="126"/>
      <c r="F467" s="126"/>
      <c r="G467" s="126">
        <f>Q432</f>
        <v>5.7361821585479695E-4</v>
      </c>
      <c r="H467" s="126"/>
      <c r="I467" s="126"/>
      <c r="J467" s="126">
        <f>R432</f>
        <v>5.6149780542998019E-4</v>
      </c>
      <c r="K467" s="126"/>
      <c r="M467" s="109" t="s">
        <v>461</v>
      </c>
      <c r="N467" s="109"/>
      <c r="O467" s="126">
        <f>P433</f>
        <v>4.5756209831553497E-4</v>
      </c>
      <c r="P467" s="289"/>
      <c r="Q467" s="126"/>
      <c r="R467" s="126"/>
      <c r="S467" s="126">
        <f>Q433</f>
        <v>4.5191652365878887E-4</v>
      </c>
      <c r="T467" s="126"/>
      <c r="U467" s="126"/>
      <c r="V467" s="126">
        <f>R433</f>
        <v>4.4144289848284315E-4</v>
      </c>
      <c r="W467" s="126"/>
      <c r="Y467" s="109" t="s">
        <v>461</v>
      </c>
      <c r="Z467" s="109"/>
      <c r="AA467" s="126">
        <f>P434</f>
        <v>3.6141747089896766E-4</v>
      </c>
      <c r="AB467" s="126"/>
      <c r="AC467" s="126"/>
      <c r="AD467" s="126"/>
      <c r="AE467" s="126">
        <f>Q434</f>
        <v>3.5635339086070183E-4</v>
      </c>
      <c r="AF467" s="126"/>
      <c r="AG467" s="126"/>
      <c r="AH467" s="126">
        <f>R434</f>
        <v>3.4685888796776173E-4</v>
      </c>
      <c r="AI467" s="126"/>
      <c r="AN467" s="33"/>
    </row>
    <row r="468" spans="1:42" x14ac:dyDescent="0.35">
      <c r="A468" s="109" t="s">
        <v>163</v>
      </c>
      <c r="B468" s="109"/>
      <c r="C468" s="126"/>
      <c r="D468" s="126">
        <f>U432</f>
        <v>2.0752364317095937E-3</v>
      </c>
      <c r="E468" s="126"/>
      <c r="F468" s="126"/>
      <c r="G468" s="126">
        <f>V432</f>
        <v>5.7361821585479695E-4</v>
      </c>
      <c r="H468" s="126"/>
      <c r="I468" s="126">
        <f>W432</f>
        <v>7.3078810569864559E-5</v>
      </c>
      <c r="J468" s="126"/>
      <c r="K468" s="126"/>
      <c r="M468" s="109" t="s">
        <v>163</v>
      </c>
      <c r="N468" s="109"/>
      <c r="O468" s="126"/>
      <c r="P468" s="289">
        <f>U433</f>
        <v>1.831833047317578E-3</v>
      </c>
      <c r="Q468" s="126"/>
      <c r="R468" s="126"/>
      <c r="S468" s="126">
        <f>V433</f>
        <v>4.5191652365878909E-4</v>
      </c>
      <c r="T468" s="126"/>
      <c r="U468" s="126">
        <f>W433</f>
        <v>-8.0556508941408622E-6</v>
      </c>
      <c r="V468" s="126"/>
      <c r="W468" s="126"/>
      <c r="Y468" s="109" t="s">
        <v>163</v>
      </c>
      <c r="Z468" s="109"/>
      <c r="AA468" s="126"/>
      <c r="AB468" s="126">
        <f>U434</f>
        <v>1.6407067817214033E-3</v>
      </c>
      <c r="AC468" s="126"/>
      <c r="AD468" s="126"/>
      <c r="AE468" s="126">
        <f>V434</f>
        <v>3.5635339086070178E-4</v>
      </c>
      <c r="AF468" s="126"/>
      <c r="AG468" s="126">
        <f>W434</f>
        <v>-7.1764406092865484E-5</v>
      </c>
      <c r="AH468" s="126"/>
      <c r="AI468" s="126"/>
      <c r="AN468" s="33"/>
    </row>
    <row r="469" spans="1:42" x14ac:dyDescent="0.35">
      <c r="A469" s="144" t="s">
        <v>818</v>
      </c>
      <c r="B469" s="277">
        <f>AI432</f>
        <v>3.2147191267135541E-4</v>
      </c>
      <c r="C469" s="109"/>
      <c r="D469" s="277">
        <f>AJ432</f>
        <v>4.0552068039916928E-4</v>
      </c>
      <c r="E469" s="109"/>
      <c r="F469" s="109"/>
      <c r="G469" s="126">
        <f>AK432</f>
        <v>5.7361821585479695E-4</v>
      </c>
      <c r="H469" s="109"/>
      <c r="I469" s="126">
        <f>AL432</f>
        <v>1.0779108222216801E-3</v>
      </c>
      <c r="J469" s="109"/>
      <c r="K469" s="126"/>
      <c r="M469" s="144" t="s">
        <v>818</v>
      </c>
      <c r="N469" s="277">
        <f>AI433</f>
        <v>2.1817052622984733E-4</v>
      </c>
      <c r="O469" s="109"/>
      <c r="P469" s="296">
        <f>AJ433</f>
        <v>2.960858587061611E-4</v>
      </c>
      <c r="Q469" s="109"/>
      <c r="R469" s="109"/>
      <c r="S469" s="126">
        <f>AK433</f>
        <v>4.5191652365878887E-4</v>
      </c>
      <c r="T469" s="109"/>
      <c r="U469" s="126">
        <f>AL433</f>
        <v>9.194085185166719E-4</v>
      </c>
      <c r="V469" s="109"/>
      <c r="W469" s="126"/>
      <c r="Y469" s="144" t="s">
        <v>818</v>
      </c>
      <c r="Z469" s="277">
        <f>AI434</f>
        <v>1.320403194345155E-4</v>
      </c>
      <c r="AA469" s="109"/>
      <c r="AB469" s="277">
        <f>AJ434</f>
        <v>2.0681134324324421E-4</v>
      </c>
      <c r="AC469" s="109"/>
      <c r="AD469" s="109"/>
      <c r="AE469" s="126">
        <f>AK434</f>
        <v>3.5635339086070183E-4</v>
      </c>
      <c r="AF469" s="109"/>
      <c r="AG469" s="126">
        <f>AL434</f>
        <v>8.0497953371307422E-4</v>
      </c>
      <c r="AH469" s="109"/>
      <c r="AI469" s="126"/>
      <c r="AN469" s="33"/>
    </row>
    <row r="470" spans="1:42" x14ac:dyDescent="0.35">
      <c r="A470" s="144" t="s">
        <v>777</v>
      </c>
      <c r="B470" s="109"/>
      <c r="C470" s="109"/>
      <c r="D470" s="277">
        <f>AO432</f>
        <v>3.1310213492009089E-5</v>
      </c>
      <c r="E470" s="109"/>
      <c r="F470" s="109"/>
      <c r="G470" s="277">
        <f>AU432</f>
        <v>5.7361821585479695E-4</v>
      </c>
      <c r="H470" s="109"/>
      <c r="I470" s="109"/>
      <c r="J470" s="109"/>
      <c r="K470" s="278">
        <f>AQ432</f>
        <v>2.6556691738865122E-3</v>
      </c>
      <c r="M470" s="144" t="s">
        <v>777</v>
      </c>
      <c r="N470" s="109"/>
      <c r="O470" s="109"/>
      <c r="P470" s="296">
        <f>AO433</f>
        <v>-7.7293496072148034E-5</v>
      </c>
      <c r="Q470" s="109"/>
      <c r="R470" s="109"/>
      <c r="S470" s="277">
        <f>AP433</f>
        <v>4.5191652365878887E-4</v>
      </c>
      <c r="T470" s="109"/>
      <c r="U470" s="109"/>
      <c r="V470" s="109"/>
      <c r="W470" s="278">
        <f>AQ433</f>
        <v>2.4836704628616855E-3</v>
      </c>
      <c r="Y470" s="144" t="s">
        <v>777</v>
      </c>
      <c r="Z470" s="109"/>
      <c r="AA470" s="109"/>
      <c r="AB470" s="277">
        <f>AO434</f>
        <v>-1.3516345366354013E-4</v>
      </c>
      <c r="AC470" s="109"/>
      <c r="AD470" s="109"/>
      <c r="AE470" s="277">
        <f>AP434</f>
        <v>3.5635339086070183E-4</v>
      </c>
      <c r="AF470" s="109"/>
      <c r="AG470" s="109"/>
      <c r="AH470" s="109"/>
      <c r="AI470" s="278">
        <f>AQ434</f>
        <v>2.2428531844522329E-3</v>
      </c>
      <c r="AN470" s="33"/>
    </row>
    <row r="471" spans="1:42" x14ac:dyDescent="0.35">
      <c r="A471" s="144" t="s">
        <v>837</v>
      </c>
      <c r="B471" s="109"/>
      <c r="C471" s="109"/>
      <c r="D471" s="277">
        <f>AT432</f>
        <v>5.6653086030585714E-4</v>
      </c>
      <c r="E471" s="109"/>
      <c r="F471" s="109"/>
      <c r="G471" s="277">
        <f>AU432</f>
        <v>5.7361821585479695E-4</v>
      </c>
      <c r="H471" s="109"/>
      <c r="I471" s="109"/>
      <c r="J471" s="109"/>
      <c r="K471" s="278">
        <f>AV432</f>
        <v>5.8724774575660474E-4</v>
      </c>
      <c r="M471" s="144" t="s">
        <v>837</v>
      </c>
      <c r="N471" s="109"/>
      <c r="O471" s="109"/>
      <c r="P471" s="296">
        <f>AT433</f>
        <v>4.4534636589321867E-4</v>
      </c>
      <c r="Q471" s="109"/>
      <c r="R471" s="109"/>
      <c r="S471" s="277">
        <f>AU433</f>
        <v>4.5191652365878887E-4</v>
      </c>
      <c r="T471" s="109"/>
      <c r="U471" s="109"/>
      <c r="V471" s="109"/>
      <c r="W471" s="278">
        <f>AV433</f>
        <v>4.6455144243873171E-4</v>
      </c>
      <c r="Y471" s="144" t="s">
        <v>837</v>
      </c>
      <c r="Z471" s="109"/>
      <c r="AA471" s="109"/>
      <c r="AB471" s="277">
        <f>AT434</f>
        <v>3.5004837479899278E-4</v>
      </c>
      <c r="AC471" s="109"/>
      <c r="AD471" s="109"/>
      <c r="AE471" s="277">
        <f>AU434</f>
        <v>3.5635339086070183E-4</v>
      </c>
      <c r="AF471" s="109"/>
      <c r="AG471" s="109"/>
      <c r="AH471" s="109"/>
      <c r="AI471" s="278">
        <f>AV434</f>
        <v>3.6847842174860391E-4</v>
      </c>
      <c r="AN471" s="33"/>
    </row>
    <row r="472" spans="1:42" x14ac:dyDescent="0.35">
      <c r="A472" s="144" t="s">
        <v>815</v>
      </c>
      <c r="B472" s="109"/>
      <c r="C472" s="109"/>
      <c r="D472" s="109"/>
      <c r="E472" s="109"/>
      <c r="F472" s="109"/>
      <c r="G472" s="126">
        <f>AF432</f>
        <v>6.0625418629864098E-4</v>
      </c>
      <c r="H472" s="109"/>
      <c r="I472" s="109"/>
      <c r="J472" s="109"/>
      <c r="K472" s="109"/>
      <c r="L472" s="33"/>
      <c r="M472" s="144" t="s">
        <v>815</v>
      </c>
      <c r="N472" s="109"/>
      <c r="O472" s="109"/>
      <c r="P472" s="144"/>
      <c r="Q472" s="109"/>
      <c r="R472" s="109"/>
      <c r="S472" s="126">
        <f>AF433</f>
        <v>4.8067328901071806E-4</v>
      </c>
      <c r="T472" s="109"/>
      <c r="U472" s="109"/>
      <c r="V472" s="109"/>
      <c r="W472" s="109"/>
      <c r="X472" s="33"/>
      <c r="Y472" s="144" t="s">
        <v>815</v>
      </c>
      <c r="Z472" s="109"/>
      <c r="AA472" s="109"/>
      <c r="AB472" s="109"/>
      <c r="AC472" s="109"/>
      <c r="AD472" s="109"/>
      <c r="AE472" s="126">
        <f>AF434</f>
        <v>3.8257093467660428E-4</v>
      </c>
      <c r="AF472" s="109"/>
      <c r="AG472" s="109"/>
      <c r="AH472" s="109"/>
      <c r="AI472" s="109"/>
    </row>
    <row r="473" spans="1:42" x14ac:dyDescent="0.35">
      <c r="B473" s="33"/>
      <c r="P473" s="33"/>
      <c r="Q473" s="33"/>
      <c r="W473" s="299"/>
      <c r="AE473" s="33"/>
    </row>
    <row r="474" spans="1:42" x14ac:dyDescent="0.35">
      <c r="B474" s="33"/>
      <c r="P474" s="33"/>
      <c r="Q474" s="33"/>
      <c r="T474" s="282"/>
    </row>
    <row r="475" spans="1:42" x14ac:dyDescent="0.35">
      <c r="B475" s="33"/>
      <c r="N475" s="32"/>
      <c r="P475" s="33"/>
      <c r="Q475" s="33"/>
      <c r="T475" s="282"/>
      <c r="AC475" s="32"/>
      <c r="AP475" s="32"/>
    </row>
    <row r="476" spans="1:42" x14ac:dyDescent="0.35">
      <c r="B476" s="33"/>
      <c r="P476" s="33"/>
      <c r="Q476" s="33"/>
      <c r="T476" s="282"/>
    </row>
    <row r="477" spans="1:42" x14ac:dyDescent="0.35">
      <c r="B477" s="33"/>
      <c r="N477" s="3"/>
      <c r="P477" s="33"/>
      <c r="Q477" s="33"/>
      <c r="T477" s="282"/>
      <c r="AC477" s="3"/>
      <c r="AP477" s="3"/>
    </row>
    <row r="478" spans="1:42" x14ac:dyDescent="0.35">
      <c r="B478" s="33"/>
      <c r="P478" s="33"/>
      <c r="Q478" s="33"/>
      <c r="T478" s="282"/>
    </row>
    <row r="479" spans="1:42" x14ac:dyDescent="0.35">
      <c r="B479" s="33"/>
      <c r="P479" s="33"/>
      <c r="Q479" s="33"/>
      <c r="T479" s="282"/>
    </row>
    <row r="480" spans="1:42" x14ac:dyDescent="0.35">
      <c r="B480" s="33"/>
      <c r="P480" s="33"/>
      <c r="Q480" s="33"/>
      <c r="T480" s="282"/>
    </row>
    <row r="481" spans="2:39" x14ac:dyDescent="0.35">
      <c r="B481" s="33"/>
      <c r="P481" s="33"/>
      <c r="Q481" s="33"/>
      <c r="T481" s="282"/>
      <c r="AC481" s="6"/>
    </row>
    <row r="482" spans="2:39" x14ac:dyDescent="0.35">
      <c r="B482" s="33"/>
      <c r="P482" s="33"/>
      <c r="Q482" s="33"/>
      <c r="T482" s="282"/>
    </row>
    <row r="483" spans="2:39" x14ac:dyDescent="0.35">
      <c r="B483" s="33"/>
      <c r="P483" s="33"/>
      <c r="Q483" s="33"/>
      <c r="T483" s="282"/>
    </row>
    <row r="484" spans="2:39" x14ac:dyDescent="0.35">
      <c r="B484" s="33"/>
      <c r="P484" s="33"/>
      <c r="Q484" s="33"/>
    </row>
    <row r="485" spans="2:39" x14ac:dyDescent="0.35">
      <c r="B485" s="33"/>
      <c r="P485" s="33"/>
      <c r="Q485" s="33"/>
    </row>
    <row r="486" spans="2:39" x14ac:dyDescent="0.35">
      <c r="B486" s="33"/>
      <c r="P486" s="33"/>
      <c r="Q486" s="33"/>
    </row>
    <row r="487" spans="2:39" x14ac:dyDescent="0.35">
      <c r="B487" s="33"/>
      <c r="P487" s="33"/>
      <c r="Q487" s="33"/>
    </row>
    <row r="488" spans="2:39" x14ac:dyDescent="0.35">
      <c r="B488" s="33"/>
      <c r="P488" s="33"/>
      <c r="Q488" s="33"/>
    </row>
    <row r="489" spans="2:39" x14ac:dyDescent="0.35">
      <c r="B489" s="33"/>
      <c r="P489" s="33"/>
      <c r="Q489" s="33"/>
    </row>
    <row r="490" spans="2:39" x14ac:dyDescent="0.35">
      <c r="B490" s="33"/>
      <c r="P490" s="33"/>
      <c r="Q490" s="33"/>
    </row>
    <row r="491" spans="2:39" x14ac:dyDescent="0.35">
      <c r="B491" s="33"/>
      <c r="P491" s="33"/>
      <c r="Q491" s="33"/>
    </row>
    <row r="492" spans="2:39" x14ac:dyDescent="0.35">
      <c r="B492" s="33"/>
      <c r="F492" s="3"/>
      <c r="G492" s="3"/>
      <c r="I492" s="3"/>
      <c r="K492" s="3"/>
      <c r="P492" s="33"/>
      <c r="Q492" s="33"/>
      <c r="U492" s="3"/>
      <c r="V492" s="3"/>
      <c r="X492" s="3"/>
      <c r="Z492" s="3"/>
      <c r="AH492" s="3"/>
      <c r="AI492" s="3"/>
      <c r="AK492" s="3"/>
      <c r="AM492" s="3"/>
    </row>
    <row r="493" spans="2:39" x14ac:dyDescent="0.35">
      <c r="B493" s="33"/>
      <c r="P493" s="33"/>
      <c r="Q493" s="33"/>
    </row>
    <row r="494" spans="2:39" x14ac:dyDescent="0.35">
      <c r="B494" s="33"/>
      <c r="P494" s="33"/>
      <c r="Q494" s="33"/>
    </row>
    <row r="495" spans="2:39" x14ac:dyDescent="0.35">
      <c r="B495" s="33"/>
      <c r="P495" s="33"/>
      <c r="Q495" s="33"/>
    </row>
    <row r="496" spans="2:39" x14ac:dyDescent="0.35">
      <c r="B496" s="33"/>
      <c r="P496" s="33"/>
      <c r="Q496" s="33"/>
    </row>
    <row r="497" spans="1:27" x14ac:dyDescent="0.35">
      <c r="B497" s="33"/>
      <c r="P497" s="33"/>
      <c r="Q497" s="33"/>
    </row>
    <row r="498" spans="1:27" x14ac:dyDescent="0.35">
      <c r="B498" s="33"/>
      <c r="P498" s="33"/>
      <c r="Q498" s="33"/>
    </row>
    <row r="499" spans="1:27" x14ac:dyDescent="0.35">
      <c r="B499" s="33"/>
      <c r="P499" s="33"/>
      <c r="Q499" s="33"/>
    </row>
    <row r="500" spans="1:27" x14ac:dyDescent="0.35">
      <c r="B500" s="33"/>
      <c r="P500" s="33"/>
      <c r="Q500" s="33"/>
    </row>
    <row r="501" spans="1:27" x14ac:dyDescent="0.35">
      <c r="B501" s="33"/>
      <c r="P501" s="33"/>
      <c r="Q501" s="33"/>
    </row>
    <row r="502" spans="1:27" x14ac:dyDescent="0.35">
      <c r="B502" s="33"/>
      <c r="P502" s="33"/>
      <c r="Q502" s="33"/>
    </row>
    <row r="503" spans="1:27" x14ac:dyDescent="0.35">
      <c r="B503" s="33"/>
      <c r="P503" s="33"/>
      <c r="Q503" s="33"/>
    </row>
    <row r="504" spans="1:27" x14ac:dyDescent="0.35">
      <c r="B504" s="33"/>
      <c r="P504" s="33"/>
      <c r="Q504" s="33"/>
    </row>
    <row r="505" spans="1:27" x14ac:dyDescent="0.35">
      <c r="B505" s="33"/>
      <c r="P505" s="33"/>
      <c r="Q505" s="33"/>
      <c r="AA505" s="6"/>
    </row>
    <row r="506" spans="1:27" x14ac:dyDescent="0.35">
      <c r="B506" s="33"/>
      <c r="P506" s="33"/>
      <c r="Q506" s="33"/>
    </row>
    <row r="507" spans="1:27" x14ac:dyDescent="0.35">
      <c r="A507" s="33"/>
      <c r="B507" s="33"/>
      <c r="P507" s="33"/>
      <c r="Q507" s="33"/>
    </row>
    <row r="508" spans="1:27" x14ac:dyDescent="0.35">
      <c r="A508" s="33"/>
      <c r="B508" s="33"/>
      <c r="T508" s="282"/>
    </row>
    <row r="509" spans="1:27" x14ac:dyDescent="0.35">
      <c r="A509" s="33"/>
      <c r="B509" s="33"/>
      <c r="N509" s="32"/>
      <c r="T509" s="282"/>
    </row>
    <row r="510" spans="1:27" x14ac:dyDescent="0.35">
      <c r="T510" s="282"/>
    </row>
    <row r="511" spans="1:27" x14ac:dyDescent="0.35">
      <c r="N511" s="3"/>
      <c r="T511" s="282"/>
    </row>
    <row r="512" spans="1:27" x14ac:dyDescent="0.35">
      <c r="T512" s="282"/>
    </row>
    <row r="513" spans="6:28" x14ac:dyDescent="0.35">
      <c r="T513" s="282"/>
    </row>
    <row r="514" spans="6:28" x14ac:dyDescent="0.35">
      <c r="T514" s="282"/>
    </row>
    <row r="515" spans="6:28" x14ac:dyDescent="0.35">
      <c r="T515" s="282"/>
    </row>
    <row r="516" spans="6:28" x14ac:dyDescent="0.35">
      <c r="T516" s="282"/>
    </row>
    <row r="517" spans="6:28" x14ac:dyDescent="0.35">
      <c r="T517" s="282"/>
    </row>
    <row r="518" spans="6:28" x14ac:dyDescent="0.35">
      <c r="T518" s="282"/>
      <c r="AB518" s="6"/>
    </row>
    <row r="519" spans="6:28" x14ac:dyDescent="0.35">
      <c r="T519" s="282"/>
    </row>
    <row r="521" spans="6:28" x14ac:dyDescent="0.35">
      <c r="K521" s="6"/>
    </row>
    <row r="522" spans="6:28" x14ac:dyDescent="0.35">
      <c r="L522" s="6"/>
    </row>
    <row r="526" spans="6:28" x14ac:dyDescent="0.35">
      <c r="F526" s="3"/>
      <c r="G526" s="3"/>
      <c r="I526" s="3"/>
      <c r="K526" s="3"/>
    </row>
  </sheetData>
  <mergeCells count="10">
    <mergeCell ref="Y423:AB423"/>
    <mergeCell ref="A423:D423"/>
    <mergeCell ref="F423:I423"/>
    <mergeCell ref="K423:M423"/>
    <mergeCell ref="O423:R423"/>
    <mergeCell ref="T423:W423"/>
    <mergeCell ref="AD423:AF423"/>
    <mergeCell ref="AH423:AL423"/>
    <mergeCell ref="AN423:AQ423"/>
    <mergeCell ref="AS423:AV423"/>
  </mergeCells>
  <pageMargins left="0.7" right="0.7" top="0.75" bottom="0.75" header="0.3" footer="0.3"/>
  <pageSetup paperSize="9" orientation="portrait"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F74F9-573D-4D90-BA4E-FDAF29BE6ECD}">
  <sheetPr>
    <tabColor theme="5" tint="0.39997558519241921"/>
  </sheetPr>
  <dimension ref="A1:BB526"/>
  <sheetViews>
    <sheetView topLeftCell="AC412" zoomScale="70" zoomScaleNormal="70" workbookViewId="0">
      <selection activeCell="BA434" sqref="AX422:BA434"/>
    </sheetView>
  </sheetViews>
  <sheetFormatPr defaultColWidth="8.7265625" defaultRowHeight="14.5" outlineLevelRow="1" x14ac:dyDescent="0.35"/>
  <cols>
    <col min="1" max="1" width="31.54296875" style="282" customWidth="1"/>
    <col min="2" max="2" width="36.54296875" style="282" bestFit="1" customWidth="1"/>
    <col min="3" max="3" width="40.7265625" style="282" bestFit="1" customWidth="1"/>
    <col min="4" max="4" width="22.453125" style="282" bestFit="1" customWidth="1"/>
    <col min="5" max="5" width="19.7265625" style="282" bestFit="1" customWidth="1"/>
    <col min="6" max="6" width="28.453125" style="282" bestFit="1" customWidth="1"/>
    <col min="7" max="7" width="22.7265625" style="282" bestFit="1" customWidth="1"/>
    <col min="8" max="8" width="21.08984375" style="282" bestFit="1" customWidth="1"/>
    <col min="9" max="9" width="22.453125" style="282" bestFit="1" customWidth="1"/>
    <col min="10" max="10" width="22.7265625" style="282" bestFit="1" customWidth="1"/>
    <col min="11" max="11" width="28.453125" style="282" bestFit="1" customWidth="1"/>
    <col min="12" max="12" width="22.453125" style="282" bestFit="1" customWidth="1"/>
    <col min="13" max="13" width="27.90625" style="282" bestFit="1" customWidth="1"/>
    <col min="14" max="14" width="12.08984375" style="282" customWidth="1"/>
    <col min="15" max="15" width="22.7265625" style="282" bestFit="1" customWidth="1"/>
    <col min="16" max="16" width="10.6328125" style="282" customWidth="1"/>
    <col min="17" max="17" width="13.36328125" style="282" customWidth="1"/>
    <col min="18" max="18" width="8.81640625" style="282" customWidth="1"/>
    <col min="19" max="19" width="11.26953125" style="282" bestFit="1" customWidth="1"/>
    <col min="20" max="20" width="22.7265625" style="33" bestFit="1" customWidth="1"/>
    <col min="21" max="22" width="11.6328125" style="282" bestFit="1" customWidth="1"/>
    <col min="23" max="23" width="24.26953125" style="282" bestFit="1" customWidth="1"/>
    <col min="24" max="24" width="11.6328125" style="282" bestFit="1" customWidth="1"/>
    <col min="25" max="25" width="22.7265625" style="282" bestFit="1" customWidth="1"/>
    <col min="26" max="26" width="11.6328125" style="282" bestFit="1" customWidth="1"/>
    <col min="27" max="27" width="8.81640625" style="282" customWidth="1"/>
    <col min="28" max="28" width="11.6328125" style="282" bestFit="1" customWidth="1"/>
    <col min="29" max="29" width="10.81640625" style="282" bestFit="1" customWidth="1"/>
    <col min="30" max="30" width="22.7265625" style="282" bestFit="1" customWidth="1"/>
    <col min="31" max="31" width="27.90625" style="282" customWidth="1"/>
    <col min="32" max="32" width="14.54296875" style="282" bestFit="1" customWidth="1"/>
    <col min="33" max="33" width="11.6328125" style="282" bestFit="1" customWidth="1"/>
    <col min="34" max="34" width="22.7265625" style="282" bestFit="1" customWidth="1"/>
    <col min="35" max="35" width="11.6328125" style="282" bestFit="1" customWidth="1"/>
    <col min="36" max="36" width="24.26953125" style="282" bestFit="1" customWidth="1"/>
    <col min="37" max="38" width="11.6328125" style="282" bestFit="1" customWidth="1"/>
    <col min="39" max="39" width="10.1796875" style="282" bestFit="1" customWidth="1"/>
    <col min="40" max="40" width="22.7265625" style="282" bestFit="1" customWidth="1"/>
    <col min="41" max="41" width="9.08984375" style="282" bestFit="1" customWidth="1"/>
    <col min="42" max="44" width="8.7265625" style="282"/>
    <col min="45" max="45" width="22.7265625" style="282" bestFit="1" customWidth="1"/>
    <col min="46" max="49" width="8.7265625" style="282"/>
    <col min="50" max="50" width="23.26953125" style="282" bestFit="1" customWidth="1"/>
    <col min="51" max="16384" width="8.7265625" style="282"/>
  </cols>
  <sheetData>
    <row r="1" spans="1:13" s="18" customFormat="1" ht="21" x14ac:dyDescent="0.5">
      <c r="A1" s="18" t="s">
        <v>868</v>
      </c>
    </row>
    <row r="2" spans="1:13" s="125" customFormat="1" x14ac:dyDescent="0.35">
      <c r="A2" s="125" t="s">
        <v>499</v>
      </c>
    </row>
    <row r="3" spans="1:13" x14ac:dyDescent="0.35">
      <c r="A3" s="109"/>
      <c r="B3" s="128" t="s">
        <v>147</v>
      </c>
      <c r="C3" s="128" t="s">
        <v>148</v>
      </c>
      <c r="D3" s="128" t="s">
        <v>149</v>
      </c>
    </row>
    <row r="4" spans="1:13" x14ac:dyDescent="0.35">
      <c r="A4" s="129" t="s">
        <v>150</v>
      </c>
      <c r="B4" s="109" t="s">
        <v>502</v>
      </c>
      <c r="C4" s="109" t="s">
        <v>500</v>
      </c>
      <c r="D4" s="109" t="s">
        <v>501</v>
      </c>
    </row>
    <row r="5" spans="1:13" x14ac:dyDescent="0.35">
      <c r="A5" s="129" t="s">
        <v>151</v>
      </c>
      <c r="B5" s="109" t="s">
        <v>857</v>
      </c>
      <c r="C5" s="109" t="s">
        <v>506</v>
      </c>
      <c r="D5" s="109" t="s">
        <v>152</v>
      </c>
    </row>
    <row r="6" spans="1:13" x14ac:dyDescent="0.35">
      <c r="A6" s="129" t="s">
        <v>858</v>
      </c>
      <c r="B6" s="109" t="s">
        <v>153</v>
      </c>
      <c r="C6" s="109" t="s">
        <v>154</v>
      </c>
      <c r="D6" s="109" t="s">
        <v>154</v>
      </c>
    </row>
    <row r="7" spans="1:13" x14ac:dyDescent="0.35">
      <c r="A7" s="129" t="s">
        <v>859</v>
      </c>
      <c r="B7" s="109" t="s">
        <v>155</v>
      </c>
      <c r="C7" s="109" t="s">
        <v>156</v>
      </c>
      <c r="D7" s="109" t="s">
        <v>157</v>
      </c>
    </row>
    <row r="8" spans="1:13" x14ac:dyDescent="0.35">
      <c r="A8" s="129" t="s">
        <v>158</v>
      </c>
      <c r="B8" s="109" t="s">
        <v>159</v>
      </c>
      <c r="C8" s="109" t="s">
        <v>160</v>
      </c>
      <c r="D8" s="109" t="s">
        <v>161</v>
      </c>
    </row>
    <row r="9" spans="1:13" x14ac:dyDescent="0.35">
      <c r="A9" s="129" t="s">
        <v>817</v>
      </c>
      <c r="B9" s="109"/>
      <c r="C9" s="109">
        <v>0.23</v>
      </c>
      <c r="D9" s="144" t="s">
        <v>861</v>
      </c>
    </row>
    <row r="10" spans="1:13" x14ac:dyDescent="0.35">
      <c r="A10" s="290" t="s">
        <v>836</v>
      </c>
      <c r="B10" s="291"/>
      <c r="C10" s="280" t="s">
        <v>862</v>
      </c>
      <c r="D10" s="291"/>
    </row>
    <row r="12" spans="1:13" s="33" customFormat="1" ht="15.5" x14ac:dyDescent="0.35">
      <c r="A12" s="51" t="s">
        <v>162</v>
      </c>
      <c r="B12" s="4"/>
      <c r="C12" s="4"/>
      <c r="D12" s="4"/>
      <c r="E12" s="4"/>
      <c r="F12" s="4"/>
      <c r="G12" s="4"/>
      <c r="H12" s="4"/>
      <c r="I12" s="4"/>
      <c r="J12" s="4"/>
      <c r="K12" s="4"/>
      <c r="L12" s="4"/>
      <c r="M12" s="4"/>
    </row>
    <row r="13" spans="1:13" outlineLevel="1" x14ac:dyDescent="0.35">
      <c r="A13" s="15" t="s">
        <v>148</v>
      </c>
      <c r="B13" s="30"/>
      <c r="C13" s="140" t="s">
        <v>180</v>
      </c>
      <c r="D13" s="6" t="s">
        <v>889</v>
      </c>
      <c r="E13" s="6" t="s">
        <v>891</v>
      </c>
      <c r="F13" s="6" t="s">
        <v>890</v>
      </c>
      <c r="G13" s="6" t="s">
        <v>892</v>
      </c>
      <c r="H13" s="6" t="s">
        <v>893</v>
      </c>
      <c r="I13" s="6" t="s">
        <v>894</v>
      </c>
      <c r="J13" s="6" t="s">
        <v>896</v>
      </c>
      <c r="K13" s="6" t="s">
        <v>897</v>
      </c>
      <c r="L13" s="6" t="s">
        <v>895</v>
      </c>
      <c r="M13" s="4"/>
    </row>
    <row r="14" spans="1:13" outlineLevel="1" x14ac:dyDescent="0.35">
      <c r="B14" s="282" t="s">
        <v>117</v>
      </c>
      <c r="C14" s="282" t="s">
        <v>869</v>
      </c>
      <c r="D14" s="6">
        <f>'Results ReCiPe (H) - ESD'!B467</f>
        <v>7.7870133042031404E-8</v>
      </c>
      <c r="E14" s="6">
        <f>'Results ReCiPe (H) - ESD'!C467</f>
        <v>7.338610768603722E-8</v>
      </c>
      <c r="F14" s="6">
        <f>'Results ReCiPe (H) - ESD'!D467</f>
        <v>6.0907644566846106E-8</v>
      </c>
      <c r="G14" s="6">
        <f>'Results ReCiPe (H) - ESD'!E467</f>
        <v>7.7870133042031404E-8</v>
      </c>
      <c r="H14" s="6">
        <f>'Results ReCiPe (H) - ESD'!F467</f>
        <v>7.338610768603722E-8</v>
      </c>
      <c r="I14" s="6">
        <f>'Results ReCiPe (H) - ESD'!G467</f>
        <v>6.0907644566846106E-8</v>
      </c>
      <c r="J14" s="6">
        <f>'Results ReCiPe (H) - ESD'!H467</f>
        <v>1.4397366517620688E-7</v>
      </c>
      <c r="K14" s="6">
        <f>'Results ReCiPe (H) - ESD'!I467</f>
        <v>1.3509196445407891E-7</v>
      </c>
      <c r="L14" s="6">
        <f>'Results ReCiPe (H) - ESD'!J467</f>
        <v>1.1038430518141741E-7</v>
      </c>
      <c r="M14" s="4"/>
    </row>
    <row r="15" spans="1:13" outlineLevel="1" x14ac:dyDescent="0.35">
      <c r="B15" s="282" t="s">
        <v>118</v>
      </c>
      <c r="C15" s="282" t="s">
        <v>869</v>
      </c>
      <c r="D15" s="6">
        <f>'Results ReCiPe (H) - ESD'!B468</f>
        <v>4.544829349235703E-9</v>
      </c>
      <c r="E15" s="6">
        <f>'Results ReCiPe (H) - ESD'!C468</f>
        <v>4.3063190758316633E-9</v>
      </c>
      <c r="F15" s="6">
        <f>'Results ReCiPe (H) - ESD'!D468</f>
        <v>3.9146385309138401E-9</v>
      </c>
      <c r="G15" s="6">
        <f>'Results ReCiPe (H) - ESD'!E468</f>
        <v>4.544829349235703E-9</v>
      </c>
      <c r="H15" s="6">
        <f>'Results ReCiPe (H) - ESD'!F468</f>
        <v>4.3063190758316633E-9</v>
      </c>
      <c r="I15" s="6">
        <f>'Results ReCiPe (H) - ESD'!G468</f>
        <v>3.9146385309138401E-9</v>
      </c>
      <c r="J15" s="6">
        <f>'Results ReCiPe (H) - ESD'!H468</f>
        <v>4.544829349235703E-9</v>
      </c>
      <c r="K15" s="6">
        <f>'Results ReCiPe (H) - ESD'!I468</f>
        <v>4.3063190758316633E-9</v>
      </c>
      <c r="L15" s="6">
        <f>'Results ReCiPe (H) - ESD'!J468</f>
        <v>3.9146385309138401E-9</v>
      </c>
      <c r="M15" s="4"/>
    </row>
    <row r="16" spans="1:13" outlineLevel="1" x14ac:dyDescent="0.35">
      <c r="B16" s="282" t="s">
        <v>119</v>
      </c>
      <c r="C16" s="282" t="s">
        <v>869</v>
      </c>
      <c r="D16" s="6">
        <f>'Results ReCiPe (H) - ESD'!B469</f>
        <v>1.133100649886742E-9</v>
      </c>
      <c r="E16" s="6">
        <f>'Results ReCiPe (H) - ESD'!C469</f>
        <v>1.03257477561019E-9</v>
      </c>
      <c r="F16" s="6">
        <f>'Results ReCiPe (H) - ESD'!D469</f>
        <v>9.9919091331168175E-10</v>
      </c>
      <c r="G16" s="6">
        <f>'Results ReCiPe (H) - ESD'!E469</f>
        <v>1.133100649886742E-9</v>
      </c>
      <c r="H16" s="6">
        <f>'Results ReCiPe (H) - ESD'!F469</f>
        <v>1.03257477561019E-9</v>
      </c>
      <c r="I16" s="6">
        <f>'Results ReCiPe (H) - ESD'!G469</f>
        <v>9.9919091331168175E-10</v>
      </c>
      <c r="J16" s="6">
        <f>'Results ReCiPe (H) - ESD'!H469</f>
        <v>2.2662012997734839E-9</v>
      </c>
      <c r="K16" s="6">
        <f>'Results ReCiPe (H) - ESD'!I469</f>
        <v>2.06514955122038E-9</v>
      </c>
      <c r="L16" s="6">
        <f>'Results ReCiPe (H) - ESD'!J469</f>
        <v>1.9983818266233635E-9</v>
      </c>
      <c r="M16" s="4"/>
    </row>
    <row r="17" spans="1:13" outlineLevel="1" x14ac:dyDescent="0.35">
      <c r="B17" s="282" t="s">
        <v>120</v>
      </c>
      <c r="C17" s="282" t="s">
        <v>869</v>
      </c>
      <c r="D17" s="6">
        <f>'Results ReCiPe (H) - ESD'!B470</f>
        <v>3.7046222513391852E-11</v>
      </c>
      <c r="E17" s="6">
        <f>'Results ReCiPe (H) - ESD'!C470</f>
        <v>3.5671062893842507E-11</v>
      </c>
      <c r="F17" s="6">
        <f>'Results ReCiPe (H) - ESD'!D470</f>
        <v>3.5716564968595088E-11</v>
      </c>
      <c r="G17" s="6">
        <f>'Results ReCiPe (H) - ESD'!E470</f>
        <v>3.7046222513391852E-11</v>
      </c>
      <c r="H17" s="6">
        <f>'Results ReCiPe (H) - ESD'!F470</f>
        <v>3.5671062893842507E-11</v>
      </c>
      <c r="I17" s="6">
        <f>'Results ReCiPe (H) - ESD'!G470</f>
        <v>3.5716564968595088E-11</v>
      </c>
      <c r="J17" s="6">
        <f>'Results ReCiPe (H) - ESD'!H470</f>
        <v>3.7046222513391852E-11</v>
      </c>
      <c r="K17" s="6">
        <f>'Results ReCiPe (H) - ESD'!I470</f>
        <v>3.5671062893842507E-11</v>
      </c>
      <c r="L17" s="6">
        <f>'Results ReCiPe (H) - ESD'!J470</f>
        <v>3.5716564968595088E-11</v>
      </c>
      <c r="M17" s="4"/>
    </row>
    <row r="18" spans="1:13" outlineLevel="1" x14ac:dyDescent="0.35">
      <c r="B18" s="282" t="s">
        <v>121</v>
      </c>
      <c r="C18" s="282" t="s">
        <v>869</v>
      </c>
      <c r="D18" s="6">
        <f>'Results ReCiPe (H) - ESD'!B471</f>
        <v>1.6163480748994424E-8</v>
      </c>
      <c r="E18" s="6">
        <f>'Results ReCiPe (H) - ESD'!C471</f>
        <v>1.3708771072106342E-8</v>
      </c>
      <c r="F18" s="6">
        <f>'Results ReCiPe (H) - ESD'!D471</f>
        <v>1.213886828294613E-8</v>
      </c>
      <c r="G18" s="6">
        <f>'Results ReCiPe (H) - ESD'!E471</f>
        <v>1.6163480748994424E-8</v>
      </c>
      <c r="H18" s="6">
        <f>'Results ReCiPe (H) - ESD'!F471</f>
        <v>1.3708771072106342E-8</v>
      </c>
      <c r="I18" s="6">
        <f>'Results ReCiPe (H) - ESD'!G471</f>
        <v>1.213886828294613E-8</v>
      </c>
      <c r="J18" s="6">
        <f>'Results ReCiPe (H) - ESD'!H471</f>
        <v>3.2326961497988848E-8</v>
      </c>
      <c r="K18" s="6">
        <f>'Results ReCiPe (H) - ESD'!I471</f>
        <v>2.7417542144212684E-8</v>
      </c>
      <c r="L18" s="6">
        <f>'Results ReCiPe (H) - ESD'!J471</f>
        <v>2.4277736565892259E-8</v>
      </c>
      <c r="M18" s="4"/>
    </row>
    <row r="19" spans="1:13" outlineLevel="1" x14ac:dyDescent="0.35">
      <c r="B19" s="282" t="s">
        <v>797</v>
      </c>
      <c r="C19" s="282" t="s">
        <v>869</v>
      </c>
      <c r="D19" s="6">
        <f>'Results ReCiPe (H) - ESD'!B472</f>
        <v>0</v>
      </c>
      <c r="E19" s="6">
        <f>'Results ReCiPe (H) - ESD'!C472</f>
        <v>0</v>
      </c>
      <c r="F19" s="6">
        <f>'Results ReCiPe (H) - ESD'!D472</f>
        <v>0</v>
      </c>
      <c r="G19" s="6">
        <f>'Results ReCiPe (H) - ESD'!E472</f>
        <v>0</v>
      </c>
      <c r="H19" s="6">
        <f>'Results ReCiPe (H) - ESD'!F472</f>
        <v>0</v>
      </c>
      <c r="I19" s="6">
        <f>'Results ReCiPe (H) - ESD'!G472</f>
        <v>0</v>
      </c>
      <c r="J19" s="6">
        <f>'Results ReCiPe (H) - ESD'!H472</f>
        <v>8.4987672123381005E-7</v>
      </c>
      <c r="K19" s="6">
        <f>'Results ReCiPe (H) - ESD'!I472</f>
        <v>8.1743523167004277E-7</v>
      </c>
      <c r="L19" s="6">
        <f>'Results ReCiPe (H) - ESD'!J472</f>
        <v>7.0783676707877945E-7</v>
      </c>
      <c r="M19" s="4"/>
    </row>
    <row r="20" spans="1:13" outlineLevel="1" x14ac:dyDescent="0.35">
      <c r="B20" s="282" t="s">
        <v>122</v>
      </c>
      <c r="C20" s="282" t="s">
        <v>869</v>
      </c>
      <c r="D20" s="6">
        <f>'Results ReCiPe (H) - ESD'!B473</f>
        <v>2.445525743468704E-6</v>
      </c>
      <c r="E20" s="6">
        <f>'Results ReCiPe (H) - ESD'!C473</f>
        <v>6.0422203435546994E-7</v>
      </c>
      <c r="F20" s="6">
        <f>'Results ReCiPe (H) - ESD'!D473</f>
        <v>2.3459087286849139E-7</v>
      </c>
      <c r="G20" s="6">
        <f>'Results ReCiPe (H) - ESD'!E473</f>
        <v>1.9112296251611E-6</v>
      </c>
      <c r="H20" s="6">
        <f>'Results ReCiPe (H) - ESD'!F473</f>
        <v>4.9891284917080644E-7</v>
      </c>
      <c r="I20" s="6">
        <f>'Results ReCiPe (H) - ESD'!G473</f>
        <v>2.1387876523837101E-7</v>
      </c>
      <c r="J20" s="6">
        <f>'Results ReCiPe (H) - ESD'!H473</f>
        <v>6.2876254522439755E-7</v>
      </c>
      <c r="K20" s="6">
        <f>'Results ReCiPe (H) - ESD'!I473</f>
        <v>5.5593609370857821E-7</v>
      </c>
      <c r="L20" s="6">
        <f>'Results ReCiPe (H) - ESD'!J473</f>
        <v>5.2155097946725118E-7</v>
      </c>
      <c r="M20" s="4"/>
    </row>
    <row r="21" spans="1:13" outlineLevel="1" x14ac:dyDescent="0.35">
      <c r="B21" s="282" t="s">
        <v>123</v>
      </c>
      <c r="C21" s="282" t="s">
        <v>869</v>
      </c>
      <c r="D21" s="6">
        <f>'Results ReCiPe (H) - ESD'!B474</f>
        <v>2.0012222822249669E-7</v>
      </c>
      <c r="E21" s="6">
        <f>'Results ReCiPe (H) - ESD'!C474</f>
        <v>6.1093319563827715E-8</v>
      </c>
      <c r="F21" s="6">
        <f>'Results ReCiPe (H) - ESD'!D474</f>
        <v>3.2647215503458974E-8</v>
      </c>
      <c r="G21" s="6">
        <f>'Results ReCiPe (H) - ESD'!E474</f>
        <v>4.6028112491174245E-10</v>
      </c>
      <c r="H21" s="6">
        <f>'Results ReCiPe (H) - ESD'!F474</f>
        <v>1.405146349968037E-10</v>
      </c>
      <c r="I21" s="6">
        <f>'Results ReCiPe (H) - ESD'!G474</f>
        <v>7.5088595657955673E-11</v>
      </c>
      <c r="J21" s="6">
        <f>'Results ReCiPe (H) - ESD'!H474</f>
        <v>2.0012222822249669E-7</v>
      </c>
      <c r="K21" s="6">
        <f>'Results ReCiPe (H) - ESD'!I474</f>
        <v>6.1093319563827715E-8</v>
      </c>
      <c r="L21" s="6">
        <f>'Results ReCiPe (H) - ESD'!J474</f>
        <v>3.2647215503458974E-8</v>
      </c>
      <c r="M21" s="4"/>
    </row>
    <row r="22" spans="1:13" outlineLevel="1" x14ac:dyDescent="0.35">
      <c r="B22" s="282" t="s">
        <v>124</v>
      </c>
      <c r="C22" s="282" t="s">
        <v>869</v>
      </c>
      <c r="D22" s="6">
        <f>'Results ReCiPe (H) - ESD'!B475</f>
        <v>-2.8000764999999987E-6</v>
      </c>
      <c r="E22" s="6">
        <f>'Results ReCiPe (H) - ESD'!C475</f>
        <v>-2.8000764999999987E-6</v>
      </c>
      <c r="F22" s="6">
        <f>'Results ReCiPe (H) - ESD'!D475</f>
        <v>-2.8000764999999987E-6</v>
      </c>
      <c r="G22" s="6">
        <f>'Results ReCiPe (H) - ESD'!E475</f>
        <v>-2.8000764999999987E-6</v>
      </c>
      <c r="H22" s="6">
        <f>'Results ReCiPe (H) - ESD'!F475</f>
        <v>-2.8000764999999987E-6</v>
      </c>
      <c r="I22" s="6">
        <f>'Results ReCiPe (H) - ESD'!G475</f>
        <v>-2.8000764999999987E-6</v>
      </c>
      <c r="J22" s="6">
        <f>'Results ReCiPe (H) - ESD'!H475</f>
        <v>-2.8000764999999987E-6</v>
      </c>
      <c r="K22" s="6">
        <f>'Results ReCiPe (H) - ESD'!I475</f>
        <v>-2.8000764999999987E-6</v>
      </c>
      <c r="L22" s="6">
        <f>'Results ReCiPe (H) - ESD'!J475</f>
        <v>-2.8000764999999987E-6</v>
      </c>
      <c r="M22" s="4"/>
    </row>
    <row r="23" spans="1:13" outlineLevel="1" x14ac:dyDescent="0.35">
      <c r="B23" s="282" t="s">
        <v>137</v>
      </c>
      <c r="C23" s="282" t="s">
        <v>869</v>
      </c>
      <c r="D23" s="6">
        <f>'Results ReCiPe (H) - ESD'!B476</f>
        <v>-5.4679938296137717E-8</v>
      </c>
      <c r="E23" s="6">
        <f>'Results ReCiPe (H) - ESD'!C476</f>
        <v>-2.042291702408223E-6</v>
      </c>
      <c r="F23" s="6">
        <f>'Results ReCiPe (H) - ESD'!D476</f>
        <v>-2.4548423527690632E-6</v>
      </c>
      <c r="G23" s="6">
        <f>'Results ReCiPe (H) - ESD'!E476</f>
        <v>-7.8863800370132619E-7</v>
      </c>
      <c r="H23" s="6">
        <f>'Results ReCiPe (H) - ESD'!F476</f>
        <v>-2.2085536925217173E-6</v>
      </c>
      <c r="I23" s="6">
        <f>'Results ReCiPe (H) - ESD'!G476</f>
        <v>-2.5081265873069844E-6</v>
      </c>
      <c r="J23" s="6">
        <f>'Results ReCiPe (H) - ESD'!H476</f>
        <v>-9.3816630177357657E-7</v>
      </c>
      <c r="K23" s="6">
        <f>'Results ReCiPe (H) - ESD'!I476</f>
        <v>-1.1966952087693138E-6</v>
      </c>
      <c r="L23" s="6">
        <f>'Results ReCiPe (H) - ESD'!J476</f>
        <v>-1.3974307592806945E-6</v>
      </c>
      <c r="M23" s="4"/>
    </row>
    <row r="24" spans="1:13" outlineLevel="1" x14ac:dyDescent="0.35">
      <c r="M24" s="4"/>
    </row>
    <row r="25" spans="1:13" outlineLevel="1" x14ac:dyDescent="0.35">
      <c r="A25" s="15" t="s">
        <v>501</v>
      </c>
      <c r="B25" s="30"/>
      <c r="C25" s="140" t="s">
        <v>180</v>
      </c>
      <c r="D25" s="6" t="s">
        <v>889</v>
      </c>
      <c r="E25" s="6" t="s">
        <v>891</v>
      </c>
      <c r="F25" s="6" t="s">
        <v>890</v>
      </c>
      <c r="G25" s="6" t="s">
        <v>892</v>
      </c>
      <c r="H25" s="6" t="s">
        <v>893</v>
      </c>
      <c r="I25" s="6" t="s">
        <v>894</v>
      </c>
      <c r="J25" s="6" t="s">
        <v>896</v>
      </c>
      <c r="K25" s="6" t="s">
        <v>897</v>
      </c>
      <c r="L25" s="6" t="s">
        <v>895</v>
      </c>
      <c r="M25" s="4"/>
    </row>
    <row r="26" spans="1:13" outlineLevel="1" x14ac:dyDescent="0.35">
      <c r="B26" s="282" t="s">
        <v>117</v>
      </c>
      <c r="C26" s="282" t="s">
        <v>869</v>
      </c>
      <c r="D26" s="6">
        <f>D14*0.8</f>
        <v>6.2296106433625128E-8</v>
      </c>
      <c r="E26" s="6">
        <f t="shared" ref="E26:L29" si="0">E14*0.8</f>
        <v>5.870888614882978E-8</v>
      </c>
      <c r="F26" s="6">
        <f t="shared" si="0"/>
        <v>4.8726115653476889E-8</v>
      </c>
      <c r="G26" s="6">
        <f t="shared" si="0"/>
        <v>6.2296106433625128E-8</v>
      </c>
      <c r="H26" s="6">
        <f t="shared" si="0"/>
        <v>5.870888614882978E-8</v>
      </c>
      <c r="I26" s="6">
        <f t="shared" si="0"/>
        <v>4.8726115653476889E-8</v>
      </c>
      <c r="J26" s="6">
        <f t="shared" si="0"/>
        <v>1.1517893214096551E-7</v>
      </c>
      <c r="K26" s="6">
        <f t="shared" si="0"/>
        <v>1.0807357156326313E-7</v>
      </c>
      <c r="L26" s="6">
        <f t="shared" si="0"/>
        <v>8.8307444145133928E-8</v>
      </c>
      <c r="M26" s="4"/>
    </row>
    <row r="27" spans="1:13" outlineLevel="1" x14ac:dyDescent="0.35">
      <c r="B27" s="282" t="s">
        <v>118</v>
      </c>
      <c r="C27" s="282" t="s">
        <v>869</v>
      </c>
      <c r="D27" s="6">
        <f>D15*0.8</f>
        <v>3.6358634793885627E-9</v>
      </c>
      <c r="E27" s="6">
        <f t="shared" si="0"/>
        <v>3.4450552606653308E-9</v>
      </c>
      <c r="F27" s="6">
        <f t="shared" si="0"/>
        <v>3.1317108247310724E-9</v>
      </c>
      <c r="G27" s="6">
        <f t="shared" si="0"/>
        <v>3.6358634793885627E-9</v>
      </c>
      <c r="H27" s="6">
        <f t="shared" si="0"/>
        <v>3.4450552606653308E-9</v>
      </c>
      <c r="I27" s="6">
        <f t="shared" si="0"/>
        <v>3.1317108247310724E-9</v>
      </c>
      <c r="J27" s="6">
        <f t="shared" si="0"/>
        <v>3.6358634793885627E-9</v>
      </c>
      <c r="K27" s="6">
        <f t="shared" si="0"/>
        <v>3.4450552606653308E-9</v>
      </c>
      <c r="L27" s="6">
        <f t="shared" si="0"/>
        <v>3.1317108247310724E-9</v>
      </c>
      <c r="M27" s="4"/>
    </row>
    <row r="28" spans="1:13" outlineLevel="1" x14ac:dyDescent="0.35">
      <c r="B28" s="282" t="s">
        <v>119</v>
      </c>
      <c r="C28" s="282" t="s">
        <v>869</v>
      </c>
      <c r="D28" s="6">
        <f>D16*0.8</f>
        <v>9.0648051990939363E-10</v>
      </c>
      <c r="E28" s="6">
        <f t="shared" si="0"/>
        <v>8.2605982048815202E-10</v>
      </c>
      <c r="F28" s="6">
        <f t="shared" si="0"/>
        <v>7.9935273064934546E-10</v>
      </c>
      <c r="G28" s="6">
        <f t="shared" si="0"/>
        <v>9.0648051990939363E-10</v>
      </c>
      <c r="H28" s="6">
        <f t="shared" si="0"/>
        <v>8.2605982048815202E-10</v>
      </c>
      <c r="I28" s="6">
        <f t="shared" si="0"/>
        <v>7.9935273064934546E-10</v>
      </c>
      <c r="J28" s="6">
        <f t="shared" si="0"/>
        <v>1.8129610398187873E-9</v>
      </c>
      <c r="K28" s="6">
        <f t="shared" si="0"/>
        <v>1.652119640976304E-9</v>
      </c>
      <c r="L28" s="6">
        <f t="shared" si="0"/>
        <v>1.5987054612986909E-9</v>
      </c>
      <c r="M28" s="4"/>
    </row>
    <row r="29" spans="1:13" outlineLevel="1" x14ac:dyDescent="0.35">
      <c r="B29" s="282" t="s">
        <v>120</v>
      </c>
      <c r="C29" s="282" t="s">
        <v>869</v>
      </c>
      <c r="D29" s="6">
        <f>D17*0.8</f>
        <v>2.9636978010713483E-11</v>
      </c>
      <c r="E29" s="6">
        <f t="shared" si="0"/>
        <v>2.8536850315074006E-11</v>
      </c>
      <c r="F29" s="6">
        <f t="shared" si="0"/>
        <v>2.857325197487607E-11</v>
      </c>
      <c r="G29" s="6">
        <f t="shared" si="0"/>
        <v>2.9636978010713483E-11</v>
      </c>
      <c r="H29" s="6">
        <f t="shared" si="0"/>
        <v>2.8536850315074006E-11</v>
      </c>
      <c r="I29" s="6">
        <f t="shared" si="0"/>
        <v>2.857325197487607E-11</v>
      </c>
      <c r="J29" s="6">
        <f t="shared" si="0"/>
        <v>2.9636978010713483E-11</v>
      </c>
      <c r="K29" s="6">
        <f t="shared" si="0"/>
        <v>2.8536850315074006E-11</v>
      </c>
      <c r="L29" s="6">
        <f t="shared" si="0"/>
        <v>2.857325197487607E-11</v>
      </c>
      <c r="M29" s="4"/>
    </row>
    <row r="30" spans="1:13" outlineLevel="1" x14ac:dyDescent="0.35">
      <c r="B30" s="282" t="s">
        <v>121</v>
      </c>
      <c r="C30" s="282" t="s">
        <v>869</v>
      </c>
      <c r="D30" s="6">
        <f>D18</f>
        <v>1.6163480748994424E-8</v>
      </c>
      <c r="E30" s="6">
        <f t="shared" ref="E30:L34" si="1">E18</f>
        <v>1.3708771072106342E-8</v>
      </c>
      <c r="F30" s="6">
        <f t="shared" si="1"/>
        <v>1.213886828294613E-8</v>
      </c>
      <c r="G30" s="6">
        <f t="shared" si="1"/>
        <v>1.6163480748994424E-8</v>
      </c>
      <c r="H30" s="6">
        <f t="shared" si="1"/>
        <v>1.3708771072106342E-8</v>
      </c>
      <c r="I30" s="6">
        <f t="shared" si="1"/>
        <v>1.213886828294613E-8</v>
      </c>
      <c r="J30" s="6">
        <f t="shared" si="1"/>
        <v>3.2326961497988848E-8</v>
      </c>
      <c r="K30" s="6">
        <f t="shared" si="1"/>
        <v>2.7417542144212684E-8</v>
      </c>
      <c r="L30" s="6">
        <f t="shared" si="1"/>
        <v>2.4277736565892259E-8</v>
      </c>
      <c r="M30" s="4"/>
    </row>
    <row r="31" spans="1:13" outlineLevel="1" x14ac:dyDescent="0.35">
      <c r="B31" s="282" t="s">
        <v>797</v>
      </c>
      <c r="C31" s="282" t="s">
        <v>869</v>
      </c>
      <c r="D31" s="6">
        <f>D19</f>
        <v>0</v>
      </c>
      <c r="E31" s="6">
        <f t="shared" si="1"/>
        <v>0</v>
      </c>
      <c r="F31" s="6">
        <f t="shared" si="1"/>
        <v>0</v>
      </c>
      <c r="G31" s="6">
        <f t="shared" si="1"/>
        <v>0</v>
      </c>
      <c r="H31" s="6">
        <f t="shared" si="1"/>
        <v>0</v>
      </c>
      <c r="I31" s="6">
        <f t="shared" si="1"/>
        <v>0</v>
      </c>
      <c r="J31" s="6">
        <f t="shared" si="1"/>
        <v>8.4987672123381005E-7</v>
      </c>
      <c r="K31" s="6">
        <f t="shared" si="1"/>
        <v>8.1743523167004277E-7</v>
      </c>
      <c r="L31" s="6">
        <f t="shared" si="1"/>
        <v>7.0783676707877945E-7</v>
      </c>
      <c r="M31" s="4"/>
    </row>
    <row r="32" spans="1:13" outlineLevel="1" x14ac:dyDescent="0.35">
      <c r="B32" s="282" t="s">
        <v>122</v>
      </c>
      <c r="C32" s="282" t="s">
        <v>869</v>
      </c>
      <c r="D32" s="6">
        <f>D20</f>
        <v>2.445525743468704E-6</v>
      </c>
      <c r="E32" s="6">
        <f t="shared" si="1"/>
        <v>6.0422203435546994E-7</v>
      </c>
      <c r="F32" s="6">
        <f t="shared" si="1"/>
        <v>2.3459087286849139E-7</v>
      </c>
      <c r="G32" s="6">
        <f t="shared" si="1"/>
        <v>1.9112296251611E-6</v>
      </c>
      <c r="H32" s="6">
        <f t="shared" si="1"/>
        <v>4.9891284917080644E-7</v>
      </c>
      <c r="I32" s="6">
        <f t="shared" si="1"/>
        <v>2.1387876523837101E-7</v>
      </c>
      <c r="J32" s="6">
        <f t="shared" si="1"/>
        <v>6.2876254522439755E-7</v>
      </c>
      <c r="K32" s="6">
        <f t="shared" si="1"/>
        <v>5.5593609370857821E-7</v>
      </c>
      <c r="L32" s="6">
        <f t="shared" si="1"/>
        <v>5.2155097946725118E-7</v>
      </c>
      <c r="M32" s="4"/>
    </row>
    <row r="33" spans="1:20" outlineLevel="1" x14ac:dyDescent="0.35">
      <c r="B33" s="282" t="s">
        <v>123</v>
      </c>
      <c r="C33" s="282" t="s">
        <v>869</v>
      </c>
      <c r="D33" s="6">
        <f>D21</f>
        <v>2.0012222822249669E-7</v>
      </c>
      <c r="E33" s="6">
        <f t="shared" si="1"/>
        <v>6.1093319563827715E-8</v>
      </c>
      <c r="F33" s="6">
        <f t="shared" si="1"/>
        <v>3.2647215503458974E-8</v>
      </c>
      <c r="G33" s="6">
        <f t="shared" si="1"/>
        <v>4.6028112491174245E-10</v>
      </c>
      <c r="H33" s="6">
        <f t="shared" si="1"/>
        <v>1.405146349968037E-10</v>
      </c>
      <c r="I33" s="6">
        <f t="shared" si="1"/>
        <v>7.5088595657955673E-11</v>
      </c>
      <c r="J33" s="6">
        <f t="shared" si="1"/>
        <v>2.0012222822249669E-7</v>
      </c>
      <c r="K33" s="6">
        <f t="shared" si="1"/>
        <v>6.1093319563827715E-8</v>
      </c>
      <c r="L33" s="6">
        <f t="shared" si="1"/>
        <v>3.2647215503458974E-8</v>
      </c>
      <c r="M33" s="4"/>
    </row>
    <row r="34" spans="1:20" outlineLevel="1" x14ac:dyDescent="0.35">
      <c r="B34" s="282" t="s">
        <v>124</v>
      </c>
      <c r="C34" s="282" t="s">
        <v>869</v>
      </c>
      <c r="D34" s="6">
        <f>D22</f>
        <v>-2.8000764999999987E-6</v>
      </c>
      <c r="E34" s="6">
        <f t="shared" si="1"/>
        <v>-2.8000764999999987E-6</v>
      </c>
      <c r="F34" s="6">
        <f t="shared" si="1"/>
        <v>-2.8000764999999987E-6</v>
      </c>
      <c r="G34" s="6">
        <f t="shared" si="1"/>
        <v>-2.8000764999999987E-6</v>
      </c>
      <c r="H34" s="6">
        <f t="shared" si="1"/>
        <v>-2.8000764999999987E-6</v>
      </c>
      <c r="I34" s="6">
        <f t="shared" si="1"/>
        <v>-2.8000764999999987E-6</v>
      </c>
      <c r="J34" s="6">
        <f t="shared" si="1"/>
        <v>-2.8000764999999987E-6</v>
      </c>
      <c r="K34" s="6">
        <f t="shared" si="1"/>
        <v>-2.8000764999999987E-6</v>
      </c>
      <c r="L34" s="6">
        <f t="shared" si="1"/>
        <v>-2.8000764999999987E-6</v>
      </c>
      <c r="M34" s="4"/>
    </row>
    <row r="35" spans="1:20" outlineLevel="1" x14ac:dyDescent="0.35">
      <c r="B35" s="282" t="s">
        <v>137</v>
      </c>
      <c r="C35" s="282" t="s">
        <v>869</v>
      </c>
      <c r="D35" s="6">
        <f>SUM(D26:D34)</f>
        <v>-7.1396960148869694E-8</v>
      </c>
      <c r="E35" s="6">
        <f t="shared" ref="E35:L35" si="2">SUM(E26:E34)</f>
        <v>-2.0580438369282962E-6</v>
      </c>
      <c r="F35" s="6">
        <f t="shared" si="2"/>
        <v>-2.46801379088427E-6</v>
      </c>
      <c r="G35" s="6">
        <f t="shared" si="2"/>
        <v>-8.0535502555405882E-7</v>
      </c>
      <c r="H35" s="6">
        <f t="shared" si="2"/>
        <v>-2.224305827041791E-6</v>
      </c>
      <c r="I35" s="6">
        <f t="shared" si="2"/>
        <v>-2.5212980254221915E-6</v>
      </c>
      <c r="J35" s="6">
        <f t="shared" si="2"/>
        <v>-9.6833065018312187E-7</v>
      </c>
      <c r="K35" s="6">
        <f t="shared" si="2"/>
        <v>-1.2249950295981175E-6</v>
      </c>
      <c r="L35" s="6">
        <f t="shared" si="2"/>
        <v>-1.4206973677014783E-6</v>
      </c>
      <c r="M35" s="4"/>
    </row>
    <row r="36" spans="1:20" outlineLevel="1" x14ac:dyDescent="0.35">
      <c r="M36" s="4"/>
    </row>
    <row r="37" spans="1:20" outlineLevel="1" x14ac:dyDescent="0.35">
      <c r="A37" s="15" t="s">
        <v>502</v>
      </c>
      <c r="B37" s="30"/>
      <c r="C37" s="140" t="s">
        <v>180</v>
      </c>
      <c r="D37" s="6" t="s">
        <v>889</v>
      </c>
      <c r="E37" s="6" t="s">
        <v>891</v>
      </c>
      <c r="F37" s="6" t="s">
        <v>890</v>
      </c>
      <c r="G37" s="6" t="s">
        <v>892</v>
      </c>
      <c r="H37" s="6" t="s">
        <v>893</v>
      </c>
      <c r="I37" s="6" t="s">
        <v>894</v>
      </c>
      <c r="J37" s="6" t="s">
        <v>896</v>
      </c>
      <c r="K37" s="6" t="s">
        <v>897</v>
      </c>
      <c r="L37" s="6" t="s">
        <v>895</v>
      </c>
      <c r="M37" s="4"/>
    </row>
    <row r="38" spans="1:20" outlineLevel="1" x14ac:dyDescent="0.35">
      <c r="B38" s="282" t="s">
        <v>117</v>
      </c>
      <c r="C38" s="282" t="s">
        <v>869</v>
      </c>
      <c r="D38" s="6">
        <f>D14*1.2</f>
        <v>9.3444159650437679E-8</v>
      </c>
      <c r="E38" s="6">
        <f t="shared" ref="E38:L41" si="3">E14*1.2</f>
        <v>8.8063329223244667E-8</v>
      </c>
      <c r="F38" s="6">
        <f t="shared" si="3"/>
        <v>7.308917348021533E-8</v>
      </c>
      <c r="G38" s="6">
        <f t="shared" si="3"/>
        <v>9.3444159650437679E-8</v>
      </c>
      <c r="H38" s="6">
        <f t="shared" si="3"/>
        <v>8.8063329223244667E-8</v>
      </c>
      <c r="I38" s="6">
        <f t="shared" si="3"/>
        <v>7.308917348021533E-8</v>
      </c>
      <c r="J38" s="6">
        <f t="shared" si="3"/>
        <v>1.7276839821144824E-7</v>
      </c>
      <c r="K38" s="6">
        <f t="shared" si="3"/>
        <v>1.6211035734489468E-7</v>
      </c>
      <c r="L38" s="6">
        <f t="shared" si="3"/>
        <v>1.3246116621770089E-7</v>
      </c>
      <c r="M38" s="4"/>
    </row>
    <row r="39" spans="1:20" outlineLevel="1" x14ac:dyDescent="0.35">
      <c r="B39" s="282" t="s">
        <v>118</v>
      </c>
      <c r="C39" s="282" t="s">
        <v>869</v>
      </c>
      <c r="D39" s="6">
        <f>D15*1.2</f>
        <v>5.4537952190828438E-9</v>
      </c>
      <c r="E39" s="6">
        <f t="shared" si="3"/>
        <v>5.1675828909979958E-9</v>
      </c>
      <c r="F39" s="6">
        <f t="shared" si="3"/>
        <v>4.6975662370966078E-9</v>
      </c>
      <c r="G39" s="6">
        <f t="shared" si="3"/>
        <v>5.4537952190828438E-9</v>
      </c>
      <c r="H39" s="6">
        <f t="shared" si="3"/>
        <v>5.1675828909979958E-9</v>
      </c>
      <c r="I39" s="6">
        <f t="shared" si="3"/>
        <v>4.6975662370966078E-9</v>
      </c>
      <c r="J39" s="6">
        <f t="shared" si="3"/>
        <v>5.4537952190828438E-9</v>
      </c>
      <c r="K39" s="6">
        <f t="shared" si="3"/>
        <v>5.1675828909979958E-9</v>
      </c>
      <c r="L39" s="6">
        <f t="shared" si="3"/>
        <v>4.6975662370966078E-9</v>
      </c>
      <c r="M39" s="4"/>
    </row>
    <row r="40" spans="1:20" outlineLevel="1" x14ac:dyDescent="0.35">
      <c r="B40" s="282" t="s">
        <v>119</v>
      </c>
      <c r="C40" s="282" t="s">
        <v>869</v>
      </c>
      <c r="D40" s="6">
        <f>D16*1.2</f>
        <v>1.3597207798640904E-9</v>
      </c>
      <c r="E40" s="6">
        <f t="shared" si="3"/>
        <v>1.2390897307322279E-9</v>
      </c>
      <c r="F40" s="6">
        <f t="shared" si="3"/>
        <v>1.1990290959740181E-9</v>
      </c>
      <c r="G40" s="6">
        <f t="shared" si="3"/>
        <v>1.3597207798640904E-9</v>
      </c>
      <c r="H40" s="6">
        <f t="shared" si="3"/>
        <v>1.2390897307322279E-9</v>
      </c>
      <c r="I40" s="6">
        <f t="shared" si="3"/>
        <v>1.1990290959740181E-9</v>
      </c>
      <c r="J40" s="6">
        <f t="shared" si="3"/>
        <v>2.7194415597281808E-9</v>
      </c>
      <c r="K40" s="6">
        <f t="shared" si="3"/>
        <v>2.4781794614644557E-9</v>
      </c>
      <c r="L40" s="6">
        <f t="shared" si="3"/>
        <v>2.3980581919480363E-9</v>
      </c>
      <c r="M40" s="4"/>
    </row>
    <row r="41" spans="1:20" outlineLevel="1" x14ac:dyDescent="0.35">
      <c r="B41" s="282" t="s">
        <v>120</v>
      </c>
      <c r="C41" s="282" t="s">
        <v>869</v>
      </c>
      <c r="D41" s="6">
        <f>D17*1.2</f>
        <v>4.4455467016070221E-11</v>
      </c>
      <c r="E41" s="6">
        <f t="shared" si="3"/>
        <v>4.2805275472611005E-11</v>
      </c>
      <c r="F41" s="6">
        <f t="shared" si="3"/>
        <v>4.2859877962314105E-11</v>
      </c>
      <c r="G41" s="6">
        <f t="shared" si="3"/>
        <v>4.4455467016070221E-11</v>
      </c>
      <c r="H41" s="6">
        <f t="shared" si="3"/>
        <v>4.2805275472611005E-11</v>
      </c>
      <c r="I41" s="6">
        <f t="shared" si="3"/>
        <v>4.2859877962314105E-11</v>
      </c>
      <c r="J41" s="6">
        <f t="shared" si="3"/>
        <v>4.4455467016070221E-11</v>
      </c>
      <c r="K41" s="6">
        <f t="shared" si="3"/>
        <v>4.2805275472611005E-11</v>
      </c>
      <c r="L41" s="6">
        <f t="shared" si="3"/>
        <v>4.2859877962314105E-11</v>
      </c>
      <c r="M41" s="4"/>
    </row>
    <row r="42" spans="1:20" outlineLevel="1" x14ac:dyDescent="0.35">
      <c r="B42" s="282" t="s">
        <v>121</v>
      </c>
      <c r="C42" s="282" t="s">
        <v>869</v>
      </c>
      <c r="D42" s="6">
        <f>D18</f>
        <v>1.6163480748994424E-8</v>
      </c>
      <c r="E42" s="6">
        <f t="shared" ref="E42:L46" si="4">E18</f>
        <v>1.3708771072106342E-8</v>
      </c>
      <c r="F42" s="6">
        <f t="shared" si="4"/>
        <v>1.213886828294613E-8</v>
      </c>
      <c r="G42" s="6">
        <f t="shared" si="4"/>
        <v>1.6163480748994424E-8</v>
      </c>
      <c r="H42" s="6">
        <f t="shared" si="4"/>
        <v>1.3708771072106342E-8</v>
      </c>
      <c r="I42" s="6">
        <f t="shared" si="4"/>
        <v>1.213886828294613E-8</v>
      </c>
      <c r="J42" s="6">
        <f t="shared" si="4"/>
        <v>3.2326961497988848E-8</v>
      </c>
      <c r="K42" s="6">
        <f t="shared" si="4"/>
        <v>2.7417542144212684E-8</v>
      </c>
      <c r="L42" s="6">
        <f t="shared" si="4"/>
        <v>2.4277736565892259E-8</v>
      </c>
      <c r="M42" s="4"/>
    </row>
    <row r="43" spans="1:20" outlineLevel="1" x14ac:dyDescent="0.35">
      <c r="B43" s="282" t="s">
        <v>797</v>
      </c>
      <c r="C43" s="282" t="s">
        <v>869</v>
      </c>
      <c r="D43" s="6">
        <f>D19</f>
        <v>0</v>
      </c>
      <c r="E43" s="6">
        <f t="shared" si="4"/>
        <v>0</v>
      </c>
      <c r="F43" s="6">
        <f t="shared" si="4"/>
        <v>0</v>
      </c>
      <c r="G43" s="6">
        <f t="shared" si="4"/>
        <v>0</v>
      </c>
      <c r="H43" s="6">
        <f t="shared" si="4"/>
        <v>0</v>
      </c>
      <c r="I43" s="6">
        <f t="shared" si="4"/>
        <v>0</v>
      </c>
      <c r="J43" s="6">
        <f t="shared" si="4"/>
        <v>8.4987672123381005E-7</v>
      </c>
      <c r="K43" s="6">
        <f t="shared" si="4"/>
        <v>8.1743523167004277E-7</v>
      </c>
      <c r="L43" s="6">
        <f t="shared" si="4"/>
        <v>7.0783676707877945E-7</v>
      </c>
      <c r="M43" s="4"/>
    </row>
    <row r="44" spans="1:20" outlineLevel="1" x14ac:dyDescent="0.35">
      <c r="B44" s="282" t="s">
        <v>122</v>
      </c>
      <c r="C44" s="282" t="s">
        <v>869</v>
      </c>
      <c r="D44" s="6">
        <f>D20</f>
        <v>2.445525743468704E-6</v>
      </c>
      <c r="E44" s="6">
        <f t="shared" si="4"/>
        <v>6.0422203435546994E-7</v>
      </c>
      <c r="F44" s="6">
        <f t="shared" si="4"/>
        <v>2.3459087286849139E-7</v>
      </c>
      <c r="G44" s="6">
        <f t="shared" si="4"/>
        <v>1.9112296251611E-6</v>
      </c>
      <c r="H44" s="6">
        <f t="shared" si="4"/>
        <v>4.9891284917080644E-7</v>
      </c>
      <c r="I44" s="6">
        <f t="shared" si="4"/>
        <v>2.1387876523837101E-7</v>
      </c>
      <c r="J44" s="6">
        <f t="shared" si="4"/>
        <v>6.2876254522439755E-7</v>
      </c>
      <c r="K44" s="6">
        <f t="shared" si="4"/>
        <v>5.5593609370857821E-7</v>
      </c>
      <c r="L44" s="6">
        <f t="shared" si="4"/>
        <v>5.2155097946725118E-7</v>
      </c>
      <c r="M44" s="4"/>
    </row>
    <row r="45" spans="1:20" outlineLevel="1" x14ac:dyDescent="0.35">
      <c r="B45" s="282" t="s">
        <v>123</v>
      </c>
      <c r="C45" s="282" t="s">
        <v>869</v>
      </c>
      <c r="D45" s="6">
        <f>D21</f>
        <v>2.0012222822249669E-7</v>
      </c>
      <c r="E45" s="6">
        <f t="shared" si="4"/>
        <v>6.1093319563827715E-8</v>
      </c>
      <c r="F45" s="6">
        <f t="shared" si="4"/>
        <v>3.2647215503458974E-8</v>
      </c>
      <c r="G45" s="6">
        <f t="shared" si="4"/>
        <v>4.6028112491174245E-10</v>
      </c>
      <c r="H45" s="6">
        <f t="shared" si="4"/>
        <v>1.405146349968037E-10</v>
      </c>
      <c r="I45" s="6">
        <f t="shared" si="4"/>
        <v>7.5088595657955673E-11</v>
      </c>
      <c r="J45" s="6">
        <f t="shared" si="4"/>
        <v>2.0012222822249669E-7</v>
      </c>
      <c r="K45" s="6">
        <f t="shared" si="4"/>
        <v>6.1093319563827715E-8</v>
      </c>
      <c r="L45" s="6">
        <f t="shared" si="4"/>
        <v>3.2647215503458974E-8</v>
      </c>
      <c r="M45" s="4"/>
    </row>
    <row r="46" spans="1:20" outlineLevel="1" x14ac:dyDescent="0.35">
      <c r="B46" s="282" t="s">
        <v>124</v>
      </c>
      <c r="C46" s="282" t="s">
        <v>869</v>
      </c>
      <c r="D46" s="6">
        <f>D22</f>
        <v>-2.8000764999999987E-6</v>
      </c>
      <c r="E46" s="6">
        <f t="shared" si="4"/>
        <v>-2.8000764999999987E-6</v>
      </c>
      <c r="F46" s="6">
        <f t="shared" si="4"/>
        <v>-2.8000764999999987E-6</v>
      </c>
      <c r="G46" s="6">
        <f t="shared" si="4"/>
        <v>-2.8000764999999987E-6</v>
      </c>
      <c r="H46" s="6">
        <f t="shared" si="4"/>
        <v>-2.8000764999999987E-6</v>
      </c>
      <c r="I46" s="6">
        <f t="shared" si="4"/>
        <v>-2.8000764999999987E-6</v>
      </c>
      <c r="J46" s="6">
        <f t="shared" si="4"/>
        <v>-2.8000764999999987E-6</v>
      </c>
      <c r="K46" s="6">
        <f t="shared" si="4"/>
        <v>-2.8000764999999987E-6</v>
      </c>
      <c r="L46" s="6">
        <f t="shared" si="4"/>
        <v>-2.8000764999999987E-6</v>
      </c>
      <c r="M46" s="4"/>
    </row>
    <row r="47" spans="1:20" outlineLevel="1" x14ac:dyDescent="0.35">
      <c r="B47" s="282" t="s">
        <v>137</v>
      </c>
      <c r="C47" s="282" t="s">
        <v>869</v>
      </c>
      <c r="D47" s="6">
        <f>SUM(D38:D46)</f>
        <v>-3.7962916443402736E-8</v>
      </c>
      <c r="E47" s="6">
        <f t="shared" ref="E47:L47" si="5">SUM(E38:E46)</f>
        <v>-2.0265395678881471E-6</v>
      </c>
      <c r="F47" s="6">
        <f t="shared" si="5"/>
        <v>-2.441670914653854E-6</v>
      </c>
      <c r="G47" s="6">
        <f t="shared" si="5"/>
        <v>-7.7192098184859186E-7</v>
      </c>
      <c r="H47" s="6">
        <f t="shared" si="5"/>
        <v>-2.1928015580016415E-6</v>
      </c>
      <c r="I47" s="6">
        <f t="shared" si="5"/>
        <v>-2.4949551491917755E-6</v>
      </c>
      <c r="J47" s="6">
        <f t="shared" si="5"/>
        <v>-9.0800195336403043E-7</v>
      </c>
      <c r="K47" s="6">
        <f t="shared" si="5"/>
        <v>-1.1683953879405077E-6</v>
      </c>
      <c r="L47" s="6">
        <f t="shared" si="5"/>
        <v>-1.374164150859909E-6</v>
      </c>
      <c r="M47" s="4"/>
    </row>
    <row r="48" spans="1:20" outlineLevel="1" x14ac:dyDescent="0.35">
      <c r="M48" s="4"/>
      <c r="T48" s="282"/>
    </row>
    <row r="49" spans="1:23" s="33" customFormat="1" ht="15.5" x14ac:dyDescent="0.35">
      <c r="A49" s="51" t="s">
        <v>503</v>
      </c>
      <c r="B49" s="4"/>
      <c r="C49" s="4"/>
      <c r="D49" s="4"/>
      <c r="E49" s="4"/>
      <c r="F49" s="4"/>
      <c r="G49" s="4"/>
      <c r="H49" s="4"/>
      <c r="I49" s="4"/>
      <c r="J49" s="4"/>
      <c r="K49" s="4"/>
      <c r="L49" s="4"/>
      <c r="M49" s="4"/>
      <c r="N49" s="282"/>
      <c r="O49" s="282"/>
      <c r="P49" s="282"/>
      <c r="Q49" s="282"/>
      <c r="R49" s="282"/>
      <c r="S49" s="282"/>
      <c r="T49" s="282"/>
      <c r="U49" s="282"/>
      <c r="V49" s="282"/>
      <c r="W49" s="282"/>
    </row>
    <row r="50" spans="1:23" s="33" customFormat="1" outlineLevel="1" x14ac:dyDescent="0.35">
      <c r="A50" s="15" t="s">
        <v>568</v>
      </c>
      <c r="B50" s="30"/>
      <c r="C50" s="140" t="s">
        <v>180</v>
      </c>
      <c r="D50" s="6" t="s">
        <v>889</v>
      </c>
      <c r="E50" s="6" t="s">
        <v>891</v>
      </c>
      <c r="F50" s="6" t="s">
        <v>890</v>
      </c>
      <c r="G50" s="6" t="s">
        <v>892</v>
      </c>
      <c r="H50" s="6" t="s">
        <v>893</v>
      </c>
      <c r="I50" s="6" t="s">
        <v>894</v>
      </c>
      <c r="J50" s="6" t="s">
        <v>896</v>
      </c>
      <c r="K50" s="6" t="s">
        <v>897</v>
      </c>
      <c r="L50" s="6" t="s">
        <v>895</v>
      </c>
      <c r="M50" s="4"/>
      <c r="N50" s="282"/>
      <c r="O50" s="282"/>
      <c r="P50" s="282"/>
      <c r="Q50" s="282"/>
      <c r="R50" s="282"/>
      <c r="S50" s="282"/>
      <c r="T50" s="282"/>
      <c r="U50" s="282"/>
      <c r="V50" s="282"/>
      <c r="W50" s="282"/>
    </row>
    <row r="51" spans="1:23" s="33" customFormat="1" outlineLevel="1" x14ac:dyDescent="0.35">
      <c r="B51" s="282" t="s">
        <v>117</v>
      </c>
      <c r="C51" s="282" t="s">
        <v>869</v>
      </c>
      <c r="D51" s="6">
        <f>'Results ReCiPe (H) - ESD'!B467</f>
        <v>7.7870133042031404E-8</v>
      </c>
      <c r="E51" s="6">
        <f>'Results ReCiPe (H) - ESD'!C467</f>
        <v>7.338610768603722E-8</v>
      </c>
      <c r="F51" s="6">
        <f>'Results ReCiPe (H) - ESD'!D467</f>
        <v>6.0907644566846106E-8</v>
      </c>
      <c r="G51" s="6">
        <f>'Results ReCiPe (H) - ESD'!E467</f>
        <v>7.7870133042031404E-8</v>
      </c>
      <c r="H51" s="6">
        <f>'Results ReCiPe (H) - ESD'!F467</f>
        <v>7.338610768603722E-8</v>
      </c>
      <c r="I51" s="6">
        <f>'Results ReCiPe (H) - ESD'!G467</f>
        <v>6.0907644566846106E-8</v>
      </c>
      <c r="J51" s="6">
        <f>'Results ReCiPe (H) - ESD'!H467</f>
        <v>1.4397366517620688E-7</v>
      </c>
      <c r="K51" s="6">
        <f>'Results ReCiPe (H) - ESD'!I467</f>
        <v>1.3509196445407891E-7</v>
      </c>
      <c r="L51" s="6">
        <f>'Results ReCiPe (H) - ESD'!J467</f>
        <v>1.1038430518141741E-7</v>
      </c>
      <c r="M51" s="4"/>
      <c r="N51" s="282"/>
      <c r="O51" s="282"/>
      <c r="P51" s="282"/>
      <c r="Q51" s="282"/>
      <c r="R51" s="282"/>
      <c r="S51" s="282"/>
      <c r="T51" s="282"/>
      <c r="U51" s="282"/>
      <c r="V51" s="282"/>
      <c r="W51" s="282"/>
    </row>
    <row r="52" spans="1:23" s="33" customFormat="1" outlineLevel="1" x14ac:dyDescent="0.35">
      <c r="A52" s="282"/>
      <c r="B52" s="282" t="s">
        <v>118</v>
      </c>
      <c r="C52" s="282" t="s">
        <v>869</v>
      </c>
      <c r="D52" s="6">
        <f>'Results ReCiPe (H) - ESD'!B468</f>
        <v>4.544829349235703E-9</v>
      </c>
      <c r="E52" s="6">
        <f>'Results ReCiPe (H) - ESD'!C468</f>
        <v>4.3063190758316633E-9</v>
      </c>
      <c r="F52" s="6">
        <f>'Results ReCiPe (H) - ESD'!D468</f>
        <v>3.9146385309138401E-9</v>
      </c>
      <c r="G52" s="6">
        <f>'Results ReCiPe (H) - ESD'!E468</f>
        <v>4.544829349235703E-9</v>
      </c>
      <c r="H52" s="6">
        <f>'Results ReCiPe (H) - ESD'!F468</f>
        <v>4.3063190758316633E-9</v>
      </c>
      <c r="I52" s="6">
        <f>'Results ReCiPe (H) - ESD'!G468</f>
        <v>3.9146385309138401E-9</v>
      </c>
      <c r="J52" s="6">
        <f>'Results ReCiPe (H) - ESD'!H468</f>
        <v>4.544829349235703E-9</v>
      </c>
      <c r="K52" s="6">
        <f>'Results ReCiPe (H) - ESD'!I468</f>
        <v>4.3063190758316633E-9</v>
      </c>
      <c r="L52" s="6">
        <f>'Results ReCiPe (H) - ESD'!J468</f>
        <v>3.9146385309138401E-9</v>
      </c>
      <c r="M52" s="4"/>
      <c r="R52" s="32"/>
    </row>
    <row r="53" spans="1:23" s="33" customFormat="1" outlineLevel="1" x14ac:dyDescent="0.35">
      <c r="A53" s="282"/>
      <c r="B53" s="282" t="s">
        <v>119</v>
      </c>
      <c r="C53" s="282" t="s">
        <v>869</v>
      </c>
      <c r="D53" s="6">
        <f>'Results ReCiPe (H) - ESD'!B469</f>
        <v>1.133100649886742E-9</v>
      </c>
      <c r="E53" s="6">
        <f>'Results ReCiPe (H) - ESD'!C469</f>
        <v>1.03257477561019E-9</v>
      </c>
      <c r="F53" s="6">
        <f>'Results ReCiPe (H) - ESD'!D469</f>
        <v>9.9919091331168175E-10</v>
      </c>
      <c r="G53" s="6">
        <f>'Results ReCiPe (H) - ESD'!E469</f>
        <v>1.133100649886742E-9</v>
      </c>
      <c r="H53" s="6">
        <f>'Results ReCiPe (H) - ESD'!F469</f>
        <v>1.03257477561019E-9</v>
      </c>
      <c r="I53" s="6">
        <f>'Results ReCiPe (H) - ESD'!G469</f>
        <v>9.9919091331168175E-10</v>
      </c>
      <c r="J53" s="6">
        <f>'Results ReCiPe (H) - ESD'!H469</f>
        <v>2.2662012997734839E-9</v>
      </c>
      <c r="K53" s="6">
        <f>'Results ReCiPe (H) - ESD'!I469</f>
        <v>2.06514955122038E-9</v>
      </c>
      <c r="L53" s="6">
        <f>'Results ReCiPe (H) - ESD'!J469</f>
        <v>1.9983818266233635E-9</v>
      </c>
      <c r="M53" s="4"/>
      <c r="R53" s="6"/>
    </row>
    <row r="54" spans="1:23" s="33" customFormat="1" outlineLevel="1" x14ac:dyDescent="0.35">
      <c r="A54" s="282"/>
      <c r="B54" s="282" t="s">
        <v>120</v>
      </c>
      <c r="C54" s="282" t="s">
        <v>869</v>
      </c>
      <c r="D54" s="6">
        <f>'Results ReCiPe (H) - ESD'!B470</f>
        <v>3.7046222513391852E-11</v>
      </c>
      <c r="E54" s="6">
        <f>'Results ReCiPe (H) - ESD'!C470</f>
        <v>3.5671062893842507E-11</v>
      </c>
      <c r="F54" s="6">
        <f>'Results ReCiPe (H) - ESD'!D470</f>
        <v>3.5716564968595088E-11</v>
      </c>
      <c r="G54" s="6">
        <f>'Results ReCiPe (H) - ESD'!E470</f>
        <v>3.7046222513391852E-11</v>
      </c>
      <c r="H54" s="6">
        <f>'Results ReCiPe (H) - ESD'!F470</f>
        <v>3.5671062893842507E-11</v>
      </c>
      <c r="I54" s="6">
        <f>'Results ReCiPe (H) - ESD'!G470</f>
        <v>3.5716564968595088E-11</v>
      </c>
      <c r="J54" s="6">
        <f>'Results ReCiPe (H) - ESD'!H470</f>
        <v>3.7046222513391852E-11</v>
      </c>
      <c r="K54" s="6">
        <f>'Results ReCiPe (H) - ESD'!I470</f>
        <v>3.5671062893842507E-11</v>
      </c>
      <c r="L54" s="6">
        <f>'Results ReCiPe (H) - ESD'!J470</f>
        <v>3.5716564968595088E-11</v>
      </c>
      <c r="M54" s="4"/>
      <c r="R54" s="6"/>
    </row>
    <row r="55" spans="1:23" s="33" customFormat="1" outlineLevel="1" x14ac:dyDescent="0.35">
      <c r="A55" s="282"/>
      <c r="B55" s="282" t="s">
        <v>121</v>
      </c>
      <c r="C55" s="282" t="s">
        <v>869</v>
      </c>
      <c r="D55" s="6">
        <f>'Results ReCiPe (H) - ESD'!B471</f>
        <v>1.6163480748994424E-8</v>
      </c>
      <c r="E55" s="6">
        <f>'Results ReCiPe (H) - ESD'!C471</f>
        <v>1.3708771072106342E-8</v>
      </c>
      <c r="F55" s="6">
        <f>'Results ReCiPe (H) - ESD'!D471</f>
        <v>1.213886828294613E-8</v>
      </c>
      <c r="G55" s="6">
        <f>'Results ReCiPe (H) - ESD'!E471</f>
        <v>1.6163480748994424E-8</v>
      </c>
      <c r="H55" s="6">
        <f>'Results ReCiPe (H) - ESD'!F471</f>
        <v>1.3708771072106342E-8</v>
      </c>
      <c r="I55" s="6">
        <f>'Results ReCiPe (H) - ESD'!G471</f>
        <v>1.213886828294613E-8</v>
      </c>
      <c r="J55" s="6">
        <f>'Results ReCiPe (H) - ESD'!H471</f>
        <v>3.2326961497988848E-8</v>
      </c>
      <c r="K55" s="6">
        <f>'Results ReCiPe (H) - ESD'!I471</f>
        <v>2.7417542144212684E-8</v>
      </c>
      <c r="L55" s="6">
        <f>'Results ReCiPe (H) - ESD'!J471</f>
        <v>2.4277736565892259E-8</v>
      </c>
      <c r="M55" s="4"/>
      <c r="R55" s="6"/>
    </row>
    <row r="56" spans="1:23" s="33" customFormat="1" outlineLevel="1" x14ac:dyDescent="0.35">
      <c r="A56" s="282"/>
      <c r="B56" s="282" t="s">
        <v>797</v>
      </c>
      <c r="C56" s="282" t="s">
        <v>869</v>
      </c>
      <c r="D56" s="6">
        <f>'Results ReCiPe (H) - ESD'!B472</f>
        <v>0</v>
      </c>
      <c r="E56" s="6">
        <f>'Results ReCiPe (H) - ESD'!C472</f>
        <v>0</v>
      </c>
      <c r="F56" s="6">
        <f>'Results ReCiPe (H) - ESD'!D472</f>
        <v>0</v>
      </c>
      <c r="G56" s="6">
        <f>'Results ReCiPe (H) - ESD'!E472</f>
        <v>0</v>
      </c>
      <c r="H56" s="6">
        <f>'Results ReCiPe (H) - ESD'!F472</f>
        <v>0</v>
      </c>
      <c r="I56" s="6">
        <f>'Results ReCiPe (H) - ESD'!G472</f>
        <v>0</v>
      </c>
      <c r="J56" s="6">
        <f>'Results ReCiPe (H) - ESD'!H472</f>
        <v>8.4987672123381005E-7</v>
      </c>
      <c r="K56" s="6">
        <f>'Results ReCiPe (H) - ESD'!I472</f>
        <v>8.1743523167004277E-7</v>
      </c>
      <c r="L56" s="6">
        <f>'Results ReCiPe (H) - ESD'!J472</f>
        <v>7.0783676707877945E-7</v>
      </c>
      <c r="M56" s="4"/>
      <c r="R56" s="6"/>
    </row>
    <row r="57" spans="1:23" s="33" customFormat="1" outlineLevel="1" x14ac:dyDescent="0.35">
      <c r="A57" s="282"/>
      <c r="B57" s="282" t="s">
        <v>122</v>
      </c>
      <c r="C57" s="282" t="s">
        <v>869</v>
      </c>
      <c r="D57" s="6">
        <f>'Results ReCiPe (H) - ESD'!B473</f>
        <v>2.445525743468704E-6</v>
      </c>
      <c r="E57" s="6">
        <f>'Results ReCiPe (H) - ESD'!C473</f>
        <v>6.0422203435546994E-7</v>
      </c>
      <c r="F57" s="6">
        <f>'Results ReCiPe (H) - ESD'!D473</f>
        <v>2.3459087286849139E-7</v>
      </c>
      <c r="G57" s="6">
        <f>'Results ReCiPe (H) - ESD'!E473</f>
        <v>1.9112296251611E-6</v>
      </c>
      <c r="H57" s="6">
        <f>'Results ReCiPe (H) - ESD'!F473</f>
        <v>4.9891284917080644E-7</v>
      </c>
      <c r="I57" s="6">
        <f>'Results ReCiPe (H) - ESD'!G473</f>
        <v>2.1387876523837101E-7</v>
      </c>
      <c r="J57" s="6">
        <f>'Results ReCiPe (H) - ESD'!H473</f>
        <v>6.2876254522439755E-7</v>
      </c>
      <c r="K57" s="6">
        <f>'Results ReCiPe (H) - ESD'!I473</f>
        <v>5.5593609370857821E-7</v>
      </c>
      <c r="L57" s="6">
        <f>'Results ReCiPe (H) - ESD'!J473</f>
        <v>5.2155097946725118E-7</v>
      </c>
      <c r="M57" s="4"/>
      <c r="R57" s="6"/>
    </row>
    <row r="58" spans="1:23" s="33" customFormat="1" outlineLevel="1" x14ac:dyDescent="0.35">
      <c r="A58" s="282"/>
      <c r="B58" s="282" t="s">
        <v>123</v>
      </c>
      <c r="C58" s="282" t="s">
        <v>869</v>
      </c>
      <c r="D58" s="6">
        <f>'Results ReCiPe (H) - ESD'!B474</f>
        <v>2.0012222822249669E-7</v>
      </c>
      <c r="E58" s="6">
        <f>'Results ReCiPe (H) - ESD'!C474</f>
        <v>6.1093319563827715E-8</v>
      </c>
      <c r="F58" s="6">
        <f>'Results ReCiPe (H) - ESD'!D474</f>
        <v>3.2647215503458974E-8</v>
      </c>
      <c r="G58" s="6">
        <f>'Results ReCiPe (H) - ESD'!E474</f>
        <v>4.6028112491174245E-10</v>
      </c>
      <c r="H58" s="6">
        <f>'Results ReCiPe (H) - ESD'!F474</f>
        <v>1.405146349968037E-10</v>
      </c>
      <c r="I58" s="6">
        <f>'Results ReCiPe (H) - ESD'!G474</f>
        <v>7.5088595657955673E-11</v>
      </c>
      <c r="J58" s="6">
        <f>'Results ReCiPe (H) - ESD'!H474</f>
        <v>2.0012222822249669E-7</v>
      </c>
      <c r="K58" s="6">
        <f>'Results ReCiPe (H) - ESD'!I474</f>
        <v>6.1093319563827715E-8</v>
      </c>
      <c r="L58" s="6">
        <f>'Results ReCiPe (H) - ESD'!J474</f>
        <v>3.2647215503458974E-8</v>
      </c>
      <c r="M58" s="4"/>
      <c r="R58" s="282"/>
    </row>
    <row r="59" spans="1:23" s="33" customFormat="1" outlineLevel="1" x14ac:dyDescent="0.35">
      <c r="A59" s="282"/>
      <c r="B59" s="282" t="s">
        <v>124</v>
      </c>
      <c r="C59" s="282" t="s">
        <v>869</v>
      </c>
      <c r="D59" s="6">
        <f>'Results ReCiPe (H) - ESD'!B475</f>
        <v>-2.8000764999999987E-6</v>
      </c>
      <c r="E59" s="6">
        <f>'Results ReCiPe (H) - ESD'!C475</f>
        <v>-2.8000764999999987E-6</v>
      </c>
      <c r="F59" s="6">
        <f>'Results ReCiPe (H) - ESD'!D475</f>
        <v>-2.8000764999999987E-6</v>
      </c>
      <c r="G59" s="6">
        <f>'Results ReCiPe (H) - ESD'!E475</f>
        <v>-2.8000764999999987E-6</v>
      </c>
      <c r="H59" s="6">
        <f>'Results ReCiPe (H) - ESD'!F475</f>
        <v>-2.8000764999999987E-6</v>
      </c>
      <c r="I59" s="6">
        <f>'Results ReCiPe (H) - ESD'!G475</f>
        <v>-2.8000764999999987E-6</v>
      </c>
      <c r="J59" s="6">
        <f>'Results ReCiPe (H) - ESD'!H475</f>
        <v>-2.8000764999999987E-6</v>
      </c>
      <c r="K59" s="6">
        <f>'Results ReCiPe (H) - ESD'!I475</f>
        <v>-2.8000764999999987E-6</v>
      </c>
      <c r="L59" s="6">
        <f>'Results ReCiPe (H) - ESD'!J475</f>
        <v>-2.8000764999999987E-6</v>
      </c>
      <c r="M59" s="4"/>
      <c r="R59" s="282"/>
    </row>
    <row r="60" spans="1:23" s="33" customFormat="1" outlineLevel="1" x14ac:dyDescent="0.35">
      <c r="A60" s="282"/>
      <c r="B60" s="282" t="s">
        <v>137</v>
      </c>
      <c r="C60" s="282" t="s">
        <v>869</v>
      </c>
      <c r="D60" s="6">
        <f>'Results ReCiPe (H) - ESD'!B476</f>
        <v>-5.4679938296137717E-8</v>
      </c>
      <c r="E60" s="6">
        <f>'Results ReCiPe (H) - ESD'!C476</f>
        <v>-2.042291702408223E-6</v>
      </c>
      <c r="F60" s="6">
        <f>'Results ReCiPe (H) - ESD'!D476</f>
        <v>-2.4548423527690632E-6</v>
      </c>
      <c r="G60" s="6">
        <f>'Results ReCiPe (H) - ESD'!E476</f>
        <v>-7.8863800370132619E-7</v>
      </c>
      <c r="H60" s="6">
        <f>'Results ReCiPe (H) - ESD'!F476</f>
        <v>-2.2085536925217173E-6</v>
      </c>
      <c r="I60" s="6">
        <f>'Results ReCiPe (H) - ESD'!G476</f>
        <v>-2.5081265873069844E-6</v>
      </c>
      <c r="J60" s="6">
        <f>'Results ReCiPe (H) - ESD'!H476</f>
        <v>-9.3816630177357657E-7</v>
      </c>
      <c r="K60" s="6">
        <f>'Results ReCiPe (H) - ESD'!I476</f>
        <v>-1.1966952087693138E-6</v>
      </c>
      <c r="L60" s="6">
        <f>'Results ReCiPe (H) - ESD'!J476</f>
        <v>-1.3974307592806945E-6</v>
      </c>
      <c r="M60" s="4"/>
      <c r="R60" s="282"/>
    </row>
    <row r="61" spans="1:23" s="33" customFormat="1" outlineLevel="1" x14ac:dyDescent="0.35">
      <c r="A61" s="282"/>
      <c r="B61" s="282"/>
      <c r="C61" s="282"/>
      <c r="D61" s="3"/>
      <c r="E61" s="3"/>
      <c r="F61" s="3"/>
      <c r="G61" s="3"/>
      <c r="H61" s="3"/>
      <c r="I61" s="3"/>
      <c r="J61" s="3"/>
      <c r="K61" s="3"/>
      <c r="L61" s="3"/>
      <c r="M61" s="4"/>
      <c r="R61" s="282"/>
    </row>
    <row r="62" spans="1:23" s="33" customFormat="1" outlineLevel="1" x14ac:dyDescent="0.35">
      <c r="A62" s="15" t="s">
        <v>569</v>
      </c>
      <c r="B62" s="30"/>
      <c r="C62" s="140" t="s">
        <v>180</v>
      </c>
      <c r="D62" s="6" t="s">
        <v>889</v>
      </c>
      <c r="E62" s="6" t="s">
        <v>891</v>
      </c>
      <c r="F62" s="6" t="s">
        <v>890</v>
      </c>
      <c r="G62" s="6" t="s">
        <v>892</v>
      </c>
      <c r="H62" s="6" t="s">
        <v>893</v>
      </c>
      <c r="I62" s="6" t="s">
        <v>894</v>
      </c>
      <c r="J62" s="6" t="s">
        <v>896</v>
      </c>
      <c r="K62" s="6" t="s">
        <v>897</v>
      </c>
      <c r="L62" s="6" t="s">
        <v>895</v>
      </c>
      <c r="M62" s="4"/>
      <c r="N62" s="282"/>
      <c r="O62" s="282"/>
      <c r="P62" s="282"/>
      <c r="R62" s="282"/>
    </row>
    <row r="63" spans="1:23" s="33" customFormat="1" outlineLevel="1" x14ac:dyDescent="0.35">
      <c r="A63" s="282"/>
      <c r="B63" s="282" t="s">
        <v>117</v>
      </c>
      <c r="C63" s="282" t="s">
        <v>869</v>
      </c>
      <c r="D63" s="6">
        <f t="shared" ref="D63:L68" si="6">D51</f>
        <v>7.7870133042031404E-8</v>
      </c>
      <c r="E63" s="6">
        <f t="shared" si="6"/>
        <v>7.338610768603722E-8</v>
      </c>
      <c r="F63" s="6">
        <f t="shared" si="6"/>
        <v>6.0907644566846106E-8</v>
      </c>
      <c r="G63" s="6">
        <f t="shared" si="6"/>
        <v>7.7870133042031404E-8</v>
      </c>
      <c r="H63" s="6">
        <f t="shared" si="6"/>
        <v>7.338610768603722E-8</v>
      </c>
      <c r="I63" s="6">
        <f t="shared" si="6"/>
        <v>6.0907644566846106E-8</v>
      </c>
      <c r="J63" s="6">
        <f t="shared" si="6"/>
        <v>1.4397366517620688E-7</v>
      </c>
      <c r="K63" s="6">
        <f t="shared" si="6"/>
        <v>1.3509196445407891E-7</v>
      </c>
      <c r="L63" s="6">
        <f t="shared" si="6"/>
        <v>1.1038430518141741E-7</v>
      </c>
      <c r="M63" s="4"/>
      <c r="N63" s="282"/>
      <c r="O63" s="282"/>
      <c r="P63" s="282"/>
      <c r="R63" s="282"/>
    </row>
    <row r="64" spans="1:23" s="33" customFormat="1" outlineLevel="1" x14ac:dyDescent="0.35">
      <c r="A64" s="282"/>
      <c r="B64" s="282" t="s">
        <v>118</v>
      </c>
      <c r="C64" s="282" t="s">
        <v>869</v>
      </c>
      <c r="D64" s="6">
        <f t="shared" si="6"/>
        <v>4.544829349235703E-9</v>
      </c>
      <c r="E64" s="6">
        <f t="shared" si="6"/>
        <v>4.3063190758316633E-9</v>
      </c>
      <c r="F64" s="6">
        <f t="shared" si="6"/>
        <v>3.9146385309138401E-9</v>
      </c>
      <c r="G64" s="6">
        <f t="shared" si="6"/>
        <v>4.544829349235703E-9</v>
      </c>
      <c r="H64" s="6">
        <f t="shared" si="6"/>
        <v>4.3063190758316633E-9</v>
      </c>
      <c r="I64" s="6">
        <f t="shared" si="6"/>
        <v>3.9146385309138401E-9</v>
      </c>
      <c r="J64" s="6">
        <f t="shared" si="6"/>
        <v>4.544829349235703E-9</v>
      </c>
      <c r="K64" s="6">
        <f t="shared" si="6"/>
        <v>4.3063190758316633E-9</v>
      </c>
      <c r="L64" s="6">
        <f t="shared" si="6"/>
        <v>3.9146385309138401E-9</v>
      </c>
      <c r="M64" s="4"/>
      <c r="N64" s="282"/>
      <c r="O64" s="282"/>
      <c r="P64" s="282"/>
      <c r="R64" s="282"/>
    </row>
    <row r="65" spans="1:18" s="33" customFormat="1" outlineLevel="1" x14ac:dyDescent="0.35">
      <c r="A65" s="282"/>
      <c r="B65" s="282" t="s">
        <v>119</v>
      </c>
      <c r="C65" s="282" t="s">
        <v>869</v>
      </c>
      <c r="D65" s="6">
        <f t="shared" si="6"/>
        <v>1.133100649886742E-9</v>
      </c>
      <c r="E65" s="6">
        <f t="shared" si="6"/>
        <v>1.03257477561019E-9</v>
      </c>
      <c r="F65" s="6">
        <f t="shared" si="6"/>
        <v>9.9919091331168175E-10</v>
      </c>
      <c r="G65" s="6">
        <f t="shared" si="6"/>
        <v>1.133100649886742E-9</v>
      </c>
      <c r="H65" s="6">
        <f t="shared" si="6"/>
        <v>1.03257477561019E-9</v>
      </c>
      <c r="I65" s="6">
        <f t="shared" si="6"/>
        <v>9.9919091331168175E-10</v>
      </c>
      <c r="J65" s="6">
        <f t="shared" si="6"/>
        <v>2.2662012997734839E-9</v>
      </c>
      <c r="K65" s="6">
        <f t="shared" si="6"/>
        <v>2.06514955122038E-9</v>
      </c>
      <c r="L65" s="6">
        <f t="shared" si="6"/>
        <v>1.9983818266233635E-9</v>
      </c>
      <c r="M65" s="4"/>
      <c r="N65" s="282"/>
      <c r="O65" s="282"/>
      <c r="P65" s="282"/>
      <c r="Q65" s="282"/>
      <c r="R65" s="282"/>
    </row>
    <row r="66" spans="1:18" s="33" customFormat="1" outlineLevel="1" x14ac:dyDescent="0.35">
      <c r="A66" s="282"/>
      <c r="B66" s="282" t="s">
        <v>120</v>
      </c>
      <c r="C66" s="282" t="s">
        <v>869</v>
      </c>
      <c r="D66" s="6">
        <f t="shared" si="6"/>
        <v>3.7046222513391852E-11</v>
      </c>
      <c r="E66" s="6">
        <f t="shared" si="6"/>
        <v>3.5671062893842507E-11</v>
      </c>
      <c r="F66" s="6">
        <f t="shared" si="6"/>
        <v>3.5716564968595088E-11</v>
      </c>
      <c r="G66" s="6">
        <f t="shared" si="6"/>
        <v>3.7046222513391852E-11</v>
      </c>
      <c r="H66" s="6">
        <f t="shared" si="6"/>
        <v>3.5671062893842507E-11</v>
      </c>
      <c r="I66" s="6">
        <f t="shared" si="6"/>
        <v>3.5716564968595088E-11</v>
      </c>
      <c r="J66" s="6">
        <f t="shared" si="6"/>
        <v>3.7046222513391852E-11</v>
      </c>
      <c r="K66" s="6">
        <f t="shared" si="6"/>
        <v>3.5671062893842507E-11</v>
      </c>
      <c r="L66" s="6">
        <f t="shared" si="6"/>
        <v>3.5716564968595088E-11</v>
      </c>
      <c r="M66" s="4"/>
      <c r="N66" s="282"/>
      <c r="O66" s="282"/>
      <c r="P66" s="282"/>
      <c r="Q66" s="282"/>
      <c r="R66" s="282"/>
    </row>
    <row r="67" spans="1:18" s="33" customFormat="1" outlineLevel="1" x14ac:dyDescent="0.35">
      <c r="A67" s="282"/>
      <c r="B67" s="282" t="s">
        <v>121</v>
      </c>
      <c r="C67" s="282" t="s">
        <v>869</v>
      </c>
      <c r="D67" s="6">
        <f t="shared" si="6"/>
        <v>1.6163480748994424E-8</v>
      </c>
      <c r="E67" s="6">
        <f t="shared" si="6"/>
        <v>1.3708771072106342E-8</v>
      </c>
      <c r="F67" s="6">
        <f t="shared" si="6"/>
        <v>1.213886828294613E-8</v>
      </c>
      <c r="G67" s="6">
        <f t="shared" si="6"/>
        <v>1.6163480748994424E-8</v>
      </c>
      <c r="H67" s="6">
        <f t="shared" si="6"/>
        <v>1.3708771072106342E-8</v>
      </c>
      <c r="I67" s="6">
        <f t="shared" si="6"/>
        <v>1.213886828294613E-8</v>
      </c>
      <c r="J67" s="6">
        <f t="shared" si="6"/>
        <v>3.2326961497988848E-8</v>
      </c>
      <c r="K67" s="6">
        <f t="shared" si="6"/>
        <v>2.7417542144212684E-8</v>
      </c>
      <c r="L67" s="6">
        <f t="shared" si="6"/>
        <v>2.4277736565892259E-8</v>
      </c>
      <c r="M67" s="4"/>
      <c r="N67" s="282"/>
      <c r="O67" s="282"/>
      <c r="P67" s="282"/>
      <c r="Q67" s="282"/>
      <c r="R67" s="282"/>
    </row>
    <row r="68" spans="1:18" s="33" customFormat="1" outlineLevel="1" x14ac:dyDescent="0.35">
      <c r="A68" s="282"/>
      <c r="B68" s="282" t="s">
        <v>797</v>
      </c>
      <c r="C68" s="282" t="s">
        <v>869</v>
      </c>
      <c r="D68" s="6">
        <f t="shared" si="6"/>
        <v>0</v>
      </c>
      <c r="E68" s="6">
        <f t="shared" si="6"/>
        <v>0</v>
      </c>
      <c r="F68" s="6">
        <f t="shared" si="6"/>
        <v>0</v>
      </c>
      <c r="G68" s="6">
        <f t="shared" si="6"/>
        <v>0</v>
      </c>
      <c r="H68" s="6">
        <f t="shared" si="6"/>
        <v>0</v>
      </c>
      <c r="I68" s="6">
        <f t="shared" si="6"/>
        <v>0</v>
      </c>
      <c r="J68" s="6">
        <f t="shared" si="6"/>
        <v>8.4987672123381005E-7</v>
      </c>
      <c r="K68" s="6">
        <f t="shared" si="6"/>
        <v>8.1743523167004277E-7</v>
      </c>
      <c r="L68" s="6">
        <f t="shared" si="6"/>
        <v>7.0783676707877945E-7</v>
      </c>
      <c r="M68" s="4"/>
      <c r="N68" s="282"/>
      <c r="O68" s="282"/>
      <c r="P68" s="282"/>
      <c r="Q68" s="282"/>
      <c r="R68" s="282"/>
    </row>
    <row r="69" spans="1:18" s="33" customFormat="1" outlineLevel="1" x14ac:dyDescent="0.35">
      <c r="A69" s="282"/>
      <c r="B69" s="282" t="s">
        <v>122</v>
      </c>
      <c r="C69" s="282" t="s">
        <v>869</v>
      </c>
      <c r="D69" s="6">
        <f>D57/150*100</f>
        <v>1.6303504956458027E-6</v>
      </c>
      <c r="E69" s="6">
        <f t="shared" ref="E69:L69" si="7">E57/150*100</f>
        <v>4.0281468957031327E-7</v>
      </c>
      <c r="F69" s="6">
        <f t="shared" si="7"/>
        <v>1.5639391524566092E-7</v>
      </c>
      <c r="G69" s="6">
        <f t="shared" si="7"/>
        <v>1.2741530834407334E-6</v>
      </c>
      <c r="H69" s="6">
        <f t="shared" si="7"/>
        <v>3.3260856611387098E-7</v>
      </c>
      <c r="I69" s="6">
        <f t="shared" si="7"/>
        <v>1.4258584349224734E-7</v>
      </c>
      <c r="J69" s="6">
        <f t="shared" si="7"/>
        <v>4.1917503014959835E-7</v>
      </c>
      <c r="K69" s="6">
        <f t="shared" si="7"/>
        <v>3.7062406247238549E-7</v>
      </c>
      <c r="L69" s="6">
        <f t="shared" si="7"/>
        <v>3.4770065297816747E-7</v>
      </c>
      <c r="M69" s="4"/>
      <c r="N69" s="282"/>
      <c r="O69" s="282"/>
      <c r="P69" s="282"/>
      <c r="Q69" s="282"/>
      <c r="R69" s="282"/>
    </row>
    <row r="70" spans="1:18" s="33" customFormat="1" outlineLevel="1" x14ac:dyDescent="0.35">
      <c r="A70" s="282"/>
      <c r="B70" s="282" t="s">
        <v>123</v>
      </c>
      <c r="C70" s="282" t="s">
        <v>869</v>
      </c>
      <c r="D70" s="6">
        <f>D58</f>
        <v>2.0012222822249669E-7</v>
      </c>
      <c r="E70" s="6">
        <f t="shared" ref="E70:L71" si="8">E58</f>
        <v>6.1093319563827715E-8</v>
      </c>
      <c r="F70" s="6">
        <f t="shared" si="8"/>
        <v>3.2647215503458974E-8</v>
      </c>
      <c r="G70" s="6">
        <f t="shared" si="8"/>
        <v>4.6028112491174245E-10</v>
      </c>
      <c r="H70" s="6">
        <f t="shared" si="8"/>
        <v>1.405146349968037E-10</v>
      </c>
      <c r="I70" s="6">
        <f t="shared" si="8"/>
        <v>7.5088595657955673E-11</v>
      </c>
      <c r="J70" s="6">
        <f t="shared" si="8"/>
        <v>2.0012222822249669E-7</v>
      </c>
      <c r="K70" s="6">
        <f t="shared" si="8"/>
        <v>6.1093319563827715E-8</v>
      </c>
      <c r="L70" s="6">
        <f t="shared" si="8"/>
        <v>3.2647215503458974E-8</v>
      </c>
      <c r="M70" s="4"/>
      <c r="N70" s="282"/>
      <c r="O70" s="282"/>
      <c r="P70" s="282"/>
      <c r="Q70" s="282"/>
      <c r="R70" s="282"/>
    </row>
    <row r="71" spans="1:18" s="33" customFormat="1" outlineLevel="1" x14ac:dyDescent="0.35">
      <c r="A71" s="282"/>
      <c r="B71" s="282" t="s">
        <v>124</v>
      </c>
      <c r="C71" s="282" t="s">
        <v>869</v>
      </c>
      <c r="D71" s="6">
        <f>D59</f>
        <v>-2.8000764999999987E-6</v>
      </c>
      <c r="E71" s="6">
        <f t="shared" si="8"/>
        <v>-2.8000764999999987E-6</v>
      </c>
      <c r="F71" s="6">
        <f t="shared" si="8"/>
        <v>-2.8000764999999987E-6</v>
      </c>
      <c r="G71" s="6">
        <f t="shared" si="8"/>
        <v>-2.8000764999999987E-6</v>
      </c>
      <c r="H71" s="6">
        <f t="shared" si="8"/>
        <v>-2.8000764999999987E-6</v>
      </c>
      <c r="I71" s="6">
        <f t="shared" si="8"/>
        <v>-2.8000764999999987E-6</v>
      </c>
      <c r="J71" s="6">
        <f t="shared" si="8"/>
        <v>-2.8000764999999987E-6</v>
      </c>
      <c r="K71" s="6">
        <f t="shared" si="8"/>
        <v>-2.8000764999999987E-6</v>
      </c>
      <c r="L71" s="6">
        <f t="shared" si="8"/>
        <v>-2.8000764999999987E-6</v>
      </c>
      <c r="M71" s="4"/>
      <c r="N71" s="282"/>
      <c r="O71" s="282"/>
      <c r="P71" s="282"/>
      <c r="Q71" s="282"/>
      <c r="R71" s="282"/>
    </row>
    <row r="72" spans="1:18" s="33" customFormat="1" outlineLevel="1" x14ac:dyDescent="0.35">
      <c r="A72" s="282"/>
      <c r="B72" s="282" t="s">
        <v>137</v>
      </c>
      <c r="C72" s="282" t="s">
        <v>869</v>
      </c>
      <c r="D72" s="6">
        <f>SUM(D63:D71)</f>
        <v>-8.6985518611903755E-7</v>
      </c>
      <c r="E72" s="6">
        <f t="shared" ref="E72:L72" si="9">SUM(E63:E71)</f>
        <v>-2.2436990471933783E-6</v>
      </c>
      <c r="F72" s="6">
        <f t="shared" si="9"/>
        <v>-2.5330393103918923E-6</v>
      </c>
      <c r="G72" s="6">
        <f t="shared" si="9"/>
        <v>-1.4257145454216919E-6</v>
      </c>
      <c r="H72" s="6">
        <f t="shared" si="9"/>
        <v>-2.3748579755786519E-6</v>
      </c>
      <c r="I72" s="6">
        <f t="shared" si="9"/>
        <v>-2.579419509053107E-6</v>
      </c>
      <c r="J72" s="6">
        <f t="shared" si="9"/>
        <v>-1.1477538168483755E-6</v>
      </c>
      <c r="K72" s="6">
        <f t="shared" si="9"/>
        <v>-1.3820072400055054E-6</v>
      </c>
      <c r="L72" s="6">
        <f t="shared" si="9"/>
        <v>-1.5712810857697774E-6</v>
      </c>
      <c r="M72" s="4"/>
      <c r="N72" s="282"/>
      <c r="O72" s="282"/>
      <c r="P72" s="282"/>
      <c r="Q72" s="282"/>
      <c r="R72" s="282"/>
    </row>
    <row r="73" spans="1:18" s="33" customFormat="1" outlineLevel="1" x14ac:dyDescent="0.35">
      <c r="A73" s="282"/>
      <c r="B73" s="282"/>
      <c r="C73" s="282"/>
      <c r="D73" s="282"/>
      <c r="E73" s="282"/>
      <c r="F73" s="282"/>
      <c r="G73" s="282"/>
      <c r="H73" s="282"/>
      <c r="I73" s="282"/>
      <c r="J73" s="282"/>
      <c r="K73" s="282"/>
      <c r="L73" s="282"/>
      <c r="M73" s="4"/>
      <c r="N73" s="282"/>
      <c r="O73" s="282"/>
      <c r="P73" s="282"/>
      <c r="R73" s="282"/>
    </row>
    <row r="74" spans="1:18" s="33" customFormat="1" outlineLevel="1" x14ac:dyDescent="0.35">
      <c r="A74" s="15" t="s">
        <v>570</v>
      </c>
      <c r="B74" s="30"/>
      <c r="C74" s="140" t="s">
        <v>180</v>
      </c>
      <c r="D74" s="6" t="s">
        <v>889</v>
      </c>
      <c r="E74" s="6" t="s">
        <v>891</v>
      </c>
      <c r="F74" s="6" t="s">
        <v>890</v>
      </c>
      <c r="G74" s="6" t="s">
        <v>892</v>
      </c>
      <c r="H74" s="6" t="s">
        <v>893</v>
      </c>
      <c r="I74" s="6" t="s">
        <v>894</v>
      </c>
      <c r="J74" s="6" t="s">
        <v>896</v>
      </c>
      <c r="K74" s="6" t="s">
        <v>897</v>
      </c>
      <c r="L74" s="6" t="s">
        <v>895</v>
      </c>
      <c r="M74" s="4"/>
      <c r="N74" s="282"/>
      <c r="O74" s="282"/>
      <c r="P74" s="282"/>
      <c r="R74" s="282"/>
    </row>
    <row r="75" spans="1:18" s="33" customFormat="1" outlineLevel="1" x14ac:dyDescent="0.35">
      <c r="A75" s="282"/>
      <c r="B75" s="282" t="s">
        <v>117</v>
      </c>
      <c r="C75" s="282" t="s">
        <v>869</v>
      </c>
      <c r="D75" s="6">
        <f t="shared" ref="D75:L80" si="10">D51</f>
        <v>7.7870133042031404E-8</v>
      </c>
      <c r="E75" s="6">
        <f t="shared" si="10"/>
        <v>7.338610768603722E-8</v>
      </c>
      <c r="F75" s="6">
        <f t="shared" si="10"/>
        <v>6.0907644566846106E-8</v>
      </c>
      <c r="G75" s="6">
        <f t="shared" si="10"/>
        <v>7.7870133042031404E-8</v>
      </c>
      <c r="H75" s="6">
        <f t="shared" si="10"/>
        <v>7.338610768603722E-8</v>
      </c>
      <c r="I75" s="6">
        <f t="shared" si="10"/>
        <v>6.0907644566846106E-8</v>
      </c>
      <c r="J75" s="6">
        <f t="shared" si="10"/>
        <v>1.4397366517620688E-7</v>
      </c>
      <c r="K75" s="6">
        <f t="shared" si="10"/>
        <v>1.3509196445407891E-7</v>
      </c>
      <c r="L75" s="6">
        <f t="shared" si="10"/>
        <v>1.1038430518141741E-7</v>
      </c>
      <c r="M75" s="4"/>
      <c r="N75" s="282"/>
      <c r="O75" s="282"/>
      <c r="P75" s="282"/>
      <c r="R75" s="282"/>
    </row>
    <row r="76" spans="1:18" s="33" customFormat="1" outlineLevel="1" x14ac:dyDescent="0.35">
      <c r="A76" s="282"/>
      <c r="B76" s="282" t="s">
        <v>118</v>
      </c>
      <c r="C76" s="282" t="s">
        <v>869</v>
      </c>
      <c r="D76" s="6">
        <f t="shared" si="10"/>
        <v>4.544829349235703E-9</v>
      </c>
      <c r="E76" s="6">
        <f t="shared" si="10"/>
        <v>4.3063190758316633E-9</v>
      </c>
      <c r="F76" s="6">
        <f t="shared" si="10"/>
        <v>3.9146385309138401E-9</v>
      </c>
      <c r="G76" s="6">
        <f t="shared" si="10"/>
        <v>4.544829349235703E-9</v>
      </c>
      <c r="H76" s="6">
        <f t="shared" si="10"/>
        <v>4.3063190758316633E-9</v>
      </c>
      <c r="I76" s="6">
        <f t="shared" si="10"/>
        <v>3.9146385309138401E-9</v>
      </c>
      <c r="J76" s="6">
        <f t="shared" si="10"/>
        <v>4.544829349235703E-9</v>
      </c>
      <c r="K76" s="6">
        <f t="shared" si="10"/>
        <v>4.3063190758316633E-9</v>
      </c>
      <c r="L76" s="6">
        <f t="shared" si="10"/>
        <v>3.9146385309138401E-9</v>
      </c>
      <c r="M76" s="4"/>
      <c r="N76" s="282"/>
      <c r="O76" s="282"/>
      <c r="P76" s="282"/>
      <c r="R76" s="282"/>
    </row>
    <row r="77" spans="1:18" s="33" customFormat="1" outlineLevel="1" x14ac:dyDescent="0.35">
      <c r="A77" s="282"/>
      <c r="B77" s="282" t="s">
        <v>119</v>
      </c>
      <c r="C77" s="282" t="s">
        <v>869</v>
      </c>
      <c r="D77" s="6">
        <f t="shared" si="10"/>
        <v>1.133100649886742E-9</v>
      </c>
      <c r="E77" s="6">
        <f t="shared" si="10"/>
        <v>1.03257477561019E-9</v>
      </c>
      <c r="F77" s="6">
        <f t="shared" si="10"/>
        <v>9.9919091331168175E-10</v>
      </c>
      <c r="G77" s="6">
        <f t="shared" si="10"/>
        <v>1.133100649886742E-9</v>
      </c>
      <c r="H77" s="6">
        <f t="shared" si="10"/>
        <v>1.03257477561019E-9</v>
      </c>
      <c r="I77" s="6">
        <f t="shared" si="10"/>
        <v>9.9919091331168175E-10</v>
      </c>
      <c r="J77" s="6">
        <f t="shared" si="10"/>
        <v>2.2662012997734839E-9</v>
      </c>
      <c r="K77" s="6">
        <f t="shared" si="10"/>
        <v>2.06514955122038E-9</v>
      </c>
      <c r="L77" s="6">
        <f t="shared" si="10"/>
        <v>1.9983818266233635E-9</v>
      </c>
      <c r="M77" s="4"/>
      <c r="N77" s="282"/>
      <c r="O77" s="282"/>
      <c r="P77" s="282"/>
      <c r="Q77" s="282"/>
      <c r="R77" s="282"/>
    </row>
    <row r="78" spans="1:18" s="33" customFormat="1" outlineLevel="1" x14ac:dyDescent="0.35">
      <c r="A78" s="282"/>
      <c r="B78" s="282" t="s">
        <v>120</v>
      </c>
      <c r="C78" s="282" t="s">
        <v>869</v>
      </c>
      <c r="D78" s="6">
        <f t="shared" si="10"/>
        <v>3.7046222513391852E-11</v>
      </c>
      <c r="E78" s="6">
        <f t="shared" si="10"/>
        <v>3.5671062893842507E-11</v>
      </c>
      <c r="F78" s="6">
        <f t="shared" si="10"/>
        <v>3.5716564968595088E-11</v>
      </c>
      <c r="G78" s="6">
        <f t="shared" si="10"/>
        <v>3.7046222513391852E-11</v>
      </c>
      <c r="H78" s="6">
        <f t="shared" si="10"/>
        <v>3.5671062893842507E-11</v>
      </c>
      <c r="I78" s="6">
        <f t="shared" si="10"/>
        <v>3.5716564968595088E-11</v>
      </c>
      <c r="J78" s="6">
        <f t="shared" si="10"/>
        <v>3.7046222513391852E-11</v>
      </c>
      <c r="K78" s="6">
        <f t="shared" si="10"/>
        <v>3.5671062893842507E-11</v>
      </c>
      <c r="L78" s="6">
        <f t="shared" si="10"/>
        <v>3.5716564968595088E-11</v>
      </c>
      <c r="M78" s="4"/>
      <c r="N78" s="282"/>
      <c r="O78" s="282"/>
      <c r="P78" s="282"/>
      <c r="Q78" s="282"/>
      <c r="R78" s="282"/>
    </row>
    <row r="79" spans="1:18" s="33" customFormat="1" outlineLevel="1" x14ac:dyDescent="0.35">
      <c r="A79" s="282"/>
      <c r="B79" s="282" t="s">
        <v>121</v>
      </c>
      <c r="C79" s="282" t="s">
        <v>869</v>
      </c>
      <c r="D79" s="6">
        <f t="shared" si="10"/>
        <v>1.6163480748994424E-8</v>
      </c>
      <c r="E79" s="6">
        <f t="shared" si="10"/>
        <v>1.3708771072106342E-8</v>
      </c>
      <c r="F79" s="6">
        <f t="shared" si="10"/>
        <v>1.213886828294613E-8</v>
      </c>
      <c r="G79" s="6">
        <f t="shared" si="10"/>
        <v>1.6163480748994424E-8</v>
      </c>
      <c r="H79" s="6">
        <f t="shared" si="10"/>
        <v>1.3708771072106342E-8</v>
      </c>
      <c r="I79" s="6">
        <f t="shared" si="10"/>
        <v>1.213886828294613E-8</v>
      </c>
      <c r="J79" s="6">
        <f t="shared" si="10"/>
        <v>3.2326961497988848E-8</v>
      </c>
      <c r="K79" s="6">
        <f t="shared" si="10"/>
        <v>2.7417542144212684E-8</v>
      </c>
      <c r="L79" s="6">
        <f t="shared" si="10"/>
        <v>2.4277736565892259E-8</v>
      </c>
      <c r="M79" s="4"/>
      <c r="N79" s="282"/>
      <c r="O79" s="282"/>
      <c r="P79" s="282"/>
      <c r="Q79" s="282"/>
      <c r="R79" s="282"/>
    </row>
    <row r="80" spans="1:18" s="33" customFormat="1" outlineLevel="1" x14ac:dyDescent="0.35">
      <c r="A80" s="282"/>
      <c r="B80" s="282" t="s">
        <v>797</v>
      </c>
      <c r="C80" s="282" t="s">
        <v>869</v>
      </c>
      <c r="D80" s="6">
        <f t="shared" si="10"/>
        <v>0</v>
      </c>
      <c r="E80" s="6">
        <f t="shared" si="10"/>
        <v>0</v>
      </c>
      <c r="F80" s="6">
        <f t="shared" si="10"/>
        <v>0</v>
      </c>
      <c r="G80" s="6">
        <f t="shared" si="10"/>
        <v>0</v>
      </c>
      <c r="H80" s="6">
        <f t="shared" si="10"/>
        <v>0</v>
      </c>
      <c r="I80" s="6">
        <f t="shared" si="10"/>
        <v>0</v>
      </c>
      <c r="J80" s="6">
        <f t="shared" si="10"/>
        <v>8.4987672123381005E-7</v>
      </c>
      <c r="K80" s="6">
        <f t="shared" si="10"/>
        <v>8.1743523167004277E-7</v>
      </c>
      <c r="L80" s="6">
        <f t="shared" si="10"/>
        <v>7.0783676707877945E-7</v>
      </c>
      <c r="M80" s="4"/>
      <c r="N80" s="282"/>
      <c r="O80" s="282"/>
      <c r="P80" s="282"/>
      <c r="Q80" s="282"/>
      <c r="R80" s="282"/>
    </row>
    <row r="81" spans="1:24" s="33" customFormat="1" outlineLevel="1" x14ac:dyDescent="0.35">
      <c r="A81" s="282"/>
      <c r="B81" s="282" t="s">
        <v>122</v>
      </c>
      <c r="C81" s="282" t="s">
        <v>869</v>
      </c>
      <c r="D81" s="6">
        <f>D57/150*250</f>
        <v>4.0758762391145063E-6</v>
      </c>
      <c r="E81" s="6">
        <f t="shared" ref="E81:L81" si="11">E57/150*250</f>
        <v>1.0070367239257833E-6</v>
      </c>
      <c r="F81" s="6">
        <f t="shared" si="11"/>
        <v>3.9098478811415228E-7</v>
      </c>
      <c r="G81" s="6">
        <f t="shared" si="11"/>
        <v>3.1853827086018334E-6</v>
      </c>
      <c r="H81" s="6">
        <f t="shared" si="11"/>
        <v>8.3152141528467747E-7</v>
      </c>
      <c r="I81" s="6">
        <f t="shared" si="11"/>
        <v>3.5646460873061832E-7</v>
      </c>
      <c r="J81" s="6">
        <f t="shared" si="11"/>
        <v>1.047937575373996E-6</v>
      </c>
      <c r="K81" s="6">
        <f t="shared" si="11"/>
        <v>9.2656015618096376E-7</v>
      </c>
      <c r="L81" s="6">
        <f t="shared" si="11"/>
        <v>8.692516324454186E-7</v>
      </c>
      <c r="M81" s="4"/>
      <c r="N81" s="282"/>
      <c r="O81" s="282"/>
      <c r="P81" s="282"/>
      <c r="Q81" s="282"/>
      <c r="R81" s="282"/>
    </row>
    <row r="82" spans="1:24" s="33" customFormat="1" outlineLevel="1" x14ac:dyDescent="0.35">
      <c r="A82" s="282"/>
      <c r="B82" s="282" t="s">
        <v>123</v>
      </c>
      <c r="C82" s="282" t="s">
        <v>869</v>
      </c>
      <c r="D82" s="6">
        <f>D58</f>
        <v>2.0012222822249669E-7</v>
      </c>
      <c r="E82" s="6">
        <f t="shared" ref="E82:L83" si="12">E58</f>
        <v>6.1093319563827715E-8</v>
      </c>
      <c r="F82" s="6">
        <f t="shared" si="12"/>
        <v>3.2647215503458974E-8</v>
      </c>
      <c r="G82" s="6">
        <f t="shared" si="12"/>
        <v>4.6028112491174245E-10</v>
      </c>
      <c r="H82" s="6">
        <f t="shared" si="12"/>
        <v>1.405146349968037E-10</v>
      </c>
      <c r="I82" s="6">
        <f t="shared" si="12"/>
        <v>7.5088595657955673E-11</v>
      </c>
      <c r="J82" s="6">
        <f t="shared" si="12"/>
        <v>2.0012222822249669E-7</v>
      </c>
      <c r="K82" s="6">
        <f t="shared" si="12"/>
        <v>6.1093319563827715E-8</v>
      </c>
      <c r="L82" s="6">
        <f t="shared" si="12"/>
        <v>3.2647215503458974E-8</v>
      </c>
      <c r="M82" s="4"/>
      <c r="N82" s="282"/>
      <c r="O82" s="282"/>
      <c r="P82" s="282"/>
      <c r="Q82" s="282"/>
      <c r="R82" s="282"/>
    </row>
    <row r="83" spans="1:24" s="33" customFormat="1" outlineLevel="1" x14ac:dyDescent="0.35">
      <c r="A83" s="282"/>
      <c r="B83" s="282" t="s">
        <v>124</v>
      </c>
      <c r="C83" s="282" t="s">
        <v>869</v>
      </c>
      <c r="D83" s="6">
        <f>D59</f>
        <v>-2.8000764999999987E-6</v>
      </c>
      <c r="E83" s="6">
        <f t="shared" si="12"/>
        <v>-2.8000764999999987E-6</v>
      </c>
      <c r="F83" s="6">
        <f t="shared" si="12"/>
        <v>-2.8000764999999987E-6</v>
      </c>
      <c r="G83" s="6">
        <f t="shared" si="12"/>
        <v>-2.8000764999999987E-6</v>
      </c>
      <c r="H83" s="6">
        <f t="shared" si="12"/>
        <v>-2.8000764999999987E-6</v>
      </c>
      <c r="I83" s="6">
        <f t="shared" si="12"/>
        <v>-2.8000764999999987E-6</v>
      </c>
      <c r="J83" s="6">
        <f t="shared" si="12"/>
        <v>-2.8000764999999987E-6</v>
      </c>
      <c r="K83" s="6">
        <f t="shared" si="12"/>
        <v>-2.8000764999999987E-6</v>
      </c>
      <c r="L83" s="6">
        <f t="shared" si="12"/>
        <v>-2.8000764999999987E-6</v>
      </c>
      <c r="M83" s="4"/>
      <c r="N83" s="282"/>
      <c r="O83" s="34"/>
      <c r="P83" s="32"/>
      <c r="Q83" s="32"/>
      <c r="R83" s="32"/>
    </row>
    <row r="84" spans="1:24" s="33" customFormat="1" outlineLevel="1" x14ac:dyDescent="0.35">
      <c r="A84" s="282"/>
      <c r="B84" s="282" t="s">
        <v>137</v>
      </c>
      <c r="C84" s="282" t="s">
        <v>869</v>
      </c>
      <c r="D84" s="6">
        <f>SUM(D75:D83)</f>
        <v>1.575670557349666E-6</v>
      </c>
      <c r="E84" s="6">
        <f t="shared" ref="E84:L84" si="13">SUM(E75:E83)</f>
        <v>-1.6394770128379085E-6</v>
      </c>
      <c r="F84" s="6">
        <f t="shared" si="13"/>
        <v>-2.2984484375234013E-6</v>
      </c>
      <c r="G84" s="6">
        <f t="shared" si="13"/>
        <v>4.8551507973940811E-7</v>
      </c>
      <c r="H84" s="6">
        <f t="shared" si="13"/>
        <v>-1.8759451264078452E-6</v>
      </c>
      <c r="I84" s="6">
        <f t="shared" si="13"/>
        <v>-2.3655407438147362E-6</v>
      </c>
      <c r="J84" s="6">
        <f t="shared" si="13"/>
        <v>-5.1899127162397764E-7</v>
      </c>
      <c r="K84" s="6">
        <f t="shared" si="13"/>
        <v>-8.2607114629692715E-7</v>
      </c>
      <c r="L84" s="6">
        <f t="shared" si="13"/>
        <v>-1.0497301063025261E-6</v>
      </c>
      <c r="M84" s="4"/>
      <c r="N84" s="282"/>
      <c r="O84" s="282"/>
      <c r="P84" s="282"/>
      <c r="Q84" s="282"/>
      <c r="R84" s="282"/>
    </row>
    <row r="85" spans="1:24" s="33" customFormat="1" outlineLevel="1" x14ac:dyDescent="0.35">
      <c r="A85" s="282"/>
      <c r="B85" s="282"/>
      <c r="C85" s="282"/>
      <c r="D85" s="282"/>
      <c r="E85" s="282"/>
      <c r="F85" s="282"/>
      <c r="G85" s="282"/>
      <c r="H85" s="282"/>
      <c r="I85" s="282"/>
      <c r="J85" s="282"/>
      <c r="K85" s="282"/>
      <c r="L85" s="282"/>
      <c r="M85" s="4"/>
      <c r="N85" s="282"/>
      <c r="O85" s="282"/>
      <c r="P85" s="282"/>
      <c r="Q85" s="282"/>
      <c r="R85" s="282"/>
    </row>
    <row r="86" spans="1:24" s="33" customFormat="1" ht="15.5" x14ac:dyDescent="0.35">
      <c r="A86" s="51" t="s">
        <v>504</v>
      </c>
      <c r="B86" s="4"/>
      <c r="C86" s="4"/>
      <c r="D86" s="4"/>
      <c r="E86" s="4"/>
      <c r="F86" s="4"/>
      <c r="G86" s="4"/>
      <c r="H86" s="4"/>
      <c r="I86" s="4"/>
      <c r="J86" s="4"/>
      <c r="K86" s="4"/>
      <c r="L86" s="4"/>
      <c r="M86" s="4"/>
      <c r="N86" s="282"/>
      <c r="O86" s="282"/>
      <c r="P86" s="282"/>
      <c r="Q86" s="282"/>
      <c r="R86" s="282"/>
      <c r="S86" s="282"/>
      <c r="T86" s="282"/>
      <c r="U86" s="282"/>
      <c r="V86" s="282"/>
      <c r="W86" s="282"/>
      <c r="X86" s="282"/>
    </row>
    <row r="87" spans="1:24" outlineLevel="1" x14ac:dyDescent="0.35">
      <c r="A87" s="15" t="s">
        <v>164</v>
      </c>
      <c r="B87" s="30"/>
      <c r="C87" s="140" t="s">
        <v>180</v>
      </c>
      <c r="D87" s="6" t="s">
        <v>889</v>
      </c>
      <c r="E87" s="6" t="s">
        <v>891</v>
      </c>
      <c r="F87" s="6" t="s">
        <v>890</v>
      </c>
      <c r="G87" s="6" t="s">
        <v>892</v>
      </c>
      <c r="H87" s="6" t="s">
        <v>893</v>
      </c>
      <c r="I87" s="6" t="s">
        <v>894</v>
      </c>
      <c r="J87" s="6" t="s">
        <v>896</v>
      </c>
      <c r="K87" s="6" t="s">
        <v>897</v>
      </c>
      <c r="L87" s="6" t="s">
        <v>895</v>
      </c>
      <c r="M87" s="4"/>
    </row>
    <row r="88" spans="1:24" outlineLevel="1" x14ac:dyDescent="0.35">
      <c r="B88" s="282" t="s">
        <v>117</v>
      </c>
      <c r="C88" s="282" t="s">
        <v>870</v>
      </c>
      <c r="D88" s="6">
        <f>'Results ReCiPe (H) - ESD'!B435</f>
        <v>1.9467533260507852E-4</v>
      </c>
      <c r="E88" s="6">
        <f>'Results ReCiPe (H) - ESD'!C435</f>
        <v>1.8346526921509307E-4</v>
      </c>
      <c r="F88" s="6">
        <f>'Results ReCiPe (H) - ESD'!D435</f>
        <v>1.5226911141711527E-4</v>
      </c>
      <c r="G88" s="6">
        <f>'Results ReCiPe (H) - ESD'!E435</f>
        <v>1.9467533260507852E-4</v>
      </c>
      <c r="H88" s="6">
        <f>'Results ReCiPe (H) - ESD'!F435</f>
        <v>1.8346526921509307E-4</v>
      </c>
      <c r="I88" s="6">
        <f>'Results ReCiPe (H) - ESD'!G435</f>
        <v>1.5226911141711527E-4</v>
      </c>
      <c r="J88" s="6">
        <f>'Results ReCiPe (H) - ESD'!H435</f>
        <v>1.7996708147025861E-4</v>
      </c>
      <c r="K88" s="6">
        <f>'Results ReCiPe (H) - ESD'!I435</f>
        <v>1.6886495556759864E-4</v>
      </c>
      <c r="L88" s="6">
        <f>'Results ReCiPe (H) - ESD'!J435</f>
        <v>1.3798038147677175E-4</v>
      </c>
      <c r="M88" s="4"/>
    </row>
    <row r="89" spans="1:24" outlineLevel="1" x14ac:dyDescent="0.35">
      <c r="B89" s="282" t="s">
        <v>118</v>
      </c>
      <c r="C89" s="282" t="s">
        <v>870</v>
      </c>
      <c r="D89" s="6">
        <f>'Results ReCiPe (H) - ESD'!B436</f>
        <v>1.1362073373089257E-5</v>
      </c>
      <c r="E89" s="6">
        <f>'Results ReCiPe (H) - ESD'!C436</f>
        <v>1.0765797689579158E-5</v>
      </c>
      <c r="F89" s="6">
        <f>'Results ReCiPe (H) - ESD'!D436</f>
        <v>9.7865963272845992E-6</v>
      </c>
      <c r="G89" s="6">
        <f>'Results ReCiPe (H) - ESD'!E436</f>
        <v>1.1362073373089257E-5</v>
      </c>
      <c r="H89" s="6">
        <f>'Results ReCiPe (H) - ESD'!F436</f>
        <v>1.0765797689579158E-5</v>
      </c>
      <c r="I89" s="6">
        <f>'Results ReCiPe (H) - ESD'!G436</f>
        <v>9.7865963272845992E-6</v>
      </c>
      <c r="J89" s="6">
        <f>'Results ReCiPe (H) - ESD'!H436</f>
        <v>5.6810366865446284E-6</v>
      </c>
      <c r="K89" s="6">
        <f>'Results ReCiPe (H) - ESD'!I436</f>
        <v>5.3828988447895789E-6</v>
      </c>
      <c r="L89" s="6">
        <f>'Results ReCiPe (H) - ESD'!J436</f>
        <v>4.8932981636422996E-6</v>
      </c>
      <c r="M89" s="4"/>
      <c r="Q89" s="32"/>
    </row>
    <row r="90" spans="1:24" outlineLevel="1" x14ac:dyDescent="0.35">
      <c r="B90" s="282" t="s">
        <v>119</v>
      </c>
      <c r="C90" s="282" t="s">
        <v>870</v>
      </c>
      <c r="D90" s="6">
        <f>'Results ReCiPe (H) - ESD'!B437</f>
        <v>2.8327516247168551E-6</v>
      </c>
      <c r="E90" s="6">
        <f>'Results ReCiPe (H) - ESD'!C437</f>
        <v>2.5814369390254752E-6</v>
      </c>
      <c r="F90" s="6">
        <f>'Results ReCiPe (H) - ESD'!D437</f>
        <v>2.4979772832792044E-6</v>
      </c>
      <c r="G90" s="6">
        <f>'Results ReCiPe (H) - ESD'!E437</f>
        <v>2.8327516247168551E-6</v>
      </c>
      <c r="H90" s="6">
        <f>'Results ReCiPe (H) - ESD'!F437</f>
        <v>2.5814369390254752E-6</v>
      </c>
      <c r="I90" s="6">
        <f>'Results ReCiPe (H) - ESD'!G437</f>
        <v>2.4979772832792044E-6</v>
      </c>
      <c r="J90" s="6">
        <f>'Results ReCiPe (H) - ESD'!H437</f>
        <v>2.8327516247168551E-6</v>
      </c>
      <c r="K90" s="6">
        <f>'Results ReCiPe (H) - ESD'!I437</f>
        <v>2.5814369390254752E-6</v>
      </c>
      <c r="L90" s="6">
        <f>'Results ReCiPe (H) - ESD'!J437</f>
        <v>2.4979772832792044E-6</v>
      </c>
      <c r="M90" s="4"/>
      <c r="Q90" s="3"/>
    </row>
    <row r="91" spans="1:24" outlineLevel="1" x14ac:dyDescent="0.35">
      <c r="B91" s="282" t="s">
        <v>120</v>
      </c>
      <c r="C91" s="282" t="s">
        <v>870</v>
      </c>
      <c r="D91" s="6">
        <f>'Results ReCiPe (H) - ESD'!B438</f>
        <v>9.2615556283479631E-8</v>
      </c>
      <c r="E91" s="6">
        <f>'Results ReCiPe (H) - ESD'!C438</f>
        <v>8.9177657234606268E-8</v>
      </c>
      <c r="F91" s="6">
        <f>'Results ReCiPe (H) - ESD'!D438</f>
        <v>8.9291412421487725E-8</v>
      </c>
      <c r="G91" s="6">
        <f>'Results ReCiPe (H) - ESD'!E438</f>
        <v>9.2615556283479631E-8</v>
      </c>
      <c r="H91" s="6">
        <f>'Results ReCiPe (H) - ESD'!F438</f>
        <v>8.9177657234606268E-8</v>
      </c>
      <c r="I91" s="6">
        <f>'Results ReCiPe (H) - ESD'!G438</f>
        <v>8.9291412421487725E-8</v>
      </c>
      <c r="J91" s="6">
        <f>'Results ReCiPe (H) - ESD'!H438</f>
        <v>4.6307778141739816E-8</v>
      </c>
      <c r="K91" s="6">
        <f>'Results ReCiPe (H) - ESD'!I438</f>
        <v>4.4588828617303134E-8</v>
      </c>
      <c r="L91" s="6">
        <f>'Results ReCiPe (H) - ESD'!J438</f>
        <v>4.4645706210743862E-8</v>
      </c>
      <c r="M91" s="4"/>
      <c r="Q91" s="3"/>
    </row>
    <row r="92" spans="1:24" outlineLevel="1" x14ac:dyDescent="0.35">
      <c r="B92" s="282" t="s">
        <v>121</v>
      </c>
      <c r="C92" s="282" t="s">
        <v>870</v>
      </c>
      <c r="D92" s="6">
        <f>'Results ReCiPe (H) - ESD'!B439</f>
        <v>4.0408701872486058E-5</v>
      </c>
      <c r="E92" s="6">
        <f>'Results ReCiPe (H) - ESD'!C439</f>
        <v>3.4271927680265855E-5</v>
      </c>
      <c r="F92" s="6">
        <f>'Results ReCiPe (H) - ESD'!D439</f>
        <v>3.0347170707365323E-5</v>
      </c>
      <c r="G92" s="6">
        <f>'Results ReCiPe (H) - ESD'!E439</f>
        <v>4.0408701872486058E-5</v>
      </c>
      <c r="H92" s="6">
        <f>'Results ReCiPe (H) - ESD'!F439</f>
        <v>3.4271927680265855E-5</v>
      </c>
      <c r="I92" s="6">
        <f>'Results ReCiPe (H) - ESD'!G439</f>
        <v>3.0347170707365323E-5</v>
      </c>
      <c r="J92" s="6">
        <f>'Results ReCiPe (H) - ESD'!H439</f>
        <v>4.0408701872486058E-5</v>
      </c>
      <c r="K92" s="6">
        <f>'Results ReCiPe (H) - ESD'!I439</f>
        <v>3.4271927680265855E-5</v>
      </c>
      <c r="L92" s="6">
        <f>'Results ReCiPe (H) - ESD'!J439</f>
        <v>3.0347170707365323E-5</v>
      </c>
      <c r="M92" s="4"/>
      <c r="Q92" s="3"/>
    </row>
    <row r="93" spans="1:24" outlineLevel="1" x14ac:dyDescent="0.35">
      <c r="B93" s="282" t="s">
        <v>797</v>
      </c>
      <c r="C93" s="282" t="s">
        <v>870</v>
      </c>
      <c r="D93" s="6">
        <f>'Results ReCiPe (H) - ESD'!B440</f>
        <v>0</v>
      </c>
      <c r="E93" s="6">
        <f>'Results ReCiPe (H) - ESD'!C440</f>
        <v>0</v>
      </c>
      <c r="F93" s="6">
        <f>'Results ReCiPe (H) - ESD'!D440</f>
        <v>0</v>
      </c>
      <c r="G93" s="6">
        <f>'Results ReCiPe (H) - ESD'!E440</f>
        <v>0</v>
      </c>
      <c r="H93" s="6">
        <f>'Results ReCiPe (H) - ESD'!F440</f>
        <v>0</v>
      </c>
      <c r="I93" s="6">
        <f>'Results ReCiPe (H) - ESD'!G440</f>
        <v>0</v>
      </c>
      <c r="J93" s="6">
        <f>'Results ReCiPe (H) - ESD'!H440</f>
        <v>1.0623459015422626E-3</v>
      </c>
      <c r="K93" s="6">
        <f>'Results ReCiPe (H) - ESD'!I440</f>
        <v>1.0217940395875534E-3</v>
      </c>
      <c r="L93" s="6">
        <f>'Results ReCiPe (H) - ESD'!J440</f>
        <v>8.8479595884847432E-4</v>
      </c>
      <c r="M93" s="4"/>
      <c r="Q93" s="3"/>
    </row>
    <row r="94" spans="1:24" outlineLevel="1" x14ac:dyDescent="0.35">
      <c r="B94" s="282" t="s">
        <v>122</v>
      </c>
      <c r="C94" s="282" t="s">
        <v>870</v>
      </c>
      <c r="D94" s="6">
        <f>'Results ReCiPe (H) - ESD'!B441</f>
        <v>6.1138143586717594E-3</v>
      </c>
      <c r="E94" s="6">
        <f>'Results ReCiPe (H) - ESD'!C441</f>
        <v>1.5105550858886749E-3</v>
      </c>
      <c r="F94" s="6">
        <f>'Results ReCiPe (H) - ESD'!D441</f>
        <v>5.8647718217122848E-4</v>
      </c>
      <c r="G94" s="6">
        <f>'Results ReCiPe (H) - ESD'!E441</f>
        <v>4.7780740629027501E-3</v>
      </c>
      <c r="H94" s="6">
        <f>'Results ReCiPe (H) - ESD'!F441</f>
        <v>1.2472821229270162E-3</v>
      </c>
      <c r="I94" s="6">
        <f>'Results ReCiPe (H) - ESD'!G441</f>
        <v>5.3469691309592751E-4</v>
      </c>
      <c r="J94" s="6">
        <f>'Results ReCiPe (H) - ESD'!H441</f>
        <v>7.8595318153049706E-4</v>
      </c>
      <c r="K94" s="6">
        <f>'Results ReCiPe (H) - ESD'!I441</f>
        <v>6.949201171357228E-4</v>
      </c>
      <c r="L94" s="6">
        <f>'Results ReCiPe (H) - ESD'!J441</f>
        <v>6.5193872433406399E-4</v>
      </c>
      <c r="M94" s="4"/>
      <c r="Q94" s="3"/>
    </row>
    <row r="95" spans="1:24" outlineLevel="1" x14ac:dyDescent="0.35">
      <c r="B95" s="282" t="s">
        <v>123</v>
      </c>
      <c r="C95" s="282" t="s">
        <v>870</v>
      </c>
      <c r="D95" s="6">
        <f>'Results ReCiPe (H) - ESD'!B442</f>
        <v>5.0030557055624173E-4</v>
      </c>
      <c r="E95" s="6">
        <f>'Results ReCiPe (H) - ESD'!C442</f>
        <v>1.5273329890956927E-4</v>
      </c>
      <c r="F95" s="6">
        <f>'Results ReCiPe (H) - ESD'!D442</f>
        <v>8.1618038758647445E-5</v>
      </c>
      <c r="G95" s="6">
        <f>'Results ReCiPe (H) - ESD'!E442</f>
        <v>1.1507028122793562E-6</v>
      </c>
      <c r="H95" s="6">
        <f>'Results ReCiPe (H) - ESD'!F442</f>
        <v>3.5128658749200928E-7</v>
      </c>
      <c r="I95" s="6">
        <f>'Results ReCiPe (H) - ESD'!G442</f>
        <v>1.8772148914488919E-7</v>
      </c>
      <c r="J95" s="6">
        <f>'Results ReCiPe (H) - ESD'!H442</f>
        <v>2.5015278527812086E-4</v>
      </c>
      <c r="K95" s="6">
        <f>'Results ReCiPe (H) - ESD'!I442</f>
        <v>7.6366649454784636E-5</v>
      </c>
      <c r="L95" s="6">
        <f>'Results ReCiPe (H) - ESD'!J442</f>
        <v>4.0809019379323723E-5</v>
      </c>
      <c r="M95" s="4"/>
      <c r="Q95" s="3"/>
    </row>
    <row r="96" spans="1:24" outlineLevel="1" x14ac:dyDescent="0.35">
      <c r="B96" s="282" t="s">
        <v>124</v>
      </c>
      <c r="C96" s="282" t="s">
        <v>870</v>
      </c>
      <c r="D96" s="6">
        <f>'Results ReCiPe (H) - ESD'!B443</f>
        <v>-7.0001912499999966E-3</v>
      </c>
      <c r="E96" s="6">
        <f>'Results ReCiPe (H) - ESD'!C443</f>
        <v>-7.0001912499999966E-3</v>
      </c>
      <c r="F96" s="6">
        <f>'Results ReCiPe (H) - ESD'!D443</f>
        <v>-7.0001912499999966E-3</v>
      </c>
      <c r="G96" s="6">
        <f>'Results ReCiPe (H) - ESD'!E443</f>
        <v>-7.0001912499999966E-3</v>
      </c>
      <c r="H96" s="6">
        <f>'Results ReCiPe (H) - ESD'!F443</f>
        <v>-7.0001912499999966E-3</v>
      </c>
      <c r="I96" s="6">
        <f>'Results ReCiPe (H) - ESD'!G443</f>
        <v>-7.0001912499999966E-3</v>
      </c>
      <c r="J96" s="6">
        <f>'Results ReCiPe (H) - ESD'!H443</f>
        <v>-3.5000956249999983E-3</v>
      </c>
      <c r="K96" s="6">
        <f>'Results ReCiPe (H) - ESD'!I443</f>
        <v>-3.5000956249999983E-3</v>
      </c>
      <c r="L96" s="6">
        <f>'Results ReCiPe (H) - ESD'!J443</f>
        <v>-3.5000956249999983E-3</v>
      </c>
      <c r="M96" s="4"/>
    </row>
    <row r="97" spans="1:13" outlineLevel="1" x14ac:dyDescent="0.35">
      <c r="B97" s="282" t="s">
        <v>137</v>
      </c>
      <c r="C97" s="282" t="s">
        <v>870</v>
      </c>
      <c r="D97" s="6">
        <f>'Results ReCiPe (H) - ESD'!B444</f>
        <v>-1.3669984574034429E-4</v>
      </c>
      <c r="E97" s="6">
        <f>'Results ReCiPe (H) - ESD'!C444</f>
        <v>-5.1057292560205579E-3</v>
      </c>
      <c r="F97" s="6">
        <f>'Results ReCiPe (H) - ESD'!D444</f>
        <v>-6.1371058819226585E-3</v>
      </c>
      <c r="G97" s="6">
        <f>'Results ReCiPe (H) - ESD'!E444</f>
        <v>-1.9715950092533156E-3</v>
      </c>
      <c r="H97" s="6">
        <f>'Results ReCiPe (H) - ESD'!F444</f>
        <v>-5.5213842313042933E-3</v>
      </c>
      <c r="I97" s="6">
        <f>'Results ReCiPe (H) - ESD'!G444</f>
        <v>-6.2703164682674619E-3</v>
      </c>
      <c r="J97" s="6">
        <f>'Results ReCiPe (H) - ESD'!H444</f>
        <v>-1.1727078772169708E-3</v>
      </c>
      <c r="K97" s="6">
        <f>'Results ReCiPe (H) - ESD'!I444</f>
        <v>-1.4958690109616423E-3</v>
      </c>
      <c r="L97" s="6">
        <f>'Results ReCiPe (H) - ESD'!J444</f>
        <v>-1.7467884491008682E-3</v>
      </c>
      <c r="M97" s="4"/>
    </row>
    <row r="98" spans="1:13" outlineLevel="1" x14ac:dyDescent="0.35">
      <c r="M98" s="4"/>
    </row>
    <row r="99" spans="1:13" outlineLevel="1" x14ac:dyDescent="0.35">
      <c r="A99" s="15" t="s">
        <v>507</v>
      </c>
      <c r="B99" s="30"/>
      <c r="C99" s="140" t="s">
        <v>180</v>
      </c>
      <c r="D99" s="6" t="s">
        <v>889</v>
      </c>
      <c r="E99" s="6" t="s">
        <v>891</v>
      </c>
      <c r="F99" s="6" t="s">
        <v>890</v>
      </c>
      <c r="G99" s="6" t="s">
        <v>892</v>
      </c>
      <c r="H99" s="6" t="s">
        <v>893</v>
      </c>
      <c r="I99" s="6" t="s">
        <v>894</v>
      </c>
      <c r="J99" s="6" t="s">
        <v>896</v>
      </c>
      <c r="K99" s="6" t="s">
        <v>897</v>
      </c>
      <c r="L99" s="6" t="s">
        <v>895</v>
      </c>
      <c r="M99" s="4"/>
    </row>
    <row r="100" spans="1:13" outlineLevel="1" x14ac:dyDescent="0.35">
      <c r="A100" s="141" t="s">
        <v>508</v>
      </c>
      <c r="B100" s="282" t="s">
        <v>117</v>
      </c>
      <c r="C100" s="282" t="s">
        <v>871</v>
      </c>
      <c r="D100" s="6">
        <f>D88/25</f>
        <v>7.7870133042031407E-6</v>
      </c>
      <c r="E100" s="6">
        <f t="shared" ref="E100:L100" si="14">E88/25</f>
        <v>7.3386107686037223E-6</v>
      </c>
      <c r="F100" s="6">
        <f t="shared" si="14"/>
        <v>6.090764456684611E-6</v>
      </c>
      <c r="G100" s="6">
        <f t="shared" si="14"/>
        <v>7.7870133042031407E-6</v>
      </c>
      <c r="H100" s="6">
        <f t="shared" si="14"/>
        <v>7.3386107686037223E-6</v>
      </c>
      <c r="I100" s="6">
        <f t="shared" si="14"/>
        <v>6.090764456684611E-6</v>
      </c>
      <c r="J100" s="6">
        <f t="shared" si="14"/>
        <v>7.198683258810344E-6</v>
      </c>
      <c r="K100" s="6">
        <f t="shared" si="14"/>
        <v>6.7545982227039456E-6</v>
      </c>
      <c r="L100" s="6">
        <f t="shared" si="14"/>
        <v>5.5192152590708704E-6</v>
      </c>
      <c r="M100" s="4"/>
    </row>
    <row r="101" spans="1:13" outlineLevel="1" x14ac:dyDescent="0.35">
      <c r="B101" s="282" t="s">
        <v>118</v>
      </c>
      <c r="C101" s="282" t="s">
        <v>871</v>
      </c>
      <c r="D101" s="6">
        <f t="shared" ref="D101:L108" si="15">D89/25</f>
        <v>4.5448293492357029E-7</v>
      </c>
      <c r="E101" s="6">
        <f t="shared" si="15"/>
        <v>4.3063190758316632E-7</v>
      </c>
      <c r="F101" s="6">
        <f t="shared" si="15"/>
        <v>3.9146385309138399E-7</v>
      </c>
      <c r="G101" s="6">
        <f t="shared" si="15"/>
        <v>4.5448293492357029E-7</v>
      </c>
      <c r="H101" s="6">
        <f t="shared" si="15"/>
        <v>4.3063190758316632E-7</v>
      </c>
      <c r="I101" s="6">
        <f t="shared" si="15"/>
        <v>3.9146385309138399E-7</v>
      </c>
      <c r="J101" s="6">
        <f t="shared" si="15"/>
        <v>2.2724146746178515E-7</v>
      </c>
      <c r="K101" s="6">
        <f t="shared" si="15"/>
        <v>2.1531595379158316E-7</v>
      </c>
      <c r="L101" s="6">
        <f t="shared" si="15"/>
        <v>1.9573192654569199E-7</v>
      </c>
      <c r="M101" s="4"/>
    </row>
    <row r="102" spans="1:13" outlineLevel="1" x14ac:dyDescent="0.35">
      <c r="B102" s="282" t="s">
        <v>119</v>
      </c>
      <c r="C102" s="282" t="s">
        <v>871</v>
      </c>
      <c r="D102" s="6">
        <f t="shared" si="15"/>
        <v>1.133100649886742E-7</v>
      </c>
      <c r="E102" s="6">
        <f t="shared" si="15"/>
        <v>1.03257477561019E-7</v>
      </c>
      <c r="F102" s="6">
        <f t="shared" si="15"/>
        <v>9.9919091331168173E-8</v>
      </c>
      <c r="G102" s="6">
        <f t="shared" si="15"/>
        <v>1.133100649886742E-7</v>
      </c>
      <c r="H102" s="6">
        <f t="shared" si="15"/>
        <v>1.03257477561019E-7</v>
      </c>
      <c r="I102" s="6">
        <f t="shared" si="15"/>
        <v>9.9919091331168173E-8</v>
      </c>
      <c r="J102" s="6">
        <f t="shared" si="15"/>
        <v>1.133100649886742E-7</v>
      </c>
      <c r="K102" s="6">
        <f t="shared" si="15"/>
        <v>1.03257477561019E-7</v>
      </c>
      <c r="L102" s="6">
        <f t="shared" si="15"/>
        <v>9.9919091331168173E-8</v>
      </c>
      <c r="M102" s="4"/>
    </row>
    <row r="103" spans="1:13" outlineLevel="1" x14ac:dyDescent="0.35">
      <c r="B103" s="282" t="s">
        <v>120</v>
      </c>
      <c r="C103" s="282" t="s">
        <v>871</v>
      </c>
      <c r="D103" s="6">
        <f t="shared" si="15"/>
        <v>3.7046222513391854E-9</v>
      </c>
      <c r="E103" s="6">
        <f t="shared" si="15"/>
        <v>3.5671062893842508E-9</v>
      </c>
      <c r="F103" s="6">
        <f t="shared" si="15"/>
        <v>3.5716564968595089E-9</v>
      </c>
      <c r="G103" s="6">
        <f t="shared" si="15"/>
        <v>3.7046222513391854E-9</v>
      </c>
      <c r="H103" s="6">
        <f t="shared" si="15"/>
        <v>3.5671062893842508E-9</v>
      </c>
      <c r="I103" s="6">
        <f t="shared" si="15"/>
        <v>3.5716564968595089E-9</v>
      </c>
      <c r="J103" s="6">
        <f t="shared" si="15"/>
        <v>1.8523111256695927E-9</v>
      </c>
      <c r="K103" s="6">
        <f t="shared" si="15"/>
        <v>1.7835531446921254E-9</v>
      </c>
      <c r="L103" s="6">
        <f t="shared" si="15"/>
        <v>1.7858282484297544E-9</v>
      </c>
      <c r="M103" s="4"/>
    </row>
    <row r="104" spans="1:13" outlineLevel="1" x14ac:dyDescent="0.35">
      <c r="B104" s="282" t="s">
        <v>121</v>
      </c>
      <c r="C104" s="282" t="s">
        <v>871</v>
      </c>
      <c r="D104" s="6">
        <f t="shared" si="15"/>
        <v>1.6163480748994423E-6</v>
      </c>
      <c r="E104" s="6">
        <f t="shared" si="15"/>
        <v>1.3708771072106342E-6</v>
      </c>
      <c r="F104" s="6">
        <f t="shared" si="15"/>
        <v>1.2138868282946129E-6</v>
      </c>
      <c r="G104" s="6">
        <f t="shared" si="15"/>
        <v>1.6163480748994423E-6</v>
      </c>
      <c r="H104" s="6">
        <f t="shared" si="15"/>
        <v>1.3708771072106342E-6</v>
      </c>
      <c r="I104" s="6">
        <f t="shared" si="15"/>
        <v>1.2138868282946129E-6</v>
      </c>
      <c r="J104" s="6">
        <f t="shared" si="15"/>
        <v>1.6163480748994423E-6</v>
      </c>
      <c r="K104" s="6">
        <f t="shared" si="15"/>
        <v>1.3708771072106342E-6</v>
      </c>
      <c r="L104" s="6">
        <f t="shared" si="15"/>
        <v>1.2138868282946129E-6</v>
      </c>
      <c r="M104" s="4"/>
    </row>
    <row r="105" spans="1:13" outlineLevel="1" x14ac:dyDescent="0.35">
      <c r="B105" s="282" t="s">
        <v>797</v>
      </c>
      <c r="C105" s="282" t="s">
        <v>871</v>
      </c>
      <c r="D105" s="6">
        <f t="shared" si="15"/>
        <v>0</v>
      </c>
      <c r="E105" s="6">
        <f t="shared" si="15"/>
        <v>0</v>
      </c>
      <c r="F105" s="6">
        <f t="shared" si="15"/>
        <v>0</v>
      </c>
      <c r="G105" s="6">
        <f t="shared" si="15"/>
        <v>0</v>
      </c>
      <c r="H105" s="6">
        <f t="shared" si="15"/>
        <v>0</v>
      </c>
      <c r="I105" s="6">
        <f t="shared" si="15"/>
        <v>0</v>
      </c>
      <c r="J105" s="6">
        <f t="shared" si="15"/>
        <v>4.2493836061690502E-5</v>
      </c>
      <c r="K105" s="6">
        <f t="shared" si="15"/>
        <v>4.0871761583502136E-5</v>
      </c>
      <c r="L105" s="6">
        <f t="shared" si="15"/>
        <v>3.5391838353938971E-5</v>
      </c>
      <c r="M105" s="4"/>
    </row>
    <row r="106" spans="1:13" outlineLevel="1" x14ac:dyDescent="0.35">
      <c r="B106" s="282" t="s">
        <v>122</v>
      </c>
      <c r="C106" s="282" t="s">
        <v>871</v>
      </c>
      <c r="D106" s="6">
        <f t="shared" si="15"/>
        <v>2.445525743468704E-4</v>
      </c>
      <c r="E106" s="6">
        <f t="shared" si="15"/>
        <v>6.0422203435546998E-5</v>
      </c>
      <c r="F106" s="6">
        <f t="shared" si="15"/>
        <v>2.3459087286849139E-5</v>
      </c>
      <c r="G106" s="6">
        <f t="shared" si="15"/>
        <v>1.9112296251611E-4</v>
      </c>
      <c r="H106" s="6">
        <f t="shared" si="15"/>
        <v>4.9891284917080645E-5</v>
      </c>
      <c r="I106" s="6">
        <f t="shared" si="15"/>
        <v>2.1387876523837101E-5</v>
      </c>
      <c r="J106" s="6">
        <f t="shared" si="15"/>
        <v>3.1438127261219879E-5</v>
      </c>
      <c r="K106" s="6">
        <f t="shared" si="15"/>
        <v>2.7796804685428912E-5</v>
      </c>
      <c r="L106" s="6">
        <f t="shared" si="15"/>
        <v>2.6077548973362558E-5</v>
      </c>
      <c r="M106" s="4"/>
    </row>
    <row r="107" spans="1:13" outlineLevel="1" x14ac:dyDescent="0.35">
      <c r="B107" s="282" t="s">
        <v>123</v>
      </c>
      <c r="C107" s="282" t="s">
        <v>871</v>
      </c>
      <c r="D107" s="6">
        <f t="shared" si="15"/>
        <v>2.0012222822249669E-5</v>
      </c>
      <c r="E107" s="6">
        <f t="shared" si="15"/>
        <v>6.1093319563827712E-6</v>
      </c>
      <c r="F107" s="6">
        <f t="shared" si="15"/>
        <v>3.2647215503458976E-6</v>
      </c>
      <c r="G107" s="6">
        <f t="shared" si="15"/>
        <v>4.6028112491174246E-8</v>
      </c>
      <c r="H107" s="6">
        <f t="shared" si="15"/>
        <v>1.4051463499680371E-8</v>
      </c>
      <c r="I107" s="6">
        <f t="shared" si="15"/>
        <v>7.5088595657955667E-9</v>
      </c>
      <c r="J107" s="6">
        <f t="shared" si="15"/>
        <v>1.0006111411124835E-5</v>
      </c>
      <c r="K107" s="6">
        <f t="shared" si="15"/>
        <v>3.0546659781913856E-6</v>
      </c>
      <c r="L107" s="6">
        <f t="shared" si="15"/>
        <v>1.6323607751729488E-6</v>
      </c>
      <c r="M107" s="4"/>
    </row>
    <row r="108" spans="1:13" outlineLevel="1" x14ac:dyDescent="0.35">
      <c r="B108" s="282" t="s">
        <v>124</v>
      </c>
      <c r="C108" s="282" t="s">
        <v>871</v>
      </c>
      <c r="D108" s="6">
        <f t="shared" si="15"/>
        <v>-2.8000764999999987E-4</v>
      </c>
      <c r="E108" s="6">
        <f t="shared" si="15"/>
        <v>-2.8000764999999987E-4</v>
      </c>
      <c r="F108" s="6">
        <f t="shared" si="15"/>
        <v>-2.8000764999999987E-4</v>
      </c>
      <c r="G108" s="6">
        <f t="shared" si="15"/>
        <v>-2.8000764999999987E-4</v>
      </c>
      <c r="H108" s="6">
        <f t="shared" si="15"/>
        <v>-2.8000764999999987E-4</v>
      </c>
      <c r="I108" s="6">
        <f t="shared" si="15"/>
        <v>-2.8000764999999987E-4</v>
      </c>
      <c r="J108" s="6">
        <f t="shared" si="15"/>
        <v>-1.4000382499999994E-4</v>
      </c>
      <c r="K108" s="6">
        <f t="shared" si="15"/>
        <v>-1.4000382499999994E-4</v>
      </c>
      <c r="L108" s="6">
        <f t="shared" si="15"/>
        <v>-1.4000382499999994E-4</v>
      </c>
      <c r="M108" s="4"/>
    </row>
    <row r="109" spans="1:13" outlineLevel="1" x14ac:dyDescent="0.35">
      <c r="B109" s="282" t="s">
        <v>137</v>
      </c>
      <c r="C109" s="282" t="s">
        <v>871</v>
      </c>
      <c r="D109" s="6">
        <f>SUM(D100:D108)</f>
        <v>-5.4679938296136503E-6</v>
      </c>
      <c r="E109" s="6">
        <f t="shared" ref="E109:L109" si="16">SUM(E100:E108)</f>
        <v>-2.042291702408222E-4</v>
      </c>
      <c r="F109" s="6">
        <f t="shared" si="16"/>
        <v>-2.4548423527690622E-4</v>
      </c>
      <c r="G109" s="6">
        <f t="shared" si="16"/>
        <v>-7.8863800370132536E-5</v>
      </c>
      <c r="H109" s="6">
        <f t="shared" si="16"/>
        <v>-2.2085536925217162E-4</v>
      </c>
      <c r="I109" s="6">
        <f t="shared" si="16"/>
        <v>-2.5081265873069835E-4</v>
      </c>
      <c r="J109" s="6">
        <f t="shared" si="16"/>
        <v>-4.69083150886788E-5</v>
      </c>
      <c r="K109" s="6">
        <f t="shared" si="16"/>
        <v>-5.9834760438465625E-5</v>
      </c>
      <c r="L109" s="6">
        <f t="shared" si="16"/>
        <v>-6.9871537964034684E-5</v>
      </c>
      <c r="M109" s="4"/>
    </row>
    <row r="110" spans="1:13" outlineLevel="1" x14ac:dyDescent="0.35">
      <c r="M110" s="4"/>
    </row>
    <row r="111" spans="1:13" outlineLevel="1" x14ac:dyDescent="0.35">
      <c r="A111" s="15" t="s">
        <v>509</v>
      </c>
      <c r="B111" s="30"/>
      <c r="C111" s="140" t="s">
        <v>180</v>
      </c>
      <c r="D111" s="6" t="s">
        <v>889</v>
      </c>
      <c r="E111" s="6" t="s">
        <v>891</v>
      </c>
      <c r="F111" s="6" t="s">
        <v>890</v>
      </c>
      <c r="G111" s="6" t="s">
        <v>892</v>
      </c>
      <c r="H111" s="6" t="s">
        <v>893</v>
      </c>
      <c r="I111" s="6" t="s">
        <v>894</v>
      </c>
      <c r="J111" s="6" t="s">
        <v>896</v>
      </c>
      <c r="K111" s="6" t="s">
        <v>897</v>
      </c>
      <c r="L111" s="6" t="s">
        <v>895</v>
      </c>
      <c r="M111" s="4"/>
    </row>
    <row r="112" spans="1:13" outlineLevel="1" x14ac:dyDescent="0.35">
      <c r="B112" s="282" t="s">
        <v>117</v>
      </c>
      <c r="C112" s="282" t="s">
        <v>869</v>
      </c>
      <c r="D112" s="6">
        <f t="shared" ref="D112:I120" si="17">D100/100</f>
        <v>7.7870133042031404E-8</v>
      </c>
      <c r="E112" s="6">
        <f t="shared" si="17"/>
        <v>7.338610768603722E-8</v>
      </c>
      <c r="F112" s="6">
        <f t="shared" si="17"/>
        <v>6.0907644566846106E-8</v>
      </c>
      <c r="G112" s="6">
        <f t="shared" si="17"/>
        <v>7.7870133042031404E-8</v>
      </c>
      <c r="H112" s="6">
        <f t="shared" si="17"/>
        <v>7.338610768603722E-8</v>
      </c>
      <c r="I112" s="6">
        <f t="shared" si="17"/>
        <v>6.0907644566846106E-8</v>
      </c>
      <c r="J112" s="6">
        <f>J100/50</f>
        <v>1.4397366517620688E-7</v>
      </c>
      <c r="K112" s="6">
        <f>K100/50</f>
        <v>1.3509196445407891E-7</v>
      </c>
      <c r="L112" s="6">
        <f>L100/50</f>
        <v>1.1038430518141741E-7</v>
      </c>
      <c r="M112" s="4"/>
    </row>
    <row r="113" spans="1:13" outlineLevel="1" x14ac:dyDescent="0.35">
      <c r="B113" s="282" t="s">
        <v>118</v>
      </c>
      <c r="C113" s="282" t="s">
        <v>869</v>
      </c>
      <c r="D113" s="6">
        <f t="shared" si="17"/>
        <v>4.544829349235703E-9</v>
      </c>
      <c r="E113" s="6">
        <f t="shared" si="17"/>
        <v>4.3063190758316633E-9</v>
      </c>
      <c r="F113" s="6">
        <f t="shared" si="17"/>
        <v>3.9146385309138401E-9</v>
      </c>
      <c r="G113" s="6">
        <f t="shared" si="17"/>
        <v>4.544829349235703E-9</v>
      </c>
      <c r="H113" s="6">
        <f t="shared" si="17"/>
        <v>4.3063190758316633E-9</v>
      </c>
      <c r="I113" s="6">
        <f t="shared" si="17"/>
        <v>3.9146385309138401E-9</v>
      </c>
      <c r="J113" s="6">
        <f t="shared" ref="J113:L120" si="18">J101/50</f>
        <v>4.544829349235703E-9</v>
      </c>
      <c r="K113" s="6">
        <f t="shared" si="18"/>
        <v>4.3063190758316633E-9</v>
      </c>
      <c r="L113" s="6">
        <f t="shared" si="18"/>
        <v>3.9146385309138401E-9</v>
      </c>
      <c r="M113" s="4"/>
    </row>
    <row r="114" spans="1:13" outlineLevel="1" x14ac:dyDescent="0.35">
      <c r="B114" s="282" t="s">
        <v>119</v>
      </c>
      <c r="C114" s="282" t="s">
        <v>869</v>
      </c>
      <c r="D114" s="6">
        <f t="shared" si="17"/>
        <v>1.133100649886742E-9</v>
      </c>
      <c r="E114" s="6">
        <f t="shared" si="17"/>
        <v>1.03257477561019E-9</v>
      </c>
      <c r="F114" s="6">
        <f t="shared" si="17"/>
        <v>9.9919091331168175E-10</v>
      </c>
      <c r="G114" s="6">
        <f t="shared" si="17"/>
        <v>1.133100649886742E-9</v>
      </c>
      <c r="H114" s="6">
        <f t="shared" si="17"/>
        <v>1.03257477561019E-9</v>
      </c>
      <c r="I114" s="6">
        <f t="shared" si="17"/>
        <v>9.9919091331168175E-10</v>
      </c>
      <c r="J114" s="6">
        <f t="shared" si="18"/>
        <v>2.2662012997734839E-9</v>
      </c>
      <c r="K114" s="6">
        <f t="shared" si="18"/>
        <v>2.06514955122038E-9</v>
      </c>
      <c r="L114" s="6">
        <f t="shared" si="18"/>
        <v>1.9983818266233635E-9</v>
      </c>
      <c r="M114" s="4"/>
    </row>
    <row r="115" spans="1:13" outlineLevel="1" x14ac:dyDescent="0.35">
      <c r="B115" s="282" t="s">
        <v>120</v>
      </c>
      <c r="C115" s="282" t="s">
        <v>869</v>
      </c>
      <c r="D115" s="6">
        <f t="shared" si="17"/>
        <v>3.7046222513391852E-11</v>
      </c>
      <c r="E115" s="6">
        <f t="shared" si="17"/>
        <v>3.5671062893842507E-11</v>
      </c>
      <c r="F115" s="6">
        <f t="shared" si="17"/>
        <v>3.5716564968595088E-11</v>
      </c>
      <c r="G115" s="6">
        <f t="shared" si="17"/>
        <v>3.7046222513391852E-11</v>
      </c>
      <c r="H115" s="6">
        <f t="shared" si="17"/>
        <v>3.5671062893842507E-11</v>
      </c>
      <c r="I115" s="6">
        <f t="shared" si="17"/>
        <v>3.5716564968595088E-11</v>
      </c>
      <c r="J115" s="6">
        <f t="shared" si="18"/>
        <v>3.7046222513391852E-11</v>
      </c>
      <c r="K115" s="6">
        <f t="shared" si="18"/>
        <v>3.5671062893842507E-11</v>
      </c>
      <c r="L115" s="6">
        <f t="shared" si="18"/>
        <v>3.5716564968595088E-11</v>
      </c>
      <c r="M115" s="4"/>
    </row>
    <row r="116" spans="1:13" outlineLevel="1" x14ac:dyDescent="0.35">
      <c r="B116" s="282" t="s">
        <v>121</v>
      </c>
      <c r="C116" s="282" t="s">
        <v>869</v>
      </c>
      <c r="D116" s="6">
        <f t="shared" si="17"/>
        <v>1.6163480748994424E-8</v>
      </c>
      <c r="E116" s="6">
        <f t="shared" si="17"/>
        <v>1.3708771072106342E-8</v>
      </c>
      <c r="F116" s="6">
        <f t="shared" si="17"/>
        <v>1.213886828294613E-8</v>
      </c>
      <c r="G116" s="6">
        <f t="shared" si="17"/>
        <v>1.6163480748994424E-8</v>
      </c>
      <c r="H116" s="6">
        <f t="shared" si="17"/>
        <v>1.3708771072106342E-8</v>
      </c>
      <c r="I116" s="6">
        <f t="shared" si="17"/>
        <v>1.213886828294613E-8</v>
      </c>
      <c r="J116" s="6">
        <f t="shared" si="18"/>
        <v>3.2326961497988848E-8</v>
      </c>
      <c r="K116" s="6">
        <f t="shared" si="18"/>
        <v>2.7417542144212684E-8</v>
      </c>
      <c r="L116" s="6">
        <f t="shared" si="18"/>
        <v>2.4277736565892259E-8</v>
      </c>
      <c r="M116" s="4"/>
    </row>
    <row r="117" spans="1:13" outlineLevel="1" x14ac:dyDescent="0.35">
      <c r="B117" s="282" t="s">
        <v>797</v>
      </c>
      <c r="C117" s="282" t="s">
        <v>869</v>
      </c>
      <c r="D117" s="6">
        <f t="shared" si="17"/>
        <v>0</v>
      </c>
      <c r="E117" s="6">
        <f t="shared" si="17"/>
        <v>0</v>
      </c>
      <c r="F117" s="6">
        <f t="shared" si="17"/>
        <v>0</v>
      </c>
      <c r="G117" s="6">
        <f t="shared" si="17"/>
        <v>0</v>
      </c>
      <c r="H117" s="6">
        <f t="shared" si="17"/>
        <v>0</v>
      </c>
      <c r="I117" s="6">
        <f t="shared" si="17"/>
        <v>0</v>
      </c>
      <c r="J117" s="6">
        <f t="shared" si="18"/>
        <v>8.4987672123381005E-7</v>
      </c>
      <c r="K117" s="6">
        <f t="shared" si="18"/>
        <v>8.1743523167004277E-7</v>
      </c>
      <c r="L117" s="6">
        <f t="shared" si="18"/>
        <v>7.0783676707877945E-7</v>
      </c>
      <c r="M117" s="4"/>
    </row>
    <row r="118" spans="1:13" outlineLevel="1" x14ac:dyDescent="0.35">
      <c r="B118" s="282" t="s">
        <v>122</v>
      </c>
      <c r="C118" s="282" t="s">
        <v>869</v>
      </c>
      <c r="D118" s="6">
        <f t="shared" si="17"/>
        <v>2.445525743468704E-6</v>
      </c>
      <c r="E118" s="6">
        <f t="shared" si="17"/>
        <v>6.0422203435546994E-7</v>
      </c>
      <c r="F118" s="6">
        <f t="shared" si="17"/>
        <v>2.3459087286849139E-7</v>
      </c>
      <c r="G118" s="6">
        <f t="shared" si="17"/>
        <v>1.9112296251611E-6</v>
      </c>
      <c r="H118" s="6">
        <f t="shared" si="17"/>
        <v>4.9891284917080644E-7</v>
      </c>
      <c r="I118" s="6">
        <f t="shared" si="17"/>
        <v>2.1387876523837101E-7</v>
      </c>
      <c r="J118" s="6">
        <f t="shared" si="18"/>
        <v>6.2876254522439755E-7</v>
      </c>
      <c r="K118" s="6">
        <f t="shared" si="18"/>
        <v>5.5593609370857821E-7</v>
      </c>
      <c r="L118" s="6">
        <f t="shared" si="18"/>
        <v>5.2155097946725118E-7</v>
      </c>
      <c r="M118" s="4"/>
    </row>
    <row r="119" spans="1:13" outlineLevel="1" x14ac:dyDescent="0.35">
      <c r="B119" s="282" t="s">
        <v>123</v>
      </c>
      <c r="C119" s="282" t="s">
        <v>869</v>
      </c>
      <c r="D119" s="6">
        <f t="shared" si="17"/>
        <v>2.0012222822249669E-7</v>
      </c>
      <c r="E119" s="6">
        <f t="shared" si="17"/>
        <v>6.1093319563827715E-8</v>
      </c>
      <c r="F119" s="6">
        <f t="shared" si="17"/>
        <v>3.2647215503458974E-8</v>
      </c>
      <c r="G119" s="6">
        <f t="shared" si="17"/>
        <v>4.6028112491174245E-10</v>
      </c>
      <c r="H119" s="6">
        <f t="shared" si="17"/>
        <v>1.405146349968037E-10</v>
      </c>
      <c r="I119" s="6">
        <f t="shared" si="17"/>
        <v>7.5088595657955673E-11</v>
      </c>
      <c r="J119" s="6">
        <f t="shared" si="18"/>
        <v>2.0012222822249669E-7</v>
      </c>
      <c r="K119" s="6">
        <f t="shared" si="18"/>
        <v>6.1093319563827715E-8</v>
      </c>
      <c r="L119" s="6">
        <f t="shared" si="18"/>
        <v>3.2647215503458974E-8</v>
      </c>
      <c r="M119" s="4"/>
    </row>
    <row r="120" spans="1:13" outlineLevel="1" x14ac:dyDescent="0.35">
      <c r="B120" s="282" t="s">
        <v>124</v>
      </c>
      <c r="C120" s="282" t="s">
        <v>869</v>
      </c>
      <c r="D120" s="6">
        <f t="shared" si="17"/>
        <v>-2.8000764999999987E-6</v>
      </c>
      <c r="E120" s="6">
        <f t="shared" si="17"/>
        <v>-2.8000764999999987E-6</v>
      </c>
      <c r="F120" s="6">
        <f t="shared" si="17"/>
        <v>-2.8000764999999987E-6</v>
      </c>
      <c r="G120" s="6">
        <f t="shared" si="17"/>
        <v>-2.8000764999999987E-6</v>
      </c>
      <c r="H120" s="6">
        <f t="shared" si="17"/>
        <v>-2.8000764999999987E-6</v>
      </c>
      <c r="I120" s="6">
        <f t="shared" si="17"/>
        <v>-2.8000764999999987E-6</v>
      </c>
      <c r="J120" s="6">
        <f t="shared" si="18"/>
        <v>-2.8000764999999987E-6</v>
      </c>
      <c r="K120" s="6">
        <f t="shared" si="18"/>
        <v>-2.8000764999999987E-6</v>
      </c>
      <c r="L120" s="6">
        <f t="shared" si="18"/>
        <v>-2.8000764999999987E-6</v>
      </c>
      <c r="M120" s="4"/>
    </row>
    <row r="121" spans="1:13" outlineLevel="1" x14ac:dyDescent="0.35">
      <c r="B121" s="282" t="s">
        <v>137</v>
      </c>
      <c r="C121" s="282" t="s">
        <v>869</v>
      </c>
      <c r="D121" s="6">
        <f>SUM(D112:D120)</f>
        <v>-5.4679938296136215E-8</v>
      </c>
      <c r="E121" s="6">
        <f t="shared" ref="E121:L121" si="19">SUM(E112:E120)</f>
        <v>-2.0422917024082217E-6</v>
      </c>
      <c r="F121" s="6">
        <f t="shared" si="19"/>
        <v>-2.454842352769062E-6</v>
      </c>
      <c r="G121" s="6">
        <f t="shared" si="19"/>
        <v>-7.8863800370132534E-7</v>
      </c>
      <c r="H121" s="6">
        <f t="shared" si="19"/>
        <v>-2.208553692521716E-6</v>
      </c>
      <c r="I121" s="6">
        <f t="shared" si="19"/>
        <v>-2.5081265873069835E-6</v>
      </c>
      <c r="J121" s="6">
        <f t="shared" si="19"/>
        <v>-9.3816630177357636E-7</v>
      </c>
      <c r="K121" s="6">
        <f t="shared" si="19"/>
        <v>-1.1966952087693127E-6</v>
      </c>
      <c r="L121" s="6">
        <f t="shared" si="19"/>
        <v>-1.3974307592806936E-6</v>
      </c>
      <c r="M121" s="4"/>
    </row>
    <row r="122" spans="1:13" outlineLevel="1" x14ac:dyDescent="0.35">
      <c r="D122" s="3"/>
      <c r="E122" s="3"/>
      <c r="F122" s="3"/>
      <c r="G122" s="3"/>
      <c r="H122" s="3"/>
      <c r="I122" s="3"/>
      <c r="J122" s="3"/>
      <c r="K122" s="3"/>
      <c r="L122" s="3"/>
      <c r="M122" s="4"/>
    </row>
    <row r="123" spans="1:13" outlineLevel="1" x14ac:dyDescent="0.35">
      <c r="A123" s="15" t="s">
        <v>507</v>
      </c>
      <c r="B123" s="30"/>
      <c r="C123" s="140" t="s">
        <v>180</v>
      </c>
      <c r="D123" s="6" t="s">
        <v>889</v>
      </c>
      <c r="E123" s="6" t="s">
        <v>891</v>
      </c>
      <c r="F123" s="6" t="s">
        <v>890</v>
      </c>
      <c r="G123" s="6" t="s">
        <v>892</v>
      </c>
      <c r="H123" s="6" t="s">
        <v>893</v>
      </c>
      <c r="I123" s="6" t="s">
        <v>894</v>
      </c>
      <c r="J123" s="6" t="s">
        <v>896</v>
      </c>
      <c r="K123" s="6" t="s">
        <v>897</v>
      </c>
      <c r="L123" s="6" t="s">
        <v>895</v>
      </c>
      <c r="M123" s="4"/>
    </row>
    <row r="124" spans="1:13" outlineLevel="1" x14ac:dyDescent="0.35">
      <c r="A124" s="141" t="s">
        <v>510</v>
      </c>
      <c r="B124" s="282" t="s">
        <v>117</v>
      </c>
      <c r="C124" s="282" t="s">
        <v>871</v>
      </c>
      <c r="D124" s="6">
        <f>D88/20</f>
        <v>9.7337666302539262E-6</v>
      </c>
      <c r="E124" s="6">
        <f t="shared" ref="E124:L124" si="20">E88/20</f>
        <v>9.1732634607546538E-6</v>
      </c>
      <c r="F124" s="6">
        <f t="shared" si="20"/>
        <v>7.6134555708557638E-6</v>
      </c>
      <c r="G124" s="6">
        <f t="shared" si="20"/>
        <v>9.7337666302539262E-6</v>
      </c>
      <c r="H124" s="6">
        <f t="shared" si="20"/>
        <v>9.1732634607546538E-6</v>
      </c>
      <c r="I124" s="6">
        <f t="shared" si="20"/>
        <v>7.6134555708557638E-6</v>
      </c>
      <c r="J124" s="6">
        <f t="shared" si="20"/>
        <v>8.99835407351293E-6</v>
      </c>
      <c r="K124" s="6">
        <f t="shared" si="20"/>
        <v>8.4432477783799318E-6</v>
      </c>
      <c r="L124" s="6">
        <f t="shared" si="20"/>
        <v>6.8990190738385876E-6</v>
      </c>
      <c r="M124" s="4"/>
    </row>
    <row r="125" spans="1:13" outlineLevel="1" x14ac:dyDescent="0.35">
      <c r="B125" s="282" t="s">
        <v>118</v>
      </c>
      <c r="C125" s="282" t="s">
        <v>871</v>
      </c>
      <c r="D125" s="6">
        <f t="shared" ref="D125:L132" si="21">D89/20</f>
        <v>5.6810366865446284E-7</v>
      </c>
      <c r="E125" s="6">
        <f t="shared" si="21"/>
        <v>5.3828988447895789E-7</v>
      </c>
      <c r="F125" s="6">
        <f t="shared" si="21"/>
        <v>4.8932981636422996E-7</v>
      </c>
      <c r="G125" s="6">
        <f t="shared" si="21"/>
        <v>5.6810366865446284E-7</v>
      </c>
      <c r="H125" s="6">
        <f t="shared" si="21"/>
        <v>5.3828988447895789E-7</v>
      </c>
      <c r="I125" s="6">
        <f t="shared" si="21"/>
        <v>4.8932981636422996E-7</v>
      </c>
      <c r="J125" s="6">
        <f t="shared" si="21"/>
        <v>2.8405183432723142E-7</v>
      </c>
      <c r="K125" s="6">
        <f t="shared" si="21"/>
        <v>2.6914494223947895E-7</v>
      </c>
      <c r="L125" s="6">
        <f t="shared" si="21"/>
        <v>2.4466490818211498E-7</v>
      </c>
      <c r="M125" s="4"/>
    </row>
    <row r="126" spans="1:13" outlineLevel="1" x14ac:dyDescent="0.35">
      <c r="B126" s="282" t="s">
        <v>119</v>
      </c>
      <c r="C126" s="282" t="s">
        <v>871</v>
      </c>
      <c r="D126" s="6">
        <f t="shared" si="21"/>
        <v>1.4163758123584275E-7</v>
      </c>
      <c r="E126" s="6">
        <f t="shared" si="21"/>
        <v>1.2907184695127375E-7</v>
      </c>
      <c r="F126" s="6">
        <f t="shared" si="21"/>
        <v>1.2489886416396022E-7</v>
      </c>
      <c r="G126" s="6">
        <f t="shared" si="21"/>
        <v>1.4163758123584275E-7</v>
      </c>
      <c r="H126" s="6">
        <f t="shared" si="21"/>
        <v>1.2907184695127375E-7</v>
      </c>
      <c r="I126" s="6">
        <f t="shared" si="21"/>
        <v>1.2489886416396022E-7</v>
      </c>
      <c r="J126" s="6">
        <f t="shared" si="21"/>
        <v>1.4163758123584275E-7</v>
      </c>
      <c r="K126" s="6">
        <f t="shared" si="21"/>
        <v>1.2907184695127375E-7</v>
      </c>
      <c r="L126" s="6">
        <f t="shared" si="21"/>
        <v>1.2489886416396022E-7</v>
      </c>
      <c r="M126" s="4"/>
    </row>
    <row r="127" spans="1:13" outlineLevel="1" x14ac:dyDescent="0.35">
      <c r="B127" s="282" t="s">
        <v>120</v>
      </c>
      <c r="C127" s="282" t="s">
        <v>871</v>
      </c>
      <c r="D127" s="6">
        <f t="shared" si="21"/>
        <v>4.6307778141739819E-9</v>
      </c>
      <c r="E127" s="6">
        <f t="shared" si="21"/>
        <v>4.4588828617303131E-9</v>
      </c>
      <c r="F127" s="6">
        <f t="shared" si="21"/>
        <v>4.4645706210743859E-9</v>
      </c>
      <c r="G127" s="6">
        <f t="shared" si="21"/>
        <v>4.6307778141739819E-9</v>
      </c>
      <c r="H127" s="6">
        <f t="shared" si="21"/>
        <v>4.4588828617303131E-9</v>
      </c>
      <c r="I127" s="6">
        <f t="shared" si="21"/>
        <v>4.4645706210743859E-9</v>
      </c>
      <c r="J127" s="6">
        <f t="shared" si="21"/>
        <v>2.3153889070869909E-9</v>
      </c>
      <c r="K127" s="6">
        <f t="shared" si="21"/>
        <v>2.2294414308651565E-9</v>
      </c>
      <c r="L127" s="6">
        <f t="shared" si="21"/>
        <v>2.232285310537193E-9</v>
      </c>
      <c r="M127" s="4"/>
    </row>
    <row r="128" spans="1:13" outlineLevel="1" x14ac:dyDescent="0.35">
      <c r="B128" s="282" t="s">
        <v>121</v>
      </c>
      <c r="C128" s="282" t="s">
        <v>871</v>
      </c>
      <c r="D128" s="6">
        <f t="shared" si="21"/>
        <v>2.020435093624303E-6</v>
      </c>
      <c r="E128" s="6">
        <f t="shared" si="21"/>
        <v>1.7135963840132927E-6</v>
      </c>
      <c r="F128" s="6">
        <f t="shared" si="21"/>
        <v>1.5173585353682661E-6</v>
      </c>
      <c r="G128" s="6">
        <f t="shared" si="21"/>
        <v>2.020435093624303E-6</v>
      </c>
      <c r="H128" s="6">
        <f t="shared" si="21"/>
        <v>1.7135963840132927E-6</v>
      </c>
      <c r="I128" s="6">
        <f t="shared" si="21"/>
        <v>1.5173585353682661E-6</v>
      </c>
      <c r="J128" s="6">
        <f t="shared" si="21"/>
        <v>2.020435093624303E-6</v>
      </c>
      <c r="K128" s="6">
        <f t="shared" si="21"/>
        <v>1.7135963840132927E-6</v>
      </c>
      <c r="L128" s="6">
        <f t="shared" si="21"/>
        <v>1.5173585353682661E-6</v>
      </c>
      <c r="M128" s="4"/>
    </row>
    <row r="129" spans="1:13" outlineLevel="1" x14ac:dyDescent="0.35">
      <c r="B129" s="282" t="s">
        <v>797</v>
      </c>
      <c r="C129" s="282" t="s">
        <v>871</v>
      </c>
      <c r="D129" s="6">
        <f t="shared" si="21"/>
        <v>0</v>
      </c>
      <c r="E129" s="6">
        <f t="shared" si="21"/>
        <v>0</v>
      </c>
      <c r="F129" s="6">
        <f t="shared" si="21"/>
        <v>0</v>
      </c>
      <c r="G129" s="6">
        <f t="shared" si="21"/>
        <v>0</v>
      </c>
      <c r="H129" s="6">
        <f t="shared" si="21"/>
        <v>0</v>
      </c>
      <c r="I129" s="6">
        <f t="shared" si="21"/>
        <v>0</v>
      </c>
      <c r="J129" s="6">
        <f t="shared" si="21"/>
        <v>5.3117295077113134E-5</v>
      </c>
      <c r="K129" s="6">
        <f t="shared" si="21"/>
        <v>5.1089701979377674E-5</v>
      </c>
      <c r="L129" s="6">
        <f t="shared" si="21"/>
        <v>4.4239797942423719E-5</v>
      </c>
      <c r="M129" s="4"/>
    </row>
    <row r="130" spans="1:13" outlineLevel="1" x14ac:dyDescent="0.35">
      <c r="B130" s="282" t="s">
        <v>122</v>
      </c>
      <c r="C130" s="282" t="s">
        <v>871</v>
      </c>
      <c r="D130" s="6">
        <f t="shared" si="21"/>
        <v>3.0569071793358797E-4</v>
      </c>
      <c r="E130" s="6">
        <f t="shared" si="21"/>
        <v>7.5527754294433741E-5</v>
      </c>
      <c r="F130" s="6">
        <f t="shared" si="21"/>
        <v>2.9323859108561424E-5</v>
      </c>
      <c r="G130" s="6">
        <f t="shared" si="21"/>
        <v>2.3890370314513749E-4</v>
      </c>
      <c r="H130" s="6">
        <f t="shared" si="21"/>
        <v>6.2364106146350811E-5</v>
      </c>
      <c r="I130" s="6">
        <f t="shared" si="21"/>
        <v>2.6734845654796377E-5</v>
      </c>
      <c r="J130" s="6">
        <f t="shared" si="21"/>
        <v>3.9297659076524856E-5</v>
      </c>
      <c r="K130" s="6">
        <f t="shared" si="21"/>
        <v>3.4746005856786141E-5</v>
      </c>
      <c r="L130" s="6">
        <f t="shared" si="21"/>
        <v>3.25969362167032E-5</v>
      </c>
      <c r="M130" s="4"/>
    </row>
    <row r="131" spans="1:13" outlineLevel="1" x14ac:dyDescent="0.35">
      <c r="B131" s="282" t="s">
        <v>123</v>
      </c>
      <c r="C131" s="282" t="s">
        <v>871</v>
      </c>
      <c r="D131" s="6">
        <f t="shared" si="21"/>
        <v>2.5015278527812085E-5</v>
      </c>
      <c r="E131" s="6">
        <f t="shared" si="21"/>
        <v>7.6366649454784629E-6</v>
      </c>
      <c r="F131" s="6">
        <f t="shared" si="21"/>
        <v>4.0809019379323723E-6</v>
      </c>
      <c r="G131" s="6">
        <f t="shared" si="21"/>
        <v>5.7535140613967812E-8</v>
      </c>
      <c r="H131" s="6">
        <f t="shared" si="21"/>
        <v>1.7564329374600463E-8</v>
      </c>
      <c r="I131" s="6">
        <f t="shared" si="21"/>
        <v>9.3860744572444596E-9</v>
      </c>
      <c r="J131" s="6">
        <f t="shared" si="21"/>
        <v>1.2507639263906042E-5</v>
      </c>
      <c r="K131" s="6">
        <f t="shared" si="21"/>
        <v>3.8183324727392315E-6</v>
      </c>
      <c r="L131" s="6">
        <f t="shared" si="21"/>
        <v>2.0404509689661861E-6</v>
      </c>
      <c r="M131" s="4"/>
    </row>
    <row r="132" spans="1:13" outlineLevel="1" x14ac:dyDescent="0.35">
      <c r="B132" s="282" t="s">
        <v>124</v>
      </c>
      <c r="C132" s="282" t="s">
        <v>871</v>
      </c>
      <c r="D132" s="6">
        <f>D96/20</f>
        <v>-3.5000956249999984E-4</v>
      </c>
      <c r="E132" s="6">
        <f t="shared" si="21"/>
        <v>-3.5000956249999984E-4</v>
      </c>
      <c r="F132" s="6">
        <f t="shared" si="21"/>
        <v>-3.5000956249999984E-4</v>
      </c>
      <c r="G132" s="6">
        <f t="shared" si="21"/>
        <v>-3.5000956249999984E-4</v>
      </c>
      <c r="H132" s="6">
        <f t="shared" si="21"/>
        <v>-3.5000956249999984E-4</v>
      </c>
      <c r="I132" s="6">
        <f t="shared" si="21"/>
        <v>-3.5000956249999984E-4</v>
      </c>
      <c r="J132" s="6">
        <f t="shared" si="21"/>
        <v>-1.7500478124999992E-4</v>
      </c>
      <c r="K132" s="6">
        <f t="shared" si="21"/>
        <v>-1.7500478124999992E-4</v>
      </c>
      <c r="L132" s="6">
        <f t="shared" si="21"/>
        <v>-1.7500478124999992E-4</v>
      </c>
      <c r="M132" s="4"/>
    </row>
    <row r="133" spans="1:13" outlineLevel="1" x14ac:dyDescent="0.35">
      <c r="B133" s="282" t="s">
        <v>137</v>
      </c>
      <c r="C133" s="282" t="s">
        <v>871</v>
      </c>
      <c r="D133" s="6">
        <f>SUM(D124:D132)</f>
        <v>-6.83499228701709E-6</v>
      </c>
      <c r="E133" s="6">
        <f t="shared" ref="E133:L133" si="22">SUM(E124:E132)</f>
        <v>-2.5528646280102772E-4</v>
      </c>
      <c r="F133" s="6">
        <f t="shared" si="22"/>
        <v>-3.0685529409613273E-4</v>
      </c>
      <c r="G133" s="6">
        <f t="shared" si="22"/>
        <v>-9.857975046266565E-5</v>
      </c>
      <c r="H133" s="6">
        <f t="shared" si="22"/>
        <v>-2.7606921156521455E-4</v>
      </c>
      <c r="I133" s="6">
        <f t="shared" si="22"/>
        <v>-3.1351582341337291E-4</v>
      </c>
      <c r="J133" s="6">
        <f t="shared" si="22"/>
        <v>-5.8635393860848487E-5</v>
      </c>
      <c r="K133" s="6">
        <f t="shared" si="22"/>
        <v>-7.4793450548082038E-5</v>
      </c>
      <c r="L133" s="6">
        <f t="shared" si="22"/>
        <v>-8.7339422455043344E-5</v>
      </c>
      <c r="M133" s="4"/>
    </row>
    <row r="134" spans="1:13" outlineLevel="1" x14ac:dyDescent="0.35">
      <c r="D134" s="3"/>
      <c r="E134" s="3"/>
      <c r="F134" s="3"/>
      <c r="G134" s="3"/>
      <c r="H134" s="3"/>
      <c r="I134" s="3"/>
      <c r="J134" s="3"/>
      <c r="K134" s="3"/>
      <c r="L134" s="3"/>
      <c r="M134" s="4"/>
    </row>
    <row r="135" spans="1:13" outlineLevel="1" x14ac:dyDescent="0.35">
      <c r="A135" s="15" t="s">
        <v>509</v>
      </c>
      <c r="B135" s="30"/>
      <c r="C135" s="140" t="s">
        <v>180</v>
      </c>
      <c r="D135" s="6" t="s">
        <v>889</v>
      </c>
      <c r="E135" s="6" t="s">
        <v>891</v>
      </c>
      <c r="F135" s="6" t="s">
        <v>890</v>
      </c>
      <c r="G135" s="6" t="s">
        <v>892</v>
      </c>
      <c r="H135" s="6" t="s">
        <v>893</v>
      </c>
      <c r="I135" s="6" t="s">
        <v>894</v>
      </c>
      <c r="J135" s="6" t="s">
        <v>896</v>
      </c>
      <c r="K135" s="6" t="s">
        <v>897</v>
      </c>
      <c r="L135" s="6" t="s">
        <v>895</v>
      </c>
      <c r="M135" s="4"/>
    </row>
    <row r="136" spans="1:13" outlineLevel="1" x14ac:dyDescent="0.35">
      <c r="A136" s="141" t="s">
        <v>803</v>
      </c>
      <c r="B136" s="282" t="s">
        <v>117</v>
      </c>
      <c r="C136" s="282" t="s">
        <v>869</v>
      </c>
      <c r="D136" s="6">
        <f t="shared" ref="D136:I143" si="23">D124/100</f>
        <v>9.7337666302539258E-8</v>
      </c>
      <c r="E136" s="6">
        <f t="shared" si="23"/>
        <v>9.1732634607546532E-8</v>
      </c>
      <c r="F136" s="6">
        <f t="shared" si="23"/>
        <v>7.6134555708557632E-8</v>
      </c>
      <c r="G136" s="6">
        <f t="shared" si="23"/>
        <v>9.7337666302539258E-8</v>
      </c>
      <c r="H136" s="6">
        <f t="shared" si="23"/>
        <v>9.1732634607546532E-8</v>
      </c>
      <c r="I136" s="6">
        <f t="shared" si="23"/>
        <v>7.6134555708557632E-8</v>
      </c>
      <c r="J136" s="6">
        <f>J124/50</f>
        <v>1.799670814702586E-7</v>
      </c>
      <c r="K136" s="6">
        <f>K124/50</f>
        <v>1.6886495556759862E-7</v>
      </c>
      <c r="L136" s="6">
        <f>L124/50</f>
        <v>1.3798038147677174E-7</v>
      </c>
      <c r="M136" s="4"/>
    </row>
    <row r="137" spans="1:13" outlineLevel="1" x14ac:dyDescent="0.35">
      <c r="A137" s="141" t="s">
        <v>804</v>
      </c>
      <c r="B137" s="282" t="s">
        <v>118</v>
      </c>
      <c r="C137" s="282" t="s">
        <v>869</v>
      </c>
      <c r="D137" s="6">
        <f t="shared" si="23"/>
        <v>5.6810366865446284E-9</v>
      </c>
      <c r="E137" s="6">
        <f t="shared" si="23"/>
        <v>5.3828988447895787E-9</v>
      </c>
      <c r="F137" s="6">
        <f t="shared" si="23"/>
        <v>4.8932981636422997E-9</v>
      </c>
      <c r="G137" s="6">
        <f t="shared" si="23"/>
        <v>5.6810366865446284E-9</v>
      </c>
      <c r="H137" s="6">
        <f t="shared" si="23"/>
        <v>5.3828988447895787E-9</v>
      </c>
      <c r="I137" s="6">
        <f t="shared" si="23"/>
        <v>4.8932981636422997E-9</v>
      </c>
      <c r="J137" s="6">
        <f t="shared" ref="J137:L143" si="24">J125/50</f>
        <v>5.6810366865446284E-9</v>
      </c>
      <c r="K137" s="6">
        <f t="shared" si="24"/>
        <v>5.3828988447895787E-9</v>
      </c>
      <c r="L137" s="6">
        <f t="shared" si="24"/>
        <v>4.8932981636422997E-9</v>
      </c>
      <c r="M137" s="4"/>
    </row>
    <row r="138" spans="1:13" outlineLevel="1" x14ac:dyDescent="0.35">
      <c r="B138" s="282" t="s">
        <v>119</v>
      </c>
      <c r="C138" s="282" t="s">
        <v>869</v>
      </c>
      <c r="D138" s="6">
        <f t="shared" si="23"/>
        <v>1.4163758123584276E-9</v>
      </c>
      <c r="E138" s="6">
        <f t="shared" si="23"/>
        <v>1.2907184695127375E-9</v>
      </c>
      <c r="F138" s="6">
        <f t="shared" si="23"/>
        <v>1.2489886416396022E-9</v>
      </c>
      <c r="G138" s="6">
        <f t="shared" si="23"/>
        <v>1.4163758123584276E-9</v>
      </c>
      <c r="H138" s="6">
        <f t="shared" si="23"/>
        <v>1.2907184695127375E-9</v>
      </c>
      <c r="I138" s="6">
        <f t="shared" si="23"/>
        <v>1.2489886416396022E-9</v>
      </c>
      <c r="J138" s="6">
        <f t="shared" si="24"/>
        <v>2.8327516247168551E-9</v>
      </c>
      <c r="K138" s="6">
        <f t="shared" si="24"/>
        <v>2.5814369390254751E-9</v>
      </c>
      <c r="L138" s="6">
        <f t="shared" si="24"/>
        <v>2.4979772832792045E-9</v>
      </c>
      <c r="M138" s="4"/>
    </row>
    <row r="139" spans="1:13" outlineLevel="1" x14ac:dyDescent="0.35">
      <c r="B139" s="282" t="s">
        <v>120</v>
      </c>
      <c r="C139" s="282" t="s">
        <v>869</v>
      </c>
      <c r="D139" s="6">
        <f t="shared" si="23"/>
        <v>4.6307778141739818E-11</v>
      </c>
      <c r="E139" s="6">
        <f t="shared" si="23"/>
        <v>4.4588828617303132E-11</v>
      </c>
      <c r="F139" s="6">
        <f t="shared" si="23"/>
        <v>4.464570621074386E-11</v>
      </c>
      <c r="G139" s="6">
        <f t="shared" si="23"/>
        <v>4.6307778141739818E-11</v>
      </c>
      <c r="H139" s="6">
        <f t="shared" si="23"/>
        <v>4.4588828617303132E-11</v>
      </c>
      <c r="I139" s="6">
        <f t="shared" si="23"/>
        <v>4.464570621074386E-11</v>
      </c>
      <c r="J139" s="6">
        <f t="shared" si="24"/>
        <v>4.6307778141739818E-11</v>
      </c>
      <c r="K139" s="6">
        <f t="shared" si="24"/>
        <v>4.4588828617303132E-11</v>
      </c>
      <c r="L139" s="6">
        <f t="shared" si="24"/>
        <v>4.464570621074386E-11</v>
      </c>
      <c r="M139" s="4"/>
    </row>
    <row r="140" spans="1:13" outlineLevel="1" x14ac:dyDescent="0.35">
      <c r="B140" s="282" t="s">
        <v>121</v>
      </c>
      <c r="C140" s="282" t="s">
        <v>869</v>
      </c>
      <c r="D140" s="6">
        <f t="shared" si="23"/>
        <v>2.0204350936243029E-8</v>
      </c>
      <c r="E140" s="6">
        <f t="shared" si="23"/>
        <v>1.7135963840132928E-8</v>
      </c>
      <c r="F140" s="6">
        <f t="shared" si="23"/>
        <v>1.5173585353682661E-8</v>
      </c>
      <c r="G140" s="6">
        <f t="shared" si="23"/>
        <v>2.0204350936243029E-8</v>
      </c>
      <c r="H140" s="6">
        <f t="shared" si="23"/>
        <v>1.7135963840132928E-8</v>
      </c>
      <c r="I140" s="6">
        <f t="shared" si="23"/>
        <v>1.5173585353682661E-8</v>
      </c>
      <c r="J140" s="6">
        <f t="shared" si="24"/>
        <v>4.0408701872486058E-8</v>
      </c>
      <c r="K140" s="6">
        <f t="shared" si="24"/>
        <v>3.4271927680265855E-8</v>
      </c>
      <c r="L140" s="6">
        <f t="shared" si="24"/>
        <v>3.0347170707365322E-8</v>
      </c>
      <c r="M140" s="4"/>
    </row>
    <row r="141" spans="1:13" outlineLevel="1" x14ac:dyDescent="0.35">
      <c r="B141" s="282" t="s">
        <v>797</v>
      </c>
      <c r="C141" s="282" t="s">
        <v>869</v>
      </c>
      <c r="D141" s="6">
        <f t="shared" si="23"/>
        <v>0</v>
      </c>
      <c r="E141" s="6">
        <f t="shared" si="23"/>
        <v>0</v>
      </c>
      <c r="F141" s="6">
        <f t="shared" si="23"/>
        <v>0</v>
      </c>
      <c r="G141" s="6">
        <f t="shared" si="23"/>
        <v>0</v>
      </c>
      <c r="H141" s="6">
        <f t="shared" si="23"/>
        <v>0</v>
      </c>
      <c r="I141" s="6">
        <f t="shared" si="23"/>
        <v>0</v>
      </c>
      <c r="J141" s="6">
        <f t="shared" si="24"/>
        <v>1.0623459015422626E-6</v>
      </c>
      <c r="K141" s="6">
        <f t="shared" si="24"/>
        <v>1.0217940395875535E-6</v>
      </c>
      <c r="L141" s="6">
        <f t="shared" si="24"/>
        <v>8.8479595884847442E-7</v>
      </c>
      <c r="M141" s="4"/>
    </row>
    <row r="142" spans="1:13" outlineLevel="1" x14ac:dyDescent="0.35">
      <c r="B142" s="282" t="s">
        <v>122</v>
      </c>
      <c r="C142" s="282" t="s">
        <v>869</v>
      </c>
      <c r="D142" s="6">
        <f t="shared" si="23"/>
        <v>3.0569071793358797E-6</v>
      </c>
      <c r="E142" s="6">
        <f t="shared" si="23"/>
        <v>7.5527754294433739E-7</v>
      </c>
      <c r="F142" s="6">
        <f t="shared" si="23"/>
        <v>2.9323859108561425E-7</v>
      </c>
      <c r="G142" s="6">
        <f t="shared" si="23"/>
        <v>2.3890370314513751E-6</v>
      </c>
      <c r="H142" s="6">
        <f t="shared" si="23"/>
        <v>6.236410614635081E-7</v>
      </c>
      <c r="I142" s="6">
        <f t="shared" si="23"/>
        <v>2.6734845654796375E-7</v>
      </c>
      <c r="J142" s="6">
        <f t="shared" si="24"/>
        <v>7.8595318153049712E-7</v>
      </c>
      <c r="K142" s="6">
        <f t="shared" si="24"/>
        <v>6.9492011713572287E-7</v>
      </c>
      <c r="L142" s="6">
        <f t="shared" si="24"/>
        <v>6.51938724334064E-7</v>
      </c>
      <c r="M142" s="4"/>
    </row>
    <row r="143" spans="1:13" outlineLevel="1" x14ac:dyDescent="0.35">
      <c r="B143" s="282" t="s">
        <v>123</v>
      </c>
      <c r="C143" s="282" t="s">
        <v>869</v>
      </c>
      <c r="D143" s="6">
        <f t="shared" si="23"/>
        <v>2.5015278527812082E-7</v>
      </c>
      <c r="E143" s="6">
        <f t="shared" si="23"/>
        <v>7.6366649454784624E-8</v>
      </c>
      <c r="F143" s="6">
        <f t="shared" si="23"/>
        <v>4.0809019379323722E-8</v>
      </c>
      <c r="G143" s="6">
        <f t="shared" si="23"/>
        <v>5.7535140613967811E-10</v>
      </c>
      <c r="H143" s="6">
        <f t="shared" si="23"/>
        <v>1.7564329374600463E-10</v>
      </c>
      <c r="I143" s="6">
        <f t="shared" si="23"/>
        <v>9.3860744572444594E-11</v>
      </c>
      <c r="J143" s="6">
        <f t="shared" si="24"/>
        <v>2.5015278527812082E-7</v>
      </c>
      <c r="K143" s="6">
        <f t="shared" si="24"/>
        <v>7.6366649454784624E-8</v>
      </c>
      <c r="L143" s="6">
        <f t="shared" si="24"/>
        <v>4.0809019379323722E-8</v>
      </c>
      <c r="M143" s="4"/>
    </row>
    <row r="144" spans="1:13" outlineLevel="1" x14ac:dyDescent="0.35">
      <c r="B144" s="282" t="s">
        <v>124</v>
      </c>
      <c r="C144" s="282" t="s">
        <v>869</v>
      </c>
      <c r="D144" s="26">
        <f>-1000*(0.0000000028+0.0000000000000765)</f>
        <v>-2.8000765E-6</v>
      </c>
      <c r="E144" s="26">
        <f t="shared" ref="E144:L144" si="25">-1000*(0.0000000028+0.0000000000000765)</f>
        <v>-2.8000765E-6</v>
      </c>
      <c r="F144" s="26">
        <f t="shared" si="25"/>
        <v>-2.8000765E-6</v>
      </c>
      <c r="G144" s="26">
        <f t="shared" si="25"/>
        <v>-2.8000765E-6</v>
      </c>
      <c r="H144" s="26">
        <f t="shared" si="25"/>
        <v>-2.8000765E-6</v>
      </c>
      <c r="I144" s="26">
        <f t="shared" si="25"/>
        <v>-2.8000765E-6</v>
      </c>
      <c r="J144" s="26">
        <f t="shared" si="25"/>
        <v>-2.8000765E-6</v>
      </c>
      <c r="K144" s="26">
        <f t="shared" si="25"/>
        <v>-2.8000765E-6</v>
      </c>
      <c r="L144" s="26">
        <f t="shared" si="25"/>
        <v>-2.8000765E-6</v>
      </c>
      <c r="M144" s="4"/>
    </row>
    <row r="145" spans="1:23" outlineLevel="1" x14ac:dyDescent="0.35">
      <c r="B145" s="282" t="s">
        <v>137</v>
      </c>
      <c r="C145" s="282" t="s">
        <v>869</v>
      </c>
      <c r="D145" s="6">
        <f>SUM(D136:D144)</f>
        <v>6.3166920212982782E-7</v>
      </c>
      <c r="E145" s="6">
        <f t="shared" ref="E145:L145" si="26">SUM(E136:E144)</f>
        <v>-1.8528455030102788E-6</v>
      </c>
      <c r="F145" s="6">
        <f t="shared" si="26"/>
        <v>-2.3685338159613288E-6</v>
      </c>
      <c r="G145" s="6">
        <f t="shared" si="26"/>
        <v>-2.8577837962665817E-7</v>
      </c>
      <c r="H145" s="6">
        <f t="shared" si="26"/>
        <v>-2.0606729906521468E-6</v>
      </c>
      <c r="I145" s="6">
        <f t="shared" si="26"/>
        <v>-2.4351391091337309E-6</v>
      </c>
      <c r="J145" s="6">
        <f t="shared" si="26"/>
        <v>-4.7268875221697173E-7</v>
      </c>
      <c r="K145" s="6">
        <f t="shared" si="26"/>
        <v>-7.9584988596164209E-7</v>
      </c>
      <c r="L145" s="6">
        <f t="shared" si="26"/>
        <v>-1.0467693241008685E-6</v>
      </c>
      <c r="M145" s="4"/>
    </row>
    <row r="146" spans="1:23" outlineLevel="1" x14ac:dyDescent="0.35">
      <c r="D146" s="6"/>
      <c r="E146" s="6"/>
      <c r="F146" s="6"/>
      <c r="G146" s="6"/>
      <c r="H146" s="6"/>
      <c r="I146" s="6"/>
      <c r="J146" s="6"/>
      <c r="K146" s="6"/>
      <c r="L146" s="6"/>
      <c r="M146" s="4"/>
      <c r="T146" s="282"/>
    </row>
    <row r="147" spans="1:23" s="33" customFormat="1" ht="15.5" x14ac:dyDescent="0.35">
      <c r="A147" s="51" t="s">
        <v>505</v>
      </c>
      <c r="B147" s="4"/>
      <c r="C147" s="4"/>
      <c r="D147" s="4"/>
      <c r="E147" s="4"/>
      <c r="F147" s="4"/>
      <c r="G147" s="4"/>
      <c r="H147" s="4"/>
      <c r="I147" s="4"/>
      <c r="J147" s="4"/>
      <c r="K147" s="4"/>
      <c r="L147" s="4"/>
      <c r="M147" s="4"/>
      <c r="N147" s="282"/>
      <c r="O147" s="282"/>
      <c r="P147" s="282"/>
      <c r="Q147" s="282"/>
      <c r="R147" s="282"/>
      <c r="S147" s="282"/>
      <c r="T147" s="282"/>
      <c r="U147" s="282"/>
      <c r="V147" s="282"/>
      <c r="W147" s="282"/>
    </row>
    <row r="148" spans="1:23" outlineLevel="1" x14ac:dyDescent="0.35">
      <c r="A148" s="15" t="s">
        <v>507</v>
      </c>
      <c r="B148" s="30"/>
      <c r="C148" s="140" t="s">
        <v>180</v>
      </c>
      <c r="D148" s="6" t="s">
        <v>889</v>
      </c>
      <c r="E148" s="6" t="s">
        <v>891</v>
      </c>
      <c r="F148" s="6" t="s">
        <v>890</v>
      </c>
      <c r="G148" s="6" t="s">
        <v>892</v>
      </c>
      <c r="H148" s="6" t="s">
        <v>893</v>
      </c>
      <c r="I148" s="6" t="s">
        <v>894</v>
      </c>
      <c r="J148" s="6" t="s">
        <v>896</v>
      </c>
      <c r="K148" s="6" t="s">
        <v>897</v>
      </c>
      <c r="L148" s="6" t="s">
        <v>895</v>
      </c>
      <c r="M148" s="4"/>
      <c r="T148" s="282"/>
    </row>
    <row r="149" spans="1:23" outlineLevel="1" x14ac:dyDescent="0.35">
      <c r="A149" s="141" t="s">
        <v>508</v>
      </c>
      <c r="B149" s="282" t="s">
        <v>117</v>
      </c>
      <c r="C149" s="282" t="s">
        <v>871</v>
      </c>
      <c r="D149" s="6">
        <f>'Results ReCiPe (H) - ESD'!B449</f>
        <v>7.7870133042031407E-6</v>
      </c>
      <c r="E149" s="6">
        <f>'Results ReCiPe (H) - ESD'!C449</f>
        <v>7.3386107686037223E-6</v>
      </c>
      <c r="F149" s="6">
        <f>'Results ReCiPe (H) - ESD'!D449</f>
        <v>6.090764456684611E-6</v>
      </c>
      <c r="G149" s="6">
        <f>'Results ReCiPe (H) - ESD'!E449</f>
        <v>7.7870133042031407E-6</v>
      </c>
      <c r="H149" s="6">
        <f>'Results ReCiPe (H) - ESD'!F449</f>
        <v>7.3386107686037223E-6</v>
      </c>
      <c r="I149" s="6">
        <f>'Results ReCiPe (H) - ESD'!G449</f>
        <v>6.090764456684611E-6</v>
      </c>
      <c r="J149" s="6">
        <f>'Results ReCiPe (H) - ESD'!H449</f>
        <v>7.198683258810344E-6</v>
      </c>
      <c r="K149" s="6">
        <f>'Results ReCiPe (H) - ESD'!I449</f>
        <v>6.7545982227039456E-6</v>
      </c>
      <c r="L149" s="6">
        <f>'Results ReCiPe (H) - ESD'!J449</f>
        <v>5.5192152590708704E-6</v>
      </c>
      <c r="M149" s="4"/>
    </row>
    <row r="150" spans="1:23" outlineLevel="1" x14ac:dyDescent="0.35">
      <c r="B150" s="282" t="s">
        <v>118</v>
      </c>
      <c r="C150" s="282" t="s">
        <v>871</v>
      </c>
      <c r="D150" s="6">
        <f>'Results ReCiPe (H) - ESD'!B450</f>
        <v>4.5448293492357029E-7</v>
      </c>
      <c r="E150" s="6">
        <f>'Results ReCiPe (H) - ESD'!C450</f>
        <v>4.3063190758316632E-7</v>
      </c>
      <c r="F150" s="6">
        <f>'Results ReCiPe (H) - ESD'!D450</f>
        <v>3.9146385309138399E-7</v>
      </c>
      <c r="G150" s="6">
        <f>'Results ReCiPe (H) - ESD'!E450</f>
        <v>4.5448293492357029E-7</v>
      </c>
      <c r="H150" s="6">
        <f>'Results ReCiPe (H) - ESD'!F450</f>
        <v>4.3063190758316632E-7</v>
      </c>
      <c r="I150" s="6">
        <f>'Results ReCiPe (H) - ESD'!G450</f>
        <v>3.9146385309138399E-7</v>
      </c>
      <c r="J150" s="6">
        <f>'Results ReCiPe (H) - ESD'!H450</f>
        <v>2.2724146746178515E-7</v>
      </c>
      <c r="K150" s="6">
        <f>'Results ReCiPe (H) - ESD'!I450</f>
        <v>2.1531595379158316E-7</v>
      </c>
      <c r="L150" s="6">
        <f>'Results ReCiPe (H) - ESD'!J450</f>
        <v>1.9573192654569199E-7</v>
      </c>
      <c r="M150" s="4"/>
    </row>
    <row r="151" spans="1:23" outlineLevel="1" x14ac:dyDescent="0.35">
      <c r="B151" s="282" t="s">
        <v>119</v>
      </c>
      <c r="C151" s="282" t="s">
        <v>871</v>
      </c>
      <c r="D151" s="6">
        <f>'Results ReCiPe (H) - ESD'!B451</f>
        <v>1.133100649886742E-7</v>
      </c>
      <c r="E151" s="6">
        <f>'Results ReCiPe (H) - ESD'!C451</f>
        <v>1.03257477561019E-7</v>
      </c>
      <c r="F151" s="6">
        <f>'Results ReCiPe (H) - ESD'!D451</f>
        <v>9.9919091331168173E-8</v>
      </c>
      <c r="G151" s="6">
        <f>'Results ReCiPe (H) - ESD'!E451</f>
        <v>1.133100649886742E-7</v>
      </c>
      <c r="H151" s="6">
        <f>'Results ReCiPe (H) - ESD'!F451</f>
        <v>1.03257477561019E-7</v>
      </c>
      <c r="I151" s="6">
        <f>'Results ReCiPe (H) - ESD'!G451</f>
        <v>9.9919091331168173E-8</v>
      </c>
      <c r="J151" s="6">
        <f>'Results ReCiPe (H) - ESD'!H451</f>
        <v>1.133100649886742E-7</v>
      </c>
      <c r="K151" s="6">
        <f>'Results ReCiPe (H) - ESD'!I451</f>
        <v>1.03257477561019E-7</v>
      </c>
      <c r="L151" s="6">
        <f>'Results ReCiPe (H) - ESD'!J451</f>
        <v>9.9919091331168173E-8</v>
      </c>
      <c r="M151" s="4"/>
    </row>
    <row r="152" spans="1:23" outlineLevel="1" x14ac:dyDescent="0.35">
      <c r="B152" s="282" t="s">
        <v>120</v>
      </c>
      <c r="C152" s="282" t="s">
        <v>871</v>
      </c>
      <c r="D152" s="6">
        <f>'Results ReCiPe (H) - ESD'!B452</f>
        <v>3.7046222513391854E-9</v>
      </c>
      <c r="E152" s="6">
        <f>'Results ReCiPe (H) - ESD'!C452</f>
        <v>3.5671062893842508E-9</v>
      </c>
      <c r="F152" s="6">
        <f>'Results ReCiPe (H) - ESD'!D452</f>
        <v>3.5716564968595089E-9</v>
      </c>
      <c r="G152" s="6">
        <f>'Results ReCiPe (H) - ESD'!E452</f>
        <v>3.7046222513391854E-9</v>
      </c>
      <c r="H152" s="6">
        <f>'Results ReCiPe (H) - ESD'!F452</f>
        <v>3.5671062893842508E-9</v>
      </c>
      <c r="I152" s="6">
        <f>'Results ReCiPe (H) - ESD'!G452</f>
        <v>3.5716564968595089E-9</v>
      </c>
      <c r="J152" s="6">
        <f>'Results ReCiPe (H) - ESD'!H452</f>
        <v>1.8523111256695927E-9</v>
      </c>
      <c r="K152" s="6">
        <f>'Results ReCiPe (H) - ESD'!I452</f>
        <v>1.7835531446921254E-9</v>
      </c>
      <c r="L152" s="6">
        <f>'Results ReCiPe (H) - ESD'!J452</f>
        <v>1.7858282484297544E-9</v>
      </c>
      <c r="M152" s="4"/>
    </row>
    <row r="153" spans="1:23" outlineLevel="1" x14ac:dyDescent="0.35">
      <c r="B153" s="282" t="s">
        <v>121</v>
      </c>
      <c r="C153" s="282" t="s">
        <v>871</v>
      </c>
      <c r="D153" s="6">
        <f>'Results ReCiPe (H) - ESD'!B453</f>
        <v>1.6163480748994423E-6</v>
      </c>
      <c r="E153" s="6">
        <f>'Results ReCiPe (H) - ESD'!C453</f>
        <v>1.3708771072106342E-6</v>
      </c>
      <c r="F153" s="6">
        <f>'Results ReCiPe (H) - ESD'!D453</f>
        <v>1.2138868282946129E-6</v>
      </c>
      <c r="G153" s="6">
        <f>'Results ReCiPe (H) - ESD'!E453</f>
        <v>1.6163480748994423E-6</v>
      </c>
      <c r="H153" s="6">
        <f>'Results ReCiPe (H) - ESD'!F453</f>
        <v>1.3708771072106342E-6</v>
      </c>
      <c r="I153" s="6">
        <f>'Results ReCiPe (H) - ESD'!G453</f>
        <v>1.2138868282946129E-6</v>
      </c>
      <c r="J153" s="6">
        <f>'Results ReCiPe (H) - ESD'!H453</f>
        <v>1.6163480748994423E-6</v>
      </c>
      <c r="K153" s="6">
        <f>'Results ReCiPe (H) - ESD'!I453</f>
        <v>1.3708771072106342E-6</v>
      </c>
      <c r="L153" s="6">
        <f>'Results ReCiPe (H) - ESD'!J453</f>
        <v>1.2138868282946129E-6</v>
      </c>
      <c r="M153" s="4"/>
    </row>
    <row r="154" spans="1:23" outlineLevel="1" x14ac:dyDescent="0.35">
      <c r="B154" s="282" t="s">
        <v>797</v>
      </c>
      <c r="C154" s="282" t="s">
        <v>871</v>
      </c>
      <c r="D154" s="6">
        <f>'Results ReCiPe (H) - ESD'!B454</f>
        <v>0</v>
      </c>
      <c r="E154" s="6">
        <f>'Results ReCiPe (H) - ESD'!C454</f>
        <v>0</v>
      </c>
      <c r="F154" s="6">
        <f>'Results ReCiPe (H) - ESD'!D454</f>
        <v>0</v>
      </c>
      <c r="G154" s="6">
        <f>'Results ReCiPe (H) - ESD'!E454</f>
        <v>0</v>
      </c>
      <c r="H154" s="6">
        <f>'Results ReCiPe (H) - ESD'!F454</f>
        <v>0</v>
      </c>
      <c r="I154" s="6">
        <f>'Results ReCiPe (H) - ESD'!G454</f>
        <v>0</v>
      </c>
      <c r="J154" s="6">
        <f>'Results ReCiPe (H) - ESD'!H454</f>
        <v>4.2493836061690502E-5</v>
      </c>
      <c r="K154" s="6">
        <f>'Results ReCiPe (H) - ESD'!I454</f>
        <v>4.0871761583502136E-5</v>
      </c>
      <c r="L154" s="6">
        <f>'Results ReCiPe (H) - ESD'!J454</f>
        <v>3.5391838353938971E-5</v>
      </c>
      <c r="M154" s="4"/>
    </row>
    <row r="155" spans="1:23" outlineLevel="1" x14ac:dyDescent="0.35">
      <c r="B155" s="282" t="s">
        <v>122</v>
      </c>
      <c r="C155" s="282" t="s">
        <v>871</v>
      </c>
      <c r="D155" s="6">
        <f>'Results ReCiPe (H) - ESD'!B455</f>
        <v>2.445525743468704E-4</v>
      </c>
      <c r="E155" s="6">
        <f>'Results ReCiPe (H) - ESD'!C455</f>
        <v>6.0422203435546998E-5</v>
      </c>
      <c r="F155" s="6">
        <f>'Results ReCiPe (H) - ESD'!D455</f>
        <v>2.3459087286849139E-5</v>
      </c>
      <c r="G155" s="6">
        <f>'Results ReCiPe (H) - ESD'!E455</f>
        <v>1.9112296251611E-4</v>
      </c>
      <c r="H155" s="6">
        <f>'Results ReCiPe (H) - ESD'!F455</f>
        <v>4.9891284917080645E-5</v>
      </c>
      <c r="I155" s="6">
        <f>'Results ReCiPe (H) - ESD'!G455</f>
        <v>2.1387876523837101E-5</v>
      </c>
      <c r="J155" s="6">
        <f>'Results ReCiPe (H) - ESD'!H455</f>
        <v>3.1438127261219879E-5</v>
      </c>
      <c r="K155" s="6">
        <f>'Results ReCiPe (H) - ESD'!I455</f>
        <v>2.7796804685428912E-5</v>
      </c>
      <c r="L155" s="6">
        <f>'Results ReCiPe (H) - ESD'!J455</f>
        <v>2.6077548973362558E-5</v>
      </c>
      <c r="M155" s="4"/>
    </row>
    <row r="156" spans="1:23" outlineLevel="1" x14ac:dyDescent="0.35">
      <c r="B156" s="282" t="s">
        <v>123</v>
      </c>
      <c r="C156" s="282" t="s">
        <v>871</v>
      </c>
      <c r="D156" s="6">
        <f>'Results ReCiPe (H) - ESD'!B456</f>
        <v>2.0012222822249669E-5</v>
      </c>
      <c r="E156" s="6">
        <f>'Results ReCiPe (H) - ESD'!C456</f>
        <v>6.1093319563827712E-6</v>
      </c>
      <c r="F156" s="6">
        <f>'Results ReCiPe (H) - ESD'!D456</f>
        <v>3.2647215503458976E-6</v>
      </c>
      <c r="G156" s="6">
        <f>'Results ReCiPe (H) - ESD'!E456</f>
        <v>4.6028112491174246E-8</v>
      </c>
      <c r="H156" s="6">
        <f>'Results ReCiPe (H) - ESD'!F456</f>
        <v>1.4051463499680371E-8</v>
      </c>
      <c r="I156" s="6">
        <f>'Results ReCiPe (H) - ESD'!G456</f>
        <v>7.5088595657955667E-9</v>
      </c>
      <c r="J156" s="6">
        <f>'Results ReCiPe (H) - ESD'!H456</f>
        <v>1.0006111411124835E-5</v>
      </c>
      <c r="K156" s="6">
        <f>'Results ReCiPe (H) - ESD'!I456</f>
        <v>3.0546659781913856E-6</v>
      </c>
      <c r="L156" s="6">
        <f>'Results ReCiPe (H) - ESD'!J456</f>
        <v>1.6323607751729488E-6</v>
      </c>
      <c r="M156" s="4"/>
    </row>
    <row r="157" spans="1:23" outlineLevel="1" x14ac:dyDescent="0.35">
      <c r="B157" s="282" t="s">
        <v>124</v>
      </c>
      <c r="C157" s="282" t="s">
        <v>871</v>
      </c>
      <c r="D157" s="6">
        <f>'Results ReCiPe (H) - ESD'!B457</f>
        <v>-2.8000764999999987E-4</v>
      </c>
      <c r="E157" s="6">
        <f>'Results ReCiPe (H) - ESD'!C457</f>
        <v>-2.8000764999999987E-4</v>
      </c>
      <c r="F157" s="6">
        <f>'Results ReCiPe (H) - ESD'!D457</f>
        <v>-2.8000764999999987E-4</v>
      </c>
      <c r="G157" s="6">
        <f>'Results ReCiPe (H) - ESD'!E457</f>
        <v>-2.8000764999999987E-4</v>
      </c>
      <c r="H157" s="6">
        <f>'Results ReCiPe (H) - ESD'!F457</f>
        <v>-2.8000764999999987E-4</v>
      </c>
      <c r="I157" s="6">
        <f>'Results ReCiPe (H) - ESD'!G457</f>
        <v>-2.8000764999999987E-4</v>
      </c>
      <c r="J157" s="6">
        <f>'Results ReCiPe (H) - ESD'!H457</f>
        <v>-1.4000382499999994E-4</v>
      </c>
      <c r="K157" s="6">
        <f>'Results ReCiPe (H) - ESD'!I457</f>
        <v>-1.4000382499999994E-4</v>
      </c>
      <c r="L157" s="6">
        <f>'Results ReCiPe (H) - ESD'!J457</f>
        <v>-1.4000382499999994E-4</v>
      </c>
      <c r="M157" s="4"/>
    </row>
    <row r="158" spans="1:23" outlineLevel="1" x14ac:dyDescent="0.35">
      <c r="B158" s="282" t="s">
        <v>137</v>
      </c>
      <c r="C158" s="282" t="s">
        <v>871</v>
      </c>
      <c r="D158" s="6">
        <f>SUM(D148:D157)</f>
        <v>-5.4679938296136503E-6</v>
      </c>
      <c r="E158" s="6">
        <f t="shared" ref="E158:L158" si="27">SUM(E148:E157)</f>
        <v>-2.042291702408222E-4</v>
      </c>
      <c r="F158" s="6">
        <f t="shared" si="27"/>
        <v>-2.4548423527690622E-4</v>
      </c>
      <c r="G158" s="6">
        <f t="shared" si="27"/>
        <v>-7.8863800370132536E-5</v>
      </c>
      <c r="H158" s="6">
        <f t="shared" si="27"/>
        <v>-2.2085536925217162E-4</v>
      </c>
      <c r="I158" s="6">
        <f t="shared" si="27"/>
        <v>-2.5081265873069835E-4</v>
      </c>
      <c r="J158" s="6">
        <f t="shared" si="27"/>
        <v>-4.69083150886788E-5</v>
      </c>
      <c r="K158" s="6">
        <f t="shared" si="27"/>
        <v>-5.9834760438465625E-5</v>
      </c>
      <c r="L158" s="6">
        <f t="shared" si="27"/>
        <v>-6.9871537964034684E-5</v>
      </c>
      <c r="M158" s="4"/>
    </row>
    <row r="159" spans="1:23" outlineLevel="1" x14ac:dyDescent="0.35">
      <c r="M159" s="4"/>
    </row>
    <row r="160" spans="1:23" outlineLevel="1" x14ac:dyDescent="0.35">
      <c r="A160" s="15" t="s">
        <v>509</v>
      </c>
      <c r="B160" s="30"/>
      <c r="C160" s="140" t="s">
        <v>180</v>
      </c>
      <c r="D160" s="6" t="s">
        <v>889</v>
      </c>
      <c r="E160" s="6" t="s">
        <v>891</v>
      </c>
      <c r="F160" s="6" t="s">
        <v>890</v>
      </c>
      <c r="G160" s="6" t="s">
        <v>892</v>
      </c>
      <c r="H160" s="6" t="s">
        <v>893</v>
      </c>
      <c r="I160" s="6" t="s">
        <v>894</v>
      </c>
      <c r="J160" s="6" t="s">
        <v>896</v>
      </c>
      <c r="K160" s="6" t="s">
        <v>897</v>
      </c>
      <c r="L160" s="6" t="s">
        <v>895</v>
      </c>
      <c r="M160" s="4"/>
    </row>
    <row r="161" spans="1:13" outlineLevel="1" x14ac:dyDescent="0.35">
      <c r="A161" s="141" t="s">
        <v>803</v>
      </c>
      <c r="B161" s="282" t="s">
        <v>117</v>
      </c>
      <c r="C161" s="282" t="s">
        <v>869</v>
      </c>
      <c r="D161" s="6">
        <f t="shared" ref="D161:I169" si="28">D149/100</f>
        <v>7.7870133042031404E-8</v>
      </c>
      <c r="E161" s="6">
        <f t="shared" si="28"/>
        <v>7.338610768603722E-8</v>
      </c>
      <c r="F161" s="6">
        <f t="shared" si="28"/>
        <v>6.0907644566846106E-8</v>
      </c>
      <c r="G161" s="6">
        <f t="shared" si="28"/>
        <v>7.7870133042031404E-8</v>
      </c>
      <c r="H161" s="6">
        <f t="shared" si="28"/>
        <v>7.338610768603722E-8</v>
      </c>
      <c r="I161" s="6">
        <f t="shared" si="28"/>
        <v>6.0907644566846106E-8</v>
      </c>
      <c r="J161" s="6">
        <f>J149/50</f>
        <v>1.4397366517620688E-7</v>
      </c>
      <c r="K161" s="6">
        <f>K149/50</f>
        <v>1.3509196445407891E-7</v>
      </c>
      <c r="L161" s="6">
        <f>L149/50</f>
        <v>1.1038430518141741E-7</v>
      </c>
      <c r="M161" s="4"/>
    </row>
    <row r="162" spans="1:13" outlineLevel="1" x14ac:dyDescent="0.35">
      <c r="A162" s="141" t="s">
        <v>804</v>
      </c>
      <c r="B162" s="282" t="s">
        <v>118</v>
      </c>
      <c r="C162" s="282" t="s">
        <v>869</v>
      </c>
      <c r="D162" s="6">
        <f t="shared" si="28"/>
        <v>4.544829349235703E-9</v>
      </c>
      <c r="E162" s="6">
        <f t="shared" si="28"/>
        <v>4.3063190758316633E-9</v>
      </c>
      <c r="F162" s="6">
        <f t="shared" si="28"/>
        <v>3.9146385309138401E-9</v>
      </c>
      <c r="G162" s="6">
        <f t="shared" si="28"/>
        <v>4.544829349235703E-9</v>
      </c>
      <c r="H162" s="6">
        <f t="shared" si="28"/>
        <v>4.3063190758316633E-9</v>
      </c>
      <c r="I162" s="6">
        <f t="shared" si="28"/>
        <v>3.9146385309138401E-9</v>
      </c>
      <c r="J162" s="6">
        <f t="shared" ref="J162:L169" si="29">J150/50</f>
        <v>4.544829349235703E-9</v>
      </c>
      <c r="K162" s="6">
        <f t="shared" si="29"/>
        <v>4.3063190758316633E-9</v>
      </c>
      <c r="L162" s="6">
        <f t="shared" si="29"/>
        <v>3.9146385309138401E-9</v>
      </c>
      <c r="M162" s="4"/>
    </row>
    <row r="163" spans="1:13" outlineLevel="1" x14ac:dyDescent="0.35">
      <c r="B163" s="282" t="s">
        <v>119</v>
      </c>
      <c r="C163" s="282" t="s">
        <v>869</v>
      </c>
      <c r="D163" s="6">
        <f t="shared" si="28"/>
        <v>1.133100649886742E-9</v>
      </c>
      <c r="E163" s="6">
        <f t="shared" si="28"/>
        <v>1.03257477561019E-9</v>
      </c>
      <c r="F163" s="6">
        <f t="shared" si="28"/>
        <v>9.9919091331168175E-10</v>
      </c>
      <c r="G163" s="6">
        <f t="shared" si="28"/>
        <v>1.133100649886742E-9</v>
      </c>
      <c r="H163" s="6">
        <f t="shared" si="28"/>
        <v>1.03257477561019E-9</v>
      </c>
      <c r="I163" s="6">
        <f t="shared" si="28"/>
        <v>9.9919091331168175E-10</v>
      </c>
      <c r="J163" s="6">
        <f t="shared" si="29"/>
        <v>2.2662012997734839E-9</v>
      </c>
      <c r="K163" s="6">
        <f t="shared" si="29"/>
        <v>2.06514955122038E-9</v>
      </c>
      <c r="L163" s="6">
        <f t="shared" si="29"/>
        <v>1.9983818266233635E-9</v>
      </c>
      <c r="M163" s="4"/>
    </row>
    <row r="164" spans="1:13" outlineLevel="1" x14ac:dyDescent="0.35">
      <c r="B164" s="282" t="s">
        <v>120</v>
      </c>
      <c r="C164" s="282" t="s">
        <v>869</v>
      </c>
      <c r="D164" s="6">
        <f t="shared" si="28"/>
        <v>3.7046222513391852E-11</v>
      </c>
      <c r="E164" s="6">
        <f t="shared" si="28"/>
        <v>3.5671062893842507E-11</v>
      </c>
      <c r="F164" s="6">
        <f t="shared" si="28"/>
        <v>3.5716564968595088E-11</v>
      </c>
      <c r="G164" s="6">
        <f t="shared" si="28"/>
        <v>3.7046222513391852E-11</v>
      </c>
      <c r="H164" s="6">
        <f t="shared" si="28"/>
        <v>3.5671062893842507E-11</v>
      </c>
      <c r="I164" s="6">
        <f t="shared" si="28"/>
        <v>3.5716564968595088E-11</v>
      </c>
      <c r="J164" s="6">
        <f t="shared" si="29"/>
        <v>3.7046222513391852E-11</v>
      </c>
      <c r="K164" s="6">
        <f t="shared" si="29"/>
        <v>3.5671062893842507E-11</v>
      </c>
      <c r="L164" s="6">
        <f t="shared" si="29"/>
        <v>3.5716564968595088E-11</v>
      </c>
      <c r="M164" s="4"/>
    </row>
    <row r="165" spans="1:13" outlineLevel="1" x14ac:dyDescent="0.35">
      <c r="B165" s="282" t="s">
        <v>121</v>
      </c>
      <c r="C165" s="282" t="s">
        <v>869</v>
      </c>
      <c r="D165" s="6">
        <f t="shared" si="28"/>
        <v>1.6163480748994424E-8</v>
      </c>
      <c r="E165" s="6">
        <f t="shared" si="28"/>
        <v>1.3708771072106342E-8</v>
      </c>
      <c r="F165" s="6">
        <f t="shared" si="28"/>
        <v>1.213886828294613E-8</v>
      </c>
      <c r="G165" s="6">
        <f t="shared" si="28"/>
        <v>1.6163480748994424E-8</v>
      </c>
      <c r="H165" s="6">
        <f t="shared" si="28"/>
        <v>1.3708771072106342E-8</v>
      </c>
      <c r="I165" s="6">
        <f t="shared" si="28"/>
        <v>1.213886828294613E-8</v>
      </c>
      <c r="J165" s="6">
        <f t="shared" si="29"/>
        <v>3.2326961497988848E-8</v>
      </c>
      <c r="K165" s="6">
        <f t="shared" si="29"/>
        <v>2.7417542144212684E-8</v>
      </c>
      <c r="L165" s="6">
        <f t="shared" si="29"/>
        <v>2.4277736565892259E-8</v>
      </c>
      <c r="M165" s="4"/>
    </row>
    <row r="166" spans="1:13" outlineLevel="1" x14ac:dyDescent="0.35">
      <c r="B166" s="282" t="s">
        <v>797</v>
      </c>
      <c r="C166" s="282" t="s">
        <v>869</v>
      </c>
      <c r="D166" s="6">
        <f t="shared" si="28"/>
        <v>0</v>
      </c>
      <c r="E166" s="6">
        <f t="shared" si="28"/>
        <v>0</v>
      </c>
      <c r="F166" s="6">
        <f t="shared" si="28"/>
        <v>0</v>
      </c>
      <c r="G166" s="6">
        <f t="shared" si="28"/>
        <v>0</v>
      </c>
      <c r="H166" s="6">
        <f t="shared" si="28"/>
        <v>0</v>
      </c>
      <c r="I166" s="6">
        <f t="shared" si="28"/>
        <v>0</v>
      </c>
      <c r="J166" s="6">
        <f t="shared" si="29"/>
        <v>8.4987672123381005E-7</v>
      </c>
      <c r="K166" s="6">
        <f t="shared" si="29"/>
        <v>8.1743523167004277E-7</v>
      </c>
      <c r="L166" s="6">
        <f t="shared" si="29"/>
        <v>7.0783676707877945E-7</v>
      </c>
      <c r="M166" s="4"/>
    </row>
    <row r="167" spans="1:13" outlineLevel="1" x14ac:dyDescent="0.35">
      <c r="B167" s="282" t="s">
        <v>122</v>
      </c>
      <c r="C167" s="282" t="s">
        <v>869</v>
      </c>
      <c r="D167" s="6">
        <f t="shared" si="28"/>
        <v>2.445525743468704E-6</v>
      </c>
      <c r="E167" s="6">
        <f t="shared" si="28"/>
        <v>6.0422203435546994E-7</v>
      </c>
      <c r="F167" s="6">
        <f t="shared" si="28"/>
        <v>2.3459087286849139E-7</v>
      </c>
      <c r="G167" s="6">
        <f t="shared" si="28"/>
        <v>1.9112296251611E-6</v>
      </c>
      <c r="H167" s="6">
        <f t="shared" si="28"/>
        <v>4.9891284917080644E-7</v>
      </c>
      <c r="I167" s="6">
        <f t="shared" si="28"/>
        <v>2.1387876523837101E-7</v>
      </c>
      <c r="J167" s="6">
        <f t="shared" si="29"/>
        <v>6.2876254522439755E-7</v>
      </c>
      <c r="K167" s="6">
        <f t="shared" si="29"/>
        <v>5.5593609370857821E-7</v>
      </c>
      <c r="L167" s="6">
        <f t="shared" si="29"/>
        <v>5.2155097946725118E-7</v>
      </c>
      <c r="M167" s="4"/>
    </row>
    <row r="168" spans="1:13" outlineLevel="1" x14ac:dyDescent="0.35">
      <c r="B168" s="282" t="s">
        <v>123</v>
      </c>
      <c r="C168" s="282" t="s">
        <v>869</v>
      </c>
      <c r="D168" s="6">
        <f t="shared" si="28"/>
        <v>2.0012222822249669E-7</v>
      </c>
      <c r="E168" s="6">
        <f t="shared" si="28"/>
        <v>6.1093319563827715E-8</v>
      </c>
      <c r="F168" s="6">
        <f t="shared" si="28"/>
        <v>3.2647215503458974E-8</v>
      </c>
      <c r="G168" s="6">
        <f t="shared" si="28"/>
        <v>4.6028112491174245E-10</v>
      </c>
      <c r="H168" s="6">
        <f t="shared" si="28"/>
        <v>1.405146349968037E-10</v>
      </c>
      <c r="I168" s="6">
        <f t="shared" si="28"/>
        <v>7.5088595657955673E-11</v>
      </c>
      <c r="J168" s="6">
        <f t="shared" si="29"/>
        <v>2.0012222822249669E-7</v>
      </c>
      <c r="K168" s="6">
        <f t="shared" si="29"/>
        <v>6.1093319563827715E-8</v>
      </c>
      <c r="L168" s="6">
        <f t="shared" si="29"/>
        <v>3.2647215503458974E-8</v>
      </c>
      <c r="M168" s="4"/>
    </row>
    <row r="169" spans="1:13" outlineLevel="1" x14ac:dyDescent="0.35">
      <c r="B169" s="282" t="s">
        <v>124</v>
      </c>
      <c r="C169" s="282" t="s">
        <v>869</v>
      </c>
      <c r="D169" s="6">
        <f t="shared" si="28"/>
        <v>-2.8000764999999987E-6</v>
      </c>
      <c r="E169" s="6">
        <f t="shared" si="28"/>
        <v>-2.8000764999999987E-6</v>
      </c>
      <c r="F169" s="6">
        <f t="shared" si="28"/>
        <v>-2.8000764999999987E-6</v>
      </c>
      <c r="G169" s="6">
        <f t="shared" si="28"/>
        <v>-2.8000764999999987E-6</v>
      </c>
      <c r="H169" s="6">
        <f t="shared" si="28"/>
        <v>-2.8000764999999987E-6</v>
      </c>
      <c r="I169" s="6">
        <f t="shared" si="28"/>
        <v>-2.8000764999999987E-6</v>
      </c>
      <c r="J169" s="6">
        <f t="shared" si="29"/>
        <v>-2.8000764999999987E-6</v>
      </c>
      <c r="K169" s="6">
        <f t="shared" si="29"/>
        <v>-2.8000764999999987E-6</v>
      </c>
      <c r="L169" s="6">
        <f t="shared" si="29"/>
        <v>-2.8000764999999987E-6</v>
      </c>
      <c r="M169" s="4"/>
    </row>
    <row r="170" spans="1:13" outlineLevel="1" x14ac:dyDescent="0.35">
      <c r="B170" s="282" t="s">
        <v>137</v>
      </c>
      <c r="C170" s="282" t="s">
        <v>869</v>
      </c>
      <c r="D170" s="6">
        <f>SUM(D161:D169)</f>
        <v>-5.4679938296136215E-8</v>
      </c>
      <c r="E170" s="6">
        <f t="shared" ref="E170:L170" si="30">SUM(E161:E169)</f>
        <v>-2.0422917024082217E-6</v>
      </c>
      <c r="F170" s="6">
        <f t="shared" si="30"/>
        <v>-2.454842352769062E-6</v>
      </c>
      <c r="G170" s="6">
        <f t="shared" si="30"/>
        <v>-7.8863800370132534E-7</v>
      </c>
      <c r="H170" s="6">
        <f t="shared" si="30"/>
        <v>-2.208553692521716E-6</v>
      </c>
      <c r="I170" s="6">
        <f t="shared" si="30"/>
        <v>-2.5081265873069835E-6</v>
      </c>
      <c r="J170" s="6">
        <f t="shared" si="30"/>
        <v>-9.3816630177357636E-7</v>
      </c>
      <c r="K170" s="6">
        <f t="shared" si="30"/>
        <v>-1.1966952087693127E-6</v>
      </c>
      <c r="L170" s="6">
        <f t="shared" si="30"/>
        <v>-1.3974307592806936E-6</v>
      </c>
      <c r="M170" s="4"/>
    </row>
    <row r="171" spans="1:13" outlineLevel="1" x14ac:dyDescent="0.35">
      <c r="M171" s="4"/>
    </row>
    <row r="172" spans="1:13" outlineLevel="1" x14ac:dyDescent="0.35">
      <c r="A172" s="15" t="s">
        <v>509</v>
      </c>
      <c r="B172" s="30"/>
      <c r="C172" s="140" t="s">
        <v>180</v>
      </c>
      <c r="D172" s="6" t="s">
        <v>889</v>
      </c>
      <c r="E172" s="6" t="s">
        <v>891</v>
      </c>
      <c r="F172" s="6" t="s">
        <v>890</v>
      </c>
      <c r="G172" s="6" t="s">
        <v>892</v>
      </c>
      <c r="H172" s="6" t="s">
        <v>893</v>
      </c>
      <c r="I172" s="6" t="s">
        <v>894</v>
      </c>
      <c r="J172" s="6" t="s">
        <v>896</v>
      </c>
      <c r="K172" s="6" t="s">
        <v>897</v>
      </c>
      <c r="L172" s="6" t="s">
        <v>895</v>
      </c>
      <c r="M172" s="4"/>
    </row>
    <row r="173" spans="1:13" outlineLevel="1" x14ac:dyDescent="0.35">
      <c r="A173" s="141" t="s">
        <v>805</v>
      </c>
      <c r="B173" s="282" t="s">
        <v>117</v>
      </c>
      <c r="C173" s="282" t="s">
        <v>869</v>
      </c>
      <c r="D173" s="6">
        <f t="shared" ref="D173:I180" si="31">D149/50</f>
        <v>1.5574026608406281E-7</v>
      </c>
      <c r="E173" s="6">
        <f t="shared" si="31"/>
        <v>1.4677221537207444E-7</v>
      </c>
      <c r="F173" s="6">
        <f t="shared" si="31"/>
        <v>1.2181528913369221E-7</v>
      </c>
      <c r="G173" s="6">
        <f t="shared" si="31"/>
        <v>1.5574026608406281E-7</v>
      </c>
      <c r="H173" s="6">
        <f t="shared" si="31"/>
        <v>1.4677221537207444E-7</v>
      </c>
      <c r="I173" s="6">
        <f t="shared" si="31"/>
        <v>1.2181528913369221E-7</v>
      </c>
      <c r="J173" s="6">
        <f>J149/25</f>
        <v>2.8794733035241376E-7</v>
      </c>
      <c r="K173" s="6">
        <f>K149/25</f>
        <v>2.7018392890815782E-7</v>
      </c>
      <c r="L173" s="6">
        <f>L149/25</f>
        <v>2.2076861036283482E-7</v>
      </c>
      <c r="M173" s="4"/>
    </row>
    <row r="174" spans="1:13" outlineLevel="1" x14ac:dyDescent="0.35">
      <c r="A174" s="141" t="s">
        <v>806</v>
      </c>
      <c r="B174" s="282" t="s">
        <v>118</v>
      </c>
      <c r="C174" s="282" t="s">
        <v>869</v>
      </c>
      <c r="D174" s="6">
        <f t="shared" si="31"/>
        <v>9.089658698471406E-9</v>
      </c>
      <c r="E174" s="6">
        <f t="shared" si="31"/>
        <v>8.6126381516633266E-9</v>
      </c>
      <c r="F174" s="6">
        <f t="shared" si="31"/>
        <v>7.8292770618276802E-9</v>
      </c>
      <c r="G174" s="6">
        <f t="shared" si="31"/>
        <v>9.089658698471406E-9</v>
      </c>
      <c r="H174" s="6">
        <f t="shared" si="31"/>
        <v>8.6126381516633266E-9</v>
      </c>
      <c r="I174" s="6">
        <f t="shared" si="31"/>
        <v>7.8292770618276802E-9</v>
      </c>
      <c r="J174" s="6">
        <f t="shared" ref="J174:L180" si="32">J150/25</f>
        <v>9.089658698471406E-9</v>
      </c>
      <c r="K174" s="6">
        <f t="shared" si="32"/>
        <v>8.6126381516633266E-9</v>
      </c>
      <c r="L174" s="6">
        <f t="shared" si="32"/>
        <v>7.8292770618276802E-9</v>
      </c>
      <c r="M174" s="4"/>
    </row>
    <row r="175" spans="1:13" outlineLevel="1" x14ac:dyDescent="0.35">
      <c r="B175" s="282" t="s">
        <v>119</v>
      </c>
      <c r="C175" s="282" t="s">
        <v>869</v>
      </c>
      <c r="D175" s="6">
        <f t="shared" si="31"/>
        <v>2.2662012997734839E-9</v>
      </c>
      <c r="E175" s="6">
        <f t="shared" si="31"/>
        <v>2.06514955122038E-9</v>
      </c>
      <c r="F175" s="6">
        <f t="shared" si="31"/>
        <v>1.9983818266233635E-9</v>
      </c>
      <c r="G175" s="6">
        <f t="shared" si="31"/>
        <v>2.2662012997734839E-9</v>
      </c>
      <c r="H175" s="6">
        <f t="shared" si="31"/>
        <v>2.06514955122038E-9</v>
      </c>
      <c r="I175" s="6">
        <f t="shared" si="31"/>
        <v>1.9983818266233635E-9</v>
      </c>
      <c r="J175" s="6">
        <f t="shared" si="32"/>
        <v>4.5324025995469678E-9</v>
      </c>
      <c r="K175" s="6">
        <f t="shared" si="32"/>
        <v>4.13029910244076E-9</v>
      </c>
      <c r="L175" s="6">
        <f t="shared" si="32"/>
        <v>3.996763653246727E-9</v>
      </c>
      <c r="M175" s="4"/>
    </row>
    <row r="176" spans="1:13" outlineLevel="1" x14ac:dyDescent="0.35">
      <c r="B176" s="282" t="s">
        <v>120</v>
      </c>
      <c r="C176" s="282" t="s">
        <v>869</v>
      </c>
      <c r="D176" s="6">
        <f t="shared" si="31"/>
        <v>7.4092445026783703E-11</v>
      </c>
      <c r="E176" s="6">
        <f t="shared" si="31"/>
        <v>7.1342125787685014E-11</v>
      </c>
      <c r="F176" s="6">
        <f t="shared" si="31"/>
        <v>7.1433129937190176E-11</v>
      </c>
      <c r="G176" s="6">
        <f t="shared" si="31"/>
        <v>7.4092445026783703E-11</v>
      </c>
      <c r="H176" s="6">
        <f t="shared" si="31"/>
        <v>7.1342125787685014E-11</v>
      </c>
      <c r="I176" s="6">
        <f t="shared" si="31"/>
        <v>7.1433129937190176E-11</v>
      </c>
      <c r="J176" s="6">
        <f t="shared" si="32"/>
        <v>7.4092445026783703E-11</v>
      </c>
      <c r="K176" s="6">
        <f t="shared" si="32"/>
        <v>7.1342125787685014E-11</v>
      </c>
      <c r="L176" s="6">
        <f t="shared" si="32"/>
        <v>7.1433129937190176E-11</v>
      </c>
      <c r="M176" s="4"/>
    </row>
    <row r="177" spans="1:13" outlineLevel="1" x14ac:dyDescent="0.35">
      <c r="B177" s="282" t="s">
        <v>121</v>
      </c>
      <c r="C177" s="282" t="s">
        <v>869</v>
      </c>
      <c r="D177" s="6">
        <f t="shared" si="31"/>
        <v>3.2326961497988848E-8</v>
      </c>
      <c r="E177" s="6">
        <f t="shared" si="31"/>
        <v>2.7417542144212684E-8</v>
      </c>
      <c r="F177" s="6">
        <f t="shared" si="31"/>
        <v>2.4277736565892259E-8</v>
      </c>
      <c r="G177" s="6">
        <f t="shared" si="31"/>
        <v>3.2326961497988848E-8</v>
      </c>
      <c r="H177" s="6">
        <f t="shared" si="31"/>
        <v>2.7417542144212684E-8</v>
      </c>
      <c r="I177" s="6">
        <f t="shared" si="31"/>
        <v>2.4277736565892259E-8</v>
      </c>
      <c r="J177" s="6">
        <f t="shared" si="32"/>
        <v>6.4653922995977695E-8</v>
      </c>
      <c r="K177" s="6">
        <f t="shared" si="32"/>
        <v>5.4835084288425367E-8</v>
      </c>
      <c r="L177" s="6">
        <f t="shared" si="32"/>
        <v>4.8555473131784518E-8</v>
      </c>
      <c r="M177" s="4"/>
    </row>
    <row r="178" spans="1:13" outlineLevel="1" x14ac:dyDescent="0.35">
      <c r="B178" s="282" t="s">
        <v>797</v>
      </c>
      <c r="C178" s="282" t="s">
        <v>869</v>
      </c>
      <c r="D178" s="6">
        <f t="shared" si="31"/>
        <v>0</v>
      </c>
      <c r="E178" s="6">
        <f t="shared" si="31"/>
        <v>0</v>
      </c>
      <c r="F178" s="6">
        <f t="shared" si="31"/>
        <v>0</v>
      </c>
      <c r="G178" s="6">
        <f t="shared" si="31"/>
        <v>0</v>
      </c>
      <c r="H178" s="6">
        <f t="shared" si="31"/>
        <v>0</v>
      </c>
      <c r="I178" s="6">
        <f t="shared" si="31"/>
        <v>0</v>
      </c>
      <c r="J178" s="6">
        <f t="shared" si="32"/>
        <v>1.6997534424676201E-6</v>
      </c>
      <c r="K178" s="6">
        <f t="shared" si="32"/>
        <v>1.6348704633400855E-6</v>
      </c>
      <c r="L178" s="6">
        <f t="shared" si="32"/>
        <v>1.4156735341575589E-6</v>
      </c>
      <c r="M178" s="4"/>
    </row>
    <row r="179" spans="1:13" outlineLevel="1" x14ac:dyDescent="0.35">
      <c r="B179" s="282" t="s">
        <v>122</v>
      </c>
      <c r="C179" s="282" t="s">
        <v>869</v>
      </c>
      <c r="D179" s="6">
        <f>D155/50</f>
        <v>4.891051486937408E-6</v>
      </c>
      <c r="E179" s="6">
        <f t="shared" si="31"/>
        <v>1.2084440687109399E-6</v>
      </c>
      <c r="F179" s="6">
        <f t="shared" si="31"/>
        <v>4.6918174573698277E-7</v>
      </c>
      <c r="G179" s="6">
        <f t="shared" si="31"/>
        <v>3.8224592503221999E-6</v>
      </c>
      <c r="H179" s="6">
        <f t="shared" si="31"/>
        <v>9.9782569834161288E-7</v>
      </c>
      <c r="I179" s="6">
        <f t="shared" si="31"/>
        <v>4.2775753047674201E-7</v>
      </c>
      <c r="J179" s="6">
        <f t="shared" si="32"/>
        <v>1.2575250904487951E-6</v>
      </c>
      <c r="K179" s="6">
        <f t="shared" si="32"/>
        <v>1.1118721874171564E-6</v>
      </c>
      <c r="L179" s="6">
        <f t="shared" si="32"/>
        <v>1.0431019589345024E-6</v>
      </c>
      <c r="M179" s="4"/>
    </row>
    <row r="180" spans="1:13" outlineLevel="1" x14ac:dyDescent="0.35">
      <c r="B180" s="282" t="s">
        <v>123</v>
      </c>
      <c r="C180" s="282" t="s">
        <v>869</v>
      </c>
      <c r="D180" s="6">
        <f t="shared" si="31"/>
        <v>4.0024445644499337E-7</v>
      </c>
      <c r="E180" s="6">
        <f t="shared" si="31"/>
        <v>1.2218663912765543E-7</v>
      </c>
      <c r="F180" s="6">
        <f t="shared" si="31"/>
        <v>6.5294431006917947E-8</v>
      </c>
      <c r="G180" s="6">
        <f t="shared" si="31"/>
        <v>9.205622498234849E-10</v>
      </c>
      <c r="H180" s="6">
        <f t="shared" si="31"/>
        <v>2.8102926999360741E-10</v>
      </c>
      <c r="I180" s="6">
        <f t="shared" si="31"/>
        <v>1.5017719131591135E-10</v>
      </c>
      <c r="J180" s="6">
        <f t="shared" si="32"/>
        <v>4.0024445644499337E-7</v>
      </c>
      <c r="K180" s="6">
        <f t="shared" si="32"/>
        <v>1.2218663912765543E-7</v>
      </c>
      <c r="L180" s="6">
        <f t="shared" si="32"/>
        <v>6.5294431006917947E-8</v>
      </c>
      <c r="M180" s="4"/>
    </row>
    <row r="181" spans="1:13" outlineLevel="1" x14ac:dyDescent="0.35">
      <c r="B181" s="282" t="s">
        <v>124</v>
      </c>
      <c r="C181" s="282" t="s">
        <v>869</v>
      </c>
      <c r="D181" s="26">
        <f>-1000*(0.0000000028+0.0000000000000765)</f>
        <v>-2.8000765E-6</v>
      </c>
      <c r="E181" s="26">
        <f t="shared" ref="E181:L181" si="33">-1000*(0.0000000028+0.0000000000000765)</f>
        <v>-2.8000765E-6</v>
      </c>
      <c r="F181" s="26">
        <f t="shared" si="33"/>
        <v>-2.8000765E-6</v>
      </c>
      <c r="G181" s="26">
        <f t="shared" si="33"/>
        <v>-2.8000765E-6</v>
      </c>
      <c r="H181" s="26">
        <f t="shared" si="33"/>
        <v>-2.8000765E-6</v>
      </c>
      <c r="I181" s="26">
        <f t="shared" si="33"/>
        <v>-2.8000765E-6</v>
      </c>
      <c r="J181" s="26">
        <f t="shared" si="33"/>
        <v>-2.8000765E-6</v>
      </c>
      <c r="K181" s="26">
        <f t="shared" si="33"/>
        <v>-2.8000765E-6</v>
      </c>
      <c r="L181" s="26">
        <f t="shared" si="33"/>
        <v>-2.8000765E-6</v>
      </c>
      <c r="M181" s="4"/>
    </row>
    <row r="182" spans="1:13" outlineLevel="1" x14ac:dyDescent="0.35">
      <c r="B182" s="282" t="s">
        <v>137</v>
      </c>
      <c r="C182" s="282" t="s">
        <v>869</v>
      </c>
      <c r="D182" s="6">
        <f>SUM(D173:D181)</f>
        <v>2.690716623407725E-6</v>
      </c>
      <c r="E182" s="6">
        <f t="shared" ref="E182:L182" si="34">SUM(E173:E181)</f>
        <v>-1.2845069048164462E-6</v>
      </c>
      <c r="F182" s="6">
        <f t="shared" si="34"/>
        <v>-2.1096082055381265E-6</v>
      </c>
      <c r="G182" s="6">
        <f t="shared" si="34"/>
        <v>1.2228004925973467E-6</v>
      </c>
      <c r="H182" s="6">
        <f t="shared" si="34"/>
        <v>-1.6170308850434351E-6</v>
      </c>
      <c r="I182" s="6">
        <f t="shared" si="34"/>
        <v>-2.2161766746139692E-6</v>
      </c>
      <c r="J182" s="6">
        <f t="shared" si="34"/>
        <v>9.2374389645284471E-7</v>
      </c>
      <c r="K182" s="6">
        <f t="shared" si="34"/>
        <v>4.0668608246137204E-7</v>
      </c>
      <c r="L182" s="6">
        <f t="shared" si="34"/>
        <v>5.2149814386101719E-9</v>
      </c>
      <c r="M182" s="4"/>
    </row>
    <row r="183" spans="1:13" outlineLevel="1" x14ac:dyDescent="0.35">
      <c r="M183" s="4"/>
    </row>
    <row r="184" spans="1:13" outlineLevel="1" x14ac:dyDescent="0.35">
      <c r="A184" s="15" t="s">
        <v>509</v>
      </c>
      <c r="B184" s="30"/>
      <c r="C184" s="140" t="s">
        <v>180</v>
      </c>
      <c r="D184" s="6" t="s">
        <v>889</v>
      </c>
      <c r="E184" s="6" t="s">
        <v>891</v>
      </c>
      <c r="F184" s="6" t="s">
        <v>890</v>
      </c>
      <c r="G184" s="6" t="s">
        <v>892</v>
      </c>
      <c r="H184" s="6" t="s">
        <v>893</v>
      </c>
      <c r="I184" s="6" t="s">
        <v>894</v>
      </c>
      <c r="J184" s="6" t="s">
        <v>896</v>
      </c>
      <c r="K184" s="6" t="s">
        <v>897</v>
      </c>
      <c r="L184" s="6" t="s">
        <v>895</v>
      </c>
      <c r="M184" s="4"/>
    </row>
    <row r="185" spans="1:13" outlineLevel="1" x14ac:dyDescent="0.35">
      <c r="A185" s="141" t="s">
        <v>807</v>
      </c>
      <c r="B185" s="282" t="s">
        <v>117</v>
      </c>
      <c r="C185" s="282" t="s">
        <v>869</v>
      </c>
      <c r="D185" s="6">
        <f t="shared" ref="D185:I192" si="35">D149/150</f>
        <v>5.191342202802094E-8</v>
      </c>
      <c r="E185" s="6">
        <f t="shared" si="35"/>
        <v>4.892407179069148E-8</v>
      </c>
      <c r="F185" s="6">
        <f t="shared" si="35"/>
        <v>4.0605096377897406E-8</v>
      </c>
      <c r="G185" s="6">
        <f t="shared" si="35"/>
        <v>5.191342202802094E-8</v>
      </c>
      <c r="H185" s="6">
        <f t="shared" si="35"/>
        <v>4.892407179069148E-8</v>
      </c>
      <c r="I185" s="6">
        <f t="shared" si="35"/>
        <v>4.0605096377897406E-8</v>
      </c>
      <c r="J185" s="6">
        <f>J149/75</f>
        <v>9.5982443450804591E-8</v>
      </c>
      <c r="K185" s="6">
        <f>K149/75</f>
        <v>9.0061309636052602E-8</v>
      </c>
      <c r="L185" s="6">
        <f>L149/75</f>
        <v>7.3589536787611611E-8</v>
      </c>
      <c r="M185" s="4"/>
    </row>
    <row r="186" spans="1:13" outlineLevel="1" x14ac:dyDescent="0.35">
      <c r="A186" s="141" t="s">
        <v>808</v>
      </c>
      <c r="B186" s="282" t="s">
        <v>118</v>
      </c>
      <c r="C186" s="282" t="s">
        <v>869</v>
      </c>
      <c r="D186" s="6">
        <f t="shared" si="35"/>
        <v>3.029886232823802E-9</v>
      </c>
      <c r="E186" s="6">
        <f t="shared" si="35"/>
        <v>2.8708793838877754E-9</v>
      </c>
      <c r="F186" s="6">
        <f t="shared" si="35"/>
        <v>2.6097590206092265E-9</v>
      </c>
      <c r="G186" s="6">
        <f t="shared" si="35"/>
        <v>3.029886232823802E-9</v>
      </c>
      <c r="H186" s="6">
        <f t="shared" si="35"/>
        <v>2.8708793838877754E-9</v>
      </c>
      <c r="I186" s="6">
        <f t="shared" si="35"/>
        <v>2.6097590206092265E-9</v>
      </c>
      <c r="J186" s="6">
        <f t="shared" ref="J186:L192" si="36">J150/75</f>
        <v>3.029886232823802E-9</v>
      </c>
      <c r="K186" s="6">
        <f t="shared" si="36"/>
        <v>2.8708793838877754E-9</v>
      </c>
      <c r="L186" s="6">
        <f t="shared" si="36"/>
        <v>2.6097590206092265E-9</v>
      </c>
      <c r="M186" s="4"/>
    </row>
    <row r="187" spans="1:13" outlineLevel="1" x14ac:dyDescent="0.35">
      <c r="B187" s="282" t="s">
        <v>119</v>
      </c>
      <c r="C187" s="282" t="s">
        <v>869</v>
      </c>
      <c r="D187" s="6">
        <f t="shared" si="35"/>
        <v>7.5540043325782804E-10</v>
      </c>
      <c r="E187" s="6">
        <f t="shared" si="35"/>
        <v>6.8838318374012667E-10</v>
      </c>
      <c r="F187" s="6">
        <f t="shared" si="35"/>
        <v>6.661272755411212E-10</v>
      </c>
      <c r="G187" s="6">
        <f t="shared" si="35"/>
        <v>7.5540043325782804E-10</v>
      </c>
      <c r="H187" s="6">
        <f t="shared" si="35"/>
        <v>6.8838318374012667E-10</v>
      </c>
      <c r="I187" s="6">
        <f t="shared" si="35"/>
        <v>6.661272755411212E-10</v>
      </c>
      <c r="J187" s="6">
        <f t="shared" si="36"/>
        <v>1.5108008665156561E-9</v>
      </c>
      <c r="K187" s="6">
        <f t="shared" si="36"/>
        <v>1.3767663674802533E-9</v>
      </c>
      <c r="L187" s="6">
        <f t="shared" si="36"/>
        <v>1.3322545510822424E-9</v>
      </c>
      <c r="M187" s="4"/>
    </row>
    <row r="188" spans="1:13" outlineLevel="1" x14ac:dyDescent="0.35">
      <c r="B188" s="282" t="s">
        <v>120</v>
      </c>
      <c r="C188" s="282" t="s">
        <v>869</v>
      </c>
      <c r="D188" s="6">
        <f t="shared" si="35"/>
        <v>2.4697481675594569E-11</v>
      </c>
      <c r="E188" s="6">
        <f t="shared" si="35"/>
        <v>2.3780708595895006E-11</v>
      </c>
      <c r="F188" s="6">
        <f t="shared" si="35"/>
        <v>2.3811043312396727E-11</v>
      </c>
      <c r="G188" s="6">
        <f t="shared" si="35"/>
        <v>2.4697481675594569E-11</v>
      </c>
      <c r="H188" s="6">
        <f t="shared" si="35"/>
        <v>2.3780708595895006E-11</v>
      </c>
      <c r="I188" s="6">
        <f t="shared" si="35"/>
        <v>2.3811043312396727E-11</v>
      </c>
      <c r="J188" s="6">
        <f t="shared" si="36"/>
        <v>2.4697481675594569E-11</v>
      </c>
      <c r="K188" s="6">
        <f t="shared" si="36"/>
        <v>2.3780708595895006E-11</v>
      </c>
      <c r="L188" s="6">
        <f t="shared" si="36"/>
        <v>2.3811043312396727E-11</v>
      </c>
      <c r="M188" s="4"/>
    </row>
    <row r="189" spans="1:13" outlineLevel="1" x14ac:dyDescent="0.35">
      <c r="B189" s="282" t="s">
        <v>121</v>
      </c>
      <c r="C189" s="282" t="s">
        <v>869</v>
      </c>
      <c r="D189" s="6">
        <f t="shared" si="35"/>
        <v>1.0775653832662949E-8</v>
      </c>
      <c r="E189" s="6">
        <f t="shared" si="35"/>
        <v>9.1391807147375607E-9</v>
      </c>
      <c r="F189" s="6">
        <f t="shared" si="35"/>
        <v>8.0925788552974192E-9</v>
      </c>
      <c r="G189" s="6">
        <f t="shared" si="35"/>
        <v>1.0775653832662949E-8</v>
      </c>
      <c r="H189" s="6">
        <f t="shared" si="35"/>
        <v>9.1391807147375607E-9</v>
      </c>
      <c r="I189" s="6">
        <f t="shared" si="35"/>
        <v>8.0925788552974192E-9</v>
      </c>
      <c r="J189" s="6">
        <f t="shared" si="36"/>
        <v>2.1551307665325898E-8</v>
      </c>
      <c r="K189" s="6">
        <f t="shared" si="36"/>
        <v>1.8278361429475121E-8</v>
      </c>
      <c r="L189" s="6">
        <f t="shared" si="36"/>
        <v>1.6185157710594838E-8</v>
      </c>
      <c r="M189" s="4"/>
    </row>
    <row r="190" spans="1:13" outlineLevel="1" x14ac:dyDescent="0.35">
      <c r="B190" s="282" t="s">
        <v>797</v>
      </c>
      <c r="C190" s="282" t="s">
        <v>869</v>
      </c>
      <c r="D190" s="6">
        <f t="shared" si="35"/>
        <v>0</v>
      </c>
      <c r="E190" s="6">
        <f t="shared" si="35"/>
        <v>0</v>
      </c>
      <c r="F190" s="6">
        <f t="shared" si="35"/>
        <v>0</v>
      </c>
      <c r="G190" s="6">
        <f t="shared" si="35"/>
        <v>0</v>
      </c>
      <c r="H190" s="6">
        <f t="shared" si="35"/>
        <v>0</v>
      </c>
      <c r="I190" s="6">
        <f t="shared" si="35"/>
        <v>0</v>
      </c>
      <c r="J190" s="6">
        <f t="shared" si="36"/>
        <v>5.6658448082254007E-7</v>
      </c>
      <c r="K190" s="6">
        <f t="shared" si="36"/>
        <v>5.4495682111336185E-7</v>
      </c>
      <c r="L190" s="6">
        <f t="shared" si="36"/>
        <v>4.718911780525196E-7</v>
      </c>
      <c r="M190" s="4"/>
    </row>
    <row r="191" spans="1:13" outlineLevel="1" x14ac:dyDescent="0.35">
      <c r="B191" s="282" t="s">
        <v>122</v>
      </c>
      <c r="C191" s="282" t="s">
        <v>869</v>
      </c>
      <c r="D191" s="6">
        <f t="shared" si="35"/>
        <v>1.6303504956458027E-6</v>
      </c>
      <c r="E191" s="6">
        <f t="shared" si="35"/>
        <v>4.0281468957031333E-7</v>
      </c>
      <c r="F191" s="6">
        <f t="shared" si="35"/>
        <v>1.5639391524566092E-7</v>
      </c>
      <c r="G191" s="6">
        <f t="shared" si="35"/>
        <v>1.2741530834407334E-6</v>
      </c>
      <c r="H191" s="6">
        <f t="shared" si="35"/>
        <v>3.3260856611387098E-7</v>
      </c>
      <c r="I191" s="6">
        <f t="shared" si="35"/>
        <v>1.4258584349224734E-7</v>
      </c>
      <c r="J191" s="6">
        <f t="shared" si="36"/>
        <v>4.191750301495984E-7</v>
      </c>
      <c r="K191" s="6">
        <f t="shared" si="36"/>
        <v>3.7062406247238549E-7</v>
      </c>
      <c r="L191" s="6">
        <f t="shared" si="36"/>
        <v>3.4770065297816747E-7</v>
      </c>
      <c r="M191" s="4"/>
    </row>
    <row r="192" spans="1:13" outlineLevel="1" x14ac:dyDescent="0.35">
      <c r="B192" s="282" t="s">
        <v>123</v>
      </c>
      <c r="C192" s="282" t="s">
        <v>869</v>
      </c>
      <c r="D192" s="6">
        <f t="shared" si="35"/>
        <v>1.334148188149978E-7</v>
      </c>
      <c r="E192" s="6">
        <f t="shared" si="35"/>
        <v>4.0728879709218475E-8</v>
      </c>
      <c r="F192" s="6">
        <f t="shared" si="35"/>
        <v>2.1764810335639319E-8</v>
      </c>
      <c r="G192" s="6">
        <f t="shared" si="35"/>
        <v>3.0685408327449497E-10</v>
      </c>
      <c r="H192" s="6">
        <f t="shared" si="35"/>
        <v>9.3676423331202474E-11</v>
      </c>
      <c r="I192" s="6">
        <f t="shared" si="35"/>
        <v>5.0059063771970444E-11</v>
      </c>
      <c r="J192" s="6">
        <f t="shared" si="36"/>
        <v>1.334148188149978E-7</v>
      </c>
      <c r="K192" s="6">
        <f t="shared" si="36"/>
        <v>4.0728879709218475E-8</v>
      </c>
      <c r="L192" s="6">
        <f t="shared" si="36"/>
        <v>2.1764810335639319E-8</v>
      </c>
      <c r="M192" s="4"/>
    </row>
    <row r="193" spans="1:19" outlineLevel="1" x14ac:dyDescent="0.35">
      <c r="B193" s="282" t="s">
        <v>124</v>
      </c>
      <c r="C193" s="282" t="s">
        <v>869</v>
      </c>
      <c r="D193" s="26">
        <f>-1000*(0.0000000028+0.0000000000000765)</f>
        <v>-2.8000765E-6</v>
      </c>
      <c r="E193" s="26">
        <f t="shared" ref="E193:L193" si="37">-1000*(0.0000000028+0.0000000000000765)</f>
        <v>-2.8000765E-6</v>
      </c>
      <c r="F193" s="26">
        <f t="shared" si="37"/>
        <v>-2.8000765E-6</v>
      </c>
      <c r="G193" s="26">
        <f t="shared" si="37"/>
        <v>-2.8000765E-6</v>
      </c>
      <c r="H193" s="26">
        <f t="shared" si="37"/>
        <v>-2.8000765E-6</v>
      </c>
      <c r="I193" s="26">
        <f t="shared" si="37"/>
        <v>-2.8000765E-6</v>
      </c>
      <c r="J193" s="26">
        <f t="shared" si="37"/>
        <v>-2.8000765E-6</v>
      </c>
      <c r="K193" s="26">
        <f t="shared" si="37"/>
        <v>-2.8000765E-6</v>
      </c>
      <c r="L193" s="26">
        <f t="shared" si="37"/>
        <v>-2.8000765E-6</v>
      </c>
      <c r="M193" s="4"/>
    </row>
    <row r="194" spans="1:19" outlineLevel="1" x14ac:dyDescent="0.35">
      <c r="B194" s="282" t="s">
        <v>137</v>
      </c>
      <c r="C194" s="282" t="s">
        <v>869</v>
      </c>
      <c r="D194" s="6">
        <f>SUM(D185:D193)</f>
        <v>-9.6981212553075832E-7</v>
      </c>
      <c r="E194" s="6">
        <f t="shared" ref="E194:L194" si="38">SUM(E185:E193)</f>
        <v>-2.2948866349388152E-6</v>
      </c>
      <c r="F194" s="6">
        <f t="shared" si="38"/>
        <v>-2.5699204018460423E-6</v>
      </c>
      <c r="G194" s="6">
        <f t="shared" si="38"/>
        <v>-1.4591175024675509E-6</v>
      </c>
      <c r="H194" s="6">
        <f t="shared" si="38"/>
        <v>-2.4057279616811447E-6</v>
      </c>
      <c r="I194" s="6">
        <f t="shared" si="38"/>
        <v>-2.6054432248713231E-6</v>
      </c>
      <c r="J194" s="6">
        <f t="shared" si="38"/>
        <v>-1.5588030345157181E-6</v>
      </c>
      <c r="K194" s="6">
        <f t="shared" si="38"/>
        <v>-1.7311556391795426E-6</v>
      </c>
      <c r="L194" s="6">
        <f t="shared" si="38"/>
        <v>-1.8649793395204633E-6</v>
      </c>
      <c r="M194" s="4"/>
    </row>
    <row r="195" spans="1:19" outlineLevel="1" x14ac:dyDescent="0.35">
      <c r="D195" s="6"/>
      <c r="E195" s="6"/>
      <c r="F195" s="6"/>
      <c r="G195" s="6"/>
      <c r="H195" s="6"/>
      <c r="I195" s="6"/>
      <c r="J195" s="6"/>
      <c r="K195" s="6"/>
      <c r="L195" s="6"/>
      <c r="M195" s="4"/>
    </row>
    <row r="196" spans="1:19" s="33" customFormat="1" ht="15.5" x14ac:dyDescent="0.35">
      <c r="A196" s="51" t="s">
        <v>860</v>
      </c>
      <c r="B196" s="4"/>
      <c r="C196" s="4"/>
      <c r="D196" s="4"/>
      <c r="E196" s="4"/>
      <c r="F196" s="4"/>
      <c r="G196" s="4"/>
      <c r="H196" s="4"/>
      <c r="I196" s="4"/>
      <c r="J196" s="4"/>
      <c r="K196" s="4"/>
      <c r="L196" s="4"/>
      <c r="M196" s="4"/>
      <c r="N196" s="282"/>
      <c r="O196" s="282"/>
      <c r="P196" s="282"/>
      <c r="Q196" s="282"/>
      <c r="R196" s="282"/>
      <c r="S196" s="282"/>
    </row>
    <row r="197" spans="1:19" outlineLevel="1" x14ac:dyDescent="0.35">
      <c r="A197" s="15" t="s">
        <v>573</v>
      </c>
      <c r="B197" s="30"/>
      <c r="C197" s="140" t="s">
        <v>180</v>
      </c>
      <c r="D197" s="6" t="s">
        <v>889</v>
      </c>
      <c r="E197" s="6" t="s">
        <v>891</v>
      </c>
      <c r="F197" s="6" t="s">
        <v>890</v>
      </c>
      <c r="G197" s="6" t="s">
        <v>892</v>
      </c>
      <c r="H197" s="6" t="s">
        <v>893</v>
      </c>
      <c r="I197" s="6" t="s">
        <v>894</v>
      </c>
      <c r="J197" s="6" t="s">
        <v>896</v>
      </c>
      <c r="K197" s="6" t="s">
        <v>897</v>
      </c>
      <c r="L197" s="6" t="s">
        <v>895</v>
      </c>
      <c r="M197" s="4"/>
    </row>
    <row r="198" spans="1:19" outlineLevel="1" x14ac:dyDescent="0.35">
      <c r="B198" s="282" t="s">
        <v>117</v>
      </c>
      <c r="C198" s="282" t="s">
        <v>869</v>
      </c>
      <c r="D198" s="6">
        <f>'Results ReCiPe (H) - ESD'!B467</f>
        <v>7.7870133042031404E-8</v>
      </c>
      <c r="E198" s="6">
        <f>'Results ReCiPe (H) - ESD'!C467</f>
        <v>7.338610768603722E-8</v>
      </c>
      <c r="F198" s="6">
        <f>'Results ReCiPe (H) - ESD'!D467</f>
        <v>6.0907644566846106E-8</v>
      </c>
      <c r="G198" s="6">
        <f>'Results ReCiPe (H) - ESD'!E467</f>
        <v>7.7870133042031404E-8</v>
      </c>
      <c r="H198" s="6">
        <f>'Results ReCiPe (H) - ESD'!F467</f>
        <v>7.338610768603722E-8</v>
      </c>
      <c r="I198" s="6">
        <f>'Results ReCiPe (H) - ESD'!G467</f>
        <v>6.0907644566846106E-8</v>
      </c>
      <c r="J198" s="6">
        <f>'Results ReCiPe (H) - ESD'!H467</f>
        <v>1.4397366517620688E-7</v>
      </c>
      <c r="K198" s="6">
        <f>'Results ReCiPe (H) - ESD'!I467</f>
        <v>1.3509196445407891E-7</v>
      </c>
      <c r="L198" s="6">
        <f>'Results ReCiPe (H) - ESD'!J467</f>
        <v>1.1038430518141741E-7</v>
      </c>
      <c r="M198" s="4"/>
    </row>
    <row r="199" spans="1:19" outlineLevel="1" x14ac:dyDescent="0.35">
      <c r="B199" s="282" t="s">
        <v>118</v>
      </c>
      <c r="C199" s="282" t="s">
        <v>869</v>
      </c>
      <c r="D199" s="6">
        <f>'Results ReCiPe (H) - ESD'!B468</f>
        <v>4.544829349235703E-9</v>
      </c>
      <c r="E199" s="6">
        <f>'Results ReCiPe (H) - ESD'!C468</f>
        <v>4.3063190758316633E-9</v>
      </c>
      <c r="F199" s="6">
        <f>'Results ReCiPe (H) - ESD'!D468</f>
        <v>3.9146385309138401E-9</v>
      </c>
      <c r="G199" s="6">
        <f>'Results ReCiPe (H) - ESD'!E468</f>
        <v>4.544829349235703E-9</v>
      </c>
      <c r="H199" s="6">
        <f>'Results ReCiPe (H) - ESD'!F468</f>
        <v>4.3063190758316633E-9</v>
      </c>
      <c r="I199" s="6">
        <f>'Results ReCiPe (H) - ESD'!G468</f>
        <v>3.9146385309138401E-9</v>
      </c>
      <c r="J199" s="6">
        <f>'Results ReCiPe (H) - ESD'!H468</f>
        <v>4.544829349235703E-9</v>
      </c>
      <c r="K199" s="6">
        <f>'Results ReCiPe (H) - ESD'!I468</f>
        <v>4.3063190758316633E-9</v>
      </c>
      <c r="L199" s="6">
        <f>'Results ReCiPe (H) - ESD'!J468</f>
        <v>3.9146385309138401E-9</v>
      </c>
      <c r="M199" s="4"/>
    </row>
    <row r="200" spans="1:19" outlineLevel="1" x14ac:dyDescent="0.35">
      <c r="B200" s="282" t="s">
        <v>119</v>
      </c>
      <c r="C200" s="282" t="s">
        <v>869</v>
      </c>
      <c r="D200" s="6">
        <f>'Results ReCiPe (H) - ESD'!B469</f>
        <v>1.133100649886742E-9</v>
      </c>
      <c r="E200" s="6">
        <f>'Results ReCiPe (H) - ESD'!C469</f>
        <v>1.03257477561019E-9</v>
      </c>
      <c r="F200" s="6">
        <f>'Results ReCiPe (H) - ESD'!D469</f>
        <v>9.9919091331168175E-10</v>
      </c>
      <c r="G200" s="6">
        <f>'Results ReCiPe (H) - ESD'!E469</f>
        <v>1.133100649886742E-9</v>
      </c>
      <c r="H200" s="6">
        <f>'Results ReCiPe (H) - ESD'!F469</f>
        <v>1.03257477561019E-9</v>
      </c>
      <c r="I200" s="6">
        <f>'Results ReCiPe (H) - ESD'!G469</f>
        <v>9.9919091331168175E-10</v>
      </c>
      <c r="J200" s="6">
        <f>'Results ReCiPe (H) - ESD'!H469</f>
        <v>2.2662012997734839E-9</v>
      </c>
      <c r="K200" s="6">
        <f>'Results ReCiPe (H) - ESD'!I469</f>
        <v>2.06514955122038E-9</v>
      </c>
      <c r="L200" s="6">
        <f>'Results ReCiPe (H) - ESD'!J469</f>
        <v>1.9983818266233635E-9</v>
      </c>
      <c r="M200" s="4"/>
    </row>
    <row r="201" spans="1:19" outlineLevel="1" x14ac:dyDescent="0.35">
      <c r="B201" s="282" t="s">
        <v>120</v>
      </c>
      <c r="C201" s="282" t="s">
        <v>869</v>
      </c>
      <c r="D201" s="6">
        <f>'Results ReCiPe (H) - ESD'!B470</f>
        <v>3.7046222513391852E-11</v>
      </c>
      <c r="E201" s="6">
        <f>'Results ReCiPe (H) - ESD'!C470</f>
        <v>3.5671062893842507E-11</v>
      </c>
      <c r="F201" s="6">
        <f>'Results ReCiPe (H) - ESD'!D470</f>
        <v>3.5716564968595088E-11</v>
      </c>
      <c r="G201" s="6">
        <f>'Results ReCiPe (H) - ESD'!E470</f>
        <v>3.7046222513391852E-11</v>
      </c>
      <c r="H201" s="6">
        <f>'Results ReCiPe (H) - ESD'!F470</f>
        <v>3.5671062893842507E-11</v>
      </c>
      <c r="I201" s="6">
        <f>'Results ReCiPe (H) - ESD'!G470</f>
        <v>3.5716564968595088E-11</v>
      </c>
      <c r="J201" s="6">
        <f>'Results ReCiPe (H) - ESD'!H470</f>
        <v>3.7046222513391852E-11</v>
      </c>
      <c r="K201" s="6">
        <f>'Results ReCiPe (H) - ESD'!I470</f>
        <v>3.5671062893842507E-11</v>
      </c>
      <c r="L201" s="6">
        <f>'Results ReCiPe (H) - ESD'!J470</f>
        <v>3.5716564968595088E-11</v>
      </c>
      <c r="M201" s="4"/>
    </row>
    <row r="202" spans="1:19" outlineLevel="1" x14ac:dyDescent="0.35">
      <c r="B202" s="282" t="s">
        <v>121</v>
      </c>
      <c r="C202" s="282" t="s">
        <v>869</v>
      </c>
      <c r="D202" s="6">
        <f>'Results ReCiPe (H) - ESD'!B471</f>
        <v>1.6163480748994424E-8</v>
      </c>
      <c r="E202" s="6">
        <f>'Results ReCiPe (H) - ESD'!C471</f>
        <v>1.3708771072106342E-8</v>
      </c>
      <c r="F202" s="6">
        <f>'Results ReCiPe (H) - ESD'!D471</f>
        <v>1.213886828294613E-8</v>
      </c>
      <c r="G202" s="6">
        <f>'Results ReCiPe (H) - ESD'!E471</f>
        <v>1.6163480748994424E-8</v>
      </c>
      <c r="H202" s="6">
        <f>'Results ReCiPe (H) - ESD'!F471</f>
        <v>1.3708771072106342E-8</v>
      </c>
      <c r="I202" s="6">
        <f>'Results ReCiPe (H) - ESD'!G471</f>
        <v>1.213886828294613E-8</v>
      </c>
      <c r="J202" s="6">
        <f>'Results ReCiPe (H) - ESD'!H471</f>
        <v>3.2326961497988848E-8</v>
      </c>
      <c r="K202" s="6">
        <f>'Results ReCiPe (H) - ESD'!I471</f>
        <v>2.7417542144212684E-8</v>
      </c>
      <c r="L202" s="6">
        <f>'Results ReCiPe (H) - ESD'!J471</f>
        <v>2.4277736565892259E-8</v>
      </c>
      <c r="M202" s="4"/>
    </row>
    <row r="203" spans="1:19" outlineLevel="1" x14ac:dyDescent="0.35">
      <c r="B203" s="282" t="s">
        <v>797</v>
      </c>
      <c r="C203" s="282" t="s">
        <v>869</v>
      </c>
      <c r="D203" s="6">
        <f>'Results ReCiPe (H) - ESD'!B472</f>
        <v>0</v>
      </c>
      <c r="E203" s="6">
        <f>'Results ReCiPe (H) - ESD'!C472</f>
        <v>0</v>
      </c>
      <c r="F203" s="6">
        <f>'Results ReCiPe (H) - ESD'!D472</f>
        <v>0</v>
      </c>
      <c r="G203" s="6">
        <f>'Results ReCiPe (H) - ESD'!E472</f>
        <v>0</v>
      </c>
      <c r="H203" s="6">
        <f>'Results ReCiPe (H) - ESD'!F472</f>
        <v>0</v>
      </c>
      <c r="I203" s="6">
        <f>'Results ReCiPe (H) - ESD'!G472</f>
        <v>0</v>
      </c>
      <c r="J203" s="6">
        <f>'Results ReCiPe (H) - ESD'!H472</f>
        <v>8.4987672123381005E-7</v>
      </c>
      <c r="K203" s="6">
        <f>'Results ReCiPe (H) - ESD'!I472</f>
        <v>8.1743523167004277E-7</v>
      </c>
      <c r="L203" s="6">
        <f>'Results ReCiPe (H) - ESD'!J472</f>
        <v>7.0783676707877945E-7</v>
      </c>
      <c r="M203" s="4"/>
    </row>
    <row r="204" spans="1:19" outlineLevel="1" x14ac:dyDescent="0.35">
      <c r="B204" s="282" t="s">
        <v>122</v>
      </c>
      <c r="C204" s="282" t="s">
        <v>869</v>
      </c>
      <c r="D204" s="6">
        <f>'Results ReCiPe (H) - ESD'!B473</f>
        <v>2.445525743468704E-6</v>
      </c>
      <c r="E204" s="6">
        <f>'Results ReCiPe (H) - ESD'!C473</f>
        <v>6.0422203435546994E-7</v>
      </c>
      <c r="F204" s="6">
        <f>'Results ReCiPe (H) - ESD'!D473</f>
        <v>2.3459087286849139E-7</v>
      </c>
      <c r="G204" s="6">
        <f>'Results ReCiPe (H) - ESD'!E473</f>
        <v>1.9112296251611E-6</v>
      </c>
      <c r="H204" s="6">
        <f>'Results ReCiPe (H) - ESD'!F473</f>
        <v>4.9891284917080644E-7</v>
      </c>
      <c r="I204" s="6">
        <f>'Results ReCiPe (H) - ESD'!G473</f>
        <v>2.1387876523837101E-7</v>
      </c>
      <c r="J204" s="6">
        <f>'Results ReCiPe (H) - ESD'!H473</f>
        <v>6.2876254522439755E-7</v>
      </c>
      <c r="K204" s="6">
        <f>'Results ReCiPe (H) - ESD'!I473</f>
        <v>5.5593609370857821E-7</v>
      </c>
      <c r="L204" s="6">
        <f>'Results ReCiPe (H) - ESD'!J473</f>
        <v>5.2155097946725118E-7</v>
      </c>
      <c r="M204" s="4"/>
    </row>
    <row r="205" spans="1:19" outlineLevel="1" x14ac:dyDescent="0.35">
      <c r="B205" s="282" t="s">
        <v>123</v>
      </c>
      <c r="C205" s="282" t="s">
        <v>869</v>
      </c>
      <c r="D205" s="6">
        <f>'Results ReCiPe (H) - ESD'!B474</f>
        <v>2.0012222822249669E-7</v>
      </c>
      <c r="E205" s="6">
        <f>'Results ReCiPe (H) - ESD'!C474</f>
        <v>6.1093319563827715E-8</v>
      </c>
      <c r="F205" s="6">
        <f>'Results ReCiPe (H) - ESD'!D474</f>
        <v>3.2647215503458974E-8</v>
      </c>
      <c r="G205" s="6">
        <f>'Results ReCiPe (H) - ESD'!E474</f>
        <v>4.6028112491174245E-10</v>
      </c>
      <c r="H205" s="6">
        <f>'Results ReCiPe (H) - ESD'!F474</f>
        <v>1.405146349968037E-10</v>
      </c>
      <c r="I205" s="6">
        <f>'Results ReCiPe (H) - ESD'!G474</f>
        <v>7.5088595657955673E-11</v>
      </c>
      <c r="J205" s="6">
        <f>'Results ReCiPe (H) - ESD'!H474</f>
        <v>2.0012222822249669E-7</v>
      </c>
      <c r="K205" s="6">
        <f>'Results ReCiPe (H) - ESD'!I474</f>
        <v>6.1093319563827715E-8</v>
      </c>
      <c r="L205" s="6">
        <f>'Results ReCiPe (H) - ESD'!J474</f>
        <v>3.2647215503458974E-8</v>
      </c>
      <c r="M205" s="4"/>
    </row>
    <row r="206" spans="1:19" outlineLevel="1" x14ac:dyDescent="0.35">
      <c r="B206" s="282" t="s">
        <v>124</v>
      </c>
      <c r="C206" s="282" t="s">
        <v>869</v>
      </c>
      <c r="D206" s="6">
        <f>'Results ReCiPe (H) - ESD'!B475</f>
        <v>-2.8000764999999987E-6</v>
      </c>
      <c r="E206" s="6">
        <f>'Results ReCiPe (H) - ESD'!C475</f>
        <v>-2.8000764999999987E-6</v>
      </c>
      <c r="F206" s="6">
        <f>'Results ReCiPe (H) - ESD'!D475</f>
        <v>-2.8000764999999987E-6</v>
      </c>
      <c r="G206" s="6">
        <f>'Results ReCiPe (H) - ESD'!E475</f>
        <v>-2.8000764999999987E-6</v>
      </c>
      <c r="H206" s="6">
        <f>'Results ReCiPe (H) - ESD'!F475</f>
        <v>-2.8000764999999987E-6</v>
      </c>
      <c r="I206" s="6">
        <f>'Results ReCiPe (H) - ESD'!G475</f>
        <v>-2.8000764999999987E-6</v>
      </c>
      <c r="J206" s="6">
        <f>'Results ReCiPe (H) - ESD'!H475</f>
        <v>-2.8000764999999987E-6</v>
      </c>
      <c r="K206" s="6">
        <f>'Results ReCiPe (H) - ESD'!I475</f>
        <v>-2.8000764999999987E-6</v>
      </c>
      <c r="L206" s="6">
        <f>'Results ReCiPe (H) - ESD'!J475</f>
        <v>-2.8000764999999987E-6</v>
      </c>
      <c r="M206" s="4"/>
    </row>
    <row r="207" spans="1:19" outlineLevel="1" x14ac:dyDescent="0.35">
      <c r="B207" s="282" t="s">
        <v>137</v>
      </c>
      <c r="C207" s="282" t="s">
        <v>869</v>
      </c>
      <c r="D207" s="6">
        <f>'Results ReCiPe (H) - ESD'!B476</f>
        <v>-5.4679938296137717E-8</v>
      </c>
      <c r="E207" s="6">
        <f>'Results ReCiPe (H) - ESD'!C476</f>
        <v>-2.042291702408223E-6</v>
      </c>
      <c r="F207" s="6">
        <f>'Results ReCiPe (H) - ESD'!D476</f>
        <v>-2.4548423527690632E-6</v>
      </c>
      <c r="G207" s="6">
        <f>'Results ReCiPe (H) - ESD'!E476</f>
        <v>-7.8863800370132619E-7</v>
      </c>
      <c r="H207" s="6">
        <f>'Results ReCiPe (H) - ESD'!F476</f>
        <v>-2.2085536925217173E-6</v>
      </c>
      <c r="I207" s="6">
        <f>'Results ReCiPe (H) - ESD'!G476</f>
        <v>-2.5081265873069844E-6</v>
      </c>
      <c r="J207" s="6">
        <f>'Results ReCiPe (H) - ESD'!H476</f>
        <v>-9.3816630177357657E-7</v>
      </c>
      <c r="K207" s="6">
        <f>'Results ReCiPe (H) - ESD'!I476</f>
        <v>-1.1966952087693138E-6</v>
      </c>
      <c r="L207" s="6">
        <f>'Results ReCiPe (H) - ESD'!J476</f>
        <v>-1.3974307592806945E-6</v>
      </c>
      <c r="M207" s="4"/>
    </row>
    <row r="208" spans="1:19" outlineLevel="1" x14ac:dyDescent="0.35">
      <c r="M208" s="4"/>
    </row>
    <row r="209" spans="1:13" outlineLevel="1" x14ac:dyDescent="0.35">
      <c r="A209" s="15" t="s">
        <v>165</v>
      </c>
      <c r="B209" s="30"/>
      <c r="C209" s="140" t="s">
        <v>180</v>
      </c>
      <c r="D209" s="6" t="s">
        <v>889</v>
      </c>
      <c r="E209" s="6" t="s">
        <v>891</v>
      </c>
      <c r="F209" s="6" t="s">
        <v>890</v>
      </c>
      <c r="G209" s="6" t="s">
        <v>892</v>
      </c>
      <c r="H209" s="6" t="s">
        <v>893</v>
      </c>
      <c r="I209" s="6" t="s">
        <v>894</v>
      </c>
      <c r="J209" s="6" t="s">
        <v>896</v>
      </c>
      <c r="K209" s="6" t="s">
        <v>897</v>
      </c>
      <c r="L209" s="6" t="s">
        <v>895</v>
      </c>
      <c r="M209" s="4"/>
    </row>
    <row r="210" spans="1:13" outlineLevel="1" x14ac:dyDescent="0.35">
      <c r="B210" s="282" t="s">
        <v>117</v>
      </c>
      <c r="C210" s="282" t="s">
        <v>869</v>
      </c>
      <c r="D210" s="6">
        <f>D198</f>
        <v>7.7870133042031404E-8</v>
      </c>
      <c r="E210" s="6">
        <f t="shared" ref="E210:L213" si="39">E198</f>
        <v>7.338610768603722E-8</v>
      </c>
      <c r="F210" s="6">
        <f t="shared" si="39"/>
        <v>6.0907644566846106E-8</v>
      </c>
      <c r="G210" s="6">
        <f t="shared" si="39"/>
        <v>7.7870133042031404E-8</v>
      </c>
      <c r="H210" s="6">
        <f t="shared" si="39"/>
        <v>7.338610768603722E-8</v>
      </c>
      <c r="I210" s="6">
        <f t="shared" si="39"/>
        <v>6.0907644566846106E-8</v>
      </c>
      <c r="J210" s="6">
        <f t="shared" si="39"/>
        <v>1.4397366517620688E-7</v>
      </c>
      <c r="K210" s="6">
        <f t="shared" si="39"/>
        <v>1.3509196445407891E-7</v>
      </c>
      <c r="L210" s="6">
        <f t="shared" si="39"/>
        <v>1.1038430518141741E-7</v>
      </c>
      <c r="M210" s="4"/>
    </row>
    <row r="211" spans="1:13" outlineLevel="1" x14ac:dyDescent="0.35">
      <c r="B211" s="282" t="s">
        <v>118</v>
      </c>
      <c r="C211" s="282" t="s">
        <v>869</v>
      </c>
      <c r="D211" s="6">
        <f>D199</f>
        <v>4.544829349235703E-9</v>
      </c>
      <c r="E211" s="6">
        <f t="shared" si="39"/>
        <v>4.3063190758316633E-9</v>
      </c>
      <c r="F211" s="6">
        <f t="shared" si="39"/>
        <v>3.9146385309138401E-9</v>
      </c>
      <c r="G211" s="6">
        <f t="shared" si="39"/>
        <v>4.544829349235703E-9</v>
      </c>
      <c r="H211" s="6">
        <f t="shared" si="39"/>
        <v>4.3063190758316633E-9</v>
      </c>
      <c r="I211" s="6">
        <f t="shared" si="39"/>
        <v>3.9146385309138401E-9</v>
      </c>
      <c r="J211" s="6">
        <f t="shared" si="39"/>
        <v>4.544829349235703E-9</v>
      </c>
      <c r="K211" s="6">
        <f t="shared" si="39"/>
        <v>4.3063190758316633E-9</v>
      </c>
      <c r="L211" s="6">
        <f t="shared" si="39"/>
        <v>3.9146385309138401E-9</v>
      </c>
      <c r="M211" s="4"/>
    </row>
    <row r="212" spans="1:13" outlineLevel="1" x14ac:dyDescent="0.35">
      <c r="B212" s="282" t="s">
        <v>119</v>
      </c>
      <c r="C212" s="282" t="s">
        <v>869</v>
      </c>
      <c r="D212" s="6">
        <f>D200</f>
        <v>1.133100649886742E-9</v>
      </c>
      <c r="E212" s="6">
        <f t="shared" si="39"/>
        <v>1.03257477561019E-9</v>
      </c>
      <c r="F212" s="6">
        <f t="shared" si="39"/>
        <v>9.9919091331168175E-10</v>
      </c>
      <c r="G212" s="6">
        <f t="shared" si="39"/>
        <v>1.133100649886742E-9</v>
      </c>
      <c r="H212" s="6">
        <f t="shared" si="39"/>
        <v>1.03257477561019E-9</v>
      </c>
      <c r="I212" s="6">
        <f t="shared" si="39"/>
        <v>9.9919091331168175E-10</v>
      </c>
      <c r="J212" s="6">
        <f t="shared" si="39"/>
        <v>2.2662012997734839E-9</v>
      </c>
      <c r="K212" s="6">
        <f t="shared" si="39"/>
        <v>2.06514955122038E-9</v>
      </c>
      <c r="L212" s="6">
        <f t="shared" si="39"/>
        <v>1.9983818266233635E-9</v>
      </c>
      <c r="M212" s="4"/>
    </row>
    <row r="213" spans="1:13" outlineLevel="1" x14ac:dyDescent="0.35">
      <c r="B213" s="282" t="s">
        <v>120</v>
      </c>
      <c r="C213" s="282" t="s">
        <v>869</v>
      </c>
      <c r="D213" s="6">
        <f>D201</f>
        <v>3.7046222513391852E-11</v>
      </c>
      <c r="E213" s="6">
        <f t="shared" si="39"/>
        <v>3.5671062893842507E-11</v>
      </c>
      <c r="F213" s="6">
        <f t="shared" si="39"/>
        <v>3.5716564968595088E-11</v>
      </c>
      <c r="G213" s="6">
        <f t="shared" si="39"/>
        <v>3.7046222513391852E-11</v>
      </c>
      <c r="H213" s="6">
        <f t="shared" si="39"/>
        <v>3.5671062893842507E-11</v>
      </c>
      <c r="I213" s="6">
        <f t="shared" si="39"/>
        <v>3.5716564968595088E-11</v>
      </c>
      <c r="J213" s="6">
        <f t="shared" si="39"/>
        <v>3.7046222513391852E-11</v>
      </c>
      <c r="K213" s="6">
        <f t="shared" si="39"/>
        <v>3.5671062893842507E-11</v>
      </c>
      <c r="L213" s="6">
        <f t="shared" si="39"/>
        <v>3.5716564968595088E-11</v>
      </c>
      <c r="M213" s="4"/>
    </row>
    <row r="214" spans="1:13" outlineLevel="1" x14ac:dyDescent="0.35">
      <c r="B214" s="282" t="s">
        <v>121</v>
      </c>
      <c r="C214" s="282" t="s">
        <v>869</v>
      </c>
      <c r="D214" s="26">
        <f>SUM('Results ReCiPe (H) - ESD'!$B$37:$Z$37)/25/100</f>
        <v>4.4927821575574256E-8</v>
      </c>
      <c r="E214" s="6">
        <f>SUM('Results ReCiPe (H) - ESD'!$B$77:$Z$77)/25/100</f>
        <v>3.8024975630115459E-8</v>
      </c>
      <c r="F214" s="6">
        <f>SUM('Results ReCiPe (H) - ESD'!$B$117:$Z$117)/25/100</f>
        <v>3.3596329657714487E-8</v>
      </c>
      <c r="G214" s="6">
        <f>SUM('Results ReCiPe (H) - ESD'!$B$37:$Z$37)/25/100</f>
        <v>4.4927821575574256E-8</v>
      </c>
      <c r="H214" s="6">
        <f>SUM('Results ReCiPe (H) - ESD'!$B$77:$Z$77)/25/100</f>
        <v>3.8024975630115459E-8</v>
      </c>
      <c r="I214" s="6">
        <f>SUM('Results ReCiPe (H) - ESD'!$B$117:$Z$117)/25/100</f>
        <v>3.3596329657714487E-8</v>
      </c>
      <c r="J214" s="6">
        <f>SUM('Results ReCiPe (H) - ESD'!$B$37:$Z$37)/25/100</f>
        <v>4.4927821575574256E-8</v>
      </c>
      <c r="K214" s="6">
        <f>SUM('Results ReCiPe (H) - ESD'!$B$77:$Z$77)/25/100</f>
        <v>3.8024975630115459E-8</v>
      </c>
      <c r="L214" s="6">
        <f>SUM('Results ReCiPe (H) - ESD'!$B$117:$Z$117)/25/100</f>
        <v>3.3596329657714487E-8</v>
      </c>
      <c r="M214" s="4"/>
    </row>
    <row r="215" spans="1:13" outlineLevel="1" x14ac:dyDescent="0.35">
      <c r="B215" s="282" t="s">
        <v>797</v>
      </c>
      <c r="C215" s="282" t="s">
        <v>869</v>
      </c>
      <c r="D215" s="6">
        <f t="shared" ref="D215:L218" si="40">D203</f>
        <v>0</v>
      </c>
      <c r="E215" s="6">
        <f t="shared" si="40"/>
        <v>0</v>
      </c>
      <c r="F215" s="6">
        <f t="shared" si="40"/>
        <v>0</v>
      </c>
      <c r="G215" s="6">
        <f t="shared" si="40"/>
        <v>0</v>
      </c>
      <c r="H215" s="6">
        <f t="shared" si="40"/>
        <v>0</v>
      </c>
      <c r="I215" s="6">
        <f t="shared" si="40"/>
        <v>0</v>
      </c>
      <c r="J215" s="6">
        <f t="shared" si="40"/>
        <v>8.4987672123381005E-7</v>
      </c>
      <c r="K215" s="6">
        <f t="shared" si="40"/>
        <v>8.1743523167004277E-7</v>
      </c>
      <c r="L215" s="6">
        <f t="shared" si="40"/>
        <v>7.0783676707877945E-7</v>
      </c>
      <c r="M215" s="4"/>
    </row>
    <row r="216" spans="1:13" outlineLevel="1" x14ac:dyDescent="0.35">
      <c r="B216" s="282" t="s">
        <v>122</v>
      </c>
      <c r="C216" s="282" t="s">
        <v>869</v>
      </c>
      <c r="D216" s="6">
        <f t="shared" si="40"/>
        <v>2.445525743468704E-6</v>
      </c>
      <c r="E216" s="6">
        <f t="shared" si="40"/>
        <v>6.0422203435546994E-7</v>
      </c>
      <c r="F216" s="6">
        <f t="shared" si="40"/>
        <v>2.3459087286849139E-7</v>
      </c>
      <c r="G216" s="6">
        <f t="shared" si="40"/>
        <v>1.9112296251611E-6</v>
      </c>
      <c r="H216" s="6">
        <f t="shared" si="40"/>
        <v>4.9891284917080644E-7</v>
      </c>
      <c r="I216" s="6">
        <f t="shared" si="40"/>
        <v>2.1387876523837101E-7</v>
      </c>
      <c r="J216" s="6">
        <f t="shared" si="40"/>
        <v>6.2876254522439755E-7</v>
      </c>
      <c r="K216" s="6">
        <f t="shared" si="40"/>
        <v>5.5593609370857821E-7</v>
      </c>
      <c r="L216" s="6">
        <f t="shared" si="40"/>
        <v>5.2155097946725118E-7</v>
      </c>
      <c r="M216" s="4"/>
    </row>
    <row r="217" spans="1:13" outlineLevel="1" x14ac:dyDescent="0.35">
      <c r="B217" s="282" t="s">
        <v>123</v>
      </c>
      <c r="C217" s="282" t="s">
        <v>869</v>
      </c>
      <c r="D217" s="6">
        <f t="shared" si="40"/>
        <v>2.0012222822249669E-7</v>
      </c>
      <c r="E217" s="6">
        <f t="shared" si="40"/>
        <v>6.1093319563827715E-8</v>
      </c>
      <c r="F217" s="6">
        <f t="shared" si="40"/>
        <v>3.2647215503458974E-8</v>
      </c>
      <c r="G217" s="6">
        <f t="shared" si="40"/>
        <v>4.6028112491174245E-10</v>
      </c>
      <c r="H217" s="6">
        <f t="shared" si="40"/>
        <v>1.405146349968037E-10</v>
      </c>
      <c r="I217" s="6">
        <f t="shared" si="40"/>
        <v>7.5088595657955673E-11</v>
      </c>
      <c r="J217" s="6">
        <f t="shared" si="40"/>
        <v>2.0012222822249669E-7</v>
      </c>
      <c r="K217" s="6">
        <f t="shared" si="40"/>
        <v>6.1093319563827715E-8</v>
      </c>
      <c r="L217" s="6">
        <f t="shared" si="40"/>
        <v>3.2647215503458974E-8</v>
      </c>
      <c r="M217" s="4"/>
    </row>
    <row r="218" spans="1:13" outlineLevel="1" x14ac:dyDescent="0.35">
      <c r="B218" s="282" t="s">
        <v>124</v>
      </c>
      <c r="C218" s="282" t="s">
        <v>869</v>
      </c>
      <c r="D218" s="6">
        <f>D206</f>
        <v>-2.8000764999999987E-6</v>
      </c>
      <c r="E218" s="6">
        <f t="shared" si="40"/>
        <v>-2.8000764999999987E-6</v>
      </c>
      <c r="F218" s="6">
        <f t="shared" si="40"/>
        <v>-2.8000764999999987E-6</v>
      </c>
      <c r="G218" s="6">
        <f t="shared" si="40"/>
        <v>-2.8000764999999987E-6</v>
      </c>
      <c r="H218" s="6">
        <f t="shared" si="40"/>
        <v>-2.8000764999999987E-6</v>
      </c>
      <c r="I218" s="6">
        <f t="shared" si="40"/>
        <v>-2.8000764999999987E-6</v>
      </c>
      <c r="J218" s="6">
        <f t="shared" si="40"/>
        <v>-2.8000764999999987E-6</v>
      </c>
      <c r="K218" s="6">
        <f t="shared" si="40"/>
        <v>-2.8000764999999987E-6</v>
      </c>
      <c r="L218" s="6">
        <f t="shared" si="40"/>
        <v>-2.8000764999999987E-6</v>
      </c>
      <c r="M218" s="4"/>
    </row>
    <row r="219" spans="1:13" outlineLevel="1" x14ac:dyDescent="0.35">
      <c r="B219" s="282" t="s">
        <v>137</v>
      </c>
      <c r="C219" s="282" t="s">
        <v>869</v>
      </c>
      <c r="D219" s="6">
        <f>SUM(D210:D218)</f>
        <v>-2.591559746955671E-8</v>
      </c>
      <c r="E219" s="6">
        <f t="shared" ref="E219:L219" si="41">SUM(E210:E218)</f>
        <v>-2.0179754978502126E-6</v>
      </c>
      <c r="F219" s="6">
        <f t="shared" si="41"/>
        <v>-2.4333848913942936E-6</v>
      </c>
      <c r="G219" s="6">
        <f t="shared" si="41"/>
        <v>-7.5987366287474584E-7</v>
      </c>
      <c r="H219" s="6">
        <f t="shared" si="41"/>
        <v>-2.184237487963707E-6</v>
      </c>
      <c r="I219" s="6">
        <f t="shared" si="41"/>
        <v>-2.4866691259322148E-6</v>
      </c>
      <c r="J219" s="6">
        <f t="shared" si="41"/>
        <v>-9.2556544169599085E-7</v>
      </c>
      <c r="K219" s="6">
        <f t="shared" si="41"/>
        <v>-1.1860877752834098E-6</v>
      </c>
      <c r="L219" s="6">
        <f t="shared" si="41"/>
        <v>-1.3881121661888714E-6</v>
      </c>
      <c r="M219" s="4"/>
    </row>
    <row r="220" spans="1:13" outlineLevel="1" x14ac:dyDescent="0.35">
      <c r="M220" s="4"/>
    </row>
    <row r="221" spans="1:13" outlineLevel="1" x14ac:dyDescent="0.35">
      <c r="A221" s="15" t="s">
        <v>166</v>
      </c>
      <c r="B221" s="30"/>
      <c r="C221" s="140" t="s">
        <v>180</v>
      </c>
      <c r="D221" s="6" t="s">
        <v>889</v>
      </c>
      <c r="E221" s="6" t="s">
        <v>891</v>
      </c>
      <c r="F221" s="6" t="s">
        <v>890</v>
      </c>
      <c r="G221" s="6" t="s">
        <v>892</v>
      </c>
      <c r="H221" s="6" t="s">
        <v>893</v>
      </c>
      <c r="I221" s="6" t="s">
        <v>894</v>
      </c>
      <c r="J221" s="6" t="s">
        <v>896</v>
      </c>
      <c r="K221" s="6" t="s">
        <v>897</v>
      </c>
      <c r="L221" s="6" t="s">
        <v>895</v>
      </c>
      <c r="M221" s="4"/>
    </row>
    <row r="222" spans="1:13" outlineLevel="1" x14ac:dyDescent="0.35">
      <c r="B222" s="282" t="s">
        <v>117</v>
      </c>
      <c r="C222" s="282" t="s">
        <v>869</v>
      </c>
      <c r="D222" s="6">
        <f>D198</f>
        <v>7.7870133042031404E-8</v>
      </c>
      <c r="E222" s="6">
        <f t="shared" ref="E222:L225" si="42">E198</f>
        <v>7.338610768603722E-8</v>
      </c>
      <c r="F222" s="6">
        <f t="shared" si="42"/>
        <v>6.0907644566846106E-8</v>
      </c>
      <c r="G222" s="6">
        <f t="shared" si="42"/>
        <v>7.7870133042031404E-8</v>
      </c>
      <c r="H222" s="6">
        <f t="shared" si="42"/>
        <v>7.338610768603722E-8</v>
      </c>
      <c r="I222" s="6">
        <f t="shared" si="42"/>
        <v>6.0907644566846106E-8</v>
      </c>
      <c r="J222" s="6">
        <f t="shared" si="42"/>
        <v>1.4397366517620688E-7</v>
      </c>
      <c r="K222" s="6">
        <f t="shared" si="42"/>
        <v>1.3509196445407891E-7</v>
      </c>
      <c r="L222" s="6">
        <f t="shared" si="42"/>
        <v>1.1038430518141741E-7</v>
      </c>
      <c r="M222" s="4"/>
    </row>
    <row r="223" spans="1:13" outlineLevel="1" x14ac:dyDescent="0.35">
      <c r="B223" s="282" t="s">
        <v>118</v>
      </c>
      <c r="C223" s="282" t="s">
        <v>869</v>
      </c>
      <c r="D223" s="6">
        <f>D199</f>
        <v>4.544829349235703E-9</v>
      </c>
      <c r="E223" s="6">
        <f t="shared" si="42"/>
        <v>4.3063190758316633E-9</v>
      </c>
      <c r="F223" s="6">
        <f t="shared" si="42"/>
        <v>3.9146385309138401E-9</v>
      </c>
      <c r="G223" s="6">
        <f t="shared" si="42"/>
        <v>4.544829349235703E-9</v>
      </c>
      <c r="H223" s="6">
        <f t="shared" si="42"/>
        <v>4.3063190758316633E-9</v>
      </c>
      <c r="I223" s="6">
        <f t="shared" si="42"/>
        <v>3.9146385309138401E-9</v>
      </c>
      <c r="J223" s="6">
        <f t="shared" si="42"/>
        <v>4.544829349235703E-9</v>
      </c>
      <c r="K223" s="6">
        <f t="shared" si="42"/>
        <v>4.3063190758316633E-9</v>
      </c>
      <c r="L223" s="6">
        <f t="shared" si="42"/>
        <v>3.9146385309138401E-9</v>
      </c>
      <c r="M223" s="4"/>
    </row>
    <row r="224" spans="1:13" outlineLevel="1" x14ac:dyDescent="0.35">
      <c r="B224" s="282" t="s">
        <v>119</v>
      </c>
      <c r="C224" s="282" t="s">
        <v>869</v>
      </c>
      <c r="D224" s="6">
        <f>D200</f>
        <v>1.133100649886742E-9</v>
      </c>
      <c r="E224" s="6">
        <f t="shared" si="42"/>
        <v>1.03257477561019E-9</v>
      </c>
      <c r="F224" s="6">
        <f t="shared" si="42"/>
        <v>9.9919091331168175E-10</v>
      </c>
      <c r="G224" s="6">
        <f t="shared" si="42"/>
        <v>1.133100649886742E-9</v>
      </c>
      <c r="H224" s="6">
        <f t="shared" si="42"/>
        <v>1.03257477561019E-9</v>
      </c>
      <c r="I224" s="6">
        <f t="shared" si="42"/>
        <v>9.9919091331168175E-10</v>
      </c>
      <c r="J224" s="6">
        <f t="shared" si="42"/>
        <v>2.2662012997734839E-9</v>
      </c>
      <c r="K224" s="6">
        <f t="shared" si="42"/>
        <v>2.06514955122038E-9</v>
      </c>
      <c r="L224" s="6">
        <f t="shared" si="42"/>
        <v>1.9983818266233635E-9</v>
      </c>
      <c r="M224" s="4"/>
    </row>
    <row r="225" spans="1:20" outlineLevel="1" x14ac:dyDescent="0.35">
      <c r="B225" s="282" t="s">
        <v>120</v>
      </c>
      <c r="C225" s="282" t="s">
        <v>869</v>
      </c>
      <c r="D225" s="6">
        <f>D201</f>
        <v>3.7046222513391852E-11</v>
      </c>
      <c r="E225" s="6">
        <f t="shared" si="42"/>
        <v>3.5671062893842507E-11</v>
      </c>
      <c r="F225" s="6">
        <f t="shared" si="42"/>
        <v>3.5716564968595088E-11</v>
      </c>
      <c r="G225" s="6">
        <f t="shared" si="42"/>
        <v>3.7046222513391852E-11</v>
      </c>
      <c r="H225" s="6">
        <f t="shared" si="42"/>
        <v>3.5671062893842507E-11</v>
      </c>
      <c r="I225" s="6">
        <f t="shared" si="42"/>
        <v>3.5716564968595088E-11</v>
      </c>
      <c r="J225" s="6">
        <f t="shared" si="42"/>
        <v>3.7046222513391852E-11</v>
      </c>
      <c r="K225" s="6">
        <f t="shared" si="42"/>
        <v>3.5671062893842507E-11</v>
      </c>
      <c r="L225" s="6">
        <f t="shared" si="42"/>
        <v>3.5716564968595088E-11</v>
      </c>
      <c r="M225" s="4"/>
    </row>
    <row r="226" spans="1:20" outlineLevel="1" x14ac:dyDescent="0.35">
      <c r="B226" s="282" t="s">
        <v>121</v>
      </c>
      <c r="C226" s="282" t="s">
        <v>869</v>
      </c>
      <c r="D226" s="26">
        <f>SUM('Results ReCiPe (H) - ESD'!$B$37,'Results ReCiPe (H) - ESD'!$G$37,'Results ReCiPe (H) - ESD'!$L$37,'Results ReCiPe (H) - ESD'!$Q$37,'Results ReCiPe (H) - ESD'!$V$37)/25/100</f>
        <v>9.0162186413750462E-9</v>
      </c>
      <c r="E226" s="6">
        <f>SUM('Results ReCiPe (H) - ESD'!$B$77,'Results ReCiPe (H) - ESD'!$G$77,'Results ReCiPe (H) - ESD'!$L$77,'Results ReCiPe (H) - ESD'!$Q$77,'Results ReCiPe (H) - ESD'!$V$77)/25/100</f>
        <v>7.7693826380374351E-9</v>
      </c>
      <c r="F226" s="6">
        <f>SUM('Results ReCiPe (H) - ESD'!$B$117,'Results ReCiPe (H) - ESD'!$G$117,'Results ReCiPe (H) - ESD'!$L$117,'Results ReCiPe (H) - ESD'!$Q$117,'Results ReCiPe (H) - ESD'!$V$117)/25/100</f>
        <v>6.785668848481939E-9</v>
      </c>
      <c r="G226" s="6">
        <f>SUM('Results ReCiPe (H) - ESD'!$B$37,'Results ReCiPe (H) - ESD'!$G$37,'Results ReCiPe (H) - ESD'!$L$37,'Results ReCiPe (H) - ESD'!$Q$37,'Results ReCiPe (H) - ESD'!$V$37)/25/100</f>
        <v>9.0162186413750462E-9</v>
      </c>
      <c r="H226" s="6">
        <f>SUM('Results ReCiPe (H) - ESD'!$B$77,'Results ReCiPe (H) - ESD'!$G$77,'Results ReCiPe (H) - ESD'!$L$77,'Results ReCiPe (H) - ESD'!$Q$77,'Results ReCiPe (H) - ESD'!$V$77)/25/100</f>
        <v>7.7693826380374351E-9</v>
      </c>
      <c r="I226" s="6">
        <f>SUM('Results ReCiPe (H) - ESD'!$B$117,'Results ReCiPe (H) - ESD'!$G$117,'Results ReCiPe (H) - ESD'!$L$117,'Results ReCiPe (H) - ESD'!$Q$117,'Results ReCiPe (H) - ESD'!$V$117)/25/100</f>
        <v>6.785668848481939E-9</v>
      </c>
      <c r="J226" s="6">
        <f>SUM('Results ReCiPe (H) - ESD'!$B$37,'Results ReCiPe (H) - ESD'!$G$37,'Results ReCiPe (H) - ESD'!$L$37,'Results ReCiPe (H) - ESD'!$Q$37,'Results ReCiPe (H) - ESD'!$V$37)/25/100</f>
        <v>9.0162186413750462E-9</v>
      </c>
      <c r="K226" s="6">
        <f>SUM('Results ReCiPe (H) - ESD'!$B$77,'Results ReCiPe (H) - ESD'!$G$77,'Results ReCiPe (H) - ESD'!$L$77,'Results ReCiPe (H) - ESD'!$Q$77,'Results ReCiPe (H) - ESD'!$V$77)/25/100</f>
        <v>7.7693826380374351E-9</v>
      </c>
      <c r="L226" s="6">
        <f>SUM('Results ReCiPe (H) - ESD'!$B$117,'Results ReCiPe (H) - ESD'!$G$117,'Results ReCiPe (H) - ESD'!$L$117,'Results ReCiPe (H) - ESD'!$Q$117,'Results ReCiPe (H) - ESD'!$V$117)/25/100</f>
        <v>6.785668848481939E-9</v>
      </c>
      <c r="M226" s="4"/>
    </row>
    <row r="227" spans="1:20" outlineLevel="1" x14ac:dyDescent="0.35">
      <c r="B227" s="282" t="s">
        <v>797</v>
      </c>
      <c r="C227" s="282" t="s">
        <v>869</v>
      </c>
      <c r="D227" s="6">
        <f>D203</f>
        <v>0</v>
      </c>
      <c r="E227" s="6">
        <f t="shared" ref="E227:L227" si="43">E203</f>
        <v>0</v>
      </c>
      <c r="F227" s="6">
        <f t="shared" si="43"/>
        <v>0</v>
      </c>
      <c r="G227" s="6">
        <f t="shared" si="43"/>
        <v>0</v>
      </c>
      <c r="H227" s="6">
        <f t="shared" si="43"/>
        <v>0</v>
      </c>
      <c r="I227" s="6">
        <f t="shared" si="43"/>
        <v>0</v>
      </c>
      <c r="J227" s="6">
        <f t="shared" si="43"/>
        <v>8.4987672123381005E-7</v>
      </c>
      <c r="K227" s="6">
        <f t="shared" si="43"/>
        <v>8.1743523167004277E-7</v>
      </c>
      <c r="L227" s="6">
        <f t="shared" si="43"/>
        <v>7.0783676707877945E-7</v>
      </c>
      <c r="M227" s="4"/>
    </row>
    <row r="228" spans="1:20" outlineLevel="1" x14ac:dyDescent="0.35">
      <c r="B228" s="282" t="s">
        <v>122</v>
      </c>
      <c r="C228" s="282" t="s">
        <v>869</v>
      </c>
      <c r="D228" s="6">
        <f t="shared" ref="D228:L230" si="44">D204</f>
        <v>2.445525743468704E-6</v>
      </c>
      <c r="E228" s="6">
        <f t="shared" si="44"/>
        <v>6.0422203435546994E-7</v>
      </c>
      <c r="F228" s="6">
        <f t="shared" si="44"/>
        <v>2.3459087286849139E-7</v>
      </c>
      <c r="G228" s="6">
        <f t="shared" si="44"/>
        <v>1.9112296251611E-6</v>
      </c>
      <c r="H228" s="6">
        <f t="shared" si="44"/>
        <v>4.9891284917080644E-7</v>
      </c>
      <c r="I228" s="6">
        <f t="shared" si="44"/>
        <v>2.1387876523837101E-7</v>
      </c>
      <c r="J228" s="6">
        <f t="shared" si="44"/>
        <v>6.2876254522439755E-7</v>
      </c>
      <c r="K228" s="6">
        <f t="shared" si="44"/>
        <v>5.5593609370857821E-7</v>
      </c>
      <c r="L228" s="6">
        <f t="shared" si="44"/>
        <v>5.2155097946725118E-7</v>
      </c>
      <c r="M228" s="4"/>
    </row>
    <row r="229" spans="1:20" outlineLevel="1" x14ac:dyDescent="0.35">
      <c r="B229" s="282" t="s">
        <v>123</v>
      </c>
      <c r="C229" s="282" t="s">
        <v>869</v>
      </c>
      <c r="D229" s="6">
        <f t="shared" si="44"/>
        <v>2.0012222822249669E-7</v>
      </c>
      <c r="E229" s="6">
        <f t="shared" si="44"/>
        <v>6.1093319563827715E-8</v>
      </c>
      <c r="F229" s="6">
        <f t="shared" si="44"/>
        <v>3.2647215503458974E-8</v>
      </c>
      <c r="G229" s="6">
        <f t="shared" si="44"/>
        <v>4.6028112491174245E-10</v>
      </c>
      <c r="H229" s="6">
        <f t="shared" si="44"/>
        <v>1.405146349968037E-10</v>
      </c>
      <c r="I229" s="6">
        <f t="shared" si="44"/>
        <v>7.5088595657955673E-11</v>
      </c>
      <c r="J229" s="6">
        <f t="shared" si="44"/>
        <v>2.0012222822249669E-7</v>
      </c>
      <c r="K229" s="6">
        <f t="shared" si="44"/>
        <v>6.1093319563827715E-8</v>
      </c>
      <c r="L229" s="6">
        <f t="shared" si="44"/>
        <v>3.2647215503458974E-8</v>
      </c>
      <c r="M229" s="4"/>
    </row>
    <row r="230" spans="1:20" outlineLevel="1" x14ac:dyDescent="0.35">
      <c r="B230" s="282" t="s">
        <v>124</v>
      </c>
      <c r="C230" s="282" t="s">
        <v>869</v>
      </c>
      <c r="D230" s="6">
        <f t="shared" si="44"/>
        <v>-2.8000764999999987E-6</v>
      </c>
      <c r="E230" s="6">
        <f t="shared" si="44"/>
        <v>-2.8000764999999987E-6</v>
      </c>
      <c r="F230" s="6">
        <f t="shared" si="44"/>
        <v>-2.8000764999999987E-6</v>
      </c>
      <c r="G230" s="6">
        <f t="shared" si="44"/>
        <v>-2.8000764999999987E-6</v>
      </c>
      <c r="H230" s="6">
        <f t="shared" si="44"/>
        <v>-2.8000764999999987E-6</v>
      </c>
      <c r="I230" s="6">
        <f t="shared" si="44"/>
        <v>-2.8000764999999987E-6</v>
      </c>
      <c r="J230" s="6">
        <f t="shared" si="44"/>
        <v>-2.8000764999999987E-6</v>
      </c>
      <c r="K230" s="6">
        <f t="shared" si="44"/>
        <v>-2.8000764999999987E-6</v>
      </c>
      <c r="L230" s="6">
        <f t="shared" si="44"/>
        <v>-2.8000764999999987E-6</v>
      </c>
      <c r="M230" s="4"/>
    </row>
    <row r="231" spans="1:20" outlineLevel="1" x14ac:dyDescent="0.35">
      <c r="B231" s="282" t="s">
        <v>137</v>
      </c>
      <c r="C231" s="282" t="s">
        <v>869</v>
      </c>
      <c r="D231" s="6">
        <f>SUM(D222:D230)</f>
        <v>-6.1827200403755591E-8</v>
      </c>
      <c r="E231" s="6">
        <f t="shared" ref="E231:L231" si="45">SUM(E222:E230)</f>
        <v>-2.0482310908422905E-6</v>
      </c>
      <c r="F231" s="6">
        <f t="shared" si="45"/>
        <v>-2.4601955522035261E-6</v>
      </c>
      <c r="G231" s="6">
        <f t="shared" si="45"/>
        <v>-7.9578526580894472E-7</v>
      </c>
      <c r="H231" s="6">
        <f t="shared" si="45"/>
        <v>-2.2144930809557852E-6</v>
      </c>
      <c r="I231" s="6">
        <f t="shared" si="45"/>
        <v>-2.5134797867414476E-6</v>
      </c>
      <c r="J231" s="6">
        <f t="shared" si="45"/>
        <v>-9.6147704463019016E-7</v>
      </c>
      <c r="K231" s="6">
        <f t="shared" si="45"/>
        <v>-1.2163433682754878E-6</v>
      </c>
      <c r="L231" s="6">
        <f t="shared" si="45"/>
        <v>-1.4149228269981038E-6</v>
      </c>
      <c r="M231" s="4"/>
    </row>
    <row r="232" spans="1:20" outlineLevel="1" x14ac:dyDescent="0.35">
      <c r="M232" s="4"/>
    </row>
    <row r="233" spans="1:20" x14ac:dyDescent="0.35">
      <c r="A233" s="170" t="s">
        <v>813</v>
      </c>
      <c r="B233" s="4"/>
      <c r="C233" s="4"/>
      <c r="D233" s="4"/>
      <c r="E233" s="4"/>
      <c r="F233" s="4"/>
      <c r="G233" s="4"/>
      <c r="H233" s="4"/>
      <c r="I233" s="4"/>
      <c r="J233" s="4"/>
      <c r="K233" s="4"/>
      <c r="L233" s="4"/>
      <c r="M233" s="4"/>
      <c r="T233" s="282"/>
    </row>
    <row r="234" spans="1:20" outlineLevel="1" x14ac:dyDescent="0.35">
      <c r="A234" s="15" t="s">
        <v>417</v>
      </c>
      <c r="B234" s="30"/>
      <c r="C234" s="140" t="s">
        <v>180</v>
      </c>
      <c r="D234" s="6" t="s">
        <v>889</v>
      </c>
      <c r="E234" s="6" t="s">
        <v>891</v>
      </c>
      <c r="F234" s="6" t="s">
        <v>890</v>
      </c>
      <c r="G234" s="6" t="s">
        <v>892</v>
      </c>
      <c r="H234" s="6" t="s">
        <v>893</v>
      </c>
      <c r="I234" s="6" t="s">
        <v>894</v>
      </c>
      <c r="J234" s="6" t="s">
        <v>896</v>
      </c>
      <c r="K234" s="6" t="s">
        <v>897</v>
      </c>
      <c r="L234" s="6" t="s">
        <v>895</v>
      </c>
      <c r="M234" s="4"/>
      <c r="T234" s="282"/>
    </row>
    <row r="235" spans="1:20" outlineLevel="1" x14ac:dyDescent="0.35">
      <c r="B235" s="282" t="s">
        <v>117</v>
      </c>
      <c r="C235" s="282" t="s">
        <v>869</v>
      </c>
      <c r="D235" s="6">
        <f>'Results ReCiPe (H) - ESD'!B467</f>
        <v>7.7870133042031404E-8</v>
      </c>
      <c r="E235" s="6">
        <f>'Results ReCiPe (H) - ESD'!C467</f>
        <v>7.338610768603722E-8</v>
      </c>
      <c r="F235" s="6">
        <f>'Results ReCiPe (H) - ESD'!D467</f>
        <v>6.0907644566846106E-8</v>
      </c>
      <c r="G235" s="6">
        <f>'Results ReCiPe (H) - ESD'!E467</f>
        <v>7.7870133042031404E-8</v>
      </c>
      <c r="H235" s="6">
        <f>'Results ReCiPe (H) - ESD'!F467</f>
        <v>7.338610768603722E-8</v>
      </c>
      <c r="I235" s="6">
        <f>'Results ReCiPe (H) - ESD'!G467</f>
        <v>6.0907644566846106E-8</v>
      </c>
      <c r="J235" s="6">
        <f>'Results ReCiPe (H) - ESD'!H467</f>
        <v>1.4397366517620688E-7</v>
      </c>
      <c r="K235" s="6">
        <f>'Results ReCiPe (H) - ESD'!I467</f>
        <v>1.3509196445407891E-7</v>
      </c>
      <c r="L235" s="6">
        <f>'Results ReCiPe (H) - ESD'!J467</f>
        <v>1.1038430518141741E-7</v>
      </c>
      <c r="M235" s="4"/>
      <c r="T235" s="282"/>
    </row>
    <row r="236" spans="1:20" outlineLevel="1" x14ac:dyDescent="0.35">
      <c r="B236" s="282" t="s">
        <v>118</v>
      </c>
      <c r="C236" s="282" t="s">
        <v>869</v>
      </c>
      <c r="D236" s="6">
        <f>'Results ReCiPe (H) - ESD'!B468</f>
        <v>4.544829349235703E-9</v>
      </c>
      <c r="E236" s="6">
        <f>'Results ReCiPe (H) - ESD'!C468</f>
        <v>4.3063190758316633E-9</v>
      </c>
      <c r="F236" s="6">
        <f>'Results ReCiPe (H) - ESD'!D468</f>
        <v>3.9146385309138401E-9</v>
      </c>
      <c r="G236" s="6">
        <f>'Results ReCiPe (H) - ESD'!E468</f>
        <v>4.544829349235703E-9</v>
      </c>
      <c r="H236" s="6">
        <f>'Results ReCiPe (H) - ESD'!F468</f>
        <v>4.3063190758316633E-9</v>
      </c>
      <c r="I236" s="6">
        <f>'Results ReCiPe (H) - ESD'!G468</f>
        <v>3.9146385309138401E-9</v>
      </c>
      <c r="J236" s="6">
        <f>'Results ReCiPe (H) - ESD'!H468</f>
        <v>4.544829349235703E-9</v>
      </c>
      <c r="K236" s="6">
        <f>'Results ReCiPe (H) - ESD'!I468</f>
        <v>4.3063190758316633E-9</v>
      </c>
      <c r="L236" s="6">
        <f>'Results ReCiPe (H) - ESD'!J468</f>
        <v>3.9146385309138401E-9</v>
      </c>
      <c r="M236" s="4"/>
      <c r="T236" s="282"/>
    </row>
    <row r="237" spans="1:20" outlineLevel="1" x14ac:dyDescent="0.35">
      <c r="B237" s="282" t="s">
        <v>119</v>
      </c>
      <c r="C237" s="282" t="s">
        <v>869</v>
      </c>
      <c r="D237" s="6">
        <f>'Results ReCiPe (H) - ESD'!B469</f>
        <v>1.133100649886742E-9</v>
      </c>
      <c r="E237" s="6">
        <f>'Results ReCiPe (H) - ESD'!C469</f>
        <v>1.03257477561019E-9</v>
      </c>
      <c r="F237" s="6">
        <f>'Results ReCiPe (H) - ESD'!D469</f>
        <v>9.9919091331168175E-10</v>
      </c>
      <c r="G237" s="6">
        <f>'Results ReCiPe (H) - ESD'!E469</f>
        <v>1.133100649886742E-9</v>
      </c>
      <c r="H237" s="6">
        <f>'Results ReCiPe (H) - ESD'!F469</f>
        <v>1.03257477561019E-9</v>
      </c>
      <c r="I237" s="6">
        <f>'Results ReCiPe (H) - ESD'!G469</f>
        <v>9.9919091331168175E-10</v>
      </c>
      <c r="J237" s="6">
        <f>'Results ReCiPe (H) - ESD'!H469</f>
        <v>2.2662012997734839E-9</v>
      </c>
      <c r="K237" s="6">
        <f>'Results ReCiPe (H) - ESD'!I469</f>
        <v>2.06514955122038E-9</v>
      </c>
      <c r="L237" s="6">
        <f>'Results ReCiPe (H) - ESD'!J469</f>
        <v>1.9983818266233635E-9</v>
      </c>
      <c r="M237" s="4"/>
    </row>
    <row r="238" spans="1:20" outlineLevel="1" x14ac:dyDescent="0.35">
      <c r="B238" s="282" t="s">
        <v>120</v>
      </c>
      <c r="C238" s="282" t="s">
        <v>869</v>
      </c>
      <c r="D238" s="6">
        <f>'Results ReCiPe (H) - ESD'!B470</f>
        <v>3.7046222513391852E-11</v>
      </c>
      <c r="E238" s="6">
        <f>'Results ReCiPe (H) - ESD'!C470</f>
        <v>3.5671062893842507E-11</v>
      </c>
      <c r="F238" s="6">
        <f>'Results ReCiPe (H) - ESD'!D470</f>
        <v>3.5716564968595088E-11</v>
      </c>
      <c r="G238" s="6">
        <f>'Results ReCiPe (H) - ESD'!E470</f>
        <v>3.7046222513391852E-11</v>
      </c>
      <c r="H238" s="6">
        <f>'Results ReCiPe (H) - ESD'!F470</f>
        <v>3.5671062893842507E-11</v>
      </c>
      <c r="I238" s="6">
        <f>'Results ReCiPe (H) - ESD'!G470</f>
        <v>3.5716564968595088E-11</v>
      </c>
      <c r="J238" s="6">
        <f>'Results ReCiPe (H) - ESD'!H470</f>
        <v>3.7046222513391852E-11</v>
      </c>
      <c r="K238" s="6">
        <f>'Results ReCiPe (H) - ESD'!I470</f>
        <v>3.5671062893842507E-11</v>
      </c>
      <c r="L238" s="6">
        <f>'Results ReCiPe (H) - ESD'!J470</f>
        <v>3.5716564968595088E-11</v>
      </c>
      <c r="M238" s="4"/>
    </row>
    <row r="239" spans="1:20" outlineLevel="1" x14ac:dyDescent="0.35">
      <c r="B239" s="282" t="s">
        <v>121</v>
      </c>
      <c r="C239" s="282" t="s">
        <v>869</v>
      </c>
      <c r="D239" s="6">
        <f>'Results ReCiPe (H) - ESD'!B471</f>
        <v>1.6163480748994424E-8</v>
      </c>
      <c r="E239" s="6">
        <f>'Results ReCiPe (H) - ESD'!C471</f>
        <v>1.3708771072106342E-8</v>
      </c>
      <c r="F239" s="6">
        <f>'Results ReCiPe (H) - ESD'!D471</f>
        <v>1.213886828294613E-8</v>
      </c>
      <c r="G239" s="6">
        <f>'Results ReCiPe (H) - ESD'!E471</f>
        <v>1.6163480748994424E-8</v>
      </c>
      <c r="H239" s="6">
        <f>'Results ReCiPe (H) - ESD'!F471</f>
        <v>1.3708771072106342E-8</v>
      </c>
      <c r="I239" s="6">
        <f>'Results ReCiPe (H) - ESD'!G471</f>
        <v>1.213886828294613E-8</v>
      </c>
      <c r="J239" s="6">
        <f>'Results ReCiPe (H) - ESD'!H471</f>
        <v>3.2326961497988848E-8</v>
      </c>
      <c r="K239" s="6">
        <f>'Results ReCiPe (H) - ESD'!I471</f>
        <v>2.7417542144212684E-8</v>
      </c>
      <c r="L239" s="6">
        <f>'Results ReCiPe (H) - ESD'!J471</f>
        <v>2.4277736565892259E-8</v>
      </c>
      <c r="M239" s="4"/>
    </row>
    <row r="240" spans="1:20" outlineLevel="1" x14ac:dyDescent="0.35">
      <c r="B240" s="282" t="s">
        <v>797</v>
      </c>
      <c r="C240" s="282" t="s">
        <v>869</v>
      </c>
      <c r="D240" s="6">
        <f>'Results ReCiPe (H) - ESD'!B472</f>
        <v>0</v>
      </c>
      <c r="E240" s="6">
        <f>'Results ReCiPe (H) - ESD'!C472</f>
        <v>0</v>
      </c>
      <c r="F240" s="6">
        <f>'Results ReCiPe (H) - ESD'!D472</f>
        <v>0</v>
      </c>
      <c r="G240" s="6">
        <f>'Results ReCiPe (H) - ESD'!E472</f>
        <v>0</v>
      </c>
      <c r="H240" s="6">
        <f>'Results ReCiPe (H) - ESD'!F472</f>
        <v>0</v>
      </c>
      <c r="I240" s="6">
        <f>'Results ReCiPe (H) - ESD'!G472</f>
        <v>0</v>
      </c>
      <c r="J240" s="6">
        <f>'Results ReCiPe (H) - ESD'!H472</f>
        <v>8.4987672123381005E-7</v>
      </c>
      <c r="K240" s="6">
        <f>'Results ReCiPe (H) - ESD'!I472</f>
        <v>8.1743523167004277E-7</v>
      </c>
      <c r="L240" s="6">
        <f>'Results ReCiPe (H) - ESD'!J472</f>
        <v>7.0783676707877945E-7</v>
      </c>
      <c r="M240" s="4"/>
    </row>
    <row r="241" spans="1:13" outlineLevel="1" x14ac:dyDescent="0.35">
      <c r="B241" s="282" t="s">
        <v>122</v>
      </c>
      <c r="C241" s="282" t="s">
        <v>869</v>
      </c>
      <c r="D241" s="6">
        <f>'Results ReCiPe (H) - ESD'!B473</f>
        <v>2.445525743468704E-6</v>
      </c>
      <c r="E241" s="6">
        <f>'Results ReCiPe (H) - ESD'!C473</f>
        <v>6.0422203435546994E-7</v>
      </c>
      <c r="F241" s="6">
        <f>'Results ReCiPe (H) - ESD'!D473</f>
        <v>2.3459087286849139E-7</v>
      </c>
      <c r="G241" s="6">
        <f>'Results ReCiPe (H) - ESD'!E473</f>
        <v>1.9112296251611E-6</v>
      </c>
      <c r="H241" s="6">
        <f>'Results ReCiPe (H) - ESD'!F473</f>
        <v>4.9891284917080644E-7</v>
      </c>
      <c r="I241" s="6">
        <f>'Results ReCiPe (H) - ESD'!G473</f>
        <v>2.1387876523837101E-7</v>
      </c>
      <c r="J241" s="6">
        <f>'Results ReCiPe (H) - ESD'!H473</f>
        <v>6.2876254522439755E-7</v>
      </c>
      <c r="K241" s="6">
        <f>'Results ReCiPe (H) - ESD'!I473</f>
        <v>5.5593609370857821E-7</v>
      </c>
      <c r="L241" s="6">
        <f>'Results ReCiPe (H) - ESD'!J473</f>
        <v>5.2155097946725118E-7</v>
      </c>
      <c r="M241" s="4"/>
    </row>
    <row r="242" spans="1:13" outlineLevel="1" x14ac:dyDescent="0.35">
      <c r="B242" s="282" t="s">
        <v>123</v>
      </c>
      <c r="C242" s="282" t="s">
        <v>869</v>
      </c>
      <c r="D242" s="6">
        <f>'Results ReCiPe (H) - ESD'!B474</f>
        <v>2.0012222822249669E-7</v>
      </c>
      <c r="E242" s="6">
        <f>'Results ReCiPe (H) - ESD'!C474</f>
        <v>6.1093319563827715E-8</v>
      </c>
      <c r="F242" s="6">
        <f>'Results ReCiPe (H) - ESD'!D474</f>
        <v>3.2647215503458974E-8</v>
      </c>
      <c r="G242" s="6">
        <f>'Results ReCiPe (H) - ESD'!E474</f>
        <v>4.6028112491174245E-10</v>
      </c>
      <c r="H242" s="6">
        <f>'Results ReCiPe (H) - ESD'!F474</f>
        <v>1.405146349968037E-10</v>
      </c>
      <c r="I242" s="6">
        <f>'Results ReCiPe (H) - ESD'!G474</f>
        <v>7.5088595657955673E-11</v>
      </c>
      <c r="J242" s="6">
        <f>'Results ReCiPe (H) - ESD'!H474</f>
        <v>2.0012222822249669E-7</v>
      </c>
      <c r="K242" s="6">
        <f>'Results ReCiPe (H) - ESD'!I474</f>
        <v>6.1093319563827715E-8</v>
      </c>
      <c r="L242" s="6">
        <f>'Results ReCiPe (H) - ESD'!J474</f>
        <v>3.2647215503458974E-8</v>
      </c>
      <c r="M242" s="4"/>
    </row>
    <row r="243" spans="1:13" outlineLevel="1" x14ac:dyDescent="0.35">
      <c r="B243" s="282" t="s">
        <v>124</v>
      </c>
      <c r="C243" s="282" t="s">
        <v>869</v>
      </c>
      <c r="D243" s="6">
        <f>'Results ReCiPe (H) - ESD'!B475</f>
        <v>-2.8000764999999987E-6</v>
      </c>
      <c r="E243" s="6">
        <f>'Results ReCiPe (H) - ESD'!C475</f>
        <v>-2.8000764999999987E-6</v>
      </c>
      <c r="F243" s="6">
        <f>'Results ReCiPe (H) - ESD'!D475</f>
        <v>-2.8000764999999987E-6</v>
      </c>
      <c r="G243" s="6">
        <f>'Results ReCiPe (H) - ESD'!E475</f>
        <v>-2.8000764999999987E-6</v>
      </c>
      <c r="H243" s="6">
        <f>'Results ReCiPe (H) - ESD'!F475</f>
        <v>-2.8000764999999987E-6</v>
      </c>
      <c r="I243" s="6">
        <f>'Results ReCiPe (H) - ESD'!G475</f>
        <v>-2.8000764999999987E-6</v>
      </c>
      <c r="J243" s="6">
        <f>'Results ReCiPe (H) - ESD'!H475</f>
        <v>-2.8000764999999987E-6</v>
      </c>
      <c r="K243" s="6">
        <f>'Results ReCiPe (H) - ESD'!I475</f>
        <v>-2.8000764999999987E-6</v>
      </c>
      <c r="L243" s="6">
        <f>'Results ReCiPe (H) - ESD'!J475</f>
        <v>-2.8000764999999987E-6</v>
      </c>
      <c r="M243" s="4"/>
    </row>
    <row r="244" spans="1:13" outlineLevel="1" x14ac:dyDescent="0.35">
      <c r="B244" s="282" t="s">
        <v>137</v>
      </c>
      <c r="C244" s="282" t="s">
        <v>869</v>
      </c>
      <c r="D244" s="6">
        <f>SUM(D235:D243)</f>
        <v>-5.4679938296136215E-8</v>
      </c>
      <c r="E244" s="6">
        <f t="shared" ref="E244:L244" si="46">SUM(E235:E243)</f>
        <v>-2.0422917024082217E-6</v>
      </c>
      <c r="F244" s="6">
        <f t="shared" si="46"/>
        <v>-2.454842352769062E-6</v>
      </c>
      <c r="G244" s="6">
        <f t="shared" si="46"/>
        <v>-7.8863800370132534E-7</v>
      </c>
      <c r="H244" s="6">
        <f t="shared" si="46"/>
        <v>-2.208553692521716E-6</v>
      </c>
      <c r="I244" s="6">
        <f t="shared" si="46"/>
        <v>-2.5081265873069835E-6</v>
      </c>
      <c r="J244" s="6">
        <f t="shared" si="46"/>
        <v>-9.3816630177357636E-7</v>
      </c>
      <c r="K244" s="6">
        <f t="shared" si="46"/>
        <v>-1.1966952087693127E-6</v>
      </c>
      <c r="L244" s="6">
        <f t="shared" si="46"/>
        <v>-1.3974307592806936E-6</v>
      </c>
      <c r="M244" s="4"/>
    </row>
    <row r="245" spans="1:13" outlineLevel="1" x14ac:dyDescent="0.35">
      <c r="M245" s="4"/>
    </row>
    <row r="246" spans="1:13" outlineLevel="1" x14ac:dyDescent="0.35">
      <c r="A246" s="15" t="s">
        <v>814</v>
      </c>
      <c r="B246" s="30"/>
      <c r="C246" s="140" t="s">
        <v>180</v>
      </c>
      <c r="D246" s="6" t="s">
        <v>889</v>
      </c>
      <c r="E246" s="6" t="s">
        <v>891</v>
      </c>
      <c r="F246" s="6" t="s">
        <v>890</v>
      </c>
      <c r="G246" s="6" t="s">
        <v>892</v>
      </c>
      <c r="H246" s="6" t="s">
        <v>893</v>
      </c>
      <c r="I246" s="6" t="s">
        <v>894</v>
      </c>
      <c r="J246" s="6" t="s">
        <v>896</v>
      </c>
      <c r="K246" s="6" t="s">
        <v>897</v>
      </c>
      <c r="L246" s="6" t="s">
        <v>895</v>
      </c>
      <c r="M246" s="4"/>
    </row>
    <row r="247" spans="1:13" outlineLevel="1" x14ac:dyDescent="0.35">
      <c r="B247" s="282" t="s">
        <v>117</v>
      </c>
      <c r="C247" s="282" t="s">
        <v>869</v>
      </c>
      <c r="D247" s="6">
        <f>'Results ReCiPe (H) - ESD'!B467</f>
        <v>7.7870133042031404E-8</v>
      </c>
      <c r="E247" s="6">
        <f>'Results ReCiPe (H) - ESD'!C467</f>
        <v>7.338610768603722E-8</v>
      </c>
      <c r="F247" s="6">
        <f>'Results ReCiPe (H) - ESD'!D467</f>
        <v>6.0907644566846106E-8</v>
      </c>
      <c r="G247" s="6">
        <f>'Results ReCiPe (H) - ESD'!E467</f>
        <v>7.7870133042031404E-8</v>
      </c>
      <c r="H247" s="6">
        <f>'Results ReCiPe (H) - ESD'!F467</f>
        <v>7.338610768603722E-8</v>
      </c>
      <c r="I247" s="6">
        <f>'Results ReCiPe (H) - ESD'!G467</f>
        <v>6.0907644566846106E-8</v>
      </c>
      <c r="J247" s="6">
        <f>'Results ReCiPe (H) - ESD'!H467</f>
        <v>1.4397366517620688E-7</v>
      </c>
      <c r="K247" s="6">
        <f>'Results ReCiPe (H) - ESD'!I467</f>
        <v>1.3509196445407891E-7</v>
      </c>
      <c r="L247" s="6">
        <f>'Results ReCiPe (H) - ESD'!J467</f>
        <v>1.1038430518141741E-7</v>
      </c>
      <c r="M247" s="4"/>
    </row>
    <row r="248" spans="1:13" outlineLevel="1" x14ac:dyDescent="0.35">
      <c r="B248" s="282" t="s">
        <v>118</v>
      </c>
      <c r="C248" s="282" t="s">
        <v>869</v>
      </c>
      <c r="D248" s="6">
        <f>'Results ReCiPe (H) - ESD'!B468</f>
        <v>4.544829349235703E-9</v>
      </c>
      <c r="E248" s="6">
        <f>'Results ReCiPe (H) - ESD'!C468</f>
        <v>4.3063190758316633E-9</v>
      </c>
      <c r="F248" s="6">
        <f>'Results ReCiPe (H) - ESD'!D468</f>
        <v>3.9146385309138401E-9</v>
      </c>
      <c r="G248" s="6">
        <f>'Results ReCiPe (H) - ESD'!E468</f>
        <v>4.544829349235703E-9</v>
      </c>
      <c r="H248" s="6">
        <f>'Results ReCiPe (H) - ESD'!F468</f>
        <v>4.3063190758316633E-9</v>
      </c>
      <c r="I248" s="6">
        <f>'Results ReCiPe (H) - ESD'!G468</f>
        <v>3.9146385309138401E-9</v>
      </c>
      <c r="J248" s="6">
        <f>'Results ReCiPe (H) - ESD'!H468</f>
        <v>4.544829349235703E-9</v>
      </c>
      <c r="K248" s="6">
        <f>'Results ReCiPe (H) - ESD'!I468</f>
        <v>4.3063190758316633E-9</v>
      </c>
      <c r="L248" s="6">
        <f>'Results ReCiPe (H) - ESD'!J468</f>
        <v>3.9146385309138401E-9</v>
      </c>
      <c r="M248" s="4"/>
    </row>
    <row r="249" spans="1:13" outlineLevel="1" x14ac:dyDescent="0.35">
      <c r="B249" s="282" t="s">
        <v>119</v>
      </c>
      <c r="C249" s="282" t="s">
        <v>869</v>
      </c>
      <c r="D249" s="6">
        <f>'Results ReCiPe (H) - ESD'!B469</f>
        <v>1.133100649886742E-9</v>
      </c>
      <c r="E249" s="6">
        <f>'Results ReCiPe (H) - ESD'!C469</f>
        <v>1.03257477561019E-9</v>
      </c>
      <c r="F249" s="6">
        <f>'Results ReCiPe (H) - ESD'!D469</f>
        <v>9.9919091331168175E-10</v>
      </c>
      <c r="G249" s="6">
        <f>'Results ReCiPe (H) - ESD'!E469</f>
        <v>1.133100649886742E-9</v>
      </c>
      <c r="H249" s="6">
        <f>'Results ReCiPe (H) - ESD'!F469</f>
        <v>1.03257477561019E-9</v>
      </c>
      <c r="I249" s="6">
        <f>'Results ReCiPe (H) - ESD'!G469</f>
        <v>9.9919091331168175E-10</v>
      </c>
      <c r="J249" s="6">
        <f>'Results ReCiPe (H) - ESD'!H469</f>
        <v>2.2662012997734839E-9</v>
      </c>
      <c r="K249" s="6">
        <f>'Results ReCiPe (H) - ESD'!I469</f>
        <v>2.06514955122038E-9</v>
      </c>
      <c r="L249" s="6">
        <f>'Results ReCiPe (H) - ESD'!J469</f>
        <v>1.9983818266233635E-9</v>
      </c>
      <c r="M249" s="4"/>
    </row>
    <row r="250" spans="1:13" outlineLevel="1" x14ac:dyDescent="0.35">
      <c r="B250" s="282" t="s">
        <v>120</v>
      </c>
      <c r="C250" s="282" t="s">
        <v>869</v>
      </c>
      <c r="D250" s="6">
        <f>'Results ReCiPe (H) - ESD'!B470</f>
        <v>3.7046222513391852E-11</v>
      </c>
      <c r="E250" s="6">
        <f>'Results ReCiPe (H) - ESD'!C470</f>
        <v>3.5671062893842507E-11</v>
      </c>
      <c r="F250" s="6">
        <f>'Results ReCiPe (H) - ESD'!D470</f>
        <v>3.5716564968595088E-11</v>
      </c>
      <c r="G250" s="6">
        <f>'Results ReCiPe (H) - ESD'!E470</f>
        <v>3.7046222513391852E-11</v>
      </c>
      <c r="H250" s="6">
        <f>'Results ReCiPe (H) - ESD'!F470</f>
        <v>3.5671062893842507E-11</v>
      </c>
      <c r="I250" s="6">
        <f>'Results ReCiPe (H) - ESD'!G470</f>
        <v>3.5716564968595088E-11</v>
      </c>
      <c r="J250" s="6">
        <f>'Results ReCiPe (H) - ESD'!H470</f>
        <v>3.7046222513391852E-11</v>
      </c>
      <c r="K250" s="6">
        <f>'Results ReCiPe (H) - ESD'!I470</f>
        <v>3.5671062893842507E-11</v>
      </c>
      <c r="L250" s="6">
        <f>'Results ReCiPe (H) - ESD'!J470</f>
        <v>3.5716564968595088E-11</v>
      </c>
      <c r="M250" s="4"/>
    </row>
    <row r="251" spans="1:13" outlineLevel="1" x14ac:dyDescent="0.35">
      <c r="B251" s="282" t="s">
        <v>121</v>
      </c>
      <c r="C251" s="282" t="s">
        <v>869</v>
      </c>
      <c r="D251" s="26">
        <f>AVERAGE('Results - raw data ReCiPe (H)'!$AC$186:$BA$186)*0.8</f>
        <v>4.5722344854939439E-8</v>
      </c>
      <c r="E251" s="6">
        <f>AVERAGE('Results - raw data ReCiPe (H)'!$AC$192:$BA$192)*0.8</f>
        <v>3.8801469796540935E-8</v>
      </c>
      <c r="F251" s="6">
        <f>AVERAGE('Results - raw data ReCiPe (H)'!$AC$198:$BA$198)*0.8</f>
        <v>3.4388624999734284E-8</v>
      </c>
      <c r="G251" s="6">
        <f>AVERAGE('Results - raw data ReCiPe (H)'!$AC$186:$BA$186)*0.8</f>
        <v>4.5722344854939439E-8</v>
      </c>
      <c r="H251" s="6">
        <f>AVERAGE('Results - raw data ReCiPe (H)'!$AC$192:$BA$192)*0.8</f>
        <v>3.8801469796540935E-8</v>
      </c>
      <c r="I251" s="6">
        <f>AVERAGE('Results - raw data ReCiPe (H)'!$AC$198:$BA$198)*0.8</f>
        <v>3.4388624999734284E-8</v>
      </c>
      <c r="J251" s="6">
        <f>AVERAGE('Results - raw data ReCiPe (H)'!$AC$186:$BA$186)*0.8*2</f>
        <v>9.1444689709878877E-8</v>
      </c>
      <c r="K251" s="6">
        <f>AVERAGE('Results - raw data ReCiPe (H)'!$AC$192:$BA$192)*0.8*2</f>
        <v>7.7602939593081869E-8</v>
      </c>
      <c r="L251" s="6">
        <f>AVERAGE('Results - raw data ReCiPe (H)'!$AC$198:$BA$198)*0.8*2</f>
        <v>6.8777249999468568E-8</v>
      </c>
      <c r="M251" s="4"/>
    </row>
    <row r="252" spans="1:13" outlineLevel="1" x14ac:dyDescent="0.35">
      <c r="B252" s="282" t="s">
        <v>797</v>
      </c>
      <c r="C252" s="282" t="s">
        <v>869</v>
      </c>
      <c r="D252" s="6">
        <f>'Results ReCiPe (H) - ESD'!B472</f>
        <v>0</v>
      </c>
      <c r="E252" s="6">
        <f>'Results ReCiPe (H) - ESD'!C472</f>
        <v>0</v>
      </c>
      <c r="F252" s="6">
        <f>'Results ReCiPe (H) - ESD'!D472</f>
        <v>0</v>
      </c>
      <c r="G252" s="6">
        <f>'Results ReCiPe (H) - ESD'!E472</f>
        <v>0</v>
      </c>
      <c r="H252" s="6">
        <f>'Results ReCiPe (H) - ESD'!F472</f>
        <v>0</v>
      </c>
      <c r="I252" s="6">
        <f>'Results ReCiPe (H) - ESD'!G472</f>
        <v>0</v>
      </c>
      <c r="J252" s="6">
        <f>'Results ReCiPe (H) - ESD'!H472</f>
        <v>8.4987672123381005E-7</v>
      </c>
      <c r="K252" s="6">
        <f>'Results ReCiPe (H) - ESD'!I472</f>
        <v>8.1743523167004277E-7</v>
      </c>
      <c r="L252" s="6">
        <f>'Results ReCiPe (H) - ESD'!J472</f>
        <v>7.0783676707877945E-7</v>
      </c>
      <c r="M252" s="4"/>
    </row>
    <row r="253" spans="1:13" outlineLevel="1" x14ac:dyDescent="0.35">
      <c r="B253" s="282" t="s">
        <v>122</v>
      </c>
      <c r="C253" s="282" t="s">
        <v>869</v>
      </c>
      <c r="D253" s="6">
        <f>'Results ReCiPe (H) - ESD'!B473</f>
        <v>2.445525743468704E-6</v>
      </c>
      <c r="E253" s="6">
        <f>'Results ReCiPe (H) - ESD'!C473</f>
        <v>6.0422203435546994E-7</v>
      </c>
      <c r="F253" s="6">
        <f>'Results ReCiPe (H) - ESD'!D473</f>
        <v>2.3459087286849139E-7</v>
      </c>
      <c r="G253" s="6">
        <f>'Results ReCiPe (H) - ESD'!E473</f>
        <v>1.9112296251611E-6</v>
      </c>
      <c r="H253" s="6">
        <f>'Results ReCiPe (H) - ESD'!F473</f>
        <v>4.9891284917080644E-7</v>
      </c>
      <c r="I253" s="6">
        <f>'Results ReCiPe (H) - ESD'!G473</f>
        <v>2.1387876523837101E-7</v>
      </c>
      <c r="J253" s="6">
        <f>'Results ReCiPe (H) - ESD'!H473</f>
        <v>6.2876254522439755E-7</v>
      </c>
      <c r="K253" s="6">
        <f>'Results ReCiPe (H) - ESD'!I473</f>
        <v>5.5593609370857821E-7</v>
      </c>
      <c r="L253" s="6">
        <f>'Results ReCiPe (H) - ESD'!J473</f>
        <v>5.2155097946725118E-7</v>
      </c>
      <c r="M253" s="4"/>
    </row>
    <row r="254" spans="1:13" outlineLevel="1" x14ac:dyDescent="0.35">
      <c r="B254" s="282" t="s">
        <v>123</v>
      </c>
      <c r="C254" s="282" t="s">
        <v>869</v>
      </c>
      <c r="D254" s="6">
        <f>'Results ReCiPe (H) - ESD'!B474</f>
        <v>2.0012222822249669E-7</v>
      </c>
      <c r="E254" s="6">
        <f>'Results ReCiPe (H) - ESD'!C474</f>
        <v>6.1093319563827715E-8</v>
      </c>
      <c r="F254" s="6">
        <f>'Results ReCiPe (H) - ESD'!D474</f>
        <v>3.2647215503458974E-8</v>
      </c>
      <c r="G254" s="6">
        <f>'Results ReCiPe (H) - ESD'!E474</f>
        <v>4.6028112491174245E-10</v>
      </c>
      <c r="H254" s="6">
        <f>'Results ReCiPe (H) - ESD'!F474</f>
        <v>1.405146349968037E-10</v>
      </c>
      <c r="I254" s="6">
        <f>'Results ReCiPe (H) - ESD'!G474</f>
        <v>7.5088595657955673E-11</v>
      </c>
      <c r="J254" s="6">
        <f>'Results ReCiPe (H) - ESD'!H474</f>
        <v>2.0012222822249669E-7</v>
      </c>
      <c r="K254" s="6">
        <f>'Results ReCiPe (H) - ESD'!I474</f>
        <v>6.1093319563827715E-8</v>
      </c>
      <c r="L254" s="6">
        <f>'Results ReCiPe (H) - ESD'!J474</f>
        <v>3.2647215503458974E-8</v>
      </c>
      <c r="M254" s="4"/>
    </row>
    <row r="255" spans="1:13" outlineLevel="1" x14ac:dyDescent="0.35">
      <c r="B255" s="282" t="s">
        <v>124</v>
      </c>
      <c r="C255" s="282" t="s">
        <v>869</v>
      </c>
      <c r="D255" s="6">
        <f>'Results ReCiPe (H) - ESD'!B475</f>
        <v>-2.8000764999999987E-6</v>
      </c>
      <c r="E255" s="6">
        <f>'Results ReCiPe (H) - ESD'!C475</f>
        <v>-2.8000764999999987E-6</v>
      </c>
      <c r="F255" s="6">
        <f>'Results ReCiPe (H) - ESD'!D475</f>
        <v>-2.8000764999999987E-6</v>
      </c>
      <c r="G255" s="6">
        <f>'Results ReCiPe (H) - ESD'!E475</f>
        <v>-2.8000764999999987E-6</v>
      </c>
      <c r="H255" s="6">
        <f>'Results ReCiPe (H) - ESD'!F475</f>
        <v>-2.8000764999999987E-6</v>
      </c>
      <c r="I255" s="6">
        <f>'Results ReCiPe (H) - ESD'!G475</f>
        <v>-2.8000764999999987E-6</v>
      </c>
      <c r="J255" s="6">
        <f>'Results ReCiPe (H) - ESD'!H475</f>
        <v>-2.8000764999999987E-6</v>
      </c>
      <c r="K255" s="6">
        <f>'Results ReCiPe (H) - ESD'!I475</f>
        <v>-2.8000764999999987E-6</v>
      </c>
      <c r="L255" s="6">
        <f>'Results ReCiPe (H) - ESD'!J475</f>
        <v>-2.8000764999999987E-6</v>
      </c>
      <c r="M255" s="4"/>
    </row>
    <row r="256" spans="1:13" outlineLevel="1" x14ac:dyDescent="0.35">
      <c r="B256" s="282" t="s">
        <v>137</v>
      </c>
      <c r="C256" s="282" t="s">
        <v>869</v>
      </c>
      <c r="D256" s="6">
        <f>SUM(D247:D255)</f>
        <v>-2.5121074190191488E-8</v>
      </c>
      <c r="E256" s="6">
        <f t="shared" ref="E256:L256" si="47">SUM(E247:E255)</f>
        <v>-2.0171990036837871E-6</v>
      </c>
      <c r="F256" s="6">
        <f t="shared" si="47"/>
        <v>-2.4325925960522738E-6</v>
      </c>
      <c r="G256" s="6">
        <f t="shared" si="47"/>
        <v>-7.5907913959538062E-7</v>
      </c>
      <c r="H256" s="6">
        <f t="shared" si="47"/>
        <v>-2.1834609937972814E-6</v>
      </c>
      <c r="I256" s="6">
        <f t="shared" si="47"/>
        <v>-2.485876830590195E-6</v>
      </c>
      <c r="J256" s="6">
        <f t="shared" si="47"/>
        <v>-8.7904857356168606E-7</v>
      </c>
      <c r="K256" s="6">
        <f t="shared" si="47"/>
        <v>-1.1465098113204434E-6</v>
      </c>
      <c r="L256" s="6">
        <f t="shared" si="47"/>
        <v>-1.3529312458471174E-6</v>
      </c>
      <c r="M256" s="4"/>
    </row>
    <row r="257" spans="1:20" outlineLevel="1" x14ac:dyDescent="0.35">
      <c r="M257" s="4"/>
      <c r="T257" s="282"/>
    </row>
    <row r="258" spans="1:20" x14ac:dyDescent="0.35">
      <c r="A258" s="170" t="s">
        <v>816</v>
      </c>
      <c r="B258" s="4"/>
      <c r="C258" s="4"/>
      <c r="D258" s="4"/>
      <c r="E258" s="4"/>
      <c r="F258" s="4"/>
      <c r="G258" s="4"/>
      <c r="H258" s="4"/>
      <c r="I258" s="4"/>
      <c r="J258" s="4"/>
      <c r="K258" s="4"/>
      <c r="L258" s="4"/>
      <c r="M258" s="4"/>
      <c r="T258" s="282"/>
    </row>
    <row r="259" spans="1:20" outlineLevel="1" x14ac:dyDescent="0.35">
      <c r="A259" s="15">
        <v>0.23</v>
      </c>
      <c r="B259" s="30"/>
      <c r="C259" s="140" t="s">
        <v>180</v>
      </c>
      <c r="D259" s="6" t="s">
        <v>889</v>
      </c>
      <c r="E259" s="6" t="s">
        <v>891</v>
      </c>
      <c r="F259" s="6" t="s">
        <v>890</v>
      </c>
      <c r="G259" s="6" t="s">
        <v>892</v>
      </c>
      <c r="H259" s="6" t="s">
        <v>893</v>
      </c>
      <c r="I259" s="6" t="s">
        <v>894</v>
      </c>
      <c r="J259" s="6" t="s">
        <v>896</v>
      </c>
      <c r="K259" s="6" t="s">
        <v>897</v>
      </c>
      <c r="L259" s="6" t="s">
        <v>895</v>
      </c>
      <c r="M259" s="4"/>
    </row>
    <row r="260" spans="1:20" outlineLevel="1" x14ac:dyDescent="0.35">
      <c r="B260" s="282" t="s">
        <v>117</v>
      </c>
      <c r="C260" s="282" t="s">
        <v>869</v>
      </c>
      <c r="D260" s="6"/>
      <c r="E260" s="6"/>
      <c r="F260" s="6"/>
      <c r="G260" s="6">
        <f>'Results ReCiPe (H) - ESD'!E467</f>
        <v>7.7870133042031404E-8</v>
      </c>
      <c r="H260" s="6">
        <f>'Results ReCiPe (H) - ESD'!F467</f>
        <v>7.338610768603722E-8</v>
      </c>
      <c r="I260" s="6">
        <f>'Results ReCiPe (H) - ESD'!G467</f>
        <v>6.0907644566846106E-8</v>
      </c>
      <c r="J260" s="6"/>
      <c r="K260" s="6"/>
      <c r="L260" s="6"/>
      <c r="M260" s="4"/>
    </row>
    <row r="261" spans="1:20" outlineLevel="1" x14ac:dyDescent="0.35">
      <c r="B261" s="282" t="s">
        <v>118</v>
      </c>
      <c r="C261" s="282" t="s">
        <v>869</v>
      </c>
      <c r="D261" s="6"/>
      <c r="E261" s="6"/>
      <c r="F261" s="6"/>
      <c r="G261" s="6">
        <f>'Results ReCiPe (H) - ESD'!E468</f>
        <v>4.544829349235703E-9</v>
      </c>
      <c r="H261" s="6">
        <f>'Results ReCiPe (H) - ESD'!F468</f>
        <v>4.3063190758316633E-9</v>
      </c>
      <c r="I261" s="6">
        <f>'Results ReCiPe (H) - ESD'!G468</f>
        <v>3.9146385309138401E-9</v>
      </c>
      <c r="J261" s="6"/>
      <c r="K261" s="6"/>
      <c r="L261" s="6"/>
      <c r="M261" s="4"/>
    </row>
    <row r="262" spans="1:20" outlineLevel="1" x14ac:dyDescent="0.35">
      <c r="B262" s="282" t="s">
        <v>119</v>
      </c>
      <c r="C262" s="282" t="s">
        <v>869</v>
      </c>
      <c r="D262" s="6"/>
      <c r="E262" s="6"/>
      <c r="F262" s="6"/>
      <c r="G262" s="6">
        <f>'Results ReCiPe (H) - ESD'!E469</f>
        <v>1.133100649886742E-9</v>
      </c>
      <c r="H262" s="6">
        <f>'Results ReCiPe (H) - ESD'!F469</f>
        <v>1.03257477561019E-9</v>
      </c>
      <c r="I262" s="6">
        <f>'Results ReCiPe (H) - ESD'!G469</f>
        <v>9.9919091331168175E-10</v>
      </c>
      <c r="J262" s="6"/>
      <c r="K262" s="6"/>
      <c r="L262" s="6"/>
      <c r="M262" s="4"/>
    </row>
    <row r="263" spans="1:20" outlineLevel="1" x14ac:dyDescent="0.35">
      <c r="B263" s="282" t="s">
        <v>120</v>
      </c>
      <c r="C263" s="282" t="s">
        <v>869</v>
      </c>
      <c r="D263" s="6"/>
      <c r="E263" s="6"/>
      <c r="F263" s="6"/>
      <c r="G263" s="6">
        <f>'Results ReCiPe (H) - ESD'!E470</f>
        <v>3.7046222513391852E-11</v>
      </c>
      <c r="H263" s="6">
        <f>'Results ReCiPe (H) - ESD'!F470</f>
        <v>3.5671062893842507E-11</v>
      </c>
      <c r="I263" s="6">
        <f>'Results ReCiPe (H) - ESD'!G470</f>
        <v>3.5716564968595088E-11</v>
      </c>
      <c r="J263" s="6"/>
      <c r="K263" s="6"/>
      <c r="L263" s="6"/>
      <c r="M263" s="4"/>
    </row>
    <row r="264" spans="1:20" outlineLevel="1" x14ac:dyDescent="0.35">
      <c r="B264" s="282" t="s">
        <v>121</v>
      </c>
      <c r="C264" s="282" t="s">
        <v>869</v>
      </c>
      <c r="D264" s="6"/>
      <c r="E264" s="6"/>
      <c r="F264" s="6"/>
      <c r="G264" s="6">
        <f>'Results ReCiPe (H) - ESD'!E471</f>
        <v>1.6163480748994424E-8</v>
      </c>
      <c r="H264" s="6">
        <f>'Results ReCiPe (H) - ESD'!F471</f>
        <v>1.3708771072106342E-8</v>
      </c>
      <c r="I264" s="6">
        <f>'Results ReCiPe (H) - ESD'!G471</f>
        <v>1.213886828294613E-8</v>
      </c>
      <c r="J264" s="6"/>
      <c r="K264" s="6"/>
      <c r="L264" s="6"/>
      <c r="M264" s="4"/>
    </row>
    <row r="265" spans="1:20" outlineLevel="1" x14ac:dyDescent="0.35">
      <c r="B265" s="282" t="s">
        <v>797</v>
      </c>
      <c r="C265" s="282" t="s">
        <v>869</v>
      </c>
      <c r="D265" s="6"/>
      <c r="E265" s="6"/>
      <c r="F265" s="6"/>
      <c r="G265" s="6">
        <f>'Results ReCiPe (H) - ESD'!E472</f>
        <v>0</v>
      </c>
      <c r="H265" s="6">
        <f>'Results ReCiPe (H) - ESD'!F472</f>
        <v>0</v>
      </c>
      <c r="I265" s="6">
        <f>'Results ReCiPe (H) - ESD'!G472</f>
        <v>0</v>
      </c>
      <c r="J265" s="6"/>
      <c r="K265" s="6"/>
      <c r="L265" s="6"/>
      <c r="M265" s="4"/>
    </row>
    <row r="266" spans="1:20" outlineLevel="1" x14ac:dyDescent="0.35">
      <c r="B266" s="282" t="s">
        <v>122</v>
      </c>
      <c r="C266" s="282" t="s">
        <v>869</v>
      </c>
      <c r="D266" s="6"/>
      <c r="E266" s="6"/>
      <c r="F266" s="6"/>
      <c r="G266" s="6">
        <f>'Results ReCiPe (H) - ESD'!E473</f>
        <v>1.9112296251611E-6</v>
      </c>
      <c r="H266" s="6">
        <f>'Results ReCiPe (H) - ESD'!F473</f>
        <v>4.9891284917080644E-7</v>
      </c>
      <c r="I266" s="6">
        <f>'Results ReCiPe (H) - ESD'!G473</f>
        <v>2.1387876523837101E-7</v>
      </c>
      <c r="J266" s="6"/>
      <c r="K266" s="6"/>
      <c r="L266" s="6"/>
      <c r="M266" s="4"/>
    </row>
    <row r="267" spans="1:20" outlineLevel="1" x14ac:dyDescent="0.35">
      <c r="B267" s="282" t="s">
        <v>123</v>
      </c>
      <c r="C267" s="282" t="s">
        <v>869</v>
      </c>
      <c r="D267" s="6"/>
      <c r="E267" s="6"/>
      <c r="F267" s="6"/>
      <c r="G267" s="6">
        <f>'Results ReCiPe (H) - ESD'!E474</f>
        <v>4.6028112491174245E-10</v>
      </c>
      <c r="H267" s="6">
        <f>'Results ReCiPe (H) - ESD'!F474</f>
        <v>1.405146349968037E-10</v>
      </c>
      <c r="I267" s="6">
        <f>'Results ReCiPe (H) - ESD'!G474</f>
        <v>7.5088595657955673E-11</v>
      </c>
      <c r="J267" s="6"/>
      <c r="K267" s="6"/>
      <c r="L267" s="6"/>
      <c r="M267" s="4"/>
    </row>
    <row r="268" spans="1:20" outlineLevel="1" x14ac:dyDescent="0.35">
      <c r="B268" s="282" t="s">
        <v>124</v>
      </c>
      <c r="C268" s="282" t="s">
        <v>869</v>
      </c>
      <c r="D268" s="6"/>
      <c r="E268" s="6"/>
      <c r="F268" s="6"/>
      <c r="G268" s="6">
        <f>'Results ReCiPe (H) - ESD'!E475</f>
        <v>-2.8000764999999987E-6</v>
      </c>
      <c r="H268" s="6">
        <f>'Results ReCiPe (H) - ESD'!F475</f>
        <v>-2.8000764999999987E-6</v>
      </c>
      <c r="I268" s="6">
        <f>'Results ReCiPe (H) - ESD'!G475</f>
        <v>-2.8000764999999987E-6</v>
      </c>
      <c r="J268" s="6"/>
      <c r="K268" s="6"/>
      <c r="L268" s="6"/>
      <c r="M268" s="4"/>
    </row>
    <row r="269" spans="1:20" outlineLevel="1" x14ac:dyDescent="0.35">
      <c r="B269" s="282" t="s">
        <v>137</v>
      </c>
      <c r="C269" s="282" t="s">
        <v>869</v>
      </c>
      <c r="D269" s="6"/>
      <c r="E269" s="6"/>
      <c r="F269" s="6"/>
      <c r="G269" s="6">
        <f>SUM(G260:G268)</f>
        <v>-7.8863800370132534E-7</v>
      </c>
      <c r="H269" s="6">
        <f>SUM(H260:H268)</f>
        <v>-2.208553692521716E-6</v>
      </c>
      <c r="I269" s="6">
        <f>SUM(I260:I268)</f>
        <v>-2.5081265873069835E-6</v>
      </c>
      <c r="J269" s="6"/>
      <c r="K269" s="6"/>
      <c r="L269" s="6"/>
      <c r="M269" s="4"/>
    </row>
    <row r="270" spans="1:20" outlineLevel="1" x14ac:dyDescent="0.35">
      <c r="M270" s="4"/>
    </row>
    <row r="271" spans="1:20" outlineLevel="1" x14ac:dyDescent="0.35">
      <c r="A271" s="15">
        <v>0.35</v>
      </c>
      <c r="B271" s="30"/>
      <c r="C271" s="140" t="s">
        <v>180</v>
      </c>
      <c r="D271" s="6" t="s">
        <v>889</v>
      </c>
      <c r="E271" s="6" t="s">
        <v>891</v>
      </c>
      <c r="F271" s="6" t="s">
        <v>890</v>
      </c>
      <c r="G271" s="6" t="s">
        <v>892</v>
      </c>
      <c r="H271" s="6" t="s">
        <v>893</v>
      </c>
      <c r="I271" s="6" t="s">
        <v>894</v>
      </c>
      <c r="J271" s="6" t="s">
        <v>896</v>
      </c>
      <c r="K271" s="6" t="s">
        <v>897</v>
      </c>
      <c r="L271" s="6" t="s">
        <v>895</v>
      </c>
      <c r="M271" s="4"/>
    </row>
    <row r="272" spans="1:20" outlineLevel="1" x14ac:dyDescent="0.35">
      <c r="B272" s="282" t="s">
        <v>117</v>
      </c>
      <c r="C272" s="282" t="s">
        <v>869</v>
      </c>
      <c r="D272" s="6"/>
      <c r="E272" s="6"/>
      <c r="F272" s="6"/>
      <c r="G272" s="6">
        <f>'Results ReCiPe (H) - ESD'!E467</f>
        <v>7.7870133042031404E-8</v>
      </c>
      <c r="H272" s="6">
        <f>'Results ReCiPe (H) - ESD'!F467</f>
        <v>7.338610768603722E-8</v>
      </c>
      <c r="I272" s="6">
        <f>'Results ReCiPe (H) - ESD'!G467</f>
        <v>6.0907644566846106E-8</v>
      </c>
      <c r="J272" s="6"/>
      <c r="K272" s="6"/>
      <c r="L272" s="6"/>
      <c r="M272" s="4"/>
    </row>
    <row r="273" spans="1:13" outlineLevel="1" x14ac:dyDescent="0.35">
      <c r="B273" s="282" t="s">
        <v>118</v>
      </c>
      <c r="C273" s="282" t="s">
        <v>869</v>
      </c>
      <c r="D273" s="6"/>
      <c r="E273" s="6"/>
      <c r="F273" s="6"/>
      <c r="G273" s="6">
        <f>'Results ReCiPe (H) - ESD'!E468</f>
        <v>4.544829349235703E-9</v>
      </c>
      <c r="H273" s="6">
        <f>'Results ReCiPe (H) - ESD'!F468</f>
        <v>4.3063190758316633E-9</v>
      </c>
      <c r="I273" s="6">
        <f>'Results ReCiPe (H) - ESD'!G468</f>
        <v>3.9146385309138401E-9</v>
      </c>
      <c r="J273" s="6"/>
      <c r="K273" s="6"/>
      <c r="L273" s="6"/>
      <c r="M273" s="4"/>
    </row>
    <row r="274" spans="1:13" outlineLevel="1" x14ac:dyDescent="0.35">
      <c r="B274" s="282" t="s">
        <v>119</v>
      </c>
      <c r="C274" s="282" t="s">
        <v>869</v>
      </c>
      <c r="D274" s="6"/>
      <c r="E274" s="6"/>
      <c r="F274" s="6"/>
      <c r="G274" s="6">
        <f>'Results ReCiPe (H) - ESD'!E469</f>
        <v>1.133100649886742E-9</v>
      </c>
      <c r="H274" s="6">
        <f>'Results ReCiPe (H) - ESD'!F469</f>
        <v>1.03257477561019E-9</v>
      </c>
      <c r="I274" s="6">
        <f>'Results ReCiPe (H) - ESD'!G469</f>
        <v>9.9919091331168175E-10</v>
      </c>
      <c r="J274" s="6"/>
      <c r="K274" s="6"/>
      <c r="L274" s="6"/>
      <c r="M274" s="4"/>
    </row>
    <row r="275" spans="1:13" outlineLevel="1" x14ac:dyDescent="0.35">
      <c r="B275" s="282" t="s">
        <v>120</v>
      </c>
      <c r="C275" s="282" t="s">
        <v>869</v>
      </c>
      <c r="D275" s="6"/>
      <c r="E275" s="6"/>
      <c r="F275" s="6"/>
      <c r="G275" s="6">
        <f>'Results ReCiPe (H) - ESD'!E470</f>
        <v>3.7046222513391852E-11</v>
      </c>
      <c r="H275" s="6">
        <f>'Results ReCiPe (H) - ESD'!F470</f>
        <v>3.5671062893842507E-11</v>
      </c>
      <c r="I275" s="6">
        <f>'Results ReCiPe (H) - ESD'!G470</f>
        <v>3.5716564968595088E-11</v>
      </c>
      <c r="J275" s="6"/>
      <c r="K275" s="6"/>
      <c r="L275" s="6"/>
      <c r="M275" s="4"/>
    </row>
    <row r="276" spans="1:13" outlineLevel="1" x14ac:dyDescent="0.35">
      <c r="B276" s="282" t="s">
        <v>121</v>
      </c>
      <c r="C276" s="282" t="s">
        <v>869</v>
      </c>
      <c r="D276" s="6"/>
      <c r="E276" s="6"/>
      <c r="F276" s="6"/>
      <c r="G276" s="6">
        <f>'Results ReCiPe (H) - ESD'!E471</f>
        <v>1.6163480748994424E-8</v>
      </c>
      <c r="H276" s="6">
        <f>'Results ReCiPe (H) - ESD'!F471</f>
        <v>1.3708771072106342E-8</v>
      </c>
      <c r="I276" s="6">
        <f>'Results ReCiPe (H) - ESD'!G471</f>
        <v>1.213886828294613E-8</v>
      </c>
      <c r="J276" s="6"/>
      <c r="K276" s="6"/>
      <c r="L276" s="6"/>
      <c r="M276" s="4"/>
    </row>
    <row r="277" spans="1:13" outlineLevel="1" x14ac:dyDescent="0.35">
      <c r="B277" s="282" t="s">
        <v>797</v>
      </c>
      <c r="C277" s="282" t="s">
        <v>869</v>
      </c>
      <c r="D277" s="6"/>
      <c r="E277" s="6"/>
      <c r="F277" s="6"/>
      <c r="G277" s="6">
        <f>'Results ReCiPe (H) - ESD'!E472</f>
        <v>0</v>
      </c>
      <c r="H277" s="6">
        <f>'Results ReCiPe (H) - ESD'!F472</f>
        <v>0</v>
      </c>
      <c r="I277" s="6">
        <f>'Results ReCiPe (H) - ESD'!G472</f>
        <v>0</v>
      </c>
      <c r="J277" s="6"/>
      <c r="K277" s="6"/>
      <c r="L277" s="6"/>
      <c r="M277" s="4"/>
    </row>
    <row r="278" spans="1:13" outlineLevel="1" x14ac:dyDescent="0.35">
      <c r="B278" s="282" t="s">
        <v>122</v>
      </c>
      <c r="C278" s="282" t="s">
        <v>869</v>
      </c>
      <c r="D278" s="6"/>
      <c r="E278" s="6"/>
      <c r="F278" s="6"/>
      <c r="G278" s="26">
        <f>1500*(0.35*AVERAGE('Results - raw data ReCiPe (H)'!$AC$114:$BA$114)+0.65*AVERAGE('Results - raw data ReCiPe (H)'!$AC$115:$BA$115))</f>
        <v>1.6591383126022101E-6</v>
      </c>
      <c r="H278" s="26">
        <f>1500*(0.35*AVERAGE('Results - raw data ReCiPe (H)'!$AC$121:$BA$121)+0.65*AVERAGE('Results - raw data ReCiPe (H)'!$AC$122:$BA$122))</f>
        <v>4.6178296734119584E-7</v>
      </c>
      <c r="I278" s="26">
        <f>1500*(0.35*AVERAGE('Results - raw data ReCiPe (H)'!$AC$128:$BA$128)+0.65*AVERAGE('Results - raw data ReCiPe (H)'!$AC$129:$BA$129))</f>
        <v>2.1818130441768654E-7</v>
      </c>
      <c r="J278" s="6"/>
      <c r="K278" s="6"/>
      <c r="L278" s="6"/>
      <c r="M278" s="4"/>
    </row>
    <row r="279" spans="1:13" outlineLevel="1" x14ac:dyDescent="0.35">
      <c r="B279" s="282" t="s">
        <v>123</v>
      </c>
      <c r="C279" s="282" t="s">
        <v>869</v>
      </c>
      <c r="D279" s="6"/>
      <c r="E279" s="6"/>
      <c r="F279" s="6"/>
      <c r="G279" s="6">
        <f>'Results ReCiPe (H) - ESD'!E474</f>
        <v>4.6028112491174245E-10</v>
      </c>
      <c r="H279" s="6">
        <f>'Results ReCiPe (H) - ESD'!F474</f>
        <v>1.405146349968037E-10</v>
      </c>
      <c r="I279" s="6">
        <f>'Results ReCiPe (H) - ESD'!G474</f>
        <v>7.5088595657955673E-11</v>
      </c>
      <c r="J279" s="6"/>
      <c r="K279" s="6"/>
      <c r="L279" s="6"/>
      <c r="M279" s="4"/>
    </row>
    <row r="280" spans="1:13" outlineLevel="1" x14ac:dyDescent="0.35">
      <c r="B280" s="282" t="s">
        <v>124</v>
      </c>
      <c r="C280" s="282" t="s">
        <v>869</v>
      </c>
      <c r="D280" s="6"/>
      <c r="E280" s="6"/>
      <c r="F280" s="6"/>
      <c r="G280" s="6">
        <f>'Results ReCiPe (H) - ESD'!E475</f>
        <v>-2.8000764999999987E-6</v>
      </c>
      <c r="H280" s="6">
        <f>'Results ReCiPe (H) - ESD'!F475</f>
        <v>-2.8000764999999987E-6</v>
      </c>
      <c r="I280" s="6">
        <f>'Results ReCiPe (H) - ESD'!G475</f>
        <v>-2.8000764999999987E-6</v>
      </c>
      <c r="J280" s="6"/>
      <c r="K280" s="6"/>
      <c r="L280" s="6"/>
      <c r="M280" s="4"/>
    </row>
    <row r="281" spans="1:13" outlineLevel="1" x14ac:dyDescent="0.35">
      <c r="B281" s="282" t="s">
        <v>137</v>
      </c>
      <c r="C281" s="282" t="s">
        <v>869</v>
      </c>
      <c r="D281" s="6"/>
      <c r="E281" s="6"/>
      <c r="F281" s="6"/>
      <c r="G281" s="6">
        <f>SUM(G272:G280)</f>
        <v>-1.0407293162602152E-6</v>
      </c>
      <c r="H281" s="6">
        <f>SUM(H272:H280)</f>
        <v>-2.2456835743513267E-6</v>
      </c>
      <c r="I281" s="6">
        <f>SUM(I272:I280)</f>
        <v>-2.5038240481276678E-6</v>
      </c>
      <c r="J281" s="6"/>
      <c r="K281" s="6"/>
      <c r="L281" s="6"/>
      <c r="M281" s="4"/>
    </row>
    <row r="282" spans="1:13" outlineLevel="1" x14ac:dyDescent="0.35">
      <c r="M282" s="4"/>
    </row>
    <row r="283" spans="1:13" outlineLevel="1" x14ac:dyDescent="0.35">
      <c r="A283" s="15">
        <v>0.45</v>
      </c>
      <c r="C283" s="140" t="s">
        <v>180</v>
      </c>
      <c r="D283" s="6" t="s">
        <v>889</v>
      </c>
      <c r="E283" s="6" t="s">
        <v>891</v>
      </c>
      <c r="F283" s="6" t="s">
        <v>890</v>
      </c>
      <c r="G283" s="6" t="s">
        <v>892</v>
      </c>
      <c r="H283" s="6" t="s">
        <v>893</v>
      </c>
      <c r="I283" s="6" t="s">
        <v>894</v>
      </c>
      <c r="J283" s="6" t="s">
        <v>896</v>
      </c>
      <c r="K283" s="6" t="s">
        <v>897</v>
      </c>
      <c r="L283" s="6" t="s">
        <v>895</v>
      </c>
      <c r="M283" s="4"/>
    </row>
    <row r="284" spans="1:13" outlineLevel="1" x14ac:dyDescent="0.35">
      <c r="B284" s="282" t="s">
        <v>117</v>
      </c>
      <c r="C284" s="282" t="s">
        <v>869</v>
      </c>
      <c r="D284" s="6"/>
      <c r="E284" s="6"/>
      <c r="F284" s="6"/>
      <c r="G284" s="6">
        <f>'Results ReCiPe (H) - ESD'!E467</f>
        <v>7.7870133042031404E-8</v>
      </c>
      <c r="H284" s="6">
        <f>'Results ReCiPe (H) - ESD'!F467</f>
        <v>7.338610768603722E-8</v>
      </c>
      <c r="I284" s="6">
        <f>'Results ReCiPe (H) - ESD'!G467</f>
        <v>6.0907644566846106E-8</v>
      </c>
      <c r="J284" s="6"/>
      <c r="K284" s="6"/>
      <c r="L284" s="6"/>
      <c r="M284" s="4"/>
    </row>
    <row r="285" spans="1:13" outlineLevel="1" x14ac:dyDescent="0.35">
      <c r="B285" s="282" t="s">
        <v>118</v>
      </c>
      <c r="C285" s="282" t="s">
        <v>869</v>
      </c>
      <c r="D285" s="6"/>
      <c r="E285" s="6"/>
      <c r="F285" s="6"/>
      <c r="G285" s="6">
        <f>'Results ReCiPe (H) - ESD'!E468</f>
        <v>4.544829349235703E-9</v>
      </c>
      <c r="H285" s="6">
        <f>'Results ReCiPe (H) - ESD'!F468</f>
        <v>4.3063190758316633E-9</v>
      </c>
      <c r="I285" s="6">
        <f>'Results ReCiPe (H) - ESD'!G468</f>
        <v>3.9146385309138401E-9</v>
      </c>
      <c r="J285" s="6"/>
      <c r="K285" s="6"/>
      <c r="L285" s="6"/>
      <c r="M285" s="4"/>
    </row>
    <row r="286" spans="1:13" outlineLevel="1" x14ac:dyDescent="0.35">
      <c r="B286" s="282" t="s">
        <v>119</v>
      </c>
      <c r="C286" s="282" t="s">
        <v>869</v>
      </c>
      <c r="D286" s="6"/>
      <c r="E286" s="6"/>
      <c r="F286" s="6"/>
      <c r="G286" s="6">
        <f>'Results ReCiPe (H) - ESD'!E469</f>
        <v>1.133100649886742E-9</v>
      </c>
      <c r="H286" s="6">
        <f>'Results ReCiPe (H) - ESD'!F469</f>
        <v>1.03257477561019E-9</v>
      </c>
      <c r="I286" s="6">
        <f>'Results ReCiPe (H) - ESD'!G469</f>
        <v>9.9919091331168175E-10</v>
      </c>
      <c r="J286" s="6"/>
      <c r="K286" s="6"/>
      <c r="L286" s="6"/>
      <c r="M286" s="4"/>
    </row>
    <row r="287" spans="1:13" outlineLevel="1" x14ac:dyDescent="0.35">
      <c r="B287" s="282" t="s">
        <v>120</v>
      </c>
      <c r="C287" s="282" t="s">
        <v>869</v>
      </c>
      <c r="D287" s="6"/>
      <c r="E287" s="6"/>
      <c r="F287" s="6"/>
      <c r="G287" s="6">
        <f>'Results ReCiPe (H) - ESD'!E470</f>
        <v>3.7046222513391852E-11</v>
      </c>
      <c r="H287" s="6">
        <f>'Results ReCiPe (H) - ESD'!F470</f>
        <v>3.5671062893842507E-11</v>
      </c>
      <c r="I287" s="6">
        <f>'Results ReCiPe (H) - ESD'!G470</f>
        <v>3.5716564968595088E-11</v>
      </c>
      <c r="J287" s="6"/>
      <c r="K287" s="6"/>
      <c r="L287" s="6"/>
      <c r="M287" s="4"/>
    </row>
    <row r="288" spans="1:13" outlineLevel="1" x14ac:dyDescent="0.35">
      <c r="B288" s="282" t="s">
        <v>121</v>
      </c>
      <c r="C288" s="282" t="s">
        <v>869</v>
      </c>
      <c r="D288" s="6"/>
      <c r="E288" s="6"/>
      <c r="F288" s="6"/>
      <c r="G288" s="6">
        <f>'Results ReCiPe (H) - ESD'!E471</f>
        <v>1.6163480748994424E-8</v>
      </c>
      <c r="H288" s="6">
        <f>'Results ReCiPe (H) - ESD'!F471</f>
        <v>1.3708771072106342E-8</v>
      </c>
      <c r="I288" s="6">
        <f>'Results ReCiPe (H) - ESD'!G471</f>
        <v>1.213886828294613E-8</v>
      </c>
      <c r="J288" s="6"/>
      <c r="K288" s="6"/>
      <c r="L288" s="6"/>
      <c r="M288" s="4"/>
    </row>
    <row r="289" spans="1:20" outlineLevel="1" x14ac:dyDescent="0.35">
      <c r="B289" s="282" t="s">
        <v>797</v>
      </c>
      <c r="C289" s="282" t="s">
        <v>869</v>
      </c>
      <c r="D289" s="6"/>
      <c r="E289" s="6"/>
      <c r="F289" s="6"/>
      <c r="G289" s="6">
        <f>'Results ReCiPe (H) - ESD'!E472</f>
        <v>0</v>
      </c>
      <c r="H289" s="6">
        <f>'Results ReCiPe (H) - ESD'!F472</f>
        <v>0</v>
      </c>
      <c r="I289" s="6">
        <f>'Results ReCiPe (H) - ESD'!G472</f>
        <v>0</v>
      </c>
      <c r="J289" s="6"/>
      <c r="K289" s="6"/>
      <c r="L289" s="6"/>
      <c r="M289" s="4"/>
    </row>
    <row r="290" spans="1:20" outlineLevel="1" x14ac:dyDescent="0.35">
      <c r="B290" s="282" t="s">
        <v>122</v>
      </c>
      <c r="C290" s="282" t="s">
        <v>869</v>
      </c>
      <c r="D290" s="6"/>
      <c r="E290" s="6"/>
      <c r="F290" s="6"/>
      <c r="G290" s="26">
        <f>1500*(0.45*AVERAGE('Results - raw data ReCiPe (H)'!$AC$114:$BA$114)+0.55*AVERAGE('Results - raw data ReCiPe (H)'!$AC$115:$BA$115))</f>
        <v>1.4507902188276865E-6</v>
      </c>
      <c r="H290" s="26">
        <f>1500*(0.45*AVERAGE('Results - raw data ReCiPe (H)'!$AC$121:$BA$121)+0.55*AVERAGE('Results - raw data ReCiPe (H)'!$AC$122:$BA$122))</f>
        <v>4.3222379916949484E-7</v>
      </c>
      <c r="I290" s="26">
        <f>1500*(0.45*AVERAGE('Results - raw data ReCiPe (H)'!$AC$128:$BA$128)+0.55*AVERAGE('Results - raw data ReCiPe (H)'!$AC$129:$BA$129))</f>
        <v>2.2349475375833439E-7</v>
      </c>
      <c r="J290" s="6"/>
      <c r="K290" s="6"/>
      <c r="L290" s="6"/>
      <c r="M290" s="4"/>
    </row>
    <row r="291" spans="1:20" outlineLevel="1" x14ac:dyDescent="0.35">
      <c r="B291" s="282" t="s">
        <v>123</v>
      </c>
      <c r="C291" s="282" t="s">
        <v>869</v>
      </c>
      <c r="D291" s="6"/>
      <c r="E291" s="6"/>
      <c r="F291" s="6"/>
      <c r="G291" s="6">
        <f>'Results ReCiPe (H) - ESD'!E474</f>
        <v>4.6028112491174245E-10</v>
      </c>
      <c r="H291" s="6">
        <f>'Results ReCiPe (H) - ESD'!F474</f>
        <v>1.405146349968037E-10</v>
      </c>
      <c r="I291" s="6">
        <f>'Results ReCiPe (H) - ESD'!G474</f>
        <v>7.5088595657955673E-11</v>
      </c>
      <c r="J291" s="6"/>
      <c r="K291" s="6"/>
      <c r="L291" s="6"/>
      <c r="M291" s="4"/>
    </row>
    <row r="292" spans="1:20" outlineLevel="1" x14ac:dyDescent="0.35">
      <c r="B292" s="282" t="s">
        <v>124</v>
      </c>
      <c r="C292" s="282" t="s">
        <v>869</v>
      </c>
      <c r="D292" s="6"/>
      <c r="E292" s="6"/>
      <c r="F292" s="6"/>
      <c r="G292" s="6">
        <f>'Results ReCiPe (H) - ESD'!E475</f>
        <v>-2.8000764999999987E-6</v>
      </c>
      <c r="H292" s="6">
        <f>'Results ReCiPe (H) - ESD'!F475</f>
        <v>-2.8000764999999987E-6</v>
      </c>
      <c r="I292" s="6">
        <f>'Results ReCiPe (H) - ESD'!G475</f>
        <v>-2.8000764999999987E-6</v>
      </c>
      <c r="J292" s="6"/>
      <c r="K292" s="6"/>
      <c r="L292" s="6"/>
      <c r="M292" s="4"/>
    </row>
    <row r="293" spans="1:20" outlineLevel="1" x14ac:dyDescent="0.35">
      <c r="B293" s="282" t="s">
        <v>137</v>
      </c>
      <c r="C293" s="282" t="s">
        <v>869</v>
      </c>
      <c r="D293" s="6"/>
      <c r="E293" s="6"/>
      <c r="F293" s="6"/>
      <c r="G293" s="6">
        <f>SUM(G284:G292)</f>
        <v>-1.2490774100347388E-6</v>
      </c>
      <c r="H293" s="6">
        <f>SUM(H284:H292)</f>
        <v>-2.2752427425230277E-6</v>
      </c>
      <c r="I293" s="6">
        <f>SUM(I284:I292)</f>
        <v>-2.4985105987870198E-6</v>
      </c>
      <c r="J293" s="6"/>
      <c r="K293" s="6"/>
      <c r="L293" s="6"/>
      <c r="M293" s="4"/>
    </row>
    <row r="294" spans="1:20" x14ac:dyDescent="0.35">
      <c r="M294" s="4"/>
    </row>
    <row r="295" spans="1:20" x14ac:dyDescent="0.35">
      <c r="A295" s="170" t="s">
        <v>818</v>
      </c>
      <c r="B295" s="4"/>
      <c r="C295" s="4"/>
      <c r="D295" s="4"/>
      <c r="E295" s="4"/>
      <c r="F295" s="4"/>
      <c r="G295" s="4"/>
      <c r="H295" s="4"/>
      <c r="I295" s="4"/>
      <c r="J295" s="4"/>
      <c r="K295" s="4"/>
      <c r="L295" s="4"/>
      <c r="M295" s="4"/>
      <c r="T295" s="282"/>
    </row>
    <row r="296" spans="1:20" outlineLevel="1" x14ac:dyDescent="0.35">
      <c r="A296" s="15" t="s">
        <v>822</v>
      </c>
      <c r="B296" s="30"/>
      <c r="C296" s="140" t="s">
        <v>180</v>
      </c>
      <c r="J296" s="6" t="s">
        <v>896</v>
      </c>
      <c r="K296" s="6" t="s">
        <v>897</v>
      </c>
      <c r="L296" s="6" t="s">
        <v>895</v>
      </c>
      <c r="M296" s="4"/>
      <c r="T296" s="282"/>
    </row>
    <row r="297" spans="1:20" outlineLevel="1" x14ac:dyDescent="0.35">
      <c r="B297" s="6" t="s">
        <v>117</v>
      </c>
      <c r="C297" s="282" t="s">
        <v>869</v>
      </c>
      <c r="J297" s="6">
        <v>1.4397366517620688E-7</v>
      </c>
      <c r="K297" s="6">
        <v>1.3509196445407891E-7</v>
      </c>
      <c r="L297" s="6">
        <v>1.1038430518141741E-7</v>
      </c>
      <c r="M297" s="4"/>
      <c r="T297" s="282"/>
    </row>
    <row r="298" spans="1:20" outlineLevel="1" x14ac:dyDescent="0.35">
      <c r="B298" s="6" t="s">
        <v>118</v>
      </c>
      <c r="C298" s="282" t="s">
        <v>869</v>
      </c>
      <c r="J298" s="6">
        <v>4.544829349235703E-9</v>
      </c>
      <c r="K298" s="6">
        <v>4.3063190758316633E-9</v>
      </c>
      <c r="L298" s="6">
        <v>3.9146385309138401E-9</v>
      </c>
      <c r="M298" s="4"/>
      <c r="T298" s="282"/>
    </row>
    <row r="299" spans="1:20" outlineLevel="1" x14ac:dyDescent="0.35">
      <c r="B299" s="6" t="s">
        <v>119</v>
      </c>
      <c r="C299" s="282" t="s">
        <v>869</v>
      </c>
      <c r="J299" s="6">
        <v>2.2662012997734839E-9</v>
      </c>
      <c r="K299" s="6">
        <v>2.06514955122038E-9</v>
      </c>
      <c r="L299" s="6">
        <v>1.9983818266233635E-9</v>
      </c>
      <c r="M299" s="4"/>
      <c r="T299" s="282"/>
    </row>
    <row r="300" spans="1:20" outlineLevel="1" x14ac:dyDescent="0.35">
      <c r="B300" s="6" t="s">
        <v>120</v>
      </c>
      <c r="C300" s="282" t="s">
        <v>869</v>
      </c>
      <c r="J300" s="6">
        <v>3.7046222513391852E-11</v>
      </c>
      <c r="K300" s="6">
        <v>3.5671062893842507E-11</v>
      </c>
      <c r="L300" s="6">
        <v>3.5716564968595088E-11</v>
      </c>
      <c r="M300" s="4"/>
      <c r="T300" s="282"/>
    </row>
    <row r="301" spans="1:20" outlineLevel="1" x14ac:dyDescent="0.35">
      <c r="B301" s="6" t="s">
        <v>121</v>
      </c>
      <c r="C301" s="282" t="s">
        <v>869</v>
      </c>
      <c r="J301" s="6">
        <v>3.2326961497988848E-8</v>
      </c>
      <c r="K301" s="6">
        <v>2.7417542144212684E-8</v>
      </c>
      <c r="L301" s="6">
        <v>2.4277736565892259E-8</v>
      </c>
      <c r="M301" s="4"/>
      <c r="T301" s="282"/>
    </row>
    <row r="302" spans="1:20" outlineLevel="1" x14ac:dyDescent="0.35">
      <c r="B302" s="6" t="s">
        <v>800</v>
      </c>
      <c r="C302" s="282" t="s">
        <v>869</v>
      </c>
      <c r="J302" s="6">
        <v>8.4987672123381005E-7</v>
      </c>
      <c r="K302" s="6">
        <v>8.1743523167004277E-7</v>
      </c>
      <c r="L302" s="6">
        <v>7.0783676707877945E-7</v>
      </c>
      <c r="M302" s="4"/>
      <c r="T302" s="282"/>
    </row>
    <row r="303" spans="1:20" outlineLevel="1" x14ac:dyDescent="0.35">
      <c r="B303" s="6" t="s">
        <v>122</v>
      </c>
      <c r="C303" s="282" t="s">
        <v>869</v>
      </c>
      <c r="J303" s="6">
        <v>6.4570008428372026E-7</v>
      </c>
      <c r="K303" s="6">
        <v>5.7091655894330845E-7</v>
      </c>
      <c r="L303" s="6">
        <v>5.355909086412455E-7</v>
      </c>
      <c r="M303" s="4"/>
      <c r="T303" s="282"/>
    </row>
    <row r="304" spans="1:20" outlineLevel="1" x14ac:dyDescent="0.35">
      <c r="B304" s="6" t="s">
        <v>123</v>
      </c>
      <c r="C304" s="282" t="s">
        <v>869</v>
      </c>
      <c r="J304" s="6">
        <v>2.0012222822249669E-7</v>
      </c>
      <c r="K304" s="6">
        <v>6.1093319563827715E-8</v>
      </c>
      <c r="L304" s="6">
        <v>3.2647215503458974E-8</v>
      </c>
      <c r="M304" s="4"/>
      <c r="T304" s="282"/>
    </row>
    <row r="305" spans="1:20" outlineLevel="1" x14ac:dyDescent="0.35">
      <c r="B305" s="6" t="s">
        <v>124</v>
      </c>
      <c r="C305" s="282" t="s">
        <v>869</v>
      </c>
      <c r="J305" s="6">
        <v>-2.8000764999999987E-6</v>
      </c>
      <c r="K305" s="6">
        <v>-2.8000764999999987E-6</v>
      </c>
      <c r="L305" s="6">
        <v>-2.8000764999999987E-6</v>
      </c>
      <c r="M305" s="4"/>
      <c r="T305" s="282"/>
    </row>
    <row r="306" spans="1:20" outlineLevel="1" x14ac:dyDescent="0.35">
      <c r="B306" s="6" t="s">
        <v>137</v>
      </c>
      <c r="C306" s="282" t="s">
        <v>869</v>
      </c>
      <c r="J306" s="6">
        <v>-9.2122876271425387E-7</v>
      </c>
      <c r="K306" s="6">
        <v>-1.1817147435345837E-6</v>
      </c>
      <c r="L306" s="6">
        <v>-1.3833908301066996E-6</v>
      </c>
      <c r="M306" s="4"/>
      <c r="T306" s="282"/>
    </row>
    <row r="307" spans="1:20" outlineLevel="1" x14ac:dyDescent="0.35">
      <c r="M307" s="4"/>
      <c r="T307" s="282"/>
    </row>
    <row r="308" spans="1:20" outlineLevel="1" x14ac:dyDescent="0.35">
      <c r="A308" s="15" t="s">
        <v>819</v>
      </c>
      <c r="B308" s="30"/>
      <c r="C308" s="140" t="s">
        <v>180</v>
      </c>
      <c r="J308" s="6" t="s">
        <v>896</v>
      </c>
      <c r="K308" s="6" t="s">
        <v>897</v>
      </c>
      <c r="L308" s="6" t="s">
        <v>895</v>
      </c>
      <c r="M308" s="4"/>
      <c r="T308" s="282"/>
    </row>
    <row r="309" spans="1:20" outlineLevel="1" x14ac:dyDescent="0.35">
      <c r="B309" s="6" t="s">
        <v>117</v>
      </c>
      <c r="C309" s="282" t="s">
        <v>869</v>
      </c>
      <c r="J309" s="6">
        <v>1.4397366517620688E-7</v>
      </c>
      <c r="K309" s="6">
        <v>1.3509196445407891E-7</v>
      </c>
      <c r="L309" s="6">
        <v>1.1038430518141741E-7</v>
      </c>
      <c r="M309" s="4"/>
      <c r="T309" s="282"/>
    </row>
    <row r="310" spans="1:20" outlineLevel="1" x14ac:dyDescent="0.35">
      <c r="B310" s="6" t="s">
        <v>118</v>
      </c>
      <c r="C310" s="282" t="s">
        <v>869</v>
      </c>
      <c r="J310" s="6">
        <v>4.544829349235703E-9</v>
      </c>
      <c r="K310" s="6">
        <v>4.3063190758316633E-9</v>
      </c>
      <c r="L310" s="6">
        <v>3.9146385309138401E-9</v>
      </c>
      <c r="M310" s="4"/>
      <c r="T310" s="282"/>
    </row>
    <row r="311" spans="1:20" outlineLevel="1" x14ac:dyDescent="0.35">
      <c r="B311" s="6" t="s">
        <v>119</v>
      </c>
      <c r="C311" s="282" t="s">
        <v>869</v>
      </c>
      <c r="J311" s="6">
        <v>2.2662012997734839E-9</v>
      </c>
      <c r="K311" s="6">
        <v>2.06514955122038E-9</v>
      </c>
      <c r="L311" s="6">
        <v>1.9983818266233635E-9</v>
      </c>
      <c r="M311" s="4"/>
      <c r="T311" s="282"/>
    </row>
    <row r="312" spans="1:20" outlineLevel="1" x14ac:dyDescent="0.35">
      <c r="B312" s="6" t="s">
        <v>120</v>
      </c>
      <c r="C312" s="282" t="s">
        <v>869</v>
      </c>
      <c r="J312" s="6">
        <v>3.7046222513391852E-11</v>
      </c>
      <c r="K312" s="6">
        <v>3.5671062893842507E-11</v>
      </c>
      <c r="L312" s="6">
        <v>3.5716564968595088E-11</v>
      </c>
      <c r="M312" s="4"/>
      <c r="T312" s="282"/>
    </row>
    <row r="313" spans="1:20" outlineLevel="1" x14ac:dyDescent="0.35">
      <c r="B313" s="6" t="s">
        <v>121</v>
      </c>
      <c r="C313" s="282" t="s">
        <v>869</v>
      </c>
      <c r="J313" s="6">
        <v>3.2326961497988848E-8</v>
      </c>
      <c r="K313" s="6">
        <v>2.7417542144212684E-8</v>
      </c>
      <c r="L313" s="6">
        <v>2.4277736565892259E-8</v>
      </c>
      <c r="M313" s="4"/>
      <c r="T313" s="282"/>
    </row>
    <row r="314" spans="1:20" outlineLevel="1" x14ac:dyDescent="0.35">
      <c r="B314" s="6" t="s">
        <v>800</v>
      </c>
      <c r="C314" s="282" t="s">
        <v>869</v>
      </c>
      <c r="J314" s="6">
        <v>8.4987672123381005E-7</v>
      </c>
      <c r="K314" s="6">
        <v>8.1743523167004277E-7</v>
      </c>
      <c r="L314" s="6">
        <v>7.0783676707877945E-7</v>
      </c>
      <c r="M314" s="4"/>
      <c r="T314" s="282"/>
    </row>
    <row r="315" spans="1:20" outlineLevel="1" x14ac:dyDescent="0.35">
      <c r="B315" s="6" t="s">
        <v>122</v>
      </c>
      <c r="C315" s="282" t="s">
        <v>869</v>
      </c>
      <c r="J315" s="6">
        <v>3.2388684215659109E-7</v>
      </c>
      <c r="K315" s="6">
        <v>2.8628771948343896E-7</v>
      </c>
      <c r="L315" s="6">
        <v>2.6883225433535371E-7</v>
      </c>
      <c r="M315" s="4"/>
      <c r="T315" s="282"/>
    </row>
    <row r="316" spans="1:20" outlineLevel="1" x14ac:dyDescent="0.35">
      <c r="B316" s="6" t="s">
        <v>123</v>
      </c>
      <c r="C316" s="282" t="s">
        <v>869</v>
      </c>
      <c r="J316" s="6">
        <v>2.0012222822249669E-7</v>
      </c>
      <c r="K316" s="6">
        <v>6.1093319563827715E-8</v>
      </c>
      <c r="L316" s="6">
        <v>3.2647215503458974E-8</v>
      </c>
      <c r="M316" s="4"/>
      <c r="T316" s="282"/>
    </row>
    <row r="317" spans="1:20" outlineLevel="1" x14ac:dyDescent="0.35">
      <c r="B317" s="6" t="s">
        <v>124</v>
      </c>
      <c r="C317" s="282" t="s">
        <v>869</v>
      </c>
      <c r="J317" s="6">
        <v>-2.8000764999999987E-6</v>
      </c>
      <c r="K317" s="6">
        <v>-2.8000764999999987E-6</v>
      </c>
      <c r="L317" s="6">
        <v>-2.8000764999999987E-6</v>
      </c>
      <c r="M317" s="4"/>
      <c r="T317" s="282"/>
    </row>
    <row r="318" spans="1:20" outlineLevel="1" x14ac:dyDescent="0.35">
      <c r="B318" s="6" t="s">
        <v>137</v>
      </c>
      <c r="C318" s="282" t="s">
        <v>869</v>
      </c>
      <c r="J318" s="6">
        <v>-1.2430420048413834E-6</v>
      </c>
      <c r="K318" s="6">
        <v>-1.4663435829944533E-6</v>
      </c>
      <c r="L318" s="6">
        <v>-1.6501494844125919E-6</v>
      </c>
      <c r="M318" s="4"/>
      <c r="T318" s="282"/>
    </row>
    <row r="319" spans="1:20" outlineLevel="1" x14ac:dyDescent="0.35">
      <c r="M319" s="4"/>
      <c r="T319" s="282"/>
    </row>
    <row r="320" spans="1:20" outlineLevel="1" x14ac:dyDescent="0.35">
      <c r="A320" s="15" t="s">
        <v>823</v>
      </c>
      <c r="B320" s="30"/>
      <c r="C320" s="140" t="s">
        <v>180</v>
      </c>
      <c r="J320" s="6" t="s">
        <v>896</v>
      </c>
      <c r="K320" s="6" t="s">
        <v>897</v>
      </c>
      <c r="L320" s="6" t="s">
        <v>895</v>
      </c>
      <c r="M320" s="4"/>
      <c r="T320" s="282"/>
    </row>
    <row r="321" spans="1:20" outlineLevel="1" x14ac:dyDescent="0.35">
      <c r="B321" s="6" t="s">
        <v>117</v>
      </c>
      <c r="C321" s="282" t="s">
        <v>869</v>
      </c>
      <c r="J321" s="6">
        <v>1.4397366517620688E-7</v>
      </c>
      <c r="K321" s="6">
        <v>1.3509196445407891E-7</v>
      </c>
      <c r="L321" s="6">
        <v>1.1038430518141741E-7</v>
      </c>
      <c r="M321" s="4"/>
      <c r="T321" s="282"/>
    </row>
    <row r="322" spans="1:20" outlineLevel="1" x14ac:dyDescent="0.35">
      <c r="B322" s="6" t="s">
        <v>118</v>
      </c>
      <c r="C322" s="282" t="s">
        <v>869</v>
      </c>
      <c r="J322" s="6">
        <v>4.544829349235703E-9</v>
      </c>
      <c r="K322" s="6">
        <v>4.3063190758316633E-9</v>
      </c>
      <c r="L322" s="6">
        <v>3.9146385309138401E-9</v>
      </c>
      <c r="M322" s="4"/>
      <c r="T322" s="282"/>
    </row>
    <row r="323" spans="1:20" outlineLevel="1" x14ac:dyDescent="0.35">
      <c r="B323" s="6" t="s">
        <v>119</v>
      </c>
      <c r="C323" s="282" t="s">
        <v>869</v>
      </c>
      <c r="J323" s="6">
        <v>2.2662012997734839E-9</v>
      </c>
      <c r="K323" s="6">
        <v>2.06514955122038E-9</v>
      </c>
      <c r="L323" s="6">
        <v>1.9983818266233635E-9</v>
      </c>
      <c r="M323" s="4"/>
      <c r="T323" s="282"/>
    </row>
    <row r="324" spans="1:20" outlineLevel="1" x14ac:dyDescent="0.35">
      <c r="B324" s="6" t="s">
        <v>120</v>
      </c>
      <c r="C324" s="282" t="s">
        <v>869</v>
      </c>
      <c r="J324" s="6">
        <v>3.7046222513391852E-11</v>
      </c>
      <c r="K324" s="6">
        <v>3.5671062893842507E-11</v>
      </c>
      <c r="L324" s="6">
        <v>3.5716564968595088E-11</v>
      </c>
      <c r="M324" s="4"/>
      <c r="T324" s="282"/>
    </row>
    <row r="325" spans="1:20" outlineLevel="1" x14ac:dyDescent="0.35">
      <c r="B325" s="6" t="s">
        <v>121</v>
      </c>
      <c r="C325" s="282" t="s">
        <v>869</v>
      </c>
      <c r="J325" s="6">
        <v>3.2326961497988848E-8</v>
      </c>
      <c r="K325" s="6">
        <v>2.7417542144212684E-8</v>
      </c>
      <c r="L325" s="6">
        <v>2.4277736565892259E-8</v>
      </c>
      <c r="M325" s="4"/>
      <c r="T325" s="282"/>
    </row>
    <row r="326" spans="1:20" outlineLevel="1" x14ac:dyDescent="0.35">
      <c r="B326" s="6" t="s">
        <v>800</v>
      </c>
      <c r="C326" s="282" t="s">
        <v>869</v>
      </c>
      <c r="J326" s="6">
        <v>8.4987672123381005E-7</v>
      </c>
      <c r="K326" s="6">
        <v>8.1743523167004277E-7</v>
      </c>
      <c r="L326" s="6">
        <v>7.0783676707877945E-7</v>
      </c>
      <c r="M326" s="4"/>
      <c r="T326" s="282"/>
    </row>
    <row r="327" spans="1:20" outlineLevel="1" x14ac:dyDescent="0.35">
      <c r="B327" s="6" t="s">
        <v>122</v>
      </c>
      <c r="C327" s="282" t="s">
        <v>869</v>
      </c>
      <c r="J327" s="6">
        <v>4.3115792286563415E-7</v>
      </c>
      <c r="K327" s="6">
        <v>3.8116399930339535E-7</v>
      </c>
      <c r="L327" s="6">
        <v>3.5775180577065103E-7</v>
      </c>
      <c r="M327" s="4"/>
      <c r="T327" s="282"/>
    </row>
    <row r="328" spans="1:20" outlineLevel="1" x14ac:dyDescent="0.35">
      <c r="B328" s="6" t="s">
        <v>123</v>
      </c>
      <c r="C328" s="282" t="s">
        <v>869</v>
      </c>
      <c r="J328" s="6">
        <v>2.0012222822249669E-7</v>
      </c>
      <c r="K328" s="6">
        <v>6.1093319563827715E-8</v>
      </c>
      <c r="L328" s="6">
        <v>3.2647215503458974E-8</v>
      </c>
      <c r="M328" s="4"/>
      <c r="T328" s="282"/>
    </row>
    <row r="329" spans="1:20" outlineLevel="1" x14ac:dyDescent="0.35">
      <c r="B329" s="6" t="s">
        <v>124</v>
      </c>
      <c r="C329" s="282" t="s">
        <v>869</v>
      </c>
      <c r="J329" s="6">
        <v>-2.8000764999999987E-6</v>
      </c>
      <c r="K329" s="6">
        <v>-2.8000764999999987E-6</v>
      </c>
      <c r="L329" s="6">
        <v>-2.8000764999999987E-6</v>
      </c>
      <c r="M329" s="4"/>
      <c r="T329" s="282"/>
    </row>
    <row r="330" spans="1:20" outlineLevel="1" x14ac:dyDescent="0.35">
      <c r="B330" s="6" t="s">
        <v>137</v>
      </c>
      <c r="C330" s="282" t="s">
        <v>869</v>
      </c>
      <c r="J330" s="6">
        <v>-1.1357709241323404E-6</v>
      </c>
      <c r="K330" s="6">
        <v>-1.3714673031744968E-6</v>
      </c>
      <c r="L330" s="6">
        <v>-1.5612299329772947E-6</v>
      </c>
      <c r="M330" s="4"/>
      <c r="T330" s="282"/>
    </row>
    <row r="331" spans="1:20" outlineLevel="1" x14ac:dyDescent="0.35">
      <c r="M331" s="4"/>
      <c r="T331" s="282"/>
    </row>
    <row r="332" spans="1:20" outlineLevel="1" x14ac:dyDescent="0.35">
      <c r="A332" s="15" t="s">
        <v>824</v>
      </c>
      <c r="B332" s="30"/>
      <c r="C332" s="140" t="s">
        <v>180</v>
      </c>
      <c r="J332" s="6" t="s">
        <v>896</v>
      </c>
      <c r="K332" s="6" t="s">
        <v>897</v>
      </c>
      <c r="L332" s="6" t="s">
        <v>895</v>
      </c>
      <c r="M332" s="4"/>
      <c r="T332" s="282"/>
    </row>
    <row r="333" spans="1:20" outlineLevel="1" x14ac:dyDescent="0.35">
      <c r="B333" s="6" t="s">
        <v>117</v>
      </c>
      <c r="C333" s="282" t="s">
        <v>869</v>
      </c>
      <c r="J333" s="6">
        <v>1.4397366517620688E-7</v>
      </c>
      <c r="K333" s="6">
        <v>1.3509196445407891E-7</v>
      </c>
      <c r="L333" s="6">
        <v>1.1038430518141741E-7</v>
      </c>
      <c r="M333" s="4"/>
      <c r="T333" s="282"/>
    </row>
    <row r="334" spans="1:20" outlineLevel="1" x14ac:dyDescent="0.35">
      <c r="B334" s="6" t="s">
        <v>118</v>
      </c>
      <c r="C334" s="282" t="s">
        <v>869</v>
      </c>
      <c r="J334" s="6">
        <v>4.544829349235703E-9</v>
      </c>
      <c r="K334" s="6">
        <v>4.3063190758316633E-9</v>
      </c>
      <c r="L334" s="6">
        <v>3.9146385309138401E-9</v>
      </c>
      <c r="M334" s="4"/>
      <c r="T334" s="282"/>
    </row>
    <row r="335" spans="1:20" outlineLevel="1" x14ac:dyDescent="0.35">
      <c r="B335" s="6" t="s">
        <v>119</v>
      </c>
      <c r="C335" s="282" t="s">
        <v>869</v>
      </c>
      <c r="J335" s="6">
        <v>2.2662012997734839E-9</v>
      </c>
      <c r="K335" s="6">
        <v>2.06514955122038E-9</v>
      </c>
      <c r="L335" s="6">
        <v>1.9983818266233635E-9</v>
      </c>
      <c r="M335" s="4"/>
      <c r="T335" s="282"/>
    </row>
    <row r="336" spans="1:20" outlineLevel="1" x14ac:dyDescent="0.35">
      <c r="B336" s="6" t="s">
        <v>120</v>
      </c>
      <c r="C336" s="282" t="s">
        <v>869</v>
      </c>
      <c r="J336" s="6">
        <v>3.7046222513391852E-11</v>
      </c>
      <c r="K336" s="6">
        <v>3.5671062893842507E-11</v>
      </c>
      <c r="L336" s="6">
        <v>3.5716564968595088E-11</v>
      </c>
      <c r="M336" s="4"/>
      <c r="T336" s="282"/>
    </row>
    <row r="337" spans="1:20" outlineLevel="1" x14ac:dyDescent="0.35">
      <c r="B337" s="6" t="s">
        <v>121</v>
      </c>
      <c r="C337" s="282" t="s">
        <v>869</v>
      </c>
      <c r="J337" s="6">
        <v>3.2326961497988848E-8</v>
      </c>
      <c r="K337" s="6">
        <v>2.7417542144212684E-8</v>
      </c>
      <c r="L337" s="6">
        <v>2.4277736565892259E-8</v>
      </c>
      <c r="M337" s="4"/>
      <c r="T337" s="282"/>
    </row>
    <row r="338" spans="1:20" outlineLevel="1" x14ac:dyDescent="0.35">
      <c r="B338" s="6" t="s">
        <v>800</v>
      </c>
      <c r="C338" s="282" t="s">
        <v>869</v>
      </c>
      <c r="J338" s="6">
        <v>8.4987672123381005E-7</v>
      </c>
      <c r="K338" s="6">
        <v>8.1743523167004277E-7</v>
      </c>
      <c r="L338" s="6">
        <v>7.0783676707877945E-7</v>
      </c>
      <c r="M338" s="4"/>
      <c r="T338" s="282"/>
    </row>
    <row r="339" spans="1:20" outlineLevel="1" x14ac:dyDescent="0.35">
      <c r="B339" s="6" t="s">
        <v>122</v>
      </c>
      <c r="C339" s="282" t="s">
        <v>869</v>
      </c>
      <c r="J339" s="6">
        <v>1.2893265685379787E-6</v>
      </c>
      <c r="K339" s="6">
        <v>1.1401742378630473E-6</v>
      </c>
      <c r="L339" s="6">
        <v>1.0691082172530292E-6</v>
      </c>
      <c r="M339" s="4"/>
      <c r="T339" s="282"/>
    </row>
    <row r="340" spans="1:20" outlineLevel="1" x14ac:dyDescent="0.35">
      <c r="B340" s="6" t="s">
        <v>123</v>
      </c>
      <c r="C340" s="282" t="s">
        <v>869</v>
      </c>
      <c r="J340" s="6">
        <v>2.0012222822249669E-7</v>
      </c>
      <c r="K340" s="6">
        <v>6.1093319563827715E-8</v>
      </c>
      <c r="L340" s="6">
        <v>3.2647215503458974E-8</v>
      </c>
      <c r="M340" s="4"/>
      <c r="T340" s="282"/>
    </row>
    <row r="341" spans="1:20" outlineLevel="1" x14ac:dyDescent="0.35">
      <c r="B341" s="6" t="s">
        <v>124</v>
      </c>
      <c r="C341" s="282" t="s">
        <v>869</v>
      </c>
      <c r="J341" s="6">
        <v>-2.8000764999999987E-6</v>
      </c>
      <c r="K341" s="6">
        <v>-2.8000764999999987E-6</v>
      </c>
      <c r="L341" s="6">
        <v>-2.8000764999999987E-6</v>
      </c>
      <c r="M341" s="4"/>
      <c r="T341" s="282"/>
    </row>
    <row r="342" spans="1:20" outlineLevel="1" x14ac:dyDescent="0.35">
      <c r="B342" s="6" t="s">
        <v>137</v>
      </c>
      <c r="C342" s="282" t="s">
        <v>869</v>
      </c>
      <c r="J342" s="6">
        <v>-2.7760227845999586E-7</v>
      </c>
      <c r="K342" s="6">
        <v>-6.1245706461484487E-7</v>
      </c>
      <c r="L342" s="6">
        <v>-8.4987352149491636E-7</v>
      </c>
      <c r="M342" s="4"/>
      <c r="T342" s="282"/>
    </row>
    <row r="343" spans="1:20" outlineLevel="1" x14ac:dyDescent="0.35">
      <c r="M343" s="4"/>
      <c r="T343" s="282"/>
    </row>
    <row r="344" spans="1:20" x14ac:dyDescent="0.35">
      <c r="A344" s="170" t="s">
        <v>777</v>
      </c>
      <c r="B344" s="4"/>
      <c r="C344" s="4"/>
      <c r="D344" s="4"/>
      <c r="E344" s="4"/>
      <c r="F344" s="4"/>
      <c r="G344" s="4"/>
      <c r="H344" s="4"/>
      <c r="I344" s="4"/>
      <c r="J344" s="4"/>
      <c r="K344" s="4"/>
      <c r="L344" s="4"/>
      <c r="M344" s="4"/>
      <c r="T344" s="282"/>
    </row>
    <row r="345" spans="1:20" outlineLevel="1" x14ac:dyDescent="0.35">
      <c r="A345" s="15" t="s">
        <v>825</v>
      </c>
      <c r="B345" s="30"/>
      <c r="C345" s="140" t="s">
        <v>180</v>
      </c>
      <c r="J345" s="6" t="s">
        <v>896</v>
      </c>
      <c r="K345" s="6" t="s">
        <v>897</v>
      </c>
      <c r="L345" s="6" t="s">
        <v>895</v>
      </c>
      <c r="M345" s="4"/>
      <c r="T345" s="282"/>
    </row>
    <row r="346" spans="1:20" outlineLevel="1" x14ac:dyDescent="0.35">
      <c r="B346" s="6" t="s">
        <v>117</v>
      </c>
      <c r="C346" s="282" t="s">
        <v>869</v>
      </c>
      <c r="J346" s="6">
        <v>1.4397366517620688E-7</v>
      </c>
      <c r="K346" s="6">
        <v>1.3509196445407891E-7</v>
      </c>
      <c r="L346" s="6">
        <v>1.1038430518141741E-7</v>
      </c>
      <c r="M346" s="4"/>
      <c r="T346" s="282"/>
    </row>
    <row r="347" spans="1:20" outlineLevel="1" x14ac:dyDescent="0.35">
      <c r="B347" s="6" t="s">
        <v>118</v>
      </c>
      <c r="C347" s="282" t="s">
        <v>869</v>
      </c>
      <c r="I347" s="32"/>
      <c r="J347" s="6">
        <v>4.544829349235703E-9</v>
      </c>
      <c r="K347" s="6">
        <v>4.3063190758316633E-9</v>
      </c>
      <c r="L347" s="6">
        <v>3.9146385309138401E-9</v>
      </c>
      <c r="M347" s="4"/>
      <c r="T347" s="282"/>
    </row>
    <row r="348" spans="1:20" outlineLevel="1" x14ac:dyDescent="0.35">
      <c r="B348" s="6" t="s">
        <v>119</v>
      </c>
      <c r="C348" s="282" t="s">
        <v>869</v>
      </c>
      <c r="H348" s="6"/>
      <c r="J348" s="6">
        <v>2.2662012997734839E-9</v>
      </c>
      <c r="K348" s="6">
        <v>2.06514955122038E-9</v>
      </c>
      <c r="L348" s="6">
        <v>1.9983818266233635E-9</v>
      </c>
      <c r="M348" s="4"/>
      <c r="T348" s="282"/>
    </row>
    <row r="349" spans="1:20" outlineLevel="1" x14ac:dyDescent="0.35">
      <c r="B349" s="6" t="s">
        <v>120</v>
      </c>
      <c r="C349" s="282" t="s">
        <v>869</v>
      </c>
      <c r="H349" s="6"/>
      <c r="J349" s="6">
        <v>3.7046222513391852E-11</v>
      </c>
      <c r="K349" s="6">
        <v>3.5671062893842507E-11</v>
      </c>
      <c r="L349" s="6">
        <v>3.5716564968595088E-11</v>
      </c>
      <c r="M349" s="4"/>
      <c r="T349" s="282"/>
    </row>
    <row r="350" spans="1:20" outlineLevel="1" x14ac:dyDescent="0.35">
      <c r="B350" s="6" t="s">
        <v>121</v>
      </c>
      <c r="C350" s="282" t="s">
        <v>869</v>
      </c>
      <c r="H350" s="6"/>
      <c r="J350" s="6">
        <v>3.2326961497988848E-8</v>
      </c>
      <c r="K350" s="6">
        <v>2.7417542144212684E-8</v>
      </c>
      <c r="L350" s="6">
        <v>2.4277736565892259E-8</v>
      </c>
      <c r="M350" s="4"/>
      <c r="T350" s="282"/>
    </row>
    <row r="351" spans="1:20" outlineLevel="1" x14ac:dyDescent="0.35">
      <c r="B351" s="6" t="s">
        <v>800</v>
      </c>
      <c r="C351" s="282" t="s">
        <v>869</v>
      </c>
      <c r="J351" s="6">
        <v>8.4987672123381005E-7</v>
      </c>
      <c r="K351" s="6">
        <v>8.1743523167004277E-7</v>
      </c>
      <c r="L351" s="6">
        <v>7.0783676707877945E-7</v>
      </c>
      <c r="M351" s="4"/>
      <c r="T351" s="282"/>
    </row>
    <row r="352" spans="1:20" outlineLevel="1" x14ac:dyDescent="0.35">
      <c r="B352" s="6" t="s">
        <v>122</v>
      </c>
      <c r="C352" s="282" t="s">
        <v>869</v>
      </c>
      <c r="J352" s="6">
        <v>6.4570008428372026E-7</v>
      </c>
      <c r="K352" s="6">
        <v>5.7091655894330845E-7</v>
      </c>
      <c r="L352" s="6">
        <v>5.355909086412455E-7</v>
      </c>
      <c r="M352" s="4"/>
      <c r="T352" s="282"/>
    </row>
    <row r="353" spans="1:20" outlineLevel="1" x14ac:dyDescent="0.35">
      <c r="B353" s="6" t="s">
        <v>123</v>
      </c>
      <c r="C353" s="282" t="s">
        <v>869</v>
      </c>
      <c r="J353" s="6">
        <v>2.0012222822249669E-7</v>
      </c>
      <c r="K353" s="6">
        <v>6.1093319563827715E-8</v>
      </c>
      <c r="L353" s="6">
        <v>3.2647215503458974E-8</v>
      </c>
      <c r="M353" s="4"/>
      <c r="T353" s="282"/>
    </row>
    <row r="354" spans="1:20" outlineLevel="1" x14ac:dyDescent="0.35">
      <c r="B354" s="6" t="s">
        <v>124</v>
      </c>
      <c r="C354" s="282" t="s">
        <v>869</v>
      </c>
      <c r="J354" s="6">
        <v>-2.8000764999999987E-6</v>
      </c>
      <c r="K354" s="6">
        <v>-2.8000764999999987E-6</v>
      </c>
      <c r="L354" s="6">
        <v>-2.8000764999999987E-6</v>
      </c>
      <c r="M354" s="4"/>
      <c r="T354" s="282"/>
    </row>
    <row r="355" spans="1:20" outlineLevel="1" x14ac:dyDescent="0.35">
      <c r="B355" s="6" t="s">
        <v>137</v>
      </c>
      <c r="C355" s="282" t="s">
        <v>869</v>
      </c>
      <c r="J355" s="6">
        <v>-9.2122876271425387E-7</v>
      </c>
      <c r="K355" s="6">
        <v>-1.1817147435345837E-6</v>
      </c>
      <c r="L355" s="6">
        <v>-1.3833908301066996E-6</v>
      </c>
      <c r="M355" s="4"/>
      <c r="T355" s="282"/>
    </row>
    <row r="356" spans="1:20" outlineLevel="1" x14ac:dyDescent="0.35">
      <c r="M356" s="4"/>
      <c r="T356" s="282"/>
    </row>
    <row r="357" spans="1:20" outlineLevel="1" x14ac:dyDescent="0.35">
      <c r="A357" s="15" t="s">
        <v>826</v>
      </c>
      <c r="B357" s="30"/>
      <c r="C357" s="140" t="s">
        <v>180</v>
      </c>
      <c r="J357" s="6" t="s">
        <v>896</v>
      </c>
      <c r="K357" s="6" t="s">
        <v>897</v>
      </c>
      <c r="L357" s="6" t="s">
        <v>895</v>
      </c>
      <c r="M357" s="4"/>
      <c r="T357" s="282"/>
    </row>
    <row r="358" spans="1:20" outlineLevel="1" x14ac:dyDescent="0.35">
      <c r="B358" s="6" t="s">
        <v>117</v>
      </c>
      <c r="C358" s="282" t="s">
        <v>869</v>
      </c>
      <c r="J358" s="6">
        <v>1.4397366517620701E-7</v>
      </c>
      <c r="K358" s="6">
        <v>1.3509196445407891E-7</v>
      </c>
      <c r="L358" s="6">
        <v>1.1038430518141741E-7</v>
      </c>
      <c r="M358" s="4"/>
      <c r="T358" s="282"/>
    </row>
    <row r="359" spans="1:20" outlineLevel="1" x14ac:dyDescent="0.35">
      <c r="B359" s="6" t="s">
        <v>118</v>
      </c>
      <c r="C359" s="282" t="s">
        <v>869</v>
      </c>
      <c r="J359" s="6">
        <v>4.544829349235703E-9</v>
      </c>
      <c r="K359" s="6">
        <v>4.3063190758316633E-9</v>
      </c>
      <c r="L359" s="6">
        <v>3.9146385309138401E-9</v>
      </c>
      <c r="M359" s="4"/>
      <c r="T359" s="282"/>
    </row>
    <row r="360" spans="1:20" outlineLevel="1" x14ac:dyDescent="0.35">
      <c r="B360" s="6" t="s">
        <v>119</v>
      </c>
      <c r="C360" s="282" t="s">
        <v>869</v>
      </c>
      <c r="J360" s="6">
        <v>2.2662012997734839E-9</v>
      </c>
      <c r="K360" s="6">
        <v>2.06514955122038E-9</v>
      </c>
      <c r="L360" s="6">
        <v>1.9983818266233635E-9</v>
      </c>
      <c r="M360" s="4"/>
      <c r="T360" s="282"/>
    </row>
    <row r="361" spans="1:20" outlineLevel="1" x14ac:dyDescent="0.35">
      <c r="B361" s="6" t="s">
        <v>120</v>
      </c>
      <c r="C361" s="282" t="s">
        <v>869</v>
      </c>
      <c r="J361" s="6">
        <v>3.7046222513391852E-11</v>
      </c>
      <c r="K361" s="6">
        <v>3.5671062893842507E-11</v>
      </c>
      <c r="L361" s="6">
        <v>3.5716564968595088E-11</v>
      </c>
      <c r="M361" s="4"/>
      <c r="T361" s="282"/>
    </row>
    <row r="362" spans="1:20" outlineLevel="1" x14ac:dyDescent="0.35">
      <c r="B362" s="6" t="s">
        <v>121</v>
      </c>
      <c r="C362" s="282" t="s">
        <v>869</v>
      </c>
      <c r="J362" s="6">
        <v>3.2326961497988848E-8</v>
      </c>
      <c r="K362" s="6">
        <v>2.7417542144212684E-8</v>
      </c>
      <c r="L362" s="6">
        <v>2.4277736565892259E-8</v>
      </c>
      <c r="M362" s="4"/>
      <c r="T362" s="282"/>
    </row>
    <row r="363" spans="1:20" outlineLevel="1" x14ac:dyDescent="0.35">
      <c r="B363" s="6" t="s">
        <v>800</v>
      </c>
      <c r="C363" s="282" t="s">
        <v>869</v>
      </c>
      <c r="J363" s="6">
        <v>2.4004198935551941E-7</v>
      </c>
      <c r="K363" s="6">
        <v>2.3084584613129286E-7</v>
      </c>
      <c r="L363" s="6">
        <v>2.0041911046810184E-7</v>
      </c>
      <c r="M363" s="4"/>
      <c r="T363" s="282"/>
    </row>
    <row r="364" spans="1:20" outlineLevel="1" x14ac:dyDescent="0.35">
      <c r="B364" s="6" t="s">
        <v>122</v>
      </c>
      <c r="C364" s="282" t="s">
        <v>869</v>
      </c>
      <c r="J364" s="6">
        <v>6.4570008428372026E-7</v>
      </c>
      <c r="K364" s="6">
        <v>5.7091655894330845E-7</v>
      </c>
      <c r="L364" s="6">
        <v>5.355909086412455E-7</v>
      </c>
      <c r="M364" s="4"/>
      <c r="T364" s="282"/>
    </row>
    <row r="365" spans="1:20" outlineLevel="1" x14ac:dyDescent="0.35">
      <c r="B365" s="6" t="s">
        <v>123</v>
      </c>
      <c r="C365" s="282" t="s">
        <v>869</v>
      </c>
      <c r="J365" s="6">
        <v>2.0012222822249669E-7</v>
      </c>
      <c r="K365" s="6">
        <v>6.1093319563827715E-8</v>
      </c>
      <c r="L365" s="6">
        <v>3.2647215503458974E-8</v>
      </c>
      <c r="M365" s="4"/>
      <c r="T365" s="282"/>
    </row>
    <row r="366" spans="1:20" outlineLevel="1" x14ac:dyDescent="0.35">
      <c r="B366" s="6" t="s">
        <v>124</v>
      </c>
      <c r="C366" s="282" t="s">
        <v>869</v>
      </c>
      <c r="J366" s="6">
        <v>-2.8000764999999987E-6</v>
      </c>
      <c r="K366" s="6">
        <v>-2.8000764999999987E-6</v>
      </c>
      <c r="L366" s="6">
        <v>-2.8000764999999987E-6</v>
      </c>
      <c r="M366" s="4"/>
      <c r="T366" s="282"/>
    </row>
    <row r="367" spans="1:20" outlineLevel="1" x14ac:dyDescent="0.35">
      <c r="B367" s="6" t="s">
        <v>137</v>
      </c>
      <c r="C367" s="282" t="s">
        <v>869</v>
      </c>
      <c r="J367" s="6">
        <v>-1.531063494592545E-6</v>
      </c>
      <c r="K367" s="6">
        <v>-1.7683041290733331E-6</v>
      </c>
      <c r="L367" s="6">
        <v>-1.8908084867173783E-6</v>
      </c>
      <c r="M367" s="4"/>
      <c r="T367" s="282"/>
    </row>
    <row r="368" spans="1:20" outlineLevel="1" x14ac:dyDescent="0.35">
      <c r="M368" s="4"/>
      <c r="T368" s="282"/>
    </row>
    <row r="369" spans="1:20" outlineLevel="1" x14ac:dyDescent="0.35">
      <c r="A369" s="15" t="s">
        <v>827</v>
      </c>
      <c r="B369" s="30"/>
      <c r="C369" s="140" t="s">
        <v>180</v>
      </c>
      <c r="J369" s="6" t="s">
        <v>896</v>
      </c>
      <c r="K369" s="6" t="s">
        <v>897</v>
      </c>
      <c r="L369" s="6" t="s">
        <v>895</v>
      </c>
      <c r="M369" s="4"/>
      <c r="T369" s="282"/>
    </row>
    <row r="370" spans="1:20" outlineLevel="1" x14ac:dyDescent="0.35">
      <c r="B370" s="6" t="s">
        <v>117</v>
      </c>
      <c r="C370" s="282" t="s">
        <v>869</v>
      </c>
      <c r="J370" s="6">
        <v>1.4397366517620688E-7</v>
      </c>
      <c r="K370" s="6">
        <v>1.3509196445407891E-7</v>
      </c>
      <c r="L370" s="6">
        <v>1.1038430518141741E-7</v>
      </c>
      <c r="M370" s="4"/>
      <c r="T370" s="282"/>
    </row>
    <row r="371" spans="1:20" outlineLevel="1" x14ac:dyDescent="0.35">
      <c r="B371" s="6" t="s">
        <v>118</v>
      </c>
      <c r="C371" s="282" t="s">
        <v>869</v>
      </c>
      <c r="J371" s="6">
        <v>4.544829349235703E-9</v>
      </c>
      <c r="K371" s="6">
        <v>4.3063190758316633E-9</v>
      </c>
      <c r="L371" s="6">
        <v>3.9146385309138401E-9</v>
      </c>
      <c r="M371" s="4"/>
      <c r="T371" s="282"/>
    </row>
    <row r="372" spans="1:20" outlineLevel="1" x14ac:dyDescent="0.35">
      <c r="B372" s="6" t="s">
        <v>119</v>
      </c>
      <c r="C372" s="282" t="s">
        <v>869</v>
      </c>
      <c r="J372" s="6">
        <v>2.2662012997734839E-9</v>
      </c>
      <c r="K372" s="6">
        <v>2.06514955122038E-9</v>
      </c>
      <c r="L372" s="6">
        <v>1.9983818266233635E-9</v>
      </c>
      <c r="M372" s="4"/>
      <c r="T372" s="282"/>
    </row>
    <row r="373" spans="1:20" outlineLevel="1" x14ac:dyDescent="0.35">
      <c r="B373" s="6" t="s">
        <v>120</v>
      </c>
      <c r="C373" s="282" t="s">
        <v>869</v>
      </c>
      <c r="J373" s="6">
        <v>3.7046222513391852E-11</v>
      </c>
      <c r="K373" s="6">
        <v>3.5671062893842507E-11</v>
      </c>
      <c r="L373" s="6">
        <v>3.5716564968595088E-11</v>
      </c>
      <c r="M373" s="4"/>
      <c r="T373" s="282"/>
    </row>
    <row r="374" spans="1:20" outlineLevel="1" x14ac:dyDescent="0.35">
      <c r="B374" s="6" t="s">
        <v>121</v>
      </c>
      <c r="C374" s="282" t="s">
        <v>869</v>
      </c>
      <c r="J374" s="6">
        <v>3.2326961497988848E-8</v>
      </c>
      <c r="K374" s="6">
        <v>2.7417542144212684E-8</v>
      </c>
      <c r="L374" s="6">
        <v>2.4277736565892259E-8</v>
      </c>
      <c r="M374" s="4"/>
      <c r="T374" s="282"/>
    </row>
    <row r="375" spans="1:20" outlineLevel="1" x14ac:dyDescent="0.35">
      <c r="B375" s="6" t="s">
        <v>800</v>
      </c>
      <c r="C375" s="282" t="s">
        <v>869</v>
      </c>
      <c r="J375" s="6">
        <v>3.1789244125587061E-6</v>
      </c>
      <c r="K375" s="6">
        <v>3.0578446209699144E-6</v>
      </c>
      <c r="L375" s="6">
        <v>2.6436677187278649E-6</v>
      </c>
      <c r="M375" s="4"/>
      <c r="T375" s="282"/>
    </row>
    <row r="376" spans="1:20" outlineLevel="1" x14ac:dyDescent="0.35">
      <c r="B376" s="6" t="s">
        <v>122</v>
      </c>
      <c r="C376" s="282" t="s">
        <v>869</v>
      </c>
      <c r="J376" s="6">
        <v>6.4570008428372026E-7</v>
      </c>
      <c r="K376" s="6">
        <v>5.7091655894330845E-7</v>
      </c>
      <c r="L376" s="6">
        <v>5.355909086412455E-7</v>
      </c>
      <c r="M376" s="4"/>
      <c r="T376" s="282"/>
    </row>
    <row r="377" spans="1:20" outlineLevel="1" x14ac:dyDescent="0.35">
      <c r="B377" s="6" t="s">
        <v>123</v>
      </c>
      <c r="C377" s="282" t="s">
        <v>869</v>
      </c>
      <c r="J377" s="6">
        <v>2.0012222822249669E-7</v>
      </c>
      <c r="K377" s="6">
        <v>6.1093319563827715E-8</v>
      </c>
      <c r="L377" s="6">
        <v>3.2647215503458974E-8</v>
      </c>
      <c r="M377" s="4"/>
      <c r="T377" s="282"/>
    </row>
    <row r="378" spans="1:20" outlineLevel="1" x14ac:dyDescent="0.35">
      <c r="B378" s="6" t="s">
        <v>124</v>
      </c>
      <c r="C378" s="282" t="s">
        <v>869</v>
      </c>
      <c r="J378" s="6">
        <v>-2.8000764999999987E-6</v>
      </c>
      <c r="K378" s="6">
        <v>-2.8000764999999987E-6</v>
      </c>
      <c r="L378" s="6">
        <v>-2.8000764999999987E-6</v>
      </c>
      <c r="M378" s="4"/>
      <c r="T378" s="282"/>
    </row>
    <row r="379" spans="1:20" outlineLevel="1" x14ac:dyDescent="0.35">
      <c r="B379" s="6" t="s">
        <v>137</v>
      </c>
      <c r="C379" s="282" t="s">
        <v>869</v>
      </c>
      <c r="J379" s="6">
        <v>1.4078189286106417E-6</v>
      </c>
      <c r="K379" s="6">
        <v>1.0586946457652867E-6</v>
      </c>
      <c r="L379" s="6">
        <v>5.5244012154238553E-7</v>
      </c>
      <c r="M379" s="4"/>
      <c r="T379" s="282"/>
    </row>
    <row r="380" spans="1:20" outlineLevel="1" x14ac:dyDescent="0.35">
      <c r="M380" s="4"/>
      <c r="T380" s="282"/>
    </row>
    <row r="381" spans="1:20" x14ac:dyDescent="0.35">
      <c r="A381" s="170" t="s">
        <v>798</v>
      </c>
      <c r="B381" s="4"/>
      <c r="C381" s="4"/>
      <c r="D381" s="4"/>
      <c r="E381" s="4"/>
      <c r="F381" s="4"/>
      <c r="G381" s="4"/>
      <c r="H381" s="4"/>
      <c r="I381" s="4"/>
      <c r="J381" s="4"/>
      <c r="K381" s="4"/>
      <c r="L381" s="4"/>
      <c r="M381" s="4"/>
      <c r="T381" s="282"/>
    </row>
    <row r="382" spans="1:20" outlineLevel="1" x14ac:dyDescent="0.35">
      <c r="A382" s="15" t="s">
        <v>828</v>
      </c>
      <c r="B382" s="30"/>
      <c r="C382" s="140" t="s">
        <v>180</v>
      </c>
      <c r="J382" s="6" t="s">
        <v>896</v>
      </c>
      <c r="K382" s="6" t="s">
        <v>897</v>
      </c>
      <c r="L382" s="6" t="s">
        <v>895</v>
      </c>
      <c r="M382" s="4"/>
      <c r="T382" s="282"/>
    </row>
    <row r="383" spans="1:20" outlineLevel="1" x14ac:dyDescent="0.35">
      <c r="B383" s="6" t="s">
        <v>117</v>
      </c>
      <c r="C383" s="282" t="s">
        <v>869</v>
      </c>
      <c r="J383" s="6">
        <v>1.4397366517620688E-7</v>
      </c>
      <c r="K383" s="6">
        <v>1.3509196445407891E-7</v>
      </c>
      <c r="L383" s="6">
        <v>1.1038430518141741E-7</v>
      </c>
      <c r="M383" s="4"/>
      <c r="T383" s="282"/>
    </row>
    <row r="384" spans="1:20" outlineLevel="1" x14ac:dyDescent="0.35">
      <c r="B384" s="6" t="s">
        <v>118</v>
      </c>
      <c r="C384" s="282" t="s">
        <v>869</v>
      </c>
      <c r="I384" s="32"/>
      <c r="J384" s="6">
        <v>4.544829349235703E-9</v>
      </c>
      <c r="K384" s="6">
        <v>4.3063190758316633E-9</v>
      </c>
      <c r="L384" s="6">
        <v>3.9146385309138401E-9</v>
      </c>
      <c r="M384" s="4"/>
      <c r="T384" s="282"/>
    </row>
    <row r="385" spans="1:20" outlineLevel="1" x14ac:dyDescent="0.35">
      <c r="B385" s="6" t="s">
        <v>119</v>
      </c>
      <c r="C385" s="282" t="s">
        <v>869</v>
      </c>
      <c r="H385" s="6"/>
      <c r="J385" s="6">
        <v>2.2662012997734839E-9</v>
      </c>
      <c r="K385" s="6">
        <v>2.06514955122038E-9</v>
      </c>
      <c r="L385" s="6">
        <v>1.9983818266233635E-9</v>
      </c>
      <c r="M385" s="4"/>
      <c r="T385" s="282"/>
    </row>
    <row r="386" spans="1:20" outlineLevel="1" x14ac:dyDescent="0.35">
      <c r="B386" s="6" t="s">
        <v>120</v>
      </c>
      <c r="C386" s="282" t="s">
        <v>869</v>
      </c>
      <c r="H386" s="6"/>
      <c r="J386" s="6">
        <v>3.7046222513391852E-11</v>
      </c>
      <c r="K386" s="6">
        <v>3.5671062893842507E-11</v>
      </c>
      <c r="L386" s="6">
        <v>3.5716564968595088E-11</v>
      </c>
      <c r="M386" s="4"/>
      <c r="T386" s="282"/>
    </row>
    <row r="387" spans="1:20" outlineLevel="1" x14ac:dyDescent="0.35">
      <c r="B387" s="6" t="s">
        <v>121</v>
      </c>
      <c r="C387" s="282" t="s">
        <v>869</v>
      </c>
      <c r="H387" s="6"/>
      <c r="J387" s="6">
        <v>3.2326961497988848E-8</v>
      </c>
      <c r="K387" s="6">
        <v>2.7417542144212684E-8</v>
      </c>
      <c r="L387" s="6">
        <v>2.4277736565892259E-8</v>
      </c>
      <c r="M387" s="4"/>
      <c r="T387" s="282"/>
    </row>
    <row r="388" spans="1:20" outlineLevel="1" x14ac:dyDescent="0.35">
      <c r="B388" s="6" t="s">
        <v>800</v>
      </c>
      <c r="C388" s="282" t="s">
        <v>869</v>
      </c>
      <c r="J388" s="6">
        <v>8.4987672123381005E-7</v>
      </c>
      <c r="K388" s="6">
        <v>8.1743523167004277E-7</v>
      </c>
      <c r="L388" s="6">
        <v>7.0783676707877945E-7</v>
      </c>
      <c r="M388" s="4"/>
      <c r="T388" s="282"/>
    </row>
    <row r="389" spans="1:20" outlineLevel="1" x14ac:dyDescent="0.35">
      <c r="B389" s="6" t="s">
        <v>122</v>
      </c>
      <c r="C389" s="282" t="s">
        <v>869</v>
      </c>
      <c r="J389" s="6">
        <v>6.4570008428372026E-7</v>
      </c>
      <c r="K389" s="6">
        <v>5.7091655894330845E-7</v>
      </c>
      <c r="L389" s="6">
        <v>5.355909086412455E-7</v>
      </c>
      <c r="M389" s="4"/>
      <c r="T389" s="282"/>
    </row>
    <row r="390" spans="1:20" outlineLevel="1" x14ac:dyDescent="0.35">
      <c r="B390" s="6" t="s">
        <v>123</v>
      </c>
      <c r="C390" s="282" t="s">
        <v>869</v>
      </c>
      <c r="J390" s="6">
        <v>2.0012222822249669E-7</v>
      </c>
      <c r="K390" s="6">
        <v>6.1093319563827715E-8</v>
      </c>
      <c r="L390" s="6">
        <v>3.2647215503458974E-8</v>
      </c>
      <c r="M390" s="4"/>
      <c r="T390" s="282"/>
    </row>
    <row r="391" spans="1:20" outlineLevel="1" x14ac:dyDescent="0.35">
      <c r="B391" s="6" t="s">
        <v>124</v>
      </c>
      <c r="C391" s="282" t="s">
        <v>869</v>
      </c>
      <c r="J391" s="6">
        <v>-2.8000764999999987E-6</v>
      </c>
      <c r="K391" s="6">
        <v>-2.8000764999999987E-6</v>
      </c>
      <c r="L391" s="6">
        <v>-2.8000764999999987E-6</v>
      </c>
      <c r="M391" s="4"/>
      <c r="T391" s="282"/>
    </row>
    <row r="392" spans="1:20" outlineLevel="1" x14ac:dyDescent="0.35">
      <c r="B392" s="6" t="s">
        <v>137</v>
      </c>
      <c r="C392" s="282" t="s">
        <v>869</v>
      </c>
      <c r="J392" s="6">
        <v>-9.2122876271425387E-7</v>
      </c>
      <c r="K392" s="6">
        <v>-1.1817147435345837E-6</v>
      </c>
      <c r="L392" s="6">
        <v>-1.3833908301066996E-6</v>
      </c>
      <c r="M392" s="4"/>
      <c r="T392" s="282"/>
    </row>
    <row r="393" spans="1:20" outlineLevel="1" x14ac:dyDescent="0.35">
      <c r="M393" s="4"/>
      <c r="T393" s="282"/>
    </row>
    <row r="394" spans="1:20" outlineLevel="1" x14ac:dyDescent="0.35">
      <c r="A394" s="15" t="s">
        <v>830</v>
      </c>
      <c r="B394" s="30"/>
      <c r="C394" s="140" t="s">
        <v>180</v>
      </c>
      <c r="J394" s="6" t="s">
        <v>896</v>
      </c>
      <c r="K394" s="6" t="s">
        <v>897</v>
      </c>
      <c r="L394" s="6" t="s">
        <v>895</v>
      </c>
      <c r="M394" s="4"/>
      <c r="T394" s="282"/>
    </row>
    <row r="395" spans="1:20" outlineLevel="1" x14ac:dyDescent="0.35">
      <c r="B395" s="6" t="s">
        <v>117</v>
      </c>
      <c r="C395" s="282" t="s">
        <v>869</v>
      </c>
      <c r="J395" s="6">
        <v>1.4397366517620688E-7</v>
      </c>
      <c r="K395" s="6">
        <v>1.3509196445407891E-7</v>
      </c>
      <c r="L395" s="6">
        <v>1.1038430518141741E-7</v>
      </c>
      <c r="M395" s="4"/>
      <c r="T395" s="282"/>
    </row>
    <row r="396" spans="1:20" outlineLevel="1" x14ac:dyDescent="0.35">
      <c r="B396" s="6" t="s">
        <v>118</v>
      </c>
      <c r="C396" s="282" t="s">
        <v>869</v>
      </c>
      <c r="J396" s="6">
        <v>4.544829349235703E-9</v>
      </c>
      <c r="K396" s="6">
        <v>4.3063190758316633E-9</v>
      </c>
      <c r="L396" s="6">
        <v>3.9146385309138401E-9</v>
      </c>
      <c r="M396" s="4"/>
      <c r="T396" s="282"/>
    </row>
    <row r="397" spans="1:20" outlineLevel="1" x14ac:dyDescent="0.35">
      <c r="B397" s="6" t="s">
        <v>119</v>
      </c>
      <c r="C397" s="282" t="s">
        <v>869</v>
      </c>
      <c r="J397" s="6">
        <v>2.2662012997734839E-9</v>
      </c>
      <c r="K397" s="6">
        <v>2.06514955122038E-9</v>
      </c>
      <c r="L397" s="6">
        <v>1.9983818266233635E-9</v>
      </c>
      <c r="M397" s="4"/>
      <c r="T397" s="282"/>
    </row>
    <row r="398" spans="1:20" outlineLevel="1" x14ac:dyDescent="0.35">
      <c r="B398" s="6" t="s">
        <v>120</v>
      </c>
      <c r="C398" s="282" t="s">
        <v>869</v>
      </c>
      <c r="J398" s="6">
        <v>3.7046222513391852E-11</v>
      </c>
      <c r="K398" s="6">
        <v>3.5671062893842507E-11</v>
      </c>
      <c r="L398" s="6">
        <v>3.5716564968595088E-11</v>
      </c>
      <c r="M398" s="4"/>
      <c r="T398" s="282"/>
    </row>
    <row r="399" spans="1:20" outlineLevel="1" x14ac:dyDescent="0.35">
      <c r="B399" s="6" t="s">
        <v>121</v>
      </c>
      <c r="C399" s="282" t="s">
        <v>869</v>
      </c>
      <c r="J399" s="6">
        <v>3.2326961497988848E-8</v>
      </c>
      <c r="K399" s="6">
        <v>2.7417542144212684E-8</v>
      </c>
      <c r="L399" s="6">
        <v>2.4277736565892259E-8</v>
      </c>
      <c r="M399" s="4"/>
      <c r="T399" s="282"/>
    </row>
    <row r="400" spans="1:20" outlineLevel="1" x14ac:dyDescent="0.35">
      <c r="B400" s="6" t="s">
        <v>800</v>
      </c>
      <c r="C400" s="282" t="s">
        <v>869</v>
      </c>
      <c r="J400" s="6">
        <v>8.4987672123381005E-7</v>
      </c>
      <c r="K400" s="6">
        <v>8.1743523167004277E-7</v>
      </c>
      <c r="L400" s="6">
        <v>7.0783676707877945E-7</v>
      </c>
      <c r="M400" s="4"/>
      <c r="T400" s="282"/>
    </row>
    <row r="401" spans="1:20" outlineLevel="1" x14ac:dyDescent="0.35">
      <c r="B401" s="6" t="s">
        <v>122</v>
      </c>
      <c r="C401" s="282" t="s">
        <v>869</v>
      </c>
      <c r="J401" s="6">
        <v>6.4570008428372026E-7</v>
      </c>
      <c r="K401" s="6">
        <v>5.7091655894330845E-7</v>
      </c>
      <c r="L401" s="6">
        <v>5.355909086412455E-7</v>
      </c>
      <c r="M401" s="4"/>
      <c r="T401" s="282"/>
    </row>
    <row r="402" spans="1:20" outlineLevel="1" x14ac:dyDescent="0.35">
      <c r="B402" s="6" t="s">
        <v>123</v>
      </c>
      <c r="C402" s="282" t="s">
        <v>869</v>
      </c>
      <c r="J402" s="6">
        <v>2.0012222822249669E-7</v>
      </c>
      <c r="K402" s="6">
        <v>6.1093319563827715E-8</v>
      </c>
      <c r="L402" s="6">
        <v>3.2647215503458974E-8</v>
      </c>
      <c r="M402" s="4"/>
      <c r="T402" s="282"/>
    </row>
    <row r="403" spans="1:20" outlineLevel="1" x14ac:dyDescent="0.35">
      <c r="B403" s="6" t="s">
        <v>124</v>
      </c>
      <c r="C403" s="282" t="s">
        <v>869</v>
      </c>
      <c r="J403" s="6">
        <v>-2.8000764999999987E-6</v>
      </c>
      <c r="K403" s="6">
        <v>-2.8000764999999987E-6</v>
      </c>
      <c r="L403" s="6">
        <v>-2.8000764999999987E-6</v>
      </c>
      <c r="M403" s="4"/>
      <c r="T403" s="282"/>
    </row>
    <row r="404" spans="1:20" outlineLevel="1" x14ac:dyDescent="0.35">
      <c r="B404" s="6" t="s">
        <v>137</v>
      </c>
      <c r="C404" s="282" t="s">
        <v>869</v>
      </c>
      <c r="J404" s="6">
        <v>-9.2122876271425387E-7</v>
      </c>
      <c r="K404" s="6">
        <v>-1.1817147435345837E-6</v>
      </c>
      <c r="L404" s="6">
        <v>-1.3833908301066996E-6</v>
      </c>
      <c r="M404" s="4"/>
      <c r="T404" s="282"/>
    </row>
    <row r="405" spans="1:20" outlineLevel="1" x14ac:dyDescent="0.35">
      <c r="M405" s="4"/>
      <c r="T405" s="282"/>
    </row>
    <row r="406" spans="1:20" outlineLevel="1" x14ac:dyDescent="0.35">
      <c r="A406" s="15" t="s">
        <v>829</v>
      </c>
      <c r="B406" s="30"/>
      <c r="C406" s="140" t="s">
        <v>180</v>
      </c>
      <c r="J406" s="6" t="s">
        <v>896</v>
      </c>
      <c r="K406" s="6" t="s">
        <v>897</v>
      </c>
      <c r="L406" s="6" t="s">
        <v>895</v>
      </c>
      <c r="M406" s="4"/>
      <c r="T406" s="282"/>
    </row>
    <row r="407" spans="1:20" outlineLevel="1" x14ac:dyDescent="0.35">
      <c r="B407" s="6" t="s">
        <v>117</v>
      </c>
      <c r="C407" s="282" t="s">
        <v>869</v>
      </c>
      <c r="J407" s="6">
        <v>1.4397366517620688E-7</v>
      </c>
      <c r="K407" s="6">
        <v>1.3509196445407891E-7</v>
      </c>
      <c r="L407" s="6">
        <v>1.1038430518141741E-7</v>
      </c>
      <c r="M407" s="4"/>
      <c r="T407" s="282"/>
    </row>
    <row r="408" spans="1:20" outlineLevel="1" x14ac:dyDescent="0.35">
      <c r="B408" s="6" t="s">
        <v>118</v>
      </c>
      <c r="C408" s="282" t="s">
        <v>869</v>
      </c>
      <c r="J408" s="6">
        <v>4.544829349235703E-9</v>
      </c>
      <c r="K408" s="6">
        <v>4.3063190758316633E-9</v>
      </c>
      <c r="L408" s="6">
        <v>3.9146385309138401E-9</v>
      </c>
      <c r="M408" s="4"/>
      <c r="T408" s="282"/>
    </row>
    <row r="409" spans="1:20" outlineLevel="1" x14ac:dyDescent="0.35">
      <c r="B409" s="6" t="s">
        <v>119</v>
      </c>
      <c r="C409" s="282" t="s">
        <v>869</v>
      </c>
      <c r="J409" s="6">
        <v>2.2662012997734839E-9</v>
      </c>
      <c r="K409" s="6">
        <v>2.06514955122038E-9</v>
      </c>
      <c r="L409" s="6">
        <v>1.9983818266233635E-9</v>
      </c>
      <c r="M409" s="4"/>
      <c r="T409" s="282"/>
    </row>
    <row r="410" spans="1:20" outlineLevel="1" x14ac:dyDescent="0.35">
      <c r="B410" s="6" t="s">
        <v>120</v>
      </c>
      <c r="C410" s="282" t="s">
        <v>869</v>
      </c>
      <c r="J410" s="6">
        <v>3.7046222513391852E-11</v>
      </c>
      <c r="K410" s="6">
        <v>3.5671062893842507E-11</v>
      </c>
      <c r="L410" s="6">
        <v>3.5716564968595088E-11</v>
      </c>
      <c r="M410" s="4"/>
      <c r="T410" s="282"/>
    </row>
    <row r="411" spans="1:20" outlineLevel="1" x14ac:dyDescent="0.35">
      <c r="B411" s="6" t="s">
        <v>121</v>
      </c>
      <c r="C411" s="282" t="s">
        <v>869</v>
      </c>
      <c r="J411" s="6">
        <v>3.2326961497988848E-8</v>
      </c>
      <c r="K411" s="6">
        <v>2.7417542144212684E-8</v>
      </c>
      <c r="L411" s="6">
        <v>2.4277736565892259E-8</v>
      </c>
      <c r="M411" s="4"/>
      <c r="T411" s="282"/>
    </row>
    <row r="412" spans="1:20" outlineLevel="1" x14ac:dyDescent="0.35">
      <c r="B412" s="6" t="s">
        <v>800</v>
      </c>
      <c r="C412" s="282" t="s">
        <v>869</v>
      </c>
      <c r="J412" s="6">
        <v>8.4987672123381005E-7</v>
      </c>
      <c r="K412" s="6">
        <v>8.1743523167004277E-7</v>
      </c>
      <c r="L412" s="6">
        <v>7.0783676707877945E-7</v>
      </c>
      <c r="M412" s="4"/>
      <c r="T412" s="282"/>
    </row>
    <row r="413" spans="1:20" outlineLevel="1" x14ac:dyDescent="0.35">
      <c r="B413" s="6" t="s">
        <v>122</v>
      </c>
      <c r="C413" s="282" t="s">
        <v>869</v>
      </c>
      <c r="J413" s="6">
        <v>6.4570008428372026E-7</v>
      </c>
      <c r="K413" s="6">
        <v>5.7091655894330845E-7</v>
      </c>
      <c r="L413" s="6">
        <v>5.355909086412455E-7</v>
      </c>
      <c r="M413" s="4"/>
      <c r="T413" s="282"/>
    </row>
    <row r="414" spans="1:20" outlineLevel="1" x14ac:dyDescent="0.35">
      <c r="B414" s="6" t="s">
        <v>123</v>
      </c>
      <c r="C414" s="282" t="s">
        <v>869</v>
      </c>
      <c r="J414" s="6">
        <v>2.0012222822249669E-7</v>
      </c>
      <c r="K414" s="6">
        <v>6.1093319563827715E-8</v>
      </c>
      <c r="L414" s="6">
        <v>3.2647215503458974E-8</v>
      </c>
      <c r="M414" s="4"/>
      <c r="T414" s="282"/>
    </row>
    <row r="415" spans="1:20" outlineLevel="1" x14ac:dyDescent="0.35">
      <c r="B415" s="6" t="s">
        <v>124</v>
      </c>
      <c r="C415" s="282" t="s">
        <v>869</v>
      </c>
      <c r="J415" s="6">
        <v>-2.8000764999999987E-6</v>
      </c>
      <c r="K415" s="6">
        <v>-2.8000764999999987E-6</v>
      </c>
      <c r="L415" s="6">
        <v>-2.8000764999999987E-6</v>
      </c>
      <c r="M415" s="4"/>
      <c r="T415" s="282"/>
    </row>
    <row r="416" spans="1:20" outlineLevel="1" x14ac:dyDescent="0.35">
      <c r="B416" s="6" t="s">
        <v>137</v>
      </c>
      <c r="C416" s="282" t="s">
        <v>869</v>
      </c>
      <c r="J416" s="6">
        <v>-9.2122876271425387E-7</v>
      </c>
      <c r="K416" s="6">
        <v>-1.1817147435345837E-6</v>
      </c>
      <c r="L416" s="6">
        <v>-1.3833908301066996E-6</v>
      </c>
      <c r="M416" s="4"/>
      <c r="T416" s="282"/>
    </row>
    <row r="417" spans="1:54" outlineLevel="1" x14ac:dyDescent="0.35">
      <c r="M417" s="4"/>
      <c r="T417" s="282"/>
    </row>
    <row r="418" spans="1:54" x14ac:dyDescent="0.35">
      <c r="A418" s="170"/>
      <c r="B418" s="4"/>
      <c r="C418" s="4"/>
      <c r="D418" s="4"/>
      <c r="E418" s="4"/>
      <c r="F418" s="4"/>
      <c r="G418" s="4"/>
      <c r="H418" s="4"/>
      <c r="I418" s="4"/>
      <c r="J418" s="4"/>
      <c r="K418" s="4"/>
      <c r="L418" s="4"/>
      <c r="M418" s="4"/>
      <c r="T418" s="282"/>
    </row>
    <row r="419" spans="1:54" s="125" customFormat="1" x14ac:dyDescent="0.35">
      <c r="A419" s="125" t="s">
        <v>872</v>
      </c>
    </row>
    <row r="423" spans="1:54" x14ac:dyDescent="0.35">
      <c r="A423" s="330" t="s">
        <v>150</v>
      </c>
      <c r="B423" s="330"/>
      <c r="C423" s="330"/>
      <c r="D423" s="330"/>
      <c r="F423" s="330" t="s">
        <v>151</v>
      </c>
      <c r="G423" s="330"/>
      <c r="H423" s="330"/>
      <c r="I423" s="330"/>
      <c r="K423" s="330" t="s">
        <v>834</v>
      </c>
      <c r="L423" s="330"/>
      <c r="M423" s="330"/>
      <c r="O423" s="330" t="s">
        <v>835</v>
      </c>
      <c r="P423" s="330"/>
      <c r="Q423" s="330"/>
      <c r="R423" s="330"/>
      <c r="T423" s="330" t="s">
        <v>163</v>
      </c>
      <c r="U423" s="330"/>
      <c r="V423" s="330"/>
      <c r="W423" s="330"/>
      <c r="Y423" s="330" t="s">
        <v>817</v>
      </c>
      <c r="Z423" s="330"/>
      <c r="AA423" s="330"/>
      <c r="AB423" s="330"/>
      <c r="AD423" s="330" t="s">
        <v>836</v>
      </c>
      <c r="AE423" s="330"/>
      <c r="AF423" s="330"/>
      <c r="AH423" s="330" t="s">
        <v>818</v>
      </c>
      <c r="AI423" s="330"/>
      <c r="AJ423" s="330"/>
      <c r="AK423" s="330"/>
      <c r="AL423" s="330"/>
      <c r="AN423" s="330" t="s">
        <v>777</v>
      </c>
      <c r="AO423" s="330"/>
      <c r="AP423" s="330"/>
      <c r="AQ423" s="330"/>
      <c r="AS423" s="330" t="s">
        <v>837</v>
      </c>
      <c r="AT423" s="330"/>
      <c r="AU423" s="330"/>
      <c r="AV423" s="330"/>
      <c r="AX423" s="347"/>
      <c r="AY423" s="347"/>
      <c r="AZ423" s="347"/>
      <c r="BA423" s="347"/>
    </row>
    <row r="425" spans="1:54" x14ac:dyDescent="0.35">
      <c r="A425" s="109"/>
      <c r="B425" s="142">
        <v>0.8</v>
      </c>
      <c r="C425" s="142">
        <v>1</v>
      </c>
      <c r="D425" s="142">
        <v>1.2</v>
      </c>
      <c r="F425" s="109"/>
      <c r="G425" s="288">
        <f>100/150</f>
        <v>0.66666666666666663</v>
      </c>
      <c r="H425" s="142">
        <v>1</v>
      </c>
      <c r="I425" s="142">
        <f>250/150</f>
        <v>1.6666666666666667</v>
      </c>
      <c r="K425" s="109"/>
      <c r="L425" s="142">
        <v>0.8</v>
      </c>
      <c r="M425" s="142">
        <v>1</v>
      </c>
      <c r="O425" s="109"/>
      <c r="P425" s="142">
        <v>0.33</v>
      </c>
      <c r="Q425" s="142">
        <v>1</v>
      </c>
      <c r="R425" s="142">
        <v>1.67</v>
      </c>
      <c r="T425" s="144"/>
      <c r="U425" s="142">
        <v>0.5</v>
      </c>
      <c r="V425" s="142">
        <v>1</v>
      </c>
      <c r="W425" s="142">
        <v>1.5</v>
      </c>
      <c r="Y425" s="109"/>
      <c r="Z425" s="142">
        <v>1</v>
      </c>
      <c r="AA425" s="142">
        <v>1.5</v>
      </c>
      <c r="AB425" s="142">
        <v>2</v>
      </c>
      <c r="AD425" s="109"/>
      <c r="AE425" s="109" t="s">
        <v>417</v>
      </c>
      <c r="AF425" s="109" t="s">
        <v>814</v>
      </c>
      <c r="AH425" s="109"/>
      <c r="AI425" s="109">
        <v>0</v>
      </c>
      <c r="AJ425" s="109">
        <v>0.5</v>
      </c>
      <c r="AK425" s="109">
        <v>1</v>
      </c>
      <c r="AL425" s="109">
        <v>1.5</v>
      </c>
      <c r="AN425" s="109"/>
      <c r="AO425" s="109">
        <v>0.5</v>
      </c>
      <c r="AP425" s="109">
        <v>1</v>
      </c>
      <c r="AQ425" s="109">
        <v>2</v>
      </c>
      <c r="AS425" s="109"/>
      <c r="AT425" s="109">
        <v>0.5</v>
      </c>
      <c r="AU425" s="109">
        <v>1</v>
      </c>
      <c r="AV425" s="109">
        <v>2</v>
      </c>
      <c r="BB425" s="32"/>
    </row>
    <row r="426" spans="1:54" x14ac:dyDescent="0.35">
      <c r="A426" s="126" t="s">
        <v>889</v>
      </c>
      <c r="B426" s="126">
        <f>D35</f>
        <v>-7.1396960148869694E-8</v>
      </c>
      <c r="C426" s="126">
        <f>D23</f>
        <v>-5.4679938296137717E-8</v>
      </c>
      <c r="D426" s="126">
        <f>D47</f>
        <v>-3.7962916443402736E-8</v>
      </c>
      <c r="F426" s="126" t="s">
        <v>889</v>
      </c>
      <c r="G426" s="289">
        <f>D72</f>
        <v>-8.6985518611903755E-7</v>
      </c>
      <c r="H426" s="126">
        <f>D60</f>
        <v>-5.4679938296137717E-8</v>
      </c>
      <c r="I426" s="126">
        <f>D84</f>
        <v>1.575670557349666E-6</v>
      </c>
      <c r="K426" s="126" t="s">
        <v>889</v>
      </c>
      <c r="L426" s="277">
        <f>D145</f>
        <v>6.3166920212982782E-7</v>
      </c>
      <c r="M426" s="277">
        <f>D121</f>
        <v>-5.4679938296136215E-8</v>
      </c>
      <c r="O426" s="126" t="s">
        <v>889</v>
      </c>
      <c r="P426" s="126">
        <f>D219</f>
        <v>-2.591559746955671E-8</v>
      </c>
      <c r="Q426" s="126">
        <f>D207</f>
        <v>-5.4679938296137717E-8</v>
      </c>
      <c r="R426" s="126">
        <f>D231</f>
        <v>-6.1827200403755591E-8</v>
      </c>
      <c r="T426" s="289" t="s">
        <v>889</v>
      </c>
      <c r="U426" s="126">
        <f>D182</f>
        <v>2.690716623407725E-6</v>
      </c>
      <c r="V426" s="126">
        <f>D170</f>
        <v>-5.4679938296136215E-8</v>
      </c>
      <c r="W426" s="126">
        <f>D194</f>
        <v>-9.6981212553075832E-7</v>
      </c>
      <c r="Y426" s="126" t="s">
        <v>889</v>
      </c>
      <c r="Z426" s="126"/>
      <c r="AA426" s="126"/>
      <c r="AB426" s="109"/>
      <c r="AD426" s="126" t="s">
        <v>889</v>
      </c>
      <c r="AE426" s="126">
        <f>D244</f>
        <v>-5.4679938296136215E-8</v>
      </c>
      <c r="AF426" s="126">
        <f>D256</f>
        <v>-2.5121074190191488E-8</v>
      </c>
      <c r="AH426" s="109"/>
      <c r="AI426" s="109"/>
      <c r="AJ426" s="109"/>
      <c r="AK426" s="109"/>
      <c r="AL426" s="109"/>
      <c r="AN426" s="109"/>
      <c r="AO426" s="109"/>
      <c r="AP426" s="109"/>
      <c r="AQ426" s="109"/>
      <c r="AS426" s="109"/>
      <c r="AT426" s="109"/>
      <c r="AU426" s="109"/>
      <c r="AV426" s="109"/>
    </row>
    <row r="427" spans="1:54" x14ac:dyDescent="0.35">
      <c r="A427" s="126" t="s">
        <v>891</v>
      </c>
      <c r="B427" s="126">
        <f>E35</f>
        <v>-2.0580438369282962E-6</v>
      </c>
      <c r="C427" s="126">
        <f>E23</f>
        <v>-2.042291702408223E-6</v>
      </c>
      <c r="D427" s="126">
        <f>E47</f>
        <v>-2.0265395678881471E-6</v>
      </c>
      <c r="F427" s="126" t="s">
        <v>891</v>
      </c>
      <c r="G427" s="289">
        <f>E72</f>
        <v>-2.2436990471933783E-6</v>
      </c>
      <c r="H427" s="126">
        <f>E60</f>
        <v>-2.042291702408223E-6</v>
      </c>
      <c r="I427" s="126">
        <f>E84</f>
        <v>-1.6394770128379085E-6</v>
      </c>
      <c r="K427" s="126" t="s">
        <v>891</v>
      </c>
      <c r="L427" s="277">
        <f>E145</f>
        <v>-1.8528455030102788E-6</v>
      </c>
      <c r="M427" s="277">
        <f>E121</f>
        <v>-2.0422917024082217E-6</v>
      </c>
      <c r="O427" s="126" t="s">
        <v>891</v>
      </c>
      <c r="P427" s="126">
        <f>E219</f>
        <v>-2.0179754978502126E-6</v>
      </c>
      <c r="Q427" s="126">
        <f>E207</f>
        <v>-2.042291702408223E-6</v>
      </c>
      <c r="R427" s="126">
        <f>E231</f>
        <v>-2.0482310908422905E-6</v>
      </c>
      <c r="T427" s="289" t="s">
        <v>891</v>
      </c>
      <c r="U427" s="126">
        <f>E182</f>
        <v>-1.2845069048164462E-6</v>
      </c>
      <c r="V427" s="126">
        <f>E170</f>
        <v>-2.0422917024082217E-6</v>
      </c>
      <c r="W427" s="126">
        <f>E194</f>
        <v>-2.2948866349388152E-6</v>
      </c>
      <c r="Y427" s="126" t="s">
        <v>891</v>
      </c>
      <c r="Z427" s="126"/>
      <c r="AA427" s="126"/>
      <c r="AB427" s="109"/>
      <c r="AD427" s="126" t="s">
        <v>891</v>
      </c>
      <c r="AE427" s="126">
        <f>E244</f>
        <v>-2.0422917024082217E-6</v>
      </c>
      <c r="AF427" s="126">
        <f>E256</f>
        <v>-2.0171990036837871E-6</v>
      </c>
      <c r="AH427" s="109"/>
      <c r="AI427" s="109"/>
      <c r="AJ427" s="109"/>
      <c r="AK427" s="109"/>
      <c r="AL427" s="109"/>
      <c r="AN427" s="109"/>
      <c r="AO427" s="109"/>
      <c r="AP427" s="109"/>
      <c r="AQ427" s="109"/>
      <c r="AS427" s="109"/>
      <c r="AT427" s="109"/>
      <c r="AU427" s="109"/>
      <c r="AV427" s="109"/>
    </row>
    <row r="428" spans="1:54" x14ac:dyDescent="0.35">
      <c r="A428" s="126" t="s">
        <v>890</v>
      </c>
      <c r="B428" s="126">
        <f>F35</f>
        <v>-2.46801379088427E-6</v>
      </c>
      <c r="C428" s="126">
        <f>F23</f>
        <v>-2.4548423527690632E-6</v>
      </c>
      <c r="D428" s="126">
        <f>F47</f>
        <v>-2.441670914653854E-6</v>
      </c>
      <c r="F428" s="126" t="s">
        <v>890</v>
      </c>
      <c r="G428" s="289">
        <f>F72</f>
        <v>-2.5330393103918923E-6</v>
      </c>
      <c r="H428" s="126">
        <f>F60</f>
        <v>-2.4548423527690632E-6</v>
      </c>
      <c r="I428" s="126">
        <f>F84</f>
        <v>-2.2984484375234013E-6</v>
      </c>
      <c r="K428" s="126" t="s">
        <v>890</v>
      </c>
      <c r="L428" s="277">
        <f>F145</f>
        <v>-2.3685338159613288E-6</v>
      </c>
      <c r="M428" s="277">
        <f>F121</f>
        <v>-2.454842352769062E-6</v>
      </c>
      <c r="O428" s="126" t="s">
        <v>890</v>
      </c>
      <c r="P428" s="126">
        <f>F219</f>
        <v>-2.4333848913942936E-6</v>
      </c>
      <c r="Q428" s="126">
        <f>F207</f>
        <v>-2.4548423527690632E-6</v>
      </c>
      <c r="R428" s="126">
        <f>F231</f>
        <v>-2.4601955522035261E-6</v>
      </c>
      <c r="T428" s="289" t="s">
        <v>890</v>
      </c>
      <c r="U428" s="126">
        <f>F182</f>
        <v>-2.1096082055381265E-6</v>
      </c>
      <c r="V428" s="126">
        <f>F170</f>
        <v>-2.454842352769062E-6</v>
      </c>
      <c r="W428" s="126">
        <f>F194</f>
        <v>-2.5699204018460423E-6</v>
      </c>
      <c r="Y428" s="126" t="s">
        <v>890</v>
      </c>
      <c r="Z428" s="126"/>
      <c r="AA428" s="126"/>
      <c r="AB428" s="109"/>
      <c r="AD428" s="126" t="s">
        <v>890</v>
      </c>
      <c r="AE428" s="126">
        <f>F244</f>
        <v>-2.454842352769062E-6</v>
      </c>
      <c r="AF428" s="126">
        <f>F256</f>
        <v>-2.4325925960522738E-6</v>
      </c>
      <c r="AH428" s="109"/>
      <c r="AI428" s="109"/>
      <c r="AJ428" s="109"/>
      <c r="AK428" s="109"/>
      <c r="AL428" s="109"/>
      <c r="AN428" s="109"/>
      <c r="AO428" s="109"/>
      <c r="AP428" s="109"/>
      <c r="AQ428" s="109"/>
      <c r="AS428" s="109"/>
      <c r="AT428" s="109"/>
      <c r="AU428" s="109"/>
      <c r="AV428" s="109"/>
    </row>
    <row r="429" spans="1:54" x14ac:dyDescent="0.35">
      <c r="A429" s="126" t="s">
        <v>892</v>
      </c>
      <c r="B429" s="126">
        <f>G35</f>
        <v>-8.0535502555405882E-7</v>
      </c>
      <c r="C429" s="126">
        <f>G23</f>
        <v>-7.8863800370132619E-7</v>
      </c>
      <c r="D429" s="126">
        <f>G47</f>
        <v>-7.7192098184859186E-7</v>
      </c>
      <c r="F429" s="126" t="s">
        <v>892</v>
      </c>
      <c r="G429" s="289">
        <f>G72</f>
        <v>-1.4257145454216919E-6</v>
      </c>
      <c r="H429" s="126">
        <f>G60</f>
        <v>-7.8863800370132619E-7</v>
      </c>
      <c r="I429" s="126">
        <f>G84</f>
        <v>4.8551507973940811E-7</v>
      </c>
      <c r="K429" s="126" t="s">
        <v>892</v>
      </c>
      <c r="L429" s="277">
        <f>G145</f>
        <v>-2.8577837962665817E-7</v>
      </c>
      <c r="M429" s="277">
        <f>G121</f>
        <v>-7.8863800370132534E-7</v>
      </c>
      <c r="O429" s="126" t="s">
        <v>892</v>
      </c>
      <c r="P429" s="126">
        <f>G219</f>
        <v>-7.5987366287474584E-7</v>
      </c>
      <c r="Q429" s="126">
        <f>G207</f>
        <v>-7.8863800370132619E-7</v>
      </c>
      <c r="R429" s="126">
        <f>G231</f>
        <v>-7.9578526580894472E-7</v>
      </c>
      <c r="T429" s="289" t="s">
        <v>892</v>
      </c>
      <c r="U429" s="126">
        <f>G182</f>
        <v>1.2228004925973467E-6</v>
      </c>
      <c r="V429" s="126">
        <f>G170</f>
        <v>-7.8863800370132534E-7</v>
      </c>
      <c r="W429" s="126">
        <f>G194</f>
        <v>-1.4591175024675509E-6</v>
      </c>
      <c r="Y429" s="126" t="s">
        <v>892</v>
      </c>
      <c r="Z429" s="126">
        <f>G269</f>
        <v>-7.8863800370132534E-7</v>
      </c>
      <c r="AA429" s="126">
        <f>G281</f>
        <v>-1.0407293162602152E-6</v>
      </c>
      <c r="AB429" s="126">
        <f>G293</f>
        <v>-1.2490774100347388E-6</v>
      </c>
      <c r="AD429" s="126" t="s">
        <v>892</v>
      </c>
      <c r="AE429" s="126">
        <f>G244</f>
        <v>-7.8863800370132534E-7</v>
      </c>
      <c r="AF429" s="126">
        <f>G256</f>
        <v>-7.5907913959538062E-7</v>
      </c>
      <c r="AH429" s="109"/>
      <c r="AI429" s="109"/>
      <c r="AJ429" s="109"/>
      <c r="AK429" s="109"/>
      <c r="AL429" s="109"/>
      <c r="AN429" s="109"/>
      <c r="AO429" s="109"/>
      <c r="AP429" s="109"/>
      <c r="AQ429" s="109"/>
      <c r="AS429" s="109"/>
      <c r="AT429" s="109"/>
      <c r="AU429" s="109"/>
      <c r="AV429" s="109"/>
    </row>
    <row r="430" spans="1:54" x14ac:dyDescent="0.35">
      <c r="A430" s="126" t="s">
        <v>893</v>
      </c>
      <c r="B430" s="126">
        <f>H35</f>
        <v>-2.224305827041791E-6</v>
      </c>
      <c r="C430" s="126">
        <f>H23</f>
        <v>-2.2085536925217173E-6</v>
      </c>
      <c r="D430" s="126">
        <f>H47</f>
        <v>-2.1928015580016415E-6</v>
      </c>
      <c r="F430" s="126" t="s">
        <v>893</v>
      </c>
      <c r="G430" s="289">
        <f>H72</f>
        <v>-2.3748579755786519E-6</v>
      </c>
      <c r="H430" s="126">
        <f>H60</f>
        <v>-2.2085536925217173E-6</v>
      </c>
      <c r="I430" s="126">
        <f>H84</f>
        <v>-1.8759451264078452E-6</v>
      </c>
      <c r="K430" s="126" t="s">
        <v>893</v>
      </c>
      <c r="L430" s="277">
        <f>H145</f>
        <v>-2.0606729906521468E-6</v>
      </c>
      <c r="M430" s="277">
        <f>H121</f>
        <v>-2.208553692521716E-6</v>
      </c>
      <c r="O430" s="126" t="s">
        <v>893</v>
      </c>
      <c r="P430" s="126">
        <f>H219</f>
        <v>-2.184237487963707E-6</v>
      </c>
      <c r="Q430" s="126">
        <f>H207</f>
        <v>-2.2085536925217173E-6</v>
      </c>
      <c r="R430" s="126">
        <f>H231</f>
        <v>-2.2144930809557852E-6</v>
      </c>
      <c r="T430" s="289" t="s">
        <v>893</v>
      </c>
      <c r="U430" s="126">
        <f>H182</f>
        <v>-1.6170308850434351E-6</v>
      </c>
      <c r="V430" s="126">
        <f>H170</f>
        <v>-2.208553692521716E-6</v>
      </c>
      <c r="W430" s="126">
        <f>H194</f>
        <v>-2.4057279616811447E-6</v>
      </c>
      <c r="Y430" s="126" t="s">
        <v>893</v>
      </c>
      <c r="Z430" s="126">
        <f>H269</f>
        <v>-2.208553692521716E-6</v>
      </c>
      <c r="AA430" s="126">
        <f>H281</f>
        <v>-2.2456835743513267E-6</v>
      </c>
      <c r="AB430" s="126">
        <f>H293</f>
        <v>-2.2752427425230277E-6</v>
      </c>
      <c r="AD430" s="126" t="s">
        <v>893</v>
      </c>
      <c r="AE430" s="126">
        <f>H244</f>
        <v>-2.208553692521716E-6</v>
      </c>
      <c r="AF430" s="126">
        <f>H256</f>
        <v>-2.1834609937972814E-6</v>
      </c>
      <c r="AH430" s="109"/>
      <c r="AI430" s="109"/>
      <c r="AJ430" s="109"/>
      <c r="AK430" s="109"/>
      <c r="AL430" s="109"/>
      <c r="AN430" s="109"/>
      <c r="AO430" s="109"/>
      <c r="AP430" s="109"/>
      <c r="AQ430" s="109"/>
      <c r="AS430" s="109"/>
      <c r="AT430" s="109"/>
      <c r="AU430" s="109"/>
      <c r="AV430" s="109"/>
    </row>
    <row r="431" spans="1:54" s="37" customFormat="1" x14ac:dyDescent="0.35">
      <c r="A431" s="126" t="s">
        <v>894</v>
      </c>
      <c r="B431" s="292">
        <f>I35</f>
        <v>-2.5212980254221915E-6</v>
      </c>
      <c r="C431" s="292">
        <f>I23</f>
        <v>-2.5081265873069844E-6</v>
      </c>
      <c r="D431" s="292">
        <f>I47</f>
        <v>-2.4949551491917755E-6</v>
      </c>
      <c r="F431" s="292" t="s">
        <v>894</v>
      </c>
      <c r="G431" s="293">
        <f>I72</f>
        <v>-2.579419509053107E-6</v>
      </c>
      <c r="H431" s="293">
        <f>I60</f>
        <v>-2.5081265873069844E-6</v>
      </c>
      <c r="I431" s="293">
        <f>I84</f>
        <v>-2.3655407438147362E-6</v>
      </c>
      <c r="K431" s="292" t="s">
        <v>894</v>
      </c>
      <c r="L431" s="294">
        <f>I145</f>
        <v>-2.4351391091337309E-6</v>
      </c>
      <c r="M431" s="294">
        <f>I121</f>
        <v>-2.5081265873069835E-6</v>
      </c>
      <c r="O431" s="292" t="s">
        <v>894</v>
      </c>
      <c r="P431" s="292">
        <f>I219</f>
        <v>-2.4866691259322148E-6</v>
      </c>
      <c r="Q431" s="292">
        <f>I207</f>
        <v>-2.5081265873069844E-6</v>
      </c>
      <c r="R431" s="292">
        <f>I231</f>
        <v>-2.5134797867414476E-6</v>
      </c>
      <c r="T431" s="293" t="s">
        <v>894</v>
      </c>
      <c r="U431" s="292">
        <f>I182</f>
        <v>-2.2161766746139692E-6</v>
      </c>
      <c r="V431" s="292">
        <f>I170</f>
        <v>-2.5081265873069835E-6</v>
      </c>
      <c r="W431" s="292">
        <f>I194</f>
        <v>-2.6054432248713231E-6</v>
      </c>
      <c r="Y431" s="292" t="s">
        <v>894</v>
      </c>
      <c r="Z431" s="292">
        <f>I269</f>
        <v>-2.5081265873069835E-6</v>
      </c>
      <c r="AA431" s="292">
        <f>I281</f>
        <v>-2.5038240481276678E-6</v>
      </c>
      <c r="AB431" s="292">
        <f>I293</f>
        <v>-2.4985105987870198E-6</v>
      </c>
      <c r="AD431" s="292" t="s">
        <v>894</v>
      </c>
      <c r="AE431" s="292">
        <f>I244</f>
        <v>-2.5081265873069835E-6</v>
      </c>
      <c r="AF431" s="292">
        <f>I256</f>
        <v>-2.485876830590195E-6</v>
      </c>
      <c r="AH431" s="295"/>
      <c r="AI431" s="295"/>
      <c r="AJ431" s="295"/>
      <c r="AK431" s="295"/>
      <c r="AL431" s="295"/>
      <c r="AN431" s="295"/>
      <c r="AO431" s="295"/>
      <c r="AP431" s="295"/>
      <c r="AQ431" s="295"/>
      <c r="AS431" s="295"/>
      <c r="AT431" s="295"/>
      <c r="AU431" s="295"/>
      <c r="AV431" s="295"/>
      <c r="AX431" s="282"/>
      <c r="AY431" s="282"/>
      <c r="AZ431" s="282"/>
      <c r="BA431" s="282"/>
    </row>
    <row r="432" spans="1:54" s="37" customFormat="1" x14ac:dyDescent="0.35">
      <c r="A432" s="292" t="s">
        <v>896</v>
      </c>
      <c r="B432" s="292">
        <f>J35</f>
        <v>-9.6833065018312187E-7</v>
      </c>
      <c r="C432" s="292">
        <f>J23</f>
        <v>-9.3816630177357657E-7</v>
      </c>
      <c r="D432" s="292">
        <f>J47</f>
        <v>-9.0800195336403043E-7</v>
      </c>
      <c r="F432" s="292" t="s">
        <v>896</v>
      </c>
      <c r="G432" s="292">
        <f>J72</f>
        <v>-1.1477538168483755E-6</v>
      </c>
      <c r="H432" s="292">
        <f>J60</f>
        <v>-9.3816630177357657E-7</v>
      </c>
      <c r="I432" s="292">
        <f>J84</f>
        <v>-5.1899127162397764E-7</v>
      </c>
      <c r="K432" s="292" t="s">
        <v>896</v>
      </c>
      <c r="L432" s="294">
        <f>J145</f>
        <v>-4.7268875221697173E-7</v>
      </c>
      <c r="M432" s="294">
        <f>J121</f>
        <v>-9.3816630177357636E-7</v>
      </c>
      <c r="O432" s="292" t="s">
        <v>896</v>
      </c>
      <c r="P432" s="292">
        <f>J219</f>
        <v>-9.2556544169599085E-7</v>
      </c>
      <c r="Q432" s="292">
        <f>J207</f>
        <v>-9.3816630177357657E-7</v>
      </c>
      <c r="R432" s="292">
        <f>J231</f>
        <v>-9.6147704463019016E-7</v>
      </c>
      <c r="T432" s="293" t="s">
        <v>896</v>
      </c>
      <c r="U432" s="292">
        <f>J182</f>
        <v>9.2374389645284471E-7</v>
      </c>
      <c r="V432" s="292">
        <f>J170</f>
        <v>-9.3816630177357636E-7</v>
      </c>
      <c r="W432" s="292">
        <f>J194</f>
        <v>-1.5588030345157181E-6</v>
      </c>
      <c r="Y432" s="292" t="s">
        <v>896</v>
      </c>
      <c r="Z432" s="292"/>
      <c r="AA432" s="292"/>
      <c r="AB432" s="295"/>
      <c r="AD432" s="292" t="s">
        <v>896</v>
      </c>
      <c r="AE432" s="292">
        <f>J244</f>
        <v>-9.3816630177357636E-7</v>
      </c>
      <c r="AF432" s="292">
        <f>J256</f>
        <v>-8.7904857356168606E-7</v>
      </c>
      <c r="AH432" s="295" t="s">
        <v>896</v>
      </c>
      <c r="AI432" s="277">
        <f>J318</f>
        <v>-1.2430420048413834E-6</v>
      </c>
      <c r="AJ432" s="277">
        <f>J330</f>
        <v>-1.1357709241323404E-6</v>
      </c>
      <c r="AK432" s="277">
        <f>J306</f>
        <v>-9.2122876271425387E-7</v>
      </c>
      <c r="AL432" s="277">
        <f>J342</f>
        <v>-2.7760227845999586E-7</v>
      </c>
      <c r="AN432" s="295" t="s">
        <v>896</v>
      </c>
      <c r="AO432" s="1">
        <f>J367</f>
        <v>-1.531063494592545E-6</v>
      </c>
      <c r="AP432" s="1">
        <f>J355</f>
        <v>-9.2122876271425387E-7</v>
      </c>
      <c r="AQ432" s="191">
        <f>J379</f>
        <v>1.4078189286106417E-6</v>
      </c>
      <c r="AS432" s="295" t="s">
        <v>896</v>
      </c>
      <c r="AT432" s="1">
        <f>J404</f>
        <v>-9.2122876271425387E-7</v>
      </c>
      <c r="AU432" s="1">
        <f>J392</f>
        <v>-9.2122876271425387E-7</v>
      </c>
      <c r="AV432" s="191">
        <f>J416</f>
        <v>-9.2122876271425387E-7</v>
      </c>
      <c r="AX432" s="282"/>
      <c r="AY432" s="282"/>
      <c r="AZ432" s="282"/>
      <c r="BA432" s="282"/>
    </row>
    <row r="433" spans="1:53" s="37" customFormat="1" x14ac:dyDescent="0.35">
      <c r="A433" s="292" t="s">
        <v>897</v>
      </c>
      <c r="B433" s="292">
        <f>K35</f>
        <v>-1.2249950295981175E-6</v>
      </c>
      <c r="C433" s="292">
        <f>K23</f>
        <v>-1.1966952087693138E-6</v>
      </c>
      <c r="D433" s="292">
        <f>K47</f>
        <v>-1.1683953879405077E-6</v>
      </c>
      <c r="F433" s="292" t="s">
        <v>897</v>
      </c>
      <c r="G433" s="292">
        <f>K72</f>
        <v>-1.3820072400055054E-6</v>
      </c>
      <c r="H433" s="292">
        <f>K60</f>
        <v>-1.1966952087693138E-6</v>
      </c>
      <c r="I433" s="293">
        <f>K84</f>
        <v>-8.2607114629692715E-7</v>
      </c>
      <c r="K433" s="292" t="s">
        <v>897</v>
      </c>
      <c r="L433" s="294">
        <f>K145</f>
        <v>-7.9584988596164209E-7</v>
      </c>
      <c r="M433" s="294">
        <f>K121</f>
        <v>-1.1966952087693127E-6</v>
      </c>
      <c r="O433" s="292" t="s">
        <v>897</v>
      </c>
      <c r="P433" s="292">
        <f>K219</f>
        <v>-1.1860877752834098E-6</v>
      </c>
      <c r="Q433" s="292">
        <f>K207</f>
        <v>-1.1966952087693138E-6</v>
      </c>
      <c r="R433" s="292">
        <f>K231</f>
        <v>-1.2163433682754878E-6</v>
      </c>
      <c r="T433" s="293" t="s">
        <v>897</v>
      </c>
      <c r="U433" s="292">
        <f>K182</f>
        <v>4.0668608246137204E-7</v>
      </c>
      <c r="V433" s="292">
        <f>K170</f>
        <v>-1.1966952087693127E-6</v>
      </c>
      <c r="W433" s="292">
        <f>K194</f>
        <v>-1.7311556391795426E-6</v>
      </c>
      <c r="Y433" s="292" t="s">
        <v>897</v>
      </c>
      <c r="Z433" s="292"/>
      <c r="AA433" s="292"/>
      <c r="AB433" s="295"/>
      <c r="AD433" s="292" t="s">
        <v>897</v>
      </c>
      <c r="AE433" s="292">
        <f>K244</f>
        <v>-1.1966952087693127E-6</v>
      </c>
      <c r="AF433" s="292">
        <f>K256</f>
        <v>-1.1465098113204434E-6</v>
      </c>
      <c r="AH433" s="295" t="s">
        <v>897</v>
      </c>
      <c r="AI433" s="277">
        <f>K318</f>
        <v>-1.4663435829944533E-6</v>
      </c>
      <c r="AJ433" s="277">
        <f>K330</f>
        <v>-1.3714673031744968E-6</v>
      </c>
      <c r="AK433" s="277">
        <f>K306</f>
        <v>-1.1817147435345837E-6</v>
      </c>
      <c r="AL433" s="277">
        <f>K342</f>
        <v>-6.1245706461484487E-7</v>
      </c>
      <c r="AN433" s="295" t="s">
        <v>897</v>
      </c>
      <c r="AO433" s="1">
        <f>K367</f>
        <v>-1.7683041290733331E-6</v>
      </c>
      <c r="AP433" s="1">
        <f>K355</f>
        <v>-1.1817147435345837E-6</v>
      </c>
      <c r="AQ433" s="191">
        <f>K379</f>
        <v>1.0586946457652867E-6</v>
      </c>
      <c r="AS433" s="295" t="s">
        <v>897</v>
      </c>
      <c r="AT433" s="1">
        <f>K404</f>
        <v>-1.1817147435345837E-6</v>
      </c>
      <c r="AU433" s="1">
        <f>K392</f>
        <v>-1.1817147435345837E-6</v>
      </c>
      <c r="AV433" s="191">
        <f>K416</f>
        <v>-1.1817147435345837E-6</v>
      </c>
      <c r="AX433" s="282"/>
      <c r="AY433" s="282"/>
      <c r="AZ433" s="282"/>
      <c r="BA433" s="282"/>
    </row>
    <row r="434" spans="1:53" s="37" customFormat="1" x14ac:dyDescent="0.35">
      <c r="A434" s="292" t="s">
        <v>895</v>
      </c>
      <c r="B434" s="292">
        <f>L35</f>
        <v>-1.4206973677014783E-6</v>
      </c>
      <c r="C434" s="292">
        <f>L23</f>
        <v>-1.3974307592806945E-6</v>
      </c>
      <c r="D434" s="292">
        <f>L47</f>
        <v>-1.374164150859909E-6</v>
      </c>
      <c r="F434" s="292" t="s">
        <v>895</v>
      </c>
      <c r="G434" s="292">
        <f>L72</f>
        <v>-1.5712810857697774E-6</v>
      </c>
      <c r="H434" s="292">
        <f>L60</f>
        <v>-1.3974307592806945E-6</v>
      </c>
      <c r="I434" s="293">
        <f>L84</f>
        <v>-1.0497301063025261E-6</v>
      </c>
      <c r="K434" s="292" t="s">
        <v>895</v>
      </c>
      <c r="L434" s="294">
        <f>L145</f>
        <v>-1.0467693241008685E-6</v>
      </c>
      <c r="M434" s="294">
        <f>L121</f>
        <v>-1.3974307592806936E-6</v>
      </c>
      <c r="O434" s="292" t="s">
        <v>895</v>
      </c>
      <c r="P434" s="292">
        <f>L219</f>
        <v>-1.3881121661888714E-6</v>
      </c>
      <c r="Q434" s="292">
        <f>L207</f>
        <v>-1.3974307592806945E-6</v>
      </c>
      <c r="R434" s="292">
        <f>L231</f>
        <v>-1.4149228269981038E-6</v>
      </c>
      <c r="T434" s="293" t="s">
        <v>895</v>
      </c>
      <c r="U434" s="292">
        <f>L182</f>
        <v>5.2149814386101719E-9</v>
      </c>
      <c r="V434" s="292">
        <f>L170</f>
        <v>-1.3974307592806936E-6</v>
      </c>
      <c r="W434" s="292">
        <f>L194</f>
        <v>-1.8649793395204633E-6</v>
      </c>
      <c r="Y434" s="292" t="s">
        <v>895</v>
      </c>
      <c r="Z434" s="292"/>
      <c r="AA434" s="292"/>
      <c r="AB434" s="295"/>
      <c r="AD434" s="292" t="s">
        <v>895</v>
      </c>
      <c r="AE434" s="292">
        <f>L244</f>
        <v>-1.3974307592806936E-6</v>
      </c>
      <c r="AF434" s="292">
        <f>L256</f>
        <v>-1.3529312458471174E-6</v>
      </c>
      <c r="AH434" s="295" t="s">
        <v>895</v>
      </c>
      <c r="AI434" s="277">
        <f>L318</f>
        <v>-1.6501494844125919E-6</v>
      </c>
      <c r="AJ434" s="277">
        <f>L330</f>
        <v>-1.5612299329772947E-6</v>
      </c>
      <c r="AK434" s="277">
        <f>L306</f>
        <v>-1.3833908301066996E-6</v>
      </c>
      <c r="AL434" s="277">
        <f>L342</f>
        <v>-8.4987352149491636E-7</v>
      </c>
      <c r="AN434" s="295" t="s">
        <v>895</v>
      </c>
      <c r="AO434" s="1">
        <f>L367</f>
        <v>-1.8908084867173783E-6</v>
      </c>
      <c r="AP434" s="1">
        <f>L355</f>
        <v>-1.3833908301066996E-6</v>
      </c>
      <c r="AQ434" s="191">
        <f>L379</f>
        <v>5.5244012154238553E-7</v>
      </c>
      <c r="AS434" s="295" t="s">
        <v>895</v>
      </c>
      <c r="AT434" s="1">
        <f>L404</f>
        <v>-1.3833908301066996E-6</v>
      </c>
      <c r="AU434" s="1">
        <f>L392</f>
        <v>-1.3833908301066996E-6</v>
      </c>
      <c r="AV434" s="191">
        <f>L416</f>
        <v>-1.3833908301066996E-6</v>
      </c>
      <c r="AX434" s="282"/>
      <c r="AY434" s="282"/>
      <c r="AZ434" s="282"/>
      <c r="BA434" s="282"/>
    </row>
    <row r="438" spans="1:53" ht="15.5" x14ac:dyDescent="0.35">
      <c r="A438" s="51"/>
      <c r="B438" s="4"/>
      <c r="C438" s="4"/>
      <c r="D438" s="4"/>
      <c r="E438" s="4"/>
      <c r="F438" s="4"/>
      <c r="G438" s="4"/>
      <c r="H438" s="4"/>
      <c r="I438" s="4"/>
      <c r="J438" s="4"/>
      <c r="K438" s="4"/>
      <c r="L438" s="4"/>
      <c r="M438" s="4"/>
      <c r="N438" s="4"/>
      <c r="O438" s="4"/>
      <c r="P438" s="4"/>
      <c r="Q438" s="4"/>
      <c r="R438" s="4"/>
      <c r="S438" s="4"/>
      <c r="U438" s="4"/>
      <c r="V438" s="4"/>
      <c r="W438" s="4"/>
      <c r="X438" s="4"/>
      <c r="Y438" s="4"/>
      <c r="Z438" s="4"/>
      <c r="AA438" s="4"/>
      <c r="AB438" s="4"/>
      <c r="AC438" s="4"/>
      <c r="AD438" s="4"/>
      <c r="AE438" s="4"/>
    </row>
    <row r="440" spans="1:53" x14ac:dyDescent="0.35">
      <c r="T440" s="282"/>
    </row>
    <row r="441" spans="1:53" x14ac:dyDescent="0.35">
      <c r="A441" s="126" t="s">
        <v>889</v>
      </c>
      <c r="M441" s="126" t="s">
        <v>891</v>
      </c>
      <c r="Q441" s="33"/>
      <c r="T441" s="282"/>
      <c r="Y441" s="126" t="s">
        <v>890</v>
      </c>
      <c r="AN441" s="33"/>
    </row>
    <row r="442" spans="1:53" x14ac:dyDescent="0.35">
      <c r="A442" s="109"/>
      <c r="B442" s="142">
        <v>0</v>
      </c>
      <c r="C442" s="142">
        <v>0.33</v>
      </c>
      <c r="D442" s="142">
        <v>0.5</v>
      </c>
      <c r="E442" s="142">
        <v>0.67</v>
      </c>
      <c r="F442" s="142">
        <v>0.8</v>
      </c>
      <c r="G442" s="142">
        <v>1</v>
      </c>
      <c r="H442" s="142">
        <v>1.2</v>
      </c>
      <c r="I442" s="142">
        <v>1.5</v>
      </c>
      <c r="J442" s="142">
        <v>1.67</v>
      </c>
      <c r="K442" s="142">
        <v>2</v>
      </c>
      <c r="M442" s="109"/>
      <c r="N442" s="142">
        <v>0</v>
      </c>
      <c r="O442" s="142">
        <v>0.33</v>
      </c>
      <c r="P442" s="142">
        <v>0.5</v>
      </c>
      <c r="Q442" s="288">
        <v>0.67</v>
      </c>
      <c r="R442" s="142">
        <v>0.8</v>
      </c>
      <c r="S442" s="142">
        <v>1</v>
      </c>
      <c r="T442" s="142">
        <v>1.2</v>
      </c>
      <c r="U442" s="142">
        <v>1.5</v>
      </c>
      <c r="V442" s="142">
        <v>1.67</v>
      </c>
      <c r="W442" s="142">
        <v>2</v>
      </c>
      <c r="Y442" s="109"/>
      <c r="Z442" s="142">
        <v>0</v>
      </c>
      <c r="AA442" s="142">
        <v>0.33</v>
      </c>
      <c r="AB442" s="142">
        <v>0.5</v>
      </c>
      <c r="AC442" s="142">
        <v>0.67</v>
      </c>
      <c r="AD442" s="142">
        <v>0.8</v>
      </c>
      <c r="AE442" s="142">
        <v>1</v>
      </c>
      <c r="AF442" s="142">
        <v>1.2</v>
      </c>
      <c r="AG442" s="142">
        <v>1.5</v>
      </c>
      <c r="AH442" s="142">
        <v>1.67</v>
      </c>
      <c r="AI442" s="142"/>
      <c r="AN442" s="34"/>
    </row>
    <row r="443" spans="1:53" x14ac:dyDescent="0.35">
      <c r="A443" s="109" t="s">
        <v>150</v>
      </c>
      <c r="B443" s="277"/>
      <c r="C443" s="277"/>
      <c r="D443" s="277"/>
      <c r="E443" s="277"/>
      <c r="F443" s="277">
        <f>B426</f>
        <v>-7.1396960148869694E-8</v>
      </c>
      <c r="G443" s="277">
        <f>C426</f>
        <v>-5.4679938296137717E-8</v>
      </c>
      <c r="H443" s="277">
        <f>D426</f>
        <v>-3.7962916443402736E-8</v>
      </c>
      <c r="I443" s="277"/>
      <c r="J443" s="277"/>
      <c r="K443" s="109"/>
      <c r="M443" s="109" t="s">
        <v>150</v>
      </c>
      <c r="N443" s="109"/>
      <c r="O443" s="126"/>
      <c r="P443" s="126"/>
      <c r="Q443" s="289"/>
      <c r="R443" s="126">
        <f>B427</f>
        <v>-2.0580438369282962E-6</v>
      </c>
      <c r="S443" s="126">
        <f>C427</f>
        <v>-2.042291702408223E-6</v>
      </c>
      <c r="T443" s="126">
        <f>D427</f>
        <v>-2.0265395678881471E-6</v>
      </c>
      <c r="U443" s="126"/>
      <c r="V443" s="126"/>
      <c r="W443" s="126"/>
      <c r="Y443" s="109" t="s">
        <v>150</v>
      </c>
      <c r="Z443" s="109"/>
      <c r="AA443" s="126"/>
      <c r="AB443" s="126"/>
      <c r="AC443" s="126"/>
      <c r="AD443" s="126">
        <f>B428</f>
        <v>-2.46801379088427E-6</v>
      </c>
      <c r="AE443" s="126">
        <f>C428</f>
        <v>-2.4548423527690632E-6</v>
      </c>
      <c r="AF443" s="126">
        <f>D428</f>
        <v>-2.441670914653854E-6</v>
      </c>
      <c r="AG443" s="126"/>
      <c r="AH443" s="126"/>
      <c r="AI443" s="126"/>
      <c r="AN443" s="33"/>
    </row>
    <row r="444" spans="1:53" x14ac:dyDescent="0.35">
      <c r="A444" s="109" t="s">
        <v>151</v>
      </c>
      <c r="B444" s="277"/>
      <c r="C444" s="277"/>
      <c r="D444" s="277"/>
      <c r="E444" s="277">
        <f>G426</f>
        <v>-8.6985518611903755E-7</v>
      </c>
      <c r="F444" s="277"/>
      <c r="G444" s="277">
        <f>H426</f>
        <v>-5.4679938296137717E-8</v>
      </c>
      <c r="H444" s="277"/>
      <c r="I444" s="277"/>
      <c r="J444" s="277">
        <f>I426</f>
        <v>1.575670557349666E-6</v>
      </c>
      <c r="K444" s="109"/>
      <c r="M444" s="109" t="s">
        <v>151</v>
      </c>
      <c r="N444" s="109"/>
      <c r="O444" s="126"/>
      <c r="P444" s="126"/>
      <c r="Q444" s="289">
        <f>G427</f>
        <v>-2.2436990471933783E-6</v>
      </c>
      <c r="R444" s="126"/>
      <c r="S444" s="126">
        <f>H427</f>
        <v>-2.042291702408223E-6</v>
      </c>
      <c r="T444" s="126"/>
      <c r="U444" s="126"/>
      <c r="V444" s="126">
        <f>I427</f>
        <v>-1.6394770128379085E-6</v>
      </c>
      <c r="W444" s="126"/>
      <c r="Y444" s="109" t="s">
        <v>151</v>
      </c>
      <c r="Z444" s="109"/>
      <c r="AA444" s="126"/>
      <c r="AB444" s="126"/>
      <c r="AC444" s="126">
        <f>G428</f>
        <v>-2.5330393103918923E-6</v>
      </c>
      <c r="AD444" s="126"/>
      <c r="AE444" s="126">
        <f>H428</f>
        <v>-2.4548423527690632E-6</v>
      </c>
      <c r="AF444" s="126"/>
      <c r="AG444" s="126"/>
      <c r="AH444" s="126">
        <f>I428</f>
        <v>-2.2984484375234013E-6</v>
      </c>
      <c r="AI444" s="126"/>
      <c r="AN444" s="35"/>
    </row>
    <row r="445" spans="1:53" x14ac:dyDescent="0.35">
      <c r="A445" s="109" t="s">
        <v>511</v>
      </c>
      <c r="B445" s="277"/>
      <c r="C445" s="277"/>
      <c r="D445" s="277"/>
      <c r="E445" s="277"/>
      <c r="F445" s="277">
        <f>L426</f>
        <v>6.3166920212982782E-7</v>
      </c>
      <c r="G445" s="277">
        <f>M426</f>
        <v>-5.4679938296136215E-8</v>
      </c>
      <c r="H445" s="277"/>
      <c r="I445" s="277"/>
      <c r="J445" s="277"/>
      <c r="K445" s="109"/>
      <c r="M445" s="109" t="s">
        <v>511</v>
      </c>
      <c r="N445" s="109"/>
      <c r="O445" s="126"/>
      <c r="P445" s="126"/>
      <c r="Q445" s="289"/>
      <c r="R445" s="126">
        <f>L427</f>
        <v>-1.8528455030102788E-6</v>
      </c>
      <c r="S445" s="126">
        <f>M427</f>
        <v>-2.0422917024082217E-6</v>
      </c>
      <c r="T445" s="126"/>
      <c r="U445" s="126"/>
      <c r="V445" s="126"/>
      <c r="W445" s="126"/>
      <c r="Y445" s="109" t="s">
        <v>511</v>
      </c>
      <c r="Z445" s="109"/>
      <c r="AA445" s="126"/>
      <c r="AB445" s="126"/>
      <c r="AC445" s="126"/>
      <c r="AD445" s="126">
        <f>L428</f>
        <v>-2.3685338159613288E-6</v>
      </c>
      <c r="AE445" s="126">
        <f>M428</f>
        <v>-2.454842352769062E-6</v>
      </c>
      <c r="AF445" s="126"/>
      <c r="AG445" s="126"/>
      <c r="AH445" s="126"/>
      <c r="AI445" s="126"/>
      <c r="AN445" s="33"/>
    </row>
    <row r="446" spans="1:53" x14ac:dyDescent="0.35">
      <c r="A446" s="109" t="s">
        <v>461</v>
      </c>
      <c r="B446" s="277"/>
      <c r="C446" s="277">
        <f>P426</f>
        <v>-2.591559746955671E-8</v>
      </c>
      <c r="D446" s="277"/>
      <c r="E446" s="277"/>
      <c r="F446" s="277"/>
      <c r="G446" s="277">
        <f>Q426</f>
        <v>-5.4679938296137717E-8</v>
      </c>
      <c r="H446" s="277"/>
      <c r="I446" s="277"/>
      <c r="J446" s="277">
        <f>R426</f>
        <v>-6.1827200403755591E-8</v>
      </c>
      <c r="K446" s="109"/>
      <c r="M446" s="109" t="s">
        <v>461</v>
      </c>
      <c r="N446" s="109"/>
      <c r="O446" s="126">
        <f>P427</f>
        <v>-2.0179754978502126E-6</v>
      </c>
      <c r="P446" s="126"/>
      <c r="Q446" s="289"/>
      <c r="R446" s="126"/>
      <c r="S446" s="126">
        <f>V427</f>
        <v>-2.0422917024082217E-6</v>
      </c>
      <c r="T446" s="126"/>
      <c r="U446" s="126"/>
      <c r="V446" s="126">
        <f>R427</f>
        <v>-2.0482310908422905E-6</v>
      </c>
      <c r="W446" s="126"/>
      <c r="Y446" s="109" t="s">
        <v>461</v>
      </c>
      <c r="Z446" s="109"/>
      <c r="AA446" s="126">
        <f>P428</f>
        <v>-2.4333848913942936E-6</v>
      </c>
      <c r="AB446" s="126"/>
      <c r="AC446" s="126"/>
      <c r="AD446" s="126"/>
      <c r="AE446" s="126">
        <f>Q428</f>
        <v>-2.4548423527690632E-6</v>
      </c>
      <c r="AF446" s="126"/>
      <c r="AG446" s="126"/>
      <c r="AH446" s="126">
        <f>R428</f>
        <v>-2.4601955522035261E-6</v>
      </c>
      <c r="AI446" s="126"/>
      <c r="AN446" s="33"/>
    </row>
    <row r="447" spans="1:53" x14ac:dyDescent="0.35">
      <c r="A447" s="109" t="s">
        <v>163</v>
      </c>
      <c r="B447" s="277"/>
      <c r="C447" s="277"/>
      <c r="D447" s="277">
        <f>U426</f>
        <v>2.690716623407725E-6</v>
      </c>
      <c r="E447" s="277"/>
      <c r="F447" s="277"/>
      <c r="G447" s="277">
        <f>V426</f>
        <v>-5.4679938296136215E-8</v>
      </c>
      <c r="H447" s="277"/>
      <c r="I447" s="277">
        <f>W426</f>
        <v>-9.6981212553075832E-7</v>
      </c>
      <c r="J447" s="277"/>
      <c r="K447" s="109"/>
      <c r="M447" s="109" t="s">
        <v>163</v>
      </c>
      <c r="N447" s="109"/>
      <c r="O447" s="126"/>
      <c r="P447" s="126">
        <f>U427</f>
        <v>-1.2845069048164462E-6</v>
      </c>
      <c r="Q447" s="289"/>
      <c r="R447" s="126"/>
      <c r="S447" s="126">
        <f>V427</f>
        <v>-2.0422917024082217E-6</v>
      </c>
      <c r="T447" s="126"/>
      <c r="U447" s="126">
        <f>W427</f>
        <v>-2.2948866349388152E-6</v>
      </c>
      <c r="V447" s="126"/>
      <c r="W447" s="126"/>
      <c r="Y447" s="109" t="s">
        <v>163</v>
      </c>
      <c r="Z447" s="109"/>
      <c r="AA447" s="126"/>
      <c r="AB447" s="126">
        <f>U428</f>
        <v>-2.1096082055381265E-6</v>
      </c>
      <c r="AC447" s="126"/>
      <c r="AD447" s="126"/>
      <c r="AE447" s="126">
        <f>V428</f>
        <v>-2.454842352769062E-6</v>
      </c>
      <c r="AF447" s="126"/>
      <c r="AG447" s="126">
        <f>W428</f>
        <v>-2.5699204018460423E-6</v>
      </c>
      <c r="AH447" s="126"/>
      <c r="AI447" s="126"/>
      <c r="AN447" s="33"/>
    </row>
    <row r="448" spans="1:53" x14ac:dyDescent="0.35">
      <c r="A448" s="144" t="s">
        <v>815</v>
      </c>
      <c r="B448" s="277"/>
      <c r="C448" s="277"/>
      <c r="D448" s="277"/>
      <c r="E448" s="277"/>
      <c r="F448" s="277"/>
      <c r="G448" s="277">
        <f>AF426</f>
        <v>-2.5121074190191488E-8</v>
      </c>
      <c r="H448" s="277"/>
      <c r="I448" s="277"/>
      <c r="J448" s="277"/>
      <c r="K448" s="109"/>
      <c r="M448" s="144" t="s">
        <v>815</v>
      </c>
      <c r="N448" s="109"/>
      <c r="O448" s="126"/>
      <c r="P448" s="126"/>
      <c r="Q448" s="289"/>
      <c r="R448" s="126"/>
      <c r="S448" s="126">
        <f>AF427</f>
        <v>-2.0171990036837871E-6</v>
      </c>
      <c r="T448" s="126"/>
      <c r="U448" s="126"/>
      <c r="V448" s="126"/>
      <c r="W448" s="126"/>
      <c r="Y448" s="144" t="s">
        <v>815</v>
      </c>
      <c r="Z448" s="109"/>
      <c r="AA448" s="109"/>
      <c r="AB448" s="109"/>
      <c r="AC448" s="109"/>
      <c r="AD448" s="109"/>
      <c r="AE448" s="126">
        <f>AF428</f>
        <v>-2.4325925960522738E-6</v>
      </c>
      <c r="AF448" s="109"/>
      <c r="AG448" s="109"/>
      <c r="AH448" s="109"/>
      <c r="AI448" s="109"/>
      <c r="AN448" s="33"/>
    </row>
    <row r="449" spans="1:40" x14ac:dyDescent="0.35">
      <c r="AN449" s="33"/>
    </row>
    <row r="450" spans="1:40" x14ac:dyDescent="0.35">
      <c r="AN450" s="33"/>
    </row>
    <row r="451" spans="1:40" x14ac:dyDescent="0.35">
      <c r="A451" s="126" t="s">
        <v>892</v>
      </c>
      <c r="M451" s="126" t="s">
        <v>893</v>
      </c>
      <c r="O451" s="33"/>
      <c r="T451" s="282"/>
      <c r="Y451" s="126" t="s">
        <v>894</v>
      </c>
      <c r="AN451" s="33"/>
    </row>
    <row r="452" spans="1:40" x14ac:dyDescent="0.35">
      <c r="A452" s="109"/>
      <c r="B452" s="142">
        <v>0</v>
      </c>
      <c r="C452" s="142">
        <v>0.33</v>
      </c>
      <c r="D452" s="142">
        <v>0.5</v>
      </c>
      <c r="E452" s="142">
        <v>0.67</v>
      </c>
      <c r="F452" s="142">
        <v>0.8</v>
      </c>
      <c r="G452" s="142">
        <v>1</v>
      </c>
      <c r="H452" s="142">
        <v>1.2</v>
      </c>
      <c r="I452" s="142">
        <v>1.5</v>
      </c>
      <c r="J452" s="142">
        <v>1.67</v>
      </c>
      <c r="K452" s="142">
        <v>2</v>
      </c>
      <c r="M452" s="109"/>
      <c r="N452" s="142">
        <v>0</v>
      </c>
      <c r="O452" s="288">
        <v>0.33</v>
      </c>
      <c r="P452" s="142">
        <v>0.5</v>
      </c>
      <c r="Q452" s="142">
        <v>0.67</v>
      </c>
      <c r="R452" s="142">
        <v>0.8</v>
      </c>
      <c r="S452" s="142">
        <v>1</v>
      </c>
      <c r="T452" s="142">
        <v>1.2</v>
      </c>
      <c r="U452" s="142">
        <v>1.5</v>
      </c>
      <c r="V452" s="142">
        <v>1.67</v>
      </c>
      <c r="W452" s="142">
        <v>2</v>
      </c>
      <c r="Y452" s="109"/>
      <c r="Z452" s="142">
        <v>0</v>
      </c>
      <c r="AA452" s="142">
        <v>0.33</v>
      </c>
      <c r="AB452" s="142">
        <v>0.5</v>
      </c>
      <c r="AC452" s="142">
        <v>0.67</v>
      </c>
      <c r="AD452" s="142">
        <v>0.8</v>
      </c>
      <c r="AE452" s="142">
        <v>1</v>
      </c>
      <c r="AF452" s="142">
        <v>1.2</v>
      </c>
      <c r="AG452" s="142">
        <v>1.5</v>
      </c>
      <c r="AH452" s="142">
        <v>1.67</v>
      </c>
      <c r="AI452" s="142">
        <v>2</v>
      </c>
      <c r="AN452" s="33"/>
    </row>
    <row r="453" spans="1:40" x14ac:dyDescent="0.35">
      <c r="A453" s="109" t="s">
        <v>150</v>
      </c>
      <c r="B453" s="109"/>
      <c r="C453" s="126"/>
      <c r="D453" s="126"/>
      <c r="E453" s="126"/>
      <c r="F453" s="126">
        <f>B429</f>
        <v>-8.0535502555405882E-7</v>
      </c>
      <c r="G453" s="126">
        <f>C429</f>
        <v>-7.8863800370132619E-7</v>
      </c>
      <c r="H453" s="126">
        <f>D429</f>
        <v>-7.7192098184859186E-7</v>
      </c>
      <c r="I453" s="126"/>
      <c r="J453" s="126"/>
      <c r="K453" s="126"/>
      <c r="M453" s="109" t="s">
        <v>150</v>
      </c>
      <c r="N453" s="109"/>
      <c r="O453" s="289"/>
      <c r="P453" s="126"/>
      <c r="Q453" s="126"/>
      <c r="R453" s="126">
        <f>B430</f>
        <v>-2.224305827041791E-6</v>
      </c>
      <c r="S453" s="126">
        <f>C430</f>
        <v>-2.2085536925217173E-6</v>
      </c>
      <c r="T453" s="126">
        <f>D430</f>
        <v>-2.1928015580016415E-6</v>
      </c>
      <c r="U453" s="126"/>
      <c r="V453" s="126"/>
      <c r="W453" s="126"/>
      <c r="Y453" s="109" t="s">
        <v>150</v>
      </c>
      <c r="Z453" s="109"/>
      <c r="AA453" s="126"/>
      <c r="AB453" s="126"/>
      <c r="AC453" s="126"/>
      <c r="AD453" s="126">
        <f>B431</f>
        <v>-2.5212980254221915E-6</v>
      </c>
      <c r="AE453" s="126">
        <f>C431</f>
        <v>-2.5081265873069844E-6</v>
      </c>
      <c r="AF453" s="126">
        <f>D431</f>
        <v>-2.4949551491917755E-6</v>
      </c>
      <c r="AG453" s="126"/>
      <c r="AH453" s="126"/>
      <c r="AI453" s="126"/>
      <c r="AN453" s="33"/>
    </row>
    <row r="454" spans="1:40" x14ac:dyDescent="0.35">
      <c r="A454" s="109" t="s">
        <v>151</v>
      </c>
      <c r="B454" s="109"/>
      <c r="C454" s="126"/>
      <c r="D454" s="126"/>
      <c r="E454" s="126">
        <f>G429</f>
        <v>-1.4257145454216919E-6</v>
      </c>
      <c r="F454" s="126"/>
      <c r="G454" s="126">
        <f>H429</f>
        <v>-7.8863800370132619E-7</v>
      </c>
      <c r="H454" s="126"/>
      <c r="I454" s="126"/>
      <c r="J454" s="126">
        <f>I429</f>
        <v>4.8551507973940811E-7</v>
      </c>
      <c r="K454" s="126"/>
      <c r="M454" s="109" t="s">
        <v>151</v>
      </c>
      <c r="N454" s="109"/>
      <c r="O454" s="289"/>
      <c r="P454" s="126"/>
      <c r="Q454" s="126">
        <f>G430</f>
        <v>-2.3748579755786519E-6</v>
      </c>
      <c r="R454" s="126"/>
      <c r="S454" s="126">
        <f>H430</f>
        <v>-2.2085536925217173E-6</v>
      </c>
      <c r="T454" s="126"/>
      <c r="U454" s="126"/>
      <c r="V454" s="126">
        <f>I430</f>
        <v>-1.8759451264078452E-6</v>
      </c>
      <c r="W454" s="126"/>
      <c r="Y454" s="109" t="s">
        <v>151</v>
      </c>
      <c r="Z454" s="109"/>
      <c r="AA454" s="126"/>
      <c r="AB454" s="126"/>
      <c r="AC454" s="126">
        <f>G431</f>
        <v>-2.579419509053107E-6</v>
      </c>
      <c r="AD454" s="126"/>
      <c r="AE454" s="126">
        <f>H431</f>
        <v>-2.5081265873069844E-6</v>
      </c>
      <c r="AF454" s="126"/>
      <c r="AG454" s="126"/>
      <c r="AH454" s="126">
        <f>I431</f>
        <v>-2.3655407438147362E-6</v>
      </c>
      <c r="AI454" s="126"/>
      <c r="AN454" s="33"/>
    </row>
    <row r="455" spans="1:40" x14ac:dyDescent="0.35">
      <c r="A455" s="109" t="s">
        <v>511</v>
      </c>
      <c r="B455" s="109"/>
      <c r="C455" s="126"/>
      <c r="D455" s="126"/>
      <c r="E455" s="126"/>
      <c r="F455" s="126">
        <f>L429</f>
        <v>-2.8577837962665817E-7</v>
      </c>
      <c r="G455" s="126">
        <f>M429</f>
        <v>-7.8863800370132534E-7</v>
      </c>
      <c r="H455" s="126"/>
      <c r="I455" s="126"/>
      <c r="J455" s="126"/>
      <c r="K455" s="126"/>
      <c r="M455" s="109" t="s">
        <v>511</v>
      </c>
      <c r="N455" s="109"/>
      <c r="O455" s="289"/>
      <c r="P455" s="126"/>
      <c r="Q455" s="126"/>
      <c r="R455" s="126">
        <f>L430</f>
        <v>-2.0606729906521468E-6</v>
      </c>
      <c r="S455" s="126">
        <f>M430</f>
        <v>-2.208553692521716E-6</v>
      </c>
      <c r="T455" s="126"/>
      <c r="U455" s="126"/>
      <c r="V455" s="126"/>
      <c r="W455" s="126"/>
      <c r="Y455" s="109" t="s">
        <v>511</v>
      </c>
      <c r="Z455" s="109"/>
      <c r="AA455" s="126"/>
      <c r="AB455" s="126"/>
      <c r="AC455" s="126"/>
      <c r="AD455" s="126">
        <f>L431</f>
        <v>-2.4351391091337309E-6</v>
      </c>
      <c r="AE455" s="126">
        <f>M431</f>
        <v>-2.5081265873069835E-6</v>
      </c>
      <c r="AF455" s="126"/>
      <c r="AG455" s="126"/>
      <c r="AH455" s="126"/>
      <c r="AI455" s="126"/>
      <c r="AN455" s="33"/>
    </row>
    <row r="456" spans="1:40" x14ac:dyDescent="0.35">
      <c r="A456" s="109" t="s">
        <v>461</v>
      </c>
      <c r="B456" s="109"/>
      <c r="C456" s="126">
        <f>P429</f>
        <v>-7.5987366287474584E-7</v>
      </c>
      <c r="D456" s="126"/>
      <c r="E456" s="126"/>
      <c r="F456" s="126"/>
      <c r="G456" s="126">
        <f>Q429</f>
        <v>-7.8863800370132619E-7</v>
      </c>
      <c r="H456" s="126"/>
      <c r="I456" s="126"/>
      <c r="J456" s="126">
        <f>R429</f>
        <v>-7.9578526580894472E-7</v>
      </c>
      <c r="K456" s="126"/>
      <c r="M456" s="109" t="s">
        <v>461</v>
      </c>
      <c r="N456" s="109"/>
      <c r="O456" s="289">
        <f>P430</f>
        <v>-2.184237487963707E-6</v>
      </c>
      <c r="P456" s="126"/>
      <c r="Q456" s="126"/>
      <c r="R456" s="126"/>
      <c r="S456" s="126">
        <f>Q430</f>
        <v>-2.2085536925217173E-6</v>
      </c>
      <c r="T456" s="126"/>
      <c r="U456" s="126"/>
      <c r="V456" s="126">
        <f>R430</f>
        <v>-2.2144930809557852E-6</v>
      </c>
      <c r="W456" s="126"/>
      <c r="Y456" s="109" t="s">
        <v>461</v>
      </c>
      <c r="Z456" s="109"/>
      <c r="AA456" s="126">
        <f>P431</f>
        <v>-2.4866691259322148E-6</v>
      </c>
      <c r="AB456" s="126"/>
      <c r="AC456" s="126"/>
      <c r="AD456" s="126"/>
      <c r="AE456" s="126">
        <f>Q431</f>
        <v>-2.5081265873069844E-6</v>
      </c>
      <c r="AF456" s="126"/>
      <c r="AG456" s="126"/>
      <c r="AH456" s="126">
        <f>R431</f>
        <v>-2.5134797867414476E-6</v>
      </c>
      <c r="AI456" s="126"/>
      <c r="AN456" s="33"/>
    </row>
    <row r="457" spans="1:40" x14ac:dyDescent="0.35">
      <c r="A457" s="109" t="s">
        <v>163</v>
      </c>
      <c r="B457" s="109"/>
      <c r="C457" s="126"/>
      <c r="D457" s="126">
        <f>U429</f>
        <v>1.2228004925973467E-6</v>
      </c>
      <c r="E457" s="126"/>
      <c r="F457" s="126"/>
      <c r="G457" s="126">
        <f>V429</f>
        <v>-7.8863800370132534E-7</v>
      </c>
      <c r="H457" s="126"/>
      <c r="I457" s="126">
        <f>W429</f>
        <v>-1.4591175024675509E-6</v>
      </c>
      <c r="J457" s="126"/>
      <c r="K457" s="126"/>
      <c r="M457" s="109" t="s">
        <v>163</v>
      </c>
      <c r="N457" s="109"/>
      <c r="O457" s="289"/>
      <c r="P457" s="126">
        <f>U430</f>
        <v>-1.6170308850434351E-6</v>
      </c>
      <c r="Q457" s="126"/>
      <c r="R457" s="126"/>
      <c r="S457" s="126">
        <f>V430</f>
        <v>-2.208553692521716E-6</v>
      </c>
      <c r="T457" s="126"/>
      <c r="U457" s="126">
        <f>W430</f>
        <v>-2.4057279616811447E-6</v>
      </c>
      <c r="V457" s="126"/>
      <c r="W457" s="126"/>
      <c r="Y457" s="109" t="s">
        <v>163</v>
      </c>
      <c r="Z457" s="109"/>
      <c r="AA457" s="126"/>
      <c r="AB457" s="126">
        <f>U431</f>
        <v>-2.2161766746139692E-6</v>
      </c>
      <c r="AC457" s="126"/>
      <c r="AD457" s="126"/>
      <c r="AE457" s="126">
        <f>V431</f>
        <v>-2.5081265873069835E-6</v>
      </c>
      <c r="AF457" s="126"/>
      <c r="AG457" s="126">
        <f>W431</f>
        <v>-2.6054432248713231E-6</v>
      </c>
      <c r="AH457" s="126"/>
      <c r="AI457" s="126"/>
      <c r="AN457" s="33"/>
    </row>
    <row r="458" spans="1:40" x14ac:dyDescent="0.35">
      <c r="A458" s="144" t="s">
        <v>817</v>
      </c>
      <c r="B458" s="109"/>
      <c r="C458" s="109"/>
      <c r="D458" s="109"/>
      <c r="E458" s="109"/>
      <c r="F458" s="109"/>
      <c r="G458" s="126">
        <f>Z429</f>
        <v>-7.8863800370132534E-7</v>
      </c>
      <c r="H458" s="109"/>
      <c r="I458" s="126">
        <f>AA429</f>
        <v>-1.0407293162602152E-6</v>
      </c>
      <c r="J458" s="109"/>
      <c r="K458" s="126">
        <f>AB429</f>
        <v>-1.2490774100347388E-6</v>
      </c>
      <c r="M458" s="144" t="s">
        <v>817</v>
      </c>
      <c r="N458" s="109"/>
      <c r="O458" s="144"/>
      <c r="P458" s="109"/>
      <c r="Q458" s="109"/>
      <c r="R458" s="109"/>
      <c r="S458" s="126">
        <f>Z430</f>
        <v>-2.208553692521716E-6</v>
      </c>
      <c r="T458" s="109"/>
      <c r="U458" s="126">
        <f>AA430</f>
        <v>-2.2456835743513267E-6</v>
      </c>
      <c r="V458" s="109"/>
      <c r="W458" s="126">
        <f>AB430</f>
        <v>-2.2752427425230277E-6</v>
      </c>
      <c r="Y458" s="144" t="s">
        <v>817</v>
      </c>
      <c r="Z458" s="109"/>
      <c r="AA458" s="109"/>
      <c r="AB458" s="109"/>
      <c r="AC458" s="109"/>
      <c r="AD458" s="109"/>
      <c r="AE458" s="126">
        <f>Z431</f>
        <v>-2.5081265873069835E-6</v>
      </c>
      <c r="AF458" s="109"/>
      <c r="AG458" s="126">
        <f>AA431</f>
        <v>-2.5038240481276678E-6</v>
      </c>
      <c r="AH458" s="109"/>
      <c r="AI458" s="126">
        <f>AB431</f>
        <v>-2.4985105987870198E-6</v>
      </c>
      <c r="AN458" s="33"/>
    </row>
    <row r="459" spans="1:40" x14ac:dyDescent="0.35">
      <c r="A459" s="144" t="s">
        <v>815</v>
      </c>
      <c r="B459" s="109"/>
      <c r="C459" s="109"/>
      <c r="D459" s="109"/>
      <c r="E459" s="109"/>
      <c r="F459" s="109"/>
      <c r="G459" s="126">
        <f>AF429</f>
        <v>-7.5907913959538062E-7</v>
      </c>
      <c r="H459" s="109"/>
      <c r="I459" s="109"/>
      <c r="J459" s="109"/>
      <c r="K459" s="109"/>
      <c r="M459" s="144" t="s">
        <v>815</v>
      </c>
      <c r="N459" s="109"/>
      <c r="O459" s="144"/>
      <c r="P459" s="109"/>
      <c r="Q459" s="109"/>
      <c r="R459" s="109"/>
      <c r="S459" s="126">
        <f>AF430</f>
        <v>-2.1834609937972814E-6</v>
      </c>
      <c r="T459" s="109"/>
      <c r="U459" s="109"/>
      <c r="V459" s="109"/>
      <c r="W459" s="109"/>
      <c r="Y459" s="144" t="s">
        <v>815</v>
      </c>
      <c r="Z459" s="109"/>
      <c r="AA459" s="109"/>
      <c r="AB459" s="109"/>
      <c r="AC459" s="109"/>
      <c r="AD459" s="109"/>
      <c r="AE459" s="126">
        <f>AF431</f>
        <v>-2.485876830590195E-6</v>
      </c>
      <c r="AF459" s="109"/>
      <c r="AG459" s="109"/>
      <c r="AH459" s="109"/>
      <c r="AI459" s="109"/>
      <c r="AN459" s="33"/>
    </row>
    <row r="460" spans="1:40" x14ac:dyDescent="0.35">
      <c r="AN460" s="33"/>
    </row>
    <row r="461" spans="1:40" x14ac:dyDescent="0.35">
      <c r="AN461" s="33"/>
    </row>
    <row r="462" spans="1:40" x14ac:dyDescent="0.35">
      <c r="A462" s="126" t="s">
        <v>896</v>
      </c>
      <c r="M462" s="292" t="s">
        <v>897</v>
      </c>
      <c r="P462" s="33"/>
      <c r="T462" s="282"/>
      <c r="Y462" s="292" t="s">
        <v>895</v>
      </c>
      <c r="AN462" s="33"/>
    </row>
    <row r="463" spans="1:40" x14ac:dyDescent="0.35">
      <c r="A463" s="109"/>
      <c r="B463" s="142">
        <v>0</v>
      </c>
      <c r="C463" s="142">
        <v>0.33</v>
      </c>
      <c r="D463" s="142">
        <v>0.5</v>
      </c>
      <c r="E463" s="142">
        <v>0.67</v>
      </c>
      <c r="F463" s="142">
        <v>0.8</v>
      </c>
      <c r="G463" s="142">
        <v>1</v>
      </c>
      <c r="H463" s="142">
        <v>1.2</v>
      </c>
      <c r="I463" s="142">
        <v>1.5</v>
      </c>
      <c r="J463" s="142">
        <v>1.67</v>
      </c>
      <c r="K463" s="142">
        <v>2</v>
      </c>
      <c r="M463" s="109"/>
      <c r="N463" s="142">
        <v>0</v>
      </c>
      <c r="O463" s="142">
        <v>0.33</v>
      </c>
      <c r="P463" s="288">
        <v>0.5</v>
      </c>
      <c r="Q463" s="142">
        <v>0.67</v>
      </c>
      <c r="R463" s="142">
        <v>0.8</v>
      </c>
      <c r="S463" s="142">
        <v>1</v>
      </c>
      <c r="T463" s="142">
        <v>1.2</v>
      </c>
      <c r="U463" s="142">
        <v>1.5</v>
      </c>
      <c r="V463" s="142">
        <v>1.67</v>
      </c>
      <c r="W463" s="142">
        <v>2</v>
      </c>
      <c r="Y463" s="109"/>
      <c r="Z463" s="142">
        <v>0</v>
      </c>
      <c r="AA463" s="142">
        <v>0.33</v>
      </c>
      <c r="AB463" s="142">
        <v>0.5</v>
      </c>
      <c r="AC463" s="142">
        <v>0.67</v>
      </c>
      <c r="AD463" s="142">
        <v>0.8</v>
      </c>
      <c r="AE463" s="142">
        <v>1</v>
      </c>
      <c r="AF463" s="142">
        <v>1.2</v>
      </c>
      <c r="AG463" s="142">
        <v>1.5</v>
      </c>
      <c r="AH463" s="142">
        <v>1.67</v>
      </c>
      <c r="AI463" s="142">
        <v>2</v>
      </c>
      <c r="AN463" s="33"/>
    </row>
    <row r="464" spans="1:40" x14ac:dyDescent="0.35">
      <c r="A464" s="109" t="s">
        <v>150</v>
      </c>
      <c r="B464" s="109"/>
      <c r="C464" s="126"/>
      <c r="D464" s="126"/>
      <c r="E464" s="126"/>
      <c r="F464" s="126">
        <f>B432</f>
        <v>-9.6833065018312187E-7</v>
      </c>
      <c r="G464" s="126">
        <f>C432</f>
        <v>-9.3816630177357657E-7</v>
      </c>
      <c r="H464" s="126">
        <f>D432</f>
        <v>-9.0800195336403043E-7</v>
      </c>
      <c r="I464" s="126"/>
      <c r="J464" s="126"/>
      <c r="K464" s="126"/>
      <c r="M464" s="109" t="s">
        <v>150</v>
      </c>
      <c r="N464" s="109"/>
      <c r="O464" s="126"/>
      <c r="P464" s="289"/>
      <c r="Q464" s="126"/>
      <c r="R464" s="126">
        <f>B433</f>
        <v>-1.2249950295981175E-6</v>
      </c>
      <c r="S464" s="126">
        <f>C433</f>
        <v>-1.1966952087693138E-6</v>
      </c>
      <c r="T464" s="126">
        <f>D433</f>
        <v>-1.1683953879405077E-6</v>
      </c>
      <c r="U464" s="126"/>
      <c r="V464" s="126"/>
      <c r="W464" s="126"/>
      <c r="Y464" s="109" t="s">
        <v>150</v>
      </c>
      <c r="Z464" s="109"/>
      <c r="AA464" s="126"/>
      <c r="AB464" s="126"/>
      <c r="AC464" s="126"/>
      <c r="AD464" s="126">
        <f>B434</f>
        <v>-1.4206973677014783E-6</v>
      </c>
      <c r="AE464" s="126">
        <f>C434</f>
        <v>-1.3974307592806945E-6</v>
      </c>
      <c r="AF464" s="126">
        <f>R433</f>
        <v>-1.2163433682754878E-6</v>
      </c>
      <c r="AG464" s="126"/>
      <c r="AH464" s="126"/>
      <c r="AI464" s="126"/>
      <c r="AN464" s="33"/>
    </row>
    <row r="465" spans="1:42" x14ac:dyDescent="0.35">
      <c r="A465" s="109" t="s">
        <v>151</v>
      </c>
      <c r="B465" s="109"/>
      <c r="C465" s="126"/>
      <c r="D465" s="126"/>
      <c r="E465" s="126">
        <f>G432</f>
        <v>-1.1477538168483755E-6</v>
      </c>
      <c r="F465" s="126"/>
      <c r="G465" s="126">
        <f>H432</f>
        <v>-9.3816630177357657E-7</v>
      </c>
      <c r="H465" s="126"/>
      <c r="I465" s="126"/>
      <c r="J465" s="126">
        <f>I432</f>
        <v>-5.1899127162397764E-7</v>
      </c>
      <c r="K465" s="126"/>
      <c r="M465" s="109" t="s">
        <v>151</v>
      </c>
      <c r="N465" s="109"/>
      <c r="O465" s="126"/>
      <c r="P465" s="289"/>
      <c r="Q465" s="126">
        <f>G433</f>
        <v>-1.3820072400055054E-6</v>
      </c>
      <c r="R465" s="126"/>
      <c r="S465" s="126">
        <f>H433</f>
        <v>-1.1966952087693138E-6</v>
      </c>
      <c r="T465" s="126"/>
      <c r="U465" s="126"/>
      <c r="V465" s="126">
        <f>I433</f>
        <v>-8.2607114629692715E-7</v>
      </c>
      <c r="W465" s="126"/>
      <c r="Y465" s="109" t="s">
        <v>151</v>
      </c>
      <c r="Z465" s="109"/>
      <c r="AA465" s="126"/>
      <c r="AB465" s="126"/>
      <c r="AC465" s="126">
        <f>G434</f>
        <v>-1.5712810857697774E-6</v>
      </c>
      <c r="AD465" s="126"/>
      <c r="AE465" s="126">
        <f>H434</f>
        <v>-1.3974307592806945E-6</v>
      </c>
      <c r="AF465" s="126"/>
      <c r="AG465" s="126"/>
      <c r="AH465" s="126">
        <f>I434</f>
        <v>-1.0497301063025261E-6</v>
      </c>
      <c r="AI465" s="126"/>
      <c r="AN465" s="33"/>
    </row>
    <row r="466" spans="1:42" x14ac:dyDescent="0.35">
      <c r="A466" s="109" t="s">
        <v>511</v>
      </c>
      <c r="B466" s="109"/>
      <c r="C466" s="126"/>
      <c r="D466" s="126"/>
      <c r="E466" s="126"/>
      <c r="F466" s="126">
        <f>L432</f>
        <v>-4.7268875221697173E-7</v>
      </c>
      <c r="G466" s="126">
        <f>M432</f>
        <v>-9.3816630177357636E-7</v>
      </c>
      <c r="H466" s="126"/>
      <c r="I466" s="126"/>
      <c r="J466" s="126"/>
      <c r="K466" s="126"/>
      <c r="M466" s="109" t="s">
        <v>511</v>
      </c>
      <c r="N466" s="109"/>
      <c r="O466" s="126"/>
      <c r="P466" s="289"/>
      <c r="Q466" s="126"/>
      <c r="R466" s="126">
        <f>L433</f>
        <v>-7.9584988596164209E-7</v>
      </c>
      <c r="S466" s="126">
        <f>M433</f>
        <v>-1.1966952087693127E-6</v>
      </c>
      <c r="T466" s="126"/>
      <c r="U466" s="126"/>
      <c r="V466" s="126"/>
      <c r="W466" s="126"/>
      <c r="Y466" s="109" t="s">
        <v>511</v>
      </c>
      <c r="Z466" s="109"/>
      <c r="AA466" s="126"/>
      <c r="AB466" s="126"/>
      <c r="AC466" s="126"/>
      <c r="AD466" s="126">
        <f>L434</f>
        <v>-1.0467693241008685E-6</v>
      </c>
      <c r="AE466" s="126">
        <f>M434</f>
        <v>-1.3974307592806936E-6</v>
      </c>
      <c r="AF466" s="126"/>
      <c r="AG466" s="126"/>
      <c r="AH466" s="126"/>
      <c r="AI466" s="126"/>
      <c r="AN466" s="33"/>
    </row>
    <row r="467" spans="1:42" x14ac:dyDescent="0.35">
      <c r="A467" s="109" t="s">
        <v>461</v>
      </c>
      <c r="B467" s="109"/>
      <c r="C467" s="126">
        <f>P432</f>
        <v>-9.2556544169599085E-7</v>
      </c>
      <c r="D467" s="126"/>
      <c r="E467" s="126"/>
      <c r="F467" s="126"/>
      <c r="G467" s="126">
        <f>Q432</f>
        <v>-9.3816630177357657E-7</v>
      </c>
      <c r="H467" s="126"/>
      <c r="I467" s="126"/>
      <c r="J467" s="126">
        <f>R432</f>
        <v>-9.6147704463019016E-7</v>
      </c>
      <c r="K467" s="126"/>
      <c r="M467" s="109" t="s">
        <v>461</v>
      </c>
      <c r="N467" s="109"/>
      <c r="O467" s="126">
        <f>P433</f>
        <v>-1.1860877752834098E-6</v>
      </c>
      <c r="P467" s="289"/>
      <c r="Q467" s="126"/>
      <c r="R467" s="126"/>
      <c r="S467" s="126">
        <f>Q433</f>
        <v>-1.1966952087693138E-6</v>
      </c>
      <c r="T467" s="126"/>
      <c r="U467" s="126"/>
      <c r="V467" s="126">
        <f>R433</f>
        <v>-1.2163433682754878E-6</v>
      </c>
      <c r="W467" s="126"/>
      <c r="Y467" s="109" t="s">
        <v>461</v>
      </c>
      <c r="Z467" s="109"/>
      <c r="AA467" s="126">
        <f>P434</f>
        <v>-1.3881121661888714E-6</v>
      </c>
      <c r="AB467" s="126"/>
      <c r="AC467" s="126"/>
      <c r="AD467" s="126"/>
      <c r="AE467" s="126">
        <f>Q434</f>
        <v>-1.3974307592806945E-6</v>
      </c>
      <c r="AF467" s="126"/>
      <c r="AG467" s="126"/>
      <c r="AH467" s="126">
        <f>R434</f>
        <v>-1.4149228269981038E-6</v>
      </c>
      <c r="AI467" s="126"/>
      <c r="AN467" s="33"/>
    </row>
    <row r="468" spans="1:42" x14ac:dyDescent="0.35">
      <c r="A468" s="109" t="s">
        <v>163</v>
      </c>
      <c r="B468" s="109"/>
      <c r="C468" s="126"/>
      <c r="D468" s="126">
        <f>U432</f>
        <v>9.2374389645284471E-7</v>
      </c>
      <c r="E468" s="126"/>
      <c r="F468" s="126"/>
      <c r="G468" s="126">
        <f>V432</f>
        <v>-9.3816630177357636E-7</v>
      </c>
      <c r="H468" s="126"/>
      <c r="I468" s="126">
        <f>W432</f>
        <v>-1.5588030345157181E-6</v>
      </c>
      <c r="J468" s="126"/>
      <c r="K468" s="126"/>
      <c r="M468" s="109" t="s">
        <v>163</v>
      </c>
      <c r="N468" s="109"/>
      <c r="O468" s="126"/>
      <c r="P468" s="289">
        <f>U433</f>
        <v>4.0668608246137204E-7</v>
      </c>
      <c r="Q468" s="126"/>
      <c r="R468" s="126"/>
      <c r="S468" s="126">
        <f>V433</f>
        <v>-1.1966952087693127E-6</v>
      </c>
      <c r="T468" s="126"/>
      <c r="U468" s="126">
        <f>W433</f>
        <v>-1.7311556391795426E-6</v>
      </c>
      <c r="V468" s="126"/>
      <c r="W468" s="126"/>
      <c r="Y468" s="109" t="s">
        <v>163</v>
      </c>
      <c r="Z468" s="109"/>
      <c r="AA468" s="126"/>
      <c r="AB468" s="126">
        <f>U434</f>
        <v>5.2149814386101719E-9</v>
      </c>
      <c r="AC468" s="126"/>
      <c r="AD468" s="126"/>
      <c r="AE468" s="126">
        <f>V434</f>
        <v>-1.3974307592806936E-6</v>
      </c>
      <c r="AF468" s="126"/>
      <c r="AG468" s="126">
        <f>W434</f>
        <v>-1.8649793395204633E-6</v>
      </c>
      <c r="AH468" s="126"/>
      <c r="AI468" s="126"/>
      <c r="AN468" s="33"/>
    </row>
    <row r="469" spans="1:42" x14ac:dyDescent="0.35">
      <c r="A469" s="144" t="s">
        <v>818</v>
      </c>
      <c r="B469" s="277">
        <f>AI432</f>
        <v>-1.2430420048413834E-6</v>
      </c>
      <c r="C469" s="109"/>
      <c r="D469" s="277">
        <f>AJ432</f>
        <v>-1.1357709241323404E-6</v>
      </c>
      <c r="E469" s="109"/>
      <c r="F469" s="109"/>
      <c r="G469" s="126">
        <f>AK432</f>
        <v>-9.2122876271425387E-7</v>
      </c>
      <c r="H469" s="109"/>
      <c r="I469" s="126">
        <f>AL432</f>
        <v>-2.7760227845999586E-7</v>
      </c>
      <c r="J469" s="109"/>
      <c r="K469" s="126"/>
      <c r="M469" s="144" t="s">
        <v>818</v>
      </c>
      <c r="N469" s="277">
        <f>AI433</f>
        <v>-1.4663435829944533E-6</v>
      </c>
      <c r="O469" s="109"/>
      <c r="P469" s="296">
        <f>AJ433</f>
        <v>-1.3714673031744968E-6</v>
      </c>
      <c r="Q469" s="109"/>
      <c r="R469" s="109"/>
      <c r="S469" s="126">
        <f>AK433</f>
        <v>-1.1817147435345837E-6</v>
      </c>
      <c r="T469" s="109"/>
      <c r="U469" s="126">
        <f>AL433</f>
        <v>-6.1245706461484487E-7</v>
      </c>
      <c r="V469" s="109"/>
      <c r="W469" s="126"/>
      <c r="Y469" s="144" t="s">
        <v>818</v>
      </c>
      <c r="Z469" s="277">
        <f>AI434</f>
        <v>-1.6501494844125919E-6</v>
      </c>
      <c r="AA469" s="109"/>
      <c r="AB469" s="277">
        <f>AJ434</f>
        <v>-1.5612299329772947E-6</v>
      </c>
      <c r="AC469" s="109"/>
      <c r="AD469" s="109"/>
      <c r="AE469" s="126">
        <f>AK434</f>
        <v>-1.3833908301066996E-6</v>
      </c>
      <c r="AF469" s="109"/>
      <c r="AG469" s="126">
        <f>AL434</f>
        <v>-8.4987352149491636E-7</v>
      </c>
      <c r="AH469" s="109"/>
      <c r="AI469" s="126"/>
      <c r="AN469" s="33"/>
    </row>
    <row r="470" spans="1:42" x14ac:dyDescent="0.35">
      <c r="A470" s="144" t="s">
        <v>777</v>
      </c>
      <c r="B470" s="109"/>
      <c r="C470" s="109"/>
      <c r="D470" s="277">
        <f>AO432</f>
        <v>-1.531063494592545E-6</v>
      </c>
      <c r="E470" s="109"/>
      <c r="F470" s="109"/>
      <c r="G470" s="277">
        <f>AP432</f>
        <v>-9.2122876271425387E-7</v>
      </c>
      <c r="H470" s="109"/>
      <c r="I470" s="109"/>
      <c r="J470" s="109"/>
      <c r="K470" s="278">
        <f>AQ432</f>
        <v>1.4078189286106417E-6</v>
      </c>
      <c r="M470" s="144" t="s">
        <v>777</v>
      </c>
      <c r="N470" s="109"/>
      <c r="O470" s="109"/>
      <c r="P470" s="296">
        <f>AO433</f>
        <v>-1.7683041290733331E-6</v>
      </c>
      <c r="Q470" s="109"/>
      <c r="R470" s="109"/>
      <c r="S470" s="277">
        <f>AP433</f>
        <v>-1.1817147435345837E-6</v>
      </c>
      <c r="T470" s="109"/>
      <c r="U470" s="109"/>
      <c r="V470" s="109"/>
      <c r="W470" s="278">
        <f>AQ433</f>
        <v>1.0586946457652867E-6</v>
      </c>
      <c r="Y470" s="144" t="s">
        <v>777</v>
      </c>
      <c r="Z470" s="109"/>
      <c r="AA470" s="109"/>
      <c r="AB470" s="277">
        <f>AO434</f>
        <v>-1.8908084867173783E-6</v>
      </c>
      <c r="AC470" s="109"/>
      <c r="AD470" s="109"/>
      <c r="AE470" s="277">
        <f>AP434</f>
        <v>-1.3833908301066996E-6</v>
      </c>
      <c r="AF470" s="109"/>
      <c r="AG470" s="109"/>
      <c r="AH470" s="109"/>
      <c r="AI470" s="278">
        <f>AQ434</f>
        <v>5.5244012154238553E-7</v>
      </c>
      <c r="AN470" s="33"/>
    </row>
    <row r="471" spans="1:42" x14ac:dyDescent="0.35">
      <c r="A471" s="144" t="s">
        <v>837</v>
      </c>
      <c r="B471" s="109"/>
      <c r="C471" s="109"/>
      <c r="D471" s="277">
        <f>AT432</f>
        <v>-9.2122876271425387E-7</v>
      </c>
      <c r="E471" s="109"/>
      <c r="F471" s="109"/>
      <c r="G471" s="277">
        <f>AU432</f>
        <v>-9.2122876271425387E-7</v>
      </c>
      <c r="H471" s="109"/>
      <c r="I471" s="109"/>
      <c r="J471" s="109"/>
      <c r="K471" s="278">
        <f>AV432</f>
        <v>-9.2122876271425387E-7</v>
      </c>
      <c r="M471" s="144" t="s">
        <v>837</v>
      </c>
      <c r="N471" s="109"/>
      <c r="O471" s="109"/>
      <c r="P471" s="296">
        <f>AT433</f>
        <v>-1.1817147435345837E-6</v>
      </c>
      <c r="Q471" s="109"/>
      <c r="R471" s="109"/>
      <c r="S471" s="277">
        <f>AU433</f>
        <v>-1.1817147435345837E-6</v>
      </c>
      <c r="T471" s="109"/>
      <c r="U471" s="109"/>
      <c r="V471" s="109"/>
      <c r="W471" s="278">
        <f>AV433</f>
        <v>-1.1817147435345837E-6</v>
      </c>
      <c r="Y471" s="144" t="s">
        <v>837</v>
      </c>
      <c r="Z471" s="109"/>
      <c r="AA471" s="109"/>
      <c r="AB471" s="277">
        <f>AT434</f>
        <v>-1.3833908301066996E-6</v>
      </c>
      <c r="AC471" s="109"/>
      <c r="AD471" s="109"/>
      <c r="AE471" s="277">
        <f>AU434</f>
        <v>-1.3833908301066996E-6</v>
      </c>
      <c r="AF471" s="109"/>
      <c r="AG471" s="109"/>
      <c r="AH471" s="109"/>
      <c r="AI471" s="278">
        <f>AV434</f>
        <v>-1.3833908301066996E-6</v>
      </c>
      <c r="AN471" s="33"/>
    </row>
    <row r="472" spans="1:42" x14ac:dyDescent="0.35">
      <c r="A472" s="144" t="s">
        <v>815</v>
      </c>
      <c r="B472" s="109"/>
      <c r="C472" s="109"/>
      <c r="D472" s="109"/>
      <c r="E472" s="109"/>
      <c r="F472" s="109"/>
      <c r="G472" s="126">
        <f>AF432</f>
        <v>-8.7904857356168606E-7</v>
      </c>
      <c r="H472" s="109"/>
      <c r="I472" s="109"/>
      <c r="J472" s="109"/>
      <c r="K472" s="109"/>
      <c r="L472" s="33"/>
      <c r="M472" s="144" t="s">
        <v>815</v>
      </c>
      <c r="N472" s="109"/>
      <c r="O472" s="109"/>
      <c r="P472" s="144"/>
      <c r="Q472" s="109"/>
      <c r="R472" s="109"/>
      <c r="S472" s="126">
        <f>AF433</f>
        <v>-1.1465098113204434E-6</v>
      </c>
      <c r="T472" s="109"/>
      <c r="U472" s="109"/>
      <c r="V472" s="109"/>
      <c r="W472" s="109"/>
      <c r="X472" s="33"/>
      <c r="Y472" s="144" t="s">
        <v>815</v>
      </c>
      <c r="Z472" s="109"/>
      <c r="AA472" s="109"/>
      <c r="AB472" s="109"/>
      <c r="AC472" s="109"/>
      <c r="AD472" s="109"/>
      <c r="AE472" s="126">
        <f>AF434</f>
        <v>-1.3529312458471174E-6</v>
      </c>
      <c r="AF472" s="109"/>
      <c r="AG472" s="109"/>
      <c r="AH472" s="109"/>
      <c r="AI472" s="109"/>
    </row>
    <row r="473" spans="1:42" x14ac:dyDescent="0.35">
      <c r="B473" s="33"/>
      <c r="P473" s="33"/>
      <c r="Q473" s="33"/>
      <c r="AE473" s="33"/>
    </row>
    <row r="474" spans="1:42" x14ac:dyDescent="0.35">
      <c r="B474" s="33"/>
      <c r="P474" s="33"/>
      <c r="Q474" s="33"/>
      <c r="T474" s="282"/>
    </row>
    <row r="475" spans="1:42" x14ac:dyDescent="0.35">
      <c r="B475" s="33"/>
      <c r="N475" s="32"/>
      <c r="P475" s="33"/>
      <c r="Q475" s="33"/>
      <c r="T475" s="282"/>
      <c r="AC475" s="32"/>
      <c r="AP475" s="32"/>
    </row>
    <row r="476" spans="1:42" x14ac:dyDescent="0.35">
      <c r="B476" s="33"/>
      <c r="P476" s="33"/>
      <c r="Q476" s="33"/>
      <c r="T476" s="282"/>
    </row>
    <row r="477" spans="1:42" x14ac:dyDescent="0.35">
      <c r="B477" s="33"/>
      <c r="N477" s="3"/>
      <c r="P477" s="33"/>
      <c r="Q477" s="33"/>
      <c r="T477" s="282"/>
      <c r="AC477" s="3"/>
      <c r="AP477" s="3"/>
    </row>
    <row r="478" spans="1:42" x14ac:dyDescent="0.35">
      <c r="B478" s="33"/>
      <c r="P478" s="33"/>
      <c r="Q478" s="33"/>
      <c r="T478" s="282"/>
    </row>
    <row r="479" spans="1:42" x14ac:dyDescent="0.35">
      <c r="B479" s="33"/>
      <c r="P479" s="33"/>
      <c r="Q479" s="33"/>
      <c r="T479" s="282"/>
    </row>
    <row r="480" spans="1:42" x14ac:dyDescent="0.35">
      <c r="B480" s="33"/>
      <c r="P480" s="33"/>
      <c r="Q480" s="33"/>
      <c r="T480" s="282"/>
    </row>
    <row r="481" spans="2:39" x14ac:dyDescent="0.35">
      <c r="B481" s="33"/>
      <c r="P481" s="33"/>
      <c r="Q481" s="33"/>
      <c r="T481" s="282"/>
      <c r="AC481" s="6"/>
    </row>
    <row r="482" spans="2:39" x14ac:dyDescent="0.35">
      <c r="B482" s="33"/>
      <c r="P482" s="33"/>
      <c r="Q482" s="33"/>
      <c r="T482" s="282"/>
    </row>
    <row r="483" spans="2:39" x14ac:dyDescent="0.35">
      <c r="B483" s="33"/>
      <c r="P483" s="33"/>
      <c r="Q483" s="33"/>
      <c r="T483" s="282"/>
    </row>
    <row r="484" spans="2:39" x14ac:dyDescent="0.35">
      <c r="B484" s="33"/>
      <c r="P484" s="33"/>
      <c r="Q484" s="33"/>
    </row>
    <row r="485" spans="2:39" x14ac:dyDescent="0.35">
      <c r="B485" s="33"/>
      <c r="P485" s="33"/>
      <c r="Q485" s="33"/>
    </row>
    <row r="486" spans="2:39" x14ac:dyDescent="0.35">
      <c r="B486" s="33"/>
      <c r="P486" s="33"/>
      <c r="Q486" s="33"/>
    </row>
    <row r="487" spans="2:39" x14ac:dyDescent="0.35">
      <c r="B487" s="33"/>
      <c r="P487" s="33"/>
      <c r="Q487" s="33"/>
    </row>
    <row r="488" spans="2:39" x14ac:dyDescent="0.35">
      <c r="B488" s="33"/>
      <c r="P488" s="33"/>
      <c r="Q488" s="33"/>
    </row>
    <row r="489" spans="2:39" x14ac:dyDescent="0.35">
      <c r="B489" s="33"/>
      <c r="P489" s="33"/>
      <c r="Q489" s="33"/>
    </row>
    <row r="490" spans="2:39" x14ac:dyDescent="0.35">
      <c r="B490" s="33"/>
      <c r="P490" s="33"/>
      <c r="Q490" s="33"/>
    </row>
    <row r="491" spans="2:39" x14ac:dyDescent="0.35">
      <c r="B491" s="33"/>
      <c r="P491" s="33"/>
      <c r="Q491" s="33"/>
    </row>
    <row r="492" spans="2:39" x14ac:dyDescent="0.35">
      <c r="B492" s="33"/>
      <c r="F492" s="3"/>
      <c r="G492" s="3"/>
      <c r="I492" s="3"/>
      <c r="K492" s="3"/>
      <c r="P492" s="33"/>
      <c r="Q492" s="33"/>
      <c r="U492" s="3"/>
      <c r="V492" s="3"/>
      <c r="X492" s="3"/>
      <c r="Z492" s="3"/>
      <c r="AH492" s="3"/>
      <c r="AI492" s="3"/>
      <c r="AK492" s="3"/>
      <c r="AM492" s="3"/>
    </row>
    <row r="493" spans="2:39" x14ac:dyDescent="0.35">
      <c r="B493" s="33"/>
      <c r="P493" s="33"/>
      <c r="Q493" s="33"/>
    </row>
    <row r="494" spans="2:39" x14ac:dyDescent="0.35">
      <c r="B494" s="33"/>
      <c r="P494" s="33"/>
      <c r="Q494" s="33"/>
    </row>
    <row r="495" spans="2:39" x14ac:dyDescent="0.35">
      <c r="B495" s="33"/>
      <c r="P495" s="33"/>
      <c r="Q495" s="33"/>
    </row>
    <row r="496" spans="2:39" x14ac:dyDescent="0.35">
      <c r="B496" s="33"/>
      <c r="P496" s="33"/>
      <c r="Q496" s="33"/>
    </row>
    <row r="497" spans="1:27" x14ac:dyDescent="0.35">
      <c r="B497" s="33"/>
      <c r="P497" s="33"/>
      <c r="Q497" s="33"/>
    </row>
    <row r="498" spans="1:27" x14ac:dyDescent="0.35">
      <c r="B498" s="33"/>
      <c r="P498" s="33"/>
      <c r="Q498" s="33"/>
    </row>
    <row r="499" spans="1:27" x14ac:dyDescent="0.35">
      <c r="B499" s="33"/>
      <c r="P499" s="33"/>
      <c r="Q499" s="33"/>
    </row>
    <row r="500" spans="1:27" x14ac:dyDescent="0.35">
      <c r="B500" s="33"/>
      <c r="P500" s="33"/>
      <c r="Q500" s="33"/>
    </row>
    <row r="501" spans="1:27" x14ac:dyDescent="0.35">
      <c r="B501" s="33"/>
      <c r="P501" s="33"/>
      <c r="Q501" s="33"/>
    </row>
    <row r="502" spans="1:27" x14ac:dyDescent="0.35">
      <c r="B502" s="33"/>
      <c r="P502" s="33"/>
      <c r="Q502" s="33"/>
    </row>
    <row r="503" spans="1:27" x14ac:dyDescent="0.35">
      <c r="B503" s="33"/>
      <c r="P503" s="33"/>
      <c r="Q503" s="33"/>
    </row>
    <row r="504" spans="1:27" x14ac:dyDescent="0.35">
      <c r="B504" s="33"/>
      <c r="P504" s="33"/>
      <c r="Q504" s="33"/>
    </row>
    <row r="505" spans="1:27" x14ac:dyDescent="0.35">
      <c r="B505" s="33"/>
      <c r="P505" s="33"/>
      <c r="Q505" s="33"/>
      <c r="AA505" s="6"/>
    </row>
    <row r="506" spans="1:27" x14ac:dyDescent="0.35">
      <c r="B506" s="33"/>
      <c r="P506" s="33"/>
      <c r="Q506" s="33"/>
    </row>
    <row r="507" spans="1:27" x14ac:dyDescent="0.35">
      <c r="A507" s="33"/>
      <c r="B507" s="33"/>
      <c r="P507" s="33"/>
      <c r="Q507" s="33"/>
    </row>
    <row r="508" spans="1:27" x14ac:dyDescent="0.35">
      <c r="A508" s="33"/>
      <c r="B508" s="33"/>
      <c r="T508" s="282"/>
    </row>
    <row r="509" spans="1:27" x14ac:dyDescent="0.35">
      <c r="A509" s="33"/>
      <c r="B509" s="33"/>
      <c r="N509" s="32"/>
      <c r="T509" s="282"/>
    </row>
    <row r="510" spans="1:27" x14ac:dyDescent="0.35">
      <c r="T510" s="282"/>
    </row>
    <row r="511" spans="1:27" x14ac:dyDescent="0.35">
      <c r="N511" s="3"/>
      <c r="T511" s="282"/>
    </row>
    <row r="512" spans="1:27" x14ac:dyDescent="0.35">
      <c r="T512" s="282"/>
    </row>
    <row r="513" spans="6:28" x14ac:dyDescent="0.35">
      <c r="T513" s="282"/>
    </row>
    <row r="514" spans="6:28" x14ac:dyDescent="0.35">
      <c r="T514" s="282"/>
    </row>
    <row r="515" spans="6:28" x14ac:dyDescent="0.35">
      <c r="T515" s="282"/>
    </row>
    <row r="516" spans="6:28" x14ac:dyDescent="0.35">
      <c r="T516" s="282"/>
    </row>
    <row r="517" spans="6:28" x14ac:dyDescent="0.35">
      <c r="T517" s="282"/>
    </row>
    <row r="518" spans="6:28" x14ac:dyDescent="0.35">
      <c r="T518" s="282"/>
      <c r="AB518" s="6"/>
    </row>
    <row r="519" spans="6:28" x14ac:dyDescent="0.35">
      <c r="T519" s="282"/>
    </row>
    <row r="521" spans="6:28" x14ac:dyDescent="0.35">
      <c r="K521" s="6"/>
    </row>
    <row r="522" spans="6:28" x14ac:dyDescent="0.35">
      <c r="L522" s="6"/>
    </row>
    <row r="526" spans="6:28" x14ac:dyDescent="0.35">
      <c r="F526" s="3"/>
      <c r="G526" s="3"/>
      <c r="I526" s="3"/>
      <c r="K526" s="3"/>
    </row>
  </sheetData>
  <mergeCells count="11">
    <mergeCell ref="Y423:AB423"/>
    <mergeCell ref="A423:D423"/>
    <mergeCell ref="F423:I423"/>
    <mergeCell ref="K423:M423"/>
    <mergeCell ref="O423:R423"/>
    <mergeCell ref="T423:W423"/>
    <mergeCell ref="AD423:AF423"/>
    <mergeCell ref="AH423:AL423"/>
    <mergeCell ref="AN423:AQ423"/>
    <mergeCell ref="AS423:AV423"/>
    <mergeCell ref="AX423:BA423"/>
  </mergeCells>
  <pageMargins left="0.7" right="0.7" top="0.75" bottom="0.75" header="0.3" footer="0.3"/>
  <pageSetup paperSize="9" orientation="portrait"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3699F-ADA2-4109-BB11-D3DD972F5BE4}">
  <sheetPr>
    <tabColor theme="5" tint="0.39997558519241921"/>
  </sheetPr>
  <dimension ref="A1:BB562"/>
  <sheetViews>
    <sheetView topLeftCell="A408" zoomScale="70" zoomScaleNormal="70" workbookViewId="0">
      <selection activeCell="A508" sqref="A508:XFD508"/>
    </sheetView>
  </sheetViews>
  <sheetFormatPr defaultColWidth="8.7265625" defaultRowHeight="14.5" outlineLevelRow="1" x14ac:dyDescent="0.35"/>
  <cols>
    <col min="1" max="1" width="31.54296875" style="282" customWidth="1"/>
    <col min="2" max="2" width="36.54296875" style="282" bestFit="1" customWidth="1"/>
    <col min="3" max="3" width="40.7265625" style="282" bestFit="1" customWidth="1"/>
    <col min="4" max="4" width="22.453125" style="282" bestFit="1" customWidth="1"/>
    <col min="5" max="5" width="19.7265625" style="282" bestFit="1" customWidth="1"/>
    <col min="6" max="6" width="28.453125" style="282" bestFit="1" customWidth="1"/>
    <col min="7" max="7" width="22.7265625" style="282" bestFit="1" customWidth="1"/>
    <col min="8" max="8" width="21.08984375" style="282" bestFit="1" customWidth="1"/>
    <col min="9" max="9" width="22.453125" style="282" bestFit="1" customWidth="1"/>
    <col min="10" max="10" width="22.7265625" style="282" bestFit="1" customWidth="1"/>
    <col min="11" max="11" width="28.453125" style="282" bestFit="1" customWidth="1"/>
    <col min="12" max="12" width="22.453125" style="282" bestFit="1" customWidth="1"/>
    <col min="13" max="13" width="27.90625" style="282" bestFit="1" customWidth="1"/>
    <col min="14" max="14" width="12.08984375" style="282" customWidth="1"/>
    <col min="15" max="15" width="22.7265625" style="282" bestFit="1" customWidth="1"/>
    <col min="16" max="16" width="10.6328125" style="282" customWidth="1"/>
    <col min="17" max="17" width="13.36328125" style="282" customWidth="1"/>
    <col min="18" max="18" width="8.81640625" style="282" customWidth="1"/>
    <col min="19" max="19" width="11.26953125" style="282" bestFit="1" customWidth="1"/>
    <col min="20" max="20" width="22.7265625" style="33" bestFit="1" customWidth="1"/>
    <col min="21" max="22" width="11.6328125" style="282" bestFit="1" customWidth="1"/>
    <col min="23" max="23" width="24.26953125" style="282" bestFit="1" customWidth="1"/>
    <col min="24" max="24" width="11.6328125" style="282" bestFit="1" customWidth="1"/>
    <col min="25" max="25" width="22.7265625" style="282" bestFit="1" customWidth="1"/>
    <col min="26" max="26" width="11.6328125" style="282" bestFit="1" customWidth="1"/>
    <col min="27" max="27" width="8.81640625" style="282" customWidth="1"/>
    <col min="28" max="28" width="11.6328125" style="282" bestFit="1" customWidth="1"/>
    <col min="29" max="29" width="10.81640625" style="282" bestFit="1" customWidth="1"/>
    <col min="30" max="30" width="22.7265625" style="282" bestFit="1" customWidth="1"/>
    <col min="31" max="31" width="27.90625" style="282" customWidth="1"/>
    <col min="32" max="32" width="14.54296875" style="282" bestFit="1" customWidth="1"/>
    <col min="33" max="33" width="11.6328125" style="282" bestFit="1" customWidth="1"/>
    <col min="34" max="34" width="22.7265625" style="282" bestFit="1" customWidth="1"/>
    <col min="35" max="35" width="11.6328125" style="282" bestFit="1" customWidth="1"/>
    <col min="36" max="36" width="24.26953125" style="282" bestFit="1" customWidth="1"/>
    <col min="37" max="38" width="11.6328125" style="282" bestFit="1" customWidth="1"/>
    <col min="39" max="39" width="10.1796875" style="282" bestFit="1" customWidth="1"/>
    <col min="40" max="40" width="22.7265625" style="282" bestFit="1" customWidth="1"/>
    <col min="41" max="41" width="9.08984375" style="282" bestFit="1" customWidth="1"/>
    <col min="42" max="44" width="8.7265625" style="282"/>
    <col min="45" max="45" width="22.7265625" style="282" bestFit="1" customWidth="1"/>
    <col min="46" max="49" width="8.7265625" style="282"/>
    <col min="50" max="50" width="23.26953125" style="282" bestFit="1" customWidth="1"/>
    <col min="51" max="16384" width="8.7265625" style="282"/>
  </cols>
  <sheetData>
    <row r="1" spans="1:13" s="18" customFormat="1" ht="21" x14ac:dyDescent="0.5">
      <c r="A1" s="18" t="s">
        <v>693</v>
      </c>
    </row>
    <row r="2" spans="1:13" s="125" customFormat="1" x14ac:dyDescent="0.35">
      <c r="A2" s="125" t="s">
        <v>499</v>
      </c>
    </row>
    <row r="3" spans="1:13" x14ac:dyDescent="0.35">
      <c r="A3" s="109"/>
      <c r="B3" s="128" t="s">
        <v>147</v>
      </c>
      <c r="C3" s="128" t="s">
        <v>148</v>
      </c>
      <c r="D3" s="128" t="s">
        <v>149</v>
      </c>
    </row>
    <row r="4" spans="1:13" x14ac:dyDescent="0.35">
      <c r="A4" s="129" t="s">
        <v>150</v>
      </c>
      <c r="B4" s="109" t="s">
        <v>502</v>
      </c>
      <c r="C4" s="109" t="s">
        <v>500</v>
      </c>
      <c r="D4" s="109" t="s">
        <v>501</v>
      </c>
    </row>
    <row r="5" spans="1:13" x14ac:dyDescent="0.35">
      <c r="A5" s="129" t="s">
        <v>151</v>
      </c>
      <c r="B5" s="109" t="s">
        <v>857</v>
      </c>
      <c r="C5" s="109" t="s">
        <v>506</v>
      </c>
      <c r="D5" s="109" t="s">
        <v>152</v>
      </c>
    </row>
    <row r="6" spans="1:13" x14ac:dyDescent="0.35">
      <c r="A6" s="129" t="s">
        <v>858</v>
      </c>
      <c r="B6" s="109" t="s">
        <v>153</v>
      </c>
      <c r="C6" s="109" t="s">
        <v>154</v>
      </c>
      <c r="D6" s="109" t="s">
        <v>154</v>
      </c>
    </row>
    <row r="7" spans="1:13" x14ac:dyDescent="0.35">
      <c r="A7" s="129" t="s">
        <v>859</v>
      </c>
      <c r="B7" s="109" t="s">
        <v>155</v>
      </c>
      <c r="C7" s="109" t="s">
        <v>156</v>
      </c>
      <c r="D7" s="109" t="s">
        <v>157</v>
      </c>
    </row>
    <row r="8" spans="1:13" x14ac:dyDescent="0.35">
      <c r="A8" s="129" t="s">
        <v>158</v>
      </c>
      <c r="B8" s="109" t="s">
        <v>159</v>
      </c>
      <c r="C8" s="109" t="s">
        <v>160</v>
      </c>
      <c r="D8" s="109" t="s">
        <v>161</v>
      </c>
    </row>
    <row r="9" spans="1:13" x14ac:dyDescent="0.35">
      <c r="A9" s="129" t="s">
        <v>817</v>
      </c>
      <c r="B9" s="109"/>
      <c r="C9" s="109">
        <v>0.23</v>
      </c>
      <c r="D9" s="144" t="s">
        <v>861</v>
      </c>
    </row>
    <row r="10" spans="1:13" x14ac:dyDescent="0.35">
      <c r="A10" s="290" t="s">
        <v>836</v>
      </c>
      <c r="B10" s="291"/>
      <c r="C10" s="280" t="s">
        <v>862</v>
      </c>
      <c r="D10" s="291"/>
    </row>
    <row r="12" spans="1:13" s="33" customFormat="1" ht="15.5" x14ac:dyDescent="0.35">
      <c r="A12" s="51" t="s">
        <v>162</v>
      </c>
      <c r="B12" s="4"/>
      <c r="C12" s="4"/>
      <c r="D12" s="4"/>
      <c r="E12" s="4"/>
      <c r="F12" s="4"/>
      <c r="G12" s="4"/>
      <c r="H12" s="4"/>
      <c r="I12" s="4"/>
      <c r="J12" s="4"/>
      <c r="K12" s="4"/>
      <c r="L12" s="4"/>
      <c r="M12" s="4"/>
    </row>
    <row r="13" spans="1:13" outlineLevel="1" x14ac:dyDescent="0.35">
      <c r="A13" s="15" t="s">
        <v>148</v>
      </c>
      <c r="B13" s="30"/>
      <c r="C13" s="140" t="s">
        <v>180</v>
      </c>
      <c r="D13" s="6" t="s">
        <v>889</v>
      </c>
      <c r="E13" s="6" t="s">
        <v>891</v>
      </c>
      <c r="F13" s="6" t="s">
        <v>890</v>
      </c>
      <c r="G13" s="6" t="s">
        <v>892</v>
      </c>
      <c r="H13" s="6" t="s">
        <v>893</v>
      </c>
      <c r="I13" s="6" t="s">
        <v>894</v>
      </c>
      <c r="J13" s="6" t="s">
        <v>896</v>
      </c>
      <c r="K13" s="6" t="s">
        <v>897</v>
      </c>
      <c r="L13" s="6" t="s">
        <v>895</v>
      </c>
      <c r="M13" s="4"/>
    </row>
    <row r="14" spans="1:13" outlineLevel="1" x14ac:dyDescent="0.35">
      <c r="B14" s="282" t="s">
        <v>117</v>
      </c>
      <c r="C14" s="282" t="s">
        <v>821</v>
      </c>
      <c r="D14" s="6">
        <f>'Results ReCiPe (H) - CC'!B467</f>
        <v>15.33891633430572</v>
      </c>
      <c r="E14" s="6">
        <f>'Results ReCiPe (H) - CC'!C467</f>
        <v>14.228720723813575</v>
      </c>
      <c r="F14" s="6">
        <f>'Results ReCiPe (H) - CC'!D467</f>
        <v>11.10767980382567</v>
      </c>
      <c r="G14" s="6">
        <f>'Results ReCiPe (H) - CC'!E467</f>
        <v>15.33891633430572</v>
      </c>
      <c r="H14" s="6">
        <f>'Results ReCiPe (H) - CC'!F467</f>
        <v>14.228720723813575</v>
      </c>
      <c r="I14" s="6">
        <f>'Results ReCiPe (H) - CC'!G467</f>
        <v>11.10767980382567</v>
      </c>
      <c r="J14" s="6">
        <f>'Results ReCiPe (H) - CC'!H467</f>
        <v>27.30109830898834</v>
      </c>
      <c r="K14" s="6">
        <f>'Results ReCiPe (H) - CC'!I467</f>
        <v>25.103103901411338</v>
      </c>
      <c r="L14" s="6">
        <f>'Results ReCiPe (H) - CC'!J467</f>
        <v>18.927767157790178</v>
      </c>
      <c r="M14" s="4"/>
    </row>
    <row r="15" spans="1:13" outlineLevel="1" x14ac:dyDescent="0.35">
      <c r="B15" s="282" t="s">
        <v>118</v>
      </c>
      <c r="C15" s="282" t="s">
        <v>821</v>
      </c>
      <c r="D15" s="6">
        <f>'Results ReCiPe (H) - CC'!B468</f>
        <v>0.99242254336085489</v>
      </c>
      <c r="E15" s="6">
        <f>'Results ReCiPe (H) - CC'!C468</f>
        <v>0.92854228959986618</v>
      </c>
      <c r="F15" s="6">
        <f>'Results ReCiPe (H) - CC'!D468</f>
        <v>0.81224625777211612</v>
      </c>
      <c r="G15" s="6">
        <f>'Results ReCiPe (H) - CC'!E468</f>
        <v>0.99242254336085489</v>
      </c>
      <c r="H15" s="6">
        <f>'Results ReCiPe (H) - CC'!F468</f>
        <v>0.92854228959986618</v>
      </c>
      <c r="I15" s="6">
        <f>'Results ReCiPe (H) - CC'!G468</f>
        <v>0.81224625777211612</v>
      </c>
      <c r="J15" s="6">
        <f>'Results ReCiPe (H) - CC'!H468</f>
        <v>0.99242254336085489</v>
      </c>
      <c r="K15" s="6">
        <f>'Results ReCiPe (H) - CC'!I468</f>
        <v>0.92854228959986618</v>
      </c>
      <c r="L15" s="6">
        <f>'Results ReCiPe (H) - CC'!J468</f>
        <v>0.81224625777211612</v>
      </c>
      <c r="M15" s="4"/>
    </row>
    <row r="16" spans="1:13" outlineLevel="1" x14ac:dyDescent="0.35">
      <c r="B16" s="282" t="s">
        <v>119</v>
      </c>
      <c r="C16" s="282" t="s">
        <v>821</v>
      </c>
      <c r="D16" s="6">
        <f>'Results ReCiPe (H) - CC'!B469</f>
        <v>0.27647349348275368</v>
      </c>
      <c r="E16" s="6">
        <f>'Results ReCiPe (H) - CC'!C469</f>
        <v>0.23135438070506198</v>
      </c>
      <c r="F16" s="6">
        <f>'Results ReCiPe (H) - CC'!D469</f>
        <v>0.20244068217927833</v>
      </c>
      <c r="G16" s="6">
        <f>'Results ReCiPe (H) - CC'!E469</f>
        <v>0.27647349348275368</v>
      </c>
      <c r="H16" s="6">
        <f>'Results ReCiPe (H) - CC'!F469</f>
        <v>0.23135438070506198</v>
      </c>
      <c r="I16" s="6">
        <f>'Results ReCiPe (H) - CC'!G469</f>
        <v>0.20244068217927833</v>
      </c>
      <c r="J16" s="6">
        <f>'Results ReCiPe (H) - CC'!H469</f>
        <v>0.55294698696550737</v>
      </c>
      <c r="K16" s="6">
        <f>'Results ReCiPe (H) - CC'!I469</f>
        <v>0.46270876141012396</v>
      </c>
      <c r="L16" s="6">
        <f>'Results ReCiPe (H) - CC'!J469</f>
        <v>0.40488136435855665</v>
      </c>
      <c r="M16" s="4"/>
    </row>
    <row r="17" spans="1:13" outlineLevel="1" x14ac:dyDescent="0.35">
      <c r="B17" s="282" t="s">
        <v>120</v>
      </c>
      <c r="C17" s="282" t="s">
        <v>821</v>
      </c>
      <c r="D17" s="6">
        <f>'Results ReCiPe (H) - CC'!B470</f>
        <v>8.9978083648384714E-3</v>
      </c>
      <c r="E17" s="6">
        <f>'Results ReCiPe (H) - CC'!C470</f>
        <v>8.3835998236248491E-3</v>
      </c>
      <c r="F17" s="6">
        <f>'Results ReCiPe (H) - CC'!D470</f>
        <v>7.8840150412988301E-3</v>
      </c>
      <c r="G17" s="6">
        <f>'Results ReCiPe (H) - CC'!E470</f>
        <v>8.9978083648384714E-3</v>
      </c>
      <c r="H17" s="6">
        <f>'Results ReCiPe (H) - CC'!F470</f>
        <v>8.3835998236248491E-3</v>
      </c>
      <c r="I17" s="6">
        <f>'Results ReCiPe (H) - CC'!G470</f>
        <v>7.8840150412988301E-3</v>
      </c>
      <c r="J17" s="6">
        <f>'Results ReCiPe (H) - CC'!H470</f>
        <v>8.9978083648384714E-3</v>
      </c>
      <c r="K17" s="6">
        <f>'Results ReCiPe (H) - CC'!I470</f>
        <v>8.3835998236248491E-3</v>
      </c>
      <c r="L17" s="6">
        <f>'Results ReCiPe (H) - CC'!J470</f>
        <v>7.8840150412988301E-3</v>
      </c>
      <c r="M17" s="4"/>
    </row>
    <row r="18" spans="1:13" outlineLevel="1" x14ac:dyDescent="0.35">
      <c r="B18" s="282" t="s">
        <v>121</v>
      </c>
      <c r="C18" s="282" t="s">
        <v>821</v>
      </c>
      <c r="D18" s="6">
        <f>'Results ReCiPe (H) - CC'!B471</f>
        <v>4.201398547075331</v>
      </c>
      <c r="E18" s="6">
        <f>'Results ReCiPe (H) - CC'!C471</f>
        <v>3.5301952668074428</v>
      </c>
      <c r="F18" s="6">
        <f>'Results ReCiPe (H) - CC'!D471</f>
        <v>3.0325500058089316</v>
      </c>
      <c r="G18" s="6">
        <f>'Results ReCiPe (H) - CC'!E471</f>
        <v>4.201398547075331</v>
      </c>
      <c r="H18" s="6">
        <f>'Results ReCiPe (H) - CC'!F471</f>
        <v>3.5301952668074428</v>
      </c>
      <c r="I18" s="6">
        <f>'Results ReCiPe (H) - CC'!G471</f>
        <v>3.0325500058089316</v>
      </c>
      <c r="J18" s="6">
        <f>'Results ReCiPe (H) - CC'!H471</f>
        <v>8.402797094150662</v>
      </c>
      <c r="K18" s="6">
        <f>'Results ReCiPe (H) - CC'!I471</f>
        <v>7.0603905336148856</v>
      </c>
      <c r="L18" s="6">
        <f>'Results ReCiPe (H) - CC'!J471</f>
        <v>6.0651000116178633</v>
      </c>
      <c r="M18" s="4"/>
    </row>
    <row r="19" spans="1:13" outlineLevel="1" x14ac:dyDescent="0.35">
      <c r="B19" s="282" t="s">
        <v>797</v>
      </c>
      <c r="C19" s="282" t="s">
        <v>821</v>
      </c>
      <c r="D19" s="6">
        <f>'Results ReCiPe (H) - CC'!B472</f>
        <v>0</v>
      </c>
      <c r="E19" s="6">
        <f>'Results ReCiPe (H) - CC'!C472</f>
        <v>0</v>
      </c>
      <c r="F19" s="6">
        <f>'Results ReCiPe (H) - CC'!D472</f>
        <v>0</v>
      </c>
      <c r="G19" s="6">
        <f>'Results ReCiPe (H) - CC'!E472</f>
        <v>0</v>
      </c>
      <c r="H19" s="6">
        <f>'Results ReCiPe (H) - CC'!F472</f>
        <v>0</v>
      </c>
      <c r="I19" s="6">
        <f>'Results ReCiPe (H) - CC'!G472</f>
        <v>0</v>
      </c>
      <c r="J19" s="6">
        <f>'Results ReCiPe (H) - CC'!H472</f>
        <v>90.318785932629567</v>
      </c>
      <c r="K19" s="6">
        <f>'Results ReCiPe (H) - CC'!I472</f>
        <v>82.290114568489102</v>
      </c>
      <c r="L19" s="6">
        <f>'Results ReCiPe (H) - CC'!J472</f>
        <v>54.968424837753538</v>
      </c>
      <c r="M19" s="4"/>
    </row>
    <row r="20" spans="1:13" outlineLevel="1" x14ac:dyDescent="0.35">
      <c r="B20" s="282" t="s">
        <v>122</v>
      </c>
      <c r="C20" s="282" t="s">
        <v>821</v>
      </c>
      <c r="D20" s="6">
        <f>'Results ReCiPe (H) - CC'!B473</f>
        <v>575.06611068071641</v>
      </c>
      <c r="E20" s="6">
        <f>'Results ReCiPe (H) - CC'!C473</f>
        <v>123.28289086735381</v>
      </c>
      <c r="F20" s="6">
        <f>'Results ReCiPe (H) - CC'!D473</f>
        <v>-1.7017745936380504</v>
      </c>
      <c r="G20" s="6">
        <f>'Results ReCiPe (H) - CC'!E473</f>
        <v>443.48370274691973</v>
      </c>
      <c r="H20" s="6">
        <f>'Results ReCiPe (H) - CC'!F473</f>
        <v>96.772526359985974</v>
      </c>
      <c r="I20" s="6">
        <f>'Results ReCiPe (H) - CC'!G473</f>
        <v>0.25962057718256326</v>
      </c>
      <c r="J20" s="6">
        <f>'Results ReCiPe (H) - CC'!H473</f>
        <v>70.882385297689595</v>
      </c>
      <c r="K20" s="6">
        <f>'Results ReCiPe (H) - CC'!I473</f>
        <v>50.4086136689697</v>
      </c>
      <c r="L20" s="6">
        <f>'Results ReCiPe (H) - CC'!J473</f>
        <v>38.74344373594483</v>
      </c>
      <c r="M20" s="4"/>
    </row>
    <row r="21" spans="1:13" outlineLevel="1" x14ac:dyDescent="0.35">
      <c r="B21" s="282" t="s">
        <v>123</v>
      </c>
      <c r="C21" s="282" t="s">
        <v>821</v>
      </c>
      <c r="D21" s="6">
        <f>'Results ReCiPe (H) - CC'!B474</f>
        <v>44.48175454947296</v>
      </c>
      <c r="E21" s="6">
        <f>'Results ReCiPe (H) - CC'!C474</f>
        <v>10.344861824112719</v>
      </c>
      <c r="F21" s="6">
        <f>'Results ReCiPe (H) - CC'!D474</f>
        <v>0.75686347530398235</v>
      </c>
      <c r="G21" s="6">
        <f>'Results ReCiPe (H) - CC'!E474</f>
        <v>44.48175454947296</v>
      </c>
      <c r="H21" s="6">
        <f>'Results ReCiPe (H) - CC'!F474</f>
        <v>10.344861824112719</v>
      </c>
      <c r="I21" s="6">
        <f>'Results ReCiPe (H) - CC'!G474</f>
        <v>0.75686347530398235</v>
      </c>
      <c r="J21" s="6">
        <f>'Results ReCiPe (H) - CC'!H474</f>
        <v>44.48175454947296</v>
      </c>
      <c r="K21" s="6">
        <f>'Results ReCiPe (H) - CC'!I474</f>
        <v>10.344861824112719</v>
      </c>
      <c r="L21" s="6">
        <f>'Results ReCiPe (H) - CC'!J474</f>
        <v>0.75686347530398235</v>
      </c>
      <c r="M21" s="4"/>
    </row>
    <row r="22" spans="1:13" outlineLevel="1" x14ac:dyDescent="0.35">
      <c r="B22" s="282" t="s">
        <v>124</v>
      </c>
      <c r="C22" s="282" t="s">
        <v>821</v>
      </c>
      <c r="D22" s="6">
        <f>'Results ReCiPe (H) - CC'!B475</f>
        <v>-1000</v>
      </c>
      <c r="E22" s="6">
        <f>'Results ReCiPe (H) - CC'!C475</f>
        <v>-1000</v>
      </c>
      <c r="F22" s="6">
        <f>'Results ReCiPe (H) - CC'!D475</f>
        <v>-1000</v>
      </c>
      <c r="G22" s="6">
        <f>'Results ReCiPe (H) - CC'!E475</f>
        <v>-1000</v>
      </c>
      <c r="H22" s="6">
        <f>'Results ReCiPe (H) - CC'!F475</f>
        <v>-1000</v>
      </c>
      <c r="I22" s="6">
        <f>'Results ReCiPe (H) - CC'!G475</f>
        <v>-1000</v>
      </c>
      <c r="J22" s="6">
        <f>'Results ReCiPe (H) - CC'!H475</f>
        <v>-1000</v>
      </c>
      <c r="K22" s="6">
        <f>'Results ReCiPe (H) - CC'!I475</f>
        <v>-1000</v>
      </c>
      <c r="L22" s="6">
        <f>'Results ReCiPe (H) - CC'!J475</f>
        <v>-1000</v>
      </c>
      <c r="M22" s="4"/>
    </row>
    <row r="23" spans="1:13" outlineLevel="1" x14ac:dyDescent="0.35">
      <c r="B23" s="282" t="s">
        <v>137</v>
      </c>
      <c r="C23" s="282" t="s">
        <v>821</v>
      </c>
      <c r="D23" s="6">
        <f>'Results ReCiPe (H) - CC'!B476</f>
        <v>-359.63392604322115</v>
      </c>
      <c r="E23" s="6">
        <f>'Results ReCiPe (H) - CC'!C476</f>
        <v>-847.44505104778398</v>
      </c>
      <c r="F23" s="6">
        <f>'Results ReCiPe (H) - CC'!D476</f>
        <v>-985.78211035370691</v>
      </c>
      <c r="G23" s="6">
        <f>'Results ReCiPe (H) - CC'!E476</f>
        <v>-491.21633397701771</v>
      </c>
      <c r="H23" s="6">
        <f>'Results ReCiPe (H) - CC'!F476</f>
        <v>-873.95541555515172</v>
      </c>
      <c r="I23" s="6">
        <f>'Results ReCiPe (H) - CC'!G476</f>
        <v>-983.82071518288637</v>
      </c>
      <c r="J23" s="6">
        <f>'Results ReCiPe (H) - CC'!H476</f>
        <v>-757.05881147837772</v>
      </c>
      <c r="K23" s="6">
        <f>'Results ReCiPe (H) - CC'!I476</f>
        <v>-823.39328085256852</v>
      </c>
      <c r="L23" s="6">
        <f>'Results ReCiPe (H) - CC'!J476</f>
        <v>-879.31338914441756</v>
      </c>
      <c r="M23" s="4"/>
    </row>
    <row r="24" spans="1:13" outlineLevel="1" x14ac:dyDescent="0.35">
      <c r="M24" s="4"/>
    </row>
    <row r="25" spans="1:13" outlineLevel="1" x14ac:dyDescent="0.35">
      <c r="A25" s="15" t="s">
        <v>501</v>
      </c>
      <c r="B25" s="30"/>
      <c r="C25" s="140" t="s">
        <v>180</v>
      </c>
      <c r="D25" s="6" t="s">
        <v>889</v>
      </c>
      <c r="E25" s="6" t="s">
        <v>891</v>
      </c>
      <c r="F25" s="6" t="s">
        <v>890</v>
      </c>
      <c r="G25" s="6" t="s">
        <v>892</v>
      </c>
      <c r="H25" s="6" t="s">
        <v>893</v>
      </c>
      <c r="I25" s="6" t="s">
        <v>894</v>
      </c>
      <c r="J25" s="6" t="s">
        <v>896</v>
      </c>
      <c r="K25" s="6" t="s">
        <v>897</v>
      </c>
      <c r="L25" s="6" t="s">
        <v>895</v>
      </c>
      <c r="M25" s="4"/>
    </row>
    <row r="26" spans="1:13" outlineLevel="1" x14ac:dyDescent="0.35">
      <c r="B26" s="282" t="s">
        <v>117</v>
      </c>
      <c r="C26" s="282" t="s">
        <v>821</v>
      </c>
      <c r="D26" s="6">
        <f>D14*0.8</f>
        <v>12.271133067444577</v>
      </c>
      <c r="E26" s="6">
        <f t="shared" ref="E26:L29" si="0">E14*0.8</f>
        <v>11.382976579050862</v>
      </c>
      <c r="F26" s="6">
        <f t="shared" si="0"/>
        <v>8.8861438430605357</v>
      </c>
      <c r="G26" s="6">
        <f t="shared" si="0"/>
        <v>12.271133067444577</v>
      </c>
      <c r="H26" s="6">
        <f t="shared" si="0"/>
        <v>11.382976579050862</v>
      </c>
      <c r="I26" s="6">
        <f t="shared" si="0"/>
        <v>8.8861438430605357</v>
      </c>
      <c r="J26" s="6">
        <f t="shared" si="0"/>
        <v>21.840878647190674</v>
      </c>
      <c r="K26" s="6">
        <f t="shared" si="0"/>
        <v>20.082483121129073</v>
      </c>
      <c r="L26" s="6">
        <f t="shared" si="0"/>
        <v>15.142213726232143</v>
      </c>
      <c r="M26" s="4"/>
    </row>
    <row r="27" spans="1:13" outlineLevel="1" x14ac:dyDescent="0.35">
      <c r="B27" s="282" t="s">
        <v>118</v>
      </c>
      <c r="C27" s="282" t="s">
        <v>821</v>
      </c>
      <c r="D27" s="6">
        <f>D15*0.8</f>
        <v>0.79393803468868396</v>
      </c>
      <c r="E27" s="6">
        <f t="shared" si="0"/>
        <v>0.74283383167989303</v>
      </c>
      <c r="F27" s="6">
        <f t="shared" si="0"/>
        <v>0.64979700621769299</v>
      </c>
      <c r="G27" s="6">
        <f t="shared" si="0"/>
        <v>0.79393803468868396</v>
      </c>
      <c r="H27" s="6">
        <f t="shared" si="0"/>
        <v>0.74283383167989303</v>
      </c>
      <c r="I27" s="6">
        <f t="shared" si="0"/>
        <v>0.64979700621769299</v>
      </c>
      <c r="J27" s="6">
        <f t="shared" si="0"/>
        <v>0.79393803468868396</v>
      </c>
      <c r="K27" s="6">
        <f t="shared" si="0"/>
        <v>0.74283383167989303</v>
      </c>
      <c r="L27" s="6">
        <f t="shared" si="0"/>
        <v>0.64979700621769299</v>
      </c>
      <c r="M27" s="4"/>
    </row>
    <row r="28" spans="1:13" outlineLevel="1" x14ac:dyDescent="0.35">
      <c r="B28" s="282" t="s">
        <v>119</v>
      </c>
      <c r="C28" s="282" t="s">
        <v>821</v>
      </c>
      <c r="D28" s="6">
        <f>D16*0.8</f>
        <v>0.22117879478620295</v>
      </c>
      <c r="E28" s="6">
        <f t="shared" si="0"/>
        <v>0.18508350456404959</v>
      </c>
      <c r="F28" s="6">
        <f t="shared" si="0"/>
        <v>0.16195254574342266</v>
      </c>
      <c r="G28" s="6">
        <f t="shared" si="0"/>
        <v>0.22117879478620295</v>
      </c>
      <c r="H28" s="6">
        <f t="shared" si="0"/>
        <v>0.18508350456404959</v>
      </c>
      <c r="I28" s="6">
        <f t="shared" si="0"/>
        <v>0.16195254574342266</v>
      </c>
      <c r="J28" s="6">
        <f t="shared" si="0"/>
        <v>0.4423575895724059</v>
      </c>
      <c r="K28" s="6">
        <f t="shared" si="0"/>
        <v>0.37016700912809919</v>
      </c>
      <c r="L28" s="6">
        <f t="shared" si="0"/>
        <v>0.32390509148684532</v>
      </c>
      <c r="M28" s="4"/>
    </row>
    <row r="29" spans="1:13" outlineLevel="1" x14ac:dyDescent="0.35">
      <c r="B29" s="282" t="s">
        <v>120</v>
      </c>
      <c r="C29" s="282" t="s">
        <v>821</v>
      </c>
      <c r="D29" s="6">
        <f>D17*0.8</f>
        <v>7.1982466918707778E-3</v>
      </c>
      <c r="E29" s="6">
        <f t="shared" si="0"/>
        <v>6.7068798588998798E-3</v>
      </c>
      <c r="F29" s="6">
        <f t="shared" si="0"/>
        <v>6.3072120330390641E-3</v>
      </c>
      <c r="G29" s="6">
        <f t="shared" si="0"/>
        <v>7.1982466918707778E-3</v>
      </c>
      <c r="H29" s="6">
        <f t="shared" si="0"/>
        <v>6.7068798588998798E-3</v>
      </c>
      <c r="I29" s="6">
        <f t="shared" si="0"/>
        <v>6.3072120330390641E-3</v>
      </c>
      <c r="J29" s="6">
        <f t="shared" si="0"/>
        <v>7.1982466918707778E-3</v>
      </c>
      <c r="K29" s="6">
        <f t="shared" si="0"/>
        <v>6.7068798588998798E-3</v>
      </c>
      <c r="L29" s="6">
        <f t="shared" si="0"/>
        <v>6.3072120330390641E-3</v>
      </c>
      <c r="M29" s="4"/>
    </row>
    <row r="30" spans="1:13" outlineLevel="1" x14ac:dyDescent="0.35">
      <c r="B30" s="282" t="s">
        <v>121</v>
      </c>
      <c r="C30" s="282" t="s">
        <v>821</v>
      </c>
      <c r="D30" s="6">
        <f>D18</f>
        <v>4.201398547075331</v>
      </c>
      <c r="E30" s="6">
        <f t="shared" ref="E30:L34" si="1">E18</f>
        <v>3.5301952668074428</v>
      </c>
      <c r="F30" s="6">
        <f t="shared" si="1"/>
        <v>3.0325500058089316</v>
      </c>
      <c r="G30" s="6">
        <f t="shared" si="1"/>
        <v>4.201398547075331</v>
      </c>
      <c r="H30" s="6">
        <f t="shared" si="1"/>
        <v>3.5301952668074428</v>
      </c>
      <c r="I30" s="6">
        <f t="shared" si="1"/>
        <v>3.0325500058089316</v>
      </c>
      <c r="J30" s="6">
        <f t="shared" si="1"/>
        <v>8.402797094150662</v>
      </c>
      <c r="K30" s="6">
        <f t="shared" si="1"/>
        <v>7.0603905336148856</v>
      </c>
      <c r="L30" s="6">
        <f t="shared" si="1"/>
        <v>6.0651000116178633</v>
      </c>
      <c r="M30" s="4"/>
    </row>
    <row r="31" spans="1:13" outlineLevel="1" x14ac:dyDescent="0.35">
      <c r="B31" s="282" t="s">
        <v>797</v>
      </c>
      <c r="C31" s="282" t="s">
        <v>821</v>
      </c>
      <c r="D31" s="6">
        <f>D19</f>
        <v>0</v>
      </c>
      <c r="E31" s="6">
        <f t="shared" si="1"/>
        <v>0</v>
      </c>
      <c r="F31" s="6">
        <f t="shared" si="1"/>
        <v>0</v>
      </c>
      <c r="G31" s="6">
        <f t="shared" si="1"/>
        <v>0</v>
      </c>
      <c r="H31" s="6">
        <f t="shared" si="1"/>
        <v>0</v>
      </c>
      <c r="I31" s="6">
        <f t="shared" si="1"/>
        <v>0</v>
      </c>
      <c r="J31" s="6">
        <f t="shared" si="1"/>
        <v>90.318785932629567</v>
      </c>
      <c r="K31" s="6">
        <f t="shared" si="1"/>
        <v>82.290114568489102</v>
      </c>
      <c r="L31" s="6">
        <f t="shared" si="1"/>
        <v>54.968424837753538</v>
      </c>
      <c r="M31" s="4"/>
    </row>
    <row r="32" spans="1:13" outlineLevel="1" x14ac:dyDescent="0.35">
      <c r="B32" s="282" t="s">
        <v>122</v>
      </c>
      <c r="C32" s="282" t="s">
        <v>821</v>
      </c>
      <c r="D32" s="6">
        <f>D20</f>
        <v>575.06611068071641</v>
      </c>
      <c r="E32" s="6">
        <f t="shared" si="1"/>
        <v>123.28289086735381</v>
      </c>
      <c r="F32" s="6">
        <f t="shared" si="1"/>
        <v>-1.7017745936380504</v>
      </c>
      <c r="G32" s="6">
        <f t="shared" si="1"/>
        <v>443.48370274691973</v>
      </c>
      <c r="H32" s="6">
        <f t="shared" si="1"/>
        <v>96.772526359985974</v>
      </c>
      <c r="I32" s="6">
        <f t="shared" si="1"/>
        <v>0.25962057718256326</v>
      </c>
      <c r="J32" s="6">
        <f t="shared" si="1"/>
        <v>70.882385297689595</v>
      </c>
      <c r="K32" s="6">
        <f t="shared" si="1"/>
        <v>50.4086136689697</v>
      </c>
      <c r="L32" s="6">
        <f t="shared" si="1"/>
        <v>38.74344373594483</v>
      </c>
      <c r="M32" s="4"/>
    </row>
    <row r="33" spans="1:20" outlineLevel="1" x14ac:dyDescent="0.35">
      <c r="B33" s="282" t="s">
        <v>123</v>
      </c>
      <c r="C33" s="282" t="s">
        <v>821</v>
      </c>
      <c r="D33" s="6">
        <f>D21</f>
        <v>44.48175454947296</v>
      </c>
      <c r="E33" s="6">
        <f t="shared" si="1"/>
        <v>10.344861824112719</v>
      </c>
      <c r="F33" s="6">
        <f t="shared" si="1"/>
        <v>0.75686347530398235</v>
      </c>
      <c r="G33" s="6">
        <f t="shared" si="1"/>
        <v>44.48175454947296</v>
      </c>
      <c r="H33" s="6">
        <f t="shared" si="1"/>
        <v>10.344861824112719</v>
      </c>
      <c r="I33" s="6">
        <f t="shared" si="1"/>
        <v>0.75686347530398235</v>
      </c>
      <c r="J33" s="6">
        <f t="shared" si="1"/>
        <v>44.48175454947296</v>
      </c>
      <c r="K33" s="6">
        <f t="shared" si="1"/>
        <v>10.344861824112719</v>
      </c>
      <c r="L33" s="6">
        <f t="shared" si="1"/>
        <v>0.75686347530398235</v>
      </c>
      <c r="M33" s="4"/>
    </row>
    <row r="34" spans="1:20" outlineLevel="1" x14ac:dyDescent="0.35">
      <c r="B34" s="282" t="s">
        <v>124</v>
      </c>
      <c r="C34" s="282" t="s">
        <v>821</v>
      </c>
      <c r="D34" s="6">
        <f>D22</f>
        <v>-1000</v>
      </c>
      <c r="E34" s="6">
        <f t="shared" si="1"/>
        <v>-1000</v>
      </c>
      <c r="F34" s="6">
        <f t="shared" si="1"/>
        <v>-1000</v>
      </c>
      <c r="G34" s="6">
        <f t="shared" si="1"/>
        <v>-1000</v>
      </c>
      <c r="H34" s="6">
        <f t="shared" si="1"/>
        <v>-1000</v>
      </c>
      <c r="I34" s="6">
        <f t="shared" si="1"/>
        <v>-1000</v>
      </c>
      <c r="J34" s="6">
        <f t="shared" si="1"/>
        <v>-1000</v>
      </c>
      <c r="K34" s="6">
        <f t="shared" si="1"/>
        <v>-1000</v>
      </c>
      <c r="L34" s="6">
        <f t="shared" si="1"/>
        <v>-1000</v>
      </c>
      <c r="M34" s="4"/>
    </row>
    <row r="35" spans="1:20" outlineLevel="1" x14ac:dyDescent="0.35">
      <c r="B35" s="282" t="s">
        <v>137</v>
      </c>
      <c r="C35" s="282" t="s">
        <v>821</v>
      </c>
      <c r="D35" s="6">
        <f>SUM(D26:D34)</f>
        <v>-362.95728807912394</v>
      </c>
      <c r="E35" s="6">
        <f t="shared" ref="E35:L35" si="2">SUM(E26:E34)</f>
        <v>-850.52445124657231</v>
      </c>
      <c r="F35" s="6">
        <f t="shared" si="2"/>
        <v>-988.20816050547046</v>
      </c>
      <c r="G35" s="6">
        <f t="shared" si="2"/>
        <v>-494.53969601292067</v>
      </c>
      <c r="H35" s="6">
        <f t="shared" si="2"/>
        <v>-877.03481575394017</v>
      </c>
      <c r="I35" s="6">
        <f t="shared" si="2"/>
        <v>-986.24676533464981</v>
      </c>
      <c r="J35" s="6">
        <f t="shared" si="2"/>
        <v>-762.82990460791359</v>
      </c>
      <c r="K35" s="6">
        <f t="shared" si="2"/>
        <v>-828.69382856301763</v>
      </c>
      <c r="L35" s="6">
        <f t="shared" si="2"/>
        <v>-883.34394490341003</v>
      </c>
      <c r="M35" s="4"/>
    </row>
    <row r="36" spans="1:20" outlineLevel="1" x14ac:dyDescent="0.35">
      <c r="M36" s="4"/>
    </row>
    <row r="37" spans="1:20" outlineLevel="1" x14ac:dyDescent="0.35">
      <c r="A37" s="15" t="s">
        <v>502</v>
      </c>
      <c r="B37" s="30"/>
      <c r="C37" s="140" t="s">
        <v>180</v>
      </c>
      <c r="D37" s="6" t="s">
        <v>889</v>
      </c>
      <c r="E37" s="6" t="s">
        <v>891</v>
      </c>
      <c r="F37" s="6" t="s">
        <v>890</v>
      </c>
      <c r="G37" s="6" t="s">
        <v>892</v>
      </c>
      <c r="H37" s="6" t="s">
        <v>893</v>
      </c>
      <c r="I37" s="6" t="s">
        <v>894</v>
      </c>
      <c r="J37" s="6" t="s">
        <v>896</v>
      </c>
      <c r="K37" s="6" t="s">
        <v>897</v>
      </c>
      <c r="L37" s="6" t="s">
        <v>895</v>
      </c>
      <c r="M37" s="4"/>
    </row>
    <row r="38" spans="1:20" outlineLevel="1" x14ac:dyDescent="0.35">
      <c r="B38" s="282" t="s">
        <v>117</v>
      </c>
      <c r="C38" s="282" t="s">
        <v>821</v>
      </c>
      <c r="D38" s="6">
        <f>D14*1.2</f>
        <v>18.406699601166864</v>
      </c>
      <c r="E38" s="6">
        <f t="shared" ref="E38:L41" si="3">E14*1.2</f>
        <v>17.074464868576289</v>
      </c>
      <c r="F38" s="6">
        <f t="shared" si="3"/>
        <v>13.329215764590804</v>
      </c>
      <c r="G38" s="6">
        <f t="shared" si="3"/>
        <v>18.406699601166864</v>
      </c>
      <c r="H38" s="6">
        <f t="shared" si="3"/>
        <v>17.074464868576289</v>
      </c>
      <c r="I38" s="6">
        <f t="shared" si="3"/>
        <v>13.329215764590804</v>
      </c>
      <c r="J38" s="6">
        <f t="shared" si="3"/>
        <v>32.76131797078601</v>
      </c>
      <c r="K38" s="6">
        <f t="shared" si="3"/>
        <v>30.123724681693602</v>
      </c>
      <c r="L38" s="6">
        <f t="shared" si="3"/>
        <v>22.713320589348214</v>
      </c>
      <c r="M38" s="4"/>
    </row>
    <row r="39" spans="1:20" outlineLevel="1" x14ac:dyDescent="0.35">
      <c r="B39" s="282" t="s">
        <v>118</v>
      </c>
      <c r="C39" s="282" t="s">
        <v>821</v>
      </c>
      <c r="D39" s="6">
        <f>D15*1.2</f>
        <v>1.1909070520330258</v>
      </c>
      <c r="E39" s="6">
        <f t="shared" si="3"/>
        <v>1.1142507475198393</v>
      </c>
      <c r="F39" s="6">
        <f t="shared" si="3"/>
        <v>0.97469550932653926</v>
      </c>
      <c r="G39" s="6">
        <f t="shared" si="3"/>
        <v>1.1909070520330258</v>
      </c>
      <c r="H39" s="6">
        <f t="shared" si="3"/>
        <v>1.1142507475198393</v>
      </c>
      <c r="I39" s="6">
        <f t="shared" si="3"/>
        <v>0.97469550932653926</v>
      </c>
      <c r="J39" s="6">
        <f t="shared" si="3"/>
        <v>1.1909070520330258</v>
      </c>
      <c r="K39" s="6">
        <f t="shared" si="3"/>
        <v>1.1142507475198393</v>
      </c>
      <c r="L39" s="6">
        <f t="shared" si="3"/>
        <v>0.97469550932653926</v>
      </c>
      <c r="M39" s="4"/>
    </row>
    <row r="40" spans="1:20" outlineLevel="1" x14ac:dyDescent="0.35">
      <c r="B40" s="282" t="s">
        <v>119</v>
      </c>
      <c r="C40" s="282" t="s">
        <v>821</v>
      </c>
      <c r="D40" s="6">
        <f>D16*1.2</f>
        <v>0.33176819217930442</v>
      </c>
      <c r="E40" s="6">
        <f t="shared" si="3"/>
        <v>0.27762525684607436</v>
      </c>
      <c r="F40" s="6">
        <f t="shared" si="3"/>
        <v>0.24292881861513399</v>
      </c>
      <c r="G40" s="6">
        <f t="shared" si="3"/>
        <v>0.33176819217930442</v>
      </c>
      <c r="H40" s="6">
        <f t="shared" si="3"/>
        <v>0.27762525684607436</v>
      </c>
      <c r="I40" s="6">
        <f t="shared" si="3"/>
        <v>0.24292881861513399</v>
      </c>
      <c r="J40" s="6">
        <f t="shared" si="3"/>
        <v>0.66353638435860884</v>
      </c>
      <c r="K40" s="6">
        <f t="shared" si="3"/>
        <v>0.55525051369214873</v>
      </c>
      <c r="L40" s="6">
        <f t="shared" si="3"/>
        <v>0.48585763723026798</v>
      </c>
      <c r="M40" s="4"/>
    </row>
    <row r="41" spans="1:20" outlineLevel="1" x14ac:dyDescent="0.35">
      <c r="B41" s="282" t="s">
        <v>120</v>
      </c>
      <c r="C41" s="282" t="s">
        <v>821</v>
      </c>
      <c r="D41" s="6">
        <f>D17*1.2</f>
        <v>1.0797370037806165E-2</v>
      </c>
      <c r="E41" s="6">
        <f t="shared" si="3"/>
        <v>1.0060319788349819E-2</v>
      </c>
      <c r="F41" s="6">
        <f t="shared" si="3"/>
        <v>9.4608180495585961E-3</v>
      </c>
      <c r="G41" s="6">
        <f t="shared" si="3"/>
        <v>1.0797370037806165E-2</v>
      </c>
      <c r="H41" s="6">
        <f t="shared" si="3"/>
        <v>1.0060319788349819E-2</v>
      </c>
      <c r="I41" s="6">
        <f t="shared" si="3"/>
        <v>9.4608180495585961E-3</v>
      </c>
      <c r="J41" s="6">
        <f t="shared" si="3"/>
        <v>1.0797370037806165E-2</v>
      </c>
      <c r="K41" s="6">
        <f t="shared" si="3"/>
        <v>1.0060319788349819E-2</v>
      </c>
      <c r="L41" s="6">
        <f t="shared" si="3"/>
        <v>9.4608180495585961E-3</v>
      </c>
      <c r="M41" s="4"/>
    </row>
    <row r="42" spans="1:20" outlineLevel="1" x14ac:dyDescent="0.35">
      <c r="B42" s="282" t="s">
        <v>121</v>
      </c>
      <c r="C42" s="282" t="s">
        <v>821</v>
      </c>
      <c r="D42" s="6">
        <f>D18</f>
        <v>4.201398547075331</v>
      </c>
      <c r="E42" s="6">
        <f t="shared" ref="E42:L46" si="4">E18</f>
        <v>3.5301952668074428</v>
      </c>
      <c r="F42" s="6">
        <f t="shared" si="4"/>
        <v>3.0325500058089316</v>
      </c>
      <c r="G42" s="6">
        <f t="shared" si="4"/>
        <v>4.201398547075331</v>
      </c>
      <c r="H42" s="6">
        <f t="shared" si="4"/>
        <v>3.5301952668074428</v>
      </c>
      <c r="I42" s="6">
        <f t="shared" si="4"/>
        <v>3.0325500058089316</v>
      </c>
      <c r="J42" s="6">
        <f t="shared" si="4"/>
        <v>8.402797094150662</v>
      </c>
      <c r="K42" s="6">
        <f t="shared" si="4"/>
        <v>7.0603905336148856</v>
      </c>
      <c r="L42" s="6">
        <f t="shared" si="4"/>
        <v>6.0651000116178633</v>
      </c>
      <c r="M42" s="4"/>
    </row>
    <row r="43" spans="1:20" outlineLevel="1" x14ac:dyDescent="0.35">
      <c r="B43" s="282" t="s">
        <v>797</v>
      </c>
      <c r="C43" s="282" t="s">
        <v>821</v>
      </c>
      <c r="D43" s="6">
        <f>D19</f>
        <v>0</v>
      </c>
      <c r="E43" s="6">
        <f t="shared" si="4"/>
        <v>0</v>
      </c>
      <c r="F43" s="6">
        <f t="shared" si="4"/>
        <v>0</v>
      </c>
      <c r="G43" s="6">
        <f t="shared" si="4"/>
        <v>0</v>
      </c>
      <c r="H43" s="6">
        <f t="shared" si="4"/>
        <v>0</v>
      </c>
      <c r="I43" s="6">
        <f t="shared" si="4"/>
        <v>0</v>
      </c>
      <c r="J43" s="6">
        <f t="shared" si="4"/>
        <v>90.318785932629567</v>
      </c>
      <c r="K43" s="6">
        <f t="shared" si="4"/>
        <v>82.290114568489102</v>
      </c>
      <c r="L43" s="6">
        <f t="shared" si="4"/>
        <v>54.968424837753538</v>
      </c>
      <c r="M43" s="4"/>
    </row>
    <row r="44" spans="1:20" outlineLevel="1" x14ac:dyDescent="0.35">
      <c r="B44" s="282" t="s">
        <v>122</v>
      </c>
      <c r="C44" s="282" t="s">
        <v>821</v>
      </c>
      <c r="D44" s="6">
        <f>D20</f>
        <v>575.06611068071641</v>
      </c>
      <c r="E44" s="6">
        <f t="shared" si="4"/>
        <v>123.28289086735381</v>
      </c>
      <c r="F44" s="6">
        <f t="shared" si="4"/>
        <v>-1.7017745936380504</v>
      </c>
      <c r="G44" s="6">
        <f t="shared" si="4"/>
        <v>443.48370274691973</v>
      </c>
      <c r="H44" s="6">
        <f t="shared" si="4"/>
        <v>96.772526359985974</v>
      </c>
      <c r="I44" s="6">
        <f t="shared" si="4"/>
        <v>0.25962057718256326</v>
      </c>
      <c r="J44" s="6">
        <f t="shared" si="4"/>
        <v>70.882385297689595</v>
      </c>
      <c r="K44" s="6">
        <f t="shared" si="4"/>
        <v>50.4086136689697</v>
      </c>
      <c r="L44" s="6">
        <f t="shared" si="4"/>
        <v>38.74344373594483</v>
      </c>
      <c r="M44" s="4"/>
    </row>
    <row r="45" spans="1:20" outlineLevel="1" x14ac:dyDescent="0.35">
      <c r="B45" s="282" t="s">
        <v>123</v>
      </c>
      <c r="C45" s="282" t="s">
        <v>821</v>
      </c>
      <c r="D45" s="6">
        <f>D21</f>
        <v>44.48175454947296</v>
      </c>
      <c r="E45" s="6">
        <f t="shared" si="4"/>
        <v>10.344861824112719</v>
      </c>
      <c r="F45" s="6">
        <f t="shared" si="4"/>
        <v>0.75686347530398235</v>
      </c>
      <c r="G45" s="6">
        <f t="shared" si="4"/>
        <v>44.48175454947296</v>
      </c>
      <c r="H45" s="6">
        <f t="shared" si="4"/>
        <v>10.344861824112719</v>
      </c>
      <c r="I45" s="6">
        <f t="shared" si="4"/>
        <v>0.75686347530398235</v>
      </c>
      <c r="J45" s="6">
        <f t="shared" si="4"/>
        <v>44.48175454947296</v>
      </c>
      <c r="K45" s="6">
        <f t="shared" si="4"/>
        <v>10.344861824112719</v>
      </c>
      <c r="L45" s="6">
        <f t="shared" si="4"/>
        <v>0.75686347530398235</v>
      </c>
      <c r="M45" s="4"/>
    </row>
    <row r="46" spans="1:20" outlineLevel="1" x14ac:dyDescent="0.35">
      <c r="B46" s="282" t="s">
        <v>124</v>
      </c>
      <c r="C46" s="282" t="s">
        <v>821</v>
      </c>
      <c r="D46" s="6">
        <f>D22</f>
        <v>-1000</v>
      </c>
      <c r="E46" s="6">
        <f t="shared" si="4"/>
        <v>-1000</v>
      </c>
      <c r="F46" s="6">
        <f t="shared" si="4"/>
        <v>-1000</v>
      </c>
      <c r="G46" s="6">
        <f t="shared" si="4"/>
        <v>-1000</v>
      </c>
      <c r="H46" s="6">
        <f t="shared" si="4"/>
        <v>-1000</v>
      </c>
      <c r="I46" s="6">
        <f t="shared" si="4"/>
        <v>-1000</v>
      </c>
      <c r="J46" s="6">
        <f t="shared" si="4"/>
        <v>-1000</v>
      </c>
      <c r="K46" s="6">
        <f t="shared" si="4"/>
        <v>-1000</v>
      </c>
      <c r="L46" s="6">
        <f t="shared" si="4"/>
        <v>-1000</v>
      </c>
      <c r="M46" s="4"/>
    </row>
    <row r="47" spans="1:20" outlineLevel="1" x14ac:dyDescent="0.35">
      <c r="B47" s="282" t="s">
        <v>137</v>
      </c>
      <c r="C47" s="282" t="s">
        <v>821</v>
      </c>
      <c r="D47" s="6">
        <f>SUM(D38:D46)</f>
        <v>-356.31056400731836</v>
      </c>
      <c r="E47" s="6">
        <f t="shared" ref="E47:L47" si="5">SUM(E38:E46)</f>
        <v>-844.36565084899553</v>
      </c>
      <c r="F47" s="6">
        <f t="shared" si="5"/>
        <v>-983.35606020194314</v>
      </c>
      <c r="G47" s="6">
        <f t="shared" si="5"/>
        <v>-487.89297194111498</v>
      </c>
      <c r="H47" s="6">
        <f t="shared" si="5"/>
        <v>-870.87601535636327</v>
      </c>
      <c r="I47" s="6">
        <f t="shared" si="5"/>
        <v>-981.39466503112249</v>
      </c>
      <c r="J47" s="6">
        <f t="shared" si="5"/>
        <v>-751.28771834884174</v>
      </c>
      <c r="K47" s="6">
        <f t="shared" si="5"/>
        <v>-818.09273314211964</v>
      </c>
      <c r="L47" s="6">
        <f t="shared" si="5"/>
        <v>-875.28283338542519</v>
      </c>
      <c r="M47" s="4"/>
    </row>
    <row r="48" spans="1:20" outlineLevel="1" x14ac:dyDescent="0.35">
      <c r="M48" s="4"/>
      <c r="T48" s="282"/>
    </row>
    <row r="49" spans="1:23" s="33" customFormat="1" ht="15.5" x14ac:dyDescent="0.35">
      <c r="A49" s="51" t="s">
        <v>503</v>
      </c>
      <c r="B49" s="4"/>
      <c r="C49" s="4"/>
      <c r="D49" s="4"/>
      <c r="E49" s="4"/>
      <c r="F49" s="4"/>
      <c r="G49" s="4"/>
      <c r="H49" s="4"/>
      <c r="I49" s="4"/>
      <c r="J49" s="4"/>
      <c r="K49" s="4"/>
      <c r="L49" s="4"/>
      <c r="M49" s="4"/>
      <c r="N49" s="282"/>
      <c r="O49" s="282"/>
      <c r="P49" s="282"/>
      <c r="Q49" s="282"/>
      <c r="R49" s="282"/>
      <c r="S49" s="282"/>
      <c r="T49" s="282"/>
      <c r="U49" s="282"/>
      <c r="V49" s="282"/>
      <c r="W49" s="282"/>
    </row>
    <row r="50" spans="1:23" s="33" customFormat="1" outlineLevel="1" x14ac:dyDescent="0.35">
      <c r="A50" s="15" t="s">
        <v>568</v>
      </c>
      <c r="B50" s="30"/>
      <c r="C50" s="140" t="s">
        <v>180</v>
      </c>
      <c r="D50" s="6" t="s">
        <v>889</v>
      </c>
      <c r="E50" s="6" t="s">
        <v>891</v>
      </c>
      <c r="F50" s="6" t="s">
        <v>890</v>
      </c>
      <c r="G50" s="6" t="s">
        <v>892</v>
      </c>
      <c r="H50" s="6" t="s">
        <v>893</v>
      </c>
      <c r="I50" s="6" t="s">
        <v>894</v>
      </c>
      <c r="J50" s="6" t="s">
        <v>896</v>
      </c>
      <c r="K50" s="6" t="s">
        <v>897</v>
      </c>
      <c r="L50" s="6" t="s">
        <v>895</v>
      </c>
      <c r="M50" s="4"/>
      <c r="N50" s="282"/>
      <c r="O50" s="282"/>
      <c r="P50" s="282"/>
      <c r="Q50" s="282"/>
      <c r="R50" s="282"/>
      <c r="S50" s="282"/>
      <c r="T50" s="282"/>
      <c r="U50" s="282"/>
      <c r="V50" s="282"/>
      <c r="W50" s="282"/>
    </row>
    <row r="51" spans="1:23" s="33" customFormat="1" outlineLevel="1" x14ac:dyDescent="0.35">
      <c r="B51" s="282" t="s">
        <v>117</v>
      </c>
      <c r="C51" s="282" t="s">
        <v>821</v>
      </c>
      <c r="D51" s="6">
        <f>'Results ReCiPe (H) - CC'!B467</f>
        <v>15.33891633430572</v>
      </c>
      <c r="E51" s="6">
        <f>'Results ReCiPe (H) - CC'!C467</f>
        <v>14.228720723813575</v>
      </c>
      <c r="F51" s="6">
        <f>'Results ReCiPe (H) - CC'!D467</f>
        <v>11.10767980382567</v>
      </c>
      <c r="G51" s="6">
        <f>'Results ReCiPe (H) - CC'!E467</f>
        <v>15.33891633430572</v>
      </c>
      <c r="H51" s="6">
        <f>'Results ReCiPe (H) - CC'!F467</f>
        <v>14.228720723813575</v>
      </c>
      <c r="I51" s="6">
        <f>'Results ReCiPe (H) - CC'!G467</f>
        <v>11.10767980382567</v>
      </c>
      <c r="J51" s="6">
        <f>'Results ReCiPe (H) - CC'!H467</f>
        <v>27.30109830898834</v>
      </c>
      <c r="K51" s="6">
        <f>'Results ReCiPe (H) - CC'!I467</f>
        <v>25.103103901411338</v>
      </c>
      <c r="L51" s="6">
        <f>'Results ReCiPe (H) - CC'!J467</f>
        <v>18.927767157790178</v>
      </c>
      <c r="M51" s="4"/>
      <c r="N51" s="282"/>
      <c r="O51" s="282"/>
      <c r="P51" s="282"/>
      <c r="Q51" s="282"/>
      <c r="R51" s="282"/>
      <c r="S51" s="282"/>
      <c r="T51" s="282"/>
      <c r="U51" s="282"/>
      <c r="V51" s="282"/>
      <c r="W51" s="282"/>
    </row>
    <row r="52" spans="1:23" s="33" customFormat="1" outlineLevel="1" x14ac:dyDescent="0.35">
      <c r="A52" s="282"/>
      <c r="B52" s="282" t="s">
        <v>118</v>
      </c>
      <c r="C52" s="282" t="s">
        <v>821</v>
      </c>
      <c r="D52" s="6">
        <f>'Results ReCiPe (H) - CC'!B468</f>
        <v>0.99242254336085489</v>
      </c>
      <c r="E52" s="6">
        <f>'Results ReCiPe (H) - CC'!C468</f>
        <v>0.92854228959986618</v>
      </c>
      <c r="F52" s="6">
        <f>'Results ReCiPe (H) - CC'!D468</f>
        <v>0.81224625777211612</v>
      </c>
      <c r="G52" s="6">
        <f>'Results ReCiPe (H) - CC'!E468</f>
        <v>0.99242254336085489</v>
      </c>
      <c r="H52" s="6">
        <f>'Results ReCiPe (H) - CC'!F468</f>
        <v>0.92854228959986618</v>
      </c>
      <c r="I52" s="6">
        <f>'Results ReCiPe (H) - CC'!G468</f>
        <v>0.81224625777211612</v>
      </c>
      <c r="J52" s="6">
        <f>'Results ReCiPe (H) - CC'!H468</f>
        <v>0.99242254336085489</v>
      </c>
      <c r="K52" s="6">
        <f>'Results ReCiPe (H) - CC'!I468</f>
        <v>0.92854228959986618</v>
      </c>
      <c r="L52" s="6">
        <f>'Results ReCiPe (H) - CC'!J468</f>
        <v>0.81224625777211612</v>
      </c>
      <c r="M52" s="4"/>
      <c r="R52" s="32"/>
    </row>
    <row r="53" spans="1:23" s="33" customFormat="1" outlineLevel="1" x14ac:dyDescent="0.35">
      <c r="A53" s="282"/>
      <c r="B53" s="282" t="s">
        <v>119</v>
      </c>
      <c r="C53" s="282" t="s">
        <v>821</v>
      </c>
      <c r="D53" s="6">
        <f>'Results ReCiPe (H) - CC'!B469</f>
        <v>0.27647349348275368</v>
      </c>
      <c r="E53" s="6">
        <f>'Results ReCiPe (H) - CC'!C469</f>
        <v>0.23135438070506198</v>
      </c>
      <c r="F53" s="6">
        <f>'Results ReCiPe (H) - CC'!D469</f>
        <v>0.20244068217927833</v>
      </c>
      <c r="G53" s="6">
        <f>'Results ReCiPe (H) - CC'!E469</f>
        <v>0.27647349348275368</v>
      </c>
      <c r="H53" s="6">
        <f>'Results ReCiPe (H) - CC'!F469</f>
        <v>0.23135438070506198</v>
      </c>
      <c r="I53" s="6">
        <f>'Results ReCiPe (H) - CC'!G469</f>
        <v>0.20244068217927833</v>
      </c>
      <c r="J53" s="6">
        <f>'Results ReCiPe (H) - CC'!H469</f>
        <v>0.55294698696550737</v>
      </c>
      <c r="K53" s="6">
        <f>'Results ReCiPe (H) - CC'!I469</f>
        <v>0.46270876141012396</v>
      </c>
      <c r="L53" s="6">
        <f>'Results ReCiPe (H) - CC'!J469</f>
        <v>0.40488136435855665</v>
      </c>
      <c r="M53" s="4"/>
      <c r="R53" s="6"/>
    </row>
    <row r="54" spans="1:23" s="33" customFormat="1" outlineLevel="1" x14ac:dyDescent="0.35">
      <c r="A54" s="282"/>
      <c r="B54" s="282" t="s">
        <v>120</v>
      </c>
      <c r="C54" s="282" t="s">
        <v>821</v>
      </c>
      <c r="D54" s="6">
        <f>'Results ReCiPe (H) - CC'!B470</f>
        <v>8.9978083648384714E-3</v>
      </c>
      <c r="E54" s="6">
        <f>'Results ReCiPe (H) - CC'!C470</f>
        <v>8.3835998236248491E-3</v>
      </c>
      <c r="F54" s="6">
        <f>'Results ReCiPe (H) - CC'!D470</f>
        <v>7.8840150412988301E-3</v>
      </c>
      <c r="G54" s="6">
        <f>'Results ReCiPe (H) - CC'!E470</f>
        <v>8.9978083648384714E-3</v>
      </c>
      <c r="H54" s="6">
        <f>'Results ReCiPe (H) - CC'!F470</f>
        <v>8.3835998236248491E-3</v>
      </c>
      <c r="I54" s="6">
        <f>'Results ReCiPe (H) - CC'!G470</f>
        <v>7.8840150412988301E-3</v>
      </c>
      <c r="J54" s="6">
        <f>'Results ReCiPe (H) - CC'!H470</f>
        <v>8.9978083648384714E-3</v>
      </c>
      <c r="K54" s="6">
        <f>'Results ReCiPe (H) - CC'!I470</f>
        <v>8.3835998236248491E-3</v>
      </c>
      <c r="L54" s="6">
        <f>'Results ReCiPe (H) - CC'!J470</f>
        <v>7.8840150412988301E-3</v>
      </c>
      <c r="M54" s="4"/>
      <c r="R54" s="6"/>
    </row>
    <row r="55" spans="1:23" s="33" customFormat="1" outlineLevel="1" x14ac:dyDescent="0.35">
      <c r="A55" s="282"/>
      <c r="B55" s="282" t="s">
        <v>121</v>
      </c>
      <c r="C55" s="282" t="s">
        <v>821</v>
      </c>
      <c r="D55" s="6">
        <f>'Results ReCiPe (H) - CC'!B471</f>
        <v>4.201398547075331</v>
      </c>
      <c r="E55" s="6">
        <f>'Results ReCiPe (H) - CC'!C471</f>
        <v>3.5301952668074428</v>
      </c>
      <c r="F55" s="6">
        <f>'Results ReCiPe (H) - CC'!D471</f>
        <v>3.0325500058089316</v>
      </c>
      <c r="G55" s="6">
        <f>'Results ReCiPe (H) - CC'!E471</f>
        <v>4.201398547075331</v>
      </c>
      <c r="H55" s="6">
        <f>'Results ReCiPe (H) - CC'!F471</f>
        <v>3.5301952668074428</v>
      </c>
      <c r="I55" s="6">
        <f>'Results ReCiPe (H) - CC'!G471</f>
        <v>3.0325500058089316</v>
      </c>
      <c r="J55" s="6">
        <f>'Results ReCiPe (H) - CC'!H471</f>
        <v>8.402797094150662</v>
      </c>
      <c r="K55" s="6">
        <f>'Results ReCiPe (H) - CC'!I471</f>
        <v>7.0603905336148856</v>
      </c>
      <c r="L55" s="6">
        <f>'Results ReCiPe (H) - CC'!J471</f>
        <v>6.0651000116178633</v>
      </c>
      <c r="M55" s="4"/>
      <c r="R55" s="6"/>
    </row>
    <row r="56" spans="1:23" s="33" customFormat="1" outlineLevel="1" x14ac:dyDescent="0.35">
      <c r="A56" s="282"/>
      <c r="B56" s="282" t="s">
        <v>797</v>
      </c>
      <c r="C56" s="282" t="s">
        <v>821</v>
      </c>
      <c r="D56" s="6">
        <f>'Results ReCiPe (H) - CC'!B472</f>
        <v>0</v>
      </c>
      <c r="E56" s="6">
        <f>'Results ReCiPe (H) - CC'!C472</f>
        <v>0</v>
      </c>
      <c r="F56" s="6">
        <f>'Results ReCiPe (H) - CC'!D472</f>
        <v>0</v>
      </c>
      <c r="G56" s="6">
        <f>'Results ReCiPe (H) - CC'!E472</f>
        <v>0</v>
      </c>
      <c r="H56" s="6">
        <f>'Results ReCiPe (H) - CC'!F472</f>
        <v>0</v>
      </c>
      <c r="I56" s="6">
        <f>'Results ReCiPe (H) - CC'!G472</f>
        <v>0</v>
      </c>
      <c r="J56" s="6">
        <f>'Results ReCiPe (H) - CC'!H472</f>
        <v>90.318785932629567</v>
      </c>
      <c r="K56" s="6">
        <f>'Results ReCiPe (H) - CC'!I472</f>
        <v>82.290114568489102</v>
      </c>
      <c r="L56" s="6">
        <f>'Results ReCiPe (H) - CC'!J472</f>
        <v>54.968424837753538</v>
      </c>
      <c r="M56" s="4"/>
      <c r="R56" s="6"/>
    </row>
    <row r="57" spans="1:23" s="33" customFormat="1" outlineLevel="1" x14ac:dyDescent="0.35">
      <c r="A57" s="282"/>
      <c r="B57" s="282" t="s">
        <v>122</v>
      </c>
      <c r="C57" s="282" t="s">
        <v>821</v>
      </c>
      <c r="D57" s="6">
        <f>'Results ReCiPe (H) - CC'!B473</f>
        <v>575.06611068071641</v>
      </c>
      <c r="E57" s="6">
        <f>'Results ReCiPe (H) - CC'!C473</f>
        <v>123.28289086735381</v>
      </c>
      <c r="F57" s="6">
        <f>'Results ReCiPe (H) - CC'!D473</f>
        <v>-1.7017745936380504</v>
      </c>
      <c r="G57" s="6">
        <f>'Results ReCiPe (H) - CC'!E473</f>
        <v>443.48370274691973</v>
      </c>
      <c r="H57" s="6">
        <f>'Results ReCiPe (H) - CC'!F473</f>
        <v>96.772526359985974</v>
      </c>
      <c r="I57" s="6">
        <f>'Results ReCiPe (H) - CC'!G473</f>
        <v>0.25962057718256326</v>
      </c>
      <c r="J57" s="6">
        <f>'Results ReCiPe (H) - CC'!H473</f>
        <v>70.882385297689595</v>
      </c>
      <c r="K57" s="6">
        <f>'Results ReCiPe (H) - CC'!I473</f>
        <v>50.4086136689697</v>
      </c>
      <c r="L57" s="6">
        <f>'Results ReCiPe (H) - CC'!J473</f>
        <v>38.74344373594483</v>
      </c>
      <c r="M57" s="4"/>
      <c r="R57" s="6"/>
    </row>
    <row r="58" spans="1:23" s="33" customFormat="1" outlineLevel="1" x14ac:dyDescent="0.35">
      <c r="A58" s="282"/>
      <c r="B58" s="282" t="s">
        <v>123</v>
      </c>
      <c r="C58" s="282" t="s">
        <v>821</v>
      </c>
      <c r="D58" s="6">
        <f>'Results ReCiPe (H) - CC'!B474</f>
        <v>44.48175454947296</v>
      </c>
      <c r="E58" s="6">
        <f>'Results ReCiPe (H) - CC'!C474</f>
        <v>10.344861824112719</v>
      </c>
      <c r="F58" s="6">
        <f>'Results ReCiPe (H) - CC'!D474</f>
        <v>0.75686347530398235</v>
      </c>
      <c r="G58" s="6">
        <f>'Results ReCiPe (H) - CC'!E474</f>
        <v>44.48175454947296</v>
      </c>
      <c r="H58" s="6">
        <f>'Results ReCiPe (H) - CC'!F474</f>
        <v>10.344861824112719</v>
      </c>
      <c r="I58" s="6">
        <f>'Results ReCiPe (H) - CC'!G474</f>
        <v>0.75686347530398235</v>
      </c>
      <c r="J58" s="6">
        <f>'Results ReCiPe (H) - CC'!H474</f>
        <v>44.48175454947296</v>
      </c>
      <c r="K58" s="6">
        <f>'Results ReCiPe (H) - CC'!I474</f>
        <v>10.344861824112719</v>
      </c>
      <c r="L58" s="6">
        <f>'Results ReCiPe (H) - CC'!J474</f>
        <v>0.75686347530398235</v>
      </c>
      <c r="M58" s="4"/>
      <c r="R58" s="282"/>
    </row>
    <row r="59" spans="1:23" s="33" customFormat="1" outlineLevel="1" x14ac:dyDescent="0.35">
      <c r="A59" s="282"/>
      <c r="B59" s="282" t="s">
        <v>124</v>
      </c>
      <c r="C59" s="282" t="s">
        <v>821</v>
      </c>
      <c r="D59" s="6">
        <f>'Results ReCiPe (H) - CC'!B475</f>
        <v>-1000</v>
      </c>
      <c r="E59" s="6">
        <f>'Results ReCiPe (H) - CC'!C475</f>
        <v>-1000</v>
      </c>
      <c r="F59" s="6">
        <f>'Results ReCiPe (H) - CC'!D475</f>
        <v>-1000</v>
      </c>
      <c r="G59" s="6">
        <f>'Results ReCiPe (H) - CC'!E475</f>
        <v>-1000</v>
      </c>
      <c r="H59" s="6">
        <f>'Results ReCiPe (H) - CC'!F475</f>
        <v>-1000</v>
      </c>
      <c r="I59" s="6">
        <f>'Results ReCiPe (H) - CC'!G475</f>
        <v>-1000</v>
      </c>
      <c r="J59" s="6">
        <f>'Results ReCiPe (H) - CC'!H475</f>
        <v>-1000</v>
      </c>
      <c r="K59" s="6">
        <f>'Results ReCiPe (H) - CC'!I475</f>
        <v>-1000</v>
      </c>
      <c r="L59" s="6">
        <f>'Results ReCiPe (H) - CC'!J475</f>
        <v>-1000</v>
      </c>
      <c r="M59" s="4"/>
      <c r="R59" s="282"/>
    </row>
    <row r="60" spans="1:23" s="33" customFormat="1" outlineLevel="1" x14ac:dyDescent="0.35">
      <c r="A60" s="282"/>
      <c r="B60" s="282" t="s">
        <v>137</v>
      </c>
      <c r="C60" s="282" t="s">
        <v>821</v>
      </c>
      <c r="D60" s="6">
        <f>'Results ReCiPe (H) - CC'!B476</f>
        <v>-359.63392604322115</v>
      </c>
      <c r="E60" s="6">
        <f>'Results ReCiPe (H) - CC'!C476</f>
        <v>-847.44505104778398</v>
      </c>
      <c r="F60" s="6">
        <f>'Results ReCiPe (H) - CC'!D476</f>
        <v>-985.78211035370691</v>
      </c>
      <c r="G60" s="6">
        <f>'Results ReCiPe (H) - CC'!E476</f>
        <v>-491.21633397701771</v>
      </c>
      <c r="H60" s="6">
        <f>'Results ReCiPe (H) - CC'!F476</f>
        <v>-873.95541555515172</v>
      </c>
      <c r="I60" s="6">
        <f>'Results ReCiPe (H) - CC'!G476</f>
        <v>-983.82071518288637</v>
      </c>
      <c r="J60" s="6">
        <f>'Results ReCiPe (H) - CC'!H476</f>
        <v>-757.05881147837772</v>
      </c>
      <c r="K60" s="6">
        <f>'Results ReCiPe (H) - CC'!I476</f>
        <v>-823.39328085256852</v>
      </c>
      <c r="L60" s="6">
        <f>'Results ReCiPe (H) - CC'!J476</f>
        <v>-879.31338914441756</v>
      </c>
      <c r="M60" s="4"/>
      <c r="R60" s="282"/>
    </row>
    <row r="61" spans="1:23" s="33" customFormat="1" outlineLevel="1" x14ac:dyDescent="0.35">
      <c r="A61" s="282"/>
      <c r="B61" s="282"/>
      <c r="C61" s="282"/>
      <c r="D61" s="3"/>
      <c r="E61" s="3"/>
      <c r="F61" s="3"/>
      <c r="G61" s="3"/>
      <c r="H61" s="3"/>
      <c r="I61" s="3"/>
      <c r="J61" s="3"/>
      <c r="K61" s="3"/>
      <c r="L61" s="3"/>
      <c r="M61" s="4"/>
      <c r="R61" s="282"/>
    </row>
    <row r="62" spans="1:23" s="33" customFormat="1" outlineLevel="1" x14ac:dyDescent="0.35">
      <c r="A62" s="15" t="s">
        <v>569</v>
      </c>
      <c r="B62" s="30"/>
      <c r="C62" s="140" t="s">
        <v>180</v>
      </c>
      <c r="D62" s="6" t="s">
        <v>889</v>
      </c>
      <c r="E62" s="6" t="s">
        <v>891</v>
      </c>
      <c r="F62" s="6" t="s">
        <v>890</v>
      </c>
      <c r="G62" s="6" t="s">
        <v>892</v>
      </c>
      <c r="H62" s="6" t="s">
        <v>893</v>
      </c>
      <c r="I62" s="6" t="s">
        <v>894</v>
      </c>
      <c r="J62" s="6" t="s">
        <v>896</v>
      </c>
      <c r="K62" s="6" t="s">
        <v>897</v>
      </c>
      <c r="L62" s="6" t="s">
        <v>895</v>
      </c>
      <c r="M62" s="4"/>
      <c r="N62" s="282"/>
      <c r="O62" s="282"/>
      <c r="P62" s="282"/>
      <c r="R62" s="282"/>
    </row>
    <row r="63" spans="1:23" s="33" customFormat="1" outlineLevel="1" x14ac:dyDescent="0.35">
      <c r="A63" s="282"/>
      <c r="B63" s="282" t="s">
        <v>117</v>
      </c>
      <c r="C63" s="282" t="s">
        <v>821</v>
      </c>
      <c r="D63" s="6">
        <f t="shared" ref="D63:D68" si="6">D51</f>
        <v>15.33891633430572</v>
      </c>
      <c r="E63" s="6">
        <f t="shared" ref="E63:L68" si="7">E51</f>
        <v>14.228720723813575</v>
      </c>
      <c r="F63" s="6">
        <f t="shared" si="7"/>
        <v>11.10767980382567</v>
      </c>
      <c r="G63" s="6">
        <f t="shared" si="7"/>
        <v>15.33891633430572</v>
      </c>
      <c r="H63" s="6">
        <f t="shared" si="7"/>
        <v>14.228720723813575</v>
      </c>
      <c r="I63" s="6">
        <f t="shared" si="7"/>
        <v>11.10767980382567</v>
      </c>
      <c r="J63" s="6">
        <f t="shared" si="7"/>
        <v>27.30109830898834</v>
      </c>
      <c r="K63" s="6">
        <f t="shared" si="7"/>
        <v>25.103103901411338</v>
      </c>
      <c r="L63" s="6">
        <f t="shared" si="7"/>
        <v>18.927767157790178</v>
      </c>
      <c r="M63" s="4"/>
      <c r="N63" s="282"/>
      <c r="O63" s="282"/>
      <c r="P63" s="282"/>
      <c r="R63" s="282"/>
    </row>
    <row r="64" spans="1:23" s="33" customFormat="1" outlineLevel="1" x14ac:dyDescent="0.35">
      <c r="A64" s="282"/>
      <c r="B64" s="282" t="s">
        <v>118</v>
      </c>
      <c r="C64" s="282" t="s">
        <v>821</v>
      </c>
      <c r="D64" s="6">
        <f t="shared" si="6"/>
        <v>0.99242254336085489</v>
      </c>
      <c r="E64" s="6">
        <f t="shared" si="7"/>
        <v>0.92854228959986618</v>
      </c>
      <c r="F64" s="6">
        <f t="shared" si="7"/>
        <v>0.81224625777211612</v>
      </c>
      <c r="G64" s="6">
        <f t="shared" si="7"/>
        <v>0.99242254336085489</v>
      </c>
      <c r="H64" s="6">
        <f t="shared" si="7"/>
        <v>0.92854228959986618</v>
      </c>
      <c r="I64" s="6">
        <f t="shared" si="7"/>
        <v>0.81224625777211612</v>
      </c>
      <c r="J64" s="6">
        <f t="shared" si="7"/>
        <v>0.99242254336085489</v>
      </c>
      <c r="K64" s="6">
        <f t="shared" si="7"/>
        <v>0.92854228959986618</v>
      </c>
      <c r="L64" s="6">
        <f t="shared" si="7"/>
        <v>0.81224625777211612</v>
      </c>
      <c r="M64" s="4"/>
      <c r="N64" s="282"/>
      <c r="O64" s="282"/>
      <c r="P64" s="282"/>
      <c r="R64" s="282"/>
    </row>
    <row r="65" spans="1:18" s="33" customFormat="1" outlineLevel="1" x14ac:dyDescent="0.35">
      <c r="A65" s="282"/>
      <c r="B65" s="282" t="s">
        <v>119</v>
      </c>
      <c r="C65" s="282" t="s">
        <v>821</v>
      </c>
      <c r="D65" s="6">
        <f t="shared" si="6"/>
        <v>0.27647349348275368</v>
      </c>
      <c r="E65" s="6">
        <f t="shared" si="7"/>
        <v>0.23135438070506198</v>
      </c>
      <c r="F65" s="6">
        <f t="shared" si="7"/>
        <v>0.20244068217927833</v>
      </c>
      <c r="G65" s="6">
        <f t="shared" si="7"/>
        <v>0.27647349348275368</v>
      </c>
      <c r="H65" s="6">
        <f t="shared" si="7"/>
        <v>0.23135438070506198</v>
      </c>
      <c r="I65" s="6">
        <f t="shared" si="7"/>
        <v>0.20244068217927833</v>
      </c>
      <c r="J65" s="6">
        <f t="shared" si="7"/>
        <v>0.55294698696550737</v>
      </c>
      <c r="K65" s="6">
        <f t="shared" si="7"/>
        <v>0.46270876141012396</v>
      </c>
      <c r="L65" s="6">
        <f t="shared" si="7"/>
        <v>0.40488136435855665</v>
      </c>
      <c r="M65" s="4"/>
      <c r="N65" s="282"/>
      <c r="O65" s="282"/>
      <c r="P65" s="282"/>
      <c r="Q65" s="282"/>
      <c r="R65" s="282"/>
    </row>
    <row r="66" spans="1:18" s="33" customFormat="1" outlineLevel="1" x14ac:dyDescent="0.35">
      <c r="A66" s="282"/>
      <c r="B66" s="282" t="s">
        <v>120</v>
      </c>
      <c r="C66" s="282" t="s">
        <v>821</v>
      </c>
      <c r="D66" s="6">
        <f t="shared" si="6"/>
        <v>8.9978083648384714E-3</v>
      </c>
      <c r="E66" s="6">
        <f t="shared" si="7"/>
        <v>8.3835998236248491E-3</v>
      </c>
      <c r="F66" s="6">
        <f t="shared" si="7"/>
        <v>7.8840150412988301E-3</v>
      </c>
      <c r="G66" s="6">
        <f t="shared" si="7"/>
        <v>8.9978083648384714E-3</v>
      </c>
      <c r="H66" s="6">
        <f t="shared" si="7"/>
        <v>8.3835998236248491E-3</v>
      </c>
      <c r="I66" s="6">
        <f t="shared" si="7"/>
        <v>7.8840150412988301E-3</v>
      </c>
      <c r="J66" s="6">
        <f t="shared" si="7"/>
        <v>8.9978083648384714E-3</v>
      </c>
      <c r="K66" s="6">
        <f t="shared" si="7"/>
        <v>8.3835998236248491E-3</v>
      </c>
      <c r="L66" s="6">
        <f t="shared" si="7"/>
        <v>7.8840150412988301E-3</v>
      </c>
      <c r="M66" s="4"/>
      <c r="N66" s="282"/>
      <c r="O66" s="282"/>
      <c r="P66" s="282"/>
      <c r="Q66" s="282"/>
      <c r="R66" s="282"/>
    </row>
    <row r="67" spans="1:18" s="33" customFormat="1" outlineLevel="1" x14ac:dyDescent="0.35">
      <c r="A67" s="282"/>
      <c r="B67" s="282" t="s">
        <v>121</v>
      </c>
      <c r="C67" s="282" t="s">
        <v>821</v>
      </c>
      <c r="D67" s="6">
        <f t="shared" si="6"/>
        <v>4.201398547075331</v>
      </c>
      <c r="E67" s="6">
        <f t="shared" si="7"/>
        <v>3.5301952668074428</v>
      </c>
      <c r="F67" s="6">
        <f t="shared" si="7"/>
        <v>3.0325500058089316</v>
      </c>
      <c r="G67" s="6">
        <f t="shared" si="7"/>
        <v>4.201398547075331</v>
      </c>
      <c r="H67" s="6">
        <f t="shared" si="7"/>
        <v>3.5301952668074428</v>
      </c>
      <c r="I67" s="6">
        <f t="shared" si="7"/>
        <v>3.0325500058089316</v>
      </c>
      <c r="J67" s="6">
        <f t="shared" si="7"/>
        <v>8.402797094150662</v>
      </c>
      <c r="K67" s="6">
        <f t="shared" si="7"/>
        <v>7.0603905336148856</v>
      </c>
      <c r="L67" s="6">
        <f t="shared" si="7"/>
        <v>6.0651000116178633</v>
      </c>
      <c r="M67" s="4"/>
      <c r="N67" s="282"/>
      <c r="O67" s="282"/>
      <c r="P67" s="282"/>
      <c r="Q67" s="282"/>
      <c r="R67" s="282"/>
    </row>
    <row r="68" spans="1:18" s="33" customFormat="1" outlineLevel="1" x14ac:dyDescent="0.35">
      <c r="A68" s="282"/>
      <c r="B68" s="282" t="s">
        <v>797</v>
      </c>
      <c r="C68" s="282" t="s">
        <v>821</v>
      </c>
      <c r="D68" s="6">
        <f t="shared" si="6"/>
        <v>0</v>
      </c>
      <c r="E68" s="6">
        <f t="shared" si="7"/>
        <v>0</v>
      </c>
      <c r="F68" s="6">
        <f t="shared" si="7"/>
        <v>0</v>
      </c>
      <c r="G68" s="6">
        <f t="shared" si="7"/>
        <v>0</v>
      </c>
      <c r="H68" s="6">
        <f t="shared" si="7"/>
        <v>0</v>
      </c>
      <c r="I68" s="6">
        <f t="shared" si="7"/>
        <v>0</v>
      </c>
      <c r="J68" s="6">
        <f t="shared" si="7"/>
        <v>90.318785932629567</v>
      </c>
      <c r="K68" s="6">
        <f t="shared" si="7"/>
        <v>82.290114568489102</v>
      </c>
      <c r="L68" s="6">
        <f t="shared" si="7"/>
        <v>54.968424837753538</v>
      </c>
      <c r="M68" s="4"/>
      <c r="N68" s="282"/>
      <c r="O68" s="282"/>
      <c r="P68" s="282"/>
      <c r="Q68" s="282"/>
      <c r="R68" s="282"/>
    </row>
    <row r="69" spans="1:18" s="33" customFormat="1" outlineLevel="1" x14ac:dyDescent="0.35">
      <c r="A69" s="282"/>
      <c r="B69" s="282" t="s">
        <v>122</v>
      </c>
      <c r="C69" s="282" t="s">
        <v>821</v>
      </c>
      <c r="D69" s="6">
        <f>D57/150*100</f>
        <v>383.37740712047759</v>
      </c>
      <c r="E69" s="6">
        <f t="shared" ref="E69:L69" si="8">E57/150*100</f>
        <v>82.188593911569214</v>
      </c>
      <c r="F69" s="6">
        <f t="shared" si="8"/>
        <v>-1.1345163957587003</v>
      </c>
      <c r="G69" s="6">
        <f t="shared" si="8"/>
        <v>295.6558018312798</v>
      </c>
      <c r="H69" s="6">
        <f t="shared" si="8"/>
        <v>64.515017573323988</v>
      </c>
      <c r="I69" s="6">
        <f t="shared" si="8"/>
        <v>0.17308038478837551</v>
      </c>
      <c r="J69" s="6">
        <f t="shared" si="8"/>
        <v>47.254923531793061</v>
      </c>
      <c r="K69" s="6">
        <f t="shared" si="8"/>
        <v>33.6057424459798</v>
      </c>
      <c r="L69" s="6">
        <f t="shared" si="8"/>
        <v>25.828962490629888</v>
      </c>
      <c r="M69" s="4"/>
      <c r="N69" s="282"/>
      <c r="O69" s="282"/>
      <c r="P69" s="282"/>
      <c r="Q69" s="282"/>
      <c r="R69" s="282"/>
    </row>
    <row r="70" spans="1:18" s="33" customFormat="1" outlineLevel="1" x14ac:dyDescent="0.35">
      <c r="A70" s="282"/>
      <c r="B70" s="282" t="s">
        <v>123</v>
      </c>
      <c r="C70" s="282" t="s">
        <v>821</v>
      </c>
      <c r="D70" s="6">
        <f>D58</f>
        <v>44.48175454947296</v>
      </c>
      <c r="E70" s="6">
        <f t="shared" ref="E70:L71" si="9">E58</f>
        <v>10.344861824112719</v>
      </c>
      <c r="F70" s="6">
        <f t="shared" si="9"/>
        <v>0.75686347530398235</v>
      </c>
      <c r="G70" s="6">
        <f t="shared" si="9"/>
        <v>44.48175454947296</v>
      </c>
      <c r="H70" s="6">
        <f t="shared" si="9"/>
        <v>10.344861824112719</v>
      </c>
      <c r="I70" s="6">
        <f t="shared" si="9"/>
        <v>0.75686347530398235</v>
      </c>
      <c r="J70" s="6">
        <f t="shared" si="9"/>
        <v>44.48175454947296</v>
      </c>
      <c r="K70" s="6">
        <f t="shared" si="9"/>
        <v>10.344861824112719</v>
      </c>
      <c r="L70" s="6">
        <f t="shared" si="9"/>
        <v>0.75686347530398235</v>
      </c>
      <c r="M70" s="4"/>
      <c r="N70" s="282"/>
      <c r="O70" s="282"/>
      <c r="P70" s="282"/>
      <c r="Q70" s="282"/>
      <c r="R70" s="282"/>
    </row>
    <row r="71" spans="1:18" s="33" customFormat="1" outlineLevel="1" x14ac:dyDescent="0.35">
      <c r="A71" s="282"/>
      <c r="B71" s="282" t="s">
        <v>124</v>
      </c>
      <c r="C71" s="282" t="s">
        <v>821</v>
      </c>
      <c r="D71" s="6">
        <f>D59</f>
        <v>-1000</v>
      </c>
      <c r="E71" s="6">
        <f t="shared" si="9"/>
        <v>-1000</v>
      </c>
      <c r="F71" s="6">
        <f t="shared" si="9"/>
        <v>-1000</v>
      </c>
      <c r="G71" s="6">
        <f t="shared" si="9"/>
        <v>-1000</v>
      </c>
      <c r="H71" s="6">
        <f t="shared" si="9"/>
        <v>-1000</v>
      </c>
      <c r="I71" s="6">
        <f t="shared" si="9"/>
        <v>-1000</v>
      </c>
      <c r="J71" s="6">
        <f t="shared" si="9"/>
        <v>-1000</v>
      </c>
      <c r="K71" s="6">
        <f t="shared" si="9"/>
        <v>-1000</v>
      </c>
      <c r="L71" s="6">
        <f t="shared" si="9"/>
        <v>-1000</v>
      </c>
      <c r="M71" s="4"/>
      <c r="N71" s="282"/>
      <c r="O71" s="282"/>
      <c r="P71" s="282"/>
      <c r="Q71" s="282"/>
      <c r="R71" s="282"/>
    </row>
    <row r="72" spans="1:18" s="33" customFormat="1" outlineLevel="1" x14ac:dyDescent="0.35">
      <c r="A72" s="282"/>
      <c r="B72" s="282" t="s">
        <v>137</v>
      </c>
      <c r="C72" s="282" t="s">
        <v>821</v>
      </c>
      <c r="D72" s="6">
        <f>SUM(D63:D71)</f>
        <v>-551.32262960345997</v>
      </c>
      <c r="E72" s="6">
        <f t="shared" ref="E72:L72" si="10">SUM(E63:E71)</f>
        <v>-888.53934800356853</v>
      </c>
      <c r="F72" s="6">
        <f t="shared" si="10"/>
        <v>-985.21485215582743</v>
      </c>
      <c r="G72" s="6">
        <f t="shared" si="10"/>
        <v>-639.04423489265776</v>
      </c>
      <c r="H72" s="6">
        <f t="shared" si="10"/>
        <v>-906.21292434181373</v>
      </c>
      <c r="I72" s="6">
        <f t="shared" si="10"/>
        <v>-983.90725537528033</v>
      </c>
      <c r="J72" s="6">
        <f t="shared" si="10"/>
        <v>-780.68627324427416</v>
      </c>
      <c r="K72" s="6">
        <f t="shared" si="10"/>
        <v>-840.19615207555853</v>
      </c>
      <c r="L72" s="6">
        <f t="shared" si="10"/>
        <v>-892.22787038973252</v>
      </c>
      <c r="M72" s="4"/>
      <c r="N72" s="282"/>
      <c r="O72" s="282"/>
      <c r="P72" s="282"/>
      <c r="Q72" s="282"/>
      <c r="R72" s="282"/>
    </row>
    <row r="73" spans="1:18" s="33" customFormat="1" outlineLevel="1" x14ac:dyDescent="0.35">
      <c r="A73" s="282"/>
      <c r="B73" s="282"/>
      <c r="C73" s="282"/>
      <c r="D73" s="282"/>
      <c r="E73" s="282"/>
      <c r="F73" s="282"/>
      <c r="G73" s="282"/>
      <c r="H73" s="282"/>
      <c r="I73" s="282"/>
      <c r="J73" s="282"/>
      <c r="K73" s="282"/>
      <c r="L73" s="282"/>
      <c r="M73" s="4"/>
      <c r="N73" s="282"/>
      <c r="O73" s="282"/>
      <c r="P73" s="282"/>
      <c r="R73" s="282"/>
    </row>
    <row r="74" spans="1:18" s="33" customFormat="1" outlineLevel="1" x14ac:dyDescent="0.35">
      <c r="A74" s="15" t="s">
        <v>570</v>
      </c>
      <c r="B74" s="30"/>
      <c r="C74" s="140" t="s">
        <v>180</v>
      </c>
      <c r="D74" s="6" t="s">
        <v>889</v>
      </c>
      <c r="E74" s="6" t="s">
        <v>891</v>
      </c>
      <c r="F74" s="6" t="s">
        <v>890</v>
      </c>
      <c r="G74" s="6" t="s">
        <v>892</v>
      </c>
      <c r="H74" s="6" t="s">
        <v>893</v>
      </c>
      <c r="I74" s="6" t="s">
        <v>894</v>
      </c>
      <c r="J74" s="6" t="s">
        <v>896</v>
      </c>
      <c r="K74" s="6" t="s">
        <v>897</v>
      </c>
      <c r="L74" s="6" t="s">
        <v>895</v>
      </c>
      <c r="M74" s="4"/>
      <c r="N74" s="282"/>
      <c r="O74" s="282"/>
      <c r="P74" s="282"/>
      <c r="R74" s="282"/>
    </row>
    <row r="75" spans="1:18" s="33" customFormat="1" outlineLevel="1" x14ac:dyDescent="0.35">
      <c r="A75" s="282"/>
      <c r="B75" s="282" t="s">
        <v>117</v>
      </c>
      <c r="C75" s="282" t="s">
        <v>821</v>
      </c>
      <c r="D75" s="6">
        <f t="shared" ref="D75:D80" si="11">D51</f>
        <v>15.33891633430572</v>
      </c>
      <c r="E75" s="6">
        <f t="shared" ref="E75:L80" si="12">E51</f>
        <v>14.228720723813575</v>
      </c>
      <c r="F75" s="6">
        <f t="shared" si="12"/>
        <v>11.10767980382567</v>
      </c>
      <c r="G75" s="6">
        <f t="shared" si="12"/>
        <v>15.33891633430572</v>
      </c>
      <c r="H75" s="6">
        <f t="shared" si="12"/>
        <v>14.228720723813575</v>
      </c>
      <c r="I75" s="6">
        <f t="shared" si="12"/>
        <v>11.10767980382567</v>
      </c>
      <c r="J75" s="6">
        <f t="shared" si="12"/>
        <v>27.30109830898834</v>
      </c>
      <c r="K75" s="6">
        <f t="shared" si="12"/>
        <v>25.103103901411338</v>
      </c>
      <c r="L75" s="6">
        <f t="shared" si="12"/>
        <v>18.927767157790178</v>
      </c>
      <c r="M75" s="4"/>
      <c r="N75" s="282"/>
      <c r="O75" s="282"/>
      <c r="P75" s="282"/>
      <c r="R75" s="282"/>
    </row>
    <row r="76" spans="1:18" s="33" customFormat="1" outlineLevel="1" x14ac:dyDescent="0.35">
      <c r="A76" s="282"/>
      <c r="B76" s="282" t="s">
        <v>118</v>
      </c>
      <c r="C76" s="282" t="s">
        <v>821</v>
      </c>
      <c r="D76" s="6">
        <f t="shared" si="11"/>
        <v>0.99242254336085489</v>
      </c>
      <c r="E76" s="6">
        <f t="shared" si="12"/>
        <v>0.92854228959986618</v>
      </c>
      <c r="F76" s="6">
        <f t="shared" si="12"/>
        <v>0.81224625777211612</v>
      </c>
      <c r="G76" s="6">
        <f t="shared" si="12"/>
        <v>0.99242254336085489</v>
      </c>
      <c r="H76" s="6">
        <f t="shared" si="12"/>
        <v>0.92854228959986618</v>
      </c>
      <c r="I76" s="6">
        <f t="shared" si="12"/>
        <v>0.81224625777211612</v>
      </c>
      <c r="J76" s="6">
        <f t="shared" si="12"/>
        <v>0.99242254336085489</v>
      </c>
      <c r="K76" s="6">
        <f t="shared" si="12"/>
        <v>0.92854228959986618</v>
      </c>
      <c r="L76" s="6">
        <f t="shared" si="12"/>
        <v>0.81224625777211612</v>
      </c>
      <c r="M76" s="4"/>
      <c r="N76" s="282"/>
      <c r="O76" s="282"/>
      <c r="P76" s="282"/>
      <c r="R76" s="282"/>
    </row>
    <row r="77" spans="1:18" s="33" customFormat="1" outlineLevel="1" x14ac:dyDescent="0.35">
      <c r="A77" s="282"/>
      <c r="B77" s="282" t="s">
        <v>119</v>
      </c>
      <c r="C77" s="282" t="s">
        <v>821</v>
      </c>
      <c r="D77" s="6">
        <f t="shared" si="11"/>
        <v>0.27647349348275368</v>
      </c>
      <c r="E77" s="6">
        <f t="shared" si="12"/>
        <v>0.23135438070506198</v>
      </c>
      <c r="F77" s="6">
        <f t="shared" si="12"/>
        <v>0.20244068217927833</v>
      </c>
      <c r="G77" s="6">
        <f t="shared" si="12"/>
        <v>0.27647349348275368</v>
      </c>
      <c r="H77" s="6">
        <f t="shared" si="12"/>
        <v>0.23135438070506198</v>
      </c>
      <c r="I77" s="6">
        <f t="shared" si="12"/>
        <v>0.20244068217927833</v>
      </c>
      <c r="J77" s="6">
        <f t="shared" si="12"/>
        <v>0.55294698696550737</v>
      </c>
      <c r="K77" s="6">
        <f t="shared" si="12"/>
        <v>0.46270876141012396</v>
      </c>
      <c r="L77" s="6">
        <f t="shared" si="12"/>
        <v>0.40488136435855665</v>
      </c>
      <c r="M77" s="4"/>
      <c r="N77" s="282"/>
      <c r="O77" s="282"/>
      <c r="P77" s="282"/>
      <c r="Q77" s="282"/>
      <c r="R77" s="282"/>
    </row>
    <row r="78" spans="1:18" s="33" customFormat="1" outlineLevel="1" x14ac:dyDescent="0.35">
      <c r="A78" s="282"/>
      <c r="B78" s="282" t="s">
        <v>120</v>
      </c>
      <c r="C78" s="282" t="s">
        <v>821</v>
      </c>
      <c r="D78" s="6">
        <f t="shared" si="11"/>
        <v>8.9978083648384714E-3</v>
      </c>
      <c r="E78" s="6">
        <f t="shared" si="12"/>
        <v>8.3835998236248491E-3</v>
      </c>
      <c r="F78" s="6">
        <f t="shared" si="12"/>
        <v>7.8840150412988301E-3</v>
      </c>
      <c r="G78" s="6">
        <f t="shared" si="12"/>
        <v>8.9978083648384714E-3</v>
      </c>
      <c r="H78" s="6">
        <f t="shared" si="12"/>
        <v>8.3835998236248491E-3</v>
      </c>
      <c r="I78" s="6">
        <f t="shared" si="12"/>
        <v>7.8840150412988301E-3</v>
      </c>
      <c r="J78" s="6">
        <f t="shared" si="12"/>
        <v>8.9978083648384714E-3</v>
      </c>
      <c r="K78" s="6">
        <f t="shared" si="12"/>
        <v>8.3835998236248491E-3</v>
      </c>
      <c r="L78" s="6">
        <f t="shared" si="12"/>
        <v>7.8840150412988301E-3</v>
      </c>
      <c r="M78" s="4"/>
      <c r="N78" s="282"/>
      <c r="O78" s="282"/>
      <c r="P78" s="282"/>
      <c r="Q78" s="282"/>
      <c r="R78" s="282"/>
    </row>
    <row r="79" spans="1:18" s="33" customFormat="1" outlineLevel="1" x14ac:dyDescent="0.35">
      <c r="A79" s="282"/>
      <c r="B79" s="282" t="s">
        <v>121</v>
      </c>
      <c r="C79" s="282" t="s">
        <v>821</v>
      </c>
      <c r="D79" s="6">
        <f t="shared" si="11"/>
        <v>4.201398547075331</v>
      </c>
      <c r="E79" s="6">
        <f t="shared" si="12"/>
        <v>3.5301952668074428</v>
      </c>
      <c r="F79" s="6">
        <f t="shared" si="12"/>
        <v>3.0325500058089316</v>
      </c>
      <c r="G79" s="6">
        <f t="shared" si="12"/>
        <v>4.201398547075331</v>
      </c>
      <c r="H79" s="6">
        <f t="shared" si="12"/>
        <v>3.5301952668074428</v>
      </c>
      <c r="I79" s="6">
        <f t="shared" si="12"/>
        <v>3.0325500058089316</v>
      </c>
      <c r="J79" s="6">
        <f t="shared" si="12"/>
        <v>8.402797094150662</v>
      </c>
      <c r="K79" s="6">
        <f t="shared" si="12"/>
        <v>7.0603905336148856</v>
      </c>
      <c r="L79" s="6">
        <f t="shared" si="12"/>
        <v>6.0651000116178633</v>
      </c>
      <c r="M79" s="4"/>
      <c r="N79" s="282"/>
      <c r="O79" s="282"/>
      <c r="P79" s="282"/>
      <c r="Q79" s="282"/>
      <c r="R79" s="282"/>
    </row>
    <row r="80" spans="1:18" s="33" customFormat="1" outlineLevel="1" x14ac:dyDescent="0.35">
      <c r="A80" s="282"/>
      <c r="B80" s="282" t="s">
        <v>797</v>
      </c>
      <c r="C80" s="282" t="s">
        <v>821</v>
      </c>
      <c r="D80" s="6">
        <f t="shared" si="11"/>
        <v>0</v>
      </c>
      <c r="E80" s="6">
        <f t="shared" si="12"/>
        <v>0</v>
      </c>
      <c r="F80" s="6">
        <f t="shared" si="12"/>
        <v>0</v>
      </c>
      <c r="G80" s="6">
        <f t="shared" si="12"/>
        <v>0</v>
      </c>
      <c r="H80" s="6">
        <f t="shared" si="12"/>
        <v>0</v>
      </c>
      <c r="I80" s="6">
        <f t="shared" si="12"/>
        <v>0</v>
      </c>
      <c r="J80" s="6">
        <f t="shared" si="12"/>
        <v>90.318785932629567</v>
      </c>
      <c r="K80" s="6">
        <f t="shared" si="12"/>
        <v>82.290114568489102</v>
      </c>
      <c r="L80" s="6">
        <f t="shared" si="12"/>
        <v>54.968424837753538</v>
      </c>
      <c r="M80" s="4"/>
      <c r="N80" s="282"/>
      <c r="O80" s="282"/>
      <c r="P80" s="282"/>
      <c r="Q80" s="282"/>
      <c r="R80" s="282"/>
    </row>
    <row r="81" spans="1:24" s="33" customFormat="1" outlineLevel="1" x14ac:dyDescent="0.35">
      <c r="A81" s="282"/>
      <c r="B81" s="282" t="s">
        <v>122</v>
      </c>
      <c r="C81" s="282" t="s">
        <v>821</v>
      </c>
      <c r="D81" s="6">
        <f>D57/150*250</f>
        <v>958.44351780119393</v>
      </c>
      <c r="E81" s="6">
        <f t="shared" ref="E81:L81" si="13">E57/150*250</f>
        <v>205.47148477892301</v>
      </c>
      <c r="F81" s="6">
        <f t="shared" si="13"/>
        <v>-2.8362909893967507</v>
      </c>
      <c r="G81" s="6">
        <f t="shared" si="13"/>
        <v>739.13950457819953</v>
      </c>
      <c r="H81" s="6">
        <f t="shared" si="13"/>
        <v>161.28754393330996</v>
      </c>
      <c r="I81" s="6">
        <f t="shared" si="13"/>
        <v>0.43270096197093877</v>
      </c>
      <c r="J81" s="6">
        <f t="shared" si="13"/>
        <v>118.13730882948266</v>
      </c>
      <c r="K81" s="6">
        <f t="shared" si="13"/>
        <v>84.014356114949507</v>
      </c>
      <c r="L81" s="6">
        <f t="shared" si="13"/>
        <v>64.572406226574714</v>
      </c>
      <c r="M81" s="4"/>
      <c r="N81" s="282"/>
      <c r="O81" s="282"/>
      <c r="P81" s="282"/>
      <c r="Q81" s="282"/>
      <c r="R81" s="282"/>
    </row>
    <row r="82" spans="1:24" s="33" customFormat="1" outlineLevel="1" x14ac:dyDescent="0.35">
      <c r="A82" s="282"/>
      <c r="B82" s="282" t="s">
        <v>123</v>
      </c>
      <c r="C82" s="282" t="s">
        <v>821</v>
      </c>
      <c r="D82" s="6">
        <f>D58</f>
        <v>44.48175454947296</v>
      </c>
      <c r="E82" s="6">
        <f t="shared" ref="E82:L83" si="14">E58</f>
        <v>10.344861824112719</v>
      </c>
      <c r="F82" s="6">
        <f t="shared" si="14"/>
        <v>0.75686347530398235</v>
      </c>
      <c r="G82" s="6">
        <f t="shared" si="14"/>
        <v>44.48175454947296</v>
      </c>
      <c r="H82" s="6">
        <f t="shared" si="14"/>
        <v>10.344861824112719</v>
      </c>
      <c r="I82" s="6">
        <f t="shared" si="14"/>
        <v>0.75686347530398235</v>
      </c>
      <c r="J82" s="6">
        <f t="shared" si="14"/>
        <v>44.48175454947296</v>
      </c>
      <c r="K82" s="6">
        <f t="shared" si="14"/>
        <v>10.344861824112719</v>
      </c>
      <c r="L82" s="6">
        <f t="shared" si="14"/>
        <v>0.75686347530398235</v>
      </c>
      <c r="M82" s="4"/>
      <c r="N82" s="282"/>
      <c r="O82" s="282"/>
      <c r="P82" s="282"/>
      <c r="Q82" s="282"/>
      <c r="R82" s="282"/>
    </row>
    <row r="83" spans="1:24" s="33" customFormat="1" outlineLevel="1" x14ac:dyDescent="0.35">
      <c r="A83" s="282"/>
      <c r="B83" s="282" t="s">
        <v>124</v>
      </c>
      <c r="C83" s="282" t="s">
        <v>821</v>
      </c>
      <c r="D83" s="6">
        <f>D59</f>
        <v>-1000</v>
      </c>
      <c r="E83" s="6">
        <f t="shared" si="14"/>
        <v>-1000</v>
      </c>
      <c r="F83" s="6">
        <f t="shared" si="14"/>
        <v>-1000</v>
      </c>
      <c r="G83" s="6">
        <f t="shared" si="14"/>
        <v>-1000</v>
      </c>
      <c r="H83" s="6">
        <f t="shared" si="14"/>
        <v>-1000</v>
      </c>
      <c r="I83" s="6">
        <f t="shared" si="14"/>
        <v>-1000</v>
      </c>
      <c r="J83" s="6">
        <f t="shared" si="14"/>
        <v>-1000</v>
      </c>
      <c r="K83" s="6">
        <f t="shared" si="14"/>
        <v>-1000</v>
      </c>
      <c r="L83" s="6">
        <f t="shared" si="14"/>
        <v>-1000</v>
      </c>
      <c r="M83" s="4"/>
      <c r="N83" s="282"/>
      <c r="O83" s="34"/>
      <c r="P83" s="32"/>
      <c r="Q83" s="32"/>
      <c r="R83" s="32"/>
    </row>
    <row r="84" spans="1:24" s="33" customFormat="1" outlineLevel="1" x14ac:dyDescent="0.35">
      <c r="A84" s="282"/>
      <c r="B84" s="282" t="s">
        <v>137</v>
      </c>
      <c r="C84" s="282" t="s">
        <v>821</v>
      </c>
      <c r="D84" s="6">
        <f>SUM(D75:D83)</f>
        <v>23.743481077256433</v>
      </c>
      <c r="E84" s="6">
        <f t="shared" ref="E84:L84" si="15">SUM(E75:E83)</f>
        <v>-765.25645713621475</v>
      </c>
      <c r="F84" s="6">
        <f t="shared" si="15"/>
        <v>-986.91662674946542</v>
      </c>
      <c r="G84" s="6">
        <f t="shared" si="15"/>
        <v>-195.56053214573797</v>
      </c>
      <c r="H84" s="6">
        <f t="shared" si="15"/>
        <v>-809.4403979818278</v>
      </c>
      <c r="I84" s="6">
        <f t="shared" si="15"/>
        <v>-983.64763479809778</v>
      </c>
      <c r="J84" s="6">
        <f t="shared" si="15"/>
        <v>-709.80388794658461</v>
      </c>
      <c r="K84" s="6">
        <f t="shared" si="15"/>
        <v>-789.78753840658885</v>
      </c>
      <c r="L84" s="6">
        <f t="shared" si="15"/>
        <v>-853.48442665378775</v>
      </c>
      <c r="M84" s="4"/>
      <c r="N84" s="282"/>
      <c r="O84" s="282"/>
      <c r="P84" s="282"/>
      <c r="Q84" s="282"/>
      <c r="R84" s="282"/>
    </row>
    <row r="85" spans="1:24" s="33" customFormat="1" outlineLevel="1" x14ac:dyDescent="0.35">
      <c r="A85" s="282"/>
      <c r="B85" s="282"/>
      <c r="C85" s="282"/>
      <c r="D85" s="282"/>
      <c r="E85" s="282"/>
      <c r="F85" s="282"/>
      <c r="G85" s="282"/>
      <c r="H85" s="282"/>
      <c r="I85" s="282"/>
      <c r="J85" s="282"/>
      <c r="K85" s="282"/>
      <c r="L85" s="282"/>
      <c r="M85" s="4"/>
      <c r="N85" s="282"/>
      <c r="O85" s="282"/>
      <c r="P85" s="282"/>
      <c r="Q85" s="282"/>
      <c r="R85" s="282"/>
    </row>
    <row r="86" spans="1:24" s="33" customFormat="1" ht="15.5" x14ac:dyDescent="0.35">
      <c r="A86" s="51" t="s">
        <v>504</v>
      </c>
      <c r="B86" s="4"/>
      <c r="C86" s="4"/>
      <c r="D86" s="4"/>
      <c r="E86" s="4"/>
      <c r="F86" s="4"/>
      <c r="G86" s="4"/>
      <c r="H86" s="4"/>
      <c r="I86" s="4"/>
      <c r="J86" s="4"/>
      <c r="K86" s="4"/>
      <c r="L86" s="4"/>
      <c r="M86" s="4"/>
      <c r="N86" s="282"/>
      <c r="O86" s="282"/>
      <c r="P86" s="282"/>
      <c r="Q86" s="282"/>
      <c r="R86" s="282"/>
      <c r="S86" s="282"/>
      <c r="T86" s="282"/>
      <c r="U86" s="282"/>
      <c r="V86" s="282"/>
      <c r="W86" s="282"/>
      <c r="X86" s="282"/>
    </row>
    <row r="87" spans="1:24" outlineLevel="1" x14ac:dyDescent="0.35">
      <c r="A87" s="15" t="s">
        <v>164</v>
      </c>
      <c r="B87" s="30"/>
      <c r="C87" s="140" t="s">
        <v>180</v>
      </c>
      <c r="D87" s="6" t="s">
        <v>889</v>
      </c>
      <c r="E87" s="6" t="s">
        <v>891</v>
      </c>
      <c r="F87" s="6" t="s">
        <v>890</v>
      </c>
      <c r="G87" s="6" t="s">
        <v>892</v>
      </c>
      <c r="H87" s="6" t="s">
        <v>893</v>
      </c>
      <c r="I87" s="6" t="s">
        <v>894</v>
      </c>
      <c r="J87" s="6" t="s">
        <v>896</v>
      </c>
      <c r="K87" s="6" t="s">
        <v>897</v>
      </c>
      <c r="L87" s="6" t="s">
        <v>895</v>
      </c>
      <c r="M87" s="4"/>
    </row>
    <row r="88" spans="1:24" outlineLevel="1" x14ac:dyDescent="0.35">
      <c r="B88" s="282" t="s">
        <v>117</v>
      </c>
      <c r="C88" s="282" t="s">
        <v>863</v>
      </c>
      <c r="D88" s="6">
        <f>'Results ReCiPe (H) - CC'!B435</f>
        <v>38347.290835764303</v>
      </c>
      <c r="E88" s="6">
        <f>'Results ReCiPe (H) - CC'!C435</f>
        <v>35571.801809533943</v>
      </c>
      <c r="F88" s="6">
        <f>'Results ReCiPe (H) - CC'!D435</f>
        <v>27769.199509564176</v>
      </c>
      <c r="G88" s="6">
        <f>'Results ReCiPe (H) - CC'!E435</f>
        <v>38347.290835764303</v>
      </c>
      <c r="H88" s="6">
        <f>'Results ReCiPe (H) - CC'!F435</f>
        <v>35571.801809533943</v>
      </c>
      <c r="I88" s="6">
        <f>'Results ReCiPe (H) - CC'!G435</f>
        <v>27769.199509564176</v>
      </c>
      <c r="J88" s="6">
        <f>'Results ReCiPe (H) - CC'!H435</f>
        <v>34126.372886235426</v>
      </c>
      <c r="K88" s="6">
        <f>'Results ReCiPe (H) - CC'!I435</f>
        <v>31378.879876764171</v>
      </c>
      <c r="L88" s="6">
        <f>'Results ReCiPe (H) - CC'!J435</f>
        <v>23659.708947237723</v>
      </c>
      <c r="M88" s="4"/>
    </row>
    <row r="89" spans="1:24" outlineLevel="1" x14ac:dyDescent="0.35">
      <c r="B89" s="282" t="s">
        <v>118</v>
      </c>
      <c r="C89" s="282" t="s">
        <v>863</v>
      </c>
      <c r="D89" s="6">
        <f>'Results ReCiPe (H) - CC'!B436</f>
        <v>2481.0563584021374</v>
      </c>
      <c r="E89" s="6">
        <f>'Results ReCiPe (H) - CC'!C436</f>
        <v>2321.3557239996653</v>
      </c>
      <c r="F89" s="6">
        <f>'Results ReCiPe (H) - CC'!D436</f>
        <v>2030.6156444302903</v>
      </c>
      <c r="G89" s="6">
        <f>'Results ReCiPe (H) - CC'!E436</f>
        <v>2481.0563584021374</v>
      </c>
      <c r="H89" s="6">
        <f>'Results ReCiPe (H) - CC'!F436</f>
        <v>2321.3557239996653</v>
      </c>
      <c r="I89" s="6">
        <f>'Results ReCiPe (H) - CC'!G436</f>
        <v>2030.6156444302903</v>
      </c>
      <c r="J89" s="6">
        <f>'Results ReCiPe (H) - CC'!H436</f>
        <v>1240.5281792010687</v>
      </c>
      <c r="K89" s="6">
        <f>'Results ReCiPe (H) - CC'!I436</f>
        <v>1160.6778619998327</v>
      </c>
      <c r="L89" s="6">
        <f>'Results ReCiPe (H) - CC'!J436</f>
        <v>1015.3078222151452</v>
      </c>
      <c r="M89" s="4"/>
      <c r="Q89" s="32"/>
    </row>
    <row r="90" spans="1:24" outlineLevel="1" x14ac:dyDescent="0.35">
      <c r="B90" s="282" t="s">
        <v>119</v>
      </c>
      <c r="C90" s="282" t="s">
        <v>863</v>
      </c>
      <c r="D90" s="6">
        <f>'Results ReCiPe (H) - CC'!B437</f>
        <v>691.18373370688425</v>
      </c>
      <c r="E90" s="6">
        <f>'Results ReCiPe (H) - CC'!C437</f>
        <v>578.38595176265494</v>
      </c>
      <c r="F90" s="6">
        <f>'Results ReCiPe (H) - CC'!D437</f>
        <v>506.10170544819584</v>
      </c>
      <c r="G90" s="6">
        <f>'Results ReCiPe (H) - CC'!E437</f>
        <v>691.18373370688425</v>
      </c>
      <c r="H90" s="6">
        <f>'Results ReCiPe (H) - CC'!F437</f>
        <v>578.38595176265494</v>
      </c>
      <c r="I90" s="6">
        <f>'Results ReCiPe (H) - CC'!G437</f>
        <v>506.10170544819584</v>
      </c>
      <c r="J90" s="6">
        <f>'Results ReCiPe (H) - CC'!H437</f>
        <v>691.18373370688425</v>
      </c>
      <c r="K90" s="6">
        <f>'Results ReCiPe (H) - CC'!I437</f>
        <v>578.38595176265494</v>
      </c>
      <c r="L90" s="6">
        <f>'Results ReCiPe (H) - CC'!J437</f>
        <v>506.10170544819584</v>
      </c>
      <c r="M90" s="4"/>
      <c r="Q90" s="3"/>
    </row>
    <row r="91" spans="1:24" outlineLevel="1" x14ac:dyDescent="0.35">
      <c r="B91" s="282" t="s">
        <v>120</v>
      </c>
      <c r="C91" s="282" t="s">
        <v>863</v>
      </c>
      <c r="D91" s="6">
        <f>'Results ReCiPe (H) - CC'!B438</f>
        <v>22.494520912096178</v>
      </c>
      <c r="E91" s="6">
        <f>'Results ReCiPe (H) - CC'!C438</f>
        <v>20.958999559062121</v>
      </c>
      <c r="F91" s="6">
        <f>'Results ReCiPe (H) - CC'!D438</f>
        <v>19.710037603247073</v>
      </c>
      <c r="G91" s="6">
        <f>'Results ReCiPe (H) - CC'!E438</f>
        <v>22.494520912096178</v>
      </c>
      <c r="H91" s="6">
        <f>'Results ReCiPe (H) - CC'!F438</f>
        <v>20.958999559062121</v>
      </c>
      <c r="I91" s="6">
        <f>'Results ReCiPe (H) - CC'!G438</f>
        <v>19.710037603247073</v>
      </c>
      <c r="J91" s="6">
        <f>'Results ReCiPe (H) - CC'!H438</f>
        <v>11.247260456048089</v>
      </c>
      <c r="K91" s="6">
        <f>'Results ReCiPe (H) - CC'!I438</f>
        <v>10.479499779531061</v>
      </c>
      <c r="L91" s="6">
        <f>'Results ReCiPe (H) - CC'!J438</f>
        <v>9.8550188016235367</v>
      </c>
      <c r="M91" s="4"/>
      <c r="Q91" s="3"/>
    </row>
    <row r="92" spans="1:24" outlineLevel="1" x14ac:dyDescent="0.35">
      <c r="B92" s="282" t="s">
        <v>121</v>
      </c>
      <c r="C92" s="282" t="s">
        <v>863</v>
      </c>
      <c r="D92" s="6">
        <f>'Results ReCiPe (H) - CC'!B439</f>
        <v>10503.496367688327</v>
      </c>
      <c r="E92" s="6">
        <f>'Results ReCiPe (H) - CC'!C439</f>
        <v>8825.488167018606</v>
      </c>
      <c r="F92" s="6">
        <f>'Results ReCiPe (H) - CC'!D439</f>
        <v>7581.3750145223294</v>
      </c>
      <c r="G92" s="6">
        <f>'Results ReCiPe (H) - CC'!E439</f>
        <v>10503.496367688327</v>
      </c>
      <c r="H92" s="6">
        <f>'Results ReCiPe (H) - CC'!F439</f>
        <v>8825.488167018606</v>
      </c>
      <c r="I92" s="6">
        <f>'Results ReCiPe (H) - CC'!G439</f>
        <v>7581.3750145223294</v>
      </c>
      <c r="J92" s="6">
        <f>'Results ReCiPe (H) - CC'!H439</f>
        <v>10503.496367688327</v>
      </c>
      <c r="K92" s="6">
        <f>'Results ReCiPe (H) - CC'!I439</f>
        <v>8825.488167018606</v>
      </c>
      <c r="L92" s="6">
        <f>'Results ReCiPe (H) - CC'!J439</f>
        <v>7581.3750145223294</v>
      </c>
      <c r="M92" s="4"/>
      <c r="Q92" s="3"/>
    </row>
    <row r="93" spans="1:24" outlineLevel="1" x14ac:dyDescent="0.35">
      <c r="B93" s="282" t="s">
        <v>797</v>
      </c>
      <c r="C93" s="282" t="s">
        <v>863</v>
      </c>
      <c r="D93" s="6">
        <f>'Results ReCiPe (H) - CC'!B440</f>
        <v>0</v>
      </c>
      <c r="E93" s="6">
        <f>'Results ReCiPe (H) - CC'!C440</f>
        <v>0</v>
      </c>
      <c r="F93" s="6">
        <f>'Results ReCiPe (H) - CC'!D440</f>
        <v>0</v>
      </c>
      <c r="G93" s="6">
        <f>'Results ReCiPe (H) - CC'!E440</f>
        <v>0</v>
      </c>
      <c r="H93" s="6">
        <f>'Results ReCiPe (H) - CC'!F440</f>
        <v>0</v>
      </c>
      <c r="I93" s="6">
        <f>'Results ReCiPe (H) - CC'!G440</f>
        <v>0</v>
      </c>
      <c r="J93" s="6">
        <f>'Results ReCiPe (H) - CC'!H440</f>
        <v>112898.48241578696</v>
      </c>
      <c r="K93" s="6">
        <f>'Results ReCiPe (H) - CC'!I440</f>
        <v>102862.64321061136</v>
      </c>
      <c r="L93" s="6">
        <f>'Results ReCiPe (H) - CC'!J440</f>
        <v>68710.531047191922</v>
      </c>
      <c r="M93" s="4"/>
      <c r="Q93" s="3"/>
    </row>
    <row r="94" spans="1:24" outlineLevel="1" x14ac:dyDescent="0.35">
      <c r="B94" s="282" t="s">
        <v>122</v>
      </c>
      <c r="C94" s="282" t="s">
        <v>863</v>
      </c>
      <c r="D94" s="6">
        <f>'Results ReCiPe (H) - CC'!B441</f>
        <v>1437665.276701791</v>
      </c>
      <c r="E94" s="6">
        <f>'Results ReCiPe (H) - CC'!C441</f>
        <v>308207.22716838453</v>
      </c>
      <c r="F94" s="6">
        <f>'Results ReCiPe (H) - CC'!D441</f>
        <v>-4254.4364840951257</v>
      </c>
      <c r="G94" s="6">
        <f>'Results ReCiPe (H) - CC'!E441</f>
        <v>1108709.2568672993</v>
      </c>
      <c r="H94" s="6">
        <f>'Results ReCiPe (H) - CC'!F441</f>
        <v>241931.31589996492</v>
      </c>
      <c r="I94" s="6">
        <f>'Results ReCiPe (H) - CC'!G441</f>
        <v>649.05144295640821</v>
      </c>
      <c r="J94" s="6">
        <f>'Results ReCiPe (H) - CC'!H441</f>
        <v>88602.981622111998</v>
      </c>
      <c r="K94" s="6">
        <f>'Results ReCiPe (H) - CC'!I441</f>
        <v>63010.76708621213</v>
      </c>
      <c r="L94" s="6">
        <f>'Results ReCiPe (H) - CC'!J441</f>
        <v>48429.304669931036</v>
      </c>
      <c r="M94" s="4"/>
      <c r="Q94" s="3"/>
    </row>
    <row r="95" spans="1:24" outlineLevel="1" x14ac:dyDescent="0.35">
      <c r="B95" s="282" t="s">
        <v>123</v>
      </c>
      <c r="C95" s="282" t="s">
        <v>863</v>
      </c>
      <c r="D95" s="6">
        <f>'Results ReCiPe (H) - CC'!B442</f>
        <v>111204.38637368241</v>
      </c>
      <c r="E95" s="6">
        <f>'Results ReCiPe (H) - CC'!C442</f>
        <v>25862.154560281801</v>
      </c>
      <c r="F95" s="6">
        <f>'Results ReCiPe (H) - CC'!D442</f>
        <v>1892.1586882599561</v>
      </c>
      <c r="G95" s="6">
        <f>'Results ReCiPe (H) - CC'!E442</f>
        <v>111204.38637368241</v>
      </c>
      <c r="H95" s="6">
        <f>'Results ReCiPe (H) - CC'!F442</f>
        <v>25862.154560281801</v>
      </c>
      <c r="I95" s="6">
        <f>'Results ReCiPe (H) - CC'!G442</f>
        <v>1892.1586882599561</v>
      </c>
      <c r="J95" s="6">
        <f>'Results ReCiPe (H) - CC'!H442</f>
        <v>55602.193186841207</v>
      </c>
      <c r="K95" s="6">
        <f>'Results ReCiPe (H) - CC'!I442</f>
        <v>12931.0772801409</v>
      </c>
      <c r="L95" s="6">
        <f>'Results ReCiPe (H) - CC'!J442</f>
        <v>946.07934412997804</v>
      </c>
      <c r="M95" s="4"/>
      <c r="Q95" s="3"/>
    </row>
    <row r="96" spans="1:24" outlineLevel="1" x14ac:dyDescent="0.35">
      <c r="B96" s="282" t="s">
        <v>124</v>
      </c>
      <c r="C96" s="282" t="s">
        <v>863</v>
      </c>
      <c r="D96" s="6">
        <f>'Results ReCiPe (H) - CC'!B443</f>
        <v>-2500000</v>
      </c>
      <c r="E96" s="6">
        <f>'Results ReCiPe (H) - CC'!C443</f>
        <v>-2500000</v>
      </c>
      <c r="F96" s="6">
        <f>'Results ReCiPe (H) - CC'!D443</f>
        <v>-2500000</v>
      </c>
      <c r="G96" s="6">
        <f>'Results ReCiPe (H) - CC'!E443</f>
        <v>-2500000</v>
      </c>
      <c r="H96" s="6">
        <f>'Results ReCiPe (H) - CC'!F443</f>
        <v>-2500000</v>
      </c>
      <c r="I96" s="6">
        <f>'Results ReCiPe (H) - CC'!G443</f>
        <v>-2500000</v>
      </c>
      <c r="J96" s="6">
        <f>'Results ReCiPe (H) - CC'!H443</f>
        <v>-1250000</v>
      </c>
      <c r="K96" s="6">
        <f>'Results ReCiPe (H) - CC'!I443</f>
        <v>-1250000</v>
      </c>
      <c r="L96" s="6">
        <f>'Results ReCiPe (H) - CC'!J443</f>
        <v>-1250000</v>
      </c>
      <c r="M96" s="4"/>
    </row>
    <row r="97" spans="1:13" outlineLevel="1" x14ac:dyDescent="0.35">
      <c r="B97" s="282" t="s">
        <v>137</v>
      </c>
      <c r="C97" s="282" t="s">
        <v>863</v>
      </c>
      <c r="D97" s="6">
        <f>'Results ReCiPe (H) - CC'!B444</f>
        <v>-899084.8151080528</v>
      </c>
      <c r="E97" s="6">
        <f>'Results ReCiPe (H) - CC'!C444</f>
        <v>-2118612.6276194598</v>
      </c>
      <c r="F97" s="6">
        <f>'Results ReCiPe (H) - CC'!D444</f>
        <v>-2464455.2758842674</v>
      </c>
      <c r="G97" s="6">
        <f>'Results ReCiPe (H) - CC'!E444</f>
        <v>-1228040.8349425443</v>
      </c>
      <c r="H97" s="6">
        <f>'Results ReCiPe (H) - CC'!F444</f>
        <v>-2184888.5388878793</v>
      </c>
      <c r="I97" s="6">
        <f>'Results ReCiPe (H) - CC'!G444</f>
        <v>-2459551.7879572157</v>
      </c>
      <c r="J97" s="6">
        <f>'Results ReCiPe (H) - CC'!H444</f>
        <v>-946323.51434797212</v>
      </c>
      <c r="K97" s="6">
        <f>'Results ReCiPe (H) - CC'!I444</f>
        <v>-1029241.6010657108</v>
      </c>
      <c r="L97" s="6">
        <f>'Results ReCiPe (H) - CC'!J444</f>
        <v>-1099141.7364305221</v>
      </c>
      <c r="M97" s="4"/>
    </row>
    <row r="98" spans="1:13" outlineLevel="1" x14ac:dyDescent="0.35">
      <c r="M98" s="4"/>
    </row>
    <row r="99" spans="1:13" outlineLevel="1" x14ac:dyDescent="0.35">
      <c r="A99" s="15" t="s">
        <v>507</v>
      </c>
      <c r="B99" s="30"/>
      <c r="C99" s="140" t="s">
        <v>180</v>
      </c>
      <c r="D99" s="6" t="s">
        <v>889</v>
      </c>
      <c r="E99" s="6" t="s">
        <v>891</v>
      </c>
      <c r="F99" s="6" t="s">
        <v>890</v>
      </c>
      <c r="G99" s="6" t="s">
        <v>892</v>
      </c>
      <c r="H99" s="6" t="s">
        <v>893</v>
      </c>
      <c r="I99" s="6" t="s">
        <v>894</v>
      </c>
      <c r="J99" s="6" t="s">
        <v>896</v>
      </c>
      <c r="K99" s="6" t="s">
        <v>897</v>
      </c>
      <c r="L99" s="6" t="s">
        <v>895</v>
      </c>
      <c r="M99" s="4"/>
    </row>
    <row r="100" spans="1:13" outlineLevel="1" x14ac:dyDescent="0.35">
      <c r="A100" s="141" t="s">
        <v>508</v>
      </c>
      <c r="B100" s="282" t="s">
        <v>117</v>
      </c>
      <c r="C100" s="282" t="s">
        <v>864</v>
      </c>
      <c r="D100" s="6">
        <f>D88/25</f>
        <v>1533.891633430572</v>
      </c>
      <c r="E100" s="6">
        <f t="shared" ref="E100:L100" si="16">E88/25</f>
        <v>1422.8720723813576</v>
      </c>
      <c r="F100" s="6">
        <f t="shared" si="16"/>
        <v>1110.767980382567</v>
      </c>
      <c r="G100" s="6">
        <f t="shared" si="16"/>
        <v>1533.891633430572</v>
      </c>
      <c r="H100" s="6">
        <f t="shared" si="16"/>
        <v>1422.8720723813576</v>
      </c>
      <c r="I100" s="6">
        <f t="shared" si="16"/>
        <v>1110.767980382567</v>
      </c>
      <c r="J100" s="6">
        <f t="shared" si="16"/>
        <v>1365.054915449417</v>
      </c>
      <c r="K100" s="6">
        <f t="shared" si="16"/>
        <v>1255.1551950705668</v>
      </c>
      <c r="L100" s="6">
        <f t="shared" si="16"/>
        <v>946.38835788950894</v>
      </c>
      <c r="M100" s="4"/>
    </row>
    <row r="101" spans="1:13" outlineLevel="1" x14ac:dyDescent="0.35">
      <c r="B101" s="282" t="s">
        <v>118</v>
      </c>
      <c r="C101" s="282" t="s">
        <v>864</v>
      </c>
      <c r="D101" s="6">
        <f t="shared" ref="D101:L108" si="17">D89/25</f>
        <v>99.242254336085495</v>
      </c>
      <c r="E101" s="6">
        <f t="shared" si="17"/>
        <v>92.854228959986614</v>
      </c>
      <c r="F101" s="6">
        <f t="shared" si="17"/>
        <v>81.224625777211614</v>
      </c>
      <c r="G101" s="6">
        <f t="shared" si="17"/>
        <v>99.242254336085495</v>
      </c>
      <c r="H101" s="6">
        <f t="shared" si="17"/>
        <v>92.854228959986614</v>
      </c>
      <c r="I101" s="6">
        <f t="shared" si="17"/>
        <v>81.224625777211614</v>
      </c>
      <c r="J101" s="6">
        <f t="shared" si="17"/>
        <v>49.621127168042747</v>
      </c>
      <c r="K101" s="6">
        <f t="shared" si="17"/>
        <v>46.427114479993307</v>
      </c>
      <c r="L101" s="6">
        <f t="shared" si="17"/>
        <v>40.612312888605807</v>
      </c>
      <c r="M101" s="4"/>
    </row>
    <row r="102" spans="1:13" outlineLevel="1" x14ac:dyDescent="0.35">
      <c r="B102" s="282" t="s">
        <v>119</v>
      </c>
      <c r="C102" s="282" t="s">
        <v>864</v>
      </c>
      <c r="D102" s="6">
        <f t="shared" si="17"/>
        <v>27.64734934827537</v>
      </c>
      <c r="E102" s="6">
        <f t="shared" si="17"/>
        <v>23.135438070506197</v>
      </c>
      <c r="F102" s="6">
        <f t="shared" si="17"/>
        <v>20.244068217927833</v>
      </c>
      <c r="G102" s="6">
        <f t="shared" si="17"/>
        <v>27.64734934827537</v>
      </c>
      <c r="H102" s="6">
        <f t="shared" si="17"/>
        <v>23.135438070506197</v>
      </c>
      <c r="I102" s="6">
        <f t="shared" si="17"/>
        <v>20.244068217927833</v>
      </c>
      <c r="J102" s="6">
        <f t="shared" si="17"/>
        <v>27.64734934827537</v>
      </c>
      <c r="K102" s="6">
        <f t="shared" si="17"/>
        <v>23.135438070506197</v>
      </c>
      <c r="L102" s="6">
        <f t="shared" si="17"/>
        <v>20.244068217927833</v>
      </c>
      <c r="M102" s="4"/>
    </row>
    <row r="103" spans="1:13" outlineLevel="1" x14ac:dyDescent="0.35">
      <c r="B103" s="282" t="s">
        <v>120</v>
      </c>
      <c r="C103" s="282" t="s">
        <v>864</v>
      </c>
      <c r="D103" s="6">
        <f t="shared" si="17"/>
        <v>0.8997808364838471</v>
      </c>
      <c r="E103" s="6">
        <f t="shared" si="17"/>
        <v>0.83835998236248488</v>
      </c>
      <c r="F103" s="6">
        <f t="shared" si="17"/>
        <v>0.78840150412988297</v>
      </c>
      <c r="G103" s="6">
        <f t="shared" si="17"/>
        <v>0.8997808364838471</v>
      </c>
      <c r="H103" s="6">
        <f t="shared" si="17"/>
        <v>0.83835998236248488</v>
      </c>
      <c r="I103" s="6">
        <f t="shared" si="17"/>
        <v>0.78840150412988297</v>
      </c>
      <c r="J103" s="6">
        <f t="shared" si="17"/>
        <v>0.44989041824192355</v>
      </c>
      <c r="K103" s="6">
        <f t="shared" si="17"/>
        <v>0.41917999118124244</v>
      </c>
      <c r="L103" s="6">
        <f t="shared" si="17"/>
        <v>0.39420075206494148</v>
      </c>
      <c r="M103" s="4"/>
    </row>
    <row r="104" spans="1:13" outlineLevel="1" x14ac:dyDescent="0.35">
      <c r="B104" s="282" t="s">
        <v>121</v>
      </c>
      <c r="C104" s="282" t="s">
        <v>864</v>
      </c>
      <c r="D104" s="6">
        <f t="shared" si="17"/>
        <v>420.13985470753306</v>
      </c>
      <c r="E104" s="6">
        <f t="shared" si="17"/>
        <v>353.01952668074426</v>
      </c>
      <c r="F104" s="6">
        <f t="shared" si="17"/>
        <v>303.25500058089318</v>
      </c>
      <c r="G104" s="6">
        <f t="shared" si="17"/>
        <v>420.13985470753306</v>
      </c>
      <c r="H104" s="6">
        <f t="shared" si="17"/>
        <v>353.01952668074426</v>
      </c>
      <c r="I104" s="6">
        <f t="shared" si="17"/>
        <v>303.25500058089318</v>
      </c>
      <c r="J104" s="6">
        <f t="shared" si="17"/>
        <v>420.13985470753306</v>
      </c>
      <c r="K104" s="6">
        <f t="shared" si="17"/>
        <v>353.01952668074426</v>
      </c>
      <c r="L104" s="6">
        <f t="shared" si="17"/>
        <v>303.25500058089318</v>
      </c>
      <c r="M104" s="4"/>
    </row>
    <row r="105" spans="1:13" outlineLevel="1" x14ac:dyDescent="0.35">
      <c r="B105" s="282" t="s">
        <v>797</v>
      </c>
      <c r="C105" s="282" t="s">
        <v>864</v>
      </c>
      <c r="D105" s="6">
        <f t="shared" si="17"/>
        <v>0</v>
      </c>
      <c r="E105" s="6">
        <f t="shared" si="17"/>
        <v>0</v>
      </c>
      <c r="F105" s="6">
        <f t="shared" si="17"/>
        <v>0</v>
      </c>
      <c r="G105" s="6">
        <f t="shared" si="17"/>
        <v>0</v>
      </c>
      <c r="H105" s="6">
        <f t="shared" si="17"/>
        <v>0</v>
      </c>
      <c r="I105" s="6">
        <f t="shared" si="17"/>
        <v>0</v>
      </c>
      <c r="J105" s="6">
        <f t="shared" si="17"/>
        <v>4515.9392966314781</v>
      </c>
      <c r="K105" s="6">
        <f t="shared" si="17"/>
        <v>4114.5057284244549</v>
      </c>
      <c r="L105" s="6">
        <f t="shared" si="17"/>
        <v>2748.4212418876768</v>
      </c>
      <c r="M105" s="4"/>
    </row>
    <row r="106" spans="1:13" outlineLevel="1" x14ac:dyDescent="0.35">
      <c r="B106" s="282" t="s">
        <v>122</v>
      </c>
      <c r="C106" s="282" t="s">
        <v>864</v>
      </c>
      <c r="D106" s="6">
        <f t="shared" si="17"/>
        <v>57506.611068071637</v>
      </c>
      <c r="E106" s="6">
        <f t="shared" si="17"/>
        <v>12328.289086735382</v>
      </c>
      <c r="F106" s="6">
        <f t="shared" si="17"/>
        <v>-170.17745936380504</v>
      </c>
      <c r="G106" s="6">
        <f t="shared" si="17"/>
        <v>44348.370274691973</v>
      </c>
      <c r="H106" s="6">
        <f t="shared" si="17"/>
        <v>9677.2526359985968</v>
      </c>
      <c r="I106" s="6">
        <f t="shared" si="17"/>
        <v>25.962057718256329</v>
      </c>
      <c r="J106" s="6">
        <f t="shared" si="17"/>
        <v>3544.1192648844799</v>
      </c>
      <c r="K106" s="6">
        <f t="shared" si="17"/>
        <v>2520.4306834484851</v>
      </c>
      <c r="L106" s="6">
        <f t="shared" si="17"/>
        <v>1937.1721867972415</v>
      </c>
      <c r="M106" s="4"/>
    </row>
    <row r="107" spans="1:13" outlineLevel="1" x14ac:dyDescent="0.35">
      <c r="B107" s="282" t="s">
        <v>123</v>
      </c>
      <c r="C107" s="282" t="s">
        <v>864</v>
      </c>
      <c r="D107" s="6">
        <f t="shared" si="17"/>
        <v>4448.1754549472962</v>
      </c>
      <c r="E107" s="6">
        <f t="shared" si="17"/>
        <v>1034.486182411272</v>
      </c>
      <c r="F107" s="6">
        <f t="shared" si="17"/>
        <v>75.686347530398237</v>
      </c>
      <c r="G107" s="6">
        <f t="shared" si="17"/>
        <v>4448.1754549472962</v>
      </c>
      <c r="H107" s="6">
        <f t="shared" si="17"/>
        <v>1034.486182411272</v>
      </c>
      <c r="I107" s="6">
        <f t="shared" si="17"/>
        <v>75.686347530398237</v>
      </c>
      <c r="J107" s="6">
        <f t="shared" si="17"/>
        <v>2224.0877274736481</v>
      </c>
      <c r="K107" s="6">
        <f t="shared" si="17"/>
        <v>517.24309120563601</v>
      </c>
      <c r="L107" s="6">
        <f t="shared" si="17"/>
        <v>37.843173765199118</v>
      </c>
      <c r="M107" s="4"/>
    </row>
    <row r="108" spans="1:13" outlineLevel="1" x14ac:dyDescent="0.35">
      <c r="B108" s="282" t="s">
        <v>124</v>
      </c>
      <c r="C108" s="282" t="s">
        <v>864</v>
      </c>
      <c r="D108" s="6">
        <f t="shared" si="17"/>
        <v>-100000</v>
      </c>
      <c r="E108" s="6">
        <f t="shared" si="17"/>
        <v>-100000</v>
      </c>
      <c r="F108" s="6">
        <f t="shared" si="17"/>
        <v>-100000</v>
      </c>
      <c r="G108" s="6">
        <f t="shared" si="17"/>
        <v>-100000</v>
      </c>
      <c r="H108" s="6">
        <f t="shared" si="17"/>
        <v>-100000</v>
      </c>
      <c r="I108" s="6">
        <f t="shared" si="17"/>
        <v>-100000</v>
      </c>
      <c r="J108" s="6">
        <f t="shared" si="17"/>
        <v>-50000</v>
      </c>
      <c r="K108" s="6">
        <f t="shared" si="17"/>
        <v>-50000</v>
      </c>
      <c r="L108" s="6">
        <f t="shared" si="17"/>
        <v>-50000</v>
      </c>
      <c r="M108" s="4"/>
    </row>
    <row r="109" spans="1:13" outlineLevel="1" x14ac:dyDescent="0.35">
      <c r="B109" s="282" t="s">
        <v>137</v>
      </c>
      <c r="C109" s="282" t="s">
        <v>864</v>
      </c>
      <c r="D109" s="6">
        <f>SUM(D100:D108)</f>
        <v>-35963.392604322114</v>
      </c>
      <c r="E109" s="6">
        <f t="shared" ref="E109:L109" si="18">SUM(E100:E108)</f>
        <v>-84744.505104778393</v>
      </c>
      <c r="F109" s="6">
        <f t="shared" si="18"/>
        <v>-98578.211035370681</v>
      </c>
      <c r="G109" s="6">
        <f t="shared" si="18"/>
        <v>-49121.633397701778</v>
      </c>
      <c r="H109" s="6">
        <f t="shared" si="18"/>
        <v>-87395.54155551517</v>
      </c>
      <c r="I109" s="6">
        <f t="shared" si="18"/>
        <v>-98382.07151828862</v>
      </c>
      <c r="J109" s="6">
        <f t="shared" si="18"/>
        <v>-37852.940573918881</v>
      </c>
      <c r="K109" s="6">
        <f t="shared" si="18"/>
        <v>-41169.664042628436</v>
      </c>
      <c r="L109" s="6">
        <f t="shared" si="18"/>
        <v>-43965.66945722088</v>
      </c>
      <c r="M109" s="4"/>
    </row>
    <row r="110" spans="1:13" outlineLevel="1" x14ac:dyDescent="0.35">
      <c r="M110" s="4"/>
    </row>
    <row r="111" spans="1:13" outlineLevel="1" x14ac:dyDescent="0.35">
      <c r="A111" s="15" t="s">
        <v>509</v>
      </c>
      <c r="B111" s="30"/>
      <c r="C111" s="140" t="s">
        <v>180</v>
      </c>
      <c r="D111" s="6" t="s">
        <v>889</v>
      </c>
      <c r="E111" s="6" t="s">
        <v>891</v>
      </c>
      <c r="F111" s="6" t="s">
        <v>890</v>
      </c>
      <c r="G111" s="6" t="s">
        <v>892</v>
      </c>
      <c r="H111" s="6" t="s">
        <v>893</v>
      </c>
      <c r="I111" s="6" t="s">
        <v>894</v>
      </c>
      <c r="J111" s="6" t="s">
        <v>896</v>
      </c>
      <c r="K111" s="6" t="s">
        <v>897</v>
      </c>
      <c r="L111" s="6" t="s">
        <v>895</v>
      </c>
      <c r="M111" s="4"/>
    </row>
    <row r="112" spans="1:13" outlineLevel="1" x14ac:dyDescent="0.35">
      <c r="B112" s="282" t="s">
        <v>117</v>
      </c>
      <c r="C112" s="282" t="s">
        <v>821</v>
      </c>
      <c r="D112" s="6">
        <f t="shared" ref="D112:I112" si="19">D100/100</f>
        <v>15.33891633430572</v>
      </c>
      <c r="E112" s="6">
        <f t="shared" si="19"/>
        <v>14.228720723813575</v>
      </c>
      <c r="F112" s="6">
        <f t="shared" si="19"/>
        <v>11.10767980382567</v>
      </c>
      <c r="G112" s="6">
        <f t="shared" si="19"/>
        <v>15.33891633430572</v>
      </c>
      <c r="H112" s="6">
        <f t="shared" si="19"/>
        <v>14.228720723813575</v>
      </c>
      <c r="I112" s="6">
        <f t="shared" si="19"/>
        <v>11.10767980382567</v>
      </c>
      <c r="J112" s="6">
        <f>J100/50</f>
        <v>27.30109830898834</v>
      </c>
      <c r="K112" s="6">
        <f>K100/50</f>
        <v>25.103103901411338</v>
      </c>
      <c r="L112" s="6">
        <f>L100/50</f>
        <v>18.927767157790178</v>
      </c>
      <c r="M112" s="4"/>
    </row>
    <row r="113" spans="1:13" outlineLevel="1" x14ac:dyDescent="0.35">
      <c r="B113" s="282" t="s">
        <v>118</v>
      </c>
      <c r="C113" s="282" t="s">
        <v>821</v>
      </c>
      <c r="D113" s="6">
        <f t="shared" ref="D113:I120" si="20">D101/100</f>
        <v>0.99242254336085489</v>
      </c>
      <c r="E113" s="6">
        <f t="shared" si="20"/>
        <v>0.92854228959986618</v>
      </c>
      <c r="F113" s="6">
        <f t="shared" si="20"/>
        <v>0.81224625777211612</v>
      </c>
      <c r="G113" s="6">
        <f t="shared" si="20"/>
        <v>0.99242254336085489</v>
      </c>
      <c r="H113" s="6">
        <f t="shared" si="20"/>
        <v>0.92854228959986618</v>
      </c>
      <c r="I113" s="6">
        <f t="shared" si="20"/>
        <v>0.81224625777211612</v>
      </c>
      <c r="J113" s="6">
        <f t="shared" ref="J113:L120" si="21">J101/50</f>
        <v>0.99242254336085489</v>
      </c>
      <c r="K113" s="6">
        <f t="shared" si="21"/>
        <v>0.92854228959986618</v>
      </c>
      <c r="L113" s="6">
        <f t="shared" si="21"/>
        <v>0.81224625777211612</v>
      </c>
      <c r="M113" s="4"/>
    </row>
    <row r="114" spans="1:13" outlineLevel="1" x14ac:dyDescent="0.35">
      <c r="B114" s="282" t="s">
        <v>119</v>
      </c>
      <c r="C114" s="282" t="s">
        <v>821</v>
      </c>
      <c r="D114" s="6">
        <f t="shared" si="20"/>
        <v>0.27647349348275368</v>
      </c>
      <c r="E114" s="6">
        <f t="shared" si="20"/>
        <v>0.23135438070506198</v>
      </c>
      <c r="F114" s="6">
        <f t="shared" si="20"/>
        <v>0.20244068217927833</v>
      </c>
      <c r="G114" s="6">
        <f t="shared" si="20"/>
        <v>0.27647349348275368</v>
      </c>
      <c r="H114" s="6">
        <f t="shared" si="20"/>
        <v>0.23135438070506198</v>
      </c>
      <c r="I114" s="6">
        <f t="shared" si="20"/>
        <v>0.20244068217927833</v>
      </c>
      <c r="J114" s="6">
        <f t="shared" si="21"/>
        <v>0.55294698696550737</v>
      </c>
      <c r="K114" s="6">
        <f t="shared" si="21"/>
        <v>0.46270876141012396</v>
      </c>
      <c r="L114" s="6">
        <f t="shared" si="21"/>
        <v>0.40488136435855665</v>
      </c>
      <c r="M114" s="4"/>
    </row>
    <row r="115" spans="1:13" outlineLevel="1" x14ac:dyDescent="0.35">
      <c r="B115" s="282" t="s">
        <v>120</v>
      </c>
      <c r="C115" s="282" t="s">
        <v>821</v>
      </c>
      <c r="D115" s="6">
        <f t="shared" si="20"/>
        <v>8.9978083648384714E-3</v>
      </c>
      <c r="E115" s="6">
        <f t="shared" si="20"/>
        <v>8.3835998236248491E-3</v>
      </c>
      <c r="F115" s="6">
        <f t="shared" si="20"/>
        <v>7.8840150412988301E-3</v>
      </c>
      <c r="G115" s="6">
        <f t="shared" si="20"/>
        <v>8.9978083648384714E-3</v>
      </c>
      <c r="H115" s="6">
        <f t="shared" si="20"/>
        <v>8.3835998236248491E-3</v>
      </c>
      <c r="I115" s="6">
        <f t="shared" si="20"/>
        <v>7.8840150412988301E-3</v>
      </c>
      <c r="J115" s="6">
        <f t="shared" si="21"/>
        <v>8.9978083648384714E-3</v>
      </c>
      <c r="K115" s="6">
        <f t="shared" si="21"/>
        <v>8.3835998236248491E-3</v>
      </c>
      <c r="L115" s="6">
        <f t="shared" si="21"/>
        <v>7.8840150412988301E-3</v>
      </c>
      <c r="M115" s="4"/>
    </row>
    <row r="116" spans="1:13" outlineLevel="1" x14ac:dyDescent="0.35">
      <c r="B116" s="282" t="s">
        <v>121</v>
      </c>
      <c r="C116" s="282" t="s">
        <v>821</v>
      </c>
      <c r="D116" s="6">
        <f t="shared" si="20"/>
        <v>4.201398547075331</v>
      </c>
      <c r="E116" s="6">
        <f t="shared" si="20"/>
        <v>3.5301952668074428</v>
      </c>
      <c r="F116" s="6">
        <f t="shared" si="20"/>
        <v>3.0325500058089316</v>
      </c>
      <c r="G116" s="6">
        <f t="shared" si="20"/>
        <v>4.201398547075331</v>
      </c>
      <c r="H116" s="6">
        <f t="shared" si="20"/>
        <v>3.5301952668074428</v>
      </c>
      <c r="I116" s="6">
        <f t="shared" si="20"/>
        <v>3.0325500058089316</v>
      </c>
      <c r="J116" s="6">
        <f t="shared" si="21"/>
        <v>8.402797094150662</v>
      </c>
      <c r="K116" s="6">
        <f t="shared" si="21"/>
        <v>7.0603905336148856</v>
      </c>
      <c r="L116" s="6">
        <f t="shared" si="21"/>
        <v>6.0651000116178633</v>
      </c>
      <c r="M116" s="4"/>
    </row>
    <row r="117" spans="1:13" outlineLevel="1" x14ac:dyDescent="0.35">
      <c r="B117" s="282" t="s">
        <v>797</v>
      </c>
      <c r="C117" s="282" t="s">
        <v>821</v>
      </c>
      <c r="D117" s="6">
        <f t="shared" si="20"/>
        <v>0</v>
      </c>
      <c r="E117" s="6">
        <f t="shared" si="20"/>
        <v>0</v>
      </c>
      <c r="F117" s="6">
        <f t="shared" si="20"/>
        <v>0</v>
      </c>
      <c r="G117" s="6">
        <f t="shared" si="20"/>
        <v>0</v>
      </c>
      <c r="H117" s="6">
        <f t="shared" si="20"/>
        <v>0</v>
      </c>
      <c r="I117" s="6">
        <f t="shared" si="20"/>
        <v>0</v>
      </c>
      <c r="J117" s="6">
        <f t="shared" si="21"/>
        <v>90.318785932629567</v>
      </c>
      <c r="K117" s="6">
        <f t="shared" si="21"/>
        <v>82.290114568489102</v>
      </c>
      <c r="L117" s="6">
        <f t="shared" si="21"/>
        <v>54.968424837753538</v>
      </c>
      <c r="M117" s="4"/>
    </row>
    <row r="118" spans="1:13" outlineLevel="1" x14ac:dyDescent="0.35">
      <c r="B118" s="282" t="s">
        <v>122</v>
      </c>
      <c r="C118" s="282" t="s">
        <v>821</v>
      </c>
      <c r="D118" s="6">
        <f t="shared" si="20"/>
        <v>575.06611068071641</v>
      </c>
      <c r="E118" s="6">
        <f t="shared" si="20"/>
        <v>123.28289086735381</v>
      </c>
      <c r="F118" s="6">
        <f t="shared" si="20"/>
        <v>-1.7017745936380504</v>
      </c>
      <c r="G118" s="6">
        <f t="shared" si="20"/>
        <v>443.48370274691973</v>
      </c>
      <c r="H118" s="6">
        <f t="shared" si="20"/>
        <v>96.772526359985974</v>
      </c>
      <c r="I118" s="6">
        <f t="shared" si="20"/>
        <v>0.25962057718256326</v>
      </c>
      <c r="J118" s="6">
        <f t="shared" si="21"/>
        <v>70.882385297689595</v>
      </c>
      <c r="K118" s="6">
        <f t="shared" si="21"/>
        <v>50.4086136689697</v>
      </c>
      <c r="L118" s="6">
        <f t="shared" si="21"/>
        <v>38.74344373594483</v>
      </c>
      <c r="M118" s="4"/>
    </row>
    <row r="119" spans="1:13" outlineLevel="1" x14ac:dyDescent="0.35">
      <c r="B119" s="282" t="s">
        <v>123</v>
      </c>
      <c r="C119" s="282" t="s">
        <v>821</v>
      </c>
      <c r="D119" s="6">
        <f t="shared" si="20"/>
        <v>44.48175454947296</v>
      </c>
      <c r="E119" s="6">
        <f t="shared" si="20"/>
        <v>10.344861824112719</v>
      </c>
      <c r="F119" s="6">
        <f t="shared" si="20"/>
        <v>0.75686347530398235</v>
      </c>
      <c r="G119" s="6">
        <f t="shared" si="20"/>
        <v>44.48175454947296</v>
      </c>
      <c r="H119" s="6">
        <f t="shared" si="20"/>
        <v>10.344861824112719</v>
      </c>
      <c r="I119" s="6">
        <f t="shared" si="20"/>
        <v>0.75686347530398235</v>
      </c>
      <c r="J119" s="6">
        <f t="shared" si="21"/>
        <v>44.48175454947296</v>
      </c>
      <c r="K119" s="6">
        <f t="shared" si="21"/>
        <v>10.344861824112719</v>
      </c>
      <c r="L119" s="6">
        <f t="shared" si="21"/>
        <v>0.75686347530398235</v>
      </c>
      <c r="M119" s="4"/>
    </row>
    <row r="120" spans="1:13" outlineLevel="1" x14ac:dyDescent="0.35">
      <c r="B120" s="282" t="s">
        <v>124</v>
      </c>
      <c r="C120" s="282" t="s">
        <v>821</v>
      </c>
      <c r="D120" s="6">
        <f t="shared" si="20"/>
        <v>-1000</v>
      </c>
      <c r="E120" s="6">
        <f t="shared" si="20"/>
        <v>-1000</v>
      </c>
      <c r="F120" s="6">
        <f t="shared" si="20"/>
        <v>-1000</v>
      </c>
      <c r="G120" s="6">
        <f t="shared" si="20"/>
        <v>-1000</v>
      </c>
      <c r="H120" s="6">
        <f t="shared" si="20"/>
        <v>-1000</v>
      </c>
      <c r="I120" s="6">
        <f t="shared" si="20"/>
        <v>-1000</v>
      </c>
      <c r="J120" s="6">
        <f t="shared" si="21"/>
        <v>-1000</v>
      </c>
      <c r="K120" s="6">
        <f t="shared" si="21"/>
        <v>-1000</v>
      </c>
      <c r="L120" s="6">
        <f t="shared" si="21"/>
        <v>-1000</v>
      </c>
      <c r="M120" s="4"/>
    </row>
    <row r="121" spans="1:13" outlineLevel="1" x14ac:dyDescent="0.35">
      <c r="B121" s="282" t="s">
        <v>137</v>
      </c>
      <c r="C121" s="282" t="s">
        <v>821</v>
      </c>
      <c r="D121" s="6">
        <f>SUM(D112:D120)</f>
        <v>-359.63392604322109</v>
      </c>
      <c r="E121" s="6">
        <f t="shared" ref="E121:L121" si="22">SUM(E112:E120)</f>
        <v>-847.44505104778386</v>
      </c>
      <c r="F121" s="6">
        <f t="shared" si="22"/>
        <v>-985.7821103537068</v>
      </c>
      <c r="G121" s="6">
        <f t="shared" si="22"/>
        <v>-491.21633397701783</v>
      </c>
      <c r="H121" s="6">
        <f t="shared" si="22"/>
        <v>-873.95541555515172</v>
      </c>
      <c r="I121" s="6">
        <f t="shared" si="22"/>
        <v>-983.82071518288615</v>
      </c>
      <c r="J121" s="6">
        <f t="shared" si="22"/>
        <v>-757.05881147837772</v>
      </c>
      <c r="K121" s="6">
        <f t="shared" si="22"/>
        <v>-823.39328085256864</v>
      </c>
      <c r="L121" s="6">
        <f t="shared" si="22"/>
        <v>-879.31338914441767</v>
      </c>
      <c r="M121" s="4"/>
    </row>
    <row r="122" spans="1:13" outlineLevel="1" x14ac:dyDescent="0.35">
      <c r="D122" s="3"/>
      <c r="E122" s="3"/>
      <c r="F122" s="3"/>
      <c r="G122" s="3"/>
      <c r="H122" s="3"/>
      <c r="I122" s="3"/>
      <c r="J122" s="3"/>
      <c r="K122" s="3"/>
      <c r="L122" s="3"/>
      <c r="M122" s="4"/>
    </row>
    <row r="123" spans="1:13" outlineLevel="1" x14ac:dyDescent="0.35">
      <c r="A123" s="15" t="s">
        <v>507</v>
      </c>
      <c r="B123" s="30"/>
      <c r="C123" s="140" t="s">
        <v>180</v>
      </c>
      <c r="D123" s="6" t="s">
        <v>889</v>
      </c>
      <c r="E123" s="6" t="s">
        <v>891</v>
      </c>
      <c r="F123" s="6" t="s">
        <v>890</v>
      </c>
      <c r="G123" s="6" t="s">
        <v>892</v>
      </c>
      <c r="H123" s="6" t="s">
        <v>893</v>
      </c>
      <c r="I123" s="6" t="s">
        <v>894</v>
      </c>
      <c r="J123" s="6" t="s">
        <v>896</v>
      </c>
      <c r="K123" s="6" t="s">
        <v>897</v>
      </c>
      <c r="L123" s="6" t="s">
        <v>895</v>
      </c>
      <c r="M123" s="4"/>
    </row>
    <row r="124" spans="1:13" outlineLevel="1" x14ac:dyDescent="0.35">
      <c r="A124" s="141" t="s">
        <v>510</v>
      </c>
      <c r="B124" s="282" t="s">
        <v>117</v>
      </c>
      <c r="C124" s="282" t="s">
        <v>864</v>
      </c>
      <c r="D124" s="6">
        <f>D88/20</f>
        <v>1917.3645417882151</v>
      </c>
      <c r="E124" s="6">
        <f t="shared" ref="E124:L124" si="23">E88/20</f>
        <v>1778.5900904766972</v>
      </c>
      <c r="F124" s="6">
        <f t="shared" si="23"/>
        <v>1388.4599754782089</v>
      </c>
      <c r="G124" s="6">
        <f t="shared" si="23"/>
        <v>1917.3645417882151</v>
      </c>
      <c r="H124" s="6">
        <f t="shared" si="23"/>
        <v>1778.5900904766972</v>
      </c>
      <c r="I124" s="6">
        <f t="shared" si="23"/>
        <v>1388.4599754782089</v>
      </c>
      <c r="J124" s="6">
        <f t="shared" si="23"/>
        <v>1706.3186443117713</v>
      </c>
      <c r="K124" s="6">
        <f t="shared" si="23"/>
        <v>1568.9439938382086</v>
      </c>
      <c r="L124" s="6">
        <f t="shared" si="23"/>
        <v>1182.9854473618861</v>
      </c>
      <c r="M124" s="4"/>
    </row>
    <row r="125" spans="1:13" outlineLevel="1" x14ac:dyDescent="0.35">
      <c r="B125" s="282" t="s">
        <v>118</v>
      </c>
      <c r="C125" s="282" t="s">
        <v>864</v>
      </c>
      <c r="D125" s="6">
        <f t="shared" ref="D125:L132" si="24">D89/20</f>
        <v>124.05281792010688</v>
      </c>
      <c r="E125" s="6">
        <f t="shared" si="24"/>
        <v>116.06778619998326</v>
      </c>
      <c r="F125" s="6">
        <f t="shared" si="24"/>
        <v>101.53078222151451</v>
      </c>
      <c r="G125" s="6">
        <f t="shared" si="24"/>
        <v>124.05281792010688</v>
      </c>
      <c r="H125" s="6">
        <f t="shared" si="24"/>
        <v>116.06778619998326</v>
      </c>
      <c r="I125" s="6">
        <f t="shared" si="24"/>
        <v>101.53078222151451</v>
      </c>
      <c r="J125" s="6">
        <f t="shared" si="24"/>
        <v>62.026408960053438</v>
      </c>
      <c r="K125" s="6">
        <f t="shared" si="24"/>
        <v>58.03389309999163</v>
      </c>
      <c r="L125" s="6">
        <f t="shared" si="24"/>
        <v>50.765391110757257</v>
      </c>
      <c r="M125" s="4"/>
    </row>
    <row r="126" spans="1:13" outlineLevel="1" x14ac:dyDescent="0.35">
      <c r="B126" s="282" t="s">
        <v>119</v>
      </c>
      <c r="C126" s="282" t="s">
        <v>864</v>
      </c>
      <c r="D126" s="6">
        <f t="shared" si="24"/>
        <v>34.559186685344216</v>
      </c>
      <c r="E126" s="6">
        <f t="shared" si="24"/>
        <v>28.919297588132746</v>
      </c>
      <c r="F126" s="6">
        <f t="shared" si="24"/>
        <v>25.305085272409791</v>
      </c>
      <c r="G126" s="6">
        <f t="shared" si="24"/>
        <v>34.559186685344216</v>
      </c>
      <c r="H126" s="6">
        <f t="shared" si="24"/>
        <v>28.919297588132746</v>
      </c>
      <c r="I126" s="6">
        <f t="shared" si="24"/>
        <v>25.305085272409791</v>
      </c>
      <c r="J126" s="6">
        <f t="shared" si="24"/>
        <v>34.559186685344216</v>
      </c>
      <c r="K126" s="6">
        <f t="shared" si="24"/>
        <v>28.919297588132746</v>
      </c>
      <c r="L126" s="6">
        <f t="shared" si="24"/>
        <v>25.305085272409791</v>
      </c>
      <c r="M126" s="4"/>
    </row>
    <row r="127" spans="1:13" outlineLevel="1" x14ac:dyDescent="0.35">
      <c r="B127" s="282" t="s">
        <v>120</v>
      </c>
      <c r="C127" s="282" t="s">
        <v>864</v>
      </c>
      <c r="D127" s="6">
        <f t="shared" si="24"/>
        <v>1.1247260456048089</v>
      </c>
      <c r="E127" s="6">
        <f t="shared" si="24"/>
        <v>1.0479499779531061</v>
      </c>
      <c r="F127" s="6">
        <f t="shared" si="24"/>
        <v>0.98550188016235363</v>
      </c>
      <c r="G127" s="6">
        <f t="shared" si="24"/>
        <v>1.1247260456048089</v>
      </c>
      <c r="H127" s="6">
        <f t="shared" si="24"/>
        <v>1.0479499779531061</v>
      </c>
      <c r="I127" s="6">
        <f t="shared" si="24"/>
        <v>0.98550188016235363</v>
      </c>
      <c r="J127" s="6">
        <f t="shared" si="24"/>
        <v>0.56236302280240447</v>
      </c>
      <c r="K127" s="6">
        <f t="shared" si="24"/>
        <v>0.52397498897655304</v>
      </c>
      <c r="L127" s="6">
        <f t="shared" si="24"/>
        <v>0.49275094008117681</v>
      </c>
      <c r="M127" s="4"/>
    </row>
    <row r="128" spans="1:13" outlineLevel="1" x14ac:dyDescent="0.35">
      <c r="B128" s="282" t="s">
        <v>121</v>
      </c>
      <c r="C128" s="282" t="s">
        <v>864</v>
      </c>
      <c r="D128" s="6">
        <f t="shared" si="24"/>
        <v>525.17481838441631</v>
      </c>
      <c r="E128" s="6">
        <f t="shared" si="24"/>
        <v>441.27440835093029</v>
      </c>
      <c r="F128" s="6">
        <f t="shared" si="24"/>
        <v>379.06875072611649</v>
      </c>
      <c r="G128" s="6">
        <f t="shared" si="24"/>
        <v>525.17481838441631</v>
      </c>
      <c r="H128" s="6">
        <f t="shared" si="24"/>
        <v>441.27440835093029</v>
      </c>
      <c r="I128" s="6">
        <f t="shared" si="24"/>
        <v>379.06875072611649</v>
      </c>
      <c r="J128" s="6">
        <f t="shared" si="24"/>
        <v>525.17481838441631</v>
      </c>
      <c r="K128" s="6">
        <f t="shared" si="24"/>
        <v>441.27440835093029</v>
      </c>
      <c r="L128" s="6">
        <f t="shared" si="24"/>
        <v>379.06875072611649</v>
      </c>
      <c r="M128" s="4"/>
    </row>
    <row r="129" spans="1:13" outlineLevel="1" x14ac:dyDescent="0.35">
      <c r="B129" s="282" t="s">
        <v>797</v>
      </c>
      <c r="C129" s="282" t="s">
        <v>864</v>
      </c>
      <c r="D129" s="6">
        <f t="shared" si="24"/>
        <v>0</v>
      </c>
      <c r="E129" s="6">
        <f t="shared" si="24"/>
        <v>0</v>
      </c>
      <c r="F129" s="6">
        <f t="shared" si="24"/>
        <v>0</v>
      </c>
      <c r="G129" s="6">
        <f t="shared" si="24"/>
        <v>0</v>
      </c>
      <c r="H129" s="6">
        <f t="shared" si="24"/>
        <v>0</v>
      </c>
      <c r="I129" s="6">
        <f t="shared" si="24"/>
        <v>0</v>
      </c>
      <c r="J129" s="6">
        <f t="shared" si="24"/>
        <v>5644.9241207893483</v>
      </c>
      <c r="K129" s="6">
        <f t="shared" si="24"/>
        <v>5143.1321605305684</v>
      </c>
      <c r="L129" s="6">
        <f t="shared" si="24"/>
        <v>3435.5265523595963</v>
      </c>
      <c r="M129" s="4"/>
    </row>
    <row r="130" spans="1:13" outlineLevel="1" x14ac:dyDescent="0.35">
      <c r="B130" s="282" t="s">
        <v>122</v>
      </c>
      <c r="C130" s="282" t="s">
        <v>864</v>
      </c>
      <c r="D130" s="6">
        <f t="shared" si="24"/>
        <v>71883.263835089543</v>
      </c>
      <c r="E130" s="6">
        <f t="shared" si="24"/>
        <v>15410.361358419226</v>
      </c>
      <c r="F130" s="6">
        <f t="shared" si="24"/>
        <v>-212.72182420475627</v>
      </c>
      <c r="G130" s="6">
        <f t="shared" si="24"/>
        <v>55435.462843364963</v>
      </c>
      <c r="H130" s="6">
        <f t="shared" si="24"/>
        <v>12096.565794998245</v>
      </c>
      <c r="I130" s="6">
        <f t="shared" si="24"/>
        <v>32.452572147820412</v>
      </c>
      <c r="J130" s="6">
        <f t="shared" si="24"/>
        <v>4430.1490811056001</v>
      </c>
      <c r="K130" s="6">
        <f t="shared" si="24"/>
        <v>3150.5383543106063</v>
      </c>
      <c r="L130" s="6">
        <f t="shared" si="24"/>
        <v>2421.4652334965517</v>
      </c>
      <c r="M130" s="4"/>
    </row>
    <row r="131" spans="1:13" outlineLevel="1" x14ac:dyDescent="0.35">
      <c r="B131" s="282" t="s">
        <v>123</v>
      </c>
      <c r="C131" s="282" t="s">
        <v>864</v>
      </c>
      <c r="D131" s="6">
        <f t="shared" si="24"/>
        <v>5560.2193186841205</v>
      </c>
      <c r="E131" s="6">
        <f t="shared" si="24"/>
        <v>1293.1077280140901</v>
      </c>
      <c r="F131" s="6">
        <f t="shared" si="24"/>
        <v>94.607934412997807</v>
      </c>
      <c r="G131" s="6">
        <f t="shared" si="24"/>
        <v>5560.2193186841205</v>
      </c>
      <c r="H131" s="6">
        <f t="shared" si="24"/>
        <v>1293.1077280140901</v>
      </c>
      <c r="I131" s="6">
        <f t="shared" si="24"/>
        <v>94.607934412997807</v>
      </c>
      <c r="J131" s="6">
        <f t="shared" si="24"/>
        <v>2780.1096593420602</v>
      </c>
      <c r="K131" s="6">
        <f t="shared" si="24"/>
        <v>646.55386400704504</v>
      </c>
      <c r="L131" s="6">
        <f t="shared" si="24"/>
        <v>47.303967206498903</v>
      </c>
      <c r="M131" s="4"/>
    </row>
    <row r="132" spans="1:13" outlineLevel="1" x14ac:dyDescent="0.35">
      <c r="B132" s="282" t="s">
        <v>124</v>
      </c>
      <c r="C132" s="282" t="s">
        <v>864</v>
      </c>
      <c r="D132" s="6">
        <f>D96/20</f>
        <v>-125000</v>
      </c>
      <c r="E132" s="6">
        <f t="shared" si="24"/>
        <v>-125000</v>
      </c>
      <c r="F132" s="6">
        <f t="shared" si="24"/>
        <v>-125000</v>
      </c>
      <c r="G132" s="6">
        <f t="shared" si="24"/>
        <v>-125000</v>
      </c>
      <c r="H132" s="6">
        <f t="shared" si="24"/>
        <v>-125000</v>
      </c>
      <c r="I132" s="6">
        <f t="shared" si="24"/>
        <v>-125000</v>
      </c>
      <c r="J132" s="6">
        <f t="shared" si="24"/>
        <v>-62500</v>
      </c>
      <c r="K132" s="6">
        <f t="shared" si="24"/>
        <v>-62500</v>
      </c>
      <c r="L132" s="6">
        <f t="shared" si="24"/>
        <v>-62500</v>
      </c>
      <c r="M132" s="4"/>
    </row>
    <row r="133" spans="1:13" outlineLevel="1" x14ac:dyDescent="0.35">
      <c r="B133" s="282" t="s">
        <v>137</v>
      </c>
      <c r="C133" s="282" t="s">
        <v>864</v>
      </c>
      <c r="D133" s="6">
        <f>SUM(D124:D132)</f>
        <v>-44954.240755402658</v>
      </c>
      <c r="E133" s="6">
        <f t="shared" ref="E133:L133" si="25">SUM(E124:E132)</f>
        <v>-105930.63138097299</v>
      </c>
      <c r="F133" s="6">
        <f t="shared" si="25"/>
        <v>-123222.76379421334</v>
      </c>
      <c r="G133" s="6">
        <f t="shared" si="25"/>
        <v>-61402.04174712723</v>
      </c>
      <c r="H133" s="6">
        <f t="shared" si="25"/>
        <v>-109244.42694439397</v>
      </c>
      <c r="I133" s="6">
        <f t="shared" si="25"/>
        <v>-122977.58939786076</v>
      </c>
      <c r="J133" s="6">
        <f t="shared" si="25"/>
        <v>-47316.175717398604</v>
      </c>
      <c r="K133" s="6">
        <f t="shared" si="25"/>
        <v>-51462.080053285543</v>
      </c>
      <c r="L133" s="6">
        <f t="shared" si="25"/>
        <v>-54957.0868215261</v>
      </c>
      <c r="M133" s="4"/>
    </row>
    <row r="134" spans="1:13" outlineLevel="1" x14ac:dyDescent="0.35">
      <c r="D134" s="3"/>
      <c r="E134" s="3"/>
      <c r="F134" s="3"/>
      <c r="G134" s="3"/>
      <c r="H134" s="3"/>
      <c r="I134" s="3"/>
      <c r="J134" s="3"/>
      <c r="K134" s="3"/>
      <c r="L134" s="3"/>
      <c r="M134" s="4"/>
    </row>
    <row r="135" spans="1:13" outlineLevel="1" x14ac:dyDescent="0.35">
      <c r="A135" s="15" t="s">
        <v>509</v>
      </c>
      <c r="B135" s="30"/>
      <c r="C135" s="140" t="s">
        <v>180</v>
      </c>
      <c r="D135" s="6" t="s">
        <v>889</v>
      </c>
      <c r="E135" s="6" t="s">
        <v>891</v>
      </c>
      <c r="F135" s="6" t="s">
        <v>890</v>
      </c>
      <c r="G135" s="6" t="s">
        <v>892</v>
      </c>
      <c r="H135" s="6" t="s">
        <v>893</v>
      </c>
      <c r="I135" s="6" t="s">
        <v>894</v>
      </c>
      <c r="J135" s="6" t="s">
        <v>896</v>
      </c>
      <c r="K135" s="6" t="s">
        <v>897</v>
      </c>
      <c r="L135" s="6" t="s">
        <v>895</v>
      </c>
      <c r="M135" s="4"/>
    </row>
    <row r="136" spans="1:13" outlineLevel="1" x14ac:dyDescent="0.35">
      <c r="A136" s="141" t="s">
        <v>803</v>
      </c>
      <c r="B136" s="282" t="s">
        <v>117</v>
      </c>
      <c r="C136" s="282" t="s">
        <v>821</v>
      </c>
      <c r="D136" s="6">
        <f t="shared" ref="D136:I136" si="26">D124/100</f>
        <v>19.173645417882152</v>
      </c>
      <c r="E136" s="6">
        <f t="shared" si="26"/>
        <v>17.785900904766972</v>
      </c>
      <c r="F136" s="6">
        <f t="shared" si="26"/>
        <v>13.884599754782089</v>
      </c>
      <c r="G136" s="6">
        <f t="shared" si="26"/>
        <v>19.173645417882152</v>
      </c>
      <c r="H136" s="6">
        <f t="shared" si="26"/>
        <v>17.785900904766972</v>
      </c>
      <c r="I136" s="6">
        <f t="shared" si="26"/>
        <v>13.884599754782089</v>
      </c>
      <c r="J136" s="6">
        <f>J124/50</f>
        <v>34.12637288623543</v>
      </c>
      <c r="K136" s="6">
        <f>K124/50</f>
        <v>31.378879876764174</v>
      </c>
      <c r="L136" s="6">
        <f>L124/50</f>
        <v>23.659708947237721</v>
      </c>
      <c r="M136" s="4"/>
    </row>
    <row r="137" spans="1:13" outlineLevel="1" x14ac:dyDescent="0.35">
      <c r="A137" s="141" t="s">
        <v>804</v>
      </c>
      <c r="B137" s="282" t="s">
        <v>118</v>
      </c>
      <c r="C137" s="282" t="s">
        <v>821</v>
      </c>
      <c r="D137" s="6">
        <f t="shared" ref="D137:I143" si="27">D125/100</f>
        <v>1.2405281792010687</v>
      </c>
      <c r="E137" s="6">
        <f t="shared" si="27"/>
        <v>1.1606778619998326</v>
      </c>
      <c r="F137" s="6">
        <f t="shared" si="27"/>
        <v>1.015307822215145</v>
      </c>
      <c r="G137" s="6">
        <f t="shared" si="27"/>
        <v>1.2405281792010687</v>
      </c>
      <c r="H137" s="6">
        <f t="shared" si="27"/>
        <v>1.1606778619998326</v>
      </c>
      <c r="I137" s="6">
        <f t="shared" si="27"/>
        <v>1.015307822215145</v>
      </c>
      <c r="J137" s="6">
        <f t="shared" ref="J137:L143" si="28">J125/50</f>
        <v>1.2405281792010687</v>
      </c>
      <c r="K137" s="6">
        <f t="shared" si="28"/>
        <v>1.1606778619998326</v>
      </c>
      <c r="L137" s="6">
        <f t="shared" si="28"/>
        <v>1.015307822215145</v>
      </c>
      <c r="M137" s="4"/>
    </row>
    <row r="138" spans="1:13" outlineLevel="1" x14ac:dyDescent="0.35">
      <c r="B138" s="282" t="s">
        <v>119</v>
      </c>
      <c r="C138" s="282" t="s">
        <v>821</v>
      </c>
      <c r="D138" s="6">
        <f t="shared" si="27"/>
        <v>0.34559186685344218</v>
      </c>
      <c r="E138" s="6">
        <f t="shared" si="27"/>
        <v>0.28919297588132747</v>
      </c>
      <c r="F138" s="6">
        <f t="shared" si="27"/>
        <v>0.25305085272409789</v>
      </c>
      <c r="G138" s="6">
        <f t="shared" si="27"/>
        <v>0.34559186685344218</v>
      </c>
      <c r="H138" s="6">
        <f t="shared" si="27"/>
        <v>0.28919297588132747</v>
      </c>
      <c r="I138" s="6">
        <f t="shared" si="27"/>
        <v>0.25305085272409789</v>
      </c>
      <c r="J138" s="6">
        <f t="shared" si="28"/>
        <v>0.69118373370688435</v>
      </c>
      <c r="K138" s="6">
        <f t="shared" si="28"/>
        <v>0.57838595176265495</v>
      </c>
      <c r="L138" s="6">
        <f t="shared" si="28"/>
        <v>0.50610170544819577</v>
      </c>
      <c r="M138" s="4"/>
    </row>
    <row r="139" spans="1:13" outlineLevel="1" x14ac:dyDescent="0.35">
      <c r="B139" s="282" t="s">
        <v>120</v>
      </c>
      <c r="C139" s="282" t="s">
        <v>821</v>
      </c>
      <c r="D139" s="6">
        <f t="shared" si="27"/>
        <v>1.124726045604809E-2</v>
      </c>
      <c r="E139" s="6">
        <f t="shared" si="27"/>
        <v>1.0479499779531061E-2</v>
      </c>
      <c r="F139" s="6">
        <f t="shared" si="27"/>
        <v>9.8550188016235368E-3</v>
      </c>
      <c r="G139" s="6">
        <f t="shared" si="27"/>
        <v>1.124726045604809E-2</v>
      </c>
      <c r="H139" s="6">
        <f t="shared" si="27"/>
        <v>1.0479499779531061E-2</v>
      </c>
      <c r="I139" s="6">
        <f t="shared" si="27"/>
        <v>9.8550188016235368E-3</v>
      </c>
      <c r="J139" s="6">
        <f t="shared" si="28"/>
        <v>1.124726045604809E-2</v>
      </c>
      <c r="K139" s="6">
        <f t="shared" si="28"/>
        <v>1.0479499779531061E-2</v>
      </c>
      <c r="L139" s="6">
        <f t="shared" si="28"/>
        <v>9.8550188016235368E-3</v>
      </c>
      <c r="M139" s="4"/>
    </row>
    <row r="140" spans="1:13" outlineLevel="1" x14ac:dyDescent="0.35">
      <c r="B140" s="282" t="s">
        <v>121</v>
      </c>
      <c r="C140" s="282" t="s">
        <v>821</v>
      </c>
      <c r="D140" s="6">
        <f t="shared" si="27"/>
        <v>5.2517481838441631</v>
      </c>
      <c r="E140" s="6">
        <f t="shared" si="27"/>
        <v>4.4127440835093026</v>
      </c>
      <c r="F140" s="6">
        <f t="shared" si="27"/>
        <v>3.7906875072611648</v>
      </c>
      <c r="G140" s="6">
        <f t="shared" si="27"/>
        <v>5.2517481838441631</v>
      </c>
      <c r="H140" s="6">
        <f t="shared" si="27"/>
        <v>4.4127440835093026</v>
      </c>
      <c r="I140" s="6">
        <f t="shared" si="27"/>
        <v>3.7906875072611648</v>
      </c>
      <c r="J140" s="6">
        <f t="shared" si="28"/>
        <v>10.503496367688326</v>
      </c>
      <c r="K140" s="6">
        <f t="shared" si="28"/>
        <v>8.8254881670186052</v>
      </c>
      <c r="L140" s="6">
        <f t="shared" si="28"/>
        <v>7.5813750145223295</v>
      </c>
      <c r="M140" s="4"/>
    </row>
    <row r="141" spans="1:13" outlineLevel="1" x14ac:dyDescent="0.35">
      <c r="B141" s="282" t="s">
        <v>797</v>
      </c>
      <c r="C141" s="282" t="s">
        <v>821</v>
      </c>
      <c r="D141" s="6">
        <f t="shared" si="27"/>
        <v>0</v>
      </c>
      <c r="E141" s="6">
        <f t="shared" si="27"/>
        <v>0</v>
      </c>
      <c r="F141" s="6">
        <f t="shared" si="27"/>
        <v>0</v>
      </c>
      <c r="G141" s="6">
        <f t="shared" si="27"/>
        <v>0</v>
      </c>
      <c r="H141" s="6">
        <f t="shared" si="27"/>
        <v>0</v>
      </c>
      <c r="I141" s="6">
        <f t="shared" si="27"/>
        <v>0</v>
      </c>
      <c r="J141" s="6">
        <f t="shared" si="28"/>
        <v>112.89848241578697</v>
      </c>
      <c r="K141" s="6">
        <f t="shared" si="28"/>
        <v>102.86264321061137</v>
      </c>
      <c r="L141" s="6">
        <f t="shared" si="28"/>
        <v>68.710531047191921</v>
      </c>
      <c r="M141" s="4"/>
    </row>
    <row r="142" spans="1:13" outlineLevel="1" x14ac:dyDescent="0.35">
      <c r="B142" s="282" t="s">
        <v>122</v>
      </c>
      <c r="C142" s="282" t="s">
        <v>821</v>
      </c>
      <c r="D142" s="6">
        <f t="shared" si="27"/>
        <v>718.83263835089542</v>
      </c>
      <c r="E142" s="6">
        <f t="shared" si="27"/>
        <v>154.10361358419226</v>
      </c>
      <c r="F142" s="6">
        <f t="shared" si="27"/>
        <v>-2.1272182420475629</v>
      </c>
      <c r="G142" s="6">
        <f t="shared" si="27"/>
        <v>554.35462843364962</v>
      </c>
      <c r="H142" s="6">
        <f t="shared" si="27"/>
        <v>120.96565794998246</v>
      </c>
      <c r="I142" s="6">
        <f t="shared" si="27"/>
        <v>0.32452572147820413</v>
      </c>
      <c r="J142" s="6">
        <f t="shared" si="28"/>
        <v>88.602981622111997</v>
      </c>
      <c r="K142" s="6">
        <f t="shared" si="28"/>
        <v>63.010767086212127</v>
      </c>
      <c r="L142" s="6">
        <f t="shared" si="28"/>
        <v>48.429304669931035</v>
      </c>
      <c r="M142" s="4"/>
    </row>
    <row r="143" spans="1:13" outlineLevel="1" x14ac:dyDescent="0.35">
      <c r="B143" s="282" t="s">
        <v>123</v>
      </c>
      <c r="C143" s="282" t="s">
        <v>821</v>
      </c>
      <c r="D143" s="6">
        <f t="shared" si="27"/>
        <v>55.602193186841205</v>
      </c>
      <c r="E143" s="6">
        <f t="shared" si="27"/>
        <v>12.931077280140901</v>
      </c>
      <c r="F143" s="6">
        <f t="shared" si="27"/>
        <v>0.94607934412997807</v>
      </c>
      <c r="G143" s="6">
        <f t="shared" si="27"/>
        <v>55.602193186841205</v>
      </c>
      <c r="H143" s="6">
        <f t="shared" si="27"/>
        <v>12.931077280140901</v>
      </c>
      <c r="I143" s="6">
        <f t="shared" si="27"/>
        <v>0.94607934412997807</v>
      </c>
      <c r="J143" s="6">
        <f t="shared" si="28"/>
        <v>55.602193186841205</v>
      </c>
      <c r="K143" s="6">
        <f t="shared" si="28"/>
        <v>12.931077280140901</v>
      </c>
      <c r="L143" s="6">
        <f t="shared" si="28"/>
        <v>0.94607934412997807</v>
      </c>
      <c r="M143" s="4"/>
    </row>
    <row r="144" spans="1:13" outlineLevel="1" x14ac:dyDescent="0.35">
      <c r="B144" s="282" t="s">
        <v>124</v>
      </c>
      <c r="C144" s="282" t="s">
        <v>821</v>
      </c>
      <c r="D144" s="16">
        <f>-1000</f>
        <v>-1000</v>
      </c>
      <c r="E144" s="6">
        <f t="shared" ref="E144:L144" si="29">-1000</f>
        <v>-1000</v>
      </c>
      <c r="F144" s="6">
        <f t="shared" si="29"/>
        <v>-1000</v>
      </c>
      <c r="G144" s="6">
        <f t="shared" si="29"/>
        <v>-1000</v>
      </c>
      <c r="H144" s="6">
        <f t="shared" si="29"/>
        <v>-1000</v>
      </c>
      <c r="I144" s="6">
        <f t="shared" si="29"/>
        <v>-1000</v>
      </c>
      <c r="J144" s="6">
        <f t="shared" si="29"/>
        <v>-1000</v>
      </c>
      <c r="K144" s="6">
        <f t="shared" si="29"/>
        <v>-1000</v>
      </c>
      <c r="L144" s="6">
        <f t="shared" si="29"/>
        <v>-1000</v>
      </c>
      <c r="M144" s="4"/>
    </row>
    <row r="145" spans="1:23" outlineLevel="1" x14ac:dyDescent="0.35">
      <c r="B145" s="282" t="s">
        <v>137</v>
      </c>
      <c r="C145" s="282" t="s">
        <v>821</v>
      </c>
      <c r="D145" s="6">
        <f>SUM(D136:D144)</f>
        <v>-199.54240755402645</v>
      </c>
      <c r="E145" s="6">
        <f t="shared" ref="E145:L145" si="30">SUM(E136:E144)</f>
        <v>-809.30631380972989</v>
      </c>
      <c r="F145" s="6">
        <f t="shared" si="30"/>
        <v>-982.22763794213347</v>
      </c>
      <c r="G145" s="6">
        <f t="shared" si="30"/>
        <v>-364.02041747127225</v>
      </c>
      <c r="H145" s="6">
        <f t="shared" si="30"/>
        <v>-842.44426944393967</v>
      </c>
      <c r="I145" s="6">
        <f t="shared" si="30"/>
        <v>-979.77589397860766</v>
      </c>
      <c r="J145" s="6">
        <f t="shared" si="30"/>
        <v>-696.32351434797215</v>
      </c>
      <c r="K145" s="6">
        <f t="shared" si="30"/>
        <v>-779.24160106571082</v>
      </c>
      <c r="L145" s="6">
        <f t="shared" si="30"/>
        <v>-849.14173643052209</v>
      </c>
      <c r="M145" s="4"/>
    </row>
    <row r="146" spans="1:23" outlineLevel="1" x14ac:dyDescent="0.35">
      <c r="D146" s="6"/>
      <c r="E146" s="6"/>
      <c r="F146" s="6"/>
      <c r="G146" s="6"/>
      <c r="H146" s="6"/>
      <c r="I146" s="6"/>
      <c r="J146" s="6"/>
      <c r="K146" s="6"/>
      <c r="L146" s="6"/>
      <c r="M146" s="4"/>
      <c r="T146" s="282"/>
    </row>
    <row r="147" spans="1:23" s="33" customFormat="1" ht="15.5" x14ac:dyDescent="0.35">
      <c r="A147" s="51" t="s">
        <v>505</v>
      </c>
      <c r="B147" s="4"/>
      <c r="C147" s="4"/>
      <c r="D147" s="4"/>
      <c r="E147" s="4"/>
      <c r="F147" s="4"/>
      <c r="G147" s="4"/>
      <c r="H147" s="4"/>
      <c r="I147" s="4"/>
      <c r="J147" s="4"/>
      <c r="K147" s="4"/>
      <c r="L147" s="4"/>
      <c r="M147" s="4"/>
      <c r="N147" s="282"/>
      <c r="O147" s="282"/>
      <c r="P147" s="282"/>
      <c r="Q147" s="282"/>
      <c r="R147" s="282"/>
      <c r="S147" s="282"/>
      <c r="T147" s="282"/>
      <c r="U147" s="282"/>
      <c r="V147" s="282"/>
      <c r="W147" s="282"/>
    </row>
    <row r="148" spans="1:23" outlineLevel="1" x14ac:dyDescent="0.35">
      <c r="A148" s="15" t="s">
        <v>507</v>
      </c>
      <c r="B148" s="30"/>
      <c r="C148" s="140" t="s">
        <v>180</v>
      </c>
      <c r="D148" s="6" t="s">
        <v>889</v>
      </c>
      <c r="E148" s="6" t="s">
        <v>891</v>
      </c>
      <c r="F148" s="6" t="s">
        <v>890</v>
      </c>
      <c r="G148" s="6" t="s">
        <v>892</v>
      </c>
      <c r="H148" s="6" t="s">
        <v>893</v>
      </c>
      <c r="I148" s="6" t="s">
        <v>894</v>
      </c>
      <c r="J148" s="6" t="s">
        <v>896</v>
      </c>
      <c r="K148" s="6" t="s">
        <v>897</v>
      </c>
      <c r="L148" s="6" t="s">
        <v>895</v>
      </c>
      <c r="M148" s="4"/>
      <c r="T148" s="282"/>
    </row>
    <row r="149" spans="1:23" outlineLevel="1" x14ac:dyDescent="0.35">
      <c r="A149" s="141" t="s">
        <v>508</v>
      </c>
      <c r="B149" s="282" t="s">
        <v>117</v>
      </c>
      <c r="C149" s="282" t="s">
        <v>864</v>
      </c>
      <c r="D149" s="6">
        <f>'Results ReCiPe (H) - CC'!B449</f>
        <v>1533.891633430572</v>
      </c>
      <c r="E149" s="6">
        <f>'Results ReCiPe (H) - CC'!C449</f>
        <v>1422.8720723813576</v>
      </c>
      <c r="F149" s="6">
        <f>'Results ReCiPe (H) - CC'!D449</f>
        <v>1110.767980382567</v>
      </c>
      <c r="G149" s="6">
        <f>'Results ReCiPe (H) - CC'!E449</f>
        <v>1533.891633430572</v>
      </c>
      <c r="H149" s="6">
        <f>'Results ReCiPe (H) - CC'!F449</f>
        <v>1422.8720723813576</v>
      </c>
      <c r="I149" s="6">
        <f>'Results ReCiPe (H) - CC'!G449</f>
        <v>1110.767980382567</v>
      </c>
      <c r="J149" s="6">
        <f>'Results ReCiPe (H) - CC'!H449</f>
        <v>1365.054915449417</v>
      </c>
      <c r="K149" s="6">
        <f>'Results ReCiPe (H) - CC'!I449</f>
        <v>1255.1551950705668</v>
      </c>
      <c r="L149" s="6">
        <f>'Results ReCiPe (H) - CC'!J449</f>
        <v>946.38835788950894</v>
      </c>
      <c r="M149" s="4"/>
    </row>
    <row r="150" spans="1:23" outlineLevel="1" x14ac:dyDescent="0.35">
      <c r="B150" s="282" t="s">
        <v>118</v>
      </c>
      <c r="C150" s="282" t="s">
        <v>864</v>
      </c>
      <c r="D150" s="6">
        <f>'Results ReCiPe (H) - CC'!B450</f>
        <v>99.242254336085495</v>
      </c>
      <c r="E150" s="6">
        <f>'Results ReCiPe (H) - CC'!C450</f>
        <v>92.854228959986614</v>
      </c>
      <c r="F150" s="6">
        <f>'Results ReCiPe (H) - CC'!D450</f>
        <v>81.224625777211614</v>
      </c>
      <c r="G150" s="6">
        <f>'Results ReCiPe (H) - CC'!E450</f>
        <v>99.242254336085495</v>
      </c>
      <c r="H150" s="6">
        <f>'Results ReCiPe (H) - CC'!F450</f>
        <v>92.854228959986614</v>
      </c>
      <c r="I150" s="6">
        <f>'Results ReCiPe (H) - CC'!G450</f>
        <v>81.224625777211614</v>
      </c>
      <c r="J150" s="6">
        <f>'Results ReCiPe (H) - CC'!H450</f>
        <v>49.621127168042747</v>
      </c>
      <c r="K150" s="6">
        <f>'Results ReCiPe (H) - CC'!I450</f>
        <v>46.427114479993307</v>
      </c>
      <c r="L150" s="6">
        <f>'Results ReCiPe (H) - CC'!J450</f>
        <v>40.612312888605807</v>
      </c>
      <c r="M150" s="4"/>
    </row>
    <row r="151" spans="1:23" outlineLevel="1" x14ac:dyDescent="0.35">
      <c r="B151" s="282" t="s">
        <v>119</v>
      </c>
      <c r="C151" s="282" t="s">
        <v>864</v>
      </c>
      <c r="D151" s="6">
        <f>'Results ReCiPe (H) - CC'!B451</f>
        <v>27.64734934827537</v>
      </c>
      <c r="E151" s="6">
        <f>'Results ReCiPe (H) - CC'!C451</f>
        <v>23.135438070506197</v>
      </c>
      <c r="F151" s="6">
        <f>'Results ReCiPe (H) - CC'!D451</f>
        <v>20.244068217927833</v>
      </c>
      <c r="G151" s="6">
        <f>'Results ReCiPe (H) - CC'!E451</f>
        <v>27.64734934827537</v>
      </c>
      <c r="H151" s="6">
        <f>'Results ReCiPe (H) - CC'!F451</f>
        <v>23.135438070506197</v>
      </c>
      <c r="I151" s="6">
        <f>'Results ReCiPe (H) - CC'!G451</f>
        <v>20.244068217927833</v>
      </c>
      <c r="J151" s="6">
        <f>'Results ReCiPe (H) - CC'!H451</f>
        <v>27.64734934827537</v>
      </c>
      <c r="K151" s="6">
        <f>'Results ReCiPe (H) - CC'!I451</f>
        <v>23.135438070506197</v>
      </c>
      <c r="L151" s="6">
        <f>'Results ReCiPe (H) - CC'!J451</f>
        <v>20.244068217927833</v>
      </c>
      <c r="M151" s="4"/>
    </row>
    <row r="152" spans="1:23" outlineLevel="1" x14ac:dyDescent="0.35">
      <c r="B152" s="282" t="s">
        <v>120</v>
      </c>
      <c r="C152" s="282" t="s">
        <v>864</v>
      </c>
      <c r="D152" s="6">
        <f>'Results ReCiPe (H) - CC'!B452</f>
        <v>0.8997808364838471</v>
      </c>
      <c r="E152" s="6">
        <f>'Results ReCiPe (H) - CC'!C452</f>
        <v>0.83835998236248488</v>
      </c>
      <c r="F152" s="6">
        <f>'Results ReCiPe (H) - CC'!D452</f>
        <v>0.78840150412988297</v>
      </c>
      <c r="G152" s="6">
        <f>'Results ReCiPe (H) - CC'!E452</f>
        <v>0.8997808364838471</v>
      </c>
      <c r="H152" s="6">
        <f>'Results ReCiPe (H) - CC'!F452</f>
        <v>0.83835998236248488</v>
      </c>
      <c r="I152" s="6">
        <f>'Results ReCiPe (H) - CC'!G452</f>
        <v>0.78840150412988297</v>
      </c>
      <c r="J152" s="6">
        <f>'Results ReCiPe (H) - CC'!H452</f>
        <v>0.44989041824192355</v>
      </c>
      <c r="K152" s="6">
        <f>'Results ReCiPe (H) - CC'!I452</f>
        <v>0.41917999118124244</v>
      </c>
      <c r="L152" s="6">
        <f>'Results ReCiPe (H) - CC'!J452</f>
        <v>0.39420075206494148</v>
      </c>
      <c r="M152" s="4"/>
    </row>
    <row r="153" spans="1:23" outlineLevel="1" x14ac:dyDescent="0.35">
      <c r="B153" s="282" t="s">
        <v>121</v>
      </c>
      <c r="C153" s="282" t="s">
        <v>864</v>
      </c>
      <c r="D153" s="6">
        <f>'Results ReCiPe (H) - CC'!B453</f>
        <v>420.13985470753306</v>
      </c>
      <c r="E153" s="6">
        <f>'Results ReCiPe (H) - CC'!C453</f>
        <v>353.01952668074426</v>
      </c>
      <c r="F153" s="6">
        <f>'Results ReCiPe (H) - CC'!D453</f>
        <v>303.25500058089318</v>
      </c>
      <c r="G153" s="6">
        <f>'Results ReCiPe (H) - CC'!E453</f>
        <v>420.13985470753306</v>
      </c>
      <c r="H153" s="6">
        <f>'Results ReCiPe (H) - CC'!F453</f>
        <v>353.01952668074426</v>
      </c>
      <c r="I153" s="6">
        <f>'Results ReCiPe (H) - CC'!G453</f>
        <v>303.25500058089318</v>
      </c>
      <c r="J153" s="6">
        <f>'Results ReCiPe (H) - CC'!H453</f>
        <v>420.13985470753306</v>
      </c>
      <c r="K153" s="6">
        <f>'Results ReCiPe (H) - CC'!I453</f>
        <v>353.01952668074426</v>
      </c>
      <c r="L153" s="6">
        <f>'Results ReCiPe (H) - CC'!J453</f>
        <v>303.25500058089318</v>
      </c>
      <c r="M153" s="4"/>
    </row>
    <row r="154" spans="1:23" outlineLevel="1" x14ac:dyDescent="0.35">
      <c r="B154" s="282" t="s">
        <v>797</v>
      </c>
      <c r="C154" s="282" t="s">
        <v>864</v>
      </c>
      <c r="D154" s="6">
        <f>'Results ReCiPe (H) - CC'!B454</f>
        <v>0</v>
      </c>
      <c r="E154" s="6">
        <f>'Results ReCiPe (H) - CC'!C454</f>
        <v>0</v>
      </c>
      <c r="F154" s="6">
        <f>'Results ReCiPe (H) - CC'!D454</f>
        <v>0</v>
      </c>
      <c r="G154" s="6">
        <f>'Results ReCiPe (H) - CC'!E454</f>
        <v>0</v>
      </c>
      <c r="H154" s="6">
        <f>'Results ReCiPe (H) - CC'!F454</f>
        <v>0</v>
      </c>
      <c r="I154" s="6">
        <f>'Results ReCiPe (H) - CC'!G454</f>
        <v>0</v>
      </c>
      <c r="J154" s="6">
        <f>'Results ReCiPe (H) - CC'!H454</f>
        <v>4515.9392966314781</v>
      </c>
      <c r="K154" s="6">
        <f>'Results ReCiPe (H) - CC'!I454</f>
        <v>4114.5057284244549</v>
      </c>
      <c r="L154" s="6">
        <f>'Results ReCiPe (H) - CC'!J454</f>
        <v>2748.4212418876768</v>
      </c>
      <c r="M154" s="4"/>
    </row>
    <row r="155" spans="1:23" outlineLevel="1" x14ac:dyDescent="0.35">
      <c r="B155" s="282" t="s">
        <v>122</v>
      </c>
      <c r="C155" s="282" t="s">
        <v>864</v>
      </c>
      <c r="D155" s="6">
        <f>'Results ReCiPe (H) - CC'!B455</f>
        <v>57506.611068071637</v>
      </c>
      <c r="E155" s="6">
        <f>'Results ReCiPe (H) - CC'!C455</f>
        <v>12328.289086735382</v>
      </c>
      <c r="F155" s="6">
        <f>'Results ReCiPe (H) - CC'!D455</f>
        <v>-170.17745936380504</v>
      </c>
      <c r="G155" s="6">
        <f>'Results ReCiPe (H) - CC'!E455</f>
        <v>44348.370274691973</v>
      </c>
      <c r="H155" s="6">
        <f>'Results ReCiPe (H) - CC'!F455</f>
        <v>9677.2526359985968</v>
      </c>
      <c r="I155" s="6">
        <f>'Results ReCiPe (H) - CC'!G455</f>
        <v>25.962057718256329</v>
      </c>
      <c r="J155" s="6">
        <f>'Results ReCiPe (H) - CC'!H455</f>
        <v>3544.1192648844799</v>
      </c>
      <c r="K155" s="6">
        <f>'Results ReCiPe (H) - CC'!I455</f>
        <v>2520.4306834484851</v>
      </c>
      <c r="L155" s="6">
        <f>'Results ReCiPe (H) - CC'!J455</f>
        <v>1937.1721867972415</v>
      </c>
      <c r="M155" s="4"/>
    </row>
    <row r="156" spans="1:23" outlineLevel="1" x14ac:dyDescent="0.35">
      <c r="B156" s="282" t="s">
        <v>123</v>
      </c>
      <c r="C156" s="282" t="s">
        <v>864</v>
      </c>
      <c r="D156" s="6">
        <f>'Results ReCiPe (H) - CC'!B456</f>
        <v>4448.1754549472962</v>
      </c>
      <c r="E156" s="6">
        <f>'Results ReCiPe (H) - CC'!C456</f>
        <v>1034.486182411272</v>
      </c>
      <c r="F156" s="6">
        <f>'Results ReCiPe (H) - CC'!D456</f>
        <v>75.686347530398237</v>
      </c>
      <c r="G156" s="6">
        <f>'Results ReCiPe (H) - CC'!E456</f>
        <v>4448.1754549472962</v>
      </c>
      <c r="H156" s="6">
        <f>'Results ReCiPe (H) - CC'!F456</f>
        <v>1034.486182411272</v>
      </c>
      <c r="I156" s="6">
        <f>'Results ReCiPe (H) - CC'!G456</f>
        <v>75.686347530398237</v>
      </c>
      <c r="J156" s="6">
        <f>'Results ReCiPe (H) - CC'!H456</f>
        <v>2224.0877274736481</v>
      </c>
      <c r="K156" s="6">
        <f>'Results ReCiPe (H) - CC'!I456</f>
        <v>517.24309120563601</v>
      </c>
      <c r="L156" s="6">
        <f>'Results ReCiPe (H) - CC'!J456</f>
        <v>37.843173765199118</v>
      </c>
      <c r="M156" s="4"/>
    </row>
    <row r="157" spans="1:23" outlineLevel="1" x14ac:dyDescent="0.35">
      <c r="B157" s="282" t="s">
        <v>124</v>
      </c>
      <c r="C157" s="282" t="s">
        <v>864</v>
      </c>
      <c r="D157" s="6">
        <f>'Results ReCiPe (H) - CC'!B457</f>
        <v>-100000</v>
      </c>
      <c r="E157" s="6">
        <f>'Results ReCiPe (H) - CC'!C457</f>
        <v>-100000</v>
      </c>
      <c r="F157" s="6">
        <f>'Results ReCiPe (H) - CC'!D457</f>
        <v>-100000</v>
      </c>
      <c r="G157" s="6">
        <f>'Results ReCiPe (H) - CC'!E457</f>
        <v>-100000</v>
      </c>
      <c r="H157" s="6">
        <f>'Results ReCiPe (H) - CC'!F457</f>
        <v>-100000</v>
      </c>
      <c r="I157" s="6">
        <f>'Results ReCiPe (H) - CC'!G457</f>
        <v>-100000</v>
      </c>
      <c r="J157" s="6">
        <f>'Results ReCiPe (H) - CC'!H457</f>
        <v>-50000</v>
      </c>
      <c r="K157" s="6">
        <f>'Results ReCiPe (H) - CC'!I457</f>
        <v>-50000</v>
      </c>
      <c r="L157" s="6">
        <f>'Results ReCiPe (H) - CC'!J457</f>
        <v>-50000</v>
      </c>
      <c r="M157" s="4"/>
    </row>
    <row r="158" spans="1:23" outlineLevel="1" x14ac:dyDescent="0.35">
      <c r="B158" s="282" t="s">
        <v>137</v>
      </c>
      <c r="C158" s="282" t="s">
        <v>864</v>
      </c>
      <c r="D158" s="6">
        <f>SUM(D148:D157)</f>
        <v>-35963.392604322114</v>
      </c>
      <c r="E158" s="6">
        <f t="shared" ref="E158:L158" si="31">SUM(E148:E157)</f>
        <v>-84744.505104778393</v>
      </c>
      <c r="F158" s="6">
        <f t="shared" si="31"/>
        <v>-98578.211035370681</v>
      </c>
      <c r="G158" s="6">
        <f t="shared" si="31"/>
        <v>-49121.633397701778</v>
      </c>
      <c r="H158" s="6">
        <f t="shared" si="31"/>
        <v>-87395.54155551517</v>
      </c>
      <c r="I158" s="6">
        <f t="shared" si="31"/>
        <v>-98382.07151828862</v>
      </c>
      <c r="J158" s="6">
        <f t="shared" si="31"/>
        <v>-37852.940573918881</v>
      </c>
      <c r="K158" s="6">
        <f t="shared" si="31"/>
        <v>-41169.664042628436</v>
      </c>
      <c r="L158" s="6">
        <f t="shared" si="31"/>
        <v>-43965.66945722088</v>
      </c>
      <c r="M158" s="4"/>
    </row>
    <row r="159" spans="1:23" outlineLevel="1" x14ac:dyDescent="0.35">
      <c r="M159" s="4"/>
    </row>
    <row r="160" spans="1:23" outlineLevel="1" x14ac:dyDescent="0.35">
      <c r="A160" s="15" t="s">
        <v>509</v>
      </c>
      <c r="B160" s="30"/>
      <c r="C160" s="140" t="s">
        <v>180</v>
      </c>
      <c r="D160" s="6" t="s">
        <v>889</v>
      </c>
      <c r="E160" s="6" t="s">
        <v>891</v>
      </c>
      <c r="F160" s="6" t="s">
        <v>890</v>
      </c>
      <c r="G160" s="6" t="s">
        <v>892</v>
      </c>
      <c r="H160" s="6" t="s">
        <v>893</v>
      </c>
      <c r="I160" s="6" t="s">
        <v>894</v>
      </c>
      <c r="J160" s="6" t="s">
        <v>896</v>
      </c>
      <c r="K160" s="6" t="s">
        <v>897</v>
      </c>
      <c r="L160" s="6" t="s">
        <v>895</v>
      </c>
      <c r="M160" s="4"/>
    </row>
    <row r="161" spans="1:13" outlineLevel="1" x14ac:dyDescent="0.35">
      <c r="A161" s="141" t="s">
        <v>803</v>
      </c>
      <c r="B161" s="282" t="s">
        <v>117</v>
      </c>
      <c r="C161" s="282" t="s">
        <v>821</v>
      </c>
      <c r="D161" s="6">
        <f t="shared" ref="D161:I161" si="32">D149/100</f>
        <v>15.33891633430572</v>
      </c>
      <c r="E161" s="6">
        <f t="shared" si="32"/>
        <v>14.228720723813575</v>
      </c>
      <c r="F161" s="6">
        <f t="shared" si="32"/>
        <v>11.10767980382567</v>
      </c>
      <c r="G161" s="6">
        <f t="shared" si="32"/>
        <v>15.33891633430572</v>
      </c>
      <c r="H161" s="6">
        <f t="shared" si="32"/>
        <v>14.228720723813575</v>
      </c>
      <c r="I161" s="6">
        <f t="shared" si="32"/>
        <v>11.10767980382567</v>
      </c>
      <c r="J161" s="6">
        <f>J149/50</f>
        <v>27.30109830898834</v>
      </c>
      <c r="K161" s="6">
        <f>K149/50</f>
        <v>25.103103901411338</v>
      </c>
      <c r="L161" s="6">
        <f>L149/50</f>
        <v>18.927767157790178</v>
      </c>
      <c r="M161" s="4"/>
    </row>
    <row r="162" spans="1:13" outlineLevel="1" x14ac:dyDescent="0.35">
      <c r="A162" s="141" t="s">
        <v>804</v>
      </c>
      <c r="B162" s="282" t="s">
        <v>118</v>
      </c>
      <c r="C162" s="282" t="s">
        <v>821</v>
      </c>
      <c r="D162" s="6">
        <f t="shared" ref="D162:I169" si="33">D150/100</f>
        <v>0.99242254336085489</v>
      </c>
      <c r="E162" s="6">
        <f t="shared" si="33"/>
        <v>0.92854228959986618</v>
      </c>
      <c r="F162" s="6">
        <f t="shared" si="33"/>
        <v>0.81224625777211612</v>
      </c>
      <c r="G162" s="6">
        <f t="shared" si="33"/>
        <v>0.99242254336085489</v>
      </c>
      <c r="H162" s="6">
        <f t="shared" si="33"/>
        <v>0.92854228959986618</v>
      </c>
      <c r="I162" s="6">
        <f t="shared" si="33"/>
        <v>0.81224625777211612</v>
      </c>
      <c r="J162" s="6">
        <f t="shared" ref="J162:L169" si="34">J150/50</f>
        <v>0.99242254336085489</v>
      </c>
      <c r="K162" s="6">
        <f t="shared" si="34"/>
        <v>0.92854228959986618</v>
      </c>
      <c r="L162" s="6">
        <f t="shared" si="34"/>
        <v>0.81224625777211612</v>
      </c>
      <c r="M162" s="4"/>
    </row>
    <row r="163" spans="1:13" outlineLevel="1" x14ac:dyDescent="0.35">
      <c r="B163" s="282" t="s">
        <v>119</v>
      </c>
      <c r="C163" s="282" t="s">
        <v>821</v>
      </c>
      <c r="D163" s="6">
        <f t="shared" si="33"/>
        <v>0.27647349348275368</v>
      </c>
      <c r="E163" s="6">
        <f t="shared" si="33"/>
        <v>0.23135438070506198</v>
      </c>
      <c r="F163" s="6">
        <f t="shared" si="33"/>
        <v>0.20244068217927833</v>
      </c>
      <c r="G163" s="6">
        <f t="shared" si="33"/>
        <v>0.27647349348275368</v>
      </c>
      <c r="H163" s="6">
        <f t="shared" si="33"/>
        <v>0.23135438070506198</v>
      </c>
      <c r="I163" s="6">
        <f t="shared" si="33"/>
        <v>0.20244068217927833</v>
      </c>
      <c r="J163" s="6">
        <f t="shared" si="34"/>
        <v>0.55294698696550737</v>
      </c>
      <c r="K163" s="6">
        <f t="shared" si="34"/>
        <v>0.46270876141012396</v>
      </c>
      <c r="L163" s="6">
        <f t="shared" si="34"/>
        <v>0.40488136435855665</v>
      </c>
      <c r="M163" s="4"/>
    </row>
    <row r="164" spans="1:13" outlineLevel="1" x14ac:dyDescent="0.35">
      <c r="B164" s="282" t="s">
        <v>120</v>
      </c>
      <c r="C164" s="282" t="s">
        <v>821</v>
      </c>
      <c r="D164" s="6">
        <f t="shared" si="33"/>
        <v>8.9978083648384714E-3</v>
      </c>
      <c r="E164" s="6">
        <f t="shared" si="33"/>
        <v>8.3835998236248491E-3</v>
      </c>
      <c r="F164" s="6">
        <f t="shared" si="33"/>
        <v>7.8840150412988301E-3</v>
      </c>
      <c r="G164" s="6">
        <f t="shared" si="33"/>
        <v>8.9978083648384714E-3</v>
      </c>
      <c r="H164" s="6">
        <f t="shared" si="33"/>
        <v>8.3835998236248491E-3</v>
      </c>
      <c r="I164" s="6">
        <f t="shared" si="33"/>
        <v>7.8840150412988301E-3</v>
      </c>
      <c r="J164" s="6">
        <f t="shared" si="34"/>
        <v>8.9978083648384714E-3</v>
      </c>
      <c r="K164" s="6">
        <f t="shared" si="34"/>
        <v>8.3835998236248491E-3</v>
      </c>
      <c r="L164" s="6">
        <f t="shared" si="34"/>
        <v>7.8840150412988301E-3</v>
      </c>
      <c r="M164" s="4"/>
    </row>
    <row r="165" spans="1:13" outlineLevel="1" x14ac:dyDescent="0.35">
      <c r="B165" s="282" t="s">
        <v>121</v>
      </c>
      <c r="C165" s="282" t="s">
        <v>821</v>
      </c>
      <c r="D165" s="6">
        <f t="shared" si="33"/>
        <v>4.201398547075331</v>
      </c>
      <c r="E165" s="6">
        <f t="shared" si="33"/>
        <v>3.5301952668074428</v>
      </c>
      <c r="F165" s="6">
        <f t="shared" si="33"/>
        <v>3.0325500058089316</v>
      </c>
      <c r="G165" s="6">
        <f t="shared" si="33"/>
        <v>4.201398547075331</v>
      </c>
      <c r="H165" s="6">
        <f t="shared" si="33"/>
        <v>3.5301952668074428</v>
      </c>
      <c r="I165" s="6">
        <f t="shared" si="33"/>
        <v>3.0325500058089316</v>
      </c>
      <c r="J165" s="6">
        <f t="shared" si="34"/>
        <v>8.402797094150662</v>
      </c>
      <c r="K165" s="6">
        <f t="shared" si="34"/>
        <v>7.0603905336148856</v>
      </c>
      <c r="L165" s="6">
        <f t="shared" si="34"/>
        <v>6.0651000116178633</v>
      </c>
      <c r="M165" s="4"/>
    </row>
    <row r="166" spans="1:13" outlineLevel="1" x14ac:dyDescent="0.35">
      <c r="B166" s="282" t="s">
        <v>797</v>
      </c>
      <c r="C166" s="282" t="s">
        <v>821</v>
      </c>
      <c r="D166" s="6">
        <f t="shared" si="33"/>
        <v>0</v>
      </c>
      <c r="E166" s="6">
        <f t="shared" si="33"/>
        <v>0</v>
      </c>
      <c r="F166" s="6">
        <f t="shared" si="33"/>
        <v>0</v>
      </c>
      <c r="G166" s="6">
        <f t="shared" si="33"/>
        <v>0</v>
      </c>
      <c r="H166" s="6">
        <f t="shared" si="33"/>
        <v>0</v>
      </c>
      <c r="I166" s="6">
        <f t="shared" si="33"/>
        <v>0</v>
      </c>
      <c r="J166" s="6">
        <f t="shared" si="34"/>
        <v>90.318785932629567</v>
      </c>
      <c r="K166" s="6">
        <f t="shared" si="34"/>
        <v>82.290114568489102</v>
      </c>
      <c r="L166" s="6">
        <f t="shared" si="34"/>
        <v>54.968424837753538</v>
      </c>
      <c r="M166" s="4"/>
    </row>
    <row r="167" spans="1:13" outlineLevel="1" x14ac:dyDescent="0.35">
      <c r="B167" s="282" t="s">
        <v>122</v>
      </c>
      <c r="C167" s="282" t="s">
        <v>821</v>
      </c>
      <c r="D167" s="6">
        <f t="shared" si="33"/>
        <v>575.06611068071641</v>
      </c>
      <c r="E167" s="6">
        <f t="shared" si="33"/>
        <v>123.28289086735381</v>
      </c>
      <c r="F167" s="6">
        <f t="shared" si="33"/>
        <v>-1.7017745936380504</v>
      </c>
      <c r="G167" s="6">
        <f t="shared" si="33"/>
        <v>443.48370274691973</v>
      </c>
      <c r="H167" s="6">
        <f t="shared" si="33"/>
        <v>96.772526359985974</v>
      </c>
      <c r="I167" s="6">
        <f t="shared" si="33"/>
        <v>0.25962057718256326</v>
      </c>
      <c r="J167" s="6">
        <f t="shared" si="34"/>
        <v>70.882385297689595</v>
      </c>
      <c r="K167" s="6">
        <f t="shared" si="34"/>
        <v>50.4086136689697</v>
      </c>
      <c r="L167" s="6">
        <f t="shared" si="34"/>
        <v>38.74344373594483</v>
      </c>
      <c r="M167" s="4"/>
    </row>
    <row r="168" spans="1:13" outlineLevel="1" x14ac:dyDescent="0.35">
      <c r="B168" s="282" t="s">
        <v>123</v>
      </c>
      <c r="C168" s="282" t="s">
        <v>821</v>
      </c>
      <c r="D168" s="6">
        <f t="shared" si="33"/>
        <v>44.48175454947296</v>
      </c>
      <c r="E168" s="6">
        <f t="shared" si="33"/>
        <v>10.344861824112719</v>
      </c>
      <c r="F168" s="6">
        <f t="shared" si="33"/>
        <v>0.75686347530398235</v>
      </c>
      <c r="G168" s="6">
        <f t="shared" si="33"/>
        <v>44.48175454947296</v>
      </c>
      <c r="H168" s="6">
        <f t="shared" si="33"/>
        <v>10.344861824112719</v>
      </c>
      <c r="I168" s="6">
        <f t="shared" si="33"/>
        <v>0.75686347530398235</v>
      </c>
      <c r="J168" s="6">
        <f t="shared" si="34"/>
        <v>44.48175454947296</v>
      </c>
      <c r="K168" s="6">
        <f t="shared" si="34"/>
        <v>10.344861824112719</v>
      </c>
      <c r="L168" s="6">
        <f t="shared" si="34"/>
        <v>0.75686347530398235</v>
      </c>
      <c r="M168" s="4"/>
    </row>
    <row r="169" spans="1:13" outlineLevel="1" x14ac:dyDescent="0.35">
      <c r="B169" s="282" t="s">
        <v>124</v>
      </c>
      <c r="C169" s="282" t="s">
        <v>821</v>
      </c>
      <c r="D169" s="6">
        <f t="shared" si="33"/>
        <v>-1000</v>
      </c>
      <c r="E169" s="6">
        <f t="shared" si="33"/>
        <v>-1000</v>
      </c>
      <c r="F169" s="6">
        <f t="shared" si="33"/>
        <v>-1000</v>
      </c>
      <c r="G169" s="6">
        <f t="shared" si="33"/>
        <v>-1000</v>
      </c>
      <c r="H169" s="6">
        <f t="shared" si="33"/>
        <v>-1000</v>
      </c>
      <c r="I169" s="6">
        <f t="shared" si="33"/>
        <v>-1000</v>
      </c>
      <c r="J169" s="6">
        <f t="shared" si="34"/>
        <v>-1000</v>
      </c>
      <c r="K169" s="6">
        <f t="shared" si="34"/>
        <v>-1000</v>
      </c>
      <c r="L169" s="6">
        <f t="shared" si="34"/>
        <v>-1000</v>
      </c>
      <c r="M169" s="4"/>
    </row>
    <row r="170" spans="1:13" outlineLevel="1" x14ac:dyDescent="0.35">
      <c r="B170" s="282" t="s">
        <v>137</v>
      </c>
      <c r="C170" s="282" t="s">
        <v>821</v>
      </c>
      <c r="D170" s="6">
        <f>SUM(D161:D169)</f>
        <v>-359.63392604322109</v>
      </c>
      <c r="E170" s="6">
        <f t="shared" ref="E170:L170" si="35">SUM(E161:E169)</f>
        <v>-847.44505104778386</v>
      </c>
      <c r="F170" s="6">
        <f t="shared" si="35"/>
        <v>-985.7821103537068</v>
      </c>
      <c r="G170" s="6">
        <f t="shared" si="35"/>
        <v>-491.21633397701783</v>
      </c>
      <c r="H170" s="6">
        <f t="shared" si="35"/>
        <v>-873.95541555515172</v>
      </c>
      <c r="I170" s="6">
        <f t="shared" si="35"/>
        <v>-983.82071518288615</v>
      </c>
      <c r="J170" s="6">
        <f t="shared" si="35"/>
        <v>-757.05881147837772</v>
      </c>
      <c r="K170" s="6">
        <f t="shared" si="35"/>
        <v>-823.39328085256864</v>
      </c>
      <c r="L170" s="6">
        <f t="shared" si="35"/>
        <v>-879.31338914441767</v>
      </c>
      <c r="M170" s="4"/>
    </row>
    <row r="171" spans="1:13" outlineLevel="1" x14ac:dyDescent="0.35">
      <c r="M171" s="4"/>
    </row>
    <row r="172" spans="1:13" outlineLevel="1" x14ac:dyDescent="0.35">
      <c r="A172" s="15" t="s">
        <v>509</v>
      </c>
      <c r="B172" s="30"/>
      <c r="C172" s="140" t="s">
        <v>180</v>
      </c>
      <c r="D172" s="6" t="s">
        <v>889</v>
      </c>
      <c r="E172" s="6" t="s">
        <v>891</v>
      </c>
      <c r="F172" s="6" t="s">
        <v>890</v>
      </c>
      <c r="G172" s="6" t="s">
        <v>892</v>
      </c>
      <c r="H172" s="6" t="s">
        <v>893</v>
      </c>
      <c r="I172" s="6" t="s">
        <v>894</v>
      </c>
      <c r="J172" s="6" t="s">
        <v>896</v>
      </c>
      <c r="K172" s="6" t="s">
        <v>897</v>
      </c>
      <c r="L172" s="6" t="s">
        <v>895</v>
      </c>
      <c r="M172" s="4"/>
    </row>
    <row r="173" spans="1:13" outlineLevel="1" x14ac:dyDescent="0.35">
      <c r="A173" s="141" t="s">
        <v>805</v>
      </c>
      <c r="B173" s="282" t="s">
        <v>117</v>
      </c>
      <c r="C173" s="282" t="s">
        <v>821</v>
      </c>
      <c r="D173" s="6">
        <f t="shared" ref="D173:I173" si="36">D149/50</f>
        <v>30.67783266861144</v>
      </c>
      <c r="E173" s="6">
        <f t="shared" si="36"/>
        <v>28.457441447627151</v>
      </c>
      <c r="F173" s="6">
        <f t="shared" si="36"/>
        <v>22.21535960765134</v>
      </c>
      <c r="G173" s="6">
        <f t="shared" si="36"/>
        <v>30.67783266861144</v>
      </c>
      <c r="H173" s="6">
        <f t="shared" si="36"/>
        <v>28.457441447627151</v>
      </c>
      <c r="I173" s="6">
        <f t="shared" si="36"/>
        <v>22.21535960765134</v>
      </c>
      <c r="J173" s="6">
        <f>J149/25</f>
        <v>54.602196617976681</v>
      </c>
      <c r="K173" s="6">
        <f>K149/25</f>
        <v>50.206207802822675</v>
      </c>
      <c r="L173" s="6">
        <f>L149/25</f>
        <v>37.855534315580357</v>
      </c>
      <c r="M173" s="4"/>
    </row>
    <row r="174" spans="1:13" outlineLevel="1" x14ac:dyDescent="0.35">
      <c r="A174" s="141" t="s">
        <v>806</v>
      </c>
      <c r="B174" s="282" t="s">
        <v>118</v>
      </c>
      <c r="C174" s="282" t="s">
        <v>821</v>
      </c>
      <c r="D174" s="6">
        <f t="shared" ref="D174:I180" si="37">D150/50</f>
        <v>1.9848450867217098</v>
      </c>
      <c r="E174" s="6">
        <f t="shared" si="37"/>
        <v>1.8570845791997324</v>
      </c>
      <c r="F174" s="6">
        <f t="shared" si="37"/>
        <v>1.6244925155442322</v>
      </c>
      <c r="G174" s="6">
        <f t="shared" si="37"/>
        <v>1.9848450867217098</v>
      </c>
      <c r="H174" s="6">
        <f t="shared" si="37"/>
        <v>1.8570845791997324</v>
      </c>
      <c r="I174" s="6">
        <f t="shared" si="37"/>
        <v>1.6244925155442322</v>
      </c>
      <c r="J174" s="6">
        <f t="shared" ref="J174:L180" si="38">J150/25</f>
        <v>1.9848450867217098</v>
      </c>
      <c r="K174" s="6">
        <f t="shared" si="38"/>
        <v>1.8570845791997324</v>
      </c>
      <c r="L174" s="6">
        <f t="shared" si="38"/>
        <v>1.6244925155442322</v>
      </c>
      <c r="M174" s="4"/>
    </row>
    <row r="175" spans="1:13" outlineLevel="1" x14ac:dyDescent="0.35">
      <c r="B175" s="282" t="s">
        <v>119</v>
      </c>
      <c r="C175" s="282" t="s">
        <v>821</v>
      </c>
      <c r="D175" s="6">
        <f t="shared" si="37"/>
        <v>0.55294698696550737</v>
      </c>
      <c r="E175" s="6">
        <f t="shared" si="37"/>
        <v>0.46270876141012396</v>
      </c>
      <c r="F175" s="6">
        <f t="shared" si="37"/>
        <v>0.40488136435855665</v>
      </c>
      <c r="G175" s="6">
        <f t="shared" si="37"/>
        <v>0.55294698696550737</v>
      </c>
      <c r="H175" s="6">
        <f t="shared" si="37"/>
        <v>0.46270876141012396</v>
      </c>
      <c r="I175" s="6">
        <f t="shared" si="37"/>
        <v>0.40488136435855665</v>
      </c>
      <c r="J175" s="6">
        <f t="shared" si="38"/>
        <v>1.1058939739310147</v>
      </c>
      <c r="K175" s="6">
        <f t="shared" si="38"/>
        <v>0.92541752282024792</v>
      </c>
      <c r="L175" s="6">
        <f t="shared" si="38"/>
        <v>0.8097627287171133</v>
      </c>
      <c r="M175" s="4"/>
    </row>
    <row r="176" spans="1:13" outlineLevel="1" x14ac:dyDescent="0.35">
      <c r="B176" s="282" t="s">
        <v>120</v>
      </c>
      <c r="C176" s="282" t="s">
        <v>821</v>
      </c>
      <c r="D176" s="6">
        <f t="shared" si="37"/>
        <v>1.7995616729676943E-2</v>
      </c>
      <c r="E176" s="6">
        <f t="shared" si="37"/>
        <v>1.6767199647249698E-2</v>
      </c>
      <c r="F176" s="6">
        <f t="shared" si="37"/>
        <v>1.576803008259766E-2</v>
      </c>
      <c r="G176" s="6">
        <f t="shared" si="37"/>
        <v>1.7995616729676943E-2</v>
      </c>
      <c r="H176" s="6">
        <f t="shared" si="37"/>
        <v>1.6767199647249698E-2</v>
      </c>
      <c r="I176" s="6">
        <f t="shared" si="37"/>
        <v>1.576803008259766E-2</v>
      </c>
      <c r="J176" s="6">
        <f t="shared" si="38"/>
        <v>1.7995616729676943E-2</v>
      </c>
      <c r="K176" s="6">
        <f t="shared" si="38"/>
        <v>1.6767199647249698E-2</v>
      </c>
      <c r="L176" s="6">
        <f t="shared" si="38"/>
        <v>1.576803008259766E-2</v>
      </c>
      <c r="M176" s="4"/>
    </row>
    <row r="177" spans="1:13" outlineLevel="1" x14ac:dyDescent="0.35">
      <c r="B177" s="282" t="s">
        <v>121</v>
      </c>
      <c r="C177" s="282" t="s">
        <v>821</v>
      </c>
      <c r="D177" s="6">
        <f t="shared" si="37"/>
        <v>8.402797094150662</v>
      </c>
      <c r="E177" s="6">
        <f t="shared" si="37"/>
        <v>7.0603905336148856</v>
      </c>
      <c r="F177" s="6">
        <f t="shared" si="37"/>
        <v>6.0651000116178633</v>
      </c>
      <c r="G177" s="6">
        <f t="shared" si="37"/>
        <v>8.402797094150662</v>
      </c>
      <c r="H177" s="6">
        <f t="shared" si="37"/>
        <v>7.0603905336148856</v>
      </c>
      <c r="I177" s="6">
        <f t="shared" si="37"/>
        <v>6.0651000116178633</v>
      </c>
      <c r="J177" s="6">
        <f t="shared" si="38"/>
        <v>16.805594188301324</v>
      </c>
      <c r="K177" s="6">
        <f t="shared" si="38"/>
        <v>14.120781067229771</v>
      </c>
      <c r="L177" s="6">
        <f t="shared" si="38"/>
        <v>12.130200023235727</v>
      </c>
      <c r="M177" s="4"/>
    </row>
    <row r="178" spans="1:13" outlineLevel="1" x14ac:dyDescent="0.35">
      <c r="B178" s="282" t="s">
        <v>797</v>
      </c>
      <c r="C178" s="282" t="s">
        <v>821</v>
      </c>
      <c r="D178" s="6">
        <f t="shared" si="37"/>
        <v>0</v>
      </c>
      <c r="E178" s="6">
        <f t="shared" si="37"/>
        <v>0</v>
      </c>
      <c r="F178" s="6">
        <f t="shared" si="37"/>
        <v>0</v>
      </c>
      <c r="G178" s="6">
        <f t="shared" si="37"/>
        <v>0</v>
      </c>
      <c r="H178" s="6">
        <f t="shared" si="37"/>
        <v>0</v>
      </c>
      <c r="I178" s="6">
        <f t="shared" si="37"/>
        <v>0</v>
      </c>
      <c r="J178" s="6">
        <f t="shared" si="38"/>
        <v>180.63757186525913</v>
      </c>
      <c r="K178" s="6">
        <f t="shared" si="38"/>
        <v>164.5802291369782</v>
      </c>
      <c r="L178" s="6">
        <f t="shared" si="38"/>
        <v>109.93684967550708</v>
      </c>
      <c r="M178" s="4"/>
    </row>
    <row r="179" spans="1:13" outlineLevel="1" x14ac:dyDescent="0.35">
      <c r="B179" s="282" t="s">
        <v>122</v>
      </c>
      <c r="C179" s="282" t="s">
        <v>821</v>
      </c>
      <c r="D179" s="6">
        <f>D155/50</f>
        <v>1150.1322213614328</v>
      </c>
      <c r="E179" s="6">
        <f t="shared" si="37"/>
        <v>246.56578173470763</v>
      </c>
      <c r="F179" s="6">
        <f t="shared" si="37"/>
        <v>-3.4035491872761008</v>
      </c>
      <c r="G179" s="6">
        <f t="shared" si="37"/>
        <v>886.96740549383946</v>
      </c>
      <c r="H179" s="6">
        <f t="shared" si="37"/>
        <v>193.54505271997195</v>
      </c>
      <c r="I179" s="6">
        <f t="shared" si="37"/>
        <v>0.51924115436512652</v>
      </c>
      <c r="J179" s="6">
        <f t="shared" si="38"/>
        <v>141.76477059537919</v>
      </c>
      <c r="K179" s="6">
        <f t="shared" si="38"/>
        <v>100.8172273379394</v>
      </c>
      <c r="L179" s="6">
        <f t="shared" si="38"/>
        <v>77.486887471889659</v>
      </c>
      <c r="M179" s="4"/>
    </row>
    <row r="180" spans="1:13" outlineLevel="1" x14ac:dyDescent="0.35">
      <c r="B180" s="282" t="s">
        <v>123</v>
      </c>
      <c r="C180" s="282" t="s">
        <v>821</v>
      </c>
      <c r="D180" s="6">
        <f t="shared" si="37"/>
        <v>88.96350909894592</v>
      </c>
      <c r="E180" s="6">
        <f t="shared" si="37"/>
        <v>20.689723648225439</v>
      </c>
      <c r="F180" s="6">
        <f t="shared" si="37"/>
        <v>1.5137269506079647</v>
      </c>
      <c r="G180" s="6">
        <f t="shared" si="37"/>
        <v>88.96350909894592</v>
      </c>
      <c r="H180" s="6">
        <f t="shared" si="37"/>
        <v>20.689723648225439</v>
      </c>
      <c r="I180" s="6">
        <f t="shared" si="37"/>
        <v>1.5137269506079647</v>
      </c>
      <c r="J180" s="6">
        <f t="shared" si="38"/>
        <v>88.96350909894592</v>
      </c>
      <c r="K180" s="6">
        <f t="shared" si="38"/>
        <v>20.689723648225439</v>
      </c>
      <c r="L180" s="6">
        <f t="shared" si="38"/>
        <v>1.5137269506079647</v>
      </c>
      <c r="M180" s="4"/>
    </row>
    <row r="181" spans="1:13" outlineLevel="1" x14ac:dyDescent="0.35">
      <c r="B181" s="282" t="s">
        <v>124</v>
      </c>
      <c r="C181" s="282" t="s">
        <v>821</v>
      </c>
      <c r="D181" s="16">
        <f>-1000</f>
        <v>-1000</v>
      </c>
      <c r="E181" s="6">
        <f t="shared" ref="E181:L181" si="39">-1000</f>
        <v>-1000</v>
      </c>
      <c r="F181" s="6">
        <f t="shared" si="39"/>
        <v>-1000</v>
      </c>
      <c r="G181" s="6">
        <f t="shared" si="39"/>
        <v>-1000</v>
      </c>
      <c r="H181" s="6">
        <f t="shared" si="39"/>
        <v>-1000</v>
      </c>
      <c r="I181" s="6">
        <f t="shared" si="39"/>
        <v>-1000</v>
      </c>
      <c r="J181" s="6">
        <f t="shared" si="39"/>
        <v>-1000</v>
      </c>
      <c r="K181" s="6">
        <f t="shared" si="39"/>
        <v>-1000</v>
      </c>
      <c r="L181" s="6">
        <f t="shared" si="39"/>
        <v>-1000</v>
      </c>
      <c r="M181" s="4"/>
    </row>
    <row r="182" spans="1:13" outlineLevel="1" x14ac:dyDescent="0.35">
      <c r="B182" s="282" t="s">
        <v>137</v>
      </c>
      <c r="C182" s="282" t="s">
        <v>821</v>
      </c>
      <c r="D182" s="6">
        <f>SUM(D173:D181)</f>
        <v>280.73214791355781</v>
      </c>
      <c r="E182" s="6">
        <f t="shared" ref="E182:L182" si="40">SUM(E173:E181)</f>
        <v>-694.89010209556773</v>
      </c>
      <c r="F182" s="6">
        <f t="shared" si="40"/>
        <v>-971.5642207074136</v>
      </c>
      <c r="G182" s="6">
        <f t="shared" si="40"/>
        <v>17.567332045964349</v>
      </c>
      <c r="H182" s="6">
        <f t="shared" si="40"/>
        <v>-747.91083111030343</v>
      </c>
      <c r="I182" s="6">
        <f t="shared" si="40"/>
        <v>-967.64143036577229</v>
      </c>
      <c r="J182" s="6">
        <f t="shared" si="40"/>
        <v>-514.11762295675533</v>
      </c>
      <c r="K182" s="6">
        <f t="shared" si="40"/>
        <v>-646.78656170513727</v>
      </c>
      <c r="L182" s="6">
        <f t="shared" si="40"/>
        <v>-758.62677828883534</v>
      </c>
      <c r="M182" s="4"/>
    </row>
    <row r="183" spans="1:13" outlineLevel="1" x14ac:dyDescent="0.35">
      <c r="M183" s="4"/>
    </row>
    <row r="184" spans="1:13" outlineLevel="1" x14ac:dyDescent="0.35">
      <c r="A184" s="15" t="s">
        <v>509</v>
      </c>
      <c r="B184" s="30"/>
      <c r="C184" s="140" t="s">
        <v>180</v>
      </c>
      <c r="D184" s="6" t="s">
        <v>889</v>
      </c>
      <c r="E184" s="6" t="s">
        <v>891</v>
      </c>
      <c r="F184" s="6" t="s">
        <v>890</v>
      </c>
      <c r="G184" s="6" t="s">
        <v>892</v>
      </c>
      <c r="H184" s="6" t="s">
        <v>893</v>
      </c>
      <c r="I184" s="6" t="s">
        <v>894</v>
      </c>
      <c r="J184" s="6" t="s">
        <v>896</v>
      </c>
      <c r="K184" s="6" t="s">
        <v>897</v>
      </c>
      <c r="L184" s="6" t="s">
        <v>895</v>
      </c>
      <c r="M184" s="4"/>
    </row>
    <row r="185" spans="1:13" outlineLevel="1" x14ac:dyDescent="0.35">
      <c r="A185" s="141" t="s">
        <v>807</v>
      </c>
      <c r="B185" s="282" t="s">
        <v>117</v>
      </c>
      <c r="C185" s="282" t="s">
        <v>821</v>
      </c>
      <c r="D185" s="6">
        <f t="shared" ref="D185:I185" si="41">D149/150</f>
        <v>10.22594422287048</v>
      </c>
      <c r="E185" s="6">
        <f t="shared" si="41"/>
        <v>9.4858138158757175</v>
      </c>
      <c r="F185" s="6">
        <f t="shared" si="41"/>
        <v>7.4051198692171134</v>
      </c>
      <c r="G185" s="6">
        <f t="shared" si="41"/>
        <v>10.22594422287048</v>
      </c>
      <c r="H185" s="6">
        <f t="shared" si="41"/>
        <v>9.4858138158757175</v>
      </c>
      <c r="I185" s="6">
        <f t="shared" si="41"/>
        <v>7.4051198692171134</v>
      </c>
      <c r="J185" s="6">
        <f>J149/75</f>
        <v>18.200732205992225</v>
      </c>
      <c r="K185" s="6">
        <f>K149/75</f>
        <v>16.73540260094089</v>
      </c>
      <c r="L185" s="6">
        <f>L149/75</f>
        <v>12.618511438526786</v>
      </c>
      <c r="M185" s="4"/>
    </row>
    <row r="186" spans="1:13" outlineLevel="1" x14ac:dyDescent="0.35">
      <c r="A186" s="141" t="s">
        <v>808</v>
      </c>
      <c r="B186" s="282" t="s">
        <v>118</v>
      </c>
      <c r="C186" s="282" t="s">
        <v>821</v>
      </c>
      <c r="D186" s="6">
        <f t="shared" ref="D186:I192" si="42">D150/150</f>
        <v>0.66161502890723667</v>
      </c>
      <c r="E186" s="6">
        <f t="shared" si="42"/>
        <v>0.61902819306657741</v>
      </c>
      <c r="F186" s="6">
        <f t="shared" si="42"/>
        <v>0.54149750518141071</v>
      </c>
      <c r="G186" s="6">
        <f t="shared" si="42"/>
        <v>0.66161502890723667</v>
      </c>
      <c r="H186" s="6">
        <f t="shared" si="42"/>
        <v>0.61902819306657741</v>
      </c>
      <c r="I186" s="6">
        <f t="shared" si="42"/>
        <v>0.54149750518141071</v>
      </c>
      <c r="J186" s="6">
        <f t="shared" ref="J186:L192" si="43">J150/75</f>
        <v>0.66161502890723667</v>
      </c>
      <c r="K186" s="6">
        <f t="shared" si="43"/>
        <v>0.61902819306657741</v>
      </c>
      <c r="L186" s="6">
        <f t="shared" si="43"/>
        <v>0.54149750518141071</v>
      </c>
      <c r="M186" s="4"/>
    </row>
    <row r="187" spans="1:13" outlineLevel="1" x14ac:dyDescent="0.35">
      <c r="B187" s="282" t="s">
        <v>119</v>
      </c>
      <c r="C187" s="282" t="s">
        <v>821</v>
      </c>
      <c r="D187" s="6">
        <f t="shared" si="42"/>
        <v>0.1843156623218358</v>
      </c>
      <c r="E187" s="6">
        <f t="shared" si="42"/>
        <v>0.15423625380337463</v>
      </c>
      <c r="F187" s="6">
        <f t="shared" si="42"/>
        <v>0.13496045478618554</v>
      </c>
      <c r="G187" s="6">
        <f t="shared" si="42"/>
        <v>0.1843156623218358</v>
      </c>
      <c r="H187" s="6">
        <f t="shared" si="42"/>
        <v>0.15423625380337463</v>
      </c>
      <c r="I187" s="6">
        <f t="shared" si="42"/>
        <v>0.13496045478618554</v>
      </c>
      <c r="J187" s="6">
        <f t="shared" si="43"/>
        <v>0.3686313246436716</v>
      </c>
      <c r="K187" s="6">
        <f t="shared" si="43"/>
        <v>0.30847250760674927</v>
      </c>
      <c r="L187" s="6">
        <f t="shared" si="43"/>
        <v>0.26992090957237108</v>
      </c>
      <c r="M187" s="4"/>
    </row>
    <row r="188" spans="1:13" outlineLevel="1" x14ac:dyDescent="0.35">
      <c r="B188" s="282" t="s">
        <v>120</v>
      </c>
      <c r="C188" s="282" t="s">
        <v>821</v>
      </c>
      <c r="D188" s="6">
        <f t="shared" si="42"/>
        <v>5.9985389098923137E-3</v>
      </c>
      <c r="E188" s="6">
        <f t="shared" si="42"/>
        <v>5.5890665490832322E-3</v>
      </c>
      <c r="F188" s="6">
        <f t="shared" si="42"/>
        <v>5.2560100275325528E-3</v>
      </c>
      <c r="G188" s="6">
        <f t="shared" si="42"/>
        <v>5.9985389098923137E-3</v>
      </c>
      <c r="H188" s="6">
        <f t="shared" si="42"/>
        <v>5.5890665490832322E-3</v>
      </c>
      <c r="I188" s="6">
        <f t="shared" si="42"/>
        <v>5.2560100275325528E-3</v>
      </c>
      <c r="J188" s="6">
        <f t="shared" si="43"/>
        <v>5.9985389098923137E-3</v>
      </c>
      <c r="K188" s="6">
        <f t="shared" si="43"/>
        <v>5.5890665490832322E-3</v>
      </c>
      <c r="L188" s="6">
        <f t="shared" si="43"/>
        <v>5.2560100275325528E-3</v>
      </c>
      <c r="M188" s="4"/>
    </row>
    <row r="189" spans="1:13" outlineLevel="1" x14ac:dyDescent="0.35">
      <c r="B189" s="282" t="s">
        <v>121</v>
      </c>
      <c r="C189" s="282" t="s">
        <v>821</v>
      </c>
      <c r="D189" s="6">
        <f t="shared" si="42"/>
        <v>2.8009323647168869</v>
      </c>
      <c r="E189" s="6">
        <f t="shared" si="42"/>
        <v>2.3534635112049616</v>
      </c>
      <c r="F189" s="6">
        <f t="shared" si="42"/>
        <v>2.0217000038726214</v>
      </c>
      <c r="G189" s="6">
        <f t="shared" si="42"/>
        <v>2.8009323647168869</v>
      </c>
      <c r="H189" s="6">
        <f t="shared" si="42"/>
        <v>2.3534635112049616</v>
      </c>
      <c r="I189" s="6">
        <f t="shared" si="42"/>
        <v>2.0217000038726214</v>
      </c>
      <c r="J189" s="6">
        <f t="shared" si="43"/>
        <v>5.6018647294337738</v>
      </c>
      <c r="K189" s="6">
        <f t="shared" si="43"/>
        <v>4.7069270224099231</v>
      </c>
      <c r="L189" s="6">
        <f t="shared" si="43"/>
        <v>4.0434000077452428</v>
      </c>
      <c r="M189" s="4"/>
    </row>
    <row r="190" spans="1:13" outlineLevel="1" x14ac:dyDescent="0.35">
      <c r="B190" s="282" t="s">
        <v>797</v>
      </c>
      <c r="C190" s="282" t="s">
        <v>821</v>
      </c>
      <c r="D190" s="6">
        <f t="shared" si="42"/>
        <v>0</v>
      </c>
      <c r="E190" s="6">
        <f t="shared" si="42"/>
        <v>0</v>
      </c>
      <c r="F190" s="6">
        <f t="shared" si="42"/>
        <v>0</v>
      </c>
      <c r="G190" s="6">
        <f t="shared" si="42"/>
        <v>0</v>
      </c>
      <c r="H190" s="6">
        <f t="shared" si="42"/>
        <v>0</v>
      </c>
      <c r="I190" s="6">
        <f t="shared" si="42"/>
        <v>0</v>
      </c>
      <c r="J190" s="6">
        <f t="shared" si="43"/>
        <v>60.212523955086375</v>
      </c>
      <c r="K190" s="6">
        <f t="shared" si="43"/>
        <v>54.86007637899273</v>
      </c>
      <c r="L190" s="6">
        <f t="shared" si="43"/>
        <v>36.645616558502361</v>
      </c>
      <c r="M190" s="4"/>
    </row>
    <row r="191" spans="1:13" outlineLevel="1" x14ac:dyDescent="0.35">
      <c r="B191" s="282" t="s">
        <v>122</v>
      </c>
      <c r="C191" s="282" t="s">
        <v>821</v>
      </c>
      <c r="D191" s="6">
        <f t="shared" si="42"/>
        <v>383.37740712047759</v>
      </c>
      <c r="E191" s="6">
        <f t="shared" si="42"/>
        <v>82.188593911569214</v>
      </c>
      <c r="F191" s="6">
        <f t="shared" si="42"/>
        <v>-1.1345163957587003</v>
      </c>
      <c r="G191" s="6">
        <f t="shared" si="42"/>
        <v>295.6558018312798</v>
      </c>
      <c r="H191" s="6">
        <f t="shared" si="42"/>
        <v>64.515017573323973</v>
      </c>
      <c r="I191" s="6">
        <f t="shared" si="42"/>
        <v>0.17308038478837554</v>
      </c>
      <c r="J191" s="6">
        <f t="shared" si="43"/>
        <v>47.254923531793068</v>
      </c>
      <c r="K191" s="6">
        <f t="shared" si="43"/>
        <v>33.6057424459798</v>
      </c>
      <c r="L191" s="6">
        <f t="shared" si="43"/>
        <v>25.828962490629888</v>
      </c>
      <c r="M191" s="4"/>
    </row>
    <row r="192" spans="1:13" outlineLevel="1" x14ac:dyDescent="0.35">
      <c r="B192" s="282" t="s">
        <v>123</v>
      </c>
      <c r="C192" s="282" t="s">
        <v>821</v>
      </c>
      <c r="D192" s="6">
        <f t="shared" si="42"/>
        <v>29.654503032981975</v>
      </c>
      <c r="E192" s="6">
        <f t="shared" si="42"/>
        <v>6.8965745494084798</v>
      </c>
      <c r="F192" s="6">
        <f t="shared" si="42"/>
        <v>0.50457565020265494</v>
      </c>
      <c r="G192" s="6">
        <f t="shared" si="42"/>
        <v>29.654503032981975</v>
      </c>
      <c r="H192" s="6">
        <f t="shared" si="42"/>
        <v>6.8965745494084798</v>
      </c>
      <c r="I192" s="6">
        <f t="shared" si="42"/>
        <v>0.50457565020265494</v>
      </c>
      <c r="J192" s="6">
        <f t="shared" si="43"/>
        <v>29.654503032981975</v>
      </c>
      <c r="K192" s="6">
        <f t="shared" si="43"/>
        <v>6.8965745494084798</v>
      </c>
      <c r="L192" s="6">
        <f t="shared" si="43"/>
        <v>0.50457565020265494</v>
      </c>
      <c r="M192" s="4"/>
    </row>
    <row r="193" spans="1:19" outlineLevel="1" x14ac:dyDescent="0.35">
      <c r="B193" s="282" t="s">
        <v>124</v>
      </c>
      <c r="C193" s="282" t="s">
        <v>821</v>
      </c>
      <c r="D193" s="16">
        <f>-1000</f>
        <v>-1000</v>
      </c>
      <c r="E193" s="6">
        <f t="shared" ref="E193:L193" si="44">-1000</f>
        <v>-1000</v>
      </c>
      <c r="F193" s="6">
        <f t="shared" si="44"/>
        <v>-1000</v>
      </c>
      <c r="G193" s="6">
        <f t="shared" si="44"/>
        <v>-1000</v>
      </c>
      <c r="H193" s="6">
        <f t="shared" si="44"/>
        <v>-1000</v>
      </c>
      <c r="I193" s="6">
        <f t="shared" si="44"/>
        <v>-1000</v>
      </c>
      <c r="J193" s="6">
        <f t="shared" si="44"/>
        <v>-1000</v>
      </c>
      <c r="K193" s="6">
        <f t="shared" si="44"/>
        <v>-1000</v>
      </c>
      <c r="L193" s="6">
        <f t="shared" si="44"/>
        <v>-1000</v>
      </c>
      <c r="M193" s="4"/>
    </row>
    <row r="194" spans="1:19" outlineLevel="1" x14ac:dyDescent="0.35">
      <c r="B194" s="282" t="s">
        <v>137</v>
      </c>
      <c r="C194" s="282" t="s">
        <v>821</v>
      </c>
      <c r="D194" s="6">
        <f>SUM(D185:D193)</f>
        <v>-573.08928402881406</v>
      </c>
      <c r="E194" s="6">
        <f t="shared" ref="E194:L194" si="45">SUM(E185:E193)</f>
        <v>-898.29670069852261</v>
      </c>
      <c r="F194" s="6">
        <f t="shared" si="45"/>
        <v>-990.5214069024712</v>
      </c>
      <c r="G194" s="6">
        <f t="shared" si="45"/>
        <v>-660.81088931801196</v>
      </c>
      <c r="H194" s="6">
        <f t="shared" si="45"/>
        <v>-915.97027703676781</v>
      </c>
      <c r="I194" s="6">
        <f t="shared" si="45"/>
        <v>-989.2138101219241</v>
      </c>
      <c r="J194" s="6">
        <f t="shared" si="45"/>
        <v>-838.03920765225178</v>
      </c>
      <c r="K194" s="6">
        <f t="shared" si="45"/>
        <v>-882.26218723504576</v>
      </c>
      <c r="L194" s="6">
        <f t="shared" si="45"/>
        <v>-919.5422594296117</v>
      </c>
      <c r="M194" s="4"/>
    </row>
    <row r="195" spans="1:19" outlineLevel="1" x14ac:dyDescent="0.35">
      <c r="D195" s="6"/>
      <c r="E195" s="6"/>
      <c r="F195" s="6"/>
      <c r="G195" s="6"/>
      <c r="H195" s="6"/>
      <c r="I195" s="6"/>
      <c r="J195" s="6"/>
      <c r="K195" s="6"/>
      <c r="L195" s="6"/>
      <c r="M195" s="4"/>
    </row>
    <row r="196" spans="1:19" s="33" customFormat="1" ht="15.5" x14ac:dyDescent="0.35">
      <c r="A196" s="51" t="s">
        <v>860</v>
      </c>
      <c r="B196" s="4"/>
      <c r="C196" s="4"/>
      <c r="D196" s="4"/>
      <c r="E196" s="4"/>
      <c r="F196" s="4"/>
      <c r="G196" s="4"/>
      <c r="H196" s="4"/>
      <c r="I196" s="4"/>
      <c r="J196" s="4"/>
      <c r="K196" s="4"/>
      <c r="L196" s="4"/>
      <c r="M196" s="4"/>
      <c r="N196" s="282"/>
      <c r="O196" s="282"/>
      <c r="P196" s="282"/>
      <c r="Q196" s="282"/>
      <c r="R196" s="282"/>
      <c r="S196" s="282"/>
    </row>
    <row r="197" spans="1:19" outlineLevel="1" x14ac:dyDescent="0.35">
      <c r="A197" s="15" t="s">
        <v>573</v>
      </c>
      <c r="B197" s="30"/>
      <c r="C197" s="140" t="s">
        <v>180</v>
      </c>
      <c r="D197" s="6" t="s">
        <v>889</v>
      </c>
      <c r="E197" s="6" t="s">
        <v>891</v>
      </c>
      <c r="F197" s="6" t="s">
        <v>890</v>
      </c>
      <c r="G197" s="6" t="s">
        <v>892</v>
      </c>
      <c r="H197" s="6" t="s">
        <v>893</v>
      </c>
      <c r="I197" s="6" t="s">
        <v>894</v>
      </c>
      <c r="J197" s="6" t="s">
        <v>896</v>
      </c>
      <c r="K197" s="6" t="s">
        <v>897</v>
      </c>
      <c r="L197" s="6" t="s">
        <v>895</v>
      </c>
      <c r="M197" s="4"/>
    </row>
    <row r="198" spans="1:19" outlineLevel="1" x14ac:dyDescent="0.35">
      <c r="B198" s="282" t="s">
        <v>117</v>
      </c>
      <c r="C198" s="282" t="s">
        <v>821</v>
      </c>
      <c r="D198" s="6">
        <f>'Results ReCiPe (H) - CC'!B467</f>
        <v>15.33891633430572</v>
      </c>
      <c r="E198" s="6">
        <f>'Results ReCiPe (H) - CC'!C467</f>
        <v>14.228720723813575</v>
      </c>
      <c r="F198" s="6">
        <f>'Results ReCiPe (H) - CC'!D467</f>
        <v>11.10767980382567</v>
      </c>
      <c r="G198" s="6">
        <f>'Results ReCiPe (H) - CC'!E467</f>
        <v>15.33891633430572</v>
      </c>
      <c r="H198" s="6">
        <f>'Results ReCiPe (H) - CC'!F467</f>
        <v>14.228720723813575</v>
      </c>
      <c r="I198" s="6">
        <f>'Results ReCiPe (H) - CC'!G467</f>
        <v>11.10767980382567</v>
      </c>
      <c r="J198" s="6">
        <f>'Results ReCiPe (H) - CC'!H467</f>
        <v>27.30109830898834</v>
      </c>
      <c r="K198" s="6">
        <f>'Results ReCiPe (H) - CC'!I467</f>
        <v>25.103103901411338</v>
      </c>
      <c r="L198" s="6">
        <f>'Results ReCiPe (H) - CC'!J467</f>
        <v>18.927767157790178</v>
      </c>
      <c r="M198" s="4"/>
    </row>
    <row r="199" spans="1:19" outlineLevel="1" x14ac:dyDescent="0.35">
      <c r="B199" s="282" t="s">
        <v>118</v>
      </c>
      <c r="C199" s="282" t="s">
        <v>821</v>
      </c>
      <c r="D199" s="6">
        <f>'Results ReCiPe (H) - CC'!B468</f>
        <v>0.99242254336085489</v>
      </c>
      <c r="E199" s="6">
        <f>'Results ReCiPe (H) - CC'!C468</f>
        <v>0.92854228959986618</v>
      </c>
      <c r="F199" s="6">
        <f>'Results ReCiPe (H) - CC'!D468</f>
        <v>0.81224625777211612</v>
      </c>
      <c r="G199" s="6">
        <f>'Results ReCiPe (H) - CC'!E468</f>
        <v>0.99242254336085489</v>
      </c>
      <c r="H199" s="6">
        <f>'Results ReCiPe (H) - CC'!F468</f>
        <v>0.92854228959986618</v>
      </c>
      <c r="I199" s="6">
        <f>'Results ReCiPe (H) - CC'!G468</f>
        <v>0.81224625777211612</v>
      </c>
      <c r="J199" s="6">
        <f>'Results ReCiPe (H) - CC'!H468</f>
        <v>0.99242254336085489</v>
      </c>
      <c r="K199" s="6">
        <f>'Results ReCiPe (H) - CC'!I468</f>
        <v>0.92854228959986618</v>
      </c>
      <c r="L199" s="6">
        <f>'Results ReCiPe (H) - CC'!J468</f>
        <v>0.81224625777211612</v>
      </c>
      <c r="M199" s="4"/>
    </row>
    <row r="200" spans="1:19" outlineLevel="1" x14ac:dyDescent="0.35">
      <c r="B200" s="282" t="s">
        <v>119</v>
      </c>
      <c r="C200" s="282" t="s">
        <v>821</v>
      </c>
      <c r="D200" s="6">
        <f>'Results ReCiPe (H) - CC'!B469</f>
        <v>0.27647349348275368</v>
      </c>
      <c r="E200" s="6">
        <f>'Results ReCiPe (H) - CC'!C469</f>
        <v>0.23135438070506198</v>
      </c>
      <c r="F200" s="6">
        <f>'Results ReCiPe (H) - CC'!D469</f>
        <v>0.20244068217927833</v>
      </c>
      <c r="G200" s="6">
        <f>'Results ReCiPe (H) - CC'!E469</f>
        <v>0.27647349348275368</v>
      </c>
      <c r="H200" s="6">
        <f>'Results ReCiPe (H) - CC'!F469</f>
        <v>0.23135438070506198</v>
      </c>
      <c r="I200" s="6">
        <f>'Results ReCiPe (H) - CC'!G469</f>
        <v>0.20244068217927833</v>
      </c>
      <c r="J200" s="6">
        <f>'Results ReCiPe (H) - CC'!H469</f>
        <v>0.55294698696550737</v>
      </c>
      <c r="K200" s="6">
        <f>'Results ReCiPe (H) - CC'!I469</f>
        <v>0.46270876141012396</v>
      </c>
      <c r="L200" s="6">
        <f>'Results ReCiPe (H) - CC'!J469</f>
        <v>0.40488136435855665</v>
      </c>
      <c r="M200" s="4"/>
    </row>
    <row r="201" spans="1:19" outlineLevel="1" x14ac:dyDescent="0.35">
      <c r="B201" s="282" t="s">
        <v>120</v>
      </c>
      <c r="C201" s="282" t="s">
        <v>821</v>
      </c>
      <c r="D201" s="6">
        <f>'Results ReCiPe (H) - CC'!B470</f>
        <v>8.9978083648384714E-3</v>
      </c>
      <c r="E201" s="6">
        <f>'Results ReCiPe (H) - CC'!C470</f>
        <v>8.3835998236248491E-3</v>
      </c>
      <c r="F201" s="6">
        <f>'Results ReCiPe (H) - CC'!D470</f>
        <v>7.8840150412988301E-3</v>
      </c>
      <c r="G201" s="6">
        <f>'Results ReCiPe (H) - CC'!E470</f>
        <v>8.9978083648384714E-3</v>
      </c>
      <c r="H201" s="6">
        <f>'Results ReCiPe (H) - CC'!F470</f>
        <v>8.3835998236248491E-3</v>
      </c>
      <c r="I201" s="6">
        <f>'Results ReCiPe (H) - CC'!G470</f>
        <v>7.8840150412988301E-3</v>
      </c>
      <c r="J201" s="6">
        <f>'Results ReCiPe (H) - CC'!H470</f>
        <v>8.9978083648384714E-3</v>
      </c>
      <c r="K201" s="6">
        <f>'Results ReCiPe (H) - CC'!I470</f>
        <v>8.3835998236248491E-3</v>
      </c>
      <c r="L201" s="6">
        <f>'Results ReCiPe (H) - CC'!J470</f>
        <v>7.8840150412988301E-3</v>
      </c>
      <c r="M201" s="4"/>
    </row>
    <row r="202" spans="1:19" outlineLevel="1" x14ac:dyDescent="0.35">
      <c r="B202" s="282" t="s">
        <v>121</v>
      </c>
      <c r="C202" s="282" t="s">
        <v>821</v>
      </c>
      <c r="D202" s="6">
        <f>'Results ReCiPe (H) - CC'!B471</f>
        <v>4.201398547075331</v>
      </c>
      <c r="E202" s="6">
        <f>'Results ReCiPe (H) - CC'!C471</f>
        <v>3.5301952668074428</v>
      </c>
      <c r="F202" s="6">
        <f>'Results ReCiPe (H) - CC'!D471</f>
        <v>3.0325500058089316</v>
      </c>
      <c r="G202" s="6">
        <f>'Results ReCiPe (H) - CC'!E471</f>
        <v>4.201398547075331</v>
      </c>
      <c r="H202" s="6">
        <f>'Results ReCiPe (H) - CC'!F471</f>
        <v>3.5301952668074428</v>
      </c>
      <c r="I202" s="6">
        <f>'Results ReCiPe (H) - CC'!G471</f>
        <v>3.0325500058089316</v>
      </c>
      <c r="J202" s="6">
        <f>'Results ReCiPe (H) - CC'!H471</f>
        <v>8.402797094150662</v>
      </c>
      <c r="K202" s="6">
        <f>'Results ReCiPe (H) - CC'!I471</f>
        <v>7.0603905336148856</v>
      </c>
      <c r="L202" s="6">
        <f>'Results ReCiPe (H) - CC'!J471</f>
        <v>6.0651000116178633</v>
      </c>
      <c r="M202" s="4"/>
    </row>
    <row r="203" spans="1:19" outlineLevel="1" x14ac:dyDescent="0.35">
      <c r="B203" s="282" t="s">
        <v>797</v>
      </c>
      <c r="C203" s="282" t="s">
        <v>821</v>
      </c>
      <c r="D203" s="6">
        <f>'Results ReCiPe (H) - CC'!B472</f>
        <v>0</v>
      </c>
      <c r="E203" s="6">
        <f>'Results ReCiPe (H) - CC'!C472</f>
        <v>0</v>
      </c>
      <c r="F203" s="6">
        <f>'Results ReCiPe (H) - CC'!D472</f>
        <v>0</v>
      </c>
      <c r="G203" s="6">
        <f>'Results ReCiPe (H) - CC'!E472</f>
        <v>0</v>
      </c>
      <c r="H203" s="6">
        <f>'Results ReCiPe (H) - CC'!F472</f>
        <v>0</v>
      </c>
      <c r="I203" s="6">
        <f>'Results ReCiPe (H) - CC'!G472</f>
        <v>0</v>
      </c>
      <c r="J203" s="6">
        <f>'Results ReCiPe (H) - CC'!H472</f>
        <v>90.318785932629567</v>
      </c>
      <c r="K203" s="6">
        <f>'Results ReCiPe (H) - CC'!I472</f>
        <v>82.290114568489102</v>
      </c>
      <c r="L203" s="6">
        <f>'Results ReCiPe (H) - CC'!J472</f>
        <v>54.968424837753538</v>
      </c>
      <c r="M203" s="4"/>
    </row>
    <row r="204" spans="1:19" outlineLevel="1" x14ac:dyDescent="0.35">
      <c r="B204" s="282" t="s">
        <v>122</v>
      </c>
      <c r="C204" s="282" t="s">
        <v>821</v>
      </c>
      <c r="D204" s="6">
        <f>'Results ReCiPe (H) - CC'!B473</f>
        <v>575.06611068071641</v>
      </c>
      <c r="E204" s="6">
        <f>'Results ReCiPe (H) - CC'!C473</f>
        <v>123.28289086735381</v>
      </c>
      <c r="F204" s="6">
        <f>'Results ReCiPe (H) - CC'!D473</f>
        <v>-1.7017745936380504</v>
      </c>
      <c r="G204" s="6">
        <f>'Results ReCiPe (H) - CC'!E473</f>
        <v>443.48370274691973</v>
      </c>
      <c r="H204" s="6">
        <f>'Results ReCiPe (H) - CC'!F473</f>
        <v>96.772526359985974</v>
      </c>
      <c r="I204" s="6">
        <f>'Results ReCiPe (H) - CC'!G473</f>
        <v>0.25962057718256326</v>
      </c>
      <c r="J204" s="6">
        <f>'Results ReCiPe (H) - CC'!H473</f>
        <v>70.882385297689595</v>
      </c>
      <c r="K204" s="6">
        <f>'Results ReCiPe (H) - CC'!I473</f>
        <v>50.4086136689697</v>
      </c>
      <c r="L204" s="6">
        <f>'Results ReCiPe (H) - CC'!J473</f>
        <v>38.74344373594483</v>
      </c>
      <c r="M204" s="4"/>
    </row>
    <row r="205" spans="1:19" outlineLevel="1" x14ac:dyDescent="0.35">
      <c r="B205" s="282" t="s">
        <v>123</v>
      </c>
      <c r="C205" s="282" t="s">
        <v>821</v>
      </c>
      <c r="D205" s="6">
        <f>'Results ReCiPe (H) - CC'!B474</f>
        <v>44.48175454947296</v>
      </c>
      <c r="E205" s="6">
        <f>'Results ReCiPe (H) - CC'!C474</f>
        <v>10.344861824112719</v>
      </c>
      <c r="F205" s="6">
        <f>'Results ReCiPe (H) - CC'!D474</f>
        <v>0.75686347530398235</v>
      </c>
      <c r="G205" s="6">
        <f>'Results ReCiPe (H) - CC'!E474</f>
        <v>44.48175454947296</v>
      </c>
      <c r="H205" s="6">
        <f>'Results ReCiPe (H) - CC'!F474</f>
        <v>10.344861824112719</v>
      </c>
      <c r="I205" s="6">
        <f>'Results ReCiPe (H) - CC'!G474</f>
        <v>0.75686347530398235</v>
      </c>
      <c r="J205" s="6">
        <f>'Results ReCiPe (H) - CC'!H474</f>
        <v>44.48175454947296</v>
      </c>
      <c r="K205" s="6">
        <f>'Results ReCiPe (H) - CC'!I474</f>
        <v>10.344861824112719</v>
      </c>
      <c r="L205" s="6">
        <f>'Results ReCiPe (H) - CC'!J474</f>
        <v>0.75686347530398235</v>
      </c>
      <c r="M205" s="4"/>
    </row>
    <row r="206" spans="1:19" outlineLevel="1" x14ac:dyDescent="0.35">
      <c r="B206" s="282" t="s">
        <v>124</v>
      </c>
      <c r="C206" s="282" t="s">
        <v>821</v>
      </c>
      <c r="D206" s="6">
        <f>'Results ReCiPe (H) - CC'!B475</f>
        <v>-1000</v>
      </c>
      <c r="E206" s="6">
        <f>'Results ReCiPe (H) - CC'!C475</f>
        <v>-1000</v>
      </c>
      <c r="F206" s="6">
        <f>'Results ReCiPe (H) - CC'!D475</f>
        <v>-1000</v>
      </c>
      <c r="G206" s="6">
        <f>'Results ReCiPe (H) - CC'!E475</f>
        <v>-1000</v>
      </c>
      <c r="H206" s="6">
        <f>'Results ReCiPe (H) - CC'!F475</f>
        <v>-1000</v>
      </c>
      <c r="I206" s="6">
        <f>'Results ReCiPe (H) - CC'!G475</f>
        <v>-1000</v>
      </c>
      <c r="J206" s="6">
        <f>'Results ReCiPe (H) - CC'!H475</f>
        <v>-1000</v>
      </c>
      <c r="K206" s="6">
        <f>'Results ReCiPe (H) - CC'!I475</f>
        <v>-1000</v>
      </c>
      <c r="L206" s="6">
        <f>'Results ReCiPe (H) - CC'!J475</f>
        <v>-1000</v>
      </c>
      <c r="M206" s="4"/>
    </row>
    <row r="207" spans="1:19" outlineLevel="1" x14ac:dyDescent="0.35">
      <c r="B207" s="282" t="s">
        <v>137</v>
      </c>
      <c r="C207" s="282" t="s">
        <v>821</v>
      </c>
      <c r="D207" s="6">
        <f>'Results ReCiPe (H) - CC'!B476</f>
        <v>-359.63392604322115</v>
      </c>
      <c r="E207" s="6">
        <f>'Results ReCiPe (H) - CC'!C476</f>
        <v>-847.44505104778398</v>
      </c>
      <c r="F207" s="6">
        <f>'Results ReCiPe (H) - CC'!D476</f>
        <v>-985.78211035370691</v>
      </c>
      <c r="G207" s="6">
        <f>'Results ReCiPe (H) - CC'!E476</f>
        <v>-491.21633397701771</v>
      </c>
      <c r="H207" s="6">
        <f>'Results ReCiPe (H) - CC'!F476</f>
        <v>-873.95541555515172</v>
      </c>
      <c r="I207" s="6">
        <f>'Results ReCiPe (H) - CC'!G476</f>
        <v>-983.82071518288637</v>
      </c>
      <c r="J207" s="6">
        <f>'Results ReCiPe (H) - CC'!H476</f>
        <v>-757.05881147837772</v>
      </c>
      <c r="K207" s="6">
        <f>'Results ReCiPe (H) - CC'!I476</f>
        <v>-823.39328085256852</v>
      </c>
      <c r="L207" s="6">
        <f>'Results ReCiPe (H) - CC'!J476</f>
        <v>-879.31338914441756</v>
      </c>
      <c r="M207" s="4"/>
    </row>
    <row r="208" spans="1:19" outlineLevel="1" x14ac:dyDescent="0.35">
      <c r="M208" s="4"/>
    </row>
    <row r="209" spans="1:13" outlineLevel="1" x14ac:dyDescent="0.35">
      <c r="A209" s="15" t="s">
        <v>165</v>
      </c>
      <c r="B209" s="30"/>
      <c r="C209" s="140" t="s">
        <v>180</v>
      </c>
      <c r="D209" s="6" t="s">
        <v>889</v>
      </c>
      <c r="E209" s="6" t="s">
        <v>891</v>
      </c>
      <c r="F209" s="6" t="s">
        <v>890</v>
      </c>
      <c r="G209" s="6" t="s">
        <v>892</v>
      </c>
      <c r="H209" s="6" t="s">
        <v>893</v>
      </c>
      <c r="I209" s="6" t="s">
        <v>894</v>
      </c>
      <c r="J209" s="6" t="s">
        <v>896</v>
      </c>
      <c r="K209" s="6" t="s">
        <v>897</v>
      </c>
      <c r="L209" s="6" t="s">
        <v>895</v>
      </c>
      <c r="M209" s="4"/>
    </row>
    <row r="210" spans="1:13" outlineLevel="1" x14ac:dyDescent="0.35">
      <c r="B210" s="282" t="s">
        <v>117</v>
      </c>
      <c r="C210" s="282" t="s">
        <v>821</v>
      </c>
      <c r="D210" s="6">
        <f>D198</f>
        <v>15.33891633430572</v>
      </c>
      <c r="E210" s="6">
        <f t="shared" ref="E210:L213" si="46">E198</f>
        <v>14.228720723813575</v>
      </c>
      <c r="F210" s="6">
        <f t="shared" si="46"/>
        <v>11.10767980382567</v>
      </c>
      <c r="G210" s="6">
        <f t="shared" si="46"/>
        <v>15.33891633430572</v>
      </c>
      <c r="H210" s="6">
        <f t="shared" si="46"/>
        <v>14.228720723813575</v>
      </c>
      <c r="I210" s="6">
        <f t="shared" si="46"/>
        <v>11.10767980382567</v>
      </c>
      <c r="J210" s="6">
        <f t="shared" si="46"/>
        <v>27.30109830898834</v>
      </c>
      <c r="K210" s="6">
        <f t="shared" si="46"/>
        <v>25.103103901411338</v>
      </c>
      <c r="L210" s="6">
        <f t="shared" si="46"/>
        <v>18.927767157790178</v>
      </c>
      <c r="M210" s="4"/>
    </row>
    <row r="211" spans="1:13" outlineLevel="1" x14ac:dyDescent="0.35">
      <c r="B211" s="282" t="s">
        <v>118</v>
      </c>
      <c r="C211" s="282" t="s">
        <v>821</v>
      </c>
      <c r="D211" s="6">
        <f>D199</f>
        <v>0.99242254336085489</v>
      </c>
      <c r="E211" s="6">
        <f t="shared" si="46"/>
        <v>0.92854228959986618</v>
      </c>
      <c r="F211" s="6">
        <f t="shared" si="46"/>
        <v>0.81224625777211612</v>
      </c>
      <c r="G211" s="6">
        <f t="shared" si="46"/>
        <v>0.99242254336085489</v>
      </c>
      <c r="H211" s="6">
        <f t="shared" si="46"/>
        <v>0.92854228959986618</v>
      </c>
      <c r="I211" s="6">
        <f t="shared" si="46"/>
        <v>0.81224625777211612</v>
      </c>
      <c r="J211" s="6">
        <f t="shared" si="46"/>
        <v>0.99242254336085489</v>
      </c>
      <c r="K211" s="6">
        <f t="shared" si="46"/>
        <v>0.92854228959986618</v>
      </c>
      <c r="L211" s="6">
        <f t="shared" si="46"/>
        <v>0.81224625777211612</v>
      </c>
      <c r="M211" s="4"/>
    </row>
    <row r="212" spans="1:13" outlineLevel="1" x14ac:dyDescent="0.35">
      <c r="B212" s="282" t="s">
        <v>119</v>
      </c>
      <c r="C212" s="282" t="s">
        <v>821</v>
      </c>
      <c r="D212" s="6">
        <f>D200</f>
        <v>0.27647349348275368</v>
      </c>
      <c r="E212" s="6">
        <f t="shared" si="46"/>
        <v>0.23135438070506198</v>
      </c>
      <c r="F212" s="6">
        <f t="shared" si="46"/>
        <v>0.20244068217927833</v>
      </c>
      <c r="G212" s="6">
        <f t="shared" si="46"/>
        <v>0.27647349348275368</v>
      </c>
      <c r="H212" s="6">
        <f t="shared" si="46"/>
        <v>0.23135438070506198</v>
      </c>
      <c r="I212" s="6">
        <f t="shared" si="46"/>
        <v>0.20244068217927833</v>
      </c>
      <c r="J212" s="6">
        <f t="shared" si="46"/>
        <v>0.55294698696550737</v>
      </c>
      <c r="K212" s="6">
        <f t="shared" si="46"/>
        <v>0.46270876141012396</v>
      </c>
      <c r="L212" s="6">
        <f t="shared" si="46"/>
        <v>0.40488136435855665</v>
      </c>
      <c r="M212" s="4"/>
    </row>
    <row r="213" spans="1:13" outlineLevel="1" x14ac:dyDescent="0.35">
      <c r="B213" s="282" t="s">
        <v>120</v>
      </c>
      <c r="C213" s="282" t="s">
        <v>821</v>
      </c>
      <c r="D213" s="6">
        <f>D201</f>
        <v>8.9978083648384714E-3</v>
      </c>
      <c r="E213" s="6">
        <f t="shared" si="46"/>
        <v>8.3835998236248491E-3</v>
      </c>
      <c r="F213" s="6">
        <f t="shared" si="46"/>
        <v>7.8840150412988301E-3</v>
      </c>
      <c r="G213" s="6">
        <f t="shared" si="46"/>
        <v>8.9978083648384714E-3</v>
      </c>
      <c r="H213" s="6">
        <f t="shared" si="46"/>
        <v>8.3835998236248491E-3</v>
      </c>
      <c r="I213" s="6">
        <f t="shared" si="46"/>
        <v>7.8840150412988301E-3</v>
      </c>
      <c r="J213" s="6">
        <f t="shared" si="46"/>
        <v>8.9978083648384714E-3</v>
      </c>
      <c r="K213" s="6">
        <f t="shared" si="46"/>
        <v>8.3835998236248491E-3</v>
      </c>
      <c r="L213" s="6">
        <f t="shared" si="46"/>
        <v>7.8840150412988301E-3</v>
      </c>
      <c r="M213" s="4"/>
    </row>
    <row r="214" spans="1:13" outlineLevel="1" x14ac:dyDescent="0.35">
      <c r="B214" s="282" t="s">
        <v>121</v>
      </c>
      <c r="C214" s="282" t="s">
        <v>821</v>
      </c>
      <c r="D214" s="16">
        <f>SUM('Results ReCiPe (H) - CC'!$B$37:$Z$37)/25/100</f>
        <v>11.680260787824205</v>
      </c>
      <c r="E214" s="6">
        <f>SUM('Results ReCiPe (H) - CC'!$B$77:$Z$77)/25/100</f>
        <v>9.796649955395516</v>
      </c>
      <c r="F214" s="6">
        <f>SUM('Results ReCiPe (H) - CC'!$B$117:$Z$117)/25/100</f>
        <v>8.3880389047929391</v>
      </c>
      <c r="G214" s="6">
        <f>SUM('Results ReCiPe (H) - CC'!$B$37:$Z$37)/25/100</f>
        <v>11.680260787824205</v>
      </c>
      <c r="H214" s="6">
        <f>SUM('Results ReCiPe (H) - CC'!$B$77:$Z$77)/25/100</f>
        <v>9.796649955395516</v>
      </c>
      <c r="I214" s="6">
        <f>SUM('Results ReCiPe (H) - CC'!$B$117:$Z$117)/25/100</f>
        <v>8.3880389047929391</v>
      </c>
      <c r="J214" s="6">
        <f>SUM('Results ReCiPe (H) - CC'!$B$37:$Z$37)/25/100</f>
        <v>11.680260787824205</v>
      </c>
      <c r="K214" s="6">
        <f>SUM('Results ReCiPe (H) - CC'!$B$77:$Z$77)/25/100</f>
        <v>9.796649955395516</v>
      </c>
      <c r="L214" s="6">
        <f>SUM('Results ReCiPe (H) - CC'!$B$117:$Z$117)/25/100</f>
        <v>8.3880389047929391</v>
      </c>
      <c r="M214" s="4"/>
    </row>
    <row r="215" spans="1:13" outlineLevel="1" x14ac:dyDescent="0.35">
      <c r="B215" s="282" t="s">
        <v>797</v>
      </c>
      <c r="C215" s="282" t="s">
        <v>821</v>
      </c>
      <c r="D215" s="6">
        <f t="shared" ref="D215:L218" si="47">D203</f>
        <v>0</v>
      </c>
      <c r="E215" s="6">
        <f t="shared" si="47"/>
        <v>0</v>
      </c>
      <c r="F215" s="6">
        <f t="shared" si="47"/>
        <v>0</v>
      </c>
      <c r="G215" s="6">
        <f t="shared" si="47"/>
        <v>0</v>
      </c>
      <c r="H215" s="6">
        <f t="shared" si="47"/>
        <v>0</v>
      </c>
      <c r="I215" s="6">
        <f t="shared" si="47"/>
        <v>0</v>
      </c>
      <c r="J215" s="6">
        <f t="shared" si="47"/>
        <v>90.318785932629567</v>
      </c>
      <c r="K215" s="6">
        <f t="shared" si="47"/>
        <v>82.290114568489102</v>
      </c>
      <c r="L215" s="6">
        <f t="shared" si="47"/>
        <v>54.968424837753538</v>
      </c>
      <c r="M215" s="4"/>
    </row>
    <row r="216" spans="1:13" outlineLevel="1" x14ac:dyDescent="0.35">
      <c r="B216" s="282" t="s">
        <v>122</v>
      </c>
      <c r="C216" s="282" t="s">
        <v>821</v>
      </c>
      <c r="D216" s="6">
        <f t="shared" si="47"/>
        <v>575.06611068071641</v>
      </c>
      <c r="E216" s="6">
        <f t="shared" si="47"/>
        <v>123.28289086735381</v>
      </c>
      <c r="F216" s="6">
        <f t="shared" si="47"/>
        <v>-1.7017745936380504</v>
      </c>
      <c r="G216" s="6">
        <f t="shared" si="47"/>
        <v>443.48370274691973</v>
      </c>
      <c r="H216" s="6">
        <f t="shared" si="47"/>
        <v>96.772526359985974</v>
      </c>
      <c r="I216" s="6">
        <f t="shared" si="47"/>
        <v>0.25962057718256326</v>
      </c>
      <c r="J216" s="6">
        <f t="shared" si="47"/>
        <v>70.882385297689595</v>
      </c>
      <c r="K216" s="6">
        <f t="shared" si="47"/>
        <v>50.4086136689697</v>
      </c>
      <c r="L216" s="6">
        <f t="shared" si="47"/>
        <v>38.74344373594483</v>
      </c>
      <c r="M216" s="4"/>
    </row>
    <row r="217" spans="1:13" outlineLevel="1" x14ac:dyDescent="0.35">
      <c r="B217" s="282" t="s">
        <v>123</v>
      </c>
      <c r="C217" s="282" t="s">
        <v>821</v>
      </c>
      <c r="D217" s="6">
        <f t="shared" si="47"/>
        <v>44.48175454947296</v>
      </c>
      <c r="E217" s="6">
        <f t="shared" si="47"/>
        <v>10.344861824112719</v>
      </c>
      <c r="F217" s="6">
        <f t="shared" si="47"/>
        <v>0.75686347530398235</v>
      </c>
      <c r="G217" s="6">
        <f t="shared" si="47"/>
        <v>44.48175454947296</v>
      </c>
      <c r="H217" s="6">
        <f t="shared" si="47"/>
        <v>10.344861824112719</v>
      </c>
      <c r="I217" s="6">
        <f t="shared" si="47"/>
        <v>0.75686347530398235</v>
      </c>
      <c r="J217" s="6">
        <f t="shared" si="47"/>
        <v>44.48175454947296</v>
      </c>
      <c r="K217" s="6">
        <f t="shared" si="47"/>
        <v>10.344861824112719</v>
      </c>
      <c r="L217" s="6">
        <f t="shared" si="47"/>
        <v>0.75686347530398235</v>
      </c>
      <c r="M217" s="4"/>
    </row>
    <row r="218" spans="1:13" outlineLevel="1" x14ac:dyDescent="0.35">
      <c r="B218" s="282" t="s">
        <v>124</v>
      </c>
      <c r="C218" s="282" t="s">
        <v>821</v>
      </c>
      <c r="D218" s="6">
        <f>D206</f>
        <v>-1000</v>
      </c>
      <c r="E218" s="6">
        <f t="shared" si="47"/>
        <v>-1000</v>
      </c>
      <c r="F218" s="6">
        <f t="shared" si="47"/>
        <v>-1000</v>
      </c>
      <c r="G218" s="6">
        <f t="shared" si="47"/>
        <v>-1000</v>
      </c>
      <c r="H218" s="6">
        <f t="shared" si="47"/>
        <v>-1000</v>
      </c>
      <c r="I218" s="6">
        <f t="shared" si="47"/>
        <v>-1000</v>
      </c>
      <c r="J218" s="6">
        <f t="shared" si="47"/>
        <v>-1000</v>
      </c>
      <c r="K218" s="6">
        <f t="shared" si="47"/>
        <v>-1000</v>
      </c>
      <c r="L218" s="6">
        <f t="shared" si="47"/>
        <v>-1000</v>
      </c>
      <c r="M218" s="4"/>
    </row>
    <row r="219" spans="1:13" outlineLevel="1" x14ac:dyDescent="0.35">
      <c r="B219" s="282" t="s">
        <v>137</v>
      </c>
      <c r="C219" s="282" t="s">
        <v>821</v>
      </c>
      <c r="D219" s="6">
        <f>SUM(D210:D218)</f>
        <v>-352.15506380247223</v>
      </c>
      <c r="E219" s="6">
        <f t="shared" ref="E219:L219" si="48">SUM(E210:E218)</f>
        <v>-841.17859635919581</v>
      </c>
      <c r="F219" s="6">
        <f t="shared" si="48"/>
        <v>-980.42662145472275</v>
      </c>
      <c r="G219" s="6">
        <f t="shared" si="48"/>
        <v>-483.73747173626896</v>
      </c>
      <c r="H219" s="6">
        <f t="shared" si="48"/>
        <v>-867.68896086656366</v>
      </c>
      <c r="I219" s="6">
        <f t="shared" si="48"/>
        <v>-978.4652262839021</v>
      </c>
      <c r="J219" s="6">
        <f t="shared" si="48"/>
        <v>-753.78134778470417</v>
      </c>
      <c r="K219" s="6">
        <f t="shared" si="48"/>
        <v>-820.65702143078806</v>
      </c>
      <c r="L219" s="6">
        <f t="shared" si="48"/>
        <v>-876.99045025124258</v>
      </c>
      <c r="M219" s="4"/>
    </row>
    <row r="220" spans="1:13" outlineLevel="1" x14ac:dyDescent="0.35">
      <c r="M220" s="4"/>
    </row>
    <row r="221" spans="1:13" outlineLevel="1" x14ac:dyDescent="0.35">
      <c r="A221" s="15" t="s">
        <v>166</v>
      </c>
      <c r="B221" s="30"/>
      <c r="C221" s="140" t="s">
        <v>180</v>
      </c>
      <c r="D221" s="6" t="s">
        <v>889</v>
      </c>
      <c r="E221" s="6" t="s">
        <v>891</v>
      </c>
      <c r="F221" s="6" t="s">
        <v>890</v>
      </c>
      <c r="G221" s="6" t="s">
        <v>892</v>
      </c>
      <c r="H221" s="6" t="s">
        <v>893</v>
      </c>
      <c r="I221" s="6" t="s">
        <v>894</v>
      </c>
      <c r="J221" s="6" t="s">
        <v>896</v>
      </c>
      <c r="K221" s="6" t="s">
        <v>897</v>
      </c>
      <c r="L221" s="6" t="s">
        <v>895</v>
      </c>
      <c r="M221" s="4"/>
    </row>
    <row r="222" spans="1:13" outlineLevel="1" x14ac:dyDescent="0.35">
      <c r="B222" s="282" t="s">
        <v>117</v>
      </c>
      <c r="C222" s="282" t="s">
        <v>821</v>
      </c>
      <c r="D222" s="6">
        <f>D198</f>
        <v>15.33891633430572</v>
      </c>
      <c r="E222" s="6">
        <f t="shared" ref="E222:L225" si="49">E198</f>
        <v>14.228720723813575</v>
      </c>
      <c r="F222" s="6">
        <f t="shared" si="49"/>
        <v>11.10767980382567</v>
      </c>
      <c r="G222" s="6">
        <f t="shared" si="49"/>
        <v>15.33891633430572</v>
      </c>
      <c r="H222" s="6">
        <f t="shared" si="49"/>
        <v>14.228720723813575</v>
      </c>
      <c r="I222" s="6">
        <f t="shared" si="49"/>
        <v>11.10767980382567</v>
      </c>
      <c r="J222" s="6">
        <f t="shared" si="49"/>
        <v>27.30109830898834</v>
      </c>
      <c r="K222" s="6">
        <f t="shared" si="49"/>
        <v>25.103103901411338</v>
      </c>
      <c r="L222" s="6">
        <f t="shared" si="49"/>
        <v>18.927767157790178</v>
      </c>
      <c r="M222" s="4"/>
    </row>
    <row r="223" spans="1:13" outlineLevel="1" x14ac:dyDescent="0.35">
      <c r="B223" s="282" t="s">
        <v>118</v>
      </c>
      <c r="C223" s="282" t="s">
        <v>821</v>
      </c>
      <c r="D223" s="6">
        <f>D199</f>
        <v>0.99242254336085489</v>
      </c>
      <c r="E223" s="6">
        <f t="shared" ref="E223:F225" si="50">E199</f>
        <v>0.92854228959986618</v>
      </c>
      <c r="F223" s="6">
        <f t="shared" si="50"/>
        <v>0.81224625777211612</v>
      </c>
      <c r="G223" s="6">
        <f t="shared" si="49"/>
        <v>0.99242254336085489</v>
      </c>
      <c r="H223" s="6">
        <f t="shared" si="49"/>
        <v>0.92854228959986618</v>
      </c>
      <c r="I223" s="6">
        <f t="shared" si="49"/>
        <v>0.81224625777211612</v>
      </c>
      <c r="J223" s="6">
        <f t="shared" si="49"/>
        <v>0.99242254336085489</v>
      </c>
      <c r="K223" s="6">
        <f t="shared" si="49"/>
        <v>0.92854228959986618</v>
      </c>
      <c r="L223" s="6">
        <f t="shared" si="49"/>
        <v>0.81224625777211612</v>
      </c>
      <c r="M223" s="4"/>
    </row>
    <row r="224" spans="1:13" outlineLevel="1" x14ac:dyDescent="0.35">
      <c r="B224" s="282" t="s">
        <v>119</v>
      </c>
      <c r="C224" s="282" t="s">
        <v>821</v>
      </c>
      <c r="D224" s="6">
        <f>D200</f>
        <v>0.27647349348275368</v>
      </c>
      <c r="E224" s="6">
        <f t="shared" si="50"/>
        <v>0.23135438070506198</v>
      </c>
      <c r="F224" s="6">
        <f t="shared" si="50"/>
        <v>0.20244068217927833</v>
      </c>
      <c r="G224" s="6">
        <f t="shared" si="49"/>
        <v>0.27647349348275368</v>
      </c>
      <c r="H224" s="6">
        <f t="shared" si="49"/>
        <v>0.23135438070506198</v>
      </c>
      <c r="I224" s="6">
        <f t="shared" si="49"/>
        <v>0.20244068217927833</v>
      </c>
      <c r="J224" s="6">
        <f t="shared" si="49"/>
        <v>0.55294698696550737</v>
      </c>
      <c r="K224" s="6">
        <f t="shared" si="49"/>
        <v>0.46270876141012396</v>
      </c>
      <c r="L224" s="6">
        <f t="shared" si="49"/>
        <v>0.40488136435855665</v>
      </c>
      <c r="M224" s="4"/>
    </row>
    <row r="225" spans="1:20" outlineLevel="1" x14ac:dyDescent="0.35">
      <c r="B225" s="282" t="s">
        <v>120</v>
      </c>
      <c r="C225" s="282" t="s">
        <v>821</v>
      </c>
      <c r="D225" s="6">
        <f>D201</f>
        <v>8.9978083648384714E-3</v>
      </c>
      <c r="E225" s="6">
        <f t="shared" si="50"/>
        <v>8.3835998236248491E-3</v>
      </c>
      <c r="F225" s="6">
        <f t="shared" si="50"/>
        <v>7.8840150412988301E-3</v>
      </c>
      <c r="G225" s="6">
        <f t="shared" si="49"/>
        <v>8.9978083648384714E-3</v>
      </c>
      <c r="H225" s="6">
        <f t="shared" si="49"/>
        <v>8.3835998236248491E-3</v>
      </c>
      <c r="I225" s="6">
        <f t="shared" si="49"/>
        <v>7.8840150412988301E-3</v>
      </c>
      <c r="J225" s="6">
        <f t="shared" si="49"/>
        <v>8.9978083648384714E-3</v>
      </c>
      <c r="K225" s="6">
        <f t="shared" si="49"/>
        <v>8.3835998236248491E-3</v>
      </c>
      <c r="L225" s="6">
        <f t="shared" si="49"/>
        <v>7.8840150412988301E-3</v>
      </c>
      <c r="M225" s="4"/>
    </row>
    <row r="226" spans="1:20" outlineLevel="1" x14ac:dyDescent="0.35">
      <c r="B226" s="282" t="s">
        <v>121</v>
      </c>
      <c r="C226" s="282" t="s">
        <v>821</v>
      </c>
      <c r="D226" s="16">
        <f>SUM('Results ReCiPe (H) - CC'!$B$37,'Results ReCiPe (H) - CC'!$G$37,'Results ReCiPe (H) - CC'!$L$37,'Results ReCiPe (H) - CC'!$Q$37,'Results ReCiPe (H) - CC'!$V$37)/25/100</f>
        <v>2.3467421402856408</v>
      </c>
      <c r="E226" s="6">
        <f>SUM('Results ReCiPe (H) - CC'!$B$77,'Results ReCiPe (H) - CC'!$G$77,'Results ReCiPe (H) - CC'!$L$77,'Results ReCiPe (H) - CC'!$Q$77,'Results ReCiPe (H) - CC'!$V$77)/25/100</f>
        <v>2.0092873234842603</v>
      </c>
      <c r="F226" s="6">
        <f>SUM('Results ReCiPe (H) - CC'!$B$117,'Results ReCiPe (H) - CC'!$G$117,'Results ReCiPe (H) - CC'!$L$117,'Results ReCiPe (H) - CC'!$Q$117,'Results ReCiPe (H) - CC'!$V$117)/25/100</f>
        <v>1.703474700696828</v>
      </c>
      <c r="G226" s="6">
        <f>SUM('Results ReCiPe (H) - CC'!$B$37,'Results ReCiPe (H) - CC'!$G$37,'Results ReCiPe (H) - CC'!$L$37,'Results ReCiPe (H) - CC'!$Q$37,'Results ReCiPe (H) - CC'!$V$37)/25/100</f>
        <v>2.3467421402856408</v>
      </c>
      <c r="H226" s="6">
        <f>SUM('Results ReCiPe (H) - CC'!$B$77,'Results ReCiPe (H) - CC'!$G$77,'Results ReCiPe (H) - CC'!$L$77,'Results ReCiPe (H) - CC'!$Q$77,'Results ReCiPe (H) - CC'!$V$77)/25/100</f>
        <v>2.0092873234842603</v>
      </c>
      <c r="I226" s="6">
        <f>SUM('Results ReCiPe (H) - CC'!$B$117,'Results ReCiPe (H) - CC'!$G$117,'Results ReCiPe (H) - CC'!$L$117,'Results ReCiPe (H) - CC'!$Q$117,'Results ReCiPe (H) - CC'!$V$117)/25/100</f>
        <v>1.703474700696828</v>
      </c>
      <c r="J226" s="6">
        <f>SUM('Results ReCiPe (H) - CC'!$B$37,'Results ReCiPe (H) - CC'!$G$37,'Results ReCiPe (H) - CC'!$L$37,'Results ReCiPe (H) - CC'!$Q$37,'Results ReCiPe (H) - CC'!$V$37)/25/100</f>
        <v>2.3467421402856408</v>
      </c>
      <c r="K226" s="6">
        <f>SUM('Results ReCiPe (H) - CC'!$B$77,'Results ReCiPe (H) - CC'!$G$77,'Results ReCiPe (H) - CC'!$L$77,'Results ReCiPe (H) - CC'!$Q$77,'Results ReCiPe (H) - CC'!$V$77)/25/100</f>
        <v>2.0092873234842603</v>
      </c>
      <c r="L226" s="6">
        <f>SUM('Results ReCiPe (H) - CC'!$B$117,'Results ReCiPe (H) - CC'!$G$117,'Results ReCiPe (H) - CC'!$L$117,'Results ReCiPe (H) - CC'!$Q$117,'Results ReCiPe (H) - CC'!$V$117)/25/100</f>
        <v>1.703474700696828</v>
      </c>
      <c r="M226" s="4"/>
    </row>
    <row r="227" spans="1:20" outlineLevel="1" x14ac:dyDescent="0.35">
      <c r="B227" s="282" t="s">
        <v>797</v>
      </c>
      <c r="C227" s="282" t="s">
        <v>821</v>
      </c>
      <c r="D227" s="6">
        <f>D203</f>
        <v>0</v>
      </c>
      <c r="E227" s="6">
        <f t="shared" ref="E227:L227" si="51">E203</f>
        <v>0</v>
      </c>
      <c r="F227" s="6">
        <f t="shared" si="51"/>
        <v>0</v>
      </c>
      <c r="G227" s="6">
        <f t="shared" si="51"/>
        <v>0</v>
      </c>
      <c r="H227" s="6">
        <f t="shared" si="51"/>
        <v>0</v>
      </c>
      <c r="I227" s="6">
        <f t="shared" si="51"/>
        <v>0</v>
      </c>
      <c r="J227" s="6">
        <f t="shared" si="51"/>
        <v>90.318785932629567</v>
      </c>
      <c r="K227" s="6">
        <f t="shared" si="51"/>
        <v>82.290114568489102</v>
      </c>
      <c r="L227" s="6">
        <f t="shared" si="51"/>
        <v>54.968424837753538</v>
      </c>
      <c r="M227" s="4"/>
    </row>
    <row r="228" spans="1:20" outlineLevel="1" x14ac:dyDescent="0.35">
      <c r="B228" s="282" t="s">
        <v>122</v>
      </c>
      <c r="C228" s="282" t="s">
        <v>821</v>
      </c>
      <c r="D228" s="6">
        <f t="shared" ref="D228:L230" si="52">D204</f>
        <v>575.06611068071641</v>
      </c>
      <c r="E228" s="6">
        <f t="shared" si="52"/>
        <v>123.28289086735381</v>
      </c>
      <c r="F228" s="6">
        <f t="shared" si="52"/>
        <v>-1.7017745936380504</v>
      </c>
      <c r="G228" s="6">
        <f t="shared" si="52"/>
        <v>443.48370274691973</v>
      </c>
      <c r="H228" s="6">
        <f t="shared" si="52"/>
        <v>96.772526359985974</v>
      </c>
      <c r="I228" s="6">
        <f t="shared" si="52"/>
        <v>0.25962057718256326</v>
      </c>
      <c r="J228" s="6">
        <f t="shared" si="52"/>
        <v>70.882385297689595</v>
      </c>
      <c r="K228" s="6">
        <f t="shared" si="52"/>
        <v>50.4086136689697</v>
      </c>
      <c r="L228" s="6">
        <f t="shared" si="52"/>
        <v>38.74344373594483</v>
      </c>
      <c r="M228" s="4"/>
    </row>
    <row r="229" spans="1:20" outlineLevel="1" x14ac:dyDescent="0.35">
      <c r="B229" s="282" t="s">
        <v>123</v>
      </c>
      <c r="C229" s="282" t="s">
        <v>821</v>
      </c>
      <c r="D229" s="6">
        <f t="shared" si="52"/>
        <v>44.48175454947296</v>
      </c>
      <c r="E229" s="6">
        <f t="shared" si="52"/>
        <v>10.344861824112719</v>
      </c>
      <c r="F229" s="6">
        <f t="shared" si="52"/>
        <v>0.75686347530398235</v>
      </c>
      <c r="G229" s="6">
        <f t="shared" si="52"/>
        <v>44.48175454947296</v>
      </c>
      <c r="H229" s="6">
        <f t="shared" si="52"/>
        <v>10.344861824112719</v>
      </c>
      <c r="I229" s="6">
        <f t="shared" si="52"/>
        <v>0.75686347530398235</v>
      </c>
      <c r="J229" s="6">
        <f t="shared" si="52"/>
        <v>44.48175454947296</v>
      </c>
      <c r="K229" s="6">
        <f t="shared" si="52"/>
        <v>10.344861824112719</v>
      </c>
      <c r="L229" s="6">
        <f t="shared" si="52"/>
        <v>0.75686347530398235</v>
      </c>
      <c r="M229" s="4"/>
    </row>
    <row r="230" spans="1:20" outlineLevel="1" x14ac:dyDescent="0.35">
      <c r="B230" s="282" t="s">
        <v>124</v>
      </c>
      <c r="C230" s="282" t="s">
        <v>821</v>
      </c>
      <c r="D230" s="6">
        <f t="shared" si="52"/>
        <v>-1000</v>
      </c>
      <c r="E230" s="6">
        <f t="shared" si="52"/>
        <v>-1000</v>
      </c>
      <c r="F230" s="6">
        <f t="shared" si="52"/>
        <v>-1000</v>
      </c>
      <c r="G230" s="6">
        <f t="shared" si="52"/>
        <v>-1000</v>
      </c>
      <c r="H230" s="6">
        <f t="shared" si="52"/>
        <v>-1000</v>
      </c>
      <c r="I230" s="6">
        <f t="shared" si="52"/>
        <v>-1000</v>
      </c>
      <c r="J230" s="6">
        <f t="shared" si="52"/>
        <v>-1000</v>
      </c>
      <c r="K230" s="6">
        <f t="shared" si="52"/>
        <v>-1000</v>
      </c>
      <c r="L230" s="6">
        <f t="shared" si="52"/>
        <v>-1000</v>
      </c>
      <c r="M230" s="4"/>
    </row>
    <row r="231" spans="1:20" outlineLevel="1" x14ac:dyDescent="0.35">
      <c r="B231" s="282" t="s">
        <v>137</v>
      </c>
      <c r="C231" s="282" t="s">
        <v>821</v>
      </c>
      <c r="D231" s="6">
        <f>SUM(D222:D230)</f>
        <v>-361.48858245001088</v>
      </c>
      <c r="E231" s="6">
        <f t="shared" ref="E231:L231" si="53">SUM(E222:E230)</f>
        <v>-848.96595899110707</v>
      </c>
      <c r="F231" s="6">
        <f t="shared" si="53"/>
        <v>-987.11118565881884</v>
      </c>
      <c r="G231" s="6">
        <f t="shared" si="53"/>
        <v>-493.0709903838075</v>
      </c>
      <c r="H231" s="6">
        <f t="shared" si="53"/>
        <v>-875.47632349847493</v>
      </c>
      <c r="I231" s="6">
        <f t="shared" si="53"/>
        <v>-985.1497904879983</v>
      </c>
      <c r="J231" s="6">
        <f t="shared" si="53"/>
        <v>-763.11486643224271</v>
      </c>
      <c r="K231" s="6">
        <f t="shared" si="53"/>
        <v>-828.44438406269933</v>
      </c>
      <c r="L231" s="6">
        <f t="shared" si="53"/>
        <v>-883.67501445533867</v>
      </c>
      <c r="M231" s="4"/>
    </row>
    <row r="232" spans="1:20" outlineLevel="1" x14ac:dyDescent="0.35">
      <c r="M232" s="4"/>
    </row>
    <row r="233" spans="1:20" x14ac:dyDescent="0.35">
      <c r="A233" s="170" t="s">
        <v>813</v>
      </c>
      <c r="B233" s="4"/>
      <c r="C233" s="4"/>
      <c r="D233" s="4"/>
      <c r="E233" s="4"/>
      <c r="F233" s="4"/>
      <c r="G233" s="4"/>
      <c r="H233" s="4"/>
      <c r="I233" s="4"/>
      <c r="J233" s="4"/>
      <c r="K233" s="4"/>
      <c r="L233" s="4"/>
      <c r="M233" s="4"/>
      <c r="T233" s="282"/>
    </row>
    <row r="234" spans="1:20" outlineLevel="1" x14ac:dyDescent="0.35">
      <c r="A234" s="15" t="s">
        <v>417</v>
      </c>
      <c r="B234" s="30"/>
      <c r="C234" s="140" t="s">
        <v>180</v>
      </c>
      <c r="D234" s="6" t="s">
        <v>889</v>
      </c>
      <c r="E234" s="6" t="s">
        <v>891</v>
      </c>
      <c r="F234" s="6" t="s">
        <v>890</v>
      </c>
      <c r="G234" s="6" t="s">
        <v>892</v>
      </c>
      <c r="H234" s="6" t="s">
        <v>893</v>
      </c>
      <c r="I234" s="6" t="s">
        <v>894</v>
      </c>
      <c r="J234" s="6" t="s">
        <v>896</v>
      </c>
      <c r="K234" s="6" t="s">
        <v>897</v>
      </c>
      <c r="L234" s="6" t="s">
        <v>895</v>
      </c>
      <c r="M234" s="4"/>
      <c r="T234" s="282"/>
    </row>
    <row r="235" spans="1:20" outlineLevel="1" x14ac:dyDescent="0.35">
      <c r="B235" s="282" t="s">
        <v>117</v>
      </c>
      <c r="C235" s="282" t="s">
        <v>821</v>
      </c>
      <c r="D235" s="6">
        <f>'Results ReCiPe (H) - CC'!B467</f>
        <v>15.33891633430572</v>
      </c>
      <c r="E235" s="6">
        <f>'Results ReCiPe (H) - CC'!C467</f>
        <v>14.228720723813575</v>
      </c>
      <c r="F235" s="6">
        <f>'Results ReCiPe (H) - CC'!D467</f>
        <v>11.10767980382567</v>
      </c>
      <c r="G235" s="6">
        <f>'Results ReCiPe (H) - CC'!E467</f>
        <v>15.33891633430572</v>
      </c>
      <c r="H235" s="6">
        <f>'Results ReCiPe (H) - CC'!F467</f>
        <v>14.228720723813575</v>
      </c>
      <c r="I235" s="6">
        <f>'Results ReCiPe (H) - CC'!G467</f>
        <v>11.10767980382567</v>
      </c>
      <c r="J235" s="6">
        <f>'Results ReCiPe (H) - CC'!H467</f>
        <v>27.30109830898834</v>
      </c>
      <c r="K235" s="6">
        <f>'Results ReCiPe (H) - CC'!I467</f>
        <v>25.103103901411338</v>
      </c>
      <c r="L235" s="6">
        <f>'Results ReCiPe (H) - CC'!J467</f>
        <v>18.927767157790178</v>
      </c>
      <c r="M235" s="4"/>
      <c r="T235" s="282"/>
    </row>
    <row r="236" spans="1:20" outlineLevel="1" x14ac:dyDescent="0.35">
      <c r="B236" s="282" t="s">
        <v>118</v>
      </c>
      <c r="C236" s="282" t="s">
        <v>821</v>
      </c>
      <c r="D236" s="6">
        <f>'Results ReCiPe (H) - CC'!B468</f>
        <v>0.99242254336085489</v>
      </c>
      <c r="E236" s="6">
        <f>'Results ReCiPe (H) - CC'!C468</f>
        <v>0.92854228959986618</v>
      </c>
      <c r="F236" s="6">
        <f>'Results ReCiPe (H) - CC'!D468</f>
        <v>0.81224625777211612</v>
      </c>
      <c r="G236" s="6">
        <f>'Results ReCiPe (H) - CC'!E468</f>
        <v>0.99242254336085489</v>
      </c>
      <c r="H236" s="6">
        <f>'Results ReCiPe (H) - CC'!F468</f>
        <v>0.92854228959986618</v>
      </c>
      <c r="I236" s="6">
        <f>'Results ReCiPe (H) - CC'!G468</f>
        <v>0.81224625777211612</v>
      </c>
      <c r="J236" s="6">
        <f>'Results ReCiPe (H) - CC'!H468</f>
        <v>0.99242254336085489</v>
      </c>
      <c r="K236" s="6">
        <f>'Results ReCiPe (H) - CC'!I468</f>
        <v>0.92854228959986618</v>
      </c>
      <c r="L236" s="6">
        <f>'Results ReCiPe (H) - CC'!J468</f>
        <v>0.81224625777211612</v>
      </c>
      <c r="M236" s="4"/>
      <c r="T236" s="282"/>
    </row>
    <row r="237" spans="1:20" outlineLevel="1" x14ac:dyDescent="0.35">
      <c r="B237" s="282" t="s">
        <v>119</v>
      </c>
      <c r="C237" s="282" t="s">
        <v>821</v>
      </c>
      <c r="D237" s="6">
        <f>'Results ReCiPe (H) - CC'!B469</f>
        <v>0.27647349348275368</v>
      </c>
      <c r="E237" s="6">
        <f>'Results ReCiPe (H) - CC'!C469</f>
        <v>0.23135438070506198</v>
      </c>
      <c r="F237" s="6">
        <f>'Results ReCiPe (H) - CC'!D469</f>
        <v>0.20244068217927833</v>
      </c>
      <c r="G237" s="6">
        <f>'Results ReCiPe (H) - CC'!E469</f>
        <v>0.27647349348275368</v>
      </c>
      <c r="H237" s="6">
        <f>'Results ReCiPe (H) - CC'!F469</f>
        <v>0.23135438070506198</v>
      </c>
      <c r="I237" s="6">
        <f>'Results ReCiPe (H) - CC'!G469</f>
        <v>0.20244068217927833</v>
      </c>
      <c r="J237" s="6">
        <f>'Results ReCiPe (H) - CC'!H469</f>
        <v>0.55294698696550737</v>
      </c>
      <c r="K237" s="6">
        <f>'Results ReCiPe (H) - CC'!I469</f>
        <v>0.46270876141012396</v>
      </c>
      <c r="L237" s="6">
        <f>'Results ReCiPe (H) - CC'!J469</f>
        <v>0.40488136435855665</v>
      </c>
      <c r="M237" s="4"/>
    </row>
    <row r="238" spans="1:20" outlineLevel="1" x14ac:dyDescent="0.35">
      <c r="B238" s="282" t="s">
        <v>120</v>
      </c>
      <c r="C238" s="282" t="s">
        <v>821</v>
      </c>
      <c r="D238" s="6">
        <f>'Results ReCiPe (H) - CC'!B470</f>
        <v>8.9978083648384714E-3</v>
      </c>
      <c r="E238" s="6">
        <f>'Results ReCiPe (H) - CC'!C470</f>
        <v>8.3835998236248491E-3</v>
      </c>
      <c r="F238" s="6">
        <f>'Results ReCiPe (H) - CC'!D470</f>
        <v>7.8840150412988301E-3</v>
      </c>
      <c r="G238" s="6">
        <f>'Results ReCiPe (H) - CC'!E470</f>
        <v>8.9978083648384714E-3</v>
      </c>
      <c r="H238" s="6">
        <f>'Results ReCiPe (H) - CC'!F470</f>
        <v>8.3835998236248491E-3</v>
      </c>
      <c r="I238" s="6">
        <f>'Results ReCiPe (H) - CC'!G470</f>
        <v>7.8840150412988301E-3</v>
      </c>
      <c r="J238" s="6">
        <f>'Results ReCiPe (H) - CC'!H470</f>
        <v>8.9978083648384714E-3</v>
      </c>
      <c r="K238" s="6">
        <f>'Results ReCiPe (H) - CC'!I470</f>
        <v>8.3835998236248491E-3</v>
      </c>
      <c r="L238" s="6">
        <f>'Results ReCiPe (H) - CC'!J470</f>
        <v>7.8840150412988301E-3</v>
      </c>
      <c r="M238" s="4"/>
    </row>
    <row r="239" spans="1:20" outlineLevel="1" x14ac:dyDescent="0.35">
      <c r="B239" s="282" t="s">
        <v>121</v>
      </c>
      <c r="C239" s="282" t="s">
        <v>821</v>
      </c>
      <c r="D239" s="6">
        <f>'Results ReCiPe (H) - CC'!B471</f>
        <v>4.201398547075331</v>
      </c>
      <c r="E239" s="6">
        <f>'Results ReCiPe (H) - CC'!C471</f>
        <v>3.5301952668074428</v>
      </c>
      <c r="F239" s="6">
        <f>'Results ReCiPe (H) - CC'!D471</f>
        <v>3.0325500058089316</v>
      </c>
      <c r="G239" s="6">
        <f>'Results ReCiPe (H) - CC'!E471</f>
        <v>4.201398547075331</v>
      </c>
      <c r="H239" s="6">
        <f>'Results ReCiPe (H) - CC'!F471</f>
        <v>3.5301952668074428</v>
      </c>
      <c r="I239" s="6">
        <f>'Results ReCiPe (H) - CC'!G471</f>
        <v>3.0325500058089316</v>
      </c>
      <c r="J239" s="6">
        <f>'Results ReCiPe (H) - CC'!H471</f>
        <v>8.402797094150662</v>
      </c>
      <c r="K239" s="6">
        <f>'Results ReCiPe (H) - CC'!I471</f>
        <v>7.0603905336148856</v>
      </c>
      <c r="L239" s="6">
        <f>'Results ReCiPe (H) - CC'!J471</f>
        <v>6.0651000116178633</v>
      </c>
      <c r="M239" s="4"/>
    </row>
    <row r="240" spans="1:20" outlineLevel="1" x14ac:dyDescent="0.35">
      <c r="B240" s="282" t="s">
        <v>797</v>
      </c>
      <c r="C240" s="282" t="s">
        <v>821</v>
      </c>
      <c r="D240" s="6">
        <f>'Results ReCiPe (H) - CC'!B472</f>
        <v>0</v>
      </c>
      <c r="E240" s="6">
        <f>'Results ReCiPe (H) - CC'!C472</f>
        <v>0</v>
      </c>
      <c r="F240" s="6">
        <f>'Results ReCiPe (H) - CC'!D472</f>
        <v>0</v>
      </c>
      <c r="G240" s="6">
        <f>'Results ReCiPe (H) - CC'!E472</f>
        <v>0</v>
      </c>
      <c r="H240" s="6">
        <f>'Results ReCiPe (H) - CC'!F472</f>
        <v>0</v>
      </c>
      <c r="I240" s="6">
        <f>'Results ReCiPe (H) - CC'!G472</f>
        <v>0</v>
      </c>
      <c r="J240" s="6">
        <f>'Results ReCiPe (H) - CC'!H472</f>
        <v>90.318785932629567</v>
      </c>
      <c r="K240" s="6">
        <f>'Results ReCiPe (H) - CC'!I472</f>
        <v>82.290114568489102</v>
      </c>
      <c r="L240" s="6">
        <f>'Results ReCiPe (H) - CC'!J472</f>
        <v>54.968424837753538</v>
      </c>
      <c r="M240" s="4"/>
    </row>
    <row r="241" spans="1:13" outlineLevel="1" x14ac:dyDescent="0.35">
      <c r="B241" s="282" t="s">
        <v>122</v>
      </c>
      <c r="C241" s="282" t="s">
        <v>821</v>
      </c>
      <c r="D241" s="6">
        <f>'Results ReCiPe (H) - CC'!B473</f>
        <v>575.06611068071641</v>
      </c>
      <c r="E241" s="6">
        <f>'Results ReCiPe (H) - CC'!C473</f>
        <v>123.28289086735381</v>
      </c>
      <c r="F241" s="6">
        <f>'Results ReCiPe (H) - CC'!D473</f>
        <v>-1.7017745936380504</v>
      </c>
      <c r="G241" s="6">
        <f>'Results ReCiPe (H) - CC'!E473</f>
        <v>443.48370274691973</v>
      </c>
      <c r="H241" s="6">
        <f>'Results ReCiPe (H) - CC'!F473</f>
        <v>96.772526359985974</v>
      </c>
      <c r="I241" s="6">
        <f>'Results ReCiPe (H) - CC'!G473</f>
        <v>0.25962057718256326</v>
      </c>
      <c r="J241" s="6">
        <f>'Results ReCiPe (H) - CC'!H473</f>
        <v>70.882385297689595</v>
      </c>
      <c r="K241" s="6">
        <f>'Results ReCiPe (H) - CC'!I473</f>
        <v>50.4086136689697</v>
      </c>
      <c r="L241" s="6">
        <f>'Results ReCiPe (H) - CC'!J473</f>
        <v>38.74344373594483</v>
      </c>
      <c r="M241" s="4"/>
    </row>
    <row r="242" spans="1:13" outlineLevel="1" x14ac:dyDescent="0.35">
      <c r="B242" s="282" t="s">
        <v>123</v>
      </c>
      <c r="C242" s="282" t="s">
        <v>821</v>
      </c>
      <c r="D242" s="6">
        <f>'Results ReCiPe (H) - CC'!B474</f>
        <v>44.48175454947296</v>
      </c>
      <c r="E242" s="6">
        <f>'Results ReCiPe (H) - CC'!C474</f>
        <v>10.344861824112719</v>
      </c>
      <c r="F242" s="6">
        <f>'Results ReCiPe (H) - CC'!D474</f>
        <v>0.75686347530398235</v>
      </c>
      <c r="G242" s="6">
        <f>'Results ReCiPe (H) - CC'!E474</f>
        <v>44.48175454947296</v>
      </c>
      <c r="H242" s="6">
        <f>'Results ReCiPe (H) - CC'!F474</f>
        <v>10.344861824112719</v>
      </c>
      <c r="I242" s="6">
        <f>'Results ReCiPe (H) - CC'!G474</f>
        <v>0.75686347530398235</v>
      </c>
      <c r="J242" s="6">
        <f>'Results ReCiPe (H) - CC'!H474</f>
        <v>44.48175454947296</v>
      </c>
      <c r="K242" s="6">
        <f>'Results ReCiPe (H) - CC'!I474</f>
        <v>10.344861824112719</v>
      </c>
      <c r="L242" s="6">
        <f>'Results ReCiPe (H) - CC'!J474</f>
        <v>0.75686347530398235</v>
      </c>
      <c r="M242" s="4"/>
    </row>
    <row r="243" spans="1:13" outlineLevel="1" x14ac:dyDescent="0.35">
      <c r="B243" s="282" t="s">
        <v>124</v>
      </c>
      <c r="C243" s="282" t="s">
        <v>821</v>
      </c>
      <c r="D243" s="6">
        <f>'Results ReCiPe (H) - CC'!B475</f>
        <v>-1000</v>
      </c>
      <c r="E243" s="6">
        <f>'Results ReCiPe (H) - CC'!C475</f>
        <v>-1000</v>
      </c>
      <c r="F243" s="6">
        <f>'Results ReCiPe (H) - CC'!D475</f>
        <v>-1000</v>
      </c>
      <c r="G243" s="6">
        <f>'Results ReCiPe (H) - CC'!E475</f>
        <v>-1000</v>
      </c>
      <c r="H243" s="6">
        <f>'Results ReCiPe (H) - CC'!F475</f>
        <v>-1000</v>
      </c>
      <c r="I243" s="6">
        <f>'Results ReCiPe (H) - CC'!G475</f>
        <v>-1000</v>
      </c>
      <c r="J243" s="6">
        <f>'Results ReCiPe (H) - CC'!H475</f>
        <v>-1000</v>
      </c>
      <c r="K243" s="6">
        <f>'Results ReCiPe (H) - CC'!I475</f>
        <v>-1000</v>
      </c>
      <c r="L243" s="6">
        <f>'Results ReCiPe (H) - CC'!J475</f>
        <v>-1000</v>
      </c>
      <c r="M243" s="4"/>
    </row>
    <row r="244" spans="1:13" outlineLevel="1" x14ac:dyDescent="0.35">
      <c r="B244" s="282" t="s">
        <v>137</v>
      </c>
      <c r="C244" s="282" t="s">
        <v>821</v>
      </c>
      <c r="D244" s="6">
        <f>SUM(D235:D243)</f>
        <v>-359.63392604322109</v>
      </c>
      <c r="E244" s="6">
        <f t="shared" ref="E244:L244" si="54">SUM(E235:E243)</f>
        <v>-847.44505104778386</v>
      </c>
      <c r="F244" s="6">
        <f t="shared" si="54"/>
        <v>-985.7821103537068</v>
      </c>
      <c r="G244" s="6">
        <f t="shared" si="54"/>
        <v>-491.21633397701783</v>
      </c>
      <c r="H244" s="6">
        <f t="shared" si="54"/>
        <v>-873.95541555515172</v>
      </c>
      <c r="I244" s="6">
        <f t="shared" si="54"/>
        <v>-983.82071518288615</v>
      </c>
      <c r="J244" s="6">
        <f t="shared" si="54"/>
        <v>-757.05881147837772</v>
      </c>
      <c r="K244" s="6">
        <f t="shared" si="54"/>
        <v>-823.39328085256864</v>
      </c>
      <c r="L244" s="6">
        <f t="shared" si="54"/>
        <v>-879.31338914441767</v>
      </c>
      <c r="M244" s="4"/>
    </row>
    <row r="245" spans="1:13" outlineLevel="1" x14ac:dyDescent="0.35">
      <c r="M245" s="4"/>
    </row>
    <row r="246" spans="1:13" outlineLevel="1" x14ac:dyDescent="0.35">
      <c r="A246" s="15" t="s">
        <v>814</v>
      </c>
      <c r="B246" s="30"/>
      <c r="C246" s="140" t="s">
        <v>180</v>
      </c>
      <c r="D246" s="6" t="s">
        <v>889</v>
      </c>
      <c r="E246" s="6" t="s">
        <v>891</v>
      </c>
      <c r="F246" s="6" t="s">
        <v>890</v>
      </c>
      <c r="G246" s="6" t="s">
        <v>892</v>
      </c>
      <c r="H246" s="6" t="s">
        <v>893</v>
      </c>
      <c r="I246" s="6" t="s">
        <v>894</v>
      </c>
      <c r="J246" s="6" t="s">
        <v>896</v>
      </c>
      <c r="K246" s="6" t="s">
        <v>897</v>
      </c>
      <c r="L246" s="6" t="s">
        <v>895</v>
      </c>
      <c r="M246" s="4"/>
    </row>
    <row r="247" spans="1:13" outlineLevel="1" x14ac:dyDescent="0.35">
      <c r="B247" s="282" t="s">
        <v>117</v>
      </c>
      <c r="C247" s="282" t="s">
        <v>821</v>
      </c>
      <c r="D247" s="6">
        <f>'Results ReCiPe (H) - CC'!B467</f>
        <v>15.33891633430572</v>
      </c>
      <c r="E247" s="6">
        <f>'Results ReCiPe (H) - CC'!C467</f>
        <v>14.228720723813575</v>
      </c>
      <c r="F247" s="6">
        <f>'Results ReCiPe (H) - CC'!D467</f>
        <v>11.10767980382567</v>
      </c>
      <c r="G247" s="6">
        <f>'Results ReCiPe (H) - CC'!E467</f>
        <v>15.33891633430572</v>
      </c>
      <c r="H247" s="6">
        <f>'Results ReCiPe (H) - CC'!F467</f>
        <v>14.228720723813575</v>
      </c>
      <c r="I247" s="6">
        <f>'Results ReCiPe (H) - CC'!G467</f>
        <v>11.10767980382567</v>
      </c>
      <c r="J247" s="6">
        <f>'Results ReCiPe (H) - CC'!H467</f>
        <v>27.30109830898834</v>
      </c>
      <c r="K247" s="6">
        <f>'Results ReCiPe (H) - CC'!I467</f>
        <v>25.103103901411338</v>
      </c>
      <c r="L247" s="6">
        <f>'Results ReCiPe (H) - CC'!J467</f>
        <v>18.927767157790178</v>
      </c>
      <c r="M247" s="4"/>
    </row>
    <row r="248" spans="1:13" outlineLevel="1" x14ac:dyDescent="0.35">
      <c r="B248" s="282" t="s">
        <v>118</v>
      </c>
      <c r="C248" s="282" t="s">
        <v>821</v>
      </c>
      <c r="D248" s="6">
        <f>'Results ReCiPe (H) - CC'!B468</f>
        <v>0.99242254336085489</v>
      </c>
      <c r="E248" s="6">
        <f>'Results ReCiPe (H) - CC'!C468</f>
        <v>0.92854228959986618</v>
      </c>
      <c r="F248" s="6">
        <f>'Results ReCiPe (H) - CC'!D468</f>
        <v>0.81224625777211612</v>
      </c>
      <c r="G248" s="6">
        <f>'Results ReCiPe (H) - CC'!E468</f>
        <v>0.99242254336085489</v>
      </c>
      <c r="H248" s="6">
        <f>'Results ReCiPe (H) - CC'!F468</f>
        <v>0.92854228959986618</v>
      </c>
      <c r="I248" s="6">
        <f>'Results ReCiPe (H) - CC'!G468</f>
        <v>0.81224625777211612</v>
      </c>
      <c r="J248" s="6">
        <f>'Results ReCiPe (H) - CC'!H468</f>
        <v>0.99242254336085489</v>
      </c>
      <c r="K248" s="6">
        <f>'Results ReCiPe (H) - CC'!I468</f>
        <v>0.92854228959986618</v>
      </c>
      <c r="L248" s="6">
        <f>'Results ReCiPe (H) - CC'!J468</f>
        <v>0.81224625777211612</v>
      </c>
      <c r="M248" s="4"/>
    </row>
    <row r="249" spans="1:13" outlineLevel="1" x14ac:dyDescent="0.35">
      <c r="B249" s="282" t="s">
        <v>119</v>
      </c>
      <c r="C249" s="282" t="s">
        <v>821</v>
      </c>
      <c r="D249" s="6">
        <f>'Results ReCiPe (H) - CC'!B469</f>
        <v>0.27647349348275368</v>
      </c>
      <c r="E249" s="6">
        <f>'Results ReCiPe (H) - CC'!C469</f>
        <v>0.23135438070506198</v>
      </c>
      <c r="F249" s="6">
        <f>'Results ReCiPe (H) - CC'!D469</f>
        <v>0.20244068217927833</v>
      </c>
      <c r="G249" s="6">
        <f>'Results ReCiPe (H) - CC'!E469</f>
        <v>0.27647349348275368</v>
      </c>
      <c r="H249" s="6">
        <f>'Results ReCiPe (H) - CC'!F469</f>
        <v>0.23135438070506198</v>
      </c>
      <c r="I249" s="6">
        <f>'Results ReCiPe (H) - CC'!G469</f>
        <v>0.20244068217927833</v>
      </c>
      <c r="J249" s="6">
        <f>'Results ReCiPe (H) - CC'!H469</f>
        <v>0.55294698696550737</v>
      </c>
      <c r="K249" s="6">
        <f>'Results ReCiPe (H) - CC'!I469</f>
        <v>0.46270876141012396</v>
      </c>
      <c r="L249" s="6">
        <f>'Results ReCiPe (H) - CC'!J469</f>
        <v>0.40488136435855665</v>
      </c>
      <c r="M249" s="4"/>
    </row>
    <row r="250" spans="1:13" outlineLevel="1" x14ac:dyDescent="0.35">
      <c r="B250" s="282" t="s">
        <v>120</v>
      </c>
      <c r="C250" s="282" t="s">
        <v>821</v>
      </c>
      <c r="D250" s="6">
        <f>'Results ReCiPe (H) - CC'!B470</f>
        <v>8.9978083648384714E-3</v>
      </c>
      <c r="E250" s="6">
        <f>'Results ReCiPe (H) - CC'!C470</f>
        <v>8.3835998236248491E-3</v>
      </c>
      <c r="F250" s="6">
        <f>'Results ReCiPe (H) - CC'!D470</f>
        <v>7.8840150412988301E-3</v>
      </c>
      <c r="G250" s="6">
        <f>'Results ReCiPe (H) - CC'!E470</f>
        <v>8.9978083648384714E-3</v>
      </c>
      <c r="H250" s="6">
        <f>'Results ReCiPe (H) - CC'!F470</f>
        <v>8.3835998236248491E-3</v>
      </c>
      <c r="I250" s="6">
        <f>'Results ReCiPe (H) - CC'!G470</f>
        <v>7.8840150412988301E-3</v>
      </c>
      <c r="J250" s="6">
        <f>'Results ReCiPe (H) - CC'!H470</f>
        <v>8.9978083648384714E-3</v>
      </c>
      <c r="K250" s="6">
        <f>'Results ReCiPe (H) - CC'!I470</f>
        <v>8.3835998236248491E-3</v>
      </c>
      <c r="L250" s="6">
        <f>'Results ReCiPe (H) - CC'!J470</f>
        <v>7.8840150412988301E-3</v>
      </c>
      <c r="M250" s="4"/>
    </row>
    <row r="251" spans="1:13" outlineLevel="1" x14ac:dyDescent="0.35">
      <c r="B251" s="282" t="s">
        <v>121</v>
      </c>
      <c r="C251" s="282" t="s">
        <v>821</v>
      </c>
      <c r="D251" s="26">
        <f>AVERAGE('Results - raw data ReCiPe (H)'!$CC$186:$DA$186)*0.8</f>
        <v>9.0607443872231421</v>
      </c>
      <c r="E251" s="6">
        <f>AVERAGE('Results - raw data ReCiPe (H)'!$CC$192:$DA$192)*0.8</f>
        <v>7.1626007412364743</v>
      </c>
      <c r="F251" s="6">
        <f>AVERAGE('Results - raw data ReCiPe (H)'!$CC$198:$DA$198)*0.8</f>
        <v>5.7558208019924368</v>
      </c>
      <c r="G251" s="6">
        <f>AVERAGE('Results - raw data ReCiPe (H)'!$CC$186:$DA$186)*0.8</f>
        <v>9.0607443872231421</v>
      </c>
      <c r="H251" s="6">
        <f>AVERAGE('Results - raw data ReCiPe (H)'!$CC$192:$DA$192)*0.8</f>
        <v>7.1626007412364743</v>
      </c>
      <c r="I251" s="6">
        <f>AVERAGE('Results - raw data ReCiPe (H)'!$CC$198:$DA$198)*0.8</f>
        <v>5.7558208019924368</v>
      </c>
      <c r="J251" s="6">
        <f>AVERAGE('Results - raw data ReCiPe (H)'!$CC$186:$DA$186)*0.8*2</f>
        <v>18.121488774446284</v>
      </c>
      <c r="K251" s="6">
        <f>AVERAGE('Results - raw data ReCiPe (H)'!$CC$192:$DA$192)*0.8*2</f>
        <v>14.325201482472949</v>
      </c>
      <c r="L251" s="6">
        <f>AVERAGE('Results - raw data ReCiPe (H)'!$CC$198:$DA$198)*0.8*2</f>
        <v>11.511641603984874</v>
      </c>
      <c r="M251" s="4"/>
    </row>
    <row r="252" spans="1:13" outlineLevel="1" x14ac:dyDescent="0.35">
      <c r="B252" s="282" t="s">
        <v>797</v>
      </c>
      <c r="C252" s="282" t="s">
        <v>821</v>
      </c>
      <c r="D252" s="6">
        <f>'Results ReCiPe (H) - CC'!B472</f>
        <v>0</v>
      </c>
      <c r="E252" s="6">
        <f>'Results ReCiPe (H) - CC'!C472</f>
        <v>0</v>
      </c>
      <c r="F252" s="6">
        <f>'Results ReCiPe (H) - CC'!D472</f>
        <v>0</v>
      </c>
      <c r="G252" s="6">
        <f>'Results ReCiPe (H) - CC'!E472</f>
        <v>0</v>
      </c>
      <c r="H252" s="6">
        <f>'Results ReCiPe (H) - CC'!F472</f>
        <v>0</v>
      </c>
      <c r="I252" s="6">
        <f>'Results ReCiPe (H) - CC'!G472</f>
        <v>0</v>
      </c>
      <c r="J252" s="6">
        <f>'Results ReCiPe (H) - CC'!H472</f>
        <v>90.318785932629567</v>
      </c>
      <c r="K252" s="6">
        <f>'Results ReCiPe (H) - CC'!I472</f>
        <v>82.290114568489102</v>
      </c>
      <c r="L252" s="6">
        <f>'Results ReCiPe (H) - CC'!J472</f>
        <v>54.968424837753538</v>
      </c>
      <c r="M252" s="4"/>
    </row>
    <row r="253" spans="1:13" outlineLevel="1" x14ac:dyDescent="0.35">
      <c r="B253" s="282" t="s">
        <v>122</v>
      </c>
      <c r="C253" s="282" t="s">
        <v>821</v>
      </c>
      <c r="D253" s="6">
        <f>'Results ReCiPe (H) - CC'!B473</f>
        <v>575.06611068071641</v>
      </c>
      <c r="E253" s="6">
        <f>'Results ReCiPe (H) - CC'!C473</f>
        <v>123.28289086735381</v>
      </c>
      <c r="F253" s="6">
        <f>'Results ReCiPe (H) - CC'!D473</f>
        <v>-1.7017745936380504</v>
      </c>
      <c r="G253" s="6">
        <f>'Results ReCiPe (H) - CC'!E473</f>
        <v>443.48370274691973</v>
      </c>
      <c r="H253" s="6">
        <f>'Results ReCiPe (H) - CC'!F473</f>
        <v>96.772526359985974</v>
      </c>
      <c r="I253" s="6">
        <f>'Results ReCiPe (H) - CC'!G473</f>
        <v>0.25962057718256326</v>
      </c>
      <c r="J253" s="6">
        <f>'Results ReCiPe (H) - CC'!H473</f>
        <v>70.882385297689595</v>
      </c>
      <c r="K253" s="6">
        <f>'Results ReCiPe (H) - CC'!I473</f>
        <v>50.4086136689697</v>
      </c>
      <c r="L253" s="6">
        <f>'Results ReCiPe (H) - CC'!J473</f>
        <v>38.74344373594483</v>
      </c>
      <c r="M253" s="4"/>
    </row>
    <row r="254" spans="1:13" outlineLevel="1" x14ac:dyDescent="0.35">
      <c r="B254" s="282" t="s">
        <v>123</v>
      </c>
      <c r="C254" s="282" t="s">
        <v>821</v>
      </c>
      <c r="D254" s="6">
        <f>'Results ReCiPe (H) - CC'!B474</f>
        <v>44.48175454947296</v>
      </c>
      <c r="E254" s="6">
        <f>'Results ReCiPe (H) - CC'!C474</f>
        <v>10.344861824112719</v>
      </c>
      <c r="F254" s="6">
        <f>'Results ReCiPe (H) - CC'!D474</f>
        <v>0.75686347530398235</v>
      </c>
      <c r="G254" s="6">
        <f>'Results ReCiPe (H) - CC'!E474</f>
        <v>44.48175454947296</v>
      </c>
      <c r="H254" s="6">
        <f>'Results ReCiPe (H) - CC'!F474</f>
        <v>10.344861824112719</v>
      </c>
      <c r="I254" s="6">
        <f>'Results ReCiPe (H) - CC'!G474</f>
        <v>0.75686347530398235</v>
      </c>
      <c r="J254" s="6">
        <f>'Results ReCiPe (H) - CC'!H474</f>
        <v>44.48175454947296</v>
      </c>
      <c r="K254" s="6">
        <f>'Results ReCiPe (H) - CC'!I474</f>
        <v>10.344861824112719</v>
      </c>
      <c r="L254" s="6">
        <f>'Results ReCiPe (H) - CC'!J474</f>
        <v>0.75686347530398235</v>
      </c>
      <c r="M254" s="4"/>
    </row>
    <row r="255" spans="1:13" outlineLevel="1" x14ac:dyDescent="0.35">
      <c r="B255" s="282" t="s">
        <v>124</v>
      </c>
      <c r="C255" s="282" t="s">
        <v>821</v>
      </c>
      <c r="D255" s="6">
        <f>'Results ReCiPe (H) - CC'!B475</f>
        <v>-1000</v>
      </c>
      <c r="E255" s="6">
        <f>'Results ReCiPe (H) - CC'!C475</f>
        <v>-1000</v>
      </c>
      <c r="F255" s="6">
        <f>'Results ReCiPe (H) - CC'!D475</f>
        <v>-1000</v>
      </c>
      <c r="G255" s="6">
        <f>'Results ReCiPe (H) - CC'!E475</f>
        <v>-1000</v>
      </c>
      <c r="H255" s="6">
        <f>'Results ReCiPe (H) - CC'!F475</f>
        <v>-1000</v>
      </c>
      <c r="I255" s="6">
        <f>'Results ReCiPe (H) - CC'!G475</f>
        <v>-1000</v>
      </c>
      <c r="J255" s="6">
        <f>'Results ReCiPe (H) - CC'!H475</f>
        <v>-1000</v>
      </c>
      <c r="K255" s="6">
        <f>'Results ReCiPe (H) - CC'!I475</f>
        <v>-1000</v>
      </c>
      <c r="L255" s="6">
        <f>'Results ReCiPe (H) - CC'!J475</f>
        <v>-1000</v>
      </c>
      <c r="M255" s="4"/>
    </row>
    <row r="256" spans="1:13" outlineLevel="1" x14ac:dyDescent="0.35">
      <c r="B256" s="282" t="s">
        <v>137</v>
      </c>
      <c r="C256" s="282" t="s">
        <v>821</v>
      </c>
      <c r="D256" s="6">
        <f>SUM(D247:D255)</f>
        <v>-354.77458020307336</v>
      </c>
      <c r="E256" s="6">
        <f t="shared" ref="E256:L256" si="55">SUM(E247:E255)</f>
        <v>-843.81264557335487</v>
      </c>
      <c r="F256" s="6">
        <f t="shared" si="55"/>
        <v>-983.05883955752324</v>
      </c>
      <c r="G256" s="6">
        <f t="shared" si="55"/>
        <v>-486.35698813686997</v>
      </c>
      <c r="H256" s="6">
        <f t="shared" si="55"/>
        <v>-870.32301008072272</v>
      </c>
      <c r="I256" s="6">
        <f t="shared" si="55"/>
        <v>-981.0974443867027</v>
      </c>
      <c r="J256" s="6">
        <f t="shared" si="55"/>
        <v>-747.34011979808201</v>
      </c>
      <c r="K256" s="6">
        <f t="shared" si="55"/>
        <v>-816.12846990371054</v>
      </c>
      <c r="L256" s="6">
        <f t="shared" si="55"/>
        <v>-873.86684755205056</v>
      </c>
      <c r="M256" s="4"/>
    </row>
    <row r="257" spans="1:20" outlineLevel="1" x14ac:dyDescent="0.35">
      <c r="M257" s="4"/>
      <c r="T257" s="282"/>
    </row>
    <row r="258" spans="1:20" x14ac:dyDescent="0.35">
      <c r="A258" s="170" t="s">
        <v>816</v>
      </c>
      <c r="B258" s="4"/>
      <c r="C258" s="4"/>
      <c r="D258" s="4"/>
      <c r="E258" s="4"/>
      <c r="F258" s="4"/>
      <c r="G258" s="4"/>
      <c r="H258" s="4"/>
      <c r="I258" s="4"/>
      <c r="J258" s="4"/>
      <c r="K258" s="4"/>
      <c r="L258" s="4"/>
      <c r="M258" s="4"/>
      <c r="T258" s="282"/>
    </row>
    <row r="259" spans="1:20" outlineLevel="1" x14ac:dyDescent="0.35">
      <c r="A259" s="15">
        <v>0.23</v>
      </c>
      <c r="B259" s="30"/>
      <c r="C259" s="140" t="s">
        <v>180</v>
      </c>
      <c r="D259" s="6" t="s">
        <v>889</v>
      </c>
      <c r="E259" s="6" t="s">
        <v>891</v>
      </c>
      <c r="F259" s="6" t="s">
        <v>890</v>
      </c>
      <c r="G259" s="6" t="s">
        <v>892</v>
      </c>
      <c r="H259" s="6" t="s">
        <v>893</v>
      </c>
      <c r="I259" s="6" t="s">
        <v>894</v>
      </c>
      <c r="J259" s="6" t="s">
        <v>896</v>
      </c>
      <c r="K259" s="6" t="s">
        <v>897</v>
      </c>
      <c r="L259" s="6" t="s">
        <v>895</v>
      </c>
      <c r="M259" s="4"/>
    </row>
    <row r="260" spans="1:20" outlineLevel="1" x14ac:dyDescent="0.35">
      <c r="B260" s="282" t="s">
        <v>117</v>
      </c>
      <c r="C260" s="282" t="s">
        <v>821</v>
      </c>
      <c r="D260" s="6"/>
      <c r="E260" s="6"/>
      <c r="F260" s="6"/>
      <c r="G260" s="6">
        <f>'Results ReCiPe (H) - CC'!E467</f>
        <v>15.33891633430572</v>
      </c>
      <c r="H260" s="6">
        <f>'Results ReCiPe (H) - CC'!F467</f>
        <v>14.228720723813575</v>
      </c>
      <c r="I260" s="6">
        <f>'Results ReCiPe (H) - CC'!G467</f>
        <v>11.10767980382567</v>
      </c>
      <c r="J260" s="6"/>
      <c r="K260" s="6"/>
      <c r="L260" s="6"/>
      <c r="M260" s="4"/>
    </row>
    <row r="261" spans="1:20" outlineLevel="1" x14ac:dyDescent="0.35">
      <c r="B261" s="282" t="s">
        <v>118</v>
      </c>
      <c r="C261" s="282" t="s">
        <v>821</v>
      </c>
      <c r="D261" s="6"/>
      <c r="E261" s="6"/>
      <c r="F261" s="6"/>
      <c r="G261" s="6">
        <f>'Results ReCiPe (H) - CC'!E468</f>
        <v>0.99242254336085489</v>
      </c>
      <c r="H261" s="6">
        <f>'Results ReCiPe (H) - CC'!F468</f>
        <v>0.92854228959986618</v>
      </c>
      <c r="I261" s="6">
        <f>'Results ReCiPe (H) - CC'!G468</f>
        <v>0.81224625777211612</v>
      </c>
      <c r="J261" s="6"/>
      <c r="K261" s="6"/>
      <c r="L261" s="6"/>
      <c r="M261" s="4"/>
    </row>
    <row r="262" spans="1:20" outlineLevel="1" x14ac:dyDescent="0.35">
      <c r="B262" s="282" t="s">
        <v>119</v>
      </c>
      <c r="C262" s="282" t="s">
        <v>821</v>
      </c>
      <c r="D262" s="6"/>
      <c r="E262" s="6"/>
      <c r="F262" s="6"/>
      <c r="G262" s="6">
        <f>'Results ReCiPe (H) - CC'!E469</f>
        <v>0.27647349348275368</v>
      </c>
      <c r="H262" s="6">
        <f>'Results ReCiPe (H) - CC'!F469</f>
        <v>0.23135438070506198</v>
      </c>
      <c r="I262" s="6">
        <f>'Results ReCiPe (H) - CC'!G469</f>
        <v>0.20244068217927833</v>
      </c>
      <c r="J262" s="6"/>
      <c r="K262" s="6"/>
      <c r="L262" s="6"/>
      <c r="M262" s="4"/>
    </row>
    <row r="263" spans="1:20" outlineLevel="1" x14ac:dyDescent="0.35">
      <c r="B263" s="282" t="s">
        <v>120</v>
      </c>
      <c r="C263" s="282" t="s">
        <v>821</v>
      </c>
      <c r="D263" s="6"/>
      <c r="E263" s="6"/>
      <c r="F263" s="6"/>
      <c r="G263" s="6">
        <f>'Results ReCiPe (H) - CC'!E470</f>
        <v>8.9978083648384714E-3</v>
      </c>
      <c r="H263" s="6">
        <f>'Results ReCiPe (H) - CC'!F470</f>
        <v>8.3835998236248491E-3</v>
      </c>
      <c r="I263" s="6">
        <f>'Results ReCiPe (H) - CC'!G470</f>
        <v>7.8840150412988301E-3</v>
      </c>
      <c r="J263" s="6"/>
      <c r="K263" s="6"/>
      <c r="L263" s="6"/>
      <c r="M263" s="4"/>
    </row>
    <row r="264" spans="1:20" outlineLevel="1" x14ac:dyDescent="0.35">
      <c r="B264" s="282" t="s">
        <v>121</v>
      </c>
      <c r="C264" s="282" t="s">
        <v>821</v>
      </c>
      <c r="D264" s="6"/>
      <c r="E264" s="6"/>
      <c r="F264" s="6"/>
      <c r="G264" s="6">
        <f>'Results ReCiPe (H) - CC'!E471</f>
        <v>4.201398547075331</v>
      </c>
      <c r="H264" s="6">
        <f>'Results ReCiPe (H) - CC'!F471</f>
        <v>3.5301952668074428</v>
      </c>
      <c r="I264" s="6">
        <f>'Results ReCiPe (H) - CC'!G471</f>
        <v>3.0325500058089316</v>
      </c>
      <c r="J264" s="6"/>
      <c r="K264" s="6"/>
      <c r="L264" s="6"/>
      <c r="M264" s="4"/>
    </row>
    <row r="265" spans="1:20" outlineLevel="1" x14ac:dyDescent="0.35">
      <c r="B265" s="282" t="s">
        <v>797</v>
      </c>
      <c r="C265" s="282" t="s">
        <v>821</v>
      </c>
      <c r="D265" s="6"/>
      <c r="E265" s="6"/>
      <c r="F265" s="6"/>
      <c r="G265" s="6">
        <f>'Results ReCiPe (H) - CC'!E472</f>
        <v>0</v>
      </c>
      <c r="H265" s="6">
        <f>'Results ReCiPe (H) - CC'!F472</f>
        <v>0</v>
      </c>
      <c r="I265" s="6">
        <f>'Results ReCiPe (H) - CC'!G472</f>
        <v>0</v>
      </c>
      <c r="J265" s="6"/>
      <c r="K265" s="6"/>
      <c r="L265" s="6"/>
      <c r="M265" s="4"/>
    </row>
    <row r="266" spans="1:20" outlineLevel="1" x14ac:dyDescent="0.35">
      <c r="B266" s="282" t="s">
        <v>122</v>
      </c>
      <c r="C266" s="282" t="s">
        <v>821</v>
      </c>
      <c r="D266" s="6"/>
      <c r="E266" s="6"/>
      <c r="F266" s="6"/>
      <c r="G266" s="6">
        <f>'Results ReCiPe (H) - CC'!E473</f>
        <v>443.48370274691973</v>
      </c>
      <c r="H266" s="6">
        <f>'Results ReCiPe (H) - CC'!F473</f>
        <v>96.772526359985974</v>
      </c>
      <c r="I266" s="6">
        <f>'Results ReCiPe (H) - CC'!G473</f>
        <v>0.25962057718256326</v>
      </c>
      <c r="J266" s="6"/>
      <c r="K266" s="6"/>
      <c r="L266" s="6"/>
      <c r="M266" s="4"/>
    </row>
    <row r="267" spans="1:20" outlineLevel="1" x14ac:dyDescent="0.35">
      <c r="B267" s="282" t="s">
        <v>123</v>
      </c>
      <c r="C267" s="282" t="s">
        <v>821</v>
      </c>
      <c r="D267" s="6"/>
      <c r="E267" s="6"/>
      <c r="F267" s="6"/>
      <c r="G267" s="6">
        <f>'Results ReCiPe (H) - CC'!E474</f>
        <v>44.48175454947296</v>
      </c>
      <c r="H267" s="6">
        <f>'Results ReCiPe (H) - CC'!F474</f>
        <v>10.344861824112719</v>
      </c>
      <c r="I267" s="6">
        <f>'Results ReCiPe (H) - CC'!G474</f>
        <v>0.75686347530398235</v>
      </c>
      <c r="J267" s="6"/>
      <c r="K267" s="6"/>
      <c r="L267" s="6"/>
      <c r="M267" s="4"/>
    </row>
    <row r="268" spans="1:20" outlineLevel="1" x14ac:dyDescent="0.35">
      <c r="B268" s="282" t="s">
        <v>124</v>
      </c>
      <c r="C268" s="282" t="s">
        <v>821</v>
      </c>
      <c r="D268" s="6"/>
      <c r="E268" s="6"/>
      <c r="F268" s="6"/>
      <c r="G268" s="6">
        <f>'Results ReCiPe (H) - CC'!E475</f>
        <v>-1000</v>
      </c>
      <c r="H268" s="6">
        <f>'Results ReCiPe (H) - CC'!F475</f>
        <v>-1000</v>
      </c>
      <c r="I268" s="6">
        <f>'Results ReCiPe (H) - CC'!G475</f>
        <v>-1000</v>
      </c>
      <c r="J268" s="6"/>
      <c r="K268" s="6"/>
      <c r="L268" s="6"/>
      <c r="M268" s="4"/>
    </row>
    <row r="269" spans="1:20" outlineLevel="1" x14ac:dyDescent="0.35">
      <c r="B269" s="282" t="s">
        <v>137</v>
      </c>
      <c r="C269" s="282" t="s">
        <v>821</v>
      </c>
      <c r="D269" s="6"/>
      <c r="E269" s="6"/>
      <c r="F269" s="6"/>
      <c r="G269" s="6">
        <f>SUM(G260:G268)</f>
        <v>-491.21633397701783</v>
      </c>
      <c r="H269" s="6">
        <f>SUM(H260:H268)</f>
        <v>-873.95541555515172</v>
      </c>
      <c r="I269" s="6">
        <f>SUM(I260:I268)</f>
        <v>-983.82071518288615</v>
      </c>
      <c r="J269" s="6"/>
      <c r="K269" s="6"/>
      <c r="L269" s="6"/>
      <c r="M269" s="4"/>
    </row>
    <row r="270" spans="1:20" outlineLevel="1" x14ac:dyDescent="0.35">
      <c r="M270" s="4"/>
    </row>
    <row r="271" spans="1:20" outlineLevel="1" x14ac:dyDescent="0.35">
      <c r="A271" s="15">
        <v>0.35</v>
      </c>
      <c r="B271" s="30"/>
      <c r="C271" s="140" t="s">
        <v>180</v>
      </c>
      <c r="D271" s="6" t="s">
        <v>889</v>
      </c>
      <c r="E271" s="6" t="s">
        <v>891</v>
      </c>
      <c r="F271" s="6" t="s">
        <v>890</v>
      </c>
      <c r="G271" s="6" t="s">
        <v>892</v>
      </c>
      <c r="H271" s="6" t="s">
        <v>893</v>
      </c>
      <c r="I271" s="6" t="s">
        <v>894</v>
      </c>
      <c r="J271" s="6" t="s">
        <v>896</v>
      </c>
      <c r="K271" s="6" t="s">
        <v>897</v>
      </c>
      <c r="L271" s="6" t="s">
        <v>895</v>
      </c>
      <c r="M271" s="4"/>
    </row>
    <row r="272" spans="1:20" outlineLevel="1" x14ac:dyDescent="0.35">
      <c r="B272" s="282" t="s">
        <v>117</v>
      </c>
      <c r="C272" s="282" t="s">
        <v>821</v>
      </c>
      <c r="D272" s="6"/>
      <c r="E272" s="6"/>
      <c r="F272" s="6"/>
      <c r="G272" s="6">
        <f>'Results ReCiPe (H) - CC'!E467</f>
        <v>15.33891633430572</v>
      </c>
      <c r="H272" s="6">
        <f>'Results ReCiPe (H) - CC'!F467</f>
        <v>14.228720723813575</v>
      </c>
      <c r="I272" s="6">
        <f>'Results ReCiPe (H) - CC'!G467</f>
        <v>11.10767980382567</v>
      </c>
      <c r="J272" s="6"/>
      <c r="K272" s="6"/>
      <c r="L272" s="6"/>
      <c r="M272" s="4"/>
    </row>
    <row r="273" spans="1:13" outlineLevel="1" x14ac:dyDescent="0.35">
      <c r="B273" s="282" t="s">
        <v>118</v>
      </c>
      <c r="C273" s="282" t="s">
        <v>821</v>
      </c>
      <c r="D273" s="6"/>
      <c r="E273" s="6"/>
      <c r="F273" s="6"/>
      <c r="G273" s="6">
        <f>'Results ReCiPe (H) - CC'!E468</f>
        <v>0.99242254336085489</v>
      </c>
      <c r="H273" s="6">
        <f>'Results ReCiPe (H) - CC'!F468</f>
        <v>0.92854228959986618</v>
      </c>
      <c r="I273" s="6">
        <f>'Results ReCiPe (H) - CC'!G468</f>
        <v>0.81224625777211612</v>
      </c>
      <c r="J273" s="6"/>
      <c r="K273" s="6"/>
      <c r="L273" s="6"/>
      <c r="M273" s="4"/>
    </row>
    <row r="274" spans="1:13" outlineLevel="1" x14ac:dyDescent="0.35">
      <c r="B274" s="282" t="s">
        <v>119</v>
      </c>
      <c r="C274" s="282" t="s">
        <v>821</v>
      </c>
      <c r="D274" s="6"/>
      <c r="E274" s="6"/>
      <c r="F274" s="6"/>
      <c r="G274" s="6">
        <f>'Results ReCiPe (H) - CC'!E469</f>
        <v>0.27647349348275368</v>
      </c>
      <c r="H274" s="6">
        <f>'Results ReCiPe (H) - CC'!F469</f>
        <v>0.23135438070506198</v>
      </c>
      <c r="I274" s="6">
        <f>'Results ReCiPe (H) - CC'!G469</f>
        <v>0.20244068217927833</v>
      </c>
      <c r="J274" s="6"/>
      <c r="K274" s="6"/>
      <c r="L274" s="6"/>
      <c r="M274" s="4"/>
    </row>
    <row r="275" spans="1:13" outlineLevel="1" x14ac:dyDescent="0.35">
      <c r="B275" s="282" t="s">
        <v>120</v>
      </c>
      <c r="C275" s="282" t="s">
        <v>821</v>
      </c>
      <c r="D275" s="6"/>
      <c r="E275" s="6"/>
      <c r="F275" s="6"/>
      <c r="G275" s="6">
        <f>'Results ReCiPe (H) - CC'!E470</f>
        <v>8.9978083648384714E-3</v>
      </c>
      <c r="H275" s="6">
        <f>'Results ReCiPe (H) - CC'!F470</f>
        <v>8.3835998236248491E-3</v>
      </c>
      <c r="I275" s="6">
        <f>'Results ReCiPe (H) - CC'!G470</f>
        <v>7.8840150412988301E-3</v>
      </c>
      <c r="J275" s="6"/>
      <c r="K275" s="6"/>
      <c r="L275" s="6"/>
      <c r="M275" s="4"/>
    </row>
    <row r="276" spans="1:13" outlineLevel="1" x14ac:dyDescent="0.35">
      <c r="B276" s="282" t="s">
        <v>121</v>
      </c>
      <c r="C276" s="282" t="s">
        <v>821</v>
      </c>
      <c r="D276" s="6"/>
      <c r="E276" s="6"/>
      <c r="F276" s="6"/>
      <c r="G276" s="6">
        <f>'Results ReCiPe (H) - CC'!E471</f>
        <v>4.201398547075331</v>
      </c>
      <c r="H276" s="6">
        <f>'Results ReCiPe (H) - CC'!F471</f>
        <v>3.5301952668074428</v>
      </c>
      <c r="I276" s="6">
        <f>'Results ReCiPe (H) - CC'!G471</f>
        <v>3.0325500058089316</v>
      </c>
      <c r="J276" s="6"/>
      <c r="K276" s="6"/>
      <c r="L276" s="6"/>
      <c r="M276" s="4"/>
    </row>
    <row r="277" spans="1:13" outlineLevel="1" x14ac:dyDescent="0.35">
      <c r="B277" s="282" t="s">
        <v>797</v>
      </c>
      <c r="C277" s="282" t="s">
        <v>821</v>
      </c>
      <c r="D277" s="6"/>
      <c r="E277" s="6"/>
      <c r="F277" s="6"/>
      <c r="G277" s="6">
        <f>'Results ReCiPe (H) - CC'!E472</f>
        <v>0</v>
      </c>
      <c r="H277" s="6">
        <f>'Results ReCiPe (H) - CC'!F472</f>
        <v>0</v>
      </c>
      <c r="I277" s="6">
        <f>'Results ReCiPe (H) - CC'!G472</f>
        <v>0</v>
      </c>
      <c r="J277" s="6"/>
      <c r="K277" s="6"/>
      <c r="L277" s="6"/>
      <c r="M277" s="4"/>
    </row>
    <row r="278" spans="1:13" outlineLevel="1" x14ac:dyDescent="0.35">
      <c r="B278" s="282" t="s">
        <v>122</v>
      </c>
      <c r="C278" s="282" t="s">
        <v>821</v>
      </c>
      <c r="D278" s="6"/>
      <c r="E278" s="6"/>
      <c r="F278" s="6"/>
      <c r="G278" s="16">
        <f>1500*(0.35*AVERAGE('Results - raw data ReCiPe (H)'!$CC$114:$DA$114)+0.65*AVERAGE('Results - raw data ReCiPe (H)'!$CC$115:$DA$115))</f>
        <v>379.7433837594395</v>
      </c>
      <c r="H278" s="16">
        <f>1500*(0.35*AVERAGE('Results - raw data ReCiPe (H)'!$CC$121:$DA$121)+0.65*AVERAGE('Results - raw data ReCiPe (H)'!$CC$122:$DA$122))</f>
        <v>85.512876956217525</v>
      </c>
      <c r="I278" s="16">
        <f>1500*(0.35*AVERAGE('Results - raw data ReCiPe (H)'!$CC$128:$DA$128)+0.65*AVERAGE('Results - raw data ReCiPe (H)'!$CC$129:$DA$129))</f>
        <v>3.156536095152036</v>
      </c>
      <c r="J278" s="6"/>
      <c r="K278" s="6"/>
      <c r="L278" s="6"/>
      <c r="M278" s="4"/>
    </row>
    <row r="279" spans="1:13" outlineLevel="1" x14ac:dyDescent="0.35">
      <c r="B279" s="282" t="s">
        <v>123</v>
      </c>
      <c r="C279" s="282" t="s">
        <v>821</v>
      </c>
      <c r="D279" s="6"/>
      <c r="E279" s="6"/>
      <c r="F279" s="6"/>
      <c r="G279" s="6">
        <f>'Results ReCiPe (H) - CC'!E474</f>
        <v>44.48175454947296</v>
      </c>
      <c r="H279" s="6">
        <f>'Results ReCiPe (H) - CC'!F474</f>
        <v>10.344861824112719</v>
      </c>
      <c r="I279" s="6">
        <f>'Results ReCiPe (H) - CC'!G474</f>
        <v>0.75686347530398235</v>
      </c>
      <c r="J279" s="6"/>
      <c r="K279" s="6"/>
      <c r="L279" s="6"/>
      <c r="M279" s="4"/>
    </row>
    <row r="280" spans="1:13" outlineLevel="1" x14ac:dyDescent="0.35">
      <c r="B280" s="282" t="s">
        <v>124</v>
      </c>
      <c r="C280" s="282" t="s">
        <v>821</v>
      </c>
      <c r="D280" s="6"/>
      <c r="E280" s="6"/>
      <c r="F280" s="6"/>
      <c r="G280" s="6">
        <f>'Results ReCiPe (H) - CC'!E475</f>
        <v>-1000</v>
      </c>
      <c r="H280" s="6">
        <f>'Results ReCiPe (H) - CC'!F475</f>
        <v>-1000</v>
      </c>
      <c r="I280" s="6">
        <f>'Results ReCiPe (H) - CC'!G475</f>
        <v>-1000</v>
      </c>
      <c r="J280" s="6"/>
      <c r="K280" s="6"/>
      <c r="L280" s="6"/>
      <c r="M280" s="4"/>
    </row>
    <row r="281" spans="1:13" outlineLevel="1" x14ac:dyDescent="0.35">
      <c r="B281" s="282" t="s">
        <v>137</v>
      </c>
      <c r="C281" s="282" t="s">
        <v>821</v>
      </c>
      <c r="D281" s="6"/>
      <c r="E281" s="6"/>
      <c r="F281" s="6"/>
      <c r="G281" s="6">
        <f>SUM(G272:G280)</f>
        <v>-554.95665296449806</v>
      </c>
      <c r="H281" s="6">
        <f>SUM(H272:H280)</f>
        <v>-885.21506495892015</v>
      </c>
      <c r="I281" s="6">
        <f>SUM(I272:I280)</f>
        <v>-980.92379966491671</v>
      </c>
      <c r="J281" s="6"/>
      <c r="K281" s="6"/>
      <c r="L281" s="6"/>
      <c r="M281" s="4"/>
    </row>
    <row r="282" spans="1:13" outlineLevel="1" x14ac:dyDescent="0.35">
      <c r="M282" s="4"/>
    </row>
    <row r="283" spans="1:13" outlineLevel="1" x14ac:dyDescent="0.35">
      <c r="A283" s="15">
        <v>0.45</v>
      </c>
      <c r="C283" s="140" t="s">
        <v>180</v>
      </c>
      <c r="D283" s="6" t="s">
        <v>889</v>
      </c>
      <c r="E283" s="6" t="s">
        <v>891</v>
      </c>
      <c r="F283" s="6" t="s">
        <v>890</v>
      </c>
      <c r="G283" s="6" t="s">
        <v>892</v>
      </c>
      <c r="H283" s="6" t="s">
        <v>893</v>
      </c>
      <c r="I283" s="6" t="s">
        <v>894</v>
      </c>
      <c r="J283" s="6" t="s">
        <v>896</v>
      </c>
      <c r="K283" s="6" t="s">
        <v>897</v>
      </c>
      <c r="L283" s="6" t="s">
        <v>895</v>
      </c>
      <c r="M283" s="4"/>
    </row>
    <row r="284" spans="1:13" outlineLevel="1" x14ac:dyDescent="0.35">
      <c r="B284" s="282" t="s">
        <v>117</v>
      </c>
      <c r="C284" s="282" t="s">
        <v>821</v>
      </c>
      <c r="D284" s="6"/>
      <c r="E284" s="6"/>
      <c r="F284" s="6"/>
      <c r="G284" s="6">
        <f>'Results ReCiPe (H) - CC'!E467</f>
        <v>15.33891633430572</v>
      </c>
      <c r="H284" s="6">
        <f>'Results ReCiPe (H) - CC'!F467</f>
        <v>14.228720723813575</v>
      </c>
      <c r="I284" s="6">
        <f>'Results ReCiPe (H) - CC'!G467</f>
        <v>11.10767980382567</v>
      </c>
      <c r="J284" s="6"/>
      <c r="K284" s="6"/>
      <c r="L284" s="6"/>
      <c r="M284" s="4"/>
    </row>
    <row r="285" spans="1:13" outlineLevel="1" x14ac:dyDescent="0.35">
      <c r="B285" s="282" t="s">
        <v>118</v>
      </c>
      <c r="C285" s="282" t="s">
        <v>821</v>
      </c>
      <c r="D285" s="6"/>
      <c r="E285" s="6"/>
      <c r="F285" s="6"/>
      <c r="G285" s="6">
        <f>'Results ReCiPe (H) - CC'!E468</f>
        <v>0.99242254336085489</v>
      </c>
      <c r="H285" s="6">
        <f>'Results ReCiPe (H) - CC'!F468</f>
        <v>0.92854228959986618</v>
      </c>
      <c r="I285" s="6">
        <f>'Results ReCiPe (H) - CC'!G468</f>
        <v>0.81224625777211612</v>
      </c>
      <c r="J285" s="6"/>
      <c r="K285" s="6"/>
      <c r="L285" s="6"/>
      <c r="M285" s="4"/>
    </row>
    <row r="286" spans="1:13" outlineLevel="1" x14ac:dyDescent="0.35">
      <c r="B286" s="282" t="s">
        <v>119</v>
      </c>
      <c r="C286" s="282" t="s">
        <v>821</v>
      </c>
      <c r="D286" s="6"/>
      <c r="E286" s="6"/>
      <c r="F286" s="6"/>
      <c r="G286" s="6">
        <f>'Results ReCiPe (H) - CC'!E469</f>
        <v>0.27647349348275368</v>
      </c>
      <c r="H286" s="6">
        <f>'Results ReCiPe (H) - CC'!F469</f>
        <v>0.23135438070506198</v>
      </c>
      <c r="I286" s="6">
        <f>'Results ReCiPe (H) - CC'!G469</f>
        <v>0.20244068217927833</v>
      </c>
      <c r="J286" s="6"/>
      <c r="K286" s="6"/>
      <c r="L286" s="6"/>
      <c r="M286" s="4"/>
    </row>
    <row r="287" spans="1:13" outlineLevel="1" x14ac:dyDescent="0.35">
      <c r="B287" s="282" t="s">
        <v>120</v>
      </c>
      <c r="C287" s="282" t="s">
        <v>821</v>
      </c>
      <c r="D287" s="6"/>
      <c r="E287" s="6"/>
      <c r="F287" s="6"/>
      <c r="G287" s="6">
        <f>'Results ReCiPe (H) - CC'!E470</f>
        <v>8.9978083648384714E-3</v>
      </c>
      <c r="H287" s="6">
        <f>'Results ReCiPe (H) - CC'!F470</f>
        <v>8.3835998236248491E-3</v>
      </c>
      <c r="I287" s="6">
        <f>'Results ReCiPe (H) - CC'!G470</f>
        <v>7.8840150412988301E-3</v>
      </c>
      <c r="J287" s="6"/>
      <c r="K287" s="6"/>
      <c r="L287" s="6"/>
      <c r="M287" s="4"/>
    </row>
    <row r="288" spans="1:13" outlineLevel="1" x14ac:dyDescent="0.35">
      <c r="B288" s="282" t="s">
        <v>121</v>
      </c>
      <c r="C288" s="282" t="s">
        <v>821</v>
      </c>
      <c r="D288" s="6"/>
      <c r="E288" s="6"/>
      <c r="F288" s="6"/>
      <c r="G288" s="6">
        <f>'Results ReCiPe (H) - CC'!E471</f>
        <v>4.201398547075331</v>
      </c>
      <c r="H288" s="6">
        <f>'Results ReCiPe (H) - CC'!F471</f>
        <v>3.5301952668074428</v>
      </c>
      <c r="I288" s="6">
        <f>'Results ReCiPe (H) - CC'!G471</f>
        <v>3.0325500058089316</v>
      </c>
      <c r="J288" s="6"/>
      <c r="K288" s="6"/>
      <c r="L288" s="6"/>
      <c r="M288" s="4"/>
    </row>
    <row r="289" spans="1:20" outlineLevel="1" x14ac:dyDescent="0.35">
      <c r="B289" s="282" t="s">
        <v>797</v>
      </c>
      <c r="C289" s="282" t="s">
        <v>821</v>
      </c>
      <c r="D289" s="6"/>
      <c r="E289" s="6"/>
      <c r="F289" s="6"/>
      <c r="G289" s="6">
        <f>'Results ReCiPe (H) - CC'!E472</f>
        <v>0</v>
      </c>
      <c r="H289" s="6">
        <f>'Results ReCiPe (H) - CC'!F472</f>
        <v>0</v>
      </c>
      <c r="I289" s="6">
        <f>'Results ReCiPe (H) - CC'!G472</f>
        <v>0</v>
      </c>
      <c r="J289" s="6"/>
      <c r="K289" s="6"/>
      <c r="L289" s="6"/>
      <c r="M289" s="4"/>
    </row>
    <row r="290" spans="1:20" outlineLevel="1" x14ac:dyDescent="0.35">
      <c r="B290" s="282" t="s">
        <v>122</v>
      </c>
      <c r="C290" s="282" t="s">
        <v>821</v>
      </c>
      <c r="D290" s="6"/>
      <c r="E290" s="6"/>
      <c r="F290" s="6"/>
      <c r="G290" s="16">
        <f>1500*(0.45*AVERAGE('Results - raw data ReCiPe (H)'!$CC$114:$DA$114)+0.55*AVERAGE('Results - raw data ReCiPe (H)'!$CC$115:$DA$115))</f>
        <v>326.62645126987258</v>
      </c>
      <c r="H290" s="16">
        <f>1500*(0.45*AVERAGE('Results - raw data ReCiPe (H)'!$CC$121:$DA$121)+0.55*AVERAGE('Results - raw data ReCiPe (H)'!$CC$122:$DA$122))</f>
        <v>76.129835786410496</v>
      </c>
      <c r="I290" s="16">
        <f>1500*(0.45*AVERAGE('Results - raw data ReCiPe (H)'!$CC$128:$DA$128)+0.55*AVERAGE('Results - raw data ReCiPe (H)'!$CC$129:$DA$129))</f>
        <v>5.5706323601265959</v>
      </c>
      <c r="J290" s="6"/>
      <c r="K290" s="6"/>
      <c r="L290" s="6"/>
      <c r="M290" s="4"/>
    </row>
    <row r="291" spans="1:20" outlineLevel="1" x14ac:dyDescent="0.35">
      <c r="B291" s="282" t="s">
        <v>123</v>
      </c>
      <c r="C291" s="282" t="s">
        <v>821</v>
      </c>
      <c r="D291" s="6"/>
      <c r="E291" s="6"/>
      <c r="F291" s="6"/>
      <c r="G291" s="6">
        <f>'Results ReCiPe (H) - CC'!E474</f>
        <v>44.48175454947296</v>
      </c>
      <c r="H291" s="6">
        <f>'Results ReCiPe (H) - CC'!F474</f>
        <v>10.344861824112719</v>
      </c>
      <c r="I291" s="6">
        <f>'Results ReCiPe (H) - CC'!G474</f>
        <v>0.75686347530398235</v>
      </c>
      <c r="J291" s="6"/>
      <c r="K291" s="6"/>
      <c r="L291" s="6"/>
      <c r="M291" s="4"/>
    </row>
    <row r="292" spans="1:20" outlineLevel="1" x14ac:dyDescent="0.35">
      <c r="B292" s="282" t="s">
        <v>124</v>
      </c>
      <c r="C292" s="282" t="s">
        <v>821</v>
      </c>
      <c r="D292" s="6"/>
      <c r="E292" s="6"/>
      <c r="F292" s="6"/>
      <c r="G292" s="6">
        <f>'Results ReCiPe (H) - CC'!E475</f>
        <v>-1000</v>
      </c>
      <c r="H292" s="6">
        <f>'Results ReCiPe (H) - CC'!F475</f>
        <v>-1000</v>
      </c>
      <c r="I292" s="6">
        <f>'Results ReCiPe (H) - CC'!G475</f>
        <v>-1000</v>
      </c>
      <c r="J292" s="6"/>
      <c r="K292" s="6"/>
      <c r="L292" s="6"/>
      <c r="M292" s="4"/>
    </row>
    <row r="293" spans="1:20" outlineLevel="1" x14ac:dyDescent="0.35">
      <c r="B293" s="282" t="s">
        <v>137</v>
      </c>
      <c r="C293" s="282" t="s">
        <v>821</v>
      </c>
      <c r="D293" s="6"/>
      <c r="E293" s="6"/>
      <c r="F293" s="6"/>
      <c r="G293" s="6">
        <f>SUM(G284:G292)</f>
        <v>-608.07358545406498</v>
      </c>
      <c r="H293" s="6">
        <f>SUM(H284:H292)</f>
        <v>-894.59810612872718</v>
      </c>
      <c r="I293" s="6">
        <f>SUM(I284:I292)</f>
        <v>-978.50970339994217</v>
      </c>
      <c r="J293" s="6"/>
      <c r="K293" s="6"/>
      <c r="L293" s="6"/>
      <c r="M293" s="4"/>
    </row>
    <row r="294" spans="1:20" x14ac:dyDescent="0.35">
      <c r="M294" s="4"/>
    </row>
    <row r="295" spans="1:20" x14ac:dyDescent="0.35">
      <c r="A295" s="170" t="s">
        <v>818</v>
      </c>
      <c r="B295" s="4"/>
      <c r="C295" s="4"/>
      <c r="D295" s="4"/>
      <c r="E295" s="4"/>
      <c r="F295" s="4"/>
      <c r="G295" s="4"/>
      <c r="H295" s="4"/>
      <c r="I295" s="4"/>
      <c r="J295" s="4"/>
      <c r="K295" s="4"/>
      <c r="L295" s="4"/>
      <c r="M295" s="4"/>
      <c r="T295" s="282"/>
    </row>
    <row r="296" spans="1:20" outlineLevel="1" x14ac:dyDescent="0.35">
      <c r="A296" s="15" t="s">
        <v>822</v>
      </c>
      <c r="B296" s="30"/>
      <c r="C296" s="140" t="s">
        <v>180</v>
      </c>
      <c r="J296" s="6" t="s">
        <v>896</v>
      </c>
      <c r="K296" s="6" t="s">
        <v>897</v>
      </c>
      <c r="L296" s="6" t="s">
        <v>895</v>
      </c>
      <c r="M296" s="4"/>
      <c r="T296" s="282"/>
    </row>
    <row r="297" spans="1:20" outlineLevel="1" x14ac:dyDescent="0.35">
      <c r="B297" s="6" t="s">
        <v>117</v>
      </c>
      <c r="C297" s="282" t="s">
        <v>821</v>
      </c>
      <c r="J297" s="191">
        <v>27.30109830898834</v>
      </c>
      <c r="K297" s="191">
        <v>25.103103901411338</v>
      </c>
      <c r="L297" s="191">
        <v>18.927767157790178</v>
      </c>
      <c r="M297" s="4"/>
      <c r="T297" s="282"/>
    </row>
    <row r="298" spans="1:20" outlineLevel="1" x14ac:dyDescent="0.35">
      <c r="B298" s="6" t="s">
        <v>118</v>
      </c>
      <c r="C298" s="282" t="s">
        <v>821</v>
      </c>
      <c r="J298" s="191">
        <v>0.99242254336085489</v>
      </c>
      <c r="K298" s="191">
        <v>0.92854228959986618</v>
      </c>
      <c r="L298" s="191">
        <v>0.81224625777211612</v>
      </c>
      <c r="M298" s="4"/>
      <c r="T298" s="282"/>
    </row>
    <row r="299" spans="1:20" outlineLevel="1" x14ac:dyDescent="0.35">
      <c r="B299" s="6" t="s">
        <v>119</v>
      </c>
      <c r="C299" s="282" t="s">
        <v>821</v>
      </c>
      <c r="J299" s="191">
        <v>0.55294698696550737</v>
      </c>
      <c r="K299" s="191">
        <v>0.46270876141012396</v>
      </c>
      <c r="L299" s="191">
        <v>0.40488136435855665</v>
      </c>
      <c r="M299" s="4"/>
      <c r="T299" s="282"/>
    </row>
    <row r="300" spans="1:20" outlineLevel="1" x14ac:dyDescent="0.35">
      <c r="B300" s="6" t="s">
        <v>120</v>
      </c>
      <c r="C300" s="282" t="s">
        <v>821</v>
      </c>
      <c r="J300" s="191">
        <v>8.9978083648384714E-3</v>
      </c>
      <c r="K300" s="191">
        <v>8.3835998236248491E-3</v>
      </c>
      <c r="L300" s="191">
        <v>7.8840150412988301E-3</v>
      </c>
      <c r="M300" s="4"/>
      <c r="T300" s="282"/>
    </row>
    <row r="301" spans="1:20" outlineLevel="1" x14ac:dyDescent="0.35">
      <c r="B301" s="6" t="s">
        <v>121</v>
      </c>
      <c r="C301" s="282" t="s">
        <v>821</v>
      </c>
      <c r="J301" s="191">
        <v>8.402797094150662</v>
      </c>
      <c r="K301" s="191">
        <v>7.0603905336148856</v>
      </c>
      <c r="L301" s="191">
        <v>6.0651000116178633</v>
      </c>
      <c r="M301" s="4"/>
      <c r="T301" s="282"/>
    </row>
    <row r="302" spans="1:20" outlineLevel="1" x14ac:dyDescent="0.35">
      <c r="B302" s="6" t="s">
        <v>800</v>
      </c>
      <c r="C302" s="282" t="s">
        <v>821</v>
      </c>
      <c r="J302" s="191">
        <v>90.318785932629567</v>
      </c>
      <c r="K302" s="191">
        <v>82.290114568489102</v>
      </c>
      <c r="L302" s="191">
        <v>54.968424837753538</v>
      </c>
      <c r="M302" s="4"/>
      <c r="T302" s="282"/>
    </row>
    <row r="303" spans="1:20" outlineLevel="1" x14ac:dyDescent="0.35">
      <c r="B303" s="6" t="s">
        <v>122</v>
      </c>
      <c r="C303" s="282" t="s">
        <v>821</v>
      </c>
      <c r="J303" s="191">
        <v>70.882385297689595</v>
      </c>
      <c r="K303" s="191">
        <v>50.4086136689697</v>
      </c>
      <c r="L303" s="191">
        <v>38.74344373594483</v>
      </c>
      <c r="M303" s="4"/>
      <c r="T303" s="282"/>
    </row>
    <row r="304" spans="1:20" outlineLevel="1" x14ac:dyDescent="0.35">
      <c r="B304" s="6" t="s">
        <v>123</v>
      </c>
      <c r="C304" s="282" t="s">
        <v>821</v>
      </c>
      <c r="J304" s="191">
        <v>44.48175454947296</v>
      </c>
      <c r="K304" s="191">
        <v>10.344861824112719</v>
      </c>
      <c r="L304" s="191">
        <v>0.75686347530398235</v>
      </c>
      <c r="M304" s="4"/>
      <c r="T304" s="282"/>
    </row>
    <row r="305" spans="1:20" outlineLevel="1" x14ac:dyDescent="0.35">
      <c r="B305" s="6" t="s">
        <v>124</v>
      </c>
      <c r="C305" s="282" t="s">
        <v>821</v>
      </c>
      <c r="J305" s="191">
        <v>-1000</v>
      </c>
      <c r="K305" s="191">
        <v>-1000</v>
      </c>
      <c r="L305" s="191">
        <v>-1000</v>
      </c>
      <c r="M305" s="4"/>
      <c r="T305" s="282"/>
    </row>
    <row r="306" spans="1:20" outlineLevel="1" x14ac:dyDescent="0.35">
      <c r="B306" s="6" t="s">
        <v>137</v>
      </c>
      <c r="C306" s="282" t="s">
        <v>821</v>
      </c>
      <c r="J306" s="191">
        <v>-757.05881147837772</v>
      </c>
      <c r="K306" s="191">
        <v>-823.39328085256852</v>
      </c>
      <c r="L306" s="191">
        <v>-879.31338914441756</v>
      </c>
      <c r="M306" s="4"/>
      <c r="T306" s="282"/>
    </row>
    <row r="307" spans="1:20" outlineLevel="1" x14ac:dyDescent="0.35">
      <c r="M307" s="4"/>
      <c r="T307" s="282"/>
    </row>
    <row r="308" spans="1:20" outlineLevel="1" x14ac:dyDescent="0.35">
      <c r="A308" s="15" t="s">
        <v>819</v>
      </c>
      <c r="B308" s="30"/>
      <c r="C308" s="140" t="s">
        <v>180</v>
      </c>
      <c r="J308" s="6" t="s">
        <v>896</v>
      </c>
      <c r="K308" s="6" t="s">
        <v>897</v>
      </c>
      <c r="L308" s="6" t="s">
        <v>895</v>
      </c>
      <c r="M308" s="4"/>
      <c r="T308" s="282"/>
    </row>
    <row r="309" spans="1:20" outlineLevel="1" x14ac:dyDescent="0.35">
      <c r="B309" s="6" t="s">
        <v>117</v>
      </c>
      <c r="C309" s="282" t="s">
        <v>821</v>
      </c>
      <c r="J309" s="191">
        <v>27.30109830898834</v>
      </c>
      <c r="K309" s="191">
        <v>25.103103901411338</v>
      </c>
      <c r="L309" s="191">
        <v>18.927767157790178</v>
      </c>
      <c r="M309" s="4"/>
      <c r="T309" s="282"/>
    </row>
    <row r="310" spans="1:20" outlineLevel="1" x14ac:dyDescent="0.35">
      <c r="B310" s="6" t="s">
        <v>118</v>
      </c>
      <c r="C310" s="282" t="s">
        <v>821</v>
      </c>
      <c r="J310" s="191">
        <v>0.99242254336085489</v>
      </c>
      <c r="K310" s="191">
        <v>0.92854228959986618</v>
      </c>
      <c r="L310" s="191">
        <v>0.81224625777211612</v>
      </c>
      <c r="M310" s="4"/>
      <c r="T310" s="282"/>
    </row>
    <row r="311" spans="1:20" outlineLevel="1" x14ac:dyDescent="0.35">
      <c r="B311" s="6" t="s">
        <v>119</v>
      </c>
      <c r="C311" s="282" t="s">
        <v>821</v>
      </c>
      <c r="J311" s="191">
        <v>0.55294698696550737</v>
      </c>
      <c r="K311" s="191">
        <v>0.46270876141012396</v>
      </c>
      <c r="L311" s="191">
        <v>0.40488136435855665</v>
      </c>
      <c r="M311" s="4"/>
      <c r="T311" s="282"/>
    </row>
    <row r="312" spans="1:20" outlineLevel="1" x14ac:dyDescent="0.35">
      <c r="B312" s="6" t="s">
        <v>120</v>
      </c>
      <c r="C312" s="282" t="s">
        <v>821</v>
      </c>
      <c r="J312" s="191">
        <v>8.9978083648384714E-3</v>
      </c>
      <c r="K312" s="191">
        <v>8.3835998236248491E-3</v>
      </c>
      <c r="L312" s="191">
        <v>7.8840150412988301E-3</v>
      </c>
      <c r="M312" s="4"/>
      <c r="T312" s="282"/>
    </row>
    <row r="313" spans="1:20" outlineLevel="1" x14ac:dyDescent="0.35">
      <c r="B313" s="6" t="s">
        <v>121</v>
      </c>
      <c r="C313" s="282" t="s">
        <v>821</v>
      </c>
      <c r="J313" s="191">
        <v>8.402797094150662</v>
      </c>
      <c r="K313" s="191">
        <v>7.0603905336148856</v>
      </c>
      <c r="L313" s="191">
        <v>6.0651000116178633</v>
      </c>
      <c r="M313" s="4"/>
      <c r="T313" s="282"/>
    </row>
    <row r="314" spans="1:20" outlineLevel="1" x14ac:dyDescent="0.35">
      <c r="B314" s="6" t="s">
        <v>800</v>
      </c>
      <c r="C314" s="282" t="s">
        <v>821</v>
      </c>
      <c r="J314" s="191">
        <v>90.318785932629567</v>
      </c>
      <c r="K314" s="191">
        <v>82.290114568489102</v>
      </c>
      <c r="L314" s="191">
        <v>54.968424837753538</v>
      </c>
      <c r="M314" s="4"/>
      <c r="T314" s="282"/>
    </row>
    <row r="315" spans="1:20" outlineLevel="1" x14ac:dyDescent="0.35">
      <c r="B315" s="6" t="s">
        <v>122</v>
      </c>
      <c r="C315" s="282" t="s">
        <v>821</v>
      </c>
      <c r="J315" s="191">
        <v>35.441192648844797</v>
      </c>
      <c r="K315" s="191">
        <v>25.20430683448485</v>
      </c>
      <c r="L315" s="191">
        <v>19.371721867972415</v>
      </c>
      <c r="M315" s="4"/>
      <c r="T315" s="282"/>
    </row>
    <row r="316" spans="1:20" outlineLevel="1" x14ac:dyDescent="0.35">
      <c r="B316" s="6" t="s">
        <v>123</v>
      </c>
      <c r="C316" s="282" t="s">
        <v>821</v>
      </c>
      <c r="J316" s="191">
        <v>44.48175454947296</v>
      </c>
      <c r="K316" s="191">
        <v>10.344861824112719</v>
      </c>
      <c r="L316" s="191">
        <v>0.75686347530398235</v>
      </c>
      <c r="M316" s="4"/>
      <c r="T316" s="282"/>
    </row>
    <row r="317" spans="1:20" outlineLevel="1" x14ac:dyDescent="0.35">
      <c r="B317" s="6" t="s">
        <v>124</v>
      </c>
      <c r="C317" s="282" t="s">
        <v>821</v>
      </c>
      <c r="J317" s="191">
        <v>-1000</v>
      </c>
      <c r="K317" s="191">
        <v>-1000</v>
      </c>
      <c r="L317" s="191">
        <v>-1000</v>
      </c>
      <c r="M317" s="4"/>
      <c r="T317" s="282"/>
    </row>
    <row r="318" spans="1:20" outlineLevel="1" x14ac:dyDescent="0.35">
      <c r="B318" s="6" t="s">
        <v>137</v>
      </c>
      <c r="C318" s="282" t="s">
        <v>821</v>
      </c>
      <c r="J318" s="191">
        <v>-792.50000412722238</v>
      </c>
      <c r="K318" s="191">
        <v>-848.59758768705365</v>
      </c>
      <c r="L318" s="191">
        <v>-898.68511101239028</v>
      </c>
      <c r="M318" s="4"/>
      <c r="T318" s="282"/>
    </row>
    <row r="319" spans="1:20" outlineLevel="1" x14ac:dyDescent="0.35">
      <c r="M319" s="4"/>
      <c r="T319" s="282"/>
    </row>
    <row r="320" spans="1:20" outlineLevel="1" x14ac:dyDescent="0.35">
      <c r="A320" s="15" t="s">
        <v>823</v>
      </c>
      <c r="B320" s="30"/>
      <c r="C320" s="140" t="s">
        <v>180</v>
      </c>
      <c r="J320" s="6" t="s">
        <v>896</v>
      </c>
      <c r="K320" s="6" t="s">
        <v>897</v>
      </c>
      <c r="L320" s="6" t="s">
        <v>895</v>
      </c>
      <c r="M320" s="4"/>
      <c r="T320" s="282"/>
    </row>
    <row r="321" spans="1:20" outlineLevel="1" x14ac:dyDescent="0.35">
      <c r="B321" s="6" t="s">
        <v>117</v>
      </c>
      <c r="C321" s="282" t="s">
        <v>821</v>
      </c>
      <c r="J321" s="191">
        <v>27.30109830898834</v>
      </c>
      <c r="K321" s="191">
        <v>25.103103901411338</v>
      </c>
      <c r="L321" s="191">
        <v>18.927767157790178</v>
      </c>
      <c r="M321" s="4"/>
      <c r="T321" s="282"/>
    </row>
    <row r="322" spans="1:20" outlineLevel="1" x14ac:dyDescent="0.35">
      <c r="B322" s="6" t="s">
        <v>118</v>
      </c>
      <c r="C322" s="282" t="s">
        <v>821</v>
      </c>
      <c r="J322" s="191">
        <v>0.99242254336085489</v>
      </c>
      <c r="K322" s="191">
        <v>0.92854228959986618</v>
      </c>
      <c r="L322" s="191">
        <v>0.81224625777211612</v>
      </c>
      <c r="M322" s="4"/>
      <c r="T322" s="282"/>
    </row>
    <row r="323" spans="1:20" outlineLevel="1" x14ac:dyDescent="0.35">
      <c r="B323" s="6" t="s">
        <v>119</v>
      </c>
      <c r="C323" s="282" t="s">
        <v>821</v>
      </c>
      <c r="J323" s="191">
        <v>0.55294698696550737</v>
      </c>
      <c r="K323" s="191">
        <v>0.46270876141012396</v>
      </c>
      <c r="L323" s="191">
        <v>0.40488136435855665</v>
      </c>
      <c r="M323" s="4"/>
      <c r="T323" s="282"/>
    </row>
    <row r="324" spans="1:20" outlineLevel="1" x14ac:dyDescent="0.35">
      <c r="B324" s="6" t="s">
        <v>120</v>
      </c>
      <c r="C324" s="282" t="s">
        <v>821</v>
      </c>
      <c r="J324" s="191">
        <v>8.9978083648384714E-3</v>
      </c>
      <c r="K324" s="191">
        <v>8.3835998236248491E-3</v>
      </c>
      <c r="L324" s="191">
        <v>7.8840150412988301E-3</v>
      </c>
      <c r="M324" s="4"/>
      <c r="T324" s="282"/>
    </row>
    <row r="325" spans="1:20" outlineLevel="1" x14ac:dyDescent="0.35">
      <c r="B325" s="6" t="s">
        <v>121</v>
      </c>
      <c r="C325" s="282" t="s">
        <v>821</v>
      </c>
      <c r="J325" s="191">
        <v>8.402797094150662</v>
      </c>
      <c r="K325" s="191">
        <v>7.0603905336148856</v>
      </c>
      <c r="L325" s="191">
        <v>6.0651000116178633</v>
      </c>
      <c r="M325" s="4"/>
      <c r="T325" s="282"/>
    </row>
    <row r="326" spans="1:20" outlineLevel="1" x14ac:dyDescent="0.35">
      <c r="B326" s="6" t="s">
        <v>800</v>
      </c>
      <c r="C326" s="282" t="s">
        <v>821</v>
      </c>
      <c r="J326" s="191">
        <v>90.318785932629567</v>
      </c>
      <c r="K326" s="191">
        <v>82.290114568489102</v>
      </c>
      <c r="L326" s="191">
        <v>54.968424837753538</v>
      </c>
      <c r="M326" s="4"/>
      <c r="T326" s="282"/>
    </row>
    <row r="327" spans="1:20" outlineLevel="1" x14ac:dyDescent="0.35">
      <c r="B327" s="6" t="s">
        <v>122</v>
      </c>
      <c r="C327" s="282" t="s">
        <v>821</v>
      </c>
      <c r="J327" s="191">
        <v>47.254923531793082</v>
      </c>
      <c r="K327" s="191">
        <v>33.605742445979807</v>
      </c>
      <c r="L327" s="191">
        <v>25.828962490629884</v>
      </c>
      <c r="M327" s="4"/>
      <c r="T327" s="282"/>
    </row>
    <row r="328" spans="1:20" outlineLevel="1" x14ac:dyDescent="0.35">
      <c r="B328" s="6" t="s">
        <v>123</v>
      </c>
      <c r="C328" s="282" t="s">
        <v>821</v>
      </c>
      <c r="J328" s="191">
        <v>44.48175454947296</v>
      </c>
      <c r="K328" s="191">
        <v>10.344861824112719</v>
      </c>
      <c r="L328" s="191">
        <v>0.75686347530398235</v>
      </c>
      <c r="M328" s="4"/>
      <c r="T328" s="282"/>
    </row>
    <row r="329" spans="1:20" outlineLevel="1" x14ac:dyDescent="0.35">
      <c r="B329" s="6" t="s">
        <v>124</v>
      </c>
      <c r="C329" s="282" t="s">
        <v>821</v>
      </c>
      <c r="J329" s="191">
        <v>-1000</v>
      </c>
      <c r="K329" s="191">
        <v>-1000</v>
      </c>
      <c r="L329" s="191">
        <v>-1000</v>
      </c>
      <c r="M329" s="4"/>
      <c r="T329" s="282"/>
    </row>
    <row r="330" spans="1:20" outlineLevel="1" x14ac:dyDescent="0.35">
      <c r="B330" s="6" t="s">
        <v>137</v>
      </c>
      <c r="C330" s="282" t="s">
        <v>821</v>
      </c>
      <c r="J330" s="191">
        <v>-780.68627324427439</v>
      </c>
      <c r="K330" s="191">
        <v>-840.19615207555853</v>
      </c>
      <c r="L330" s="191">
        <v>-892.22787038973252</v>
      </c>
      <c r="M330" s="4"/>
      <c r="T330" s="282"/>
    </row>
    <row r="331" spans="1:20" outlineLevel="1" x14ac:dyDescent="0.35">
      <c r="M331" s="4"/>
      <c r="T331" s="282"/>
    </row>
    <row r="332" spans="1:20" outlineLevel="1" x14ac:dyDescent="0.35">
      <c r="A332" s="15" t="s">
        <v>824</v>
      </c>
      <c r="B332" s="30"/>
      <c r="C332" s="140" t="s">
        <v>180</v>
      </c>
      <c r="J332" s="6" t="s">
        <v>896</v>
      </c>
      <c r="K332" s="6" t="s">
        <v>897</v>
      </c>
      <c r="L332" s="6" t="s">
        <v>895</v>
      </c>
      <c r="M332" s="4"/>
      <c r="T332" s="282"/>
    </row>
    <row r="333" spans="1:20" outlineLevel="1" x14ac:dyDescent="0.35">
      <c r="B333" s="6" t="s">
        <v>117</v>
      </c>
      <c r="C333" s="282" t="s">
        <v>821</v>
      </c>
      <c r="J333" s="191">
        <v>27.30109830898834</v>
      </c>
      <c r="K333" s="191">
        <v>25.103103901411338</v>
      </c>
      <c r="L333" s="191">
        <v>18.927767157790178</v>
      </c>
      <c r="M333" s="4"/>
      <c r="T333" s="282"/>
    </row>
    <row r="334" spans="1:20" outlineLevel="1" x14ac:dyDescent="0.35">
      <c r="B334" s="6" t="s">
        <v>118</v>
      </c>
      <c r="C334" s="282" t="s">
        <v>821</v>
      </c>
      <c r="J334" s="191">
        <v>0.99242254336085489</v>
      </c>
      <c r="K334" s="191">
        <v>0.92854228959986618</v>
      </c>
      <c r="L334" s="191">
        <v>0.81224625777211612</v>
      </c>
      <c r="M334" s="4"/>
      <c r="T334" s="282"/>
    </row>
    <row r="335" spans="1:20" outlineLevel="1" x14ac:dyDescent="0.35">
      <c r="B335" s="6" t="s">
        <v>119</v>
      </c>
      <c r="C335" s="282" t="s">
        <v>821</v>
      </c>
      <c r="J335" s="191">
        <v>0.55294698696550737</v>
      </c>
      <c r="K335" s="191">
        <v>0.46270876141012396</v>
      </c>
      <c r="L335" s="191">
        <v>0.40488136435855665</v>
      </c>
      <c r="M335" s="4"/>
      <c r="T335" s="282"/>
    </row>
    <row r="336" spans="1:20" outlineLevel="1" x14ac:dyDescent="0.35">
      <c r="B336" s="6" t="s">
        <v>120</v>
      </c>
      <c r="C336" s="282" t="s">
        <v>821</v>
      </c>
      <c r="J336" s="191">
        <v>8.9978083648384714E-3</v>
      </c>
      <c r="K336" s="191">
        <v>8.3835998236248491E-3</v>
      </c>
      <c r="L336" s="191">
        <v>7.8840150412988301E-3</v>
      </c>
      <c r="M336" s="4"/>
      <c r="T336" s="282"/>
    </row>
    <row r="337" spans="1:20" outlineLevel="1" x14ac:dyDescent="0.35">
      <c r="B337" s="6" t="s">
        <v>121</v>
      </c>
      <c r="C337" s="282" t="s">
        <v>821</v>
      </c>
      <c r="J337" s="191">
        <v>8.402797094150662</v>
      </c>
      <c r="K337" s="191">
        <v>7.0603905336148856</v>
      </c>
      <c r="L337" s="191">
        <v>6.0651000116178633</v>
      </c>
      <c r="M337" s="4"/>
      <c r="T337" s="282"/>
    </row>
    <row r="338" spans="1:20" outlineLevel="1" x14ac:dyDescent="0.35">
      <c r="B338" s="6" t="s">
        <v>800</v>
      </c>
      <c r="C338" s="282" t="s">
        <v>821</v>
      </c>
      <c r="J338" s="191">
        <v>90.318785932629567</v>
      </c>
      <c r="K338" s="191">
        <v>82.290114568489102</v>
      </c>
      <c r="L338" s="191">
        <v>54.968424837753538</v>
      </c>
      <c r="M338" s="4"/>
      <c r="T338" s="282"/>
    </row>
    <row r="339" spans="1:20" outlineLevel="1" x14ac:dyDescent="0.35">
      <c r="B339" s="6" t="s">
        <v>122</v>
      </c>
      <c r="C339" s="282" t="s">
        <v>821</v>
      </c>
      <c r="J339" s="191">
        <v>141.76477059537919</v>
      </c>
      <c r="K339" s="191">
        <v>100.8172273379394</v>
      </c>
      <c r="L339" s="191">
        <v>77.486887471889659</v>
      </c>
      <c r="M339" s="4"/>
      <c r="T339" s="282"/>
    </row>
    <row r="340" spans="1:20" outlineLevel="1" x14ac:dyDescent="0.35">
      <c r="B340" s="6" t="s">
        <v>123</v>
      </c>
      <c r="C340" s="282" t="s">
        <v>821</v>
      </c>
      <c r="J340" s="191">
        <v>44.48175454947296</v>
      </c>
      <c r="K340" s="191">
        <v>10.344861824112719</v>
      </c>
      <c r="L340" s="191">
        <v>0.75686347530398235</v>
      </c>
      <c r="M340" s="4"/>
      <c r="T340" s="282"/>
    </row>
    <row r="341" spans="1:20" outlineLevel="1" x14ac:dyDescent="0.35">
      <c r="B341" s="6" t="s">
        <v>124</v>
      </c>
      <c r="C341" s="282" t="s">
        <v>821</v>
      </c>
      <c r="J341" s="191">
        <v>-1000</v>
      </c>
      <c r="K341" s="191">
        <v>-1000</v>
      </c>
      <c r="L341" s="191">
        <v>-1000</v>
      </c>
      <c r="M341" s="4"/>
      <c r="T341" s="282"/>
    </row>
    <row r="342" spans="1:20" outlineLevel="1" x14ac:dyDescent="0.35">
      <c r="B342" s="6" t="s">
        <v>137</v>
      </c>
      <c r="C342" s="282" t="s">
        <v>821</v>
      </c>
      <c r="J342" s="191">
        <v>-686.17642618068794</v>
      </c>
      <c r="K342" s="191">
        <v>-772.98466718359907</v>
      </c>
      <c r="L342" s="191">
        <v>-840.5699454084729</v>
      </c>
      <c r="M342" s="4"/>
      <c r="T342" s="282"/>
    </row>
    <row r="343" spans="1:20" outlineLevel="1" x14ac:dyDescent="0.35">
      <c r="M343" s="4"/>
      <c r="T343" s="282"/>
    </row>
    <row r="344" spans="1:20" x14ac:dyDescent="0.35">
      <c r="A344" s="170" t="s">
        <v>777</v>
      </c>
      <c r="B344" s="4"/>
      <c r="C344" s="4"/>
      <c r="D344" s="4"/>
      <c r="E344" s="4"/>
      <c r="F344" s="4"/>
      <c r="G344" s="4"/>
      <c r="H344" s="4"/>
      <c r="I344" s="4"/>
      <c r="J344" s="4"/>
      <c r="K344" s="4"/>
      <c r="L344" s="4"/>
      <c r="M344" s="4"/>
      <c r="T344" s="282"/>
    </row>
    <row r="345" spans="1:20" outlineLevel="1" x14ac:dyDescent="0.35">
      <c r="A345" s="15" t="s">
        <v>825</v>
      </c>
      <c r="B345" s="30"/>
      <c r="C345" s="140" t="s">
        <v>180</v>
      </c>
      <c r="J345" s="6" t="s">
        <v>896</v>
      </c>
      <c r="K345" s="6" t="s">
        <v>897</v>
      </c>
      <c r="L345" s="6" t="s">
        <v>895</v>
      </c>
      <c r="M345" s="4"/>
      <c r="T345" s="282"/>
    </row>
    <row r="346" spans="1:20" outlineLevel="1" x14ac:dyDescent="0.35">
      <c r="B346" s="6" t="s">
        <v>117</v>
      </c>
      <c r="C346" s="282" t="s">
        <v>821</v>
      </c>
      <c r="J346" s="191">
        <v>27.30109830898834</v>
      </c>
      <c r="K346" s="191">
        <v>25.103103901411338</v>
      </c>
      <c r="L346" s="191">
        <v>18.927767157790178</v>
      </c>
      <c r="M346" s="4"/>
      <c r="T346" s="282"/>
    </row>
    <row r="347" spans="1:20" outlineLevel="1" x14ac:dyDescent="0.35">
      <c r="B347" s="6" t="s">
        <v>118</v>
      </c>
      <c r="C347" s="282" t="s">
        <v>821</v>
      </c>
      <c r="I347" s="32"/>
      <c r="J347" s="191">
        <v>0.99242254336085489</v>
      </c>
      <c r="K347" s="191">
        <v>0.92854228959986618</v>
      </c>
      <c r="L347" s="191">
        <v>0.81224625777211612</v>
      </c>
      <c r="M347" s="4"/>
      <c r="T347" s="282"/>
    </row>
    <row r="348" spans="1:20" outlineLevel="1" x14ac:dyDescent="0.35">
      <c r="B348" s="6" t="s">
        <v>119</v>
      </c>
      <c r="C348" s="282" t="s">
        <v>821</v>
      </c>
      <c r="H348" s="6"/>
      <c r="J348" s="191">
        <v>0.55294698696550737</v>
      </c>
      <c r="K348" s="191">
        <v>0.46270876141012396</v>
      </c>
      <c r="L348" s="191">
        <v>0.40488136435855665</v>
      </c>
      <c r="M348" s="4"/>
      <c r="T348" s="282"/>
    </row>
    <row r="349" spans="1:20" outlineLevel="1" x14ac:dyDescent="0.35">
      <c r="B349" s="6" t="s">
        <v>120</v>
      </c>
      <c r="C349" s="282" t="s">
        <v>821</v>
      </c>
      <c r="H349" s="6"/>
      <c r="J349" s="191">
        <v>8.9978083648384714E-3</v>
      </c>
      <c r="K349" s="191">
        <v>8.3835998236248491E-3</v>
      </c>
      <c r="L349" s="191">
        <v>7.8840150412988301E-3</v>
      </c>
      <c r="M349" s="4"/>
      <c r="T349" s="282"/>
    </row>
    <row r="350" spans="1:20" outlineLevel="1" x14ac:dyDescent="0.35">
      <c r="B350" s="6" t="s">
        <v>121</v>
      </c>
      <c r="C350" s="282" t="s">
        <v>821</v>
      </c>
      <c r="H350" s="6"/>
      <c r="J350" s="191">
        <v>8.402797094150662</v>
      </c>
      <c r="K350" s="191">
        <v>7.0603905336148856</v>
      </c>
      <c r="L350" s="191">
        <v>6.0651000116178633</v>
      </c>
      <c r="M350" s="4"/>
      <c r="T350" s="282"/>
    </row>
    <row r="351" spans="1:20" outlineLevel="1" x14ac:dyDescent="0.35">
      <c r="B351" s="6" t="s">
        <v>800</v>
      </c>
      <c r="C351" s="282" t="s">
        <v>821</v>
      </c>
      <c r="J351" s="191">
        <v>90.318785932629567</v>
      </c>
      <c r="K351" s="191">
        <v>82.290114568489102</v>
      </c>
      <c r="L351" s="191">
        <v>54.968424837753538</v>
      </c>
      <c r="M351" s="4"/>
      <c r="T351" s="282"/>
    </row>
    <row r="352" spans="1:20" outlineLevel="1" x14ac:dyDescent="0.35">
      <c r="B352" s="6" t="s">
        <v>122</v>
      </c>
      <c r="C352" s="282" t="s">
        <v>821</v>
      </c>
      <c r="J352" s="191">
        <v>70.882385297689595</v>
      </c>
      <c r="K352" s="191">
        <v>50.4086136689697</v>
      </c>
      <c r="L352" s="191">
        <v>38.74344373594483</v>
      </c>
      <c r="M352" s="4"/>
      <c r="T352" s="282"/>
    </row>
    <row r="353" spans="1:20" outlineLevel="1" x14ac:dyDescent="0.35">
      <c r="B353" s="6" t="s">
        <v>123</v>
      </c>
      <c r="C353" s="282" t="s">
        <v>821</v>
      </c>
      <c r="J353" s="191">
        <v>44.48175454947296</v>
      </c>
      <c r="K353" s="191">
        <v>10.344861824112719</v>
      </c>
      <c r="L353" s="191">
        <v>0.75686347530398235</v>
      </c>
      <c r="M353" s="4"/>
      <c r="T353" s="282"/>
    </row>
    <row r="354" spans="1:20" outlineLevel="1" x14ac:dyDescent="0.35">
      <c r="B354" s="6" t="s">
        <v>124</v>
      </c>
      <c r="C354" s="282" t="s">
        <v>821</v>
      </c>
      <c r="J354" s="191">
        <v>-1000</v>
      </c>
      <c r="K354" s="191">
        <v>-1000</v>
      </c>
      <c r="L354" s="191">
        <v>-1000</v>
      </c>
      <c r="M354" s="4"/>
      <c r="T354" s="282"/>
    </row>
    <row r="355" spans="1:20" outlineLevel="1" x14ac:dyDescent="0.35">
      <c r="B355" s="6" t="s">
        <v>137</v>
      </c>
      <c r="C355" s="282" t="s">
        <v>821</v>
      </c>
      <c r="J355" s="191">
        <v>-757.05881147837772</v>
      </c>
      <c r="K355" s="191">
        <v>-823.39328085256852</v>
      </c>
      <c r="L355" s="191">
        <v>-879.31338914441756</v>
      </c>
      <c r="M355" s="4"/>
      <c r="T355" s="282"/>
    </row>
    <row r="356" spans="1:20" outlineLevel="1" x14ac:dyDescent="0.35">
      <c r="M356" s="4"/>
      <c r="T356" s="282"/>
    </row>
    <row r="357" spans="1:20" outlineLevel="1" x14ac:dyDescent="0.35">
      <c r="A357" s="15" t="s">
        <v>826</v>
      </c>
      <c r="B357" s="30"/>
      <c r="C357" s="140" t="s">
        <v>180</v>
      </c>
      <c r="J357" s="6" t="s">
        <v>896</v>
      </c>
      <c r="K357" s="6" t="s">
        <v>897</v>
      </c>
      <c r="L357" s="6" t="s">
        <v>895</v>
      </c>
      <c r="M357" s="4"/>
      <c r="T357" s="282"/>
    </row>
    <row r="358" spans="1:20" outlineLevel="1" x14ac:dyDescent="0.35">
      <c r="B358" s="6" t="s">
        <v>117</v>
      </c>
      <c r="C358" s="282" t="s">
        <v>821</v>
      </c>
      <c r="J358" s="191">
        <v>27.30109830898834</v>
      </c>
      <c r="K358" s="191">
        <v>25.103103901411338</v>
      </c>
      <c r="L358" s="191">
        <v>18.927767157790178</v>
      </c>
      <c r="M358" s="4"/>
      <c r="T358" s="282"/>
    </row>
    <row r="359" spans="1:20" outlineLevel="1" x14ac:dyDescent="0.35">
      <c r="B359" s="6" t="s">
        <v>118</v>
      </c>
      <c r="C359" s="282" t="s">
        <v>821</v>
      </c>
      <c r="J359" s="191">
        <v>0.99242254336085489</v>
      </c>
      <c r="K359" s="191">
        <v>0.92854228959986618</v>
      </c>
      <c r="L359" s="191">
        <v>0.81224625777211612</v>
      </c>
      <c r="M359" s="4"/>
      <c r="T359" s="282"/>
    </row>
    <row r="360" spans="1:20" outlineLevel="1" x14ac:dyDescent="0.35">
      <c r="B360" s="6" t="s">
        <v>119</v>
      </c>
      <c r="C360" s="282" t="s">
        <v>821</v>
      </c>
      <c r="J360" s="191">
        <v>0.55294698696550737</v>
      </c>
      <c r="K360" s="191">
        <v>0.46270876141012396</v>
      </c>
      <c r="L360" s="191">
        <v>0.40488136435855665</v>
      </c>
      <c r="M360" s="4"/>
      <c r="T360" s="282"/>
    </row>
    <row r="361" spans="1:20" outlineLevel="1" x14ac:dyDescent="0.35">
      <c r="B361" s="6" t="s">
        <v>120</v>
      </c>
      <c r="C361" s="282" t="s">
        <v>821</v>
      </c>
      <c r="J361" s="191">
        <v>8.9978083648384714E-3</v>
      </c>
      <c r="K361" s="191">
        <v>8.3835998236248491E-3</v>
      </c>
      <c r="L361" s="191">
        <v>7.8840150412988301E-3</v>
      </c>
      <c r="M361" s="4"/>
      <c r="T361" s="282"/>
    </row>
    <row r="362" spans="1:20" outlineLevel="1" x14ac:dyDescent="0.35">
      <c r="B362" s="6" t="s">
        <v>121</v>
      </c>
      <c r="C362" s="282" t="s">
        <v>821</v>
      </c>
      <c r="J362" s="191">
        <v>8.402797094150662</v>
      </c>
      <c r="K362" s="191">
        <v>7.0603905336148856</v>
      </c>
      <c r="L362" s="191">
        <v>6.0651000116178633</v>
      </c>
      <c r="M362" s="4"/>
      <c r="T362" s="282"/>
    </row>
    <row r="363" spans="1:20" outlineLevel="1" x14ac:dyDescent="0.35">
      <c r="B363" s="6" t="s">
        <v>800</v>
      </c>
      <c r="C363" s="282" t="s">
        <v>821</v>
      </c>
      <c r="J363" s="191">
        <v>26.726684794553069</v>
      </c>
      <c r="K363" s="191">
        <v>24.448013195203245</v>
      </c>
      <c r="L363" s="191">
        <v>16.841952209722102</v>
      </c>
      <c r="M363" s="4"/>
      <c r="T363" s="282"/>
    </row>
    <row r="364" spans="1:20" outlineLevel="1" x14ac:dyDescent="0.35">
      <c r="B364" s="6" t="s">
        <v>122</v>
      </c>
      <c r="C364" s="282" t="s">
        <v>821</v>
      </c>
      <c r="J364" s="191">
        <v>70.882385297689595</v>
      </c>
      <c r="K364" s="191">
        <v>50.4086136689697</v>
      </c>
      <c r="L364" s="191">
        <v>38.74344373594483</v>
      </c>
      <c r="M364" s="4"/>
      <c r="T364" s="282"/>
    </row>
    <row r="365" spans="1:20" outlineLevel="1" x14ac:dyDescent="0.35">
      <c r="B365" s="6" t="s">
        <v>123</v>
      </c>
      <c r="C365" s="282" t="s">
        <v>821</v>
      </c>
      <c r="J365" s="191">
        <v>44.48175454947296</v>
      </c>
      <c r="K365" s="191">
        <v>10.344861824112719</v>
      </c>
      <c r="L365" s="191">
        <v>0.75686347530398235</v>
      </c>
      <c r="M365" s="4"/>
      <c r="T365" s="282"/>
    </row>
    <row r="366" spans="1:20" outlineLevel="1" x14ac:dyDescent="0.35">
      <c r="B366" s="6" t="s">
        <v>124</v>
      </c>
      <c r="C366" s="282" t="s">
        <v>821</v>
      </c>
      <c r="J366" s="191">
        <v>-1000</v>
      </c>
      <c r="K366" s="191">
        <v>-1000</v>
      </c>
      <c r="L366" s="191">
        <v>-1000</v>
      </c>
      <c r="M366" s="4"/>
      <c r="T366" s="282"/>
    </row>
    <row r="367" spans="1:20" outlineLevel="1" x14ac:dyDescent="0.35">
      <c r="B367" s="6" t="s">
        <v>137</v>
      </c>
      <c r="C367" s="282" t="s">
        <v>821</v>
      </c>
      <c r="J367" s="191">
        <v>-820.65091261645398</v>
      </c>
      <c r="K367" s="191">
        <v>-881.23538222585466</v>
      </c>
      <c r="L367" s="191">
        <v>-917.43986177244938</v>
      </c>
      <c r="M367" s="4"/>
      <c r="T367" s="282"/>
    </row>
    <row r="368" spans="1:20" outlineLevel="1" x14ac:dyDescent="0.35">
      <c r="M368" s="4"/>
      <c r="T368" s="282"/>
    </row>
    <row r="369" spans="1:20" outlineLevel="1" x14ac:dyDescent="0.35">
      <c r="A369" s="15" t="s">
        <v>827</v>
      </c>
      <c r="B369" s="30"/>
      <c r="C369" s="140" t="s">
        <v>180</v>
      </c>
      <c r="J369" s="6" t="s">
        <v>896</v>
      </c>
      <c r="K369" s="6" t="s">
        <v>897</v>
      </c>
      <c r="L369" s="6" t="s">
        <v>895</v>
      </c>
      <c r="M369" s="4"/>
      <c r="T369" s="282"/>
    </row>
    <row r="370" spans="1:20" outlineLevel="1" x14ac:dyDescent="0.35">
      <c r="B370" s="6" t="s">
        <v>117</v>
      </c>
      <c r="C370" s="282" t="s">
        <v>821</v>
      </c>
      <c r="J370" s="191">
        <v>27.30109830898834</v>
      </c>
      <c r="K370" s="191">
        <v>25.103103901411338</v>
      </c>
      <c r="L370" s="191">
        <v>18.927767157790178</v>
      </c>
      <c r="M370" s="4"/>
      <c r="T370" s="282"/>
    </row>
    <row r="371" spans="1:20" outlineLevel="1" x14ac:dyDescent="0.35">
      <c r="B371" s="6" t="s">
        <v>118</v>
      </c>
      <c r="C371" s="282" t="s">
        <v>821</v>
      </c>
      <c r="J371" s="191">
        <v>0.99242254336085489</v>
      </c>
      <c r="K371" s="191">
        <v>0.92854228959986618</v>
      </c>
      <c r="L371" s="191">
        <v>0.81224625777211612</v>
      </c>
      <c r="M371" s="4"/>
      <c r="T371" s="282"/>
    </row>
    <row r="372" spans="1:20" outlineLevel="1" x14ac:dyDescent="0.35">
      <c r="B372" s="6" t="s">
        <v>119</v>
      </c>
      <c r="C372" s="282" t="s">
        <v>821</v>
      </c>
      <c r="J372" s="191">
        <v>0.55294698696550737</v>
      </c>
      <c r="K372" s="191">
        <v>0.46270876141012396</v>
      </c>
      <c r="L372" s="191">
        <v>0.40488136435855665</v>
      </c>
      <c r="M372" s="4"/>
      <c r="T372" s="282"/>
    </row>
    <row r="373" spans="1:20" outlineLevel="1" x14ac:dyDescent="0.35">
      <c r="B373" s="6" t="s">
        <v>120</v>
      </c>
      <c r="C373" s="282" t="s">
        <v>821</v>
      </c>
      <c r="J373" s="191">
        <v>8.9978083648384714E-3</v>
      </c>
      <c r="K373" s="191">
        <v>8.3835998236248491E-3</v>
      </c>
      <c r="L373" s="191">
        <v>7.8840150412988301E-3</v>
      </c>
      <c r="M373" s="4"/>
      <c r="T373" s="282"/>
    </row>
    <row r="374" spans="1:20" outlineLevel="1" x14ac:dyDescent="0.35">
      <c r="B374" s="6" t="s">
        <v>121</v>
      </c>
      <c r="C374" s="282" t="s">
        <v>821</v>
      </c>
      <c r="J374" s="191">
        <v>8.402797094150662</v>
      </c>
      <c r="K374" s="191">
        <v>7.0603905336148856</v>
      </c>
      <c r="L374" s="191">
        <v>6.0651000116178633</v>
      </c>
      <c r="M374" s="4"/>
      <c r="T374" s="282"/>
    </row>
    <row r="375" spans="1:20" outlineLevel="1" x14ac:dyDescent="0.35">
      <c r="B375" s="6" t="s">
        <v>800</v>
      </c>
      <c r="C375" s="282" t="s">
        <v>821</v>
      </c>
      <c r="J375" s="191">
        <v>328.09923723935293</v>
      </c>
      <c r="K375" s="191">
        <v>298.15658184930879</v>
      </c>
      <c r="L375" s="191">
        <v>195.0749313487444</v>
      </c>
      <c r="M375" s="4"/>
      <c r="T375" s="282"/>
    </row>
    <row r="376" spans="1:20" outlineLevel="1" x14ac:dyDescent="0.35">
      <c r="B376" s="6" t="s">
        <v>122</v>
      </c>
      <c r="C376" s="282" t="s">
        <v>821</v>
      </c>
      <c r="J376" s="191">
        <v>70.882385297689595</v>
      </c>
      <c r="K376" s="191">
        <v>50.4086136689697</v>
      </c>
      <c r="L376" s="191">
        <v>38.74344373594483</v>
      </c>
      <c r="M376" s="4"/>
      <c r="T376" s="282"/>
    </row>
    <row r="377" spans="1:20" outlineLevel="1" x14ac:dyDescent="0.35">
      <c r="B377" s="6" t="s">
        <v>123</v>
      </c>
      <c r="C377" s="282" t="s">
        <v>821</v>
      </c>
      <c r="J377" s="191">
        <v>44.48175454947296</v>
      </c>
      <c r="K377" s="191">
        <v>10.344861824112719</v>
      </c>
      <c r="L377" s="191">
        <v>0.75686347530398235</v>
      </c>
      <c r="M377" s="4"/>
      <c r="T377" s="282"/>
    </row>
    <row r="378" spans="1:20" outlineLevel="1" x14ac:dyDescent="0.35">
      <c r="B378" s="6" t="s">
        <v>124</v>
      </c>
      <c r="C378" s="282" t="s">
        <v>821</v>
      </c>
      <c r="J378" s="191">
        <v>-1000</v>
      </c>
      <c r="K378" s="191">
        <v>-1000</v>
      </c>
      <c r="L378" s="191">
        <v>-1000</v>
      </c>
      <c r="M378" s="4"/>
      <c r="T378" s="282"/>
    </row>
    <row r="379" spans="1:20" outlineLevel="1" x14ac:dyDescent="0.35">
      <c r="B379" s="6" t="s">
        <v>137</v>
      </c>
      <c r="C379" s="282" t="s">
        <v>821</v>
      </c>
      <c r="J379" s="191">
        <v>-519.27836017165407</v>
      </c>
      <c r="K379" s="191">
        <v>-607.5268135717489</v>
      </c>
      <c r="L379" s="191">
        <v>-739.20688263342686</v>
      </c>
      <c r="M379" s="4"/>
      <c r="T379" s="282"/>
    </row>
    <row r="380" spans="1:20" outlineLevel="1" x14ac:dyDescent="0.35">
      <c r="M380" s="4"/>
      <c r="T380" s="282"/>
    </row>
    <row r="381" spans="1:20" x14ac:dyDescent="0.35">
      <c r="A381" s="170" t="s">
        <v>798</v>
      </c>
      <c r="B381" s="4"/>
      <c r="C381" s="4"/>
      <c r="D381" s="4"/>
      <c r="E381" s="4"/>
      <c r="F381" s="4"/>
      <c r="G381" s="4"/>
      <c r="H381" s="4"/>
      <c r="I381" s="4"/>
      <c r="J381" s="4"/>
      <c r="K381" s="4"/>
      <c r="L381" s="4"/>
      <c r="M381" s="4"/>
      <c r="T381" s="282"/>
    </row>
    <row r="382" spans="1:20" outlineLevel="1" x14ac:dyDescent="0.35">
      <c r="A382" s="15" t="s">
        <v>828</v>
      </c>
      <c r="B382" s="30"/>
      <c r="C382" s="140" t="s">
        <v>180</v>
      </c>
      <c r="J382" s="6" t="s">
        <v>896</v>
      </c>
      <c r="K382" s="6" t="s">
        <v>897</v>
      </c>
      <c r="L382" s="6" t="s">
        <v>895</v>
      </c>
      <c r="M382" s="4"/>
      <c r="T382" s="282"/>
    </row>
    <row r="383" spans="1:20" outlineLevel="1" x14ac:dyDescent="0.35">
      <c r="B383" s="6" t="s">
        <v>117</v>
      </c>
      <c r="C383" s="282" t="s">
        <v>821</v>
      </c>
      <c r="J383" s="191">
        <v>27.30109830898834</v>
      </c>
      <c r="K383" s="191">
        <v>25.103103901411338</v>
      </c>
      <c r="L383" s="191">
        <v>18.927767157790178</v>
      </c>
      <c r="M383" s="4"/>
      <c r="T383" s="282"/>
    </row>
    <row r="384" spans="1:20" outlineLevel="1" x14ac:dyDescent="0.35">
      <c r="B384" s="6" t="s">
        <v>118</v>
      </c>
      <c r="C384" s="282" t="s">
        <v>821</v>
      </c>
      <c r="I384" s="32"/>
      <c r="J384" s="191">
        <v>0.99242254336085489</v>
      </c>
      <c r="K384" s="191">
        <v>0.92854228959986618</v>
      </c>
      <c r="L384" s="191">
        <v>0.81224625777211612</v>
      </c>
      <c r="M384" s="4"/>
      <c r="T384" s="282"/>
    </row>
    <row r="385" spans="1:20" outlineLevel="1" x14ac:dyDescent="0.35">
      <c r="B385" s="6" t="s">
        <v>119</v>
      </c>
      <c r="C385" s="282" t="s">
        <v>821</v>
      </c>
      <c r="H385" s="6"/>
      <c r="J385" s="191">
        <v>0.55294698696550737</v>
      </c>
      <c r="K385" s="191">
        <v>0.46270876141012396</v>
      </c>
      <c r="L385" s="191">
        <v>0.40488136435855665</v>
      </c>
      <c r="M385" s="4"/>
      <c r="T385" s="282"/>
    </row>
    <row r="386" spans="1:20" outlineLevel="1" x14ac:dyDescent="0.35">
      <c r="B386" s="6" t="s">
        <v>120</v>
      </c>
      <c r="C386" s="282" t="s">
        <v>821</v>
      </c>
      <c r="H386" s="6"/>
      <c r="J386" s="191">
        <v>8.9978083648384714E-3</v>
      </c>
      <c r="K386" s="191">
        <v>8.3835998236248491E-3</v>
      </c>
      <c r="L386" s="191">
        <v>7.8840150412988301E-3</v>
      </c>
      <c r="M386" s="4"/>
      <c r="T386" s="282"/>
    </row>
    <row r="387" spans="1:20" outlineLevel="1" x14ac:dyDescent="0.35">
      <c r="B387" s="6" t="s">
        <v>121</v>
      </c>
      <c r="C387" s="282" t="s">
        <v>821</v>
      </c>
      <c r="H387" s="6"/>
      <c r="J387" s="191">
        <v>8.402797094150662</v>
      </c>
      <c r="K387" s="191">
        <v>7.0603905336148856</v>
      </c>
      <c r="L387" s="191">
        <v>6.0651000116178633</v>
      </c>
      <c r="M387" s="4"/>
      <c r="T387" s="282"/>
    </row>
    <row r="388" spans="1:20" outlineLevel="1" x14ac:dyDescent="0.35">
      <c r="B388" s="6" t="s">
        <v>800</v>
      </c>
      <c r="C388" s="282" t="s">
        <v>821</v>
      </c>
      <c r="J388" s="191">
        <v>90.318785932629567</v>
      </c>
      <c r="K388" s="191">
        <v>82.290114568489102</v>
      </c>
      <c r="L388" s="191">
        <v>54.968424837753538</v>
      </c>
      <c r="M388" s="4"/>
      <c r="T388" s="282"/>
    </row>
    <row r="389" spans="1:20" outlineLevel="1" x14ac:dyDescent="0.35">
      <c r="B389" s="6" t="s">
        <v>122</v>
      </c>
      <c r="C389" s="282" t="s">
        <v>821</v>
      </c>
      <c r="J389" s="191">
        <v>70.882385297689595</v>
      </c>
      <c r="K389" s="191">
        <v>50.4086136689697</v>
      </c>
      <c r="L389" s="191">
        <v>38.74344373594483</v>
      </c>
      <c r="M389" s="4"/>
      <c r="T389" s="282"/>
    </row>
    <row r="390" spans="1:20" outlineLevel="1" x14ac:dyDescent="0.35">
      <c r="B390" s="6" t="s">
        <v>123</v>
      </c>
      <c r="C390" s="282" t="s">
        <v>821</v>
      </c>
      <c r="J390" s="191">
        <v>44.48175454947296</v>
      </c>
      <c r="K390" s="191">
        <v>10.344861824112719</v>
      </c>
      <c r="L390" s="191">
        <v>0.75686347530398235</v>
      </c>
      <c r="M390" s="4"/>
      <c r="T390" s="282"/>
    </row>
    <row r="391" spans="1:20" outlineLevel="1" x14ac:dyDescent="0.35">
      <c r="B391" s="6" t="s">
        <v>124</v>
      </c>
      <c r="C391" s="282" t="s">
        <v>821</v>
      </c>
      <c r="J391" s="191">
        <v>-1000</v>
      </c>
      <c r="K391" s="191">
        <v>-1000</v>
      </c>
      <c r="L391" s="191">
        <v>-1000</v>
      </c>
      <c r="M391" s="4"/>
      <c r="T391" s="282"/>
    </row>
    <row r="392" spans="1:20" outlineLevel="1" x14ac:dyDescent="0.35">
      <c r="B392" s="6" t="s">
        <v>137</v>
      </c>
      <c r="C392" s="282" t="s">
        <v>821</v>
      </c>
      <c r="J392" s="191">
        <v>-757.05881147837772</v>
      </c>
      <c r="K392" s="191">
        <v>-823.39328085256852</v>
      </c>
      <c r="L392" s="191">
        <v>-879.31338914441756</v>
      </c>
      <c r="M392" s="4"/>
      <c r="T392" s="282"/>
    </row>
    <row r="393" spans="1:20" outlineLevel="1" x14ac:dyDescent="0.35">
      <c r="M393" s="4"/>
      <c r="T393" s="282"/>
    </row>
    <row r="394" spans="1:20" outlineLevel="1" x14ac:dyDescent="0.35">
      <c r="A394" s="15" t="s">
        <v>830</v>
      </c>
      <c r="B394" s="30"/>
      <c r="C394" s="140" t="s">
        <v>180</v>
      </c>
      <c r="J394" s="6" t="s">
        <v>896</v>
      </c>
      <c r="K394" s="6" t="s">
        <v>897</v>
      </c>
      <c r="L394" s="6" t="s">
        <v>895</v>
      </c>
      <c r="M394" s="4"/>
      <c r="T394" s="282"/>
    </row>
    <row r="395" spans="1:20" outlineLevel="1" x14ac:dyDescent="0.35">
      <c r="B395" s="6" t="s">
        <v>117</v>
      </c>
      <c r="C395" s="282" t="s">
        <v>821</v>
      </c>
      <c r="J395" s="191">
        <v>27.30109830898834</v>
      </c>
      <c r="K395" s="191">
        <v>25.103103901411338</v>
      </c>
      <c r="L395" s="191">
        <v>18.927767157790178</v>
      </c>
      <c r="M395" s="4"/>
      <c r="T395" s="282"/>
    </row>
    <row r="396" spans="1:20" outlineLevel="1" x14ac:dyDescent="0.35">
      <c r="B396" s="6" t="s">
        <v>118</v>
      </c>
      <c r="C396" s="282" t="s">
        <v>821</v>
      </c>
      <c r="J396" s="191">
        <v>0.99242254336085489</v>
      </c>
      <c r="K396" s="191">
        <v>0.92854228959986618</v>
      </c>
      <c r="L396" s="191">
        <v>0.81224625777211612</v>
      </c>
      <c r="M396" s="4"/>
      <c r="T396" s="282"/>
    </row>
    <row r="397" spans="1:20" outlineLevel="1" x14ac:dyDescent="0.35">
      <c r="B397" s="6" t="s">
        <v>119</v>
      </c>
      <c r="C397" s="282" t="s">
        <v>821</v>
      </c>
      <c r="J397" s="191">
        <v>0.55294698696550737</v>
      </c>
      <c r="K397" s="191">
        <v>0.46270876141012396</v>
      </c>
      <c r="L397" s="191">
        <v>0.40488136435855665</v>
      </c>
      <c r="M397" s="4"/>
      <c r="T397" s="282"/>
    </row>
    <row r="398" spans="1:20" outlineLevel="1" x14ac:dyDescent="0.35">
      <c r="B398" s="6" t="s">
        <v>120</v>
      </c>
      <c r="C398" s="282" t="s">
        <v>821</v>
      </c>
      <c r="J398" s="191">
        <v>8.9978083648384714E-3</v>
      </c>
      <c r="K398" s="191">
        <v>8.3835998236248491E-3</v>
      </c>
      <c r="L398" s="191">
        <v>7.8840150412988301E-3</v>
      </c>
      <c r="M398" s="4"/>
      <c r="T398" s="282"/>
    </row>
    <row r="399" spans="1:20" outlineLevel="1" x14ac:dyDescent="0.35">
      <c r="B399" s="6" t="s">
        <v>121</v>
      </c>
      <c r="C399" s="282" t="s">
        <v>821</v>
      </c>
      <c r="J399" s="191">
        <v>8.402797094150662</v>
      </c>
      <c r="K399" s="191">
        <v>7.0603905336148856</v>
      </c>
      <c r="L399" s="191">
        <v>6.0651000116178633</v>
      </c>
      <c r="M399" s="4"/>
      <c r="T399" s="282"/>
    </row>
    <row r="400" spans="1:20" outlineLevel="1" x14ac:dyDescent="0.35">
      <c r="B400" s="6" t="s">
        <v>800</v>
      </c>
      <c r="C400" s="282" t="s">
        <v>821</v>
      </c>
      <c r="J400" s="191">
        <v>90.318785932629567</v>
      </c>
      <c r="K400" s="191">
        <v>82.290114568489102</v>
      </c>
      <c r="L400" s="191">
        <v>54.968424837753538</v>
      </c>
      <c r="M400" s="4"/>
      <c r="T400" s="282"/>
    </row>
    <row r="401" spans="1:20" outlineLevel="1" x14ac:dyDescent="0.35">
      <c r="B401" s="6" t="s">
        <v>122</v>
      </c>
      <c r="C401" s="282" t="s">
        <v>821</v>
      </c>
      <c r="J401" s="191">
        <v>70.882385297689595</v>
      </c>
      <c r="K401" s="191">
        <v>50.4086136689697</v>
      </c>
      <c r="L401" s="191">
        <v>38.74344373594483</v>
      </c>
      <c r="M401" s="4"/>
      <c r="T401" s="282"/>
    </row>
    <row r="402" spans="1:20" outlineLevel="1" x14ac:dyDescent="0.35">
      <c r="B402" s="6" t="s">
        <v>123</v>
      </c>
      <c r="C402" s="282" t="s">
        <v>821</v>
      </c>
      <c r="J402" s="191">
        <v>44.48175454947296</v>
      </c>
      <c r="K402" s="191">
        <v>10.344861824112719</v>
      </c>
      <c r="L402" s="191">
        <v>0.75686347530398235</v>
      </c>
      <c r="M402" s="4"/>
      <c r="T402" s="282"/>
    </row>
    <row r="403" spans="1:20" outlineLevel="1" x14ac:dyDescent="0.35">
      <c r="B403" s="6" t="s">
        <v>124</v>
      </c>
      <c r="C403" s="282" t="s">
        <v>821</v>
      </c>
      <c r="J403" s="191">
        <v>-1000</v>
      </c>
      <c r="K403" s="191">
        <v>-1000</v>
      </c>
      <c r="L403" s="191">
        <v>-1000</v>
      </c>
      <c r="M403" s="4"/>
      <c r="T403" s="282"/>
    </row>
    <row r="404" spans="1:20" outlineLevel="1" x14ac:dyDescent="0.35">
      <c r="B404" s="6" t="s">
        <v>137</v>
      </c>
      <c r="C404" s="282" t="s">
        <v>821</v>
      </c>
      <c r="J404" s="191">
        <v>-757.05881147837772</v>
      </c>
      <c r="K404" s="191">
        <v>-823.39328085256852</v>
      </c>
      <c r="L404" s="191">
        <v>-879.31338914441756</v>
      </c>
      <c r="M404" s="4"/>
      <c r="T404" s="282"/>
    </row>
    <row r="405" spans="1:20" outlineLevel="1" x14ac:dyDescent="0.35">
      <c r="M405" s="4"/>
      <c r="T405" s="282"/>
    </row>
    <row r="406" spans="1:20" outlineLevel="1" x14ac:dyDescent="0.35">
      <c r="A406" s="15" t="s">
        <v>829</v>
      </c>
      <c r="B406" s="30"/>
      <c r="C406" s="140" t="s">
        <v>180</v>
      </c>
      <c r="J406" s="6" t="s">
        <v>896</v>
      </c>
      <c r="K406" s="6" t="s">
        <v>897</v>
      </c>
      <c r="L406" s="6" t="s">
        <v>895</v>
      </c>
      <c r="M406" s="4"/>
      <c r="T406" s="282"/>
    </row>
    <row r="407" spans="1:20" outlineLevel="1" x14ac:dyDescent="0.35">
      <c r="B407" s="6" t="s">
        <v>117</v>
      </c>
      <c r="C407" s="282" t="s">
        <v>821</v>
      </c>
      <c r="J407" s="191">
        <v>27.30109830898834</v>
      </c>
      <c r="K407" s="191">
        <v>25.103103901411338</v>
      </c>
      <c r="L407" s="191">
        <v>18.927767157790178</v>
      </c>
      <c r="M407" s="4"/>
      <c r="T407" s="282"/>
    </row>
    <row r="408" spans="1:20" outlineLevel="1" x14ac:dyDescent="0.35">
      <c r="B408" s="6" t="s">
        <v>118</v>
      </c>
      <c r="C408" s="282" t="s">
        <v>821</v>
      </c>
      <c r="J408" s="191">
        <v>0.99242254336085489</v>
      </c>
      <c r="K408" s="191">
        <v>0.92854228959986618</v>
      </c>
      <c r="L408" s="191">
        <v>0.81224625777211612</v>
      </c>
      <c r="M408" s="4"/>
      <c r="T408" s="282"/>
    </row>
    <row r="409" spans="1:20" outlineLevel="1" x14ac:dyDescent="0.35">
      <c r="B409" s="6" t="s">
        <v>119</v>
      </c>
      <c r="C409" s="282" t="s">
        <v>821</v>
      </c>
      <c r="J409" s="191">
        <v>0.55294698696550737</v>
      </c>
      <c r="K409" s="191">
        <v>0.46270876141012396</v>
      </c>
      <c r="L409" s="191">
        <v>0.40488136435855665</v>
      </c>
      <c r="M409" s="4"/>
      <c r="T409" s="282"/>
    </row>
    <row r="410" spans="1:20" outlineLevel="1" x14ac:dyDescent="0.35">
      <c r="B410" s="6" t="s">
        <v>120</v>
      </c>
      <c r="C410" s="282" t="s">
        <v>821</v>
      </c>
      <c r="J410" s="191">
        <v>8.9978083648384714E-3</v>
      </c>
      <c r="K410" s="191">
        <v>8.3835998236248491E-3</v>
      </c>
      <c r="L410" s="191">
        <v>7.8840150412988301E-3</v>
      </c>
      <c r="M410" s="4"/>
      <c r="T410" s="282"/>
    </row>
    <row r="411" spans="1:20" outlineLevel="1" x14ac:dyDescent="0.35">
      <c r="B411" s="6" t="s">
        <v>121</v>
      </c>
      <c r="C411" s="282" t="s">
        <v>821</v>
      </c>
      <c r="J411" s="191">
        <v>8.402797094150662</v>
      </c>
      <c r="K411" s="191">
        <v>7.0603905336148856</v>
      </c>
      <c r="L411" s="191">
        <v>6.0651000116178633</v>
      </c>
      <c r="M411" s="4"/>
      <c r="T411" s="282"/>
    </row>
    <row r="412" spans="1:20" outlineLevel="1" x14ac:dyDescent="0.35">
      <c r="B412" s="6" t="s">
        <v>800</v>
      </c>
      <c r="C412" s="282" t="s">
        <v>821</v>
      </c>
      <c r="J412" s="191">
        <v>90.318785932629567</v>
      </c>
      <c r="K412" s="191">
        <v>82.290114568489102</v>
      </c>
      <c r="L412" s="191">
        <v>54.968424837753538</v>
      </c>
      <c r="M412" s="4"/>
      <c r="T412" s="282"/>
    </row>
    <row r="413" spans="1:20" outlineLevel="1" x14ac:dyDescent="0.35">
      <c r="B413" s="6" t="s">
        <v>122</v>
      </c>
      <c r="C413" s="282" t="s">
        <v>821</v>
      </c>
      <c r="J413" s="191">
        <v>70.882385297689595</v>
      </c>
      <c r="K413" s="191">
        <v>50.4086136689697</v>
      </c>
      <c r="L413" s="191">
        <v>38.74344373594483</v>
      </c>
      <c r="M413" s="4"/>
      <c r="T413" s="282"/>
    </row>
    <row r="414" spans="1:20" outlineLevel="1" x14ac:dyDescent="0.35">
      <c r="B414" s="6" t="s">
        <v>123</v>
      </c>
      <c r="C414" s="282" t="s">
        <v>821</v>
      </c>
      <c r="J414" s="191">
        <v>44.48175454947296</v>
      </c>
      <c r="K414" s="191">
        <v>10.344861824112719</v>
      </c>
      <c r="L414" s="191">
        <v>0.75686347530398235</v>
      </c>
      <c r="M414" s="4"/>
      <c r="T414" s="282"/>
    </row>
    <row r="415" spans="1:20" outlineLevel="1" x14ac:dyDescent="0.35">
      <c r="B415" s="6" t="s">
        <v>124</v>
      </c>
      <c r="C415" s="282" t="s">
        <v>821</v>
      </c>
      <c r="J415" s="191">
        <v>-1000</v>
      </c>
      <c r="K415" s="191">
        <v>-1000</v>
      </c>
      <c r="L415" s="191">
        <v>-1000</v>
      </c>
      <c r="M415" s="4"/>
      <c r="T415" s="282"/>
    </row>
    <row r="416" spans="1:20" outlineLevel="1" x14ac:dyDescent="0.35">
      <c r="B416" s="6" t="s">
        <v>137</v>
      </c>
      <c r="C416" s="282" t="s">
        <v>821</v>
      </c>
      <c r="J416" s="191">
        <v>-757.05881147837772</v>
      </c>
      <c r="K416" s="191">
        <v>-823.39328085256852</v>
      </c>
      <c r="L416" s="191">
        <v>-879.31338914441756</v>
      </c>
      <c r="M416" s="4"/>
      <c r="T416" s="282"/>
    </row>
    <row r="417" spans="1:20" outlineLevel="1" x14ac:dyDescent="0.35">
      <c r="M417" s="4"/>
      <c r="T417" s="282"/>
    </row>
    <row r="418" spans="1:20" x14ac:dyDescent="0.35">
      <c r="A418" s="170" t="s">
        <v>799</v>
      </c>
      <c r="B418" s="4"/>
      <c r="C418" s="4"/>
      <c r="D418" s="4"/>
      <c r="E418" s="4"/>
      <c r="F418" s="4"/>
      <c r="G418" s="4"/>
      <c r="H418" s="4"/>
      <c r="I418" s="4"/>
      <c r="J418" s="4"/>
      <c r="K418" s="4"/>
      <c r="L418" s="4"/>
      <c r="M418" s="4"/>
      <c r="T418" s="282"/>
    </row>
    <row r="419" spans="1:20" outlineLevel="1" x14ac:dyDescent="0.35">
      <c r="A419" s="15" t="s">
        <v>832</v>
      </c>
      <c r="B419" s="30"/>
      <c r="C419" s="140" t="s">
        <v>180</v>
      </c>
      <c r="J419" s="6" t="s">
        <v>896</v>
      </c>
      <c r="K419" s="6" t="s">
        <v>897</v>
      </c>
      <c r="L419" s="6" t="s">
        <v>895</v>
      </c>
      <c r="M419" s="4"/>
      <c r="T419" s="282"/>
    </row>
    <row r="420" spans="1:20" outlineLevel="1" x14ac:dyDescent="0.35">
      <c r="B420" s="6" t="s">
        <v>117</v>
      </c>
      <c r="C420" s="282" t="s">
        <v>821</v>
      </c>
      <c r="J420" s="191">
        <v>27.30109830898834</v>
      </c>
      <c r="K420" s="191">
        <v>25.103103901411338</v>
      </c>
      <c r="L420" s="191">
        <v>18.927767157790178</v>
      </c>
      <c r="M420" s="4"/>
      <c r="T420" s="282"/>
    </row>
    <row r="421" spans="1:20" outlineLevel="1" x14ac:dyDescent="0.35">
      <c r="B421" s="6" t="s">
        <v>118</v>
      </c>
      <c r="C421" s="282" t="s">
        <v>821</v>
      </c>
      <c r="J421" s="191">
        <v>0.99242254336085489</v>
      </c>
      <c r="K421" s="191">
        <v>0.92854228959986618</v>
      </c>
      <c r="L421" s="191">
        <v>0.81224625777211612</v>
      </c>
      <c r="M421" s="4"/>
      <c r="T421" s="282"/>
    </row>
    <row r="422" spans="1:20" outlineLevel="1" x14ac:dyDescent="0.35">
      <c r="B422" s="6" t="s">
        <v>119</v>
      </c>
      <c r="C422" s="282" t="s">
        <v>821</v>
      </c>
      <c r="J422" s="191">
        <v>0.55294698696550737</v>
      </c>
      <c r="K422" s="191">
        <v>0.46270876141012396</v>
      </c>
      <c r="L422" s="191">
        <v>0.40488136435855665</v>
      </c>
      <c r="M422" s="4"/>
      <c r="T422" s="282"/>
    </row>
    <row r="423" spans="1:20" outlineLevel="1" x14ac:dyDescent="0.35">
      <c r="B423" s="6" t="s">
        <v>120</v>
      </c>
      <c r="C423" s="282" t="s">
        <v>821</v>
      </c>
      <c r="J423" s="191">
        <v>8.9978083648384714E-3</v>
      </c>
      <c r="K423" s="191">
        <v>8.3835998236248491E-3</v>
      </c>
      <c r="L423" s="191">
        <v>7.8840150412988301E-3</v>
      </c>
      <c r="M423" s="4"/>
      <c r="T423" s="282"/>
    </row>
    <row r="424" spans="1:20" outlineLevel="1" x14ac:dyDescent="0.35">
      <c r="B424" s="6" t="s">
        <v>121</v>
      </c>
      <c r="C424" s="282" t="s">
        <v>821</v>
      </c>
      <c r="J424" s="191">
        <v>8.402797094150662</v>
      </c>
      <c r="K424" s="191">
        <v>7.0603905336148856</v>
      </c>
      <c r="L424" s="191">
        <v>6.0651000116178633</v>
      </c>
      <c r="M424" s="4"/>
      <c r="T424" s="282"/>
    </row>
    <row r="425" spans="1:20" outlineLevel="1" x14ac:dyDescent="0.35">
      <c r="B425" s="6" t="s">
        <v>800</v>
      </c>
      <c r="C425" s="282" t="s">
        <v>821</v>
      </c>
      <c r="J425" s="191">
        <v>90.318785932629567</v>
      </c>
      <c r="K425" s="191">
        <v>82.290114568489102</v>
      </c>
      <c r="L425" s="191">
        <v>54.968424837753538</v>
      </c>
      <c r="M425" s="4"/>
      <c r="T425" s="282"/>
    </row>
    <row r="426" spans="1:20" outlineLevel="1" x14ac:dyDescent="0.35">
      <c r="B426" s="6" t="s">
        <v>122</v>
      </c>
      <c r="C426" s="282" t="s">
        <v>821</v>
      </c>
      <c r="J426" s="191">
        <v>70.882385297689595</v>
      </c>
      <c r="K426" s="191">
        <v>50.4086136689697</v>
      </c>
      <c r="L426" s="191">
        <v>38.74344373594483</v>
      </c>
      <c r="M426" s="4"/>
      <c r="T426" s="282"/>
    </row>
    <row r="427" spans="1:20" outlineLevel="1" x14ac:dyDescent="0.35">
      <c r="B427" s="6" t="s">
        <v>123</v>
      </c>
      <c r="C427" s="282" t="s">
        <v>821</v>
      </c>
      <c r="J427" s="191">
        <v>44.48175454947296</v>
      </c>
      <c r="K427" s="191">
        <v>10.344861824112719</v>
      </c>
      <c r="L427" s="191">
        <v>0.75686347530398235</v>
      </c>
      <c r="M427" s="4"/>
      <c r="T427" s="282"/>
    </row>
    <row r="428" spans="1:20" outlineLevel="1" x14ac:dyDescent="0.35">
      <c r="B428" s="6" t="s">
        <v>124</v>
      </c>
      <c r="C428" s="282" t="s">
        <v>821</v>
      </c>
      <c r="J428" s="191">
        <v>-1000</v>
      </c>
      <c r="K428" s="191">
        <v>-1000</v>
      </c>
      <c r="L428" s="191">
        <v>-1000</v>
      </c>
      <c r="M428" s="4"/>
      <c r="T428" s="282"/>
    </row>
    <row r="429" spans="1:20" outlineLevel="1" x14ac:dyDescent="0.35">
      <c r="B429" s="6" t="s">
        <v>137</v>
      </c>
      <c r="C429" s="282" t="s">
        <v>821</v>
      </c>
      <c r="J429" s="191">
        <v>-757.05881147837772</v>
      </c>
      <c r="K429" s="191">
        <v>-823.39328085256852</v>
      </c>
      <c r="L429" s="191">
        <v>-879.31338914441756</v>
      </c>
      <c r="M429" s="4"/>
      <c r="T429" s="282"/>
    </row>
    <row r="430" spans="1:20" outlineLevel="1" x14ac:dyDescent="0.35">
      <c r="M430" s="4"/>
      <c r="T430" s="282"/>
    </row>
    <row r="431" spans="1:20" outlineLevel="1" x14ac:dyDescent="0.35">
      <c r="A431" s="15" t="s">
        <v>831</v>
      </c>
      <c r="B431" s="30"/>
      <c r="C431" s="140" t="s">
        <v>180</v>
      </c>
      <c r="J431" s="6" t="s">
        <v>896</v>
      </c>
      <c r="K431" s="6" t="s">
        <v>897</v>
      </c>
      <c r="L431" s="6" t="s">
        <v>895</v>
      </c>
      <c r="M431" s="4"/>
      <c r="T431" s="282"/>
    </row>
    <row r="432" spans="1:20" outlineLevel="1" x14ac:dyDescent="0.35">
      <c r="B432" s="6" t="s">
        <v>117</v>
      </c>
      <c r="C432" s="282" t="s">
        <v>821</v>
      </c>
      <c r="J432" s="191">
        <v>27.30109830898834</v>
      </c>
      <c r="K432" s="191">
        <v>25.103103901411338</v>
      </c>
      <c r="L432" s="191">
        <v>18.927767157790178</v>
      </c>
      <c r="M432" s="4"/>
      <c r="T432" s="282"/>
    </row>
    <row r="433" spans="1:20" outlineLevel="1" x14ac:dyDescent="0.35">
      <c r="B433" s="6" t="s">
        <v>118</v>
      </c>
      <c r="C433" s="282" t="s">
        <v>821</v>
      </c>
      <c r="J433" s="191">
        <v>0.99242254336085489</v>
      </c>
      <c r="K433" s="191">
        <v>0.92854228959986618</v>
      </c>
      <c r="L433" s="191">
        <v>0.81224625777211612</v>
      </c>
      <c r="M433" s="4"/>
      <c r="T433" s="282"/>
    </row>
    <row r="434" spans="1:20" outlineLevel="1" x14ac:dyDescent="0.35">
      <c r="B434" s="6" t="s">
        <v>119</v>
      </c>
      <c r="C434" s="282" t="s">
        <v>821</v>
      </c>
      <c r="J434" s="191">
        <v>0.55294698696550737</v>
      </c>
      <c r="K434" s="191">
        <v>0.46270876141012396</v>
      </c>
      <c r="L434" s="191">
        <v>0.40488136435855665</v>
      </c>
      <c r="M434" s="4"/>
      <c r="T434" s="282"/>
    </row>
    <row r="435" spans="1:20" outlineLevel="1" x14ac:dyDescent="0.35">
      <c r="B435" s="6" t="s">
        <v>120</v>
      </c>
      <c r="C435" s="282" t="s">
        <v>821</v>
      </c>
      <c r="J435" s="191">
        <v>8.9978083648384714E-3</v>
      </c>
      <c r="K435" s="191">
        <v>8.3835998236248491E-3</v>
      </c>
      <c r="L435" s="191">
        <v>7.8840150412988301E-3</v>
      </c>
      <c r="M435" s="4"/>
      <c r="T435" s="282"/>
    </row>
    <row r="436" spans="1:20" outlineLevel="1" x14ac:dyDescent="0.35">
      <c r="B436" s="6" t="s">
        <v>121</v>
      </c>
      <c r="C436" s="282" t="s">
        <v>821</v>
      </c>
      <c r="J436" s="191">
        <v>8.402797094150662</v>
      </c>
      <c r="K436" s="191">
        <v>7.0603905336148856</v>
      </c>
      <c r="L436" s="191">
        <v>6.0651000116178633</v>
      </c>
      <c r="M436" s="4"/>
      <c r="T436" s="282"/>
    </row>
    <row r="437" spans="1:20" outlineLevel="1" x14ac:dyDescent="0.35">
      <c r="B437" s="6" t="s">
        <v>800</v>
      </c>
      <c r="C437" s="282" t="s">
        <v>821</v>
      </c>
      <c r="J437" s="191">
        <v>90.318785932629567</v>
      </c>
      <c r="K437" s="191">
        <v>82.290114568489102</v>
      </c>
      <c r="L437" s="191">
        <v>54.968424837753538</v>
      </c>
      <c r="M437" s="4"/>
      <c r="T437" s="282"/>
    </row>
    <row r="438" spans="1:20" outlineLevel="1" x14ac:dyDescent="0.35">
      <c r="B438" s="6" t="s">
        <v>122</v>
      </c>
      <c r="C438" s="282" t="s">
        <v>821</v>
      </c>
      <c r="J438" s="191">
        <v>70.882385297689595</v>
      </c>
      <c r="K438" s="191">
        <v>50.4086136689697</v>
      </c>
      <c r="L438" s="191">
        <v>38.74344373594483</v>
      </c>
      <c r="M438" s="4"/>
      <c r="T438" s="282"/>
    </row>
    <row r="439" spans="1:20" outlineLevel="1" x14ac:dyDescent="0.35">
      <c r="B439" s="6" t="s">
        <v>123</v>
      </c>
      <c r="C439" s="282" t="s">
        <v>821</v>
      </c>
      <c r="J439" s="191">
        <v>44.48175454947296</v>
      </c>
      <c r="K439" s="191">
        <v>10.344861824112719</v>
      </c>
      <c r="L439" s="191">
        <v>0.75686347530398235</v>
      </c>
      <c r="M439" s="4"/>
      <c r="T439" s="282"/>
    </row>
    <row r="440" spans="1:20" outlineLevel="1" x14ac:dyDescent="0.35">
      <c r="B440" s="6" t="s">
        <v>124</v>
      </c>
      <c r="C440" s="282" t="s">
        <v>821</v>
      </c>
      <c r="J440" s="191">
        <v>-1000</v>
      </c>
      <c r="K440" s="191">
        <v>-1000</v>
      </c>
      <c r="L440" s="191">
        <v>-1000</v>
      </c>
      <c r="M440" s="4"/>
      <c r="T440" s="282"/>
    </row>
    <row r="441" spans="1:20" outlineLevel="1" x14ac:dyDescent="0.35">
      <c r="B441" s="6" t="s">
        <v>137</v>
      </c>
      <c r="C441" s="282" t="s">
        <v>821</v>
      </c>
      <c r="J441" s="191">
        <v>-757.05881147837772</v>
      </c>
      <c r="K441" s="191">
        <v>-823.39328085256852</v>
      </c>
      <c r="L441" s="191">
        <v>-879.31338914441756</v>
      </c>
      <c r="M441" s="4"/>
      <c r="T441" s="282"/>
    </row>
    <row r="442" spans="1:20" outlineLevel="1" x14ac:dyDescent="0.35">
      <c r="M442" s="4"/>
      <c r="T442" s="282"/>
    </row>
    <row r="443" spans="1:20" outlineLevel="1" x14ac:dyDescent="0.35">
      <c r="A443" s="15" t="s">
        <v>833</v>
      </c>
      <c r="B443" s="30"/>
      <c r="C443" s="140" t="s">
        <v>180</v>
      </c>
      <c r="J443" s="6" t="s">
        <v>896</v>
      </c>
      <c r="K443" s="6" t="s">
        <v>897</v>
      </c>
      <c r="L443" s="6" t="s">
        <v>895</v>
      </c>
      <c r="M443" s="4"/>
      <c r="T443" s="282"/>
    </row>
    <row r="444" spans="1:20" outlineLevel="1" x14ac:dyDescent="0.35">
      <c r="B444" s="6" t="s">
        <v>117</v>
      </c>
      <c r="C444" s="282" t="s">
        <v>821</v>
      </c>
      <c r="J444" s="191">
        <v>27.30109830898834</v>
      </c>
      <c r="K444" s="191">
        <v>25.103103901411338</v>
      </c>
      <c r="L444" s="191">
        <v>18.927767157790178</v>
      </c>
      <c r="M444" s="4"/>
      <c r="T444" s="282"/>
    </row>
    <row r="445" spans="1:20" outlineLevel="1" x14ac:dyDescent="0.35">
      <c r="B445" s="6" t="s">
        <v>118</v>
      </c>
      <c r="C445" s="282" t="s">
        <v>821</v>
      </c>
      <c r="J445" s="191">
        <v>0.99242254336085489</v>
      </c>
      <c r="K445" s="191">
        <v>0.92854228959986618</v>
      </c>
      <c r="L445" s="191">
        <v>0.81224625777211612</v>
      </c>
      <c r="M445" s="4"/>
      <c r="T445" s="282"/>
    </row>
    <row r="446" spans="1:20" outlineLevel="1" x14ac:dyDescent="0.35">
      <c r="B446" s="6" t="s">
        <v>119</v>
      </c>
      <c r="C446" s="282" t="s">
        <v>821</v>
      </c>
      <c r="J446" s="191">
        <v>0.55294698696550737</v>
      </c>
      <c r="K446" s="191">
        <v>0.46270876141012396</v>
      </c>
      <c r="L446" s="191">
        <v>0.40488136435855665</v>
      </c>
      <c r="M446" s="4"/>
      <c r="T446" s="282"/>
    </row>
    <row r="447" spans="1:20" outlineLevel="1" x14ac:dyDescent="0.35">
      <c r="B447" s="6" t="s">
        <v>120</v>
      </c>
      <c r="C447" s="282" t="s">
        <v>821</v>
      </c>
      <c r="J447" s="191">
        <v>8.9978083648384714E-3</v>
      </c>
      <c r="K447" s="191">
        <v>8.3835998236248491E-3</v>
      </c>
      <c r="L447" s="191">
        <v>7.8840150412988301E-3</v>
      </c>
      <c r="M447" s="4"/>
      <c r="T447" s="282"/>
    </row>
    <row r="448" spans="1:20" outlineLevel="1" x14ac:dyDescent="0.35">
      <c r="B448" s="6" t="s">
        <v>121</v>
      </c>
      <c r="C448" s="282" t="s">
        <v>821</v>
      </c>
      <c r="J448" s="191">
        <v>8.402797094150662</v>
      </c>
      <c r="K448" s="191">
        <v>7.0603905336148856</v>
      </c>
      <c r="L448" s="191">
        <v>6.0651000116178633</v>
      </c>
      <c r="M448" s="4"/>
      <c r="T448" s="282"/>
    </row>
    <row r="449" spans="1:54" outlineLevel="1" x14ac:dyDescent="0.35">
      <c r="B449" s="6" t="s">
        <v>800</v>
      </c>
      <c r="C449" s="282" t="s">
        <v>821</v>
      </c>
      <c r="J449" s="191">
        <v>90.318785932629567</v>
      </c>
      <c r="K449" s="191">
        <v>82.290114568489102</v>
      </c>
      <c r="L449" s="191">
        <v>54.968424837753538</v>
      </c>
      <c r="M449" s="4"/>
      <c r="T449" s="282"/>
    </row>
    <row r="450" spans="1:54" outlineLevel="1" x14ac:dyDescent="0.35">
      <c r="B450" s="6" t="s">
        <v>122</v>
      </c>
      <c r="C450" s="282" t="s">
        <v>821</v>
      </c>
      <c r="J450" s="191">
        <v>70.882385297689595</v>
      </c>
      <c r="K450" s="191">
        <v>50.4086136689697</v>
      </c>
      <c r="L450" s="191">
        <v>38.74344373594483</v>
      </c>
      <c r="M450" s="4"/>
      <c r="T450" s="282"/>
    </row>
    <row r="451" spans="1:54" outlineLevel="1" x14ac:dyDescent="0.35">
      <c r="B451" s="6" t="s">
        <v>123</v>
      </c>
      <c r="C451" s="282" t="s">
        <v>821</v>
      </c>
      <c r="J451" s="191">
        <v>44.48175454947296</v>
      </c>
      <c r="K451" s="191">
        <v>10.344861824112719</v>
      </c>
      <c r="L451" s="191">
        <v>0.75686347530398235</v>
      </c>
      <c r="M451" s="4"/>
      <c r="T451" s="282"/>
    </row>
    <row r="452" spans="1:54" outlineLevel="1" x14ac:dyDescent="0.35">
      <c r="B452" s="6" t="s">
        <v>124</v>
      </c>
      <c r="C452" s="282" t="s">
        <v>821</v>
      </c>
      <c r="J452" s="191">
        <v>-1000</v>
      </c>
      <c r="K452" s="191">
        <v>-1000</v>
      </c>
      <c r="L452" s="191">
        <v>-1000</v>
      </c>
      <c r="M452" s="4"/>
      <c r="T452" s="282"/>
    </row>
    <row r="453" spans="1:54" outlineLevel="1" x14ac:dyDescent="0.35">
      <c r="B453" s="6" t="s">
        <v>137</v>
      </c>
      <c r="C453" s="282" t="s">
        <v>821</v>
      </c>
      <c r="J453" s="191">
        <v>-757.05881147837772</v>
      </c>
      <c r="K453" s="191">
        <v>-823.39328085256852</v>
      </c>
      <c r="L453" s="191">
        <v>-879.31338914441756</v>
      </c>
      <c r="M453" s="4"/>
      <c r="T453" s="282"/>
    </row>
    <row r="454" spans="1:54" x14ac:dyDescent="0.35">
      <c r="A454" s="170"/>
      <c r="B454" s="4"/>
      <c r="C454" s="4"/>
      <c r="D454" s="4"/>
      <c r="E454" s="4"/>
      <c r="F454" s="4"/>
      <c r="G454" s="4"/>
      <c r="H454" s="4"/>
      <c r="I454" s="4"/>
      <c r="J454" s="4"/>
      <c r="K454" s="4"/>
      <c r="L454" s="4"/>
      <c r="M454" s="4"/>
      <c r="T454" s="282"/>
    </row>
    <row r="455" spans="1:54" s="125" customFormat="1" x14ac:dyDescent="0.35">
      <c r="A455" s="125" t="s">
        <v>865</v>
      </c>
    </row>
    <row r="459" spans="1:54" x14ac:dyDescent="0.35">
      <c r="A459" s="330" t="s">
        <v>150</v>
      </c>
      <c r="B459" s="330"/>
      <c r="C459" s="330"/>
      <c r="D459" s="330"/>
      <c r="F459" s="330" t="s">
        <v>151</v>
      </c>
      <c r="G459" s="330"/>
      <c r="H459" s="330"/>
      <c r="I459" s="330"/>
      <c r="K459" s="330" t="s">
        <v>834</v>
      </c>
      <c r="L459" s="330"/>
      <c r="M459" s="330"/>
      <c r="O459" s="330" t="s">
        <v>835</v>
      </c>
      <c r="P459" s="330"/>
      <c r="Q459" s="330"/>
      <c r="R459" s="330"/>
      <c r="T459" s="330" t="s">
        <v>163</v>
      </c>
      <c r="U459" s="330"/>
      <c r="V459" s="330"/>
      <c r="W459" s="330"/>
      <c r="Y459" s="330" t="s">
        <v>817</v>
      </c>
      <c r="Z459" s="330"/>
      <c r="AA459" s="330"/>
      <c r="AB459" s="330"/>
      <c r="AD459" s="330" t="s">
        <v>836</v>
      </c>
      <c r="AE459" s="330"/>
      <c r="AF459" s="330"/>
      <c r="AH459" s="330" t="s">
        <v>818</v>
      </c>
      <c r="AI459" s="330"/>
      <c r="AJ459" s="330"/>
      <c r="AK459" s="330"/>
      <c r="AL459" s="330"/>
      <c r="AN459" s="330" t="s">
        <v>777</v>
      </c>
      <c r="AO459" s="330"/>
      <c r="AP459" s="330"/>
      <c r="AQ459" s="330"/>
      <c r="AS459" s="330" t="s">
        <v>837</v>
      </c>
      <c r="AT459" s="330"/>
      <c r="AU459" s="330"/>
      <c r="AV459" s="330"/>
      <c r="AX459" s="331" t="s">
        <v>866</v>
      </c>
      <c r="AY459" s="331"/>
      <c r="AZ459" s="331"/>
      <c r="BA459" s="331"/>
    </row>
    <row r="461" spans="1:54" x14ac:dyDescent="0.35">
      <c r="A461" s="109"/>
      <c r="B461" s="142">
        <v>0.8</v>
      </c>
      <c r="C461" s="142">
        <v>1</v>
      </c>
      <c r="D461" s="142">
        <v>1.2</v>
      </c>
      <c r="F461" s="109"/>
      <c r="G461" s="288">
        <f>100/150</f>
        <v>0.66666666666666663</v>
      </c>
      <c r="H461" s="142">
        <v>1</v>
      </c>
      <c r="I461" s="142">
        <f>250/150</f>
        <v>1.6666666666666667</v>
      </c>
      <c r="K461" s="109"/>
      <c r="L461" s="142">
        <v>0.8</v>
      </c>
      <c r="M461" s="142">
        <v>1</v>
      </c>
      <c r="O461" s="109"/>
      <c r="P461" s="142">
        <v>0.33</v>
      </c>
      <c r="Q461" s="142">
        <v>1</v>
      </c>
      <c r="R461" s="142">
        <v>1.67</v>
      </c>
      <c r="T461" s="144"/>
      <c r="U461" s="142">
        <v>0.5</v>
      </c>
      <c r="V461" s="142">
        <v>1</v>
      </c>
      <c r="W461" s="142">
        <v>1.5</v>
      </c>
      <c r="Y461" s="109"/>
      <c r="Z461" s="142">
        <v>1</v>
      </c>
      <c r="AA461" s="142">
        <v>1.5</v>
      </c>
      <c r="AB461" s="142">
        <v>2</v>
      </c>
      <c r="AD461" s="109"/>
      <c r="AE461" s="109" t="s">
        <v>417</v>
      </c>
      <c r="AF461" s="109" t="s">
        <v>814</v>
      </c>
      <c r="AH461" s="109"/>
      <c r="AI461" s="109">
        <v>0</v>
      </c>
      <c r="AJ461" s="109">
        <v>0.5</v>
      </c>
      <c r="AK461" s="109">
        <v>1</v>
      </c>
      <c r="AL461" s="109">
        <v>1.5</v>
      </c>
      <c r="AN461" s="109"/>
      <c r="AO461" s="109">
        <v>0.5</v>
      </c>
      <c r="AP461" s="109">
        <v>1</v>
      </c>
      <c r="AQ461" s="109">
        <v>2</v>
      </c>
      <c r="AS461" s="109"/>
      <c r="AT461" s="109">
        <v>0.5</v>
      </c>
      <c r="AU461" s="109">
        <v>1</v>
      </c>
      <c r="AV461" s="109">
        <v>2</v>
      </c>
      <c r="AX461" s="109"/>
      <c r="AY461" s="142">
        <v>0.5</v>
      </c>
      <c r="AZ461" s="142">
        <v>1</v>
      </c>
      <c r="BA461" s="142">
        <v>2</v>
      </c>
      <c r="BB461" s="32"/>
    </row>
    <row r="462" spans="1:54" x14ac:dyDescent="0.35">
      <c r="A462" s="126" t="s">
        <v>889</v>
      </c>
      <c r="B462" s="126">
        <f>D35</f>
        <v>-362.95728807912394</v>
      </c>
      <c r="C462" s="126">
        <f>D23</f>
        <v>-359.63392604322115</v>
      </c>
      <c r="D462" s="126">
        <f>D47</f>
        <v>-356.31056400731836</v>
      </c>
      <c r="F462" s="126" t="s">
        <v>889</v>
      </c>
      <c r="G462" s="289">
        <f>D72</f>
        <v>-551.32262960345997</v>
      </c>
      <c r="H462" s="126">
        <f>D60</f>
        <v>-359.63392604322115</v>
      </c>
      <c r="I462" s="126">
        <f>D84</f>
        <v>23.743481077256433</v>
      </c>
      <c r="K462" s="126" t="s">
        <v>889</v>
      </c>
      <c r="L462" s="277">
        <f>D145</f>
        <v>-199.54240755402645</v>
      </c>
      <c r="M462" s="277">
        <f>D121</f>
        <v>-359.63392604322109</v>
      </c>
      <c r="O462" s="126" t="s">
        <v>889</v>
      </c>
      <c r="P462" s="126">
        <f>D219</f>
        <v>-352.15506380247223</v>
      </c>
      <c r="Q462" s="126">
        <f>D207</f>
        <v>-359.63392604322115</v>
      </c>
      <c r="R462" s="126">
        <f>D231</f>
        <v>-361.48858245001088</v>
      </c>
      <c r="T462" s="289" t="s">
        <v>889</v>
      </c>
      <c r="U462" s="126">
        <f>D182</f>
        <v>280.73214791355781</v>
      </c>
      <c r="V462" s="126">
        <f>D170</f>
        <v>-359.63392604322109</v>
      </c>
      <c r="W462" s="126">
        <f>D194</f>
        <v>-573.08928402881406</v>
      </c>
      <c r="Y462" s="126" t="s">
        <v>889</v>
      </c>
      <c r="Z462" s="126"/>
      <c r="AA462" s="126"/>
      <c r="AB462" s="109"/>
      <c r="AD462" s="126" t="s">
        <v>889</v>
      </c>
      <c r="AE462" s="126">
        <f>D244</f>
        <v>-359.63392604322109</v>
      </c>
      <c r="AF462" s="126">
        <f>D256</f>
        <v>-354.77458020307336</v>
      </c>
      <c r="AH462" s="109"/>
      <c r="AI462" s="109"/>
      <c r="AJ462" s="109"/>
      <c r="AK462" s="109"/>
      <c r="AL462" s="109"/>
      <c r="AN462" s="109"/>
      <c r="AO462" s="109"/>
      <c r="AP462" s="109"/>
      <c r="AQ462" s="109"/>
      <c r="AS462" s="109"/>
      <c r="AT462" s="109"/>
      <c r="AU462" s="109"/>
      <c r="AV462" s="109"/>
      <c r="AX462" s="109"/>
      <c r="AY462" s="109"/>
      <c r="AZ462" s="109"/>
      <c r="BA462" s="109"/>
    </row>
    <row r="463" spans="1:54" x14ac:dyDescent="0.35">
      <c r="A463" s="126" t="s">
        <v>891</v>
      </c>
      <c r="B463" s="126">
        <f>E35</f>
        <v>-850.52445124657231</v>
      </c>
      <c r="C463" s="126">
        <f>E23</f>
        <v>-847.44505104778398</v>
      </c>
      <c r="D463" s="126">
        <f>E47</f>
        <v>-844.36565084899553</v>
      </c>
      <c r="F463" s="126" t="s">
        <v>891</v>
      </c>
      <c r="G463" s="289">
        <f>E72</f>
        <v>-888.53934800356853</v>
      </c>
      <c r="H463" s="126">
        <f>E60</f>
        <v>-847.44505104778398</v>
      </c>
      <c r="I463" s="126">
        <f>E84</f>
        <v>-765.25645713621475</v>
      </c>
      <c r="K463" s="126" t="s">
        <v>891</v>
      </c>
      <c r="L463" s="277">
        <f>E145</f>
        <v>-809.30631380972989</v>
      </c>
      <c r="M463" s="277">
        <f>E121</f>
        <v>-847.44505104778386</v>
      </c>
      <c r="O463" s="126" t="s">
        <v>891</v>
      </c>
      <c r="P463" s="126">
        <f>E219</f>
        <v>-841.17859635919581</v>
      </c>
      <c r="Q463" s="126">
        <f>E207</f>
        <v>-847.44505104778398</v>
      </c>
      <c r="R463" s="126">
        <f>E231</f>
        <v>-848.96595899110707</v>
      </c>
      <c r="T463" s="289" t="s">
        <v>891</v>
      </c>
      <c r="U463" s="126">
        <f>E182</f>
        <v>-694.89010209556773</v>
      </c>
      <c r="V463" s="126">
        <f>E170</f>
        <v>-847.44505104778386</v>
      </c>
      <c r="W463" s="126">
        <f>E194</f>
        <v>-898.29670069852261</v>
      </c>
      <c r="Y463" s="126" t="s">
        <v>891</v>
      </c>
      <c r="Z463" s="126"/>
      <c r="AA463" s="126"/>
      <c r="AB463" s="109"/>
      <c r="AD463" s="126" t="s">
        <v>891</v>
      </c>
      <c r="AE463" s="126">
        <f>E244</f>
        <v>-847.44505104778386</v>
      </c>
      <c r="AF463" s="126">
        <f>E256</f>
        <v>-843.81264557335487</v>
      </c>
      <c r="AH463" s="109"/>
      <c r="AI463" s="109"/>
      <c r="AJ463" s="109"/>
      <c r="AK463" s="109"/>
      <c r="AL463" s="109"/>
      <c r="AN463" s="109"/>
      <c r="AO463" s="109"/>
      <c r="AP463" s="109"/>
      <c r="AQ463" s="109"/>
      <c r="AS463" s="109"/>
      <c r="AT463" s="109"/>
      <c r="AU463" s="109"/>
      <c r="AV463" s="109"/>
      <c r="AX463" s="109"/>
      <c r="AY463" s="109"/>
      <c r="AZ463" s="109"/>
      <c r="BA463" s="109"/>
    </row>
    <row r="464" spans="1:54" x14ac:dyDescent="0.35">
      <c r="A464" s="126" t="s">
        <v>890</v>
      </c>
      <c r="B464" s="126">
        <f>F35</f>
        <v>-988.20816050547046</v>
      </c>
      <c r="C464" s="126">
        <f>F23</f>
        <v>-985.78211035370691</v>
      </c>
      <c r="D464" s="126">
        <f>F47</f>
        <v>-983.35606020194314</v>
      </c>
      <c r="F464" s="126" t="s">
        <v>890</v>
      </c>
      <c r="G464" s="289">
        <f>F72</f>
        <v>-985.21485215582743</v>
      </c>
      <c r="H464" s="126">
        <f>F60</f>
        <v>-985.78211035370691</v>
      </c>
      <c r="I464" s="126">
        <f>F84</f>
        <v>-986.91662674946542</v>
      </c>
      <c r="K464" s="126" t="s">
        <v>890</v>
      </c>
      <c r="L464" s="277">
        <f>F145</f>
        <v>-982.22763794213347</v>
      </c>
      <c r="M464" s="277">
        <f>F121</f>
        <v>-985.7821103537068</v>
      </c>
      <c r="O464" s="126" t="s">
        <v>890</v>
      </c>
      <c r="P464" s="126">
        <f>F219</f>
        <v>-980.42662145472275</v>
      </c>
      <c r="Q464" s="126">
        <f>F207</f>
        <v>-985.78211035370691</v>
      </c>
      <c r="R464" s="126">
        <f>F231</f>
        <v>-987.11118565881884</v>
      </c>
      <c r="T464" s="289" t="s">
        <v>890</v>
      </c>
      <c r="U464" s="126">
        <f>F182</f>
        <v>-971.5642207074136</v>
      </c>
      <c r="V464" s="126">
        <f>F170</f>
        <v>-985.7821103537068</v>
      </c>
      <c r="W464" s="126">
        <f>F194</f>
        <v>-990.5214069024712</v>
      </c>
      <c r="Y464" s="126" t="s">
        <v>890</v>
      </c>
      <c r="Z464" s="126"/>
      <c r="AA464" s="126"/>
      <c r="AB464" s="109"/>
      <c r="AD464" s="126" t="s">
        <v>890</v>
      </c>
      <c r="AE464" s="126">
        <f>F244</f>
        <v>-985.7821103537068</v>
      </c>
      <c r="AF464" s="126">
        <f>F256</f>
        <v>-983.05883955752324</v>
      </c>
      <c r="AH464" s="109"/>
      <c r="AI464" s="109"/>
      <c r="AJ464" s="109"/>
      <c r="AK464" s="109"/>
      <c r="AL464" s="109"/>
      <c r="AN464" s="109"/>
      <c r="AO464" s="109"/>
      <c r="AP464" s="109"/>
      <c r="AQ464" s="109"/>
      <c r="AS464" s="109"/>
      <c r="AT464" s="109"/>
      <c r="AU464" s="109"/>
      <c r="AV464" s="109"/>
      <c r="AX464" s="109"/>
      <c r="AY464" s="109"/>
      <c r="AZ464" s="109"/>
      <c r="BA464" s="109"/>
    </row>
    <row r="465" spans="1:53" x14ac:dyDescent="0.35">
      <c r="A465" s="126" t="s">
        <v>892</v>
      </c>
      <c r="B465" s="126">
        <f>G35</f>
        <v>-494.53969601292067</v>
      </c>
      <c r="C465" s="126">
        <f>G23</f>
        <v>-491.21633397701771</v>
      </c>
      <c r="D465" s="126">
        <f>G47</f>
        <v>-487.89297194111498</v>
      </c>
      <c r="F465" s="126" t="s">
        <v>892</v>
      </c>
      <c r="G465" s="289">
        <f>G72</f>
        <v>-639.04423489265776</v>
      </c>
      <c r="H465" s="126">
        <f>G60</f>
        <v>-491.21633397701771</v>
      </c>
      <c r="I465" s="126">
        <f>G84</f>
        <v>-195.56053214573797</v>
      </c>
      <c r="K465" s="126" t="s">
        <v>892</v>
      </c>
      <c r="L465" s="277">
        <f>G145</f>
        <v>-364.02041747127225</v>
      </c>
      <c r="M465" s="277">
        <f>G121</f>
        <v>-491.21633397701783</v>
      </c>
      <c r="O465" s="126" t="s">
        <v>892</v>
      </c>
      <c r="P465" s="126">
        <f>G219</f>
        <v>-483.73747173626896</v>
      </c>
      <c r="Q465" s="126">
        <f>G207</f>
        <v>-491.21633397701771</v>
      </c>
      <c r="R465" s="126">
        <f>G231</f>
        <v>-493.0709903838075</v>
      </c>
      <c r="T465" s="289" t="s">
        <v>892</v>
      </c>
      <c r="U465" s="126">
        <f>G182</f>
        <v>17.567332045964349</v>
      </c>
      <c r="V465" s="126">
        <f>G170</f>
        <v>-491.21633397701783</v>
      </c>
      <c r="W465" s="126">
        <f>G194</f>
        <v>-660.81088931801196</v>
      </c>
      <c r="Y465" s="126" t="s">
        <v>892</v>
      </c>
      <c r="Z465" s="126">
        <f>G269</f>
        <v>-491.21633397701783</v>
      </c>
      <c r="AA465" s="126">
        <f>G281</f>
        <v>-554.95665296449806</v>
      </c>
      <c r="AB465" s="126">
        <f>G293</f>
        <v>-608.07358545406498</v>
      </c>
      <c r="AD465" s="126" t="s">
        <v>892</v>
      </c>
      <c r="AE465" s="126">
        <f>G244</f>
        <v>-491.21633397701783</v>
      </c>
      <c r="AF465" s="126">
        <f>G256</f>
        <v>-486.35698813686997</v>
      </c>
      <c r="AH465" s="109"/>
      <c r="AI465" s="109"/>
      <c r="AJ465" s="109"/>
      <c r="AK465" s="109"/>
      <c r="AL465" s="109"/>
      <c r="AN465" s="109"/>
      <c r="AO465" s="109"/>
      <c r="AP465" s="109"/>
      <c r="AQ465" s="109"/>
      <c r="AS465" s="109"/>
      <c r="AT465" s="109"/>
      <c r="AU465" s="109"/>
      <c r="AV465" s="109"/>
      <c r="AX465" s="109"/>
      <c r="AY465" s="109"/>
      <c r="AZ465" s="109"/>
      <c r="BA465" s="109"/>
    </row>
    <row r="466" spans="1:53" x14ac:dyDescent="0.35">
      <c r="A466" s="126" t="s">
        <v>893</v>
      </c>
      <c r="B466" s="126">
        <f>H35</f>
        <v>-877.03481575394017</v>
      </c>
      <c r="C466" s="126">
        <f>H23</f>
        <v>-873.95541555515172</v>
      </c>
      <c r="D466" s="126">
        <f>H47</f>
        <v>-870.87601535636327</v>
      </c>
      <c r="F466" s="126" t="s">
        <v>893</v>
      </c>
      <c r="G466" s="289">
        <f>H72</f>
        <v>-906.21292434181373</v>
      </c>
      <c r="H466" s="126">
        <f>H60</f>
        <v>-873.95541555515172</v>
      </c>
      <c r="I466" s="126">
        <f>H84</f>
        <v>-809.4403979818278</v>
      </c>
      <c r="K466" s="126" t="s">
        <v>893</v>
      </c>
      <c r="L466" s="277">
        <f>H145</f>
        <v>-842.44426944393967</v>
      </c>
      <c r="M466" s="277">
        <f>H121</f>
        <v>-873.95541555515172</v>
      </c>
      <c r="O466" s="126" t="s">
        <v>893</v>
      </c>
      <c r="P466" s="126">
        <f>H219</f>
        <v>-867.68896086656366</v>
      </c>
      <c r="Q466" s="126">
        <f>H207</f>
        <v>-873.95541555515172</v>
      </c>
      <c r="R466" s="126">
        <f>H231</f>
        <v>-875.47632349847493</v>
      </c>
      <c r="T466" s="289" t="s">
        <v>893</v>
      </c>
      <c r="U466" s="126">
        <f>H182</f>
        <v>-747.91083111030343</v>
      </c>
      <c r="V466" s="126">
        <f>H170</f>
        <v>-873.95541555515172</v>
      </c>
      <c r="W466" s="126">
        <f>H194</f>
        <v>-915.97027703676781</v>
      </c>
      <c r="Y466" s="126" t="s">
        <v>893</v>
      </c>
      <c r="Z466" s="126">
        <f>H269</f>
        <v>-873.95541555515172</v>
      </c>
      <c r="AA466" s="126">
        <f>H281</f>
        <v>-885.21506495892015</v>
      </c>
      <c r="AB466" s="126">
        <f>H293</f>
        <v>-894.59810612872718</v>
      </c>
      <c r="AD466" s="126" t="s">
        <v>893</v>
      </c>
      <c r="AE466" s="126">
        <f>H244</f>
        <v>-873.95541555515172</v>
      </c>
      <c r="AF466" s="126">
        <f>H256</f>
        <v>-870.32301008072272</v>
      </c>
      <c r="AH466" s="109"/>
      <c r="AI466" s="109"/>
      <c r="AJ466" s="109"/>
      <c r="AK466" s="109"/>
      <c r="AL466" s="109"/>
      <c r="AN466" s="109"/>
      <c r="AO466" s="109"/>
      <c r="AP466" s="109"/>
      <c r="AQ466" s="109"/>
      <c r="AS466" s="109"/>
      <c r="AT466" s="109"/>
      <c r="AU466" s="109"/>
      <c r="AV466" s="109"/>
      <c r="AX466" s="109"/>
      <c r="AY466" s="109"/>
      <c r="AZ466" s="109"/>
      <c r="BA466" s="109"/>
    </row>
    <row r="467" spans="1:53" s="37" customFormat="1" x14ac:dyDescent="0.35">
      <c r="A467" s="126" t="s">
        <v>894</v>
      </c>
      <c r="B467" s="292">
        <f>I35</f>
        <v>-986.24676533464981</v>
      </c>
      <c r="C467" s="292">
        <f>I23</f>
        <v>-983.82071518288637</v>
      </c>
      <c r="D467" s="292">
        <f>I47</f>
        <v>-981.39466503112249</v>
      </c>
      <c r="F467" s="292" t="s">
        <v>894</v>
      </c>
      <c r="G467" s="293">
        <f>I72</f>
        <v>-983.90725537528033</v>
      </c>
      <c r="H467" s="293">
        <f>I60</f>
        <v>-983.82071518288637</v>
      </c>
      <c r="I467" s="293">
        <f>I84</f>
        <v>-983.64763479809778</v>
      </c>
      <c r="K467" s="292" t="s">
        <v>894</v>
      </c>
      <c r="L467" s="294">
        <f>I145</f>
        <v>-979.77589397860766</v>
      </c>
      <c r="M467" s="294">
        <f>I121</f>
        <v>-983.82071518288615</v>
      </c>
      <c r="O467" s="292" t="s">
        <v>894</v>
      </c>
      <c r="P467" s="292">
        <f>I219</f>
        <v>-978.4652262839021</v>
      </c>
      <c r="Q467" s="292">
        <f>I207</f>
        <v>-983.82071518288637</v>
      </c>
      <c r="R467" s="292">
        <f>I231</f>
        <v>-985.1497904879983</v>
      </c>
      <c r="T467" s="293" t="s">
        <v>894</v>
      </c>
      <c r="U467" s="292">
        <f>I182</f>
        <v>-967.64143036577229</v>
      </c>
      <c r="V467" s="292">
        <f>I170</f>
        <v>-983.82071518288615</v>
      </c>
      <c r="W467" s="292">
        <f>I194</f>
        <v>-989.2138101219241</v>
      </c>
      <c r="Y467" s="292" t="s">
        <v>894</v>
      </c>
      <c r="Z467" s="292">
        <f>I269</f>
        <v>-983.82071518288615</v>
      </c>
      <c r="AA467" s="292">
        <f>I281</f>
        <v>-980.92379966491671</v>
      </c>
      <c r="AB467" s="292">
        <f>I293</f>
        <v>-978.50970339994217</v>
      </c>
      <c r="AD467" s="292" t="s">
        <v>894</v>
      </c>
      <c r="AE467" s="292">
        <f>I244</f>
        <v>-983.82071518288615</v>
      </c>
      <c r="AF467" s="292">
        <f>I256</f>
        <v>-981.0974443867027</v>
      </c>
      <c r="AH467" s="295"/>
      <c r="AI467" s="295"/>
      <c r="AJ467" s="295"/>
      <c r="AK467" s="295"/>
      <c r="AL467" s="295"/>
      <c r="AN467" s="295"/>
      <c r="AO467" s="295"/>
      <c r="AP467" s="295"/>
      <c r="AQ467" s="295"/>
      <c r="AS467" s="295"/>
      <c r="AT467" s="295"/>
      <c r="AU467" s="295"/>
      <c r="AV467" s="295"/>
      <c r="AX467" s="295"/>
      <c r="AY467" s="295"/>
      <c r="AZ467" s="295"/>
      <c r="BA467" s="295"/>
    </row>
    <row r="468" spans="1:53" s="37" customFormat="1" x14ac:dyDescent="0.35">
      <c r="A468" s="292" t="s">
        <v>896</v>
      </c>
      <c r="B468" s="292">
        <f>J35</f>
        <v>-762.82990460791359</v>
      </c>
      <c r="C468" s="292">
        <f>J23</f>
        <v>-757.05881147837772</v>
      </c>
      <c r="D468" s="292">
        <f>J47</f>
        <v>-751.28771834884174</v>
      </c>
      <c r="F468" s="292" t="s">
        <v>896</v>
      </c>
      <c r="G468" s="292">
        <f>J72</f>
        <v>-780.68627324427416</v>
      </c>
      <c r="H468" s="292">
        <f>J60</f>
        <v>-757.05881147837772</v>
      </c>
      <c r="I468" s="292">
        <f>J84</f>
        <v>-709.80388794658461</v>
      </c>
      <c r="K468" s="292" t="s">
        <v>896</v>
      </c>
      <c r="L468" s="294">
        <f>J145</f>
        <v>-696.32351434797215</v>
      </c>
      <c r="M468" s="294">
        <f>J121</f>
        <v>-757.05881147837772</v>
      </c>
      <c r="O468" s="292" t="s">
        <v>896</v>
      </c>
      <c r="P468" s="292">
        <f>J219</f>
        <v>-753.78134778470417</v>
      </c>
      <c r="Q468" s="292">
        <f>J207</f>
        <v>-757.05881147837772</v>
      </c>
      <c r="R468" s="292">
        <f>J231</f>
        <v>-763.11486643224271</v>
      </c>
      <c r="T468" s="293" t="s">
        <v>896</v>
      </c>
      <c r="U468" s="292">
        <f>J182</f>
        <v>-514.11762295675533</v>
      </c>
      <c r="V468" s="292">
        <f>J170</f>
        <v>-757.05881147837772</v>
      </c>
      <c r="W468" s="292">
        <f>J194</f>
        <v>-838.03920765225178</v>
      </c>
      <c r="Y468" s="292" t="s">
        <v>896</v>
      </c>
      <c r="Z468" s="292"/>
      <c r="AA468" s="292"/>
      <c r="AB468" s="295"/>
      <c r="AD468" s="292" t="s">
        <v>896</v>
      </c>
      <c r="AE468" s="292">
        <f>J244</f>
        <v>-757.05881147837772</v>
      </c>
      <c r="AF468" s="292">
        <f>J256</f>
        <v>-747.34011979808201</v>
      </c>
      <c r="AH468" s="295" t="s">
        <v>896</v>
      </c>
      <c r="AI468" s="277">
        <f>J318</f>
        <v>-792.50000412722238</v>
      </c>
      <c r="AJ468" s="277">
        <f>J330</f>
        <v>-780.68627324427439</v>
      </c>
      <c r="AK468" s="277">
        <f>J306</f>
        <v>-757.05881147837772</v>
      </c>
      <c r="AL468" s="277">
        <f>J342</f>
        <v>-686.17642618068794</v>
      </c>
      <c r="AN468" s="295" t="s">
        <v>896</v>
      </c>
      <c r="AO468" s="1">
        <f>J367</f>
        <v>-820.65091261645398</v>
      </c>
      <c r="AP468" s="1">
        <f>J355</f>
        <v>-757.05881147837772</v>
      </c>
      <c r="AQ468" s="191">
        <f>J379</f>
        <v>-519.27836017165407</v>
      </c>
      <c r="AS468" s="295" t="s">
        <v>896</v>
      </c>
      <c r="AT468" s="1">
        <f>J404</f>
        <v>-757.05881147837772</v>
      </c>
      <c r="AU468" s="1">
        <f>J392</f>
        <v>-757.05881147837772</v>
      </c>
      <c r="AV468" s="191">
        <f>J416</f>
        <v>-757.05881147837772</v>
      </c>
      <c r="AX468" s="126" t="s">
        <v>896</v>
      </c>
      <c r="AY468" s="277">
        <f>J441</f>
        <v>-757.05881147837772</v>
      </c>
      <c r="AZ468" s="277">
        <f>J429</f>
        <v>-757.05881147837772</v>
      </c>
      <c r="BA468" s="278">
        <f>J453</f>
        <v>-757.05881147837772</v>
      </c>
    </row>
    <row r="469" spans="1:53" s="37" customFormat="1" x14ac:dyDescent="0.35">
      <c r="A469" s="292" t="s">
        <v>897</v>
      </c>
      <c r="B469" s="292">
        <f>K35</f>
        <v>-828.69382856301763</v>
      </c>
      <c r="C469" s="292">
        <f>K23</f>
        <v>-823.39328085256852</v>
      </c>
      <c r="D469" s="292">
        <f>K47</f>
        <v>-818.09273314211964</v>
      </c>
      <c r="F469" s="292" t="s">
        <v>897</v>
      </c>
      <c r="G469" s="292">
        <f>K72</f>
        <v>-840.19615207555853</v>
      </c>
      <c r="H469" s="292">
        <f>K60</f>
        <v>-823.39328085256852</v>
      </c>
      <c r="I469" s="293">
        <f>K84</f>
        <v>-789.78753840658885</v>
      </c>
      <c r="K469" s="292" t="s">
        <v>897</v>
      </c>
      <c r="L469" s="294">
        <f>K145</f>
        <v>-779.24160106571082</v>
      </c>
      <c r="M469" s="294">
        <f>K121</f>
        <v>-823.39328085256864</v>
      </c>
      <c r="O469" s="292" t="s">
        <v>897</v>
      </c>
      <c r="P469" s="292">
        <f>K219</f>
        <v>-820.65702143078806</v>
      </c>
      <c r="Q469" s="292">
        <f>K207</f>
        <v>-823.39328085256852</v>
      </c>
      <c r="R469" s="292">
        <f>K231</f>
        <v>-828.44438406269933</v>
      </c>
      <c r="T469" s="293" t="s">
        <v>897</v>
      </c>
      <c r="U469" s="292">
        <f>K182</f>
        <v>-646.78656170513727</v>
      </c>
      <c r="V469" s="292">
        <f>K170</f>
        <v>-823.39328085256864</v>
      </c>
      <c r="W469" s="292">
        <f>K194</f>
        <v>-882.26218723504576</v>
      </c>
      <c r="Y469" s="292" t="s">
        <v>897</v>
      </c>
      <c r="Z469" s="292"/>
      <c r="AA469" s="292"/>
      <c r="AB469" s="295"/>
      <c r="AD469" s="292" t="s">
        <v>897</v>
      </c>
      <c r="AE469" s="292">
        <f>K244</f>
        <v>-823.39328085256864</v>
      </c>
      <c r="AF469" s="292">
        <f>K256</f>
        <v>-816.12846990371054</v>
      </c>
      <c r="AH469" s="295" t="s">
        <v>897</v>
      </c>
      <c r="AI469" s="277">
        <f>K318</f>
        <v>-848.59758768705365</v>
      </c>
      <c r="AJ469" s="277">
        <f>K330</f>
        <v>-840.19615207555853</v>
      </c>
      <c r="AK469" s="277">
        <f>K306</f>
        <v>-823.39328085256852</v>
      </c>
      <c r="AL469" s="277">
        <f>K342</f>
        <v>-772.98466718359907</v>
      </c>
      <c r="AN469" s="295" t="s">
        <v>897</v>
      </c>
      <c r="AO469" s="1">
        <f>K367</f>
        <v>-881.23538222585466</v>
      </c>
      <c r="AP469" s="1">
        <f>K355</f>
        <v>-823.39328085256852</v>
      </c>
      <c r="AQ469" s="191">
        <f>K379</f>
        <v>-607.5268135717489</v>
      </c>
      <c r="AS469" s="295" t="s">
        <v>897</v>
      </c>
      <c r="AT469" s="1">
        <f>K404</f>
        <v>-823.39328085256852</v>
      </c>
      <c r="AU469" s="1">
        <f>K392</f>
        <v>-823.39328085256852</v>
      </c>
      <c r="AV469" s="191">
        <f>K416</f>
        <v>-823.39328085256852</v>
      </c>
      <c r="AX469" s="126" t="s">
        <v>897</v>
      </c>
      <c r="AY469" s="277">
        <f>K441</f>
        <v>-823.39328085256852</v>
      </c>
      <c r="AZ469" s="277">
        <f>K429</f>
        <v>-823.39328085256852</v>
      </c>
      <c r="BA469" s="278">
        <f>K453</f>
        <v>-823.39328085256852</v>
      </c>
    </row>
    <row r="470" spans="1:53" s="37" customFormat="1" x14ac:dyDescent="0.35">
      <c r="A470" s="292" t="s">
        <v>895</v>
      </c>
      <c r="B470" s="292">
        <f>L35</f>
        <v>-883.34394490341003</v>
      </c>
      <c r="C470" s="292">
        <f>L23</f>
        <v>-879.31338914441756</v>
      </c>
      <c r="D470" s="292">
        <f>L47</f>
        <v>-875.28283338542519</v>
      </c>
      <c r="F470" s="292" t="s">
        <v>895</v>
      </c>
      <c r="G470" s="292">
        <f>L72</f>
        <v>-892.22787038973252</v>
      </c>
      <c r="H470" s="292">
        <f>L60</f>
        <v>-879.31338914441756</v>
      </c>
      <c r="I470" s="293">
        <f>L84</f>
        <v>-853.48442665378775</v>
      </c>
      <c r="K470" s="292" t="s">
        <v>895</v>
      </c>
      <c r="L470" s="294">
        <f>L145</f>
        <v>-849.14173643052209</v>
      </c>
      <c r="M470" s="294">
        <f>L121</f>
        <v>-879.31338914441767</v>
      </c>
      <c r="O470" s="292" t="s">
        <v>895</v>
      </c>
      <c r="P470" s="292">
        <f>L219</f>
        <v>-876.99045025124258</v>
      </c>
      <c r="Q470" s="292">
        <f>L207</f>
        <v>-879.31338914441756</v>
      </c>
      <c r="R470" s="292">
        <f>L231</f>
        <v>-883.67501445533867</v>
      </c>
      <c r="T470" s="293" t="s">
        <v>895</v>
      </c>
      <c r="U470" s="292">
        <f>L182</f>
        <v>-758.62677828883534</v>
      </c>
      <c r="V470" s="292">
        <f>L170</f>
        <v>-879.31338914441767</v>
      </c>
      <c r="W470" s="292">
        <f>L194</f>
        <v>-919.5422594296117</v>
      </c>
      <c r="Y470" s="292" t="s">
        <v>895</v>
      </c>
      <c r="Z470" s="292"/>
      <c r="AA470" s="292"/>
      <c r="AB470" s="295"/>
      <c r="AD470" s="292" t="s">
        <v>895</v>
      </c>
      <c r="AE470" s="292">
        <f>L244</f>
        <v>-879.31338914441767</v>
      </c>
      <c r="AF470" s="292">
        <f>L256</f>
        <v>-873.86684755205056</v>
      </c>
      <c r="AH470" s="295" t="s">
        <v>895</v>
      </c>
      <c r="AI470" s="277">
        <f>L318</f>
        <v>-898.68511101239028</v>
      </c>
      <c r="AJ470" s="277">
        <f>L330</f>
        <v>-892.22787038973252</v>
      </c>
      <c r="AK470" s="277">
        <f>L306</f>
        <v>-879.31338914441756</v>
      </c>
      <c r="AL470" s="277">
        <f>L342</f>
        <v>-840.5699454084729</v>
      </c>
      <c r="AN470" s="295" t="s">
        <v>895</v>
      </c>
      <c r="AO470" s="1">
        <f>L367</f>
        <v>-917.43986177244938</v>
      </c>
      <c r="AP470" s="1">
        <f>L355</f>
        <v>-879.31338914441756</v>
      </c>
      <c r="AQ470" s="191">
        <f>L379</f>
        <v>-739.20688263342686</v>
      </c>
      <c r="AS470" s="295" t="s">
        <v>895</v>
      </c>
      <c r="AT470" s="1">
        <f>L404</f>
        <v>-879.31338914441756</v>
      </c>
      <c r="AU470" s="1">
        <f>L392</f>
        <v>-879.31338914441756</v>
      </c>
      <c r="AV470" s="191">
        <f>L416</f>
        <v>-879.31338914441756</v>
      </c>
      <c r="AX470" s="126" t="s">
        <v>895</v>
      </c>
      <c r="AY470" s="277">
        <f>L441</f>
        <v>-879.31338914441756</v>
      </c>
      <c r="AZ470" s="277">
        <f>L429</f>
        <v>-879.31338914441756</v>
      </c>
      <c r="BA470" s="278">
        <f>L453</f>
        <v>-879.31338914441756</v>
      </c>
    </row>
    <row r="474" spans="1:53" ht="15.5" x14ac:dyDescent="0.35">
      <c r="A474" s="51"/>
      <c r="B474" s="4"/>
      <c r="C474" s="4"/>
      <c r="D474" s="4"/>
      <c r="E474" s="4"/>
      <c r="F474" s="4"/>
      <c r="G474" s="4"/>
      <c r="H474" s="4"/>
      <c r="I474" s="4"/>
      <c r="J474" s="4"/>
      <c r="K474" s="4"/>
      <c r="L474" s="4"/>
      <c r="M474" s="4"/>
      <c r="N474" s="4"/>
      <c r="O474" s="4"/>
      <c r="P474" s="4"/>
      <c r="Q474" s="4"/>
      <c r="R474" s="4"/>
      <c r="S474" s="4"/>
      <c r="U474" s="4"/>
      <c r="V474" s="4"/>
      <c r="W474" s="4"/>
      <c r="X474" s="4"/>
      <c r="Y474" s="4"/>
      <c r="Z474" s="4"/>
      <c r="AA474" s="4"/>
      <c r="AB474" s="4"/>
      <c r="AC474" s="4"/>
      <c r="AD474" s="4"/>
      <c r="AE474" s="4"/>
    </row>
    <row r="476" spans="1:53" x14ac:dyDescent="0.35">
      <c r="T476" s="282"/>
    </row>
    <row r="477" spans="1:53" x14ac:dyDescent="0.35">
      <c r="A477" s="126" t="s">
        <v>889</v>
      </c>
      <c r="M477" s="126" t="s">
        <v>891</v>
      </c>
      <c r="Q477" s="33"/>
      <c r="T477" s="282"/>
      <c r="Y477" s="126" t="s">
        <v>890</v>
      </c>
      <c r="AN477" s="33"/>
    </row>
    <row r="478" spans="1:53" x14ac:dyDescent="0.35">
      <c r="A478" s="109"/>
      <c r="B478" s="142">
        <v>0</v>
      </c>
      <c r="C478" s="142">
        <v>0.33</v>
      </c>
      <c r="D478" s="142">
        <v>0.5</v>
      </c>
      <c r="E478" s="142">
        <v>0.67</v>
      </c>
      <c r="F478" s="142">
        <v>0.8</v>
      </c>
      <c r="G478" s="142">
        <v>1</v>
      </c>
      <c r="H478" s="142">
        <v>1.2</v>
      </c>
      <c r="I478" s="142">
        <v>1.5</v>
      </c>
      <c r="J478" s="142">
        <v>1.67</v>
      </c>
      <c r="K478" s="142">
        <v>2</v>
      </c>
      <c r="M478" s="109"/>
      <c r="N478" s="142">
        <v>0</v>
      </c>
      <c r="O478" s="142">
        <v>0.33</v>
      </c>
      <c r="P478" s="142">
        <v>0.5</v>
      </c>
      <c r="Q478" s="288">
        <v>0.67</v>
      </c>
      <c r="R478" s="142">
        <v>0.8</v>
      </c>
      <c r="S478" s="142">
        <v>1</v>
      </c>
      <c r="T478" s="142">
        <v>1.2</v>
      </c>
      <c r="U478" s="142">
        <v>1.5</v>
      </c>
      <c r="V478" s="142">
        <v>1.67</v>
      </c>
      <c r="W478" s="142">
        <v>2</v>
      </c>
      <c r="Y478" s="109"/>
      <c r="Z478" s="142">
        <v>0</v>
      </c>
      <c r="AA478" s="142">
        <v>0.33</v>
      </c>
      <c r="AB478" s="142">
        <v>0.5</v>
      </c>
      <c r="AC478" s="142">
        <v>0.67</v>
      </c>
      <c r="AD478" s="142">
        <v>0.8</v>
      </c>
      <c r="AE478" s="142">
        <v>1</v>
      </c>
      <c r="AF478" s="142">
        <v>1.2</v>
      </c>
      <c r="AG478" s="142">
        <v>1.5</v>
      </c>
      <c r="AH478" s="142">
        <v>1.67</v>
      </c>
      <c r="AI478" s="142"/>
      <c r="AN478" s="34"/>
    </row>
    <row r="479" spans="1:53" x14ac:dyDescent="0.35">
      <c r="A479" s="109" t="s">
        <v>150</v>
      </c>
      <c r="B479" s="277"/>
      <c r="C479" s="277"/>
      <c r="D479" s="277"/>
      <c r="E479" s="277"/>
      <c r="F479" s="277">
        <f>B462</f>
        <v>-362.95728807912394</v>
      </c>
      <c r="G479" s="277">
        <f>C462</f>
        <v>-359.63392604322115</v>
      </c>
      <c r="H479" s="277">
        <f>D462</f>
        <v>-356.31056400731836</v>
      </c>
      <c r="I479" s="277"/>
      <c r="J479" s="277"/>
      <c r="K479" s="109"/>
      <c r="M479" s="109" t="s">
        <v>150</v>
      </c>
      <c r="N479" s="109"/>
      <c r="O479" s="126"/>
      <c r="P479" s="126"/>
      <c r="Q479" s="289"/>
      <c r="R479" s="126">
        <f>B463</f>
        <v>-850.52445124657231</v>
      </c>
      <c r="S479" s="126">
        <f>C463</f>
        <v>-847.44505104778398</v>
      </c>
      <c r="T479" s="126">
        <f>D463</f>
        <v>-844.36565084899553</v>
      </c>
      <c r="U479" s="126"/>
      <c r="V479" s="126"/>
      <c r="W479" s="126"/>
      <c r="Y479" s="109" t="s">
        <v>150</v>
      </c>
      <c r="Z479" s="109"/>
      <c r="AA479" s="126"/>
      <c r="AB479" s="126"/>
      <c r="AC479" s="126"/>
      <c r="AD479" s="126">
        <f>B464</f>
        <v>-988.20816050547046</v>
      </c>
      <c r="AE479" s="126">
        <f>C464</f>
        <v>-985.78211035370691</v>
      </c>
      <c r="AF479" s="126">
        <f>D464</f>
        <v>-983.35606020194314</v>
      </c>
      <c r="AG479" s="126"/>
      <c r="AH479" s="126"/>
      <c r="AI479" s="126"/>
      <c r="AN479" s="33"/>
    </row>
    <row r="480" spans="1:53" x14ac:dyDescent="0.35">
      <c r="A480" s="109" t="s">
        <v>151</v>
      </c>
      <c r="B480" s="277"/>
      <c r="C480" s="277"/>
      <c r="D480" s="277"/>
      <c r="E480" s="277">
        <f>G462</f>
        <v>-551.32262960345997</v>
      </c>
      <c r="F480" s="277"/>
      <c r="G480" s="277">
        <f>H462</f>
        <v>-359.63392604322115</v>
      </c>
      <c r="H480" s="277"/>
      <c r="I480" s="277"/>
      <c r="J480" s="277">
        <f>I462</f>
        <v>23.743481077256433</v>
      </c>
      <c r="K480" s="109"/>
      <c r="M480" s="109" t="s">
        <v>151</v>
      </c>
      <c r="N480" s="109"/>
      <c r="O480" s="126"/>
      <c r="P480" s="126"/>
      <c r="Q480" s="289">
        <f>G463</f>
        <v>-888.53934800356853</v>
      </c>
      <c r="R480" s="126"/>
      <c r="S480" s="126">
        <f>H463</f>
        <v>-847.44505104778398</v>
      </c>
      <c r="T480" s="126"/>
      <c r="U480" s="126"/>
      <c r="V480" s="126">
        <f>I463</f>
        <v>-765.25645713621475</v>
      </c>
      <c r="W480" s="126"/>
      <c r="Y480" s="109" t="s">
        <v>151</v>
      </c>
      <c r="Z480" s="109"/>
      <c r="AA480" s="126"/>
      <c r="AB480" s="126"/>
      <c r="AC480" s="126">
        <f>G464</f>
        <v>-985.21485215582743</v>
      </c>
      <c r="AD480" s="126"/>
      <c r="AE480" s="126">
        <f>H464</f>
        <v>-985.78211035370691</v>
      </c>
      <c r="AF480" s="126"/>
      <c r="AG480" s="126"/>
      <c r="AH480" s="126">
        <f>I464</f>
        <v>-986.91662674946542</v>
      </c>
      <c r="AI480" s="126"/>
      <c r="AN480" s="35"/>
    </row>
    <row r="481" spans="1:40" x14ac:dyDescent="0.35">
      <c r="A481" s="109" t="s">
        <v>511</v>
      </c>
      <c r="B481" s="277"/>
      <c r="C481" s="277"/>
      <c r="D481" s="277"/>
      <c r="E481" s="277"/>
      <c r="F481" s="277">
        <f>L462</f>
        <v>-199.54240755402645</v>
      </c>
      <c r="G481" s="277">
        <f>M462</f>
        <v>-359.63392604322109</v>
      </c>
      <c r="H481" s="277"/>
      <c r="I481" s="277"/>
      <c r="J481" s="277"/>
      <c r="K481" s="109"/>
      <c r="M481" s="109" t="s">
        <v>511</v>
      </c>
      <c r="N481" s="109"/>
      <c r="O481" s="126"/>
      <c r="P481" s="126"/>
      <c r="Q481" s="289"/>
      <c r="R481" s="126">
        <f>L463</f>
        <v>-809.30631380972989</v>
      </c>
      <c r="S481" s="126">
        <f>M463</f>
        <v>-847.44505104778386</v>
      </c>
      <c r="T481" s="126"/>
      <c r="U481" s="126"/>
      <c r="V481" s="126"/>
      <c r="W481" s="126"/>
      <c r="Y481" s="109" t="s">
        <v>511</v>
      </c>
      <c r="Z481" s="109"/>
      <c r="AA481" s="126"/>
      <c r="AB481" s="126"/>
      <c r="AC481" s="126"/>
      <c r="AD481" s="126">
        <f>L464</f>
        <v>-982.22763794213347</v>
      </c>
      <c r="AE481" s="126">
        <f>M464</f>
        <v>-985.7821103537068</v>
      </c>
      <c r="AF481" s="126"/>
      <c r="AG481" s="126"/>
      <c r="AH481" s="126"/>
      <c r="AI481" s="126"/>
      <c r="AN481" s="33"/>
    </row>
    <row r="482" spans="1:40" x14ac:dyDescent="0.35">
      <c r="A482" s="109" t="s">
        <v>461</v>
      </c>
      <c r="B482" s="277"/>
      <c r="C482" s="277">
        <f>P462</f>
        <v>-352.15506380247223</v>
      </c>
      <c r="D482" s="277"/>
      <c r="E482" s="277"/>
      <c r="F482" s="277"/>
      <c r="G482" s="277">
        <f>Q462</f>
        <v>-359.63392604322115</v>
      </c>
      <c r="H482" s="277"/>
      <c r="I482" s="277"/>
      <c r="J482" s="277">
        <f>R462</f>
        <v>-361.48858245001088</v>
      </c>
      <c r="K482" s="109"/>
      <c r="M482" s="109" t="s">
        <v>461</v>
      </c>
      <c r="N482" s="109"/>
      <c r="O482" s="126">
        <f>P463</f>
        <v>-841.17859635919581</v>
      </c>
      <c r="P482" s="126"/>
      <c r="Q482" s="289"/>
      <c r="R482" s="126"/>
      <c r="S482" s="126">
        <f>V463</f>
        <v>-847.44505104778386</v>
      </c>
      <c r="T482" s="126"/>
      <c r="U482" s="126"/>
      <c r="V482" s="126">
        <f>R463</f>
        <v>-848.96595899110707</v>
      </c>
      <c r="W482" s="126"/>
      <c r="Y482" s="109" t="s">
        <v>461</v>
      </c>
      <c r="Z482" s="109"/>
      <c r="AA482" s="126">
        <f>P464</f>
        <v>-980.42662145472275</v>
      </c>
      <c r="AB482" s="126"/>
      <c r="AC482" s="126"/>
      <c r="AD482" s="126"/>
      <c r="AE482" s="126">
        <f>Q464</f>
        <v>-985.78211035370691</v>
      </c>
      <c r="AF482" s="126"/>
      <c r="AG482" s="126"/>
      <c r="AH482" s="126">
        <f>R464</f>
        <v>-987.11118565881884</v>
      </c>
      <c r="AI482" s="126"/>
      <c r="AN482" s="33"/>
    </row>
    <row r="483" spans="1:40" x14ac:dyDescent="0.35">
      <c r="A483" s="109" t="s">
        <v>163</v>
      </c>
      <c r="B483" s="277"/>
      <c r="C483" s="277"/>
      <c r="D483" s="277">
        <f>U462</f>
        <v>280.73214791355781</v>
      </c>
      <c r="E483" s="277"/>
      <c r="F483" s="277"/>
      <c r="G483" s="277">
        <f>V462</f>
        <v>-359.63392604322109</v>
      </c>
      <c r="H483" s="277"/>
      <c r="I483" s="277">
        <f>W462</f>
        <v>-573.08928402881406</v>
      </c>
      <c r="J483" s="277"/>
      <c r="K483" s="109"/>
      <c r="M483" s="109" t="s">
        <v>163</v>
      </c>
      <c r="N483" s="109"/>
      <c r="O483" s="126"/>
      <c r="P483" s="126">
        <f>U463</f>
        <v>-694.89010209556773</v>
      </c>
      <c r="Q483" s="289"/>
      <c r="R483" s="126"/>
      <c r="S483" s="126">
        <f>V463</f>
        <v>-847.44505104778386</v>
      </c>
      <c r="T483" s="126"/>
      <c r="U483" s="126">
        <f>W463</f>
        <v>-898.29670069852261</v>
      </c>
      <c r="V483" s="126"/>
      <c r="W483" s="126"/>
      <c r="Y483" s="109" t="s">
        <v>163</v>
      </c>
      <c r="Z483" s="109"/>
      <c r="AA483" s="126"/>
      <c r="AB483" s="126">
        <f>U464</f>
        <v>-971.5642207074136</v>
      </c>
      <c r="AC483" s="126"/>
      <c r="AD483" s="126"/>
      <c r="AE483" s="126">
        <f>V464</f>
        <v>-985.7821103537068</v>
      </c>
      <c r="AF483" s="126"/>
      <c r="AG483" s="126">
        <f>W464</f>
        <v>-990.5214069024712</v>
      </c>
      <c r="AH483" s="126"/>
      <c r="AI483" s="126"/>
      <c r="AN483" s="33"/>
    </row>
    <row r="484" spans="1:40" x14ac:dyDescent="0.35">
      <c r="A484" s="144" t="s">
        <v>815</v>
      </c>
      <c r="B484" s="277"/>
      <c r="C484" s="277"/>
      <c r="D484" s="277"/>
      <c r="E484" s="277"/>
      <c r="F484" s="277"/>
      <c r="G484" s="277">
        <f>AF462</f>
        <v>-354.77458020307336</v>
      </c>
      <c r="H484" s="277"/>
      <c r="I484" s="277"/>
      <c r="J484" s="277"/>
      <c r="K484" s="109"/>
      <c r="M484" s="144" t="s">
        <v>815</v>
      </c>
      <c r="N484" s="109"/>
      <c r="O484" s="126"/>
      <c r="P484" s="126"/>
      <c r="Q484" s="289"/>
      <c r="R484" s="126"/>
      <c r="S484" s="126">
        <f>AF463</f>
        <v>-843.81264557335487</v>
      </c>
      <c r="T484" s="126"/>
      <c r="U484" s="126"/>
      <c r="V484" s="126"/>
      <c r="W484" s="126"/>
      <c r="Y484" s="144" t="s">
        <v>815</v>
      </c>
      <c r="Z484" s="109"/>
      <c r="AA484" s="109"/>
      <c r="AB484" s="109"/>
      <c r="AC484" s="109"/>
      <c r="AD484" s="109"/>
      <c r="AE484" s="126">
        <f>AF464</f>
        <v>-983.05883955752324</v>
      </c>
      <c r="AF484" s="109"/>
      <c r="AG484" s="109"/>
      <c r="AH484" s="109"/>
      <c r="AI484" s="109"/>
      <c r="AN484" s="33"/>
    </row>
    <row r="485" spans="1:40" x14ac:dyDescent="0.35">
      <c r="AN485" s="33"/>
    </row>
    <row r="486" spans="1:40" x14ac:dyDescent="0.35">
      <c r="AN486" s="33"/>
    </row>
    <row r="487" spans="1:40" x14ac:dyDescent="0.35">
      <c r="A487" s="126" t="s">
        <v>892</v>
      </c>
      <c r="M487" s="126" t="s">
        <v>893</v>
      </c>
      <c r="O487" s="33"/>
      <c r="T487" s="282"/>
      <c r="Y487" s="126" t="s">
        <v>894</v>
      </c>
      <c r="AN487" s="33"/>
    </row>
    <row r="488" spans="1:40" x14ac:dyDescent="0.35">
      <c r="A488" s="109"/>
      <c r="B488" s="142">
        <v>0</v>
      </c>
      <c r="C488" s="142">
        <v>0.33</v>
      </c>
      <c r="D488" s="142">
        <v>0.5</v>
      </c>
      <c r="E488" s="142">
        <v>0.67</v>
      </c>
      <c r="F488" s="142">
        <v>0.8</v>
      </c>
      <c r="G488" s="142">
        <v>1</v>
      </c>
      <c r="H488" s="142">
        <v>1.2</v>
      </c>
      <c r="I488" s="142">
        <v>1.5</v>
      </c>
      <c r="J488" s="142">
        <v>1.67</v>
      </c>
      <c r="K488" s="142">
        <v>2</v>
      </c>
      <c r="M488" s="109"/>
      <c r="N488" s="142">
        <v>0</v>
      </c>
      <c r="O488" s="288">
        <v>0.33</v>
      </c>
      <c r="P488" s="142">
        <v>0.5</v>
      </c>
      <c r="Q488" s="142">
        <v>0.67</v>
      </c>
      <c r="R488" s="142">
        <v>0.8</v>
      </c>
      <c r="S488" s="142">
        <v>1</v>
      </c>
      <c r="T488" s="142">
        <v>1.2</v>
      </c>
      <c r="U488" s="142">
        <v>1.5</v>
      </c>
      <c r="V488" s="142">
        <v>1.67</v>
      </c>
      <c r="W488" s="142">
        <v>2</v>
      </c>
      <c r="Y488" s="109"/>
      <c r="Z488" s="142">
        <v>0</v>
      </c>
      <c r="AA488" s="142">
        <v>0.33</v>
      </c>
      <c r="AB488" s="142">
        <v>0.5</v>
      </c>
      <c r="AC488" s="142">
        <v>0.67</v>
      </c>
      <c r="AD488" s="142">
        <v>0.8</v>
      </c>
      <c r="AE488" s="142">
        <v>1</v>
      </c>
      <c r="AF488" s="142">
        <v>1.2</v>
      </c>
      <c r="AG488" s="142">
        <v>1.5</v>
      </c>
      <c r="AH488" s="142">
        <v>1.67</v>
      </c>
      <c r="AI488" s="142">
        <v>2</v>
      </c>
      <c r="AN488" s="33"/>
    </row>
    <row r="489" spans="1:40" x14ac:dyDescent="0.35">
      <c r="A489" s="109" t="s">
        <v>150</v>
      </c>
      <c r="B489" s="109"/>
      <c r="C489" s="126"/>
      <c r="D489" s="126"/>
      <c r="E489" s="126"/>
      <c r="F489" s="126">
        <f>B465</f>
        <v>-494.53969601292067</v>
      </c>
      <c r="G489" s="126">
        <f>C465</f>
        <v>-491.21633397701771</v>
      </c>
      <c r="H489" s="126">
        <f>D465</f>
        <v>-487.89297194111498</v>
      </c>
      <c r="I489" s="126"/>
      <c r="J489" s="126"/>
      <c r="K489" s="126"/>
      <c r="M489" s="109" t="s">
        <v>150</v>
      </c>
      <c r="N489" s="109"/>
      <c r="O489" s="289"/>
      <c r="P489" s="126"/>
      <c r="Q489" s="126"/>
      <c r="R489" s="126">
        <f>B466</f>
        <v>-877.03481575394017</v>
      </c>
      <c r="S489" s="126">
        <f>C466</f>
        <v>-873.95541555515172</v>
      </c>
      <c r="T489" s="126">
        <f>D466</f>
        <v>-870.87601535636327</v>
      </c>
      <c r="U489" s="126"/>
      <c r="V489" s="126"/>
      <c r="W489" s="126"/>
      <c r="Y489" s="109" t="s">
        <v>150</v>
      </c>
      <c r="Z489" s="109"/>
      <c r="AA489" s="126"/>
      <c r="AB489" s="126"/>
      <c r="AC489" s="126"/>
      <c r="AD489" s="126">
        <f>B467</f>
        <v>-986.24676533464981</v>
      </c>
      <c r="AE489" s="126">
        <f>C467</f>
        <v>-983.82071518288637</v>
      </c>
      <c r="AF489" s="126">
        <f>D467</f>
        <v>-981.39466503112249</v>
      </c>
      <c r="AG489" s="126"/>
      <c r="AH489" s="126"/>
      <c r="AI489" s="126"/>
      <c r="AN489" s="33"/>
    </row>
    <row r="490" spans="1:40" x14ac:dyDescent="0.35">
      <c r="A490" s="109" t="s">
        <v>151</v>
      </c>
      <c r="B490" s="109"/>
      <c r="C490" s="126"/>
      <c r="D490" s="126"/>
      <c r="E490" s="126">
        <f>G465</f>
        <v>-639.04423489265776</v>
      </c>
      <c r="F490" s="126"/>
      <c r="G490" s="126">
        <f>H465</f>
        <v>-491.21633397701771</v>
      </c>
      <c r="H490" s="126"/>
      <c r="I490" s="126"/>
      <c r="J490" s="126">
        <f>I465</f>
        <v>-195.56053214573797</v>
      </c>
      <c r="K490" s="126"/>
      <c r="M490" s="109" t="s">
        <v>151</v>
      </c>
      <c r="N490" s="109"/>
      <c r="O490" s="289"/>
      <c r="P490" s="126"/>
      <c r="Q490" s="126">
        <f>G466</f>
        <v>-906.21292434181373</v>
      </c>
      <c r="R490" s="126"/>
      <c r="S490" s="126">
        <f>H466</f>
        <v>-873.95541555515172</v>
      </c>
      <c r="T490" s="126"/>
      <c r="U490" s="126"/>
      <c r="V490" s="126">
        <f>I466</f>
        <v>-809.4403979818278</v>
      </c>
      <c r="W490" s="126"/>
      <c r="Y490" s="109" t="s">
        <v>151</v>
      </c>
      <c r="Z490" s="109"/>
      <c r="AA490" s="126"/>
      <c r="AB490" s="126"/>
      <c r="AC490" s="126">
        <f>G467</f>
        <v>-983.90725537528033</v>
      </c>
      <c r="AD490" s="126"/>
      <c r="AE490" s="126">
        <f>H467</f>
        <v>-983.82071518288637</v>
      </c>
      <c r="AF490" s="126"/>
      <c r="AG490" s="126"/>
      <c r="AH490" s="126">
        <f>I467</f>
        <v>-983.64763479809778</v>
      </c>
      <c r="AI490" s="126"/>
      <c r="AN490" s="33"/>
    </row>
    <row r="491" spans="1:40" x14ac:dyDescent="0.35">
      <c r="A491" s="109" t="s">
        <v>511</v>
      </c>
      <c r="B491" s="109"/>
      <c r="C491" s="126"/>
      <c r="D491" s="126"/>
      <c r="E491" s="126"/>
      <c r="F491" s="126">
        <f>L465</f>
        <v>-364.02041747127225</v>
      </c>
      <c r="G491" s="126">
        <f>M465</f>
        <v>-491.21633397701783</v>
      </c>
      <c r="H491" s="126"/>
      <c r="I491" s="126"/>
      <c r="J491" s="126"/>
      <c r="K491" s="126"/>
      <c r="M491" s="109" t="s">
        <v>511</v>
      </c>
      <c r="N491" s="109"/>
      <c r="O491" s="289"/>
      <c r="P491" s="126"/>
      <c r="Q491" s="126"/>
      <c r="R491" s="126">
        <f>L466</f>
        <v>-842.44426944393967</v>
      </c>
      <c r="S491" s="126">
        <f>M466</f>
        <v>-873.95541555515172</v>
      </c>
      <c r="T491" s="126"/>
      <c r="U491" s="126"/>
      <c r="V491" s="126"/>
      <c r="W491" s="126"/>
      <c r="Y491" s="109" t="s">
        <v>511</v>
      </c>
      <c r="Z491" s="109"/>
      <c r="AA491" s="126"/>
      <c r="AB491" s="126"/>
      <c r="AC491" s="126"/>
      <c r="AD491" s="126">
        <f>L467</f>
        <v>-979.77589397860766</v>
      </c>
      <c r="AE491" s="126">
        <f>M467</f>
        <v>-983.82071518288615</v>
      </c>
      <c r="AF491" s="126"/>
      <c r="AG491" s="126"/>
      <c r="AH491" s="126"/>
      <c r="AI491" s="126"/>
      <c r="AN491" s="33"/>
    </row>
    <row r="492" spans="1:40" x14ac:dyDescent="0.35">
      <c r="A492" s="109" t="s">
        <v>461</v>
      </c>
      <c r="B492" s="109"/>
      <c r="C492" s="126">
        <f>P465</f>
        <v>-483.73747173626896</v>
      </c>
      <c r="D492" s="126"/>
      <c r="E492" s="126"/>
      <c r="F492" s="126"/>
      <c r="G492" s="126">
        <f>Q465</f>
        <v>-491.21633397701771</v>
      </c>
      <c r="H492" s="126"/>
      <c r="I492" s="126"/>
      <c r="J492" s="126">
        <f>R465</f>
        <v>-493.0709903838075</v>
      </c>
      <c r="K492" s="126"/>
      <c r="M492" s="109" t="s">
        <v>461</v>
      </c>
      <c r="N492" s="109"/>
      <c r="O492" s="289">
        <f>P466</f>
        <v>-867.68896086656366</v>
      </c>
      <c r="P492" s="126"/>
      <c r="Q492" s="126"/>
      <c r="R492" s="126"/>
      <c r="S492" s="126">
        <f>Q466</f>
        <v>-873.95541555515172</v>
      </c>
      <c r="T492" s="126"/>
      <c r="U492" s="126"/>
      <c r="V492" s="126">
        <f>R466</f>
        <v>-875.47632349847493</v>
      </c>
      <c r="W492" s="126"/>
      <c r="Y492" s="109" t="s">
        <v>461</v>
      </c>
      <c r="Z492" s="109"/>
      <c r="AA492" s="126">
        <f>P467</f>
        <v>-978.4652262839021</v>
      </c>
      <c r="AB492" s="126"/>
      <c r="AC492" s="126"/>
      <c r="AD492" s="126"/>
      <c r="AE492" s="126">
        <f>Q467</f>
        <v>-983.82071518288637</v>
      </c>
      <c r="AF492" s="126"/>
      <c r="AG492" s="126"/>
      <c r="AH492" s="126">
        <f>R467</f>
        <v>-985.1497904879983</v>
      </c>
      <c r="AI492" s="126"/>
      <c r="AN492" s="33"/>
    </row>
    <row r="493" spans="1:40" x14ac:dyDescent="0.35">
      <c r="A493" s="109" t="s">
        <v>163</v>
      </c>
      <c r="B493" s="109"/>
      <c r="C493" s="126"/>
      <c r="D493" s="126">
        <f>U465</f>
        <v>17.567332045964349</v>
      </c>
      <c r="E493" s="126"/>
      <c r="F493" s="126"/>
      <c r="G493" s="126">
        <f>V465</f>
        <v>-491.21633397701783</v>
      </c>
      <c r="H493" s="126"/>
      <c r="I493" s="126">
        <f>W465</f>
        <v>-660.81088931801196</v>
      </c>
      <c r="J493" s="126"/>
      <c r="K493" s="126"/>
      <c r="M493" s="109" t="s">
        <v>163</v>
      </c>
      <c r="N493" s="109"/>
      <c r="O493" s="289"/>
      <c r="P493" s="126">
        <f>U466</f>
        <v>-747.91083111030343</v>
      </c>
      <c r="Q493" s="126"/>
      <c r="R493" s="126"/>
      <c r="S493" s="126">
        <f>V466</f>
        <v>-873.95541555515172</v>
      </c>
      <c r="T493" s="126"/>
      <c r="U493" s="126">
        <f>W466</f>
        <v>-915.97027703676781</v>
      </c>
      <c r="V493" s="126"/>
      <c r="W493" s="126"/>
      <c r="Y493" s="109" t="s">
        <v>163</v>
      </c>
      <c r="Z493" s="109"/>
      <c r="AA493" s="126"/>
      <c r="AB493" s="126">
        <f>U467</f>
        <v>-967.64143036577229</v>
      </c>
      <c r="AC493" s="126"/>
      <c r="AD493" s="126"/>
      <c r="AE493" s="126">
        <f>V467</f>
        <v>-983.82071518288615</v>
      </c>
      <c r="AF493" s="126"/>
      <c r="AG493" s="126">
        <f>W467</f>
        <v>-989.2138101219241</v>
      </c>
      <c r="AH493" s="126"/>
      <c r="AI493" s="126"/>
      <c r="AN493" s="33"/>
    </row>
    <row r="494" spans="1:40" x14ac:dyDescent="0.35">
      <c r="A494" s="144" t="s">
        <v>817</v>
      </c>
      <c r="B494" s="109"/>
      <c r="C494" s="109"/>
      <c r="D494" s="109"/>
      <c r="E494" s="109"/>
      <c r="F494" s="109"/>
      <c r="G494" s="126">
        <f>Z465</f>
        <v>-491.21633397701783</v>
      </c>
      <c r="H494" s="109"/>
      <c r="I494" s="126">
        <f>AA465</f>
        <v>-554.95665296449806</v>
      </c>
      <c r="J494" s="109"/>
      <c r="K494" s="126">
        <f>AB465</f>
        <v>-608.07358545406498</v>
      </c>
      <c r="M494" s="144" t="s">
        <v>817</v>
      </c>
      <c r="N494" s="109"/>
      <c r="O494" s="144"/>
      <c r="P494" s="109"/>
      <c r="Q494" s="109"/>
      <c r="R494" s="109"/>
      <c r="S494" s="126">
        <f>Z466</f>
        <v>-873.95541555515172</v>
      </c>
      <c r="T494" s="109"/>
      <c r="U494" s="126">
        <f>AA466</f>
        <v>-885.21506495892015</v>
      </c>
      <c r="V494" s="109"/>
      <c r="W494" s="126">
        <f>AB466</f>
        <v>-894.59810612872718</v>
      </c>
      <c r="Y494" s="144" t="s">
        <v>817</v>
      </c>
      <c r="Z494" s="109"/>
      <c r="AA494" s="109"/>
      <c r="AB494" s="109"/>
      <c r="AC494" s="109"/>
      <c r="AD494" s="109"/>
      <c r="AE494" s="126">
        <f>Z467</f>
        <v>-983.82071518288615</v>
      </c>
      <c r="AF494" s="109"/>
      <c r="AG494" s="126">
        <f>AA467</f>
        <v>-980.92379966491671</v>
      </c>
      <c r="AH494" s="109"/>
      <c r="AI494" s="126">
        <f>AB467</f>
        <v>-978.50970339994217</v>
      </c>
      <c r="AN494" s="33"/>
    </row>
    <row r="495" spans="1:40" x14ac:dyDescent="0.35">
      <c r="A495" s="144" t="s">
        <v>815</v>
      </c>
      <c r="B495" s="109"/>
      <c r="C495" s="109"/>
      <c r="D495" s="109"/>
      <c r="E495" s="109"/>
      <c r="F495" s="109"/>
      <c r="G495" s="126">
        <f>AF465</f>
        <v>-486.35698813686997</v>
      </c>
      <c r="H495" s="109"/>
      <c r="I495" s="109"/>
      <c r="J495" s="109"/>
      <c r="K495" s="109"/>
      <c r="M495" s="144" t="s">
        <v>815</v>
      </c>
      <c r="N495" s="109"/>
      <c r="O495" s="144"/>
      <c r="P495" s="109"/>
      <c r="Q495" s="109"/>
      <c r="R495" s="109"/>
      <c r="S495" s="126">
        <f>AF466</f>
        <v>-870.32301008072272</v>
      </c>
      <c r="T495" s="109"/>
      <c r="U495" s="109"/>
      <c r="V495" s="109"/>
      <c r="W495" s="109"/>
      <c r="Y495" s="144" t="s">
        <v>815</v>
      </c>
      <c r="Z495" s="109"/>
      <c r="AA495" s="109"/>
      <c r="AB495" s="109"/>
      <c r="AC495" s="109"/>
      <c r="AD495" s="109"/>
      <c r="AE495" s="126">
        <f>AF467</f>
        <v>-981.0974443867027</v>
      </c>
      <c r="AF495" s="109"/>
      <c r="AG495" s="109"/>
      <c r="AH495" s="109"/>
      <c r="AI495" s="109"/>
      <c r="AN495" s="33"/>
    </row>
    <row r="496" spans="1:40" x14ac:dyDescent="0.35">
      <c r="AN496" s="33"/>
    </row>
    <row r="497" spans="1:42" x14ac:dyDescent="0.35">
      <c r="K497" s="299"/>
      <c r="V497" s="299"/>
      <c r="W497" s="299"/>
      <c r="AN497" s="33"/>
    </row>
    <row r="498" spans="1:42" x14ac:dyDescent="0.35">
      <c r="A498" s="126" t="s">
        <v>896</v>
      </c>
      <c r="M498" s="292" t="s">
        <v>897</v>
      </c>
      <c r="P498" s="33"/>
      <c r="T498" s="282"/>
      <c r="Y498" s="292" t="s">
        <v>895</v>
      </c>
      <c r="AN498" s="33"/>
    </row>
    <row r="499" spans="1:42" x14ac:dyDescent="0.35">
      <c r="A499" s="109"/>
      <c r="B499" s="142">
        <v>0</v>
      </c>
      <c r="C499" s="142">
        <v>0.33</v>
      </c>
      <c r="D499" s="142">
        <v>0.5</v>
      </c>
      <c r="E499" s="142">
        <v>0.67</v>
      </c>
      <c r="F499" s="142">
        <v>0.8</v>
      </c>
      <c r="G499" s="142">
        <v>1</v>
      </c>
      <c r="H499" s="142">
        <v>1.2</v>
      </c>
      <c r="I499" s="142">
        <v>1.5</v>
      </c>
      <c r="J499" s="142">
        <v>1.67</v>
      </c>
      <c r="K499" s="142">
        <v>2</v>
      </c>
      <c r="M499" s="109"/>
      <c r="N499" s="142">
        <v>0</v>
      </c>
      <c r="O499" s="142">
        <v>0.33</v>
      </c>
      <c r="P499" s="288">
        <v>0.5</v>
      </c>
      <c r="Q499" s="142">
        <v>0.67</v>
      </c>
      <c r="R499" s="142">
        <v>0.8</v>
      </c>
      <c r="S499" s="142">
        <v>1</v>
      </c>
      <c r="T499" s="142">
        <v>1.2</v>
      </c>
      <c r="U499" s="142">
        <v>1.5</v>
      </c>
      <c r="V499" s="142">
        <v>1.67</v>
      </c>
      <c r="W499" s="142">
        <v>2</v>
      </c>
      <c r="Y499" s="109"/>
      <c r="Z499" s="142">
        <v>0</v>
      </c>
      <c r="AA499" s="142">
        <v>0.33</v>
      </c>
      <c r="AB499" s="142">
        <v>0.5</v>
      </c>
      <c r="AC499" s="142">
        <v>0.67</v>
      </c>
      <c r="AD499" s="142">
        <v>0.8</v>
      </c>
      <c r="AE499" s="142">
        <v>1</v>
      </c>
      <c r="AF499" s="142">
        <v>1.2</v>
      </c>
      <c r="AG499" s="142">
        <v>1.5</v>
      </c>
      <c r="AH499" s="142">
        <v>1.67</v>
      </c>
      <c r="AI499" s="142">
        <v>2</v>
      </c>
      <c r="AN499" s="33"/>
    </row>
    <row r="500" spans="1:42" x14ac:dyDescent="0.35">
      <c r="A500" s="109" t="s">
        <v>150</v>
      </c>
      <c r="B500" s="109"/>
      <c r="C500" s="126"/>
      <c r="D500" s="126"/>
      <c r="E500" s="126"/>
      <c r="F500" s="126">
        <f>B468</f>
        <v>-762.82990460791359</v>
      </c>
      <c r="G500" s="126">
        <f>C468</f>
        <v>-757.05881147837772</v>
      </c>
      <c r="H500" s="126">
        <f>D468</f>
        <v>-751.28771834884174</v>
      </c>
      <c r="I500" s="126"/>
      <c r="J500" s="126"/>
      <c r="K500" s="126"/>
      <c r="M500" s="109" t="s">
        <v>150</v>
      </c>
      <c r="N500" s="109"/>
      <c r="O500" s="126"/>
      <c r="P500" s="289"/>
      <c r="Q500" s="126"/>
      <c r="R500" s="126">
        <f>B469</f>
        <v>-828.69382856301763</v>
      </c>
      <c r="S500" s="126">
        <f>C469</f>
        <v>-823.39328085256852</v>
      </c>
      <c r="T500" s="126">
        <f>D469</f>
        <v>-818.09273314211964</v>
      </c>
      <c r="U500" s="126"/>
      <c r="V500" s="126"/>
      <c r="W500" s="126"/>
      <c r="Y500" s="109" t="s">
        <v>150</v>
      </c>
      <c r="Z500" s="109"/>
      <c r="AA500" s="126"/>
      <c r="AB500" s="126"/>
      <c r="AC500" s="126"/>
      <c r="AD500" s="126">
        <f>B470</f>
        <v>-883.34394490341003</v>
      </c>
      <c r="AE500" s="126">
        <f>C470</f>
        <v>-879.31338914441756</v>
      </c>
      <c r="AF500" s="126">
        <f>R469</f>
        <v>-828.44438406269933</v>
      </c>
      <c r="AG500" s="126"/>
      <c r="AH500" s="126"/>
      <c r="AI500" s="126"/>
      <c r="AN500" s="33"/>
    </row>
    <row r="501" spans="1:42" x14ac:dyDescent="0.35">
      <c r="A501" s="109" t="s">
        <v>151</v>
      </c>
      <c r="B501" s="109"/>
      <c r="C501" s="126"/>
      <c r="D501" s="126"/>
      <c r="E501" s="126">
        <f>G468</f>
        <v>-780.68627324427416</v>
      </c>
      <c r="F501" s="126"/>
      <c r="G501" s="126">
        <f>H468</f>
        <v>-757.05881147837772</v>
      </c>
      <c r="H501" s="126"/>
      <c r="I501" s="126"/>
      <c r="J501" s="126">
        <f>I468</f>
        <v>-709.80388794658461</v>
      </c>
      <c r="K501" s="126"/>
      <c r="M501" s="109" t="s">
        <v>151</v>
      </c>
      <c r="N501" s="109"/>
      <c r="O501" s="126"/>
      <c r="P501" s="289"/>
      <c r="Q501" s="126">
        <f>G469</f>
        <v>-840.19615207555853</v>
      </c>
      <c r="R501" s="126"/>
      <c r="S501" s="126">
        <f>H469</f>
        <v>-823.39328085256852</v>
      </c>
      <c r="T501" s="126"/>
      <c r="U501" s="126"/>
      <c r="V501" s="126">
        <f>I469</f>
        <v>-789.78753840658885</v>
      </c>
      <c r="W501" s="126"/>
      <c r="Y501" s="109" t="s">
        <v>151</v>
      </c>
      <c r="Z501" s="109"/>
      <c r="AA501" s="126"/>
      <c r="AB501" s="126"/>
      <c r="AC501" s="126">
        <f>G470</f>
        <v>-892.22787038973252</v>
      </c>
      <c r="AD501" s="126"/>
      <c r="AE501" s="126">
        <f>H470</f>
        <v>-879.31338914441756</v>
      </c>
      <c r="AF501" s="126"/>
      <c r="AG501" s="126"/>
      <c r="AH501" s="126">
        <f>I470</f>
        <v>-853.48442665378775</v>
      </c>
      <c r="AI501" s="126"/>
      <c r="AN501" s="33"/>
    </row>
    <row r="502" spans="1:42" x14ac:dyDescent="0.35">
      <c r="A502" s="109" t="s">
        <v>511</v>
      </c>
      <c r="B502" s="109"/>
      <c r="C502" s="126"/>
      <c r="D502" s="126"/>
      <c r="E502" s="126"/>
      <c r="F502" s="126">
        <f>L468</f>
        <v>-696.32351434797215</v>
      </c>
      <c r="G502" s="126">
        <f>M468</f>
        <v>-757.05881147837772</v>
      </c>
      <c r="H502" s="126"/>
      <c r="I502" s="126"/>
      <c r="J502" s="126"/>
      <c r="K502" s="126"/>
      <c r="M502" s="109" t="s">
        <v>511</v>
      </c>
      <c r="N502" s="109"/>
      <c r="O502" s="126"/>
      <c r="P502" s="289"/>
      <c r="Q502" s="126"/>
      <c r="R502" s="126">
        <f>L469</f>
        <v>-779.24160106571082</v>
      </c>
      <c r="S502" s="126">
        <f>M469</f>
        <v>-823.39328085256864</v>
      </c>
      <c r="T502" s="126"/>
      <c r="U502" s="126"/>
      <c r="V502" s="126"/>
      <c r="W502" s="126"/>
      <c r="Y502" s="109" t="s">
        <v>511</v>
      </c>
      <c r="Z502" s="109"/>
      <c r="AA502" s="126"/>
      <c r="AB502" s="126"/>
      <c r="AC502" s="126"/>
      <c r="AD502" s="126">
        <f>L470</f>
        <v>-849.14173643052209</v>
      </c>
      <c r="AE502" s="126">
        <f>M470</f>
        <v>-879.31338914441767</v>
      </c>
      <c r="AF502" s="126"/>
      <c r="AG502" s="126"/>
      <c r="AH502" s="126"/>
      <c r="AI502" s="126"/>
      <c r="AN502" s="33"/>
    </row>
    <row r="503" spans="1:42" x14ac:dyDescent="0.35">
      <c r="A503" s="109" t="s">
        <v>461</v>
      </c>
      <c r="B503" s="109"/>
      <c r="C503" s="126">
        <f>P468</f>
        <v>-753.78134778470417</v>
      </c>
      <c r="D503" s="126"/>
      <c r="E503" s="126"/>
      <c r="F503" s="126"/>
      <c r="G503" s="126">
        <f>Q468</f>
        <v>-757.05881147837772</v>
      </c>
      <c r="H503" s="126"/>
      <c r="I503" s="126"/>
      <c r="J503" s="126">
        <f>R468</f>
        <v>-763.11486643224271</v>
      </c>
      <c r="K503" s="126"/>
      <c r="M503" s="109" t="s">
        <v>461</v>
      </c>
      <c r="N503" s="109"/>
      <c r="O503" s="126">
        <f>P469</f>
        <v>-820.65702143078806</v>
      </c>
      <c r="P503" s="289"/>
      <c r="Q503" s="126"/>
      <c r="R503" s="126"/>
      <c r="S503" s="126">
        <f>Q469</f>
        <v>-823.39328085256852</v>
      </c>
      <c r="T503" s="126"/>
      <c r="U503" s="126"/>
      <c r="V503" s="126">
        <f>R469</f>
        <v>-828.44438406269933</v>
      </c>
      <c r="W503" s="126"/>
      <c r="Y503" s="109" t="s">
        <v>461</v>
      </c>
      <c r="Z503" s="109"/>
      <c r="AA503" s="126">
        <f>P470</f>
        <v>-876.99045025124258</v>
      </c>
      <c r="AB503" s="126"/>
      <c r="AC503" s="126"/>
      <c r="AD503" s="126"/>
      <c r="AE503" s="126">
        <f>Q470</f>
        <v>-879.31338914441756</v>
      </c>
      <c r="AF503" s="126"/>
      <c r="AG503" s="126"/>
      <c r="AH503" s="126">
        <f>R470</f>
        <v>-883.67501445533867</v>
      </c>
      <c r="AI503" s="126"/>
      <c r="AN503" s="33"/>
    </row>
    <row r="504" spans="1:42" x14ac:dyDescent="0.35">
      <c r="A504" s="109" t="s">
        <v>163</v>
      </c>
      <c r="B504" s="109"/>
      <c r="C504" s="126"/>
      <c r="D504" s="126">
        <f>U468</f>
        <v>-514.11762295675533</v>
      </c>
      <c r="E504" s="126"/>
      <c r="F504" s="126"/>
      <c r="G504" s="126">
        <f>V468</f>
        <v>-757.05881147837772</v>
      </c>
      <c r="H504" s="126"/>
      <c r="I504" s="126">
        <f>W468</f>
        <v>-838.03920765225178</v>
      </c>
      <c r="J504" s="126"/>
      <c r="K504" s="126"/>
      <c r="M504" s="109" t="s">
        <v>163</v>
      </c>
      <c r="N504" s="109"/>
      <c r="O504" s="126"/>
      <c r="P504" s="289">
        <f>U469</f>
        <v>-646.78656170513727</v>
      </c>
      <c r="Q504" s="126"/>
      <c r="R504" s="126"/>
      <c r="S504" s="126">
        <f>V469</f>
        <v>-823.39328085256864</v>
      </c>
      <c r="T504" s="126"/>
      <c r="U504" s="126">
        <f>W469</f>
        <v>-882.26218723504576</v>
      </c>
      <c r="V504" s="126"/>
      <c r="W504" s="126"/>
      <c r="Y504" s="109" t="s">
        <v>163</v>
      </c>
      <c r="Z504" s="109"/>
      <c r="AA504" s="126"/>
      <c r="AB504" s="126">
        <f>U470</f>
        <v>-758.62677828883534</v>
      </c>
      <c r="AC504" s="126"/>
      <c r="AD504" s="126"/>
      <c r="AE504" s="126">
        <f>V470</f>
        <v>-879.31338914441767</v>
      </c>
      <c r="AF504" s="126"/>
      <c r="AG504" s="126">
        <f>W470</f>
        <v>-919.5422594296117</v>
      </c>
      <c r="AH504" s="126"/>
      <c r="AI504" s="126"/>
      <c r="AN504" s="33"/>
    </row>
    <row r="505" spans="1:42" x14ac:dyDescent="0.35">
      <c r="A505" s="144" t="s">
        <v>818</v>
      </c>
      <c r="B505" s="277">
        <f>AI468</f>
        <v>-792.50000412722238</v>
      </c>
      <c r="C505" s="109"/>
      <c r="D505" s="277">
        <f>AJ468</f>
        <v>-780.68627324427439</v>
      </c>
      <c r="E505" s="109"/>
      <c r="F505" s="109"/>
      <c r="G505" s="126">
        <f>AK468</f>
        <v>-757.05881147837772</v>
      </c>
      <c r="H505" s="109"/>
      <c r="I505" s="126">
        <f>AL468</f>
        <v>-686.17642618068794</v>
      </c>
      <c r="J505" s="109"/>
      <c r="K505" s="126"/>
      <c r="M505" s="144" t="s">
        <v>818</v>
      </c>
      <c r="N505" s="277">
        <f>AI469</f>
        <v>-848.59758768705365</v>
      </c>
      <c r="O505" s="109"/>
      <c r="P505" s="296">
        <f>AJ469</f>
        <v>-840.19615207555853</v>
      </c>
      <c r="Q505" s="109"/>
      <c r="R505" s="109"/>
      <c r="S505" s="126">
        <f>AK469</f>
        <v>-823.39328085256852</v>
      </c>
      <c r="T505" s="109"/>
      <c r="U505" s="126">
        <f>AL469</f>
        <v>-772.98466718359907</v>
      </c>
      <c r="V505" s="109"/>
      <c r="W505" s="126"/>
      <c r="Y505" s="144" t="s">
        <v>818</v>
      </c>
      <c r="Z505" s="277">
        <f>AI470</f>
        <v>-898.68511101239028</v>
      </c>
      <c r="AA505" s="109"/>
      <c r="AB505" s="277">
        <f>AJ470</f>
        <v>-892.22787038973252</v>
      </c>
      <c r="AC505" s="109"/>
      <c r="AD505" s="109"/>
      <c r="AE505" s="126">
        <f>AK470</f>
        <v>-879.31338914441756</v>
      </c>
      <c r="AF505" s="109"/>
      <c r="AG505" s="126">
        <f>AL470</f>
        <v>-840.5699454084729</v>
      </c>
      <c r="AH505" s="109"/>
      <c r="AI505" s="126"/>
      <c r="AN505" s="33"/>
    </row>
    <row r="506" spans="1:42" x14ac:dyDescent="0.35">
      <c r="A506" s="144" t="s">
        <v>777</v>
      </c>
      <c r="B506" s="109"/>
      <c r="C506" s="109"/>
      <c r="D506" s="277">
        <f>AO468</f>
        <v>-820.65091261645398</v>
      </c>
      <c r="E506" s="109"/>
      <c r="F506" s="109"/>
      <c r="G506" s="277">
        <f>AP468</f>
        <v>-757.05881147837772</v>
      </c>
      <c r="H506" s="109"/>
      <c r="I506" s="109"/>
      <c r="J506" s="109"/>
      <c r="K506" s="278">
        <f>AQ468</f>
        <v>-519.27836017165407</v>
      </c>
      <c r="M506" s="144" t="s">
        <v>777</v>
      </c>
      <c r="N506" s="109"/>
      <c r="O506" s="109"/>
      <c r="P506" s="296">
        <f>AO469</f>
        <v>-881.23538222585466</v>
      </c>
      <c r="Q506" s="109"/>
      <c r="R506" s="109"/>
      <c r="S506" s="277">
        <f>AP469</f>
        <v>-823.39328085256852</v>
      </c>
      <c r="T506" s="109"/>
      <c r="U506" s="109"/>
      <c r="V506" s="109"/>
      <c r="W506" s="278">
        <f>AQ469</f>
        <v>-607.5268135717489</v>
      </c>
      <c r="Y506" s="144" t="s">
        <v>777</v>
      </c>
      <c r="Z506" s="109"/>
      <c r="AA506" s="109"/>
      <c r="AB506" s="277">
        <f>AO470</f>
        <v>-917.43986177244938</v>
      </c>
      <c r="AC506" s="109"/>
      <c r="AD506" s="109"/>
      <c r="AE506" s="277">
        <f>AP470</f>
        <v>-879.31338914441756</v>
      </c>
      <c r="AF506" s="109"/>
      <c r="AG506" s="109"/>
      <c r="AH506" s="109"/>
      <c r="AI506" s="278">
        <f>AQ470</f>
        <v>-739.20688263342686</v>
      </c>
      <c r="AN506" s="33"/>
    </row>
    <row r="507" spans="1:42" x14ac:dyDescent="0.35">
      <c r="A507" s="144" t="s">
        <v>837</v>
      </c>
      <c r="B507" s="109"/>
      <c r="C507" s="109"/>
      <c r="D507" s="277">
        <f>AT468</f>
        <v>-757.05881147837772</v>
      </c>
      <c r="E507" s="109"/>
      <c r="F507" s="109"/>
      <c r="G507" s="277">
        <f>AU468</f>
        <v>-757.05881147837772</v>
      </c>
      <c r="H507" s="109"/>
      <c r="I507" s="109"/>
      <c r="J507" s="109"/>
      <c r="K507" s="278">
        <f>AV468</f>
        <v>-757.05881147837772</v>
      </c>
      <c r="M507" s="144" t="s">
        <v>837</v>
      </c>
      <c r="N507" s="109"/>
      <c r="O507" s="109"/>
      <c r="P507" s="296">
        <f>AT469</f>
        <v>-823.39328085256852</v>
      </c>
      <c r="Q507" s="109"/>
      <c r="R507" s="109"/>
      <c r="S507" s="277">
        <f>AU469</f>
        <v>-823.39328085256852</v>
      </c>
      <c r="T507" s="109"/>
      <c r="U507" s="109"/>
      <c r="V507" s="109"/>
      <c r="W507" s="278">
        <f>AV469</f>
        <v>-823.39328085256852</v>
      </c>
      <c r="Y507" s="144" t="s">
        <v>837</v>
      </c>
      <c r="Z507" s="109"/>
      <c r="AA507" s="109"/>
      <c r="AB507" s="277">
        <f>AT470</f>
        <v>-879.31338914441756</v>
      </c>
      <c r="AC507" s="109"/>
      <c r="AD507" s="109"/>
      <c r="AE507" s="277">
        <f>AU470</f>
        <v>-879.31338914441756</v>
      </c>
      <c r="AF507" s="109"/>
      <c r="AG507" s="109"/>
      <c r="AH507" s="109"/>
      <c r="AI507" s="278">
        <f>AV470</f>
        <v>-879.31338914441756</v>
      </c>
      <c r="AN507" s="33"/>
    </row>
    <row r="508" spans="1:42" x14ac:dyDescent="0.35">
      <c r="A508" s="144" t="s">
        <v>815</v>
      </c>
      <c r="B508" s="109"/>
      <c r="C508" s="109"/>
      <c r="D508" s="109"/>
      <c r="E508" s="109"/>
      <c r="F508" s="109"/>
      <c r="G508" s="126">
        <f>AF468</f>
        <v>-747.34011979808201</v>
      </c>
      <c r="H508" s="109"/>
      <c r="I508" s="109"/>
      <c r="J508" s="109"/>
      <c r="K508" s="109"/>
      <c r="L508" s="33"/>
      <c r="M508" s="144" t="s">
        <v>815</v>
      </c>
      <c r="N508" s="109"/>
      <c r="O508" s="109"/>
      <c r="P508" s="144"/>
      <c r="Q508" s="109"/>
      <c r="R508" s="109"/>
      <c r="S508" s="126">
        <f>AF469</f>
        <v>-816.12846990371054</v>
      </c>
      <c r="T508" s="109"/>
      <c r="U508" s="109"/>
      <c r="V508" s="109"/>
      <c r="W508" s="109"/>
      <c r="X508" s="33"/>
      <c r="Y508" s="144" t="s">
        <v>815</v>
      </c>
      <c r="Z508" s="109"/>
      <c r="AA508" s="109"/>
      <c r="AB508" s="109"/>
      <c r="AC508" s="109"/>
      <c r="AD508" s="109"/>
      <c r="AE508" s="126">
        <f>AF470</f>
        <v>-873.86684755205056</v>
      </c>
      <c r="AF508" s="109"/>
      <c r="AG508" s="109"/>
      <c r="AH508" s="109"/>
      <c r="AI508" s="109"/>
    </row>
    <row r="509" spans="1:42" x14ac:dyDescent="0.35">
      <c r="B509" s="33"/>
      <c r="P509" s="33"/>
      <c r="Q509" s="33"/>
      <c r="AE509" s="33"/>
    </row>
    <row r="510" spans="1:42" x14ac:dyDescent="0.35">
      <c r="B510" s="33"/>
      <c r="N510" s="299">
        <f>(N505-S505)/S504</f>
        <v>3.0610289664238882E-2</v>
      </c>
      <c r="P510" s="33"/>
      <c r="Q510" s="33"/>
      <c r="T510" s="282"/>
      <c r="W510" s="301"/>
    </row>
    <row r="511" spans="1:42" x14ac:dyDescent="0.35">
      <c r="B511" s="33"/>
      <c r="N511" s="32"/>
      <c r="P511" s="33"/>
      <c r="Q511" s="33"/>
      <c r="T511" s="282"/>
      <c r="W511" s="299"/>
      <c r="AC511" s="32"/>
      <c r="AP511" s="32"/>
    </row>
    <row r="512" spans="1:42" x14ac:dyDescent="0.35">
      <c r="B512" s="33"/>
      <c r="P512" s="33"/>
      <c r="Q512" s="33"/>
      <c r="T512" s="282"/>
    </row>
    <row r="513" spans="2:42" x14ac:dyDescent="0.35">
      <c r="B513" s="33"/>
      <c r="N513" s="3"/>
      <c r="P513" s="33"/>
      <c r="Q513" s="33"/>
      <c r="T513" s="282"/>
      <c r="AC513" s="3"/>
      <c r="AP513" s="3"/>
    </row>
    <row r="514" spans="2:42" x14ac:dyDescent="0.35">
      <c r="B514" s="33"/>
      <c r="P514" s="33"/>
      <c r="Q514" s="33"/>
      <c r="T514" s="282"/>
    </row>
    <row r="515" spans="2:42" x14ac:dyDescent="0.35">
      <c r="B515" s="33"/>
      <c r="P515" s="33"/>
      <c r="Q515" s="33"/>
      <c r="T515" s="282"/>
    </row>
    <row r="516" spans="2:42" x14ac:dyDescent="0.35">
      <c r="B516" s="33"/>
      <c r="P516" s="33"/>
      <c r="Q516" s="33"/>
      <c r="T516" s="282"/>
    </row>
    <row r="517" spans="2:42" x14ac:dyDescent="0.35">
      <c r="B517" s="33"/>
      <c r="P517" s="33"/>
      <c r="Q517" s="33"/>
      <c r="T517" s="282"/>
      <c r="AC517" s="6"/>
    </row>
    <row r="518" spans="2:42" x14ac:dyDescent="0.35">
      <c r="B518" s="33"/>
      <c r="P518" s="33"/>
      <c r="Q518" s="33"/>
      <c r="T518" s="282"/>
    </row>
    <row r="519" spans="2:42" x14ac:dyDescent="0.35">
      <c r="B519" s="33"/>
      <c r="P519" s="33"/>
      <c r="Q519" s="33"/>
      <c r="T519" s="282"/>
    </row>
    <row r="520" spans="2:42" x14ac:dyDescent="0.35">
      <c r="B520" s="33"/>
      <c r="P520" s="33"/>
      <c r="Q520" s="33"/>
    </row>
    <row r="521" spans="2:42" x14ac:dyDescent="0.35">
      <c r="B521" s="33"/>
      <c r="P521" s="33"/>
      <c r="Q521" s="33"/>
    </row>
    <row r="522" spans="2:42" x14ac:dyDescent="0.35">
      <c r="B522" s="33"/>
      <c r="P522" s="33"/>
      <c r="Q522" s="33"/>
    </row>
    <row r="523" spans="2:42" x14ac:dyDescent="0.35">
      <c r="B523" s="33"/>
      <c r="P523" s="33"/>
      <c r="Q523" s="33"/>
    </row>
    <row r="524" spans="2:42" x14ac:dyDescent="0.35">
      <c r="B524" s="33"/>
      <c r="P524" s="33"/>
      <c r="Q524" s="33"/>
    </row>
    <row r="525" spans="2:42" x14ac:dyDescent="0.35">
      <c r="B525" s="33"/>
      <c r="P525" s="33"/>
      <c r="Q525" s="33"/>
    </row>
    <row r="526" spans="2:42" x14ac:dyDescent="0.35">
      <c r="B526" s="33"/>
      <c r="P526" s="33"/>
      <c r="Q526" s="33"/>
    </row>
    <row r="527" spans="2:42" x14ac:dyDescent="0.35">
      <c r="B527" s="33"/>
      <c r="P527" s="33"/>
      <c r="Q527" s="33"/>
    </row>
    <row r="528" spans="2:42" x14ac:dyDescent="0.35">
      <c r="B528" s="33"/>
      <c r="F528" s="3"/>
      <c r="G528" s="3"/>
      <c r="I528" s="3"/>
      <c r="K528" s="3"/>
      <c r="P528" s="33"/>
      <c r="Q528" s="33"/>
      <c r="U528" s="3"/>
      <c r="V528" s="3"/>
      <c r="X528" s="3"/>
      <c r="Z528" s="3"/>
      <c r="AH528" s="3"/>
      <c r="AI528" s="3"/>
      <c r="AK528" s="3"/>
      <c r="AM528" s="3"/>
    </row>
    <row r="529" spans="1:27" x14ac:dyDescent="0.35">
      <c r="B529" s="33"/>
      <c r="P529" s="33"/>
      <c r="Q529" s="33"/>
    </row>
    <row r="530" spans="1:27" x14ac:dyDescent="0.35">
      <c r="B530" s="33"/>
      <c r="P530" s="33"/>
      <c r="Q530" s="33"/>
    </row>
    <row r="531" spans="1:27" x14ac:dyDescent="0.35">
      <c r="B531" s="33"/>
      <c r="P531" s="33"/>
      <c r="Q531" s="33"/>
    </row>
    <row r="532" spans="1:27" x14ac:dyDescent="0.35">
      <c r="B532" s="33"/>
      <c r="P532" s="33"/>
      <c r="Q532" s="33"/>
    </row>
    <row r="533" spans="1:27" x14ac:dyDescent="0.35">
      <c r="B533" s="33"/>
      <c r="P533" s="33"/>
      <c r="Q533" s="33"/>
    </row>
    <row r="534" spans="1:27" x14ac:dyDescent="0.35">
      <c r="B534" s="33"/>
      <c r="P534" s="33"/>
      <c r="Q534" s="33"/>
    </row>
    <row r="535" spans="1:27" x14ac:dyDescent="0.35">
      <c r="B535" s="33"/>
      <c r="P535" s="33"/>
      <c r="Q535" s="33"/>
    </row>
    <row r="536" spans="1:27" x14ac:dyDescent="0.35">
      <c r="B536" s="33"/>
      <c r="P536" s="33"/>
      <c r="Q536" s="33"/>
    </row>
    <row r="537" spans="1:27" x14ac:dyDescent="0.35">
      <c r="B537" s="33"/>
      <c r="P537" s="33"/>
      <c r="Q537" s="33"/>
    </row>
    <row r="538" spans="1:27" x14ac:dyDescent="0.35">
      <c r="B538" s="33"/>
      <c r="P538" s="33"/>
      <c r="Q538" s="33"/>
    </row>
    <row r="539" spans="1:27" x14ac:dyDescent="0.35">
      <c r="B539" s="33"/>
      <c r="P539" s="33"/>
      <c r="Q539" s="33"/>
    </row>
    <row r="540" spans="1:27" x14ac:dyDescent="0.35">
      <c r="B540" s="33"/>
      <c r="P540" s="33"/>
      <c r="Q540" s="33"/>
    </row>
    <row r="541" spans="1:27" x14ac:dyDescent="0.35">
      <c r="B541" s="33"/>
      <c r="P541" s="33"/>
      <c r="Q541" s="33"/>
      <c r="AA541" s="6"/>
    </row>
    <row r="542" spans="1:27" x14ac:dyDescent="0.35">
      <c r="B542" s="33"/>
      <c r="P542" s="33"/>
      <c r="Q542" s="33"/>
    </row>
    <row r="543" spans="1:27" x14ac:dyDescent="0.35">
      <c r="A543" s="33"/>
      <c r="B543" s="33"/>
      <c r="P543" s="33"/>
      <c r="Q543" s="33"/>
    </row>
    <row r="544" spans="1:27" x14ac:dyDescent="0.35">
      <c r="A544" s="33"/>
      <c r="B544" s="33"/>
      <c r="T544" s="282"/>
    </row>
    <row r="545" spans="1:28" x14ac:dyDescent="0.35">
      <c r="A545" s="33"/>
      <c r="B545" s="33"/>
      <c r="N545" s="32"/>
      <c r="T545" s="282"/>
    </row>
    <row r="546" spans="1:28" x14ac:dyDescent="0.35">
      <c r="T546" s="282"/>
    </row>
    <row r="547" spans="1:28" x14ac:dyDescent="0.35">
      <c r="N547" s="3"/>
      <c r="T547" s="282"/>
    </row>
    <row r="548" spans="1:28" x14ac:dyDescent="0.35">
      <c r="T548" s="282"/>
    </row>
    <row r="549" spans="1:28" x14ac:dyDescent="0.35">
      <c r="T549" s="282"/>
    </row>
    <row r="550" spans="1:28" x14ac:dyDescent="0.35">
      <c r="T550" s="282"/>
    </row>
    <row r="551" spans="1:28" x14ac:dyDescent="0.35">
      <c r="T551" s="282"/>
    </row>
    <row r="552" spans="1:28" x14ac:dyDescent="0.35">
      <c r="T552" s="282"/>
    </row>
    <row r="553" spans="1:28" x14ac:dyDescent="0.35">
      <c r="T553" s="282"/>
    </row>
    <row r="554" spans="1:28" x14ac:dyDescent="0.35">
      <c r="T554" s="282"/>
      <c r="AB554" s="6"/>
    </row>
    <row r="555" spans="1:28" x14ac:dyDescent="0.35">
      <c r="T555" s="282"/>
    </row>
    <row r="557" spans="1:28" x14ac:dyDescent="0.35">
      <c r="K557" s="6"/>
    </row>
    <row r="558" spans="1:28" x14ac:dyDescent="0.35">
      <c r="L558" s="6"/>
    </row>
    <row r="562" spans="6:11" x14ac:dyDescent="0.35">
      <c r="F562" s="3"/>
      <c r="G562" s="3"/>
      <c r="I562" s="3"/>
      <c r="K562" s="3"/>
    </row>
  </sheetData>
  <mergeCells count="11">
    <mergeCell ref="AX459:BA459"/>
    <mergeCell ref="A459:D459"/>
    <mergeCell ref="F459:I459"/>
    <mergeCell ref="K459:M459"/>
    <mergeCell ref="O459:R459"/>
    <mergeCell ref="T459:W459"/>
    <mergeCell ref="Y459:AB459"/>
    <mergeCell ref="AD459:AF459"/>
    <mergeCell ref="AH459:AL459"/>
    <mergeCell ref="AN459:AQ459"/>
    <mergeCell ref="AS459:AV459"/>
  </mergeCells>
  <pageMargins left="0.7" right="0.7" top="0.75" bottom="0.75" header="0.3" footer="0.3"/>
  <pageSetup paperSize="9" orientation="portrait"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294C4-75AF-495B-98BF-A150348A01A1}">
  <sheetPr>
    <tabColor theme="5" tint="0.39997558519241921"/>
  </sheetPr>
  <dimension ref="A1:BB526"/>
  <sheetViews>
    <sheetView topLeftCell="X403" zoomScale="60" zoomScaleNormal="60" workbookViewId="0">
      <selection activeCell="BB434" sqref="AX423:BB434"/>
    </sheetView>
  </sheetViews>
  <sheetFormatPr defaultColWidth="8.7265625" defaultRowHeight="14.5" outlineLevelRow="1" x14ac:dyDescent="0.35"/>
  <cols>
    <col min="1" max="1" width="31.54296875" style="282" customWidth="1"/>
    <col min="2" max="2" width="36.54296875" style="282" bestFit="1" customWidth="1"/>
    <col min="3" max="3" width="40.7265625" style="282" bestFit="1" customWidth="1"/>
    <col min="4" max="4" width="22.453125" style="282" bestFit="1" customWidth="1"/>
    <col min="5" max="5" width="19.7265625" style="282" bestFit="1" customWidth="1"/>
    <col min="6" max="6" width="28.453125" style="282" bestFit="1" customWidth="1"/>
    <col min="7" max="7" width="22.7265625" style="282" bestFit="1" customWidth="1"/>
    <col min="8" max="8" width="21.08984375" style="282" bestFit="1" customWidth="1"/>
    <col min="9" max="9" width="22.453125" style="282" bestFit="1" customWidth="1"/>
    <col min="10" max="10" width="22.7265625" style="282" bestFit="1" customWidth="1"/>
    <col min="11" max="11" width="28.453125" style="282" bestFit="1" customWidth="1"/>
    <col min="12" max="12" width="22.453125" style="282" bestFit="1" customWidth="1"/>
    <col min="13" max="13" width="27.90625" style="282" bestFit="1" customWidth="1"/>
    <col min="14" max="14" width="12.08984375" style="282" customWidth="1"/>
    <col min="15" max="15" width="22.7265625" style="282" bestFit="1" customWidth="1"/>
    <col min="16" max="16" width="10.6328125" style="282" customWidth="1"/>
    <col min="17" max="17" width="13.36328125" style="282" customWidth="1"/>
    <col min="18" max="18" width="8.81640625" style="282" customWidth="1"/>
    <col min="19" max="19" width="11.26953125" style="282" bestFit="1" customWidth="1"/>
    <col min="20" max="20" width="22.7265625" style="33" bestFit="1" customWidth="1"/>
    <col min="21" max="22" width="11.6328125" style="282" bestFit="1" customWidth="1"/>
    <col min="23" max="23" width="24.26953125" style="282" bestFit="1" customWidth="1"/>
    <col min="24" max="24" width="11.6328125" style="282" bestFit="1" customWidth="1"/>
    <col min="25" max="25" width="22.7265625" style="282" bestFit="1" customWidth="1"/>
    <col min="26" max="26" width="11.6328125" style="282" bestFit="1" customWidth="1"/>
    <col min="27" max="27" width="8.81640625" style="282" customWidth="1"/>
    <col min="28" max="28" width="11.6328125" style="282" bestFit="1" customWidth="1"/>
    <col min="29" max="29" width="10.81640625" style="282" bestFit="1" customWidth="1"/>
    <col min="30" max="30" width="22.7265625" style="282" bestFit="1" customWidth="1"/>
    <col min="31" max="31" width="27.90625" style="282" customWidth="1"/>
    <col min="32" max="32" width="14.54296875" style="282" bestFit="1" customWidth="1"/>
    <col min="33" max="33" width="11.6328125" style="282" bestFit="1" customWidth="1"/>
    <col min="34" max="34" width="22.7265625" style="282" bestFit="1" customWidth="1"/>
    <col min="35" max="35" width="11.6328125" style="282" bestFit="1" customWidth="1"/>
    <col min="36" max="36" width="24.26953125" style="282" bestFit="1" customWidth="1"/>
    <col min="37" max="38" width="11.6328125" style="282" bestFit="1" customWidth="1"/>
    <col min="39" max="39" width="10.1796875" style="282" bestFit="1" customWidth="1"/>
    <col min="40" max="40" width="22.7265625" style="282" bestFit="1" customWidth="1"/>
    <col min="41" max="41" width="9.08984375" style="282" bestFit="1" customWidth="1"/>
    <col min="42" max="44" width="8.7265625" style="282"/>
    <col min="45" max="45" width="22.7265625" style="282" bestFit="1" customWidth="1"/>
    <col min="46" max="49" width="8.7265625" style="282"/>
    <col min="50" max="50" width="23.26953125" style="282" bestFit="1" customWidth="1"/>
    <col min="51" max="16384" width="8.7265625" style="282"/>
  </cols>
  <sheetData>
    <row r="1" spans="1:13" s="18" customFormat="1" ht="21" x14ac:dyDescent="0.5">
      <c r="A1" s="18" t="s">
        <v>888</v>
      </c>
    </row>
    <row r="2" spans="1:13" s="125" customFormat="1" x14ac:dyDescent="0.35">
      <c r="A2" s="125" t="s">
        <v>499</v>
      </c>
    </row>
    <row r="3" spans="1:13" x14ac:dyDescent="0.35">
      <c r="A3" s="109"/>
      <c r="B3" s="128" t="s">
        <v>147</v>
      </c>
      <c r="C3" s="128" t="s">
        <v>148</v>
      </c>
      <c r="D3" s="128" t="s">
        <v>149</v>
      </c>
    </row>
    <row r="4" spans="1:13" x14ac:dyDescent="0.35">
      <c r="A4" s="129" t="s">
        <v>150</v>
      </c>
      <c r="B4" s="109" t="s">
        <v>502</v>
      </c>
      <c r="C4" s="109" t="s">
        <v>500</v>
      </c>
      <c r="D4" s="109" t="s">
        <v>501</v>
      </c>
    </row>
    <row r="5" spans="1:13" x14ac:dyDescent="0.35">
      <c r="A5" s="129" t="s">
        <v>151</v>
      </c>
      <c r="B5" s="109" t="s">
        <v>857</v>
      </c>
      <c r="C5" s="109" t="s">
        <v>506</v>
      </c>
      <c r="D5" s="109" t="s">
        <v>152</v>
      </c>
    </row>
    <row r="6" spans="1:13" x14ac:dyDescent="0.35">
      <c r="A6" s="129" t="s">
        <v>858</v>
      </c>
      <c r="B6" s="109" t="s">
        <v>153</v>
      </c>
      <c r="C6" s="109" t="s">
        <v>154</v>
      </c>
      <c r="D6" s="109" t="s">
        <v>154</v>
      </c>
    </row>
    <row r="7" spans="1:13" x14ac:dyDescent="0.35">
      <c r="A7" s="129" t="s">
        <v>859</v>
      </c>
      <c r="B7" s="109" t="s">
        <v>155</v>
      </c>
      <c r="C7" s="109" t="s">
        <v>156</v>
      </c>
      <c r="D7" s="109" t="s">
        <v>157</v>
      </c>
    </row>
    <row r="8" spans="1:13" x14ac:dyDescent="0.35">
      <c r="A8" s="129" t="s">
        <v>158</v>
      </c>
      <c r="B8" s="109" t="s">
        <v>159</v>
      </c>
      <c r="C8" s="109" t="s">
        <v>160</v>
      </c>
      <c r="D8" s="109" t="s">
        <v>161</v>
      </c>
    </row>
    <row r="9" spans="1:13" x14ac:dyDescent="0.35">
      <c r="A9" s="129" t="s">
        <v>817</v>
      </c>
      <c r="B9" s="109"/>
      <c r="C9" s="109">
        <v>0.23</v>
      </c>
      <c r="D9" s="144" t="s">
        <v>861</v>
      </c>
    </row>
    <row r="10" spans="1:13" x14ac:dyDescent="0.35">
      <c r="A10" s="290" t="s">
        <v>836</v>
      </c>
      <c r="B10" s="291"/>
      <c r="C10" s="280" t="s">
        <v>862</v>
      </c>
      <c r="D10" s="291"/>
    </row>
    <row r="12" spans="1:13" s="33" customFormat="1" ht="15.5" x14ac:dyDescent="0.35">
      <c r="A12" s="51" t="s">
        <v>162</v>
      </c>
      <c r="B12" s="4"/>
      <c r="C12" s="4"/>
      <c r="D12" s="4"/>
      <c r="E12" s="4"/>
      <c r="F12" s="4"/>
      <c r="G12" s="4"/>
      <c r="H12" s="4"/>
      <c r="I12" s="4"/>
      <c r="J12" s="4"/>
      <c r="K12" s="4"/>
      <c r="L12" s="4"/>
      <c r="M12" s="4"/>
    </row>
    <row r="13" spans="1:13" outlineLevel="1" x14ac:dyDescent="0.35">
      <c r="A13" s="15" t="s">
        <v>148</v>
      </c>
      <c r="B13" s="30"/>
      <c r="C13" s="140" t="s">
        <v>180</v>
      </c>
      <c r="D13" s="6" t="s">
        <v>889</v>
      </c>
      <c r="E13" s="6" t="s">
        <v>891</v>
      </c>
      <c r="F13" s="6" t="s">
        <v>890</v>
      </c>
      <c r="G13" s="6" t="s">
        <v>892</v>
      </c>
      <c r="H13" s="6" t="s">
        <v>893</v>
      </c>
      <c r="I13" s="6" t="s">
        <v>894</v>
      </c>
      <c r="J13" s="6" t="s">
        <v>896</v>
      </c>
      <c r="K13" s="6" t="s">
        <v>897</v>
      </c>
      <c r="L13" s="6" t="s">
        <v>895</v>
      </c>
      <c r="M13" s="4"/>
    </row>
    <row r="14" spans="1:13" outlineLevel="1" x14ac:dyDescent="0.35">
      <c r="B14" s="282" t="s">
        <v>117</v>
      </c>
      <c r="C14" s="282" t="s">
        <v>898</v>
      </c>
      <c r="D14" s="6">
        <f>'Results ReCiPe (H) - RD'!B467</f>
        <v>1.1572736269513593</v>
      </c>
      <c r="E14" s="6">
        <f>'Results ReCiPe (H) - RD'!C467</f>
        <v>1.1350206061764658</v>
      </c>
      <c r="F14" s="6">
        <f>'Results ReCiPe (H) - RD'!D467</f>
        <v>1.0727718624716902</v>
      </c>
      <c r="G14" s="6">
        <f>'Results ReCiPe (H) - RD'!E467</f>
        <v>1.1572736269513593</v>
      </c>
      <c r="H14" s="6">
        <f>'Results ReCiPe (H) - RD'!F467</f>
        <v>1.1350206061764658</v>
      </c>
      <c r="I14" s="6">
        <f>'Results ReCiPe (H) - RD'!G467</f>
        <v>1.0727718624716902</v>
      </c>
      <c r="J14" s="6">
        <f>'Results ReCiPe (H) - RD'!H467</f>
        <v>2.2765876848940438</v>
      </c>
      <c r="K14" s="6">
        <f>'Results ReCiPe (H) - RD'!I467</f>
        <v>2.2326216867218416</v>
      </c>
      <c r="L14" s="6">
        <f>'Results ReCiPe (H) - RD'!J467</f>
        <v>2.1092766801158631</v>
      </c>
      <c r="M14" s="4"/>
    </row>
    <row r="15" spans="1:13" outlineLevel="1" x14ac:dyDescent="0.35">
      <c r="B15" s="282" t="s">
        <v>118</v>
      </c>
      <c r="C15" s="282" t="s">
        <v>898</v>
      </c>
      <c r="D15" s="6">
        <f>'Results ReCiPe (H) - RD'!B468</f>
        <v>0.10787070616191249</v>
      </c>
      <c r="E15" s="6">
        <f>'Results ReCiPe (H) - RD'!C468</f>
        <v>0.10677798589336331</v>
      </c>
      <c r="F15" s="6">
        <f>'Results ReCiPe (H) - RD'!D468</f>
        <v>0.10355523296253079</v>
      </c>
      <c r="G15" s="6">
        <f>'Results ReCiPe (H) - RD'!E468</f>
        <v>0.10787070616191249</v>
      </c>
      <c r="H15" s="6">
        <f>'Results ReCiPe (H) - RD'!F468</f>
        <v>0.10677798589336331</v>
      </c>
      <c r="I15" s="6">
        <f>'Results ReCiPe (H) - RD'!G468</f>
        <v>0.10355523296253079</v>
      </c>
      <c r="J15" s="6">
        <f>'Results ReCiPe (H) - RD'!H468</f>
        <v>0.10787070616191249</v>
      </c>
      <c r="K15" s="6">
        <f>'Results ReCiPe (H) - RD'!I468</f>
        <v>0.10677798589336331</v>
      </c>
      <c r="L15" s="6">
        <f>'Results ReCiPe (H) - RD'!J468</f>
        <v>0.10355523296253079</v>
      </c>
      <c r="M15" s="4"/>
    </row>
    <row r="16" spans="1:13" outlineLevel="1" x14ac:dyDescent="0.35">
      <c r="B16" s="282" t="s">
        <v>119</v>
      </c>
      <c r="C16" s="282" t="s">
        <v>898</v>
      </c>
      <c r="D16" s="6">
        <f>'Results ReCiPe (H) - RD'!B469</f>
        <v>1.8254349738637116E-2</v>
      </c>
      <c r="E16" s="6">
        <f>'Results ReCiPe (H) - RD'!C469</f>
        <v>1.6717650277123783E-2</v>
      </c>
      <c r="F16" s="6">
        <f>'Results ReCiPe (H) - RD'!D469</f>
        <v>1.5515848527432425E-2</v>
      </c>
      <c r="G16" s="6">
        <f>'Results ReCiPe (H) - RD'!E469</f>
        <v>1.8254349738637116E-2</v>
      </c>
      <c r="H16" s="6">
        <f>'Results ReCiPe (H) - RD'!F469</f>
        <v>1.6717650277123783E-2</v>
      </c>
      <c r="I16" s="6">
        <f>'Results ReCiPe (H) - RD'!G469</f>
        <v>1.5515848527432425E-2</v>
      </c>
      <c r="J16" s="6">
        <f>'Results ReCiPe (H) - RD'!H469</f>
        <v>3.6508699477274233E-2</v>
      </c>
      <c r="K16" s="6">
        <f>'Results ReCiPe (H) - RD'!I469</f>
        <v>3.3435300554247566E-2</v>
      </c>
      <c r="L16" s="6">
        <f>'Results ReCiPe (H) - RD'!J469</f>
        <v>3.1031697054864849E-2</v>
      </c>
      <c r="M16" s="4"/>
    </row>
    <row r="17" spans="1:13" outlineLevel="1" x14ac:dyDescent="0.35">
      <c r="B17" s="282" t="s">
        <v>120</v>
      </c>
      <c r="C17" s="282" t="s">
        <v>898</v>
      </c>
      <c r="D17" s="6">
        <f>'Results ReCiPe (H) - RD'!B470</f>
        <v>2.1482519099495843E-7</v>
      </c>
      <c r="E17" s="6">
        <f>'Results ReCiPe (H) - RD'!C470</f>
        <v>5.1851441991315782E-4</v>
      </c>
      <c r="F17" s="6">
        <f>'Results ReCiPe (H) - RD'!D470</f>
        <v>4.9152244322832816E-4</v>
      </c>
      <c r="G17" s="6">
        <f>'Results ReCiPe (H) - RD'!E470</f>
        <v>5.3706297748739608E-4</v>
      </c>
      <c r="H17" s="6">
        <f>'Results ReCiPe (H) - RD'!F470</f>
        <v>5.1851441991315782E-4</v>
      </c>
      <c r="I17" s="6">
        <f>'Results ReCiPe (H) - RD'!G470</f>
        <v>4.9152244322832816E-4</v>
      </c>
      <c r="J17" s="6">
        <f>'Results ReCiPe (H) - RD'!H470</f>
        <v>2.1482519099495843E-7</v>
      </c>
      <c r="K17" s="6">
        <f>'Results ReCiPe (H) - RD'!I470</f>
        <v>5.1851441991315782E-4</v>
      </c>
      <c r="L17" s="6">
        <f>'Results ReCiPe (H) - RD'!J470</f>
        <v>4.9152244322832816E-4</v>
      </c>
      <c r="M17" s="4"/>
    </row>
    <row r="18" spans="1:13" outlineLevel="1" x14ac:dyDescent="0.35">
      <c r="B18" s="282" t="s">
        <v>121</v>
      </c>
      <c r="C18" s="282" t="s">
        <v>898</v>
      </c>
      <c r="D18" s="6">
        <f>'Results ReCiPe (H) - RD'!B471</f>
        <v>0.4201052617649354</v>
      </c>
      <c r="E18" s="6">
        <f>'Results ReCiPe (H) - RD'!C471</f>
        <v>0.41337054804260037</v>
      </c>
      <c r="F18" s="6">
        <f>'Results ReCiPe (H) - RD'!D471</f>
        <v>0.40564349401215766</v>
      </c>
      <c r="G18" s="6">
        <f>'Results ReCiPe (H) - RD'!E471</f>
        <v>0.4201052617649354</v>
      </c>
      <c r="H18" s="6">
        <f>'Results ReCiPe (H) - RD'!F471</f>
        <v>0.41337054804260037</v>
      </c>
      <c r="I18" s="6">
        <f>'Results ReCiPe (H) - RD'!G471</f>
        <v>0.40564349401215766</v>
      </c>
      <c r="J18" s="6">
        <f>'Results ReCiPe (H) - RD'!H471</f>
        <v>0.8402105235298708</v>
      </c>
      <c r="K18" s="6">
        <f>'Results ReCiPe (H) - RD'!I471</f>
        <v>0.82674109608520074</v>
      </c>
      <c r="L18" s="6">
        <f>'Results ReCiPe (H) - RD'!J471</f>
        <v>0.81128698802431531</v>
      </c>
      <c r="M18" s="4"/>
    </row>
    <row r="19" spans="1:13" outlineLevel="1" x14ac:dyDescent="0.35">
      <c r="B19" s="282" t="s">
        <v>797</v>
      </c>
      <c r="C19" s="282" t="s">
        <v>898</v>
      </c>
      <c r="D19" s="6">
        <f>'Results ReCiPe (H) - RD'!B472</f>
        <v>0</v>
      </c>
      <c r="E19" s="6">
        <f>'Results ReCiPe (H) - RD'!C472</f>
        <v>0</v>
      </c>
      <c r="F19" s="6">
        <f>'Results ReCiPe (H) - RD'!D472</f>
        <v>0</v>
      </c>
      <c r="G19" s="6">
        <f>'Results ReCiPe (H) - RD'!E472</f>
        <v>0</v>
      </c>
      <c r="H19" s="6">
        <f>'Results ReCiPe (H) - RD'!F472</f>
        <v>0</v>
      </c>
      <c r="I19" s="6">
        <f>'Results ReCiPe (H) - RD'!G472</f>
        <v>0</v>
      </c>
      <c r="J19" s="6">
        <f>'Results ReCiPe (H) - RD'!H472</f>
        <v>8.5257556615258974</v>
      </c>
      <c r="K19" s="6">
        <f>'Results ReCiPe (H) - RD'!I472</f>
        <v>8.3524882467394814</v>
      </c>
      <c r="L19" s="6">
        <f>'Results ReCiPe (H) - RD'!J472</f>
        <v>7.8224872559451661</v>
      </c>
      <c r="M19" s="4"/>
    </row>
    <row r="20" spans="1:13" outlineLevel="1" x14ac:dyDescent="0.35">
      <c r="B20" s="282" t="s">
        <v>122</v>
      </c>
      <c r="C20" s="282" t="s">
        <v>898</v>
      </c>
      <c r="D20" s="6">
        <f>'Results ReCiPe (H) - RD'!B473</f>
        <v>26.583558904647113</v>
      </c>
      <c r="E20" s="6">
        <f>'Results ReCiPe (H) - RD'!C473</f>
        <v>22.685684526739678</v>
      </c>
      <c r="F20" s="6">
        <f>'Results ReCiPe (H) - RD'!D473</f>
        <v>17.551540056485525</v>
      </c>
      <c r="G20" s="6">
        <f>'Results ReCiPe (H) - RD'!E473</f>
        <v>20.930852521259517</v>
      </c>
      <c r="H20" s="6">
        <f>'Results ReCiPe (H) - RD'!F473</f>
        <v>17.95418181361881</v>
      </c>
      <c r="I20" s="6">
        <f>'Results ReCiPe (H) - RD'!G473</f>
        <v>14.020431224008696</v>
      </c>
      <c r="J20" s="6">
        <f>'Results ReCiPe (H) - RD'!H473</f>
        <v>6.8338689077228105</v>
      </c>
      <c r="K20" s="6">
        <f>'Results ReCiPe (H) - RD'!I473</f>
        <v>6.7836022128614539</v>
      </c>
      <c r="L20" s="6">
        <f>'Results ReCiPe (H) - RD'!J473</f>
        <v>6.6101490437913641</v>
      </c>
      <c r="M20" s="4"/>
    </row>
    <row r="21" spans="1:13" outlineLevel="1" x14ac:dyDescent="0.35">
      <c r="B21" s="282" t="s">
        <v>123</v>
      </c>
      <c r="C21" s="282" t="s">
        <v>898</v>
      </c>
      <c r="D21" s="6">
        <f>'Results ReCiPe (H) - RD'!B474</f>
        <v>2.0807973659826957</v>
      </c>
      <c r="E21" s="6">
        <f>'Results ReCiPe (H) - RD'!C474</f>
        <v>1.7871934348322114</v>
      </c>
      <c r="F21" s="6">
        <f>'Results ReCiPe (H) - RD'!D474</f>
        <v>1.3941400561452164</v>
      </c>
      <c r="G21" s="6">
        <f>'Results ReCiPe (H) - RD'!E474</f>
        <v>2.0807973659826957</v>
      </c>
      <c r="H21" s="6">
        <f>'Results ReCiPe (H) - RD'!F474</f>
        <v>1.7871934348322114</v>
      </c>
      <c r="I21" s="6">
        <f>'Results ReCiPe (H) - RD'!G474</f>
        <v>1.3941400561452164</v>
      </c>
      <c r="J21" s="6">
        <f>'Results ReCiPe (H) - RD'!H474</f>
        <v>2.0807973659826957</v>
      </c>
      <c r="K21" s="6">
        <f>'Results ReCiPe (H) - RD'!I474</f>
        <v>1.7871934348322114</v>
      </c>
      <c r="L21" s="6">
        <f>'Results ReCiPe (H) - RD'!J474</f>
        <v>1.3941400561452164</v>
      </c>
      <c r="M21" s="4"/>
    </row>
    <row r="22" spans="1:13" outlineLevel="1" x14ac:dyDescent="0.35">
      <c r="D22" s="6"/>
      <c r="E22" s="6"/>
      <c r="F22" s="6"/>
      <c r="G22" s="6"/>
      <c r="H22" s="6"/>
      <c r="I22" s="6"/>
      <c r="J22" s="6"/>
      <c r="K22" s="6"/>
      <c r="L22" s="6"/>
      <c r="M22" s="4"/>
    </row>
    <row r="23" spans="1:13" outlineLevel="1" x14ac:dyDescent="0.35">
      <c r="B23" s="282" t="s">
        <v>137</v>
      </c>
      <c r="C23" s="282" t="s">
        <v>898</v>
      </c>
      <c r="D23" s="6">
        <f>'Results ReCiPe (H) - RD'!B476</f>
        <v>30.367860430071847</v>
      </c>
      <c r="E23" s="6">
        <f>'Results ReCiPe (H) - RD'!C476</f>
        <v>26.145283266381348</v>
      </c>
      <c r="F23" s="6">
        <f>'Results ReCiPe (H) - RD'!D476</f>
        <v>20.543658073047776</v>
      </c>
      <c r="G23" s="6">
        <f>'Results ReCiPe (H) - RD'!E476</f>
        <v>24.715690894836545</v>
      </c>
      <c r="H23" s="6">
        <f>'Results ReCiPe (H) - RD'!F476</f>
        <v>21.413780553260484</v>
      </c>
      <c r="I23" s="6">
        <f>'Results ReCiPe (H) - RD'!G476</f>
        <v>17.012549240570952</v>
      </c>
      <c r="J23" s="6">
        <f>'Results ReCiPe (H) - RD'!H476</f>
        <v>20.701599764119692</v>
      </c>
      <c r="K23" s="6">
        <f>'Results ReCiPe (H) - RD'!I476</f>
        <v>20.123378478107711</v>
      </c>
      <c r="L23" s="6">
        <f>'Results ReCiPe (H) - RD'!J476</f>
        <v>18.882418476482552</v>
      </c>
      <c r="M23" s="4"/>
    </row>
    <row r="24" spans="1:13" outlineLevel="1" x14ac:dyDescent="0.35">
      <c r="M24" s="4"/>
    </row>
    <row r="25" spans="1:13" outlineLevel="1" x14ac:dyDescent="0.35">
      <c r="A25" s="15" t="s">
        <v>501</v>
      </c>
      <c r="B25" s="30"/>
      <c r="C25" s="140" t="s">
        <v>180</v>
      </c>
      <c r="D25" s="6" t="s">
        <v>889</v>
      </c>
      <c r="E25" s="6" t="s">
        <v>891</v>
      </c>
      <c r="F25" s="6" t="s">
        <v>890</v>
      </c>
      <c r="G25" s="6" t="s">
        <v>892</v>
      </c>
      <c r="H25" s="6" t="s">
        <v>893</v>
      </c>
      <c r="I25" s="6" t="s">
        <v>894</v>
      </c>
      <c r="J25" s="6" t="s">
        <v>896</v>
      </c>
      <c r="K25" s="6" t="s">
        <v>897</v>
      </c>
      <c r="L25" s="6" t="s">
        <v>895</v>
      </c>
      <c r="M25" s="4"/>
    </row>
    <row r="26" spans="1:13" outlineLevel="1" x14ac:dyDescent="0.35">
      <c r="B26" s="282" t="s">
        <v>117</v>
      </c>
      <c r="C26" s="282" t="s">
        <v>898</v>
      </c>
      <c r="D26" s="6">
        <f>D14*0.8</f>
        <v>0.92581890156108748</v>
      </c>
      <c r="E26" s="6">
        <f t="shared" ref="E26:L29" si="0">E14*0.8</f>
        <v>0.90801648494117271</v>
      </c>
      <c r="F26" s="6">
        <f t="shared" si="0"/>
        <v>0.85821748997735225</v>
      </c>
      <c r="G26" s="6">
        <f t="shared" si="0"/>
        <v>0.92581890156108748</v>
      </c>
      <c r="H26" s="6">
        <f t="shared" si="0"/>
        <v>0.90801648494117271</v>
      </c>
      <c r="I26" s="6">
        <f t="shared" si="0"/>
        <v>0.85821748997735225</v>
      </c>
      <c r="J26" s="6">
        <f t="shared" si="0"/>
        <v>1.8212701479152351</v>
      </c>
      <c r="K26" s="6">
        <f t="shared" si="0"/>
        <v>1.7860973493774734</v>
      </c>
      <c r="L26" s="6">
        <f t="shared" si="0"/>
        <v>1.6874213440926906</v>
      </c>
      <c r="M26" s="4"/>
    </row>
    <row r="27" spans="1:13" outlineLevel="1" x14ac:dyDescent="0.35">
      <c r="B27" s="282" t="s">
        <v>118</v>
      </c>
      <c r="C27" s="282" t="s">
        <v>898</v>
      </c>
      <c r="D27" s="6">
        <f>D15*0.8</f>
        <v>8.6296564929530001E-2</v>
      </c>
      <c r="E27" s="6">
        <f t="shared" si="0"/>
        <v>8.5422388714690656E-2</v>
      </c>
      <c r="F27" s="6">
        <f t="shared" si="0"/>
        <v>8.2844186370024636E-2</v>
      </c>
      <c r="G27" s="6">
        <f t="shared" si="0"/>
        <v>8.6296564929530001E-2</v>
      </c>
      <c r="H27" s="6">
        <f t="shared" si="0"/>
        <v>8.5422388714690656E-2</v>
      </c>
      <c r="I27" s="6">
        <f t="shared" si="0"/>
        <v>8.2844186370024636E-2</v>
      </c>
      <c r="J27" s="6">
        <f t="shared" si="0"/>
        <v>8.6296564929530001E-2</v>
      </c>
      <c r="K27" s="6">
        <f t="shared" si="0"/>
        <v>8.5422388714690656E-2</v>
      </c>
      <c r="L27" s="6">
        <f t="shared" si="0"/>
        <v>8.2844186370024636E-2</v>
      </c>
      <c r="M27" s="4"/>
    </row>
    <row r="28" spans="1:13" outlineLevel="1" x14ac:dyDescent="0.35">
      <c r="B28" s="282" t="s">
        <v>119</v>
      </c>
      <c r="C28" s="282" t="s">
        <v>898</v>
      </c>
      <c r="D28" s="6">
        <f>D16*0.8</f>
        <v>1.4603479790909694E-2</v>
      </c>
      <c r="E28" s="6">
        <f t="shared" si="0"/>
        <v>1.3374120221699027E-2</v>
      </c>
      <c r="F28" s="6">
        <f t="shared" si="0"/>
        <v>1.241267882194594E-2</v>
      </c>
      <c r="G28" s="6">
        <f t="shared" si="0"/>
        <v>1.4603479790909694E-2</v>
      </c>
      <c r="H28" s="6">
        <f t="shared" si="0"/>
        <v>1.3374120221699027E-2</v>
      </c>
      <c r="I28" s="6">
        <f t="shared" si="0"/>
        <v>1.241267882194594E-2</v>
      </c>
      <c r="J28" s="6">
        <f t="shared" si="0"/>
        <v>2.9206959581819389E-2</v>
      </c>
      <c r="K28" s="6">
        <f t="shared" si="0"/>
        <v>2.6748240443398054E-2</v>
      </c>
      <c r="L28" s="6">
        <f t="shared" si="0"/>
        <v>2.482535764389188E-2</v>
      </c>
      <c r="M28" s="4"/>
    </row>
    <row r="29" spans="1:13" outlineLevel="1" x14ac:dyDescent="0.35">
      <c r="B29" s="282" t="s">
        <v>120</v>
      </c>
      <c r="C29" s="282" t="s">
        <v>898</v>
      </c>
      <c r="D29" s="6">
        <f>D17*0.8</f>
        <v>1.7186015279596676E-7</v>
      </c>
      <c r="E29" s="6">
        <f t="shared" si="0"/>
        <v>4.1481153593052626E-4</v>
      </c>
      <c r="F29" s="6">
        <f t="shared" si="0"/>
        <v>3.9321795458266255E-4</v>
      </c>
      <c r="G29" s="6">
        <f t="shared" si="0"/>
        <v>4.2965038198991687E-4</v>
      </c>
      <c r="H29" s="6">
        <f t="shared" si="0"/>
        <v>4.1481153593052626E-4</v>
      </c>
      <c r="I29" s="6">
        <f t="shared" si="0"/>
        <v>3.9321795458266255E-4</v>
      </c>
      <c r="J29" s="6">
        <f t="shared" si="0"/>
        <v>1.7186015279596676E-7</v>
      </c>
      <c r="K29" s="6">
        <f t="shared" si="0"/>
        <v>4.1481153593052626E-4</v>
      </c>
      <c r="L29" s="6">
        <f t="shared" si="0"/>
        <v>3.9321795458266255E-4</v>
      </c>
      <c r="M29" s="4"/>
    </row>
    <row r="30" spans="1:13" outlineLevel="1" x14ac:dyDescent="0.35">
      <c r="B30" s="282" t="s">
        <v>121</v>
      </c>
      <c r="C30" s="282" t="s">
        <v>898</v>
      </c>
      <c r="D30" s="6">
        <f>D18</f>
        <v>0.4201052617649354</v>
      </c>
      <c r="E30" s="6">
        <f t="shared" ref="E30:L33" si="1">E18</f>
        <v>0.41337054804260037</v>
      </c>
      <c r="F30" s="6">
        <f t="shared" si="1"/>
        <v>0.40564349401215766</v>
      </c>
      <c r="G30" s="6">
        <f t="shared" si="1"/>
        <v>0.4201052617649354</v>
      </c>
      <c r="H30" s="6">
        <f t="shared" si="1"/>
        <v>0.41337054804260037</v>
      </c>
      <c r="I30" s="6">
        <f t="shared" si="1"/>
        <v>0.40564349401215766</v>
      </c>
      <c r="J30" s="6">
        <f t="shared" si="1"/>
        <v>0.8402105235298708</v>
      </c>
      <c r="K30" s="6">
        <f t="shared" si="1"/>
        <v>0.82674109608520074</v>
      </c>
      <c r="L30" s="6">
        <f t="shared" si="1"/>
        <v>0.81128698802431531</v>
      </c>
      <c r="M30" s="4"/>
    </row>
    <row r="31" spans="1:13" outlineLevel="1" x14ac:dyDescent="0.35">
      <c r="B31" s="282" t="s">
        <v>797</v>
      </c>
      <c r="C31" s="282" t="s">
        <v>898</v>
      </c>
      <c r="D31" s="6">
        <f>D19</f>
        <v>0</v>
      </c>
      <c r="E31" s="6">
        <f t="shared" si="1"/>
        <v>0</v>
      </c>
      <c r="F31" s="6">
        <f t="shared" si="1"/>
        <v>0</v>
      </c>
      <c r="G31" s="6">
        <f t="shared" si="1"/>
        <v>0</v>
      </c>
      <c r="H31" s="6">
        <f t="shared" si="1"/>
        <v>0</v>
      </c>
      <c r="I31" s="6">
        <f t="shared" si="1"/>
        <v>0</v>
      </c>
      <c r="J31" s="6">
        <f t="shared" si="1"/>
        <v>8.5257556615258974</v>
      </c>
      <c r="K31" s="6">
        <f t="shared" si="1"/>
        <v>8.3524882467394814</v>
      </c>
      <c r="L31" s="6">
        <f t="shared" si="1"/>
        <v>7.8224872559451661</v>
      </c>
      <c r="M31" s="4"/>
    </row>
    <row r="32" spans="1:13" outlineLevel="1" x14ac:dyDescent="0.35">
      <c r="B32" s="282" t="s">
        <v>122</v>
      </c>
      <c r="C32" s="282" t="s">
        <v>898</v>
      </c>
      <c r="D32" s="6">
        <f>D20</f>
        <v>26.583558904647113</v>
      </c>
      <c r="E32" s="6">
        <f t="shared" si="1"/>
        <v>22.685684526739678</v>
      </c>
      <c r="F32" s="6">
        <f t="shared" si="1"/>
        <v>17.551540056485525</v>
      </c>
      <c r="G32" s="6">
        <f t="shared" si="1"/>
        <v>20.930852521259517</v>
      </c>
      <c r="H32" s="6">
        <f t="shared" si="1"/>
        <v>17.95418181361881</v>
      </c>
      <c r="I32" s="6">
        <f t="shared" si="1"/>
        <v>14.020431224008696</v>
      </c>
      <c r="J32" s="6">
        <f t="shared" si="1"/>
        <v>6.8338689077228105</v>
      </c>
      <c r="K32" s="6">
        <f t="shared" si="1"/>
        <v>6.7836022128614539</v>
      </c>
      <c r="L32" s="6">
        <f t="shared" si="1"/>
        <v>6.6101490437913641</v>
      </c>
      <c r="M32" s="4"/>
    </row>
    <row r="33" spans="1:20" outlineLevel="1" x14ac:dyDescent="0.35">
      <c r="B33" s="282" t="s">
        <v>123</v>
      </c>
      <c r="C33" s="282" t="s">
        <v>898</v>
      </c>
      <c r="D33" s="6">
        <f>D21</f>
        <v>2.0807973659826957</v>
      </c>
      <c r="E33" s="6">
        <f t="shared" si="1"/>
        <v>1.7871934348322114</v>
      </c>
      <c r="F33" s="6">
        <f t="shared" si="1"/>
        <v>1.3941400561452164</v>
      </c>
      <c r="G33" s="6">
        <f t="shared" si="1"/>
        <v>2.0807973659826957</v>
      </c>
      <c r="H33" s="6">
        <f t="shared" si="1"/>
        <v>1.7871934348322114</v>
      </c>
      <c r="I33" s="6">
        <f t="shared" si="1"/>
        <v>1.3941400561452164</v>
      </c>
      <c r="J33" s="6">
        <f t="shared" si="1"/>
        <v>2.0807973659826957</v>
      </c>
      <c r="K33" s="6">
        <f t="shared" si="1"/>
        <v>1.7871934348322114</v>
      </c>
      <c r="L33" s="6">
        <f t="shared" si="1"/>
        <v>1.3941400561452164</v>
      </c>
      <c r="M33" s="4"/>
    </row>
    <row r="34" spans="1:20" outlineLevel="1" x14ac:dyDescent="0.35">
      <c r="D34" s="6"/>
      <c r="E34" s="6"/>
      <c r="F34" s="6"/>
      <c r="G34" s="6"/>
      <c r="H34" s="6"/>
      <c r="I34" s="6"/>
      <c r="J34" s="6"/>
      <c r="K34" s="6"/>
      <c r="L34" s="6"/>
      <c r="M34" s="4"/>
    </row>
    <row r="35" spans="1:20" outlineLevel="1" x14ac:dyDescent="0.35">
      <c r="B35" s="282" t="s">
        <v>137</v>
      </c>
      <c r="C35" s="282" t="s">
        <v>898</v>
      </c>
      <c r="D35" s="6">
        <f>SUM(D26:D34)</f>
        <v>30.111180650536426</v>
      </c>
      <c r="E35" s="6">
        <f t="shared" ref="E35:L35" si="2">SUM(E26:E34)</f>
        <v>25.893476315027982</v>
      </c>
      <c r="F35" s="6">
        <f t="shared" si="2"/>
        <v>20.305191179766805</v>
      </c>
      <c r="G35" s="6">
        <f t="shared" si="2"/>
        <v>24.458903745670668</v>
      </c>
      <c r="H35" s="6">
        <f t="shared" si="2"/>
        <v>21.161973601907114</v>
      </c>
      <c r="I35" s="6">
        <f t="shared" si="2"/>
        <v>16.774082347289976</v>
      </c>
      <c r="J35" s="6">
        <f t="shared" si="2"/>
        <v>20.217406303048012</v>
      </c>
      <c r="K35" s="6">
        <f t="shared" si="2"/>
        <v>19.648707780589842</v>
      </c>
      <c r="L35" s="6">
        <f t="shared" si="2"/>
        <v>18.43354744996725</v>
      </c>
      <c r="M35" s="4"/>
    </row>
    <row r="36" spans="1:20" outlineLevel="1" x14ac:dyDescent="0.35">
      <c r="M36" s="4"/>
    </row>
    <row r="37" spans="1:20" outlineLevel="1" x14ac:dyDescent="0.35">
      <c r="A37" s="15" t="s">
        <v>502</v>
      </c>
      <c r="B37" s="30"/>
      <c r="C37" s="140" t="s">
        <v>180</v>
      </c>
      <c r="D37" s="6" t="s">
        <v>889</v>
      </c>
      <c r="E37" s="6" t="s">
        <v>891</v>
      </c>
      <c r="F37" s="6" t="s">
        <v>890</v>
      </c>
      <c r="G37" s="6" t="s">
        <v>892</v>
      </c>
      <c r="H37" s="6" t="s">
        <v>893</v>
      </c>
      <c r="I37" s="6" t="s">
        <v>894</v>
      </c>
      <c r="J37" s="6" t="s">
        <v>896</v>
      </c>
      <c r="K37" s="6" t="s">
        <v>897</v>
      </c>
      <c r="L37" s="6" t="s">
        <v>895</v>
      </c>
      <c r="M37" s="4"/>
    </row>
    <row r="38" spans="1:20" outlineLevel="1" x14ac:dyDescent="0.35">
      <c r="B38" s="282" t="s">
        <v>117</v>
      </c>
      <c r="C38" s="282" t="s">
        <v>898</v>
      </c>
      <c r="D38" s="6">
        <f>D14*1.2</f>
        <v>1.3887283523416312</v>
      </c>
      <c r="E38" s="6">
        <f t="shared" ref="E38:L41" si="3">E14*1.2</f>
        <v>1.362024727411759</v>
      </c>
      <c r="F38" s="6">
        <f t="shared" si="3"/>
        <v>1.2873262349660282</v>
      </c>
      <c r="G38" s="6">
        <f t="shared" si="3"/>
        <v>1.3887283523416312</v>
      </c>
      <c r="H38" s="6">
        <f t="shared" si="3"/>
        <v>1.362024727411759</v>
      </c>
      <c r="I38" s="6">
        <f t="shared" si="3"/>
        <v>1.2873262349660282</v>
      </c>
      <c r="J38" s="6">
        <f t="shared" si="3"/>
        <v>2.7319052218728523</v>
      </c>
      <c r="K38" s="6">
        <f t="shared" si="3"/>
        <v>2.6791460240662097</v>
      </c>
      <c r="L38" s="6">
        <f t="shared" si="3"/>
        <v>2.5311320161390358</v>
      </c>
      <c r="M38" s="4"/>
    </row>
    <row r="39" spans="1:20" outlineLevel="1" x14ac:dyDescent="0.35">
      <c r="B39" s="282" t="s">
        <v>118</v>
      </c>
      <c r="C39" s="282" t="s">
        <v>898</v>
      </c>
      <c r="D39" s="6">
        <f>D15*1.2</f>
        <v>0.12944484739429499</v>
      </c>
      <c r="E39" s="6">
        <f t="shared" si="3"/>
        <v>0.12813358307203596</v>
      </c>
      <c r="F39" s="6">
        <f t="shared" si="3"/>
        <v>0.12426627955503694</v>
      </c>
      <c r="G39" s="6">
        <f t="shared" si="3"/>
        <v>0.12944484739429499</v>
      </c>
      <c r="H39" s="6">
        <f t="shared" si="3"/>
        <v>0.12813358307203596</v>
      </c>
      <c r="I39" s="6">
        <f t="shared" si="3"/>
        <v>0.12426627955503694</v>
      </c>
      <c r="J39" s="6">
        <f t="shared" si="3"/>
        <v>0.12944484739429499</v>
      </c>
      <c r="K39" s="6">
        <f t="shared" si="3"/>
        <v>0.12813358307203596</v>
      </c>
      <c r="L39" s="6">
        <f t="shared" si="3"/>
        <v>0.12426627955503694</v>
      </c>
      <c r="M39" s="4"/>
    </row>
    <row r="40" spans="1:20" outlineLevel="1" x14ac:dyDescent="0.35">
      <c r="B40" s="282" t="s">
        <v>119</v>
      </c>
      <c r="C40" s="282" t="s">
        <v>898</v>
      </c>
      <c r="D40" s="6">
        <f>D16*1.2</f>
        <v>2.1905219686364538E-2</v>
      </c>
      <c r="E40" s="6">
        <f t="shared" si="3"/>
        <v>2.0061180332548539E-2</v>
      </c>
      <c r="F40" s="6">
        <f t="shared" si="3"/>
        <v>1.8619018232918907E-2</v>
      </c>
      <c r="G40" s="6">
        <f t="shared" si="3"/>
        <v>2.1905219686364538E-2</v>
      </c>
      <c r="H40" s="6">
        <f t="shared" si="3"/>
        <v>2.0061180332548539E-2</v>
      </c>
      <c r="I40" s="6">
        <f t="shared" si="3"/>
        <v>1.8619018232918907E-2</v>
      </c>
      <c r="J40" s="6">
        <f t="shared" si="3"/>
        <v>4.3810439372729076E-2</v>
      </c>
      <c r="K40" s="6">
        <f t="shared" si="3"/>
        <v>4.0122360665097077E-2</v>
      </c>
      <c r="L40" s="6">
        <f t="shared" si="3"/>
        <v>3.7238036465837815E-2</v>
      </c>
      <c r="M40" s="4"/>
    </row>
    <row r="41" spans="1:20" outlineLevel="1" x14ac:dyDescent="0.35">
      <c r="B41" s="282" t="s">
        <v>120</v>
      </c>
      <c r="C41" s="282" t="s">
        <v>898</v>
      </c>
      <c r="D41" s="6">
        <f>D17*1.2</f>
        <v>2.5779022919395013E-7</v>
      </c>
      <c r="E41" s="6">
        <f t="shared" si="3"/>
        <v>6.2221730389578939E-4</v>
      </c>
      <c r="F41" s="6">
        <f t="shared" si="3"/>
        <v>5.8982693187399377E-4</v>
      </c>
      <c r="G41" s="6">
        <f t="shared" si="3"/>
        <v>6.444755729848753E-4</v>
      </c>
      <c r="H41" s="6">
        <f t="shared" si="3"/>
        <v>6.2221730389578939E-4</v>
      </c>
      <c r="I41" s="6">
        <f t="shared" si="3"/>
        <v>5.8982693187399377E-4</v>
      </c>
      <c r="J41" s="6">
        <f t="shared" si="3"/>
        <v>2.5779022919395013E-7</v>
      </c>
      <c r="K41" s="6">
        <f t="shared" si="3"/>
        <v>6.2221730389578939E-4</v>
      </c>
      <c r="L41" s="6">
        <f t="shared" si="3"/>
        <v>5.8982693187399377E-4</v>
      </c>
      <c r="M41" s="4"/>
    </row>
    <row r="42" spans="1:20" outlineLevel="1" x14ac:dyDescent="0.35">
      <c r="B42" s="282" t="s">
        <v>121</v>
      </c>
      <c r="C42" s="282" t="s">
        <v>898</v>
      </c>
      <c r="D42" s="6">
        <f>D18</f>
        <v>0.4201052617649354</v>
      </c>
      <c r="E42" s="6">
        <f t="shared" ref="E42:L45" si="4">E18</f>
        <v>0.41337054804260037</v>
      </c>
      <c r="F42" s="6">
        <f t="shared" si="4"/>
        <v>0.40564349401215766</v>
      </c>
      <c r="G42" s="6">
        <f t="shared" si="4"/>
        <v>0.4201052617649354</v>
      </c>
      <c r="H42" s="6">
        <f t="shared" si="4"/>
        <v>0.41337054804260037</v>
      </c>
      <c r="I42" s="6">
        <f t="shared" si="4"/>
        <v>0.40564349401215766</v>
      </c>
      <c r="J42" s="6">
        <f t="shared" si="4"/>
        <v>0.8402105235298708</v>
      </c>
      <c r="K42" s="6">
        <f t="shared" si="4"/>
        <v>0.82674109608520074</v>
      </c>
      <c r="L42" s="6">
        <f t="shared" si="4"/>
        <v>0.81128698802431531</v>
      </c>
      <c r="M42" s="4"/>
    </row>
    <row r="43" spans="1:20" outlineLevel="1" x14ac:dyDescent="0.35">
      <c r="B43" s="282" t="s">
        <v>797</v>
      </c>
      <c r="C43" s="282" t="s">
        <v>898</v>
      </c>
      <c r="D43" s="6">
        <f>D19</f>
        <v>0</v>
      </c>
      <c r="E43" s="6">
        <f t="shared" si="4"/>
        <v>0</v>
      </c>
      <c r="F43" s="6">
        <f t="shared" si="4"/>
        <v>0</v>
      </c>
      <c r="G43" s="6">
        <f t="shared" si="4"/>
        <v>0</v>
      </c>
      <c r="H43" s="6">
        <f t="shared" si="4"/>
        <v>0</v>
      </c>
      <c r="I43" s="6">
        <f t="shared" si="4"/>
        <v>0</v>
      </c>
      <c r="J43" s="6">
        <f t="shared" si="4"/>
        <v>8.5257556615258974</v>
      </c>
      <c r="K43" s="6">
        <f t="shared" si="4"/>
        <v>8.3524882467394814</v>
      </c>
      <c r="L43" s="6">
        <f t="shared" si="4"/>
        <v>7.8224872559451661</v>
      </c>
      <c r="M43" s="4"/>
    </row>
    <row r="44" spans="1:20" outlineLevel="1" x14ac:dyDescent="0.35">
      <c r="B44" s="282" t="s">
        <v>122</v>
      </c>
      <c r="C44" s="282" t="s">
        <v>898</v>
      </c>
      <c r="D44" s="6">
        <f>D20</f>
        <v>26.583558904647113</v>
      </c>
      <c r="E44" s="6">
        <f t="shared" si="4"/>
        <v>22.685684526739678</v>
      </c>
      <c r="F44" s="6">
        <f t="shared" si="4"/>
        <v>17.551540056485525</v>
      </c>
      <c r="G44" s="6">
        <f t="shared" si="4"/>
        <v>20.930852521259517</v>
      </c>
      <c r="H44" s="6">
        <f t="shared" si="4"/>
        <v>17.95418181361881</v>
      </c>
      <c r="I44" s="6">
        <f t="shared" si="4"/>
        <v>14.020431224008696</v>
      </c>
      <c r="J44" s="6">
        <f t="shared" si="4"/>
        <v>6.8338689077228105</v>
      </c>
      <c r="K44" s="6">
        <f t="shared" si="4"/>
        <v>6.7836022128614539</v>
      </c>
      <c r="L44" s="6">
        <f t="shared" si="4"/>
        <v>6.6101490437913641</v>
      </c>
      <c r="M44" s="4"/>
    </row>
    <row r="45" spans="1:20" outlineLevel="1" x14ac:dyDescent="0.35">
      <c r="B45" s="282" t="s">
        <v>123</v>
      </c>
      <c r="C45" s="282" t="s">
        <v>898</v>
      </c>
      <c r="D45" s="6">
        <f>D21</f>
        <v>2.0807973659826957</v>
      </c>
      <c r="E45" s="6">
        <f t="shared" si="4"/>
        <v>1.7871934348322114</v>
      </c>
      <c r="F45" s="6">
        <f t="shared" si="4"/>
        <v>1.3941400561452164</v>
      </c>
      <c r="G45" s="6">
        <f t="shared" si="4"/>
        <v>2.0807973659826957</v>
      </c>
      <c r="H45" s="6">
        <f t="shared" si="4"/>
        <v>1.7871934348322114</v>
      </c>
      <c r="I45" s="6">
        <f t="shared" si="4"/>
        <v>1.3941400561452164</v>
      </c>
      <c r="J45" s="6">
        <f t="shared" si="4"/>
        <v>2.0807973659826957</v>
      </c>
      <c r="K45" s="6">
        <f t="shared" si="4"/>
        <v>1.7871934348322114</v>
      </c>
      <c r="L45" s="6">
        <f t="shared" si="4"/>
        <v>1.3941400561452164</v>
      </c>
      <c r="M45" s="4"/>
    </row>
    <row r="46" spans="1:20" outlineLevel="1" x14ac:dyDescent="0.35">
      <c r="D46" s="6"/>
      <c r="E46" s="6"/>
      <c r="F46" s="6"/>
      <c r="G46" s="6"/>
      <c r="H46" s="6"/>
      <c r="I46" s="6"/>
      <c r="J46" s="6"/>
      <c r="K46" s="6"/>
      <c r="L46" s="6"/>
      <c r="M46" s="4"/>
    </row>
    <row r="47" spans="1:20" outlineLevel="1" x14ac:dyDescent="0.35">
      <c r="B47" s="282" t="s">
        <v>137</v>
      </c>
      <c r="C47" s="282" t="s">
        <v>898</v>
      </c>
      <c r="D47" s="6">
        <f>SUM(D38:D46)</f>
        <v>30.624540209607265</v>
      </c>
      <c r="E47" s="6">
        <f t="shared" ref="E47:L47" si="5">SUM(E38:E46)</f>
        <v>26.397090217734728</v>
      </c>
      <c r="F47" s="6">
        <f t="shared" si="5"/>
        <v>20.782124966328755</v>
      </c>
      <c r="G47" s="6">
        <f t="shared" si="5"/>
        <v>24.972478044002425</v>
      </c>
      <c r="H47" s="6">
        <f t="shared" si="5"/>
        <v>21.66558750461386</v>
      </c>
      <c r="I47" s="6">
        <f t="shared" si="5"/>
        <v>17.251016133851927</v>
      </c>
      <c r="J47" s="6">
        <f t="shared" si="5"/>
        <v>21.185793225191382</v>
      </c>
      <c r="K47" s="6">
        <f t="shared" si="5"/>
        <v>20.598049175625587</v>
      </c>
      <c r="L47" s="6">
        <f t="shared" si="5"/>
        <v>19.331289502997844</v>
      </c>
      <c r="M47" s="4"/>
    </row>
    <row r="48" spans="1:20" outlineLevel="1" x14ac:dyDescent="0.35">
      <c r="M48" s="4"/>
      <c r="T48" s="282"/>
    </row>
    <row r="49" spans="1:23" s="33" customFormat="1" ht="15.5" x14ac:dyDescent="0.35">
      <c r="A49" s="51" t="s">
        <v>503</v>
      </c>
      <c r="B49" s="4"/>
      <c r="C49" s="4"/>
      <c r="D49" s="4"/>
      <c r="E49" s="4"/>
      <c r="F49" s="4"/>
      <c r="G49" s="4"/>
      <c r="H49" s="4"/>
      <c r="I49" s="4"/>
      <c r="J49" s="4"/>
      <c r="K49" s="4"/>
      <c r="L49" s="4"/>
      <c r="M49" s="4"/>
      <c r="N49" s="282"/>
      <c r="O49" s="282"/>
      <c r="P49" s="282"/>
      <c r="Q49" s="282"/>
      <c r="R49" s="282"/>
      <c r="S49" s="282"/>
      <c r="T49" s="282"/>
      <c r="U49" s="282"/>
      <c r="V49" s="282"/>
      <c r="W49" s="282"/>
    </row>
    <row r="50" spans="1:23" s="33" customFormat="1" outlineLevel="1" x14ac:dyDescent="0.35">
      <c r="A50" s="15" t="s">
        <v>568</v>
      </c>
      <c r="B50" s="30"/>
      <c r="C50" s="140" t="s">
        <v>180</v>
      </c>
      <c r="D50" s="6" t="s">
        <v>889</v>
      </c>
      <c r="E50" s="6" t="s">
        <v>891</v>
      </c>
      <c r="F50" s="6" t="s">
        <v>890</v>
      </c>
      <c r="G50" s="6" t="s">
        <v>892</v>
      </c>
      <c r="H50" s="6" t="s">
        <v>893</v>
      </c>
      <c r="I50" s="6" t="s">
        <v>894</v>
      </c>
      <c r="J50" s="6" t="s">
        <v>896</v>
      </c>
      <c r="K50" s="6" t="s">
        <v>897</v>
      </c>
      <c r="L50" s="6" t="s">
        <v>895</v>
      </c>
      <c r="M50" s="4"/>
      <c r="N50" s="282"/>
      <c r="O50" s="282"/>
      <c r="P50" s="282"/>
      <c r="Q50" s="282"/>
      <c r="R50" s="282"/>
      <c r="S50" s="282"/>
      <c r="T50" s="282"/>
      <c r="U50" s="282"/>
      <c r="V50" s="282"/>
      <c r="W50" s="282"/>
    </row>
    <row r="51" spans="1:23" s="33" customFormat="1" outlineLevel="1" x14ac:dyDescent="0.35">
      <c r="B51" s="282" t="s">
        <v>117</v>
      </c>
      <c r="C51" s="282" t="s">
        <v>898</v>
      </c>
      <c r="D51" s="6">
        <f>'Results ReCiPe (H) - RD'!B467</f>
        <v>1.1572736269513593</v>
      </c>
      <c r="E51" s="6">
        <f>'Results ReCiPe (H) - RD'!C467</f>
        <v>1.1350206061764658</v>
      </c>
      <c r="F51" s="6">
        <f>'Results ReCiPe (H) - RD'!D467</f>
        <v>1.0727718624716902</v>
      </c>
      <c r="G51" s="6">
        <f>'Results ReCiPe (H) - RD'!E467</f>
        <v>1.1572736269513593</v>
      </c>
      <c r="H51" s="6">
        <f>'Results ReCiPe (H) - RD'!F467</f>
        <v>1.1350206061764658</v>
      </c>
      <c r="I51" s="6">
        <f>'Results ReCiPe (H) - RD'!G467</f>
        <v>1.0727718624716902</v>
      </c>
      <c r="J51" s="6">
        <f>'Results ReCiPe (H) - RD'!H467</f>
        <v>2.2765876848940438</v>
      </c>
      <c r="K51" s="6">
        <f>'Results ReCiPe (H) - RD'!I467</f>
        <v>2.2326216867218416</v>
      </c>
      <c r="L51" s="6">
        <f>'Results ReCiPe (H) - RD'!J467</f>
        <v>2.1092766801158631</v>
      </c>
      <c r="M51" s="4"/>
      <c r="N51" s="282"/>
      <c r="O51" s="282"/>
      <c r="P51" s="282"/>
      <c r="Q51" s="282"/>
      <c r="R51" s="282"/>
      <c r="S51" s="282"/>
      <c r="T51" s="282"/>
      <c r="U51" s="282"/>
      <c r="V51" s="282"/>
      <c r="W51" s="282"/>
    </row>
    <row r="52" spans="1:23" s="33" customFormat="1" outlineLevel="1" x14ac:dyDescent="0.35">
      <c r="A52" s="282"/>
      <c r="B52" s="282" t="s">
        <v>118</v>
      </c>
      <c r="C52" s="282" t="s">
        <v>898</v>
      </c>
      <c r="D52" s="6">
        <f>'Results ReCiPe (H) - RD'!B468</f>
        <v>0.10787070616191249</v>
      </c>
      <c r="E52" s="6">
        <f>'Results ReCiPe (H) - RD'!C468</f>
        <v>0.10677798589336331</v>
      </c>
      <c r="F52" s="6">
        <f>'Results ReCiPe (H) - RD'!D468</f>
        <v>0.10355523296253079</v>
      </c>
      <c r="G52" s="6">
        <f>'Results ReCiPe (H) - RD'!E468</f>
        <v>0.10787070616191249</v>
      </c>
      <c r="H52" s="6">
        <f>'Results ReCiPe (H) - RD'!F468</f>
        <v>0.10677798589336331</v>
      </c>
      <c r="I52" s="6">
        <f>'Results ReCiPe (H) - RD'!G468</f>
        <v>0.10355523296253079</v>
      </c>
      <c r="J52" s="6">
        <f>'Results ReCiPe (H) - RD'!H468</f>
        <v>0.10787070616191249</v>
      </c>
      <c r="K52" s="6">
        <f>'Results ReCiPe (H) - RD'!I468</f>
        <v>0.10677798589336331</v>
      </c>
      <c r="L52" s="6">
        <f>'Results ReCiPe (H) - RD'!J468</f>
        <v>0.10355523296253079</v>
      </c>
      <c r="M52" s="4"/>
      <c r="R52" s="32"/>
    </row>
    <row r="53" spans="1:23" s="33" customFormat="1" outlineLevel="1" x14ac:dyDescent="0.35">
      <c r="A53" s="282"/>
      <c r="B53" s="282" t="s">
        <v>119</v>
      </c>
      <c r="C53" s="282" t="s">
        <v>898</v>
      </c>
      <c r="D53" s="6">
        <f>'Results ReCiPe (H) - RD'!B469</f>
        <v>1.8254349738637116E-2</v>
      </c>
      <c r="E53" s="6">
        <f>'Results ReCiPe (H) - RD'!C469</f>
        <v>1.6717650277123783E-2</v>
      </c>
      <c r="F53" s="6">
        <f>'Results ReCiPe (H) - RD'!D469</f>
        <v>1.5515848527432425E-2</v>
      </c>
      <c r="G53" s="6">
        <f>'Results ReCiPe (H) - RD'!E469</f>
        <v>1.8254349738637116E-2</v>
      </c>
      <c r="H53" s="6">
        <f>'Results ReCiPe (H) - RD'!F469</f>
        <v>1.6717650277123783E-2</v>
      </c>
      <c r="I53" s="6">
        <f>'Results ReCiPe (H) - RD'!G469</f>
        <v>1.5515848527432425E-2</v>
      </c>
      <c r="J53" s="6">
        <f>'Results ReCiPe (H) - RD'!H469</f>
        <v>3.6508699477274233E-2</v>
      </c>
      <c r="K53" s="6">
        <f>'Results ReCiPe (H) - RD'!I469</f>
        <v>3.3435300554247566E-2</v>
      </c>
      <c r="L53" s="6">
        <f>'Results ReCiPe (H) - RD'!J469</f>
        <v>3.1031697054864849E-2</v>
      </c>
      <c r="M53" s="4"/>
      <c r="R53" s="6"/>
    </row>
    <row r="54" spans="1:23" s="33" customFormat="1" outlineLevel="1" x14ac:dyDescent="0.35">
      <c r="A54" s="282"/>
      <c r="B54" s="282" t="s">
        <v>120</v>
      </c>
      <c r="C54" s="282" t="s">
        <v>898</v>
      </c>
      <c r="D54" s="6">
        <f>'Results ReCiPe (H) - RD'!B470</f>
        <v>2.1482519099495843E-7</v>
      </c>
      <c r="E54" s="6">
        <f>'Results ReCiPe (H) - RD'!C470</f>
        <v>5.1851441991315782E-4</v>
      </c>
      <c r="F54" s="6">
        <f>'Results ReCiPe (H) - RD'!D470</f>
        <v>4.9152244322832816E-4</v>
      </c>
      <c r="G54" s="6">
        <f>'Results ReCiPe (H) - RD'!E470</f>
        <v>5.3706297748739608E-4</v>
      </c>
      <c r="H54" s="6">
        <f>'Results ReCiPe (H) - RD'!F470</f>
        <v>5.1851441991315782E-4</v>
      </c>
      <c r="I54" s="6">
        <f>'Results ReCiPe (H) - RD'!G470</f>
        <v>4.9152244322832816E-4</v>
      </c>
      <c r="J54" s="6">
        <f>'Results ReCiPe (H) - RD'!H470</f>
        <v>2.1482519099495843E-7</v>
      </c>
      <c r="K54" s="6">
        <f>'Results ReCiPe (H) - RD'!I470</f>
        <v>5.1851441991315782E-4</v>
      </c>
      <c r="L54" s="6">
        <f>'Results ReCiPe (H) - RD'!J470</f>
        <v>4.9152244322832816E-4</v>
      </c>
      <c r="M54" s="4"/>
      <c r="R54" s="6"/>
    </row>
    <row r="55" spans="1:23" s="33" customFormat="1" outlineLevel="1" x14ac:dyDescent="0.35">
      <c r="A55" s="282"/>
      <c r="B55" s="282" t="s">
        <v>121</v>
      </c>
      <c r="C55" s="282" t="s">
        <v>898</v>
      </c>
      <c r="D55" s="6">
        <f>'Results ReCiPe (H) - RD'!B471</f>
        <v>0.4201052617649354</v>
      </c>
      <c r="E55" s="6">
        <f>'Results ReCiPe (H) - RD'!C471</f>
        <v>0.41337054804260037</v>
      </c>
      <c r="F55" s="6">
        <f>'Results ReCiPe (H) - RD'!D471</f>
        <v>0.40564349401215766</v>
      </c>
      <c r="G55" s="6">
        <f>'Results ReCiPe (H) - RD'!E471</f>
        <v>0.4201052617649354</v>
      </c>
      <c r="H55" s="6">
        <f>'Results ReCiPe (H) - RD'!F471</f>
        <v>0.41337054804260037</v>
      </c>
      <c r="I55" s="6">
        <f>'Results ReCiPe (H) - RD'!G471</f>
        <v>0.40564349401215766</v>
      </c>
      <c r="J55" s="6">
        <f>'Results ReCiPe (H) - RD'!H471</f>
        <v>0.8402105235298708</v>
      </c>
      <c r="K55" s="6">
        <f>'Results ReCiPe (H) - RD'!I471</f>
        <v>0.82674109608520074</v>
      </c>
      <c r="L55" s="6">
        <f>'Results ReCiPe (H) - RD'!J471</f>
        <v>0.81128698802431531</v>
      </c>
      <c r="M55" s="4"/>
      <c r="R55" s="6"/>
    </row>
    <row r="56" spans="1:23" s="33" customFormat="1" outlineLevel="1" x14ac:dyDescent="0.35">
      <c r="A56" s="282"/>
      <c r="B56" s="282" t="s">
        <v>797</v>
      </c>
      <c r="C56" s="282" t="s">
        <v>898</v>
      </c>
      <c r="D56" s="6">
        <f>'Results ReCiPe (H) - RD'!B472</f>
        <v>0</v>
      </c>
      <c r="E56" s="6">
        <f>'Results ReCiPe (H) - RD'!C472</f>
        <v>0</v>
      </c>
      <c r="F56" s="6">
        <f>'Results ReCiPe (H) - RD'!D472</f>
        <v>0</v>
      </c>
      <c r="G56" s="6">
        <f>'Results ReCiPe (H) - RD'!E472</f>
        <v>0</v>
      </c>
      <c r="H56" s="6">
        <f>'Results ReCiPe (H) - RD'!F472</f>
        <v>0</v>
      </c>
      <c r="I56" s="6">
        <f>'Results ReCiPe (H) - RD'!G472</f>
        <v>0</v>
      </c>
      <c r="J56" s="6">
        <f>'Results ReCiPe (H) - RD'!H472</f>
        <v>8.5257556615258974</v>
      </c>
      <c r="K56" s="6">
        <f>'Results ReCiPe (H) - RD'!I472</f>
        <v>8.3524882467394814</v>
      </c>
      <c r="L56" s="6">
        <f>'Results ReCiPe (H) - RD'!J472</f>
        <v>7.8224872559451661</v>
      </c>
      <c r="M56" s="4"/>
      <c r="R56" s="6"/>
    </row>
    <row r="57" spans="1:23" s="33" customFormat="1" outlineLevel="1" x14ac:dyDescent="0.35">
      <c r="A57" s="282"/>
      <c r="B57" s="282" t="s">
        <v>122</v>
      </c>
      <c r="C57" s="282" t="s">
        <v>898</v>
      </c>
      <c r="D57" s="6">
        <f>'Results ReCiPe (H) - RD'!B473</f>
        <v>26.583558904647113</v>
      </c>
      <c r="E57" s="6">
        <f>'Results ReCiPe (H) - RD'!C473</f>
        <v>22.685684526739678</v>
      </c>
      <c r="F57" s="6">
        <f>'Results ReCiPe (H) - RD'!D473</f>
        <v>17.551540056485525</v>
      </c>
      <c r="G57" s="6">
        <f>'Results ReCiPe (H) - RD'!E473</f>
        <v>20.930852521259517</v>
      </c>
      <c r="H57" s="6">
        <f>'Results ReCiPe (H) - RD'!F473</f>
        <v>17.95418181361881</v>
      </c>
      <c r="I57" s="6">
        <f>'Results ReCiPe (H) - RD'!G473</f>
        <v>14.020431224008696</v>
      </c>
      <c r="J57" s="6">
        <f>'Results ReCiPe (H) - RD'!H473</f>
        <v>6.8338689077228105</v>
      </c>
      <c r="K57" s="6">
        <f>'Results ReCiPe (H) - RD'!I473</f>
        <v>6.7836022128614539</v>
      </c>
      <c r="L57" s="6">
        <f>'Results ReCiPe (H) - RD'!J473</f>
        <v>6.6101490437913641</v>
      </c>
      <c r="M57" s="4"/>
      <c r="R57" s="6"/>
    </row>
    <row r="58" spans="1:23" s="33" customFormat="1" outlineLevel="1" x14ac:dyDescent="0.35">
      <c r="A58" s="282"/>
      <c r="B58" s="282" t="s">
        <v>123</v>
      </c>
      <c r="C58" s="282" t="s">
        <v>898</v>
      </c>
      <c r="D58" s="6">
        <f>'Results ReCiPe (H) - RD'!B474</f>
        <v>2.0807973659826957</v>
      </c>
      <c r="E58" s="6">
        <f>'Results ReCiPe (H) - RD'!C474</f>
        <v>1.7871934348322114</v>
      </c>
      <c r="F58" s="6">
        <f>'Results ReCiPe (H) - RD'!D474</f>
        <v>1.3941400561452164</v>
      </c>
      <c r="G58" s="6">
        <f>'Results ReCiPe (H) - RD'!E474</f>
        <v>2.0807973659826957</v>
      </c>
      <c r="H58" s="6">
        <f>'Results ReCiPe (H) - RD'!F474</f>
        <v>1.7871934348322114</v>
      </c>
      <c r="I58" s="6">
        <f>'Results ReCiPe (H) - RD'!G474</f>
        <v>1.3941400561452164</v>
      </c>
      <c r="J58" s="6">
        <f>'Results ReCiPe (H) - RD'!H474</f>
        <v>2.0807973659826957</v>
      </c>
      <c r="K58" s="6">
        <f>'Results ReCiPe (H) - RD'!I474</f>
        <v>1.7871934348322114</v>
      </c>
      <c r="L58" s="6">
        <f>'Results ReCiPe (H) - RD'!J474</f>
        <v>1.3941400561452164</v>
      </c>
      <c r="M58" s="4"/>
      <c r="R58" s="282"/>
    </row>
    <row r="59" spans="1:23" s="33" customFormat="1" outlineLevel="1" x14ac:dyDescent="0.35">
      <c r="A59" s="282"/>
      <c r="B59" s="282"/>
      <c r="C59" s="282"/>
      <c r="D59" s="6"/>
      <c r="E59" s="6"/>
      <c r="F59" s="6"/>
      <c r="G59" s="6"/>
      <c r="H59" s="6"/>
      <c r="I59" s="6"/>
      <c r="J59" s="6"/>
      <c r="K59" s="6"/>
      <c r="L59" s="6"/>
      <c r="M59" s="4"/>
      <c r="R59" s="282"/>
    </row>
    <row r="60" spans="1:23" s="33" customFormat="1" outlineLevel="1" x14ac:dyDescent="0.35">
      <c r="A60" s="282"/>
      <c r="B60" s="282" t="s">
        <v>137</v>
      </c>
      <c r="C60" s="282" t="s">
        <v>898</v>
      </c>
      <c r="D60" s="6">
        <f>'Results ReCiPe (H) - RD'!B476</f>
        <v>30.367860430071847</v>
      </c>
      <c r="E60" s="6">
        <f>'Results ReCiPe (H) - RD'!C476</f>
        <v>26.145283266381348</v>
      </c>
      <c r="F60" s="6">
        <f>'Results ReCiPe (H) - RD'!D476</f>
        <v>20.543658073047776</v>
      </c>
      <c r="G60" s="6">
        <f>'Results ReCiPe (H) - RD'!E476</f>
        <v>24.715690894836545</v>
      </c>
      <c r="H60" s="6">
        <f>'Results ReCiPe (H) - RD'!F476</f>
        <v>21.413780553260484</v>
      </c>
      <c r="I60" s="6">
        <f>'Results ReCiPe (H) - RD'!G476</f>
        <v>17.012549240570952</v>
      </c>
      <c r="J60" s="6">
        <f>'Results ReCiPe (H) - RD'!H476</f>
        <v>20.701599764119692</v>
      </c>
      <c r="K60" s="6">
        <f>'Results ReCiPe (H) - RD'!I476</f>
        <v>20.123378478107711</v>
      </c>
      <c r="L60" s="6">
        <f>'Results ReCiPe (H) - RD'!J476</f>
        <v>18.882418476482552</v>
      </c>
      <c r="M60" s="4"/>
      <c r="R60" s="282"/>
    </row>
    <row r="61" spans="1:23" s="33" customFormat="1" outlineLevel="1" x14ac:dyDescent="0.35">
      <c r="A61" s="282"/>
      <c r="B61" s="282"/>
      <c r="C61" s="282"/>
      <c r="D61" s="3"/>
      <c r="E61" s="3"/>
      <c r="F61" s="3"/>
      <c r="G61" s="3"/>
      <c r="H61" s="3"/>
      <c r="I61" s="3"/>
      <c r="J61" s="3"/>
      <c r="K61" s="3"/>
      <c r="L61" s="3"/>
      <c r="M61" s="4"/>
      <c r="R61" s="282"/>
    </row>
    <row r="62" spans="1:23" s="33" customFormat="1" outlineLevel="1" x14ac:dyDescent="0.35">
      <c r="A62" s="15" t="s">
        <v>569</v>
      </c>
      <c r="B62" s="30"/>
      <c r="C62" s="140" t="s">
        <v>180</v>
      </c>
      <c r="D62" s="6" t="s">
        <v>889</v>
      </c>
      <c r="E62" s="6" t="s">
        <v>891</v>
      </c>
      <c r="F62" s="6" t="s">
        <v>890</v>
      </c>
      <c r="G62" s="6" t="s">
        <v>892</v>
      </c>
      <c r="H62" s="6" t="s">
        <v>893</v>
      </c>
      <c r="I62" s="6" t="s">
        <v>894</v>
      </c>
      <c r="J62" s="6" t="s">
        <v>896</v>
      </c>
      <c r="K62" s="6" t="s">
        <v>897</v>
      </c>
      <c r="L62" s="6" t="s">
        <v>895</v>
      </c>
      <c r="M62" s="4"/>
      <c r="N62" s="282"/>
      <c r="O62" s="282"/>
      <c r="P62" s="282"/>
      <c r="R62" s="282"/>
    </row>
    <row r="63" spans="1:23" s="33" customFormat="1" outlineLevel="1" x14ac:dyDescent="0.35">
      <c r="A63" s="282"/>
      <c r="B63" s="282" t="s">
        <v>117</v>
      </c>
      <c r="C63" s="282" t="s">
        <v>898</v>
      </c>
      <c r="D63" s="6">
        <f t="shared" ref="D63:L68" si="6">D51</f>
        <v>1.1572736269513593</v>
      </c>
      <c r="E63" s="6">
        <f t="shared" si="6"/>
        <v>1.1350206061764658</v>
      </c>
      <c r="F63" s="6">
        <f t="shared" si="6"/>
        <v>1.0727718624716902</v>
      </c>
      <c r="G63" s="6">
        <f t="shared" si="6"/>
        <v>1.1572736269513593</v>
      </c>
      <c r="H63" s="6">
        <f t="shared" si="6"/>
        <v>1.1350206061764658</v>
      </c>
      <c r="I63" s="6">
        <f t="shared" si="6"/>
        <v>1.0727718624716902</v>
      </c>
      <c r="J63" s="6">
        <f t="shared" si="6"/>
        <v>2.2765876848940438</v>
      </c>
      <c r="K63" s="6">
        <f t="shared" si="6"/>
        <v>2.2326216867218416</v>
      </c>
      <c r="L63" s="6">
        <f t="shared" si="6"/>
        <v>2.1092766801158631</v>
      </c>
      <c r="M63" s="4"/>
      <c r="N63" s="282"/>
      <c r="O63" s="282"/>
      <c r="P63" s="282"/>
      <c r="R63" s="282"/>
    </row>
    <row r="64" spans="1:23" s="33" customFormat="1" outlineLevel="1" x14ac:dyDescent="0.35">
      <c r="A64" s="282"/>
      <c r="B64" s="282" t="s">
        <v>118</v>
      </c>
      <c r="C64" s="282" t="s">
        <v>898</v>
      </c>
      <c r="D64" s="6">
        <f t="shared" si="6"/>
        <v>0.10787070616191249</v>
      </c>
      <c r="E64" s="6">
        <f t="shared" si="6"/>
        <v>0.10677798589336331</v>
      </c>
      <c r="F64" s="6">
        <f t="shared" si="6"/>
        <v>0.10355523296253079</v>
      </c>
      <c r="G64" s="6">
        <f t="shared" si="6"/>
        <v>0.10787070616191249</v>
      </c>
      <c r="H64" s="6">
        <f t="shared" si="6"/>
        <v>0.10677798589336331</v>
      </c>
      <c r="I64" s="6">
        <f t="shared" si="6"/>
        <v>0.10355523296253079</v>
      </c>
      <c r="J64" s="6">
        <f t="shared" si="6"/>
        <v>0.10787070616191249</v>
      </c>
      <c r="K64" s="6">
        <f t="shared" si="6"/>
        <v>0.10677798589336331</v>
      </c>
      <c r="L64" s="6">
        <f t="shared" si="6"/>
        <v>0.10355523296253079</v>
      </c>
      <c r="M64" s="4"/>
      <c r="N64" s="282"/>
      <c r="O64" s="282"/>
      <c r="P64" s="282"/>
      <c r="R64" s="282"/>
    </row>
    <row r="65" spans="1:18" s="33" customFormat="1" outlineLevel="1" x14ac:dyDescent="0.35">
      <c r="A65" s="282"/>
      <c r="B65" s="282" t="s">
        <v>119</v>
      </c>
      <c r="C65" s="282" t="s">
        <v>898</v>
      </c>
      <c r="D65" s="6">
        <f t="shared" si="6"/>
        <v>1.8254349738637116E-2</v>
      </c>
      <c r="E65" s="6">
        <f t="shared" si="6"/>
        <v>1.6717650277123783E-2</v>
      </c>
      <c r="F65" s="6">
        <f t="shared" si="6"/>
        <v>1.5515848527432425E-2</v>
      </c>
      <c r="G65" s="6">
        <f t="shared" si="6"/>
        <v>1.8254349738637116E-2</v>
      </c>
      <c r="H65" s="6">
        <f t="shared" si="6"/>
        <v>1.6717650277123783E-2</v>
      </c>
      <c r="I65" s="6">
        <f t="shared" si="6"/>
        <v>1.5515848527432425E-2</v>
      </c>
      <c r="J65" s="6">
        <f t="shared" si="6"/>
        <v>3.6508699477274233E-2</v>
      </c>
      <c r="K65" s="6">
        <f t="shared" si="6"/>
        <v>3.3435300554247566E-2</v>
      </c>
      <c r="L65" s="6">
        <f t="shared" si="6"/>
        <v>3.1031697054864849E-2</v>
      </c>
      <c r="M65" s="4"/>
      <c r="N65" s="282"/>
      <c r="O65" s="282"/>
      <c r="P65" s="282"/>
      <c r="Q65" s="282"/>
      <c r="R65" s="282"/>
    </row>
    <row r="66" spans="1:18" s="33" customFormat="1" outlineLevel="1" x14ac:dyDescent="0.35">
      <c r="A66" s="282"/>
      <c r="B66" s="282" t="s">
        <v>120</v>
      </c>
      <c r="C66" s="282" t="s">
        <v>898</v>
      </c>
      <c r="D66" s="6">
        <f t="shared" si="6"/>
        <v>2.1482519099495843E-7</v>
      </c>
      <c r="E66" s="6">
        <f t="shared" si="6"/>
        <v>5.1851441991315782E-4</v>
      </c>
      <c r="F66" s="6">
        <f t="shared" si="6"/>
        <v>4.9152244322832816E-4</v>
      </c>
      <c r="G66" s="6">
        <f t="shared" si="6"/>
        <v>5.3706297748739608E-4</v>
      </c>
      <c r="H66" s="6">
        <f t="shared" si="6"/>
        <v>5.1851441991315782E-4</v>
      </c>
      <c r="I66" s="6">
        <f t="shared" si="6"/>
        <v>4.9152244322832816E-4</v>
      </c>
      <c r="J66" s="6">
        <f t="shared" si="6"/>
        <v>2.1482519099495843E-7</v>
      </c>
      <c r="K66" s="6">
        <f t="shared" si="6"/>
        <v>5.1851441991315782E-4</v>
      </c>
      <c r="L66" s="6">
        <f t="shared" si="6"/>
        <v>4.9152244322832816E-4</v>
      </c>
      <c r="M66" s="4"/>
      <c r="N66" s="282"/>
      <c r="O66" s="282"/>
      <c r="P66" s="282"/>
      <c r="Q66" s="282"/>
      <c r="R66" s="282"/>
    </row>
    <row r="67" spans="1:18" s="33" customFormat="1" outlineLevel="1" x14ac:dyDescent="0.35">
      <c r="A67" s="282"/>
      <c r="B67" s="282" t="s">
        <v>121</v>
      </c>
      <c r="C67" s="282" t="s">
        <v>898</v>
      </c>
      <c r="D67" s="6">
        <f t="shared" si="6"/>
        <v>0.4201052617649354</v>
      </c>
      <c r="E67" s="6">
        <f t="shared" si="6"/>
        <v>0.41337054804260037</v>
      </c>
      <c r="F67" s="6">
        <f t="shared" si="6"/>
        <v>0.40564349401215766</v>
      </c>
      <c r="G67" s="6">
        <f t="shared" si="6"/>
        <v>0.4201052617649354</v>
      </c>
      <c r="H67" s="6">
        <f t="shared" si="6"/>
        <v>0.41337054804260037</v>
      </c>
      <c r="I67" s="6">
        <f t="shared" si="6"/>
        <v>0.40564349401215766</v>
      </c>
      <c r="J67" s="6">
        <f t="shared" si="6"/>
        <v>0.8402105235298708</v>
      </c>
      <c r="K67" s="6">
        <f t="shared" si="6"/>
        <v>0.82674109608520074</v>
      </c>
      <c r="L67" s="6">
        <f t="shared" si="6"/>
        <v>0.81128698802431531</v>
      </c>
      <c r="M67" s="4"/>
      <c r="N67" s="282"/>
      <c r="O67" s="282"/>
      <c r="P67" s="282"/>
      <c r="Q67" s="282"/>
      <c r="R67" s="282"/>
    </row>
    <row r="68" spans="1:18" s="33" customFormat="1" outlineLevel="1" x14ac:dyDescent="0.35">
      <c r="A68" s="282"/>
      <c r="B68" s="282" t="s">
        <v>797</v>
      </c>
      <c r="C68" s="282" t="s">
        <v>898</v>
      </c>
      <c r="D68" s="6">
        <f t="shared" si="6"/>
        <v>0</v>
      </c>
      <c r="E68" s="6">
        <f t="shared" si="6"/>
        <v>0</v>
      </c>
      <c r="F68" s="6">
        <f t="shared" si="6"/>
        <v>0</v>
      </c>
      <c r="G68" s="6">
        <f t="shared" si="6"/>
        <v>0</v>
      </c>
      <c r="H68" s="6">
        <f t="shared" si="6"/>
        <v>0</v>
      </c>
      <c r="I68" s="6">
        <f t="shared" si="6"/>
        <v>0</v>
      </c>
      <c r="J68" s="6">
        <f t="shared" si="6"/>
        <v>8.5257556615258974</v>
      </c>
      <c r="K68" s="6">
        <f t="shared" si="6"/>
        <v>8.3524882467394814</v>
      </c>
      <c r="L68" s="6">
        <f t="shared" si="6"/>
        <v>7.8224872559451661</v>
      </c>
      <c r="M68" s="4"/>
      <c r="N68" s="282"/>
      <c r="O68" s="282"/>
      <c r="P68" s="282"/>
      <c r="Q68" s="282"/>
      <c r="R68" s="282"/>
    </row>
    <row r="69" spans="1:18" s="33" customFormat="1" outlineLevel="1" x14ac:dyDescent="0.35">
      <c r="A69" s="282"/>
      <c r="B69" s="282" t="s">
        <v>122</v>
      </c>
      <c r="C69" s="282" t="s">
        <v>898</v>
      </c>
      <c r="D69" s="6">
        <f>D57/150*100</f>
        <v>17.722372603098073</v>
      </c>
      <c r="E69" s="6">
        <f t="shared" ref="E69:L69" si="7">E57/150*100</f>
        <v>15.123789684493119</v>
      </c>
      <c r="F69" s="6">
        <f t="shared" si="7"/>
        <v>11.701026704323683</v>
      </c>
      <c r="G69" s="6">
        <f t="shared" si="7"/>
        <v>13.953901680839678</v>
      </c>
      <c r="H69" s="6">
        <f t="shared" si="7"/>
        <v>11.96945454241254</v>
      </c>
      <c r="I69" s="6">
        <f t="shared" si="7"/>
        <v>9.3469541493391297</v>
      </c>
      <c r="J69" s="6">
        <f t="shared" si="7"/>
        <v>4.5559126051485404</v>
      </c>
      <c r="K69" s="6">
        <f t="shared" si="7"/>
        <v>4.5224014752409687</v>
      </c>
      <c r="L69" s="6">
        <f t="shared" si="7"/>
        <v>4.4067660291942428</v>
      </c>
      <c r="M69" s="4"/>
      <c r="N69" s="282"/>
      <c r="O69" s="282"/>
      <c r="P69" s="282"/>
      <c r="Q69" s="282"/>
      <c r="R69" s="282"/>
    </row>
    <row r="70" spans="1:18" s="33" customFormat="1" outlineLevel="1" x14ac:dyDescent="0.35">
      <c r="A70" s="282"/>
      <c r="B70" s="282" t="s">
        <v>123</v>
      </c>
      <c r="C70" s="282" t="s">
        <v>898</v>
      </c>
      <c r="D70" s="6">
        <f>D58</f>
        <v>2.0807973659826957</v>
      </c>
      <c r="E70" s="6">
        <f t="shared" ref="E70:L70" si="8">E58</f>
        <v>1.7871934348322114</v>
      </c>
      <c r="F70" s="6">
        <f t="shared" si="8"/>
        <v>1.3941400561452164</v>
      </c>
      <c r="G70" s="6">
        <f t="shared" si="8"/>
        <v>2.0807973659826957</v>
      </c>
      <c r="H70" s="6">
        <f t="shared" si="8"/>
        <v>1.7871934348322114</v>
      </c>
      <c r="I70" s="6">
        <f t="shared" si="8"/>
        <v>1.3941400561452164</v>
      </c>
      <c r="J70" s="6">
        <f t="shared" si="8"/>
        <v>2.0807973659826957</v>
      </c>
      <c r="K70" s="6">
        <f t="shared" si="8"/>
        <v>1.7871934348322114</v>
      </c>
      <c r="L70" s="6">
        <f t="shared" si="8"/>
        <v>1.3941400561452164</v>
      </c>
      <c r="M70" s="4"/>
      <c r="N70" s="282"/>
      <c r="O70" s="282"/>
      <c r="P70" s="282"/>
      <c r="Q70" s="282"/>
      <c r="R70" s="282"/>
    </row>
    <row r="71" spans="1:18" s="33" customFormat="1" outlineLevel="1" x14ac:dyDescent="0.35">
      <c r="A71" s="282"/>
      <c r="B71" s="282"/>
      <c r="C71" s="282"/>
      <c r="D71" s="6"/>
      <c r="E71" s="6"/>
      <c r="F71" s="6"/>
      <c r="G71" s="6"/>
      <c r="H71" s="6"/>
      <c r="I71" s="6"/>
      <c r="J71" s="6"/>
      <c r="K71" s="6"/>
      <c r="L71" s="6"/>
      <c r="M71" s="4"/>
      <c r="N71" s="282"/>
      <c r="O71" s="282"/>
      <c r="P71" s="282"/>
      <c r="Q71" s="282"/>
      <c r="R71" s="282"/>
    </row>
    <row r="72" spans="1:18" s="33" customFormat="1" outlineLevel="1" x14ac:dyDescent="0.35">
      <c r="A72" s="282"/>
      <c r="B72" s="282" t="s">
        <v>137</v>
      </c>
      <c r="C72" s="282" t="s">
        <v>898</v>
      </c>
      <c r="D72" s="6">
        <f>SUM(D63:D71)</f>
        <v>21.506674128522803</v>
      </c>
      <c r="E72" s="6">
        <f t="shared" ref="E72:L72" si="9">SUM(E63:E71)</f>
        <v>18.583388424134796</v>
      </c>
      <c r="F72" s="6">
        <f t="shared" si="9"/>
        <v>14.693144720885938</v>
      </c>
      <c r="G72" s="6">
        <f t="shared" si="9"/>
        <v>17.738740054416706</v>
      </c>
      <c r="H72" s="6">
        <f t="shared" si="9"/>
        <v>15.429053282054218</v>
      </c>
      <c r="I72" s="6">
        <f t="shared" si="9"/>
        <v>12.339072165901387</v>
      </c>
      <c r="J72" s="6">
        <f t="shared" si="9"/>
        <v>18.423643461545428</v>
      </c>
      <c r="K72" s="6">
        <f t="shared" si="9"/>
        <v>17.862177740487226</v>
      </c>
      <c r="L72" s="6">
        <f t="shared" si="9"/>
        <v>16.679035461885427</v>
      </c>
      <c r="M72" s="4"/>
      <c r="N72" s="282"/>
      <c r="O72" s="282"/>
      <c r="P72" s="282"/>
      <c r="Q72" s="282"/>
      <c r="R72" s="282"/>
    </row>
    <row r="73" spans="1:18" s="33" customFormat="1" outlineLevel="1" x14ac:dyDescent="0.35">
      <c r="A73" s="282"/>
      <c r="B73" s="282"/>
      <c r="C73" s="282"/>
      <c r="D73" s="282"/>
      <c r="E73" s="282"/>
      <c r="F73" s="282"/>
      <c r="G73" s="282"/>
      <c r="H73" s="282"/>
      <c r="I73" s="282"/>
      <c r="J73" s="282"/>
      <c r="K73" s="282"/>
      <c r="L73" s="282"/>
      <c r="M73" s="4"/>
      <c r="N73" s="282"/>
      <c r="O73" s="282"/>
      <c r="P73" s="282"/>
      <c r="R73" s="282"/>
    </row>
    <row r="74" spans="1:18" s="33" customFormat="1" outlineLevel="1" x14ac:dyDescent="0.35">
      <c r="A74" s="15" t="s">
        <v>570</v>
      </c>
      <c r="B74" s="30"/>
      <c r="C74" s="140" t="s">
        <v>180</v>
      </c>
      <c r="D74" s="6" t="s">
        <v>889</v>
      </c>
      <c r="E74" s="6" t="s">
        <v>891</v>
      </c>
      <c r="F74" s="6" t="s">
        <v>890</v>
      </c>
      <c r="G74" s="6" t="s">
        <v>892</v>
      </c>
      <c r="H74" s="6" t="s">
        <v>893</v>
      </c>
      <c r="I74" s="6" t="s">
        <v>894</v>
      </c>
      <c r="J74" s="6" t="s">
        <v>896</v>
      </c>
      <c r="K74" s="6" t="s">
        <v>897</v>
      </c>
      <c r="L74" s="6" t="s">
        <v>895</v>
      </c>
      <c r="M74" s="4"/>
      <c r="N74" s="282"/>
      <c r="O74" s="282"/>
      <c r="P74" s="282"/>
      <c r="R74" s="282"/>
    </row>
    <row r="75" spans="1:18" s="33" customFormat="1" outlineLevel="1" x14ac:dyDescent="0.35">
      <c r="A75" s="282"/>
      <c r="B75" s="282" t="s">
        <v>117</v>
      </c>
      <c r="C75" s="282" t="s">
        <v>898</v>
      </c>
      <c r="D75" s="6">
        <f t="shared" ref="D75:L80" si="10">D51</f>
        <v>1.1572736269513593</v>
      </c>
      <c r="E75" s="6">
        <f t="shared" si="10"/>
        <v>1.1350206061764658</v>
      </c>
      <c r="F75" s="6">
        <f t="shared" si="10"/>
        <v>1.0727718624716902</v>
      </c>
      <c r="G75" s="6">
        <f t="shared" si="10"/>
        <v>1.1572736269513593</v>
      </c>
      <c r="H75" s="6">
        <f t="shared" si="10"/>
        <v>1.1350206061764658</v>
      </c>
      <c r="I75" s="6">
        <f t="shared" si="10"/>
        <v>1.0727718624716902</v>
      </c>
      <c r="J75" s="6">
        <f t="shared" si="10"/>
        <v>2.2765876848940438</v>
      </c>
      <c r="K75" s="6">
        <f t="shared" si="10"/>
        <v>2.2326216867218416</v>
      </c>
      <c r="L75" s="6">
        <f t="shared" si="10"/>
        <v>2.1092766801158631</v>
      </c>
      <c r="M75" s="4"/>
      <c r="N75" s="282"/>
      <c r="O75" s="282"/>
      <c r="P75" s="282"/>
      <c r="R75" s="282"/>
    </row>
    <row r="76" spans="1:18" s="33" customFormat="1" outlineLevel="1" x14ac:dyDescent="0.35">
      <c r="A76" s="282"/>
      <c r="B76" s="282" t="s">
        <v>118</v>
      </c>
      <c r="C76" s="282" t="s">
        <v>898</v>
      </c>
      <c r="D76" s="6">
        <f t="shared" si="10"/>
        <v>0.10787070616191249</v>
      </c>
      <c r="E76" s="6">
        <f t="shared" si="10"/>
        <v>0.10677798589336331</v>
      </c>
      <c r="F76" s="6">
        <f t="shared" si="10"/>
        <v>0.10355523296253079</v>
      </c>
      <c r="G76" s="6">
        <f t="shared" si="10"/>
        <v>0.10787070616191249</v>
      </c>
      <c r="H76" s="6">
        <f t="shared" si="10"/>
        <v>0.10677798589336331</v>
      </c>
      <c r="I76" s="6">
        <f t="shared" si="10"/>
        <v>0.10355523296253079</v>
      </c>
      <c r="J76" s="6">
        <f t="shared" si="10"/>
        <v>0.10787070616191249</v>
      </c>
      <c r="K76" s="6">
        <f t="shared" si="10"/>
        <v>0.10677798589336331</v>
      </c>
      <c r="L76" s="6">
        <f t="shared" si="10"/>
        <v>0.10355523296253079</v>
      </c>
      <c r="M76" s="4"/>
      <c r="N76" s="282"/>
      <c r="O76" s="282"/>
      <c r="P76" s="282"/>
      <c r="R76" s="282"/>
    </row>
    <row r="77" spans="1:18" s="33" customFormat="1" outlineLevel="1" x14ac:dyDescent="0.35">
      <c r="A77" s="282"/>
      <c r="B77" s="282" t="s">
        <v>119</v>
      </c>
      <c r="C77" s="282" t="s">
        <v>898</v>
      </c>
      <c r="D77" s="6">
        <f t="shared" si="10"/>
        <v>1.8254349738637116E-2</v>
      </c>
      <c r="E77" s="6">
        <f t="shared" si="10"/>
        <v>1.6717650277123783E-2</v>
      </c>
      <c r="F77" s="6">
        <f t="shared" si="10"/>
        <v>1.5515848527432425E-2</v>
      </c>
      <c r="G77" s="6">
        <f t="shared" si="10"/>
        <v>1.8254349738637116E-2</v>
      </c>
      <c r="H77" s="6">
        <f t="shared" si="10"/>
        <v>1.6717650277123783E-2</v>
      </c>
      <c r="I77" s="6">
        <f t="shared" si="10"/>
        <v>1.5515848527432425E-2</v>
      </c>
      <c r="J77" s="6">
        <f t="shared" si="10"/>
        <v>3.6508699477274233E-2</v>
      </c>
      <c r="K77" s="6">
        <f t="shared" si="10"/>
        <v>3.3435300554247566E-2</v>
      </c>
      <c r="L77" s="6">
        <f t="shared" si="10"/>
        <v>3.1031697054864849E-2</v>
      </c>
      <c r="M77" s="4"/>
      <c r="N77" s="282"/>
      <c r="O77" s="282"/>
      <c r="P77" s="282"/>
      <c r="Q77" s="282"/>
      <c r="R77" s="282"/>
    </row>
    <row r="78" spans="1:18" s="33" customFormat="1" outlineLevel="1" x14ac:dyDescent="0.35">
      <c r="A78" s="282"/>
      <c r="B78" s="282" t="s">
        <v>120</v>
      </c>
      <c r="C78" s="282" t="s">
        <v>898</v>
      </c>
      <c r="D78" s="6">
        <f t="shared" si="10"/>
        <v>2.1482519099495843E-7</v>
      </c>
      <c r="E78" s="6">
        <f t="shared" si="10"/>
        <v>5.1851441991315782E-4</v>
      </c>
      <c r="F78" s="6">
        <f t="shared" si="10"/>
        <v>4.9152244322832816E-4</v>
      </c>
      <c r="G78" s="6">
        <f t="shared" si="10"/>
        <v>5.3706297748739608E-4</v>
      </c>
      <c r="H78" s="6">
        <f t="shared" si="10"/>
        <v>5.1851441991315782E-4</v>
      </c>
      <c r="I78" s="6">
        <f t="shared" si="10"/>
        <v>4.9152244322832816E-4</v>
      </c>
      <c r="J78" s="6">
        <f t="shared" si="10"/>
        <v>2.1482519099495843E-7</v>
      </c>
      <c r="K78" s="6">
        <f t="shared" si="10"/>
        <v>5.1851441991315782E-4</v>
      </c>
      <c r="L78" s="6">
        <f t="shared" si="10"/>
        <v>4.9152244322832816E-4</v>
      </c>
      <c r="M78" s="4"/>
      <c r="N78" s="282"/>
      <c r="O78" s="282"/>
      <c r="P78" s="282"/>
      <c r="Q78" s="282"/>
      <c r="R78" s="282"/>
    </row>
    <row r="79" spans="1:18" s="33" customFormat="1" outlineLevel="1" x14ac:dyDescent="0.35">
      <c r="A79" s="282"/>
      <c r="B79" s="282" t="s">
        <v>121</v>
      </c>
      <c r="C79" s="282" t="s">
        <v>898</v>
      </c>
      <c r="D79" s="6">
        <f t="shared" si="10"/>
        <v>0.4201052617649354</v>
      </c>
      <c r="E79" s="6">
        <f t="shared" si="10"/>
        <v>0.41337054804260037</v>
      </c>
      <c r="F79" s="6">
        <f t="shared" si="10"/>
        <v>0.40564349401215766</v>
      </c>
      <c r="G79" s="6">
        <f t="shared" si="10"/>
        <v>0.4201052617649354</v>
      </c>
      <c r="H79" s="6">
        <f t="shared" si="10"/>
        <v>0.41337054804260037</v>
      </c>
      <c r="I79" s="6">
        <f t="shared" si="10"/>
        <v>0.40564349401215766</v>
      </c>
      <c r="J79" s="6">
        <f t="shared" si="10"/>
        <v>0.8402105235298708</v>
      </c>
      <c r="K79" s="6">
        <f t="shared" si="10"/>
        <v>0.82674109608520074</v>
      </c>
      <c r="L79" s="6">
        <f t="shared" si="10"/>
        <v>0.81128698802431531</v>
      </c>
      <c r="M79" s="4"/>
      <c r="N79" s="282"/>
      <c r="O79" s="282"/>
      <c r="P79" s="282"/>
      <c r="Q79" s="282"/>
      <c r="R79" s="282"/>
    </row>
    <row r="80" spans="1:18" s="33" customFormat="1" outlineLevel="1" x14ac:dyDescent="0.35">
      <c r="A80" s="282"/>
      <c r="B80" s="282" t="s">
        <v>797</v>
      </c>
      <c r="C80" s="282" t="s">
        <v>898</v>
      </c>
      <c r="D80" s="6">
        <f t="shared" si="10"/>
        <v>0</v>
      </c>
      <c r="E80" s="6">
        <f t="shared" si="10"/>
        <v>0</v>
      </c>
      <c r="F80" s="6">
        <f t="shared" si="10"/>
        <v>0</v>
      </c>
      <c r="G80" s="6">
        <f t="shared" si="10"/>
        <v>0</v>
      </c>
      <c r="H80" s="6">
        <f t="shared" si="10"/>
        <v>0</v>
      </c>
      <c r="I80" s="6">
        <f t="shared" si="10"/>
        <v>0</v>
      </c>
      <c r="J80" s="6">
        <f t="shared" si="10"/>
        <v>8.5257556615258974</v>
      </c>
      <c r="K80" s="6">
        <f t="shared" si="10"/>
        <v>8.3524882467394814</v>
      </c>
      <c r="L80" s="6">
        <f t="shared" si="10"/>
        <v>7.8224872559451661</v>
      </c>
      <c r="M80" s="4"/>
      <c r="N80" s="282"/>
      <c r="O80" s="282"/>
      <c r="P80" s="282"/>
      <c r="Q80" s="282"/>
      <c r="R80" s="282"/>
    </row>
    <row r="81" spans="1:24" s="33" customFormat="1" outlineLevel="1" x14ac:dyDescent="0.35">
      <c r="A81" s="282"/>
      <c r="B81" s="282" t="s">
        <v>122</v>
      </c>
      <c r="C81" s="282" t="s">
        <v>898</v>
      </c>
      <c r="D81" s="6">
        <f>D57/150*250</f>
        <v>44.305931507745186</v>
      </c>
      <c r="E81" s="6">
        <f t="shared" ref="E81:L81" si="11">E57/150*250</f>
        <v>37.809474211232796</v>
      </c>
      <c r="F81" s="6">
        <f t="shared" si="11"/>
        <v>29.252566760809209</v>
      </c>
      <c r="G81" s="6">
        <f t="shared" si="11"/>
        <v>34.884754202099195</v>
      </c>
      <c r="H81" s="6">
        <f t="shared" si="11"/>
        <v>29.923636356031349</v>
      </c>
      <c r="I81" s="6">
        <f t="shared" si="11"/>
        <v>23.367385373347826</v>
      </c>
      <c r="J81" s="6">
        <f t="shared" si="11"/>
        <v>11.389781512871352</v>
      </c>
      <c r="K81" s="6">
        <f t="shared" si="11"/>
        <v>11.306003688102422</v>
      </c>
      <c r="L81" s="6">
        <f t="shared" si="11"/>
        <v>11.016915072985608</v>
      </c>
      <c r="M81" s="4"/>
      <c r="N81" s="282"/>
      <c r="O81" s="282"/>
      <c r="P81" s="282"/>
      <c r="Q81" s="282"/>
      <c r="R81" s="282"/>
    </row>
    <row r="82" spans="1:24" s="33" customFormat="1" outlineLevel="1" x14ac:dyDescent="0.35">
      <c r="A82" s="282"/>
      <c r="B82" s="282" t="s">
        <v>123</v>
      </c>
      <c r="C82" s="282" t="s">
        <v>898</v>
      </c>
      <c r="D82" s="6">
        <f>D58</f>
        <v>2.0807973659826957</v>
      </c>
      <c r="E82" s="6">
        <f t="shared" ref="E82:L82" si="12">E58</f>
        <v>1.7871934348322114</v>
      </c>
      <c r="F82" s="6">
        <f t="shared" si="12"/>
        <v>1.3941400561452164</v>
      </c>
      <c r="G82" s="6">
        <f t="shared" si="12"/>
        <v>2.0807973659826957</v>
      </c>
      <c r="H82" s="6">
        <f t="shared" si="12"/>
        <v>1.7871934348322114</v>
      </c>
      <c r="I82" s="6">
        <f t="shared" si="12"/>
        <v>1.3941400561452164</v>
      </c>
      <c r="J82" s="6">
        <f t="shared" si="12"/>
        <v>2.0807973659826957</v>
      </c>
      <c r="K82" s="6">
        <f t="shared" si="12"/>
        <v>1.7871934348322114</v>
      </c>
      <c r="L82" s="6">
        <f t="shared" si="12"/>
        <v>1.3941400561452164</v>
      </c>
      <c r="M82" s="4"/>
      <c r="N82" s="282"/>
      <c r="O82" s="282"/>
      <c r="P82" s="282"/>
      <c r="Q82" s="282"/>
      <c r="R82" s="282"/>
    </row>
    <row r="83" spans="1:24" s="33" customFormat="1" outlineLevel="1" x14ac:dyDescent="0.35">
      <c r="A83" s="282"/>
      <c r="B83" s="282"/>
      <c r="C83" s="282"/>
      <c r="D83" s="6"/>
      <c r="E83" s="6"/>
      <c r="F83" s="6"/>
      <c r="G83" s="6"/>
      <c r="H83" s="6"/>
      <c r="I83" s="6"/>
      <c r="J83" s="6"/>
      <c r="K83" s="6"/>
      <c r="L83" s="6"/>
      <c r="M83" s="4"/>
      <c r="N83" s="282"/>
      <c r="O83" s="34"/>
      <c r="P83" s="32"/>
      <c r="Q83" s="32"/>
      <c r="R83" s="32"/>
    </row>
    <row r="84" spans="1:24" s="33" customFormat="1" outlineLevel="1" x14ac:dyDescent="0.35">
      <c r="A84" s="282"/>
      <c r="B84" s="282" t="s">
        <v>137</v>
      </c>
      <c r="C84" s="282" t="s">
        <v>898</v>
      </c>
      <c r="D84" s="6">
        <f>SUM(D75:D83)</f>
        <v>48.090233033169916</v>
      </c>
      <c r="E84" s="6">
        <f t="shared" ref="E84:L84" si="13">SUM(E75:E83)</f>
        <v>41.269072950874474</v>
      </c>
      <c r="F84" s="6">
        <f t="shared" si="13"/>
        <v>32.244684777371468</v>
      </c>
      <c r="G84" s="6">
        <f t="shared" si="13"/>
        <v>38.669592575676226</v>
      </c>
      <c r="H84" s="6">
        <f t="shared" si="13"/>
        <v>33.383235095673029</v>
      </c>
      <c r="I84" s="6">
        <f t="shared" si="13"/>
        <v>26.359503389910081</v>
      </c>
      <c r="J84" s="6">
        <f t="shared" si="13"/>
        <v>25.257512369268241</v>
      </c>
      <c r="K84" s="6">
        <f t="shared" si="13"/>
        <v>24.645779953348679</v>
      </c>
      <c r="L84" s="6">
        <f t="shared" si="13"/>
        <v>23.28918450567679</v>
      </c>
      <c r="M84" s="4"/>
      <c r="N84" s="282"/>
      <c r="O84" s="282"/>
      <c r="P84" s="282"/>
      <c r="Q84" s="282"/>
      <c r="R84" s="282"/>
    </row>
    <row r="85" spans="1:24" s="33" customFormat="1" outlineLevel="1" x14ac:dyDescent="0.35">
      <c r="A85" s="282"/>
      <c r="B85" s="282"/>
      <c r="C85" s="282"/>
      <c r="D85" s="282"/>
      <c r="E85" s="282"/>
      <c r="F85" s="282"/>
      <c r="G85" s="282"/>
      <c r="H85" s="282"/>
      <c r="I85" s="282"/>
      <c r="J85" s="282"/>
      <c r="K85" s="282"/>
      <c r="L85" s="282"/>
      <c r="M85" s="4"/>
      <c r="N85" s="282"/>
      <c r="O85" s="282"/>
      <c r="P85" s="282"/>
      <c r="Q85" s="282"/>
      <c r="R85" s="282"/>
    </row>
    <row r="86" spans="1:24" s="33" customFormat="1" ht="15.5" x14ac:dyDescent="0.35">
      <c r="A86" s="51" t="s">
        <v>504</v>
      </c>
      <c r="B86" s="4"/>
      <c r="C86" s="4"/>
      <c r="D86" s="4"/>
      <c r="E86" s="4"/>
      <c r="F86" s="4"/>
      <c r="G86" s="4"/>
      <c r="H86" s="4"/>
      <c r="I86" s="4"/>
      <c r="J86" s="4"/>
      <c r="K86" s="4"/>
      <c r="L86" s="4"/>
      <c r="M86" s="4"/>
      <c r="N86" s="282"/>
      <c r="O86" s="282"/>
      <c r="P86" s="282"/>
      <c r="Q86" s="282"/>
      <c r="R86" s="282"/>
      <c r="S86" s="282"/>
      <c r="T86" s="282"/>
      <c r="U86" s="282"/>
      <c r="V86" s="282"/>
      <c r="W86" s="282"/>
      <c r="X86" s="282"/>
    </row>
    <row r="87" spans="1:24" outlineLevel="1" x14ac:dyDescent="0.35">
      <c r="A87" s="15" t="s">
        <v>164</v>
      </c>
      <c r="B87" s="30"/>
      <c r="C87" s="140" t="s">
        <v>180</v>
      </c>
      <c r="D87" s="6" t="s">
        <v>889</v>
      </c>
      <c r="E87" s="6" t="s">
        <v>891</v>
      </c>
      <c r="F87" s="6" t="s">
        <v>890</v>
      </c>
      <c r="G87" s="6" t="s">
        <v>892</v>
      </c>
      <c r="H87" s="6" t="s">
        <v>893</v>
      </c>
      <c r="I87" s="6" t="s">
        <v>894</v>
      </c>
      <c r="J87" s="6" t="s">
        <v>896</v>
      </c>
      <c r="K87" s="6" t="s">
        <v>897</v>
      </c>
      <c r="L87" s="6" t="s">
        <v>895</v>
      </c>
      <c r="M87" s="4"/>
    </row>
    <row r="88" spans="1:24" outlineLevel="1" x14ac:dyDescent="0.35">
      <c r="B88" s="282" t="s">
        <v>117</v>
      </c>
      <c r="C88" s="282" t="s">
        <v>899</v>
      </c>
      <c r="D88" s="6">
        <f>'Results ReCiPe (H) - RD'!B435</f>
        <v>2893.1840673783981</v>
      </c>
      <c r="E88" s="6">
        <f>'Results ReCiPe (H) - RD'!C435</f>
        <v>2837.5515154411646</v>
      </c>
      <c r="F88" s="6">
        <f>'Results ReCiPe (H) - RD'!D435</f>
        <v>2681.9296561792253</v>
      </c>
      <c r="G88" s="6">
        <f>'Results ReCiPe (H) - RD'!E435</f>
        <v>2893.1840673783981</v>
      </c>
      <c r="H88" s="6">
        <f>'Results ReCiPe (H) - RD'!F435</f>
        <v>2837.5515154411646</v>
      </c>
      <c r="I88" s="6">
        <f>'Results ReCiPe (H) - RD'!G435</f>
        <v>2681.9296561792253</v>
      </c>
      <c r="J88" s="6">
        <f>'Results ReCiPe (H) - RD'!H435</f>
        <v>2845.7346061175544</v>
      </c>
      <c r="K88" s="6">
        <f>'Results ReCiPe (H) - RD'!I435</f>
        <v>2790.777108402302</v>
      </c>
      <c r="L88" s="6">
        <f>'Results ReCiPe (H) - RD'!J435</f>
        <v>2636.5958501448285</v>
      </c>
      <c r="M88" s="4"/>
    </row>
    <row r="89" spans="1:24" outlineLevel="1" x14ac:dyDescent="0.35">
      <c r="B89" s="282" t="s">
        <v>118</v>
      </c>
      <c r="C89" s="282" t="s">
        <v>899</v>
      </c>
      <c r="D89" s="6">
        <f>'Results ReCiPe (H) - RD'!B436</f>
        <v>269.67676540478124</v>
      </c>
      <c r="E89" s="6">
        <f>'Results ReCiPe (H) - RD'!C436</f>
        <v>266.94496473340826</v>
      </c>
      <c r="F89" s="6">
        <f>'Results ReCiPe (H) - RD'!D436</f>
        <v>258.88808240632699</v>
      </c>
      <c r="G89" s="6">
        <f>'Results ReCiPe (H) - RD'!E436</f>
        <v>269.67676540478124</v>
      </c>
      <c r="H89" s="6">
        <f>'Results ReCiPe (H) - RD'!F436</f>
        <v>266.94496473340826</v>
      </c>
      <c r="I89" s="6">
        <f>'Results ReCiPe (H) - RD'!G436</f>
        <v>258.88808240632699</v>
      </c>
      <c r="J89" s="6">
        <f>'Results ReCiPe (H) - RD'!H436</f>
        <v>134.83838270239062</v>
      </c>
      <c r="K89" s="6">
        <f>'Results ReCiPe (H) - RD'!I436</f>
        <v>133.47248236670413</v>
      </c>
      <c r="L89" s="6">
        <f>'Results ReCiPe (H) - RD'!J436</f>
        <v>129.44404120316349</v>
      </c>
      <c r="M89" s="4"/>
      <c r="Q89" s="32"/>
    </row>
    <row r="90" spans="1:24" outlineLevel="1" x14ac:dyDescent="0.35">
      <c r="B90" s="282" t="s">
        <v>119</v>
      </c>
      <c r="C90" s="282" t="s">
        <v>899</v>
      </c>
      <c r="D90" s="6">
        <f>'Results ReCiPe (H) - RD'!B437</f>
        <v>45.635874346592793</v>
      </c>
      <c r="E90" s="6">
        <f>'Results ReCiPe (H) - RD'!C437</f>
        <v>41.794125692809452</v>
      </c>
      <c r="F90" s="6">
        <f>'Results ReCiPe (H) - RD'!D437</f>
        <v>38.789621318581062</v>
      </c>
      <c r="G90" s="6">
        <f>'Results ReCiPe (H) - RD'!E437</f>
        <v>45.635874346592793</v>
      </c>
      <c r="H90" s="6">
        <f>'Results ReCiPe (H) - RD'!F437</f>
        <v>41.794125692809452</v>
      </c>
      <c r="I90" s="6">
        <f>'Results ReCiPe (H) - RD'!G437</f>
        <v>38.789621318581062</v>
      </c>
      <c r="J90" s="6">
        <f>'Results ReCiPe (H) - RD'!H437</f>
        <v>45.635874346592793</v>
      </c>
      <c r="K90" s="6">
        <f>'Results ReCiPe (H) - RD'!I437</f>
        <v>41.794125692809452</v>
      </c>
      <c r="L90" s="6">
        <f>'Results ReCiPe (H) - RD'!J437</f>
        <v>38.789621318581062</v>
      </c>
      <c r="M90" s="4"/>
      <c r="Q90" s="3"/>
    </row>
    <row r="91" spans="1:24" outlineLevel="1" x14ac:dyDescent="0.35">
      <c r="B91" s="282" t="s">
        <v>120</v>
      </c>
      <c r="C91" s="282" t="s">
        <v>899</v>
      </c>
      <c r="D91" s="6">
        <f>'Results ReCiPe (H) - RD'!B438</f>
        <v>5.3706297748739608E-4</v>
      </c>
      <c r="E91" s="6">
        <f>'Results ReCiPe (H) - RD'!C438</f>
        <v>1.2962860497828945</v>
      </c>
      <c r="F91" s="6">
        <f>'Results ReCiPe (H) - RD'!D438</f>
        <v>1.2288061080708204</v>
      </c>
      <c r="G91" s="6">
        <f>'Results ReCiPe (H) - RD'!E438</f>
        <v>1.3426574437184902</v>
      </c>
      <c r="H91" s="6">
        <f>'Results ReCiPe (H) - RD'!F438</f>
        <v>1.2962860497828945</v>
      </c>
      <c r="I91" s="6">
        <f>'Results ReCiPe (H) - RD'!G438</f>
        <v>1.2288061080708204</v>
      </c>
      <c r="J91" s="6">
        <f>'Results ReCiPe (H) - RD'!H438</f>
        <v>2.6853148874369804E-4</v>
      </c>
      <c r="K91" s="6">
        <f>'Results ReCiPe (H) - RD'!I438</f>
        <v>0.64814302489144726</v>
      </c>
      <c r="L91" s="6">
        <f>'Results ReCiPe (H) - RD'!J438</f>
        <v>0.61440305403541018</v>
      </c>
      <c r="M91" s="4"/>
      <c r="Q91" s="3"/>
    </row>
    <row r="92" spans="1:24" outlineLevel="1" x14ac:dyDescent="0.35">
      <c r="B92" s="282" t="s">
        <v>121</v>
      </c>
      <c r="C92" s="282" t="s">
        <v>899</v>
      </c>
      <c r="D92" s="6">
        <f>'Results ReCiPe (H) - RD'!B439</f>
        <v>1050.2631544123385</v>
      </c>
      <c r="E92" s="6">
        <f>'Results ReCiPe (H) - RD'!C439</f>
        <v>1033.4263701065008</v>
      </c>
      <c r="F92" s="6">
        <f>'Results ReCiPe (H) - RD'!D439</f>
        <v>1014.1087350303941</v>
      </c>
      <c r="G92" s="6">
        <f>'Results ReCiPe (H) - RD'!E439</f>
        <v>1050.2631544123385</v>
      </c>
      <c r="H92" s="6">
        <f>'Results ReCiPe (H) - RD'!F439</f>
        <v>1033.4263701065008</v>
      </c>
      <c r="I92" s="6">
        <f>'Results ReCiPe (H) - RD'!G439</f>
        <v>1014.1087350303941</v>
      </c>
      <c r="J92" s="6">
        <f>'Results ReCiPe (H) - RD'!H439</f>
        <v>1050.2631544123385</v>
      </c>
      <c r="K92" s="6">
        <f>'Results ReCiPe (H) - RD'!I439</f>
        <v>1033.4263701065008</v>
      </c>
      <c r="L92" s="6">
        <f>'Results ReCiPe (H) - RD'!J439</f>
        <v>1014.1087350303941</v>
      </c>
      <c r="M92" s="4"/>
      <c r="Q92" s="3"/>
    </row>
    <row r="93" spans="1:24" outlineLevel="1" x14ac:dyDescent="0.35">
      <c r="B93" s="282" t="s">
        <v>797</v>
      </c>
      <c r="C93" s="282" t="s">
        <v>899</v>
      </c>
      <c r="D93" s="6">
        <f>'Results ReCiPe (H) - RD'!B440</f>
        <v>0</v>
      </c>
      <c r="E93" s="6">
        <f>'Results ReCiPe (H) - RD'!C440</f>
        <v>0</v>
      </c>
      <c r="F93" s="6">
        <f>'Results ReCiPe (H) - RD'!D440</f>
        <v>0</v>
      </c>
      <c r="G93" s="6">
        <f>'Results ReCiPe (H) - RD'!E440</f>
        <v>0</v>
      </c>
      <c r="H93" s="6">
        <f>'Results ReCiPe (H) - RD'!F440</f>
        <v>0</v>
      </c>
      <c r="I93" s="6">
        <f>'Results ReCiPe (H) - RD'!G440</f>
        <v>0</v>
      </c>
      <c r="J93" s="6">
        <f>'Results ReCiPe (H) - RD'!H440</f>
        <v>10657.194576907372</v>
      </c>
      <c r="K93" s="6">
        <f>'Results ReCiPe (H) - RD'!I440</f>
        <v>10440.610308424351</v>
      </c>
      <c r="L93" s="6">
        <f>'Results ReCiPe (H) - RD'!J440</f>
        <v>9778.1090699314573</v>
      </c>
      <c r="M93" s="4"/>
      <c r="Q93" s="3"/>
    </row>
    <row r="94" spans="1:24" outlineLevel="1" x14ac:dyDescent="0.35">
      <c r="B94" s="282" t="s">
        <v>122</v>
      </c>
      <c r="C94" s="282" t="s">
        <v>899</v>
      </c>
      <c r="D94" s="6">
        <f>'Results ReCiPe (H) - RD'!B441</f>
        <v>66458.897261617778</v>
      </c>
      <c r="E94" s="6">
        <f>'Results ReCiPe (H) - RD'!C441</f>
        <v>56714.211316849192</v>
      </c>
      <c r="F94" s="6">
        <f>'Results ReCiPe (H) - RD'!D441</f>
        <v>43878.850141213807</v>
      </c>
      <c r="G94" s="6">
        <f>'Results ReCiPe (H) - RD'!E441</f>
        <v>52327.131303148788</v>
      </c>
      <c r="H94" s="6">
        <f>'Results ReCiPe (H) - RD'!F441</f>
        <v>44885.454534047021</v>
      </c>
      <c r="I94" s="6">
        <f>'Results ReCiPe (H) - RD'!G441</f>
        <v>35051.07806002174</v>
      </c>
      <c r="J94" s="6">
        <f>'Results ReCiPe (H) - RD'!H441</f>
        <v>8542.336134653513</v>
      </c>
      <c r="K94" s="6">
        <f>'Results ReCiPe (H) - RD'!I441</f>
        <v>8479.5027660768174</v>
      </c>
      <c r="L94" s="6">
        <f>'Results ReCiPe (H) - RD'!J441</f>
        <v>8262.6863047392053</v>
      </c>
      <c r="M94" s="4"/>
      <c r="Q94" s="3"/>
    </row>
    <row r="95" spans="1:24" outlineLevel="1" x14ac:dyDescent="0.35">
      <c r="B95" s="282" t="s">
        <v>123</v>
      </c>
      <c r="C95" s="282" t="s">
        <v>899</v>
      </c>
      <c r="D95" s="6">
        <f>'Results ReCiPe (H) - RD'!B442</f>
        <v>5201.9934149567398</v>
      </c>
      <c r="E95" s="6">
        <f>'Results ReCiPe (H) - RD'!C442</f>
        <v>4467.9835870805282</v>
      </c>
      <c r="F95" s="6">
        <f>'Results ReCiPe (H) - RD'!D442</f>
        <v>3485.3501403630407</v>
      </c>
      <c r="G95" s="6">
        <f>'Results ReCiPe (H) - RD'!E442</f>
        <v>5201.9934149567398</v>
      </c>
      <c r="H95" s="6">
        <f>'Results ReCiPe (H) - RD'!F442</f>
        <v>4467.9835870805282</v>
      </c>
      <c r="I95" s="6">
        <f>'Results ReCiPe (H) - RD'!G442</f>
        <v>3485.3501403630407</v>
      </c>
      <c r="J95" s="6">
        <f>'Results ReCiPe (H) - RD'!H442</f>
        <v>2600.9967074783699</v>
      </c>
      <c r="K95" s="6">
        <f>'Results ReCiPe (H) - RD'!I442</f>
        <v>2233.9917935402641</v>
      </c>
      <c r="L95" s="6">
        <f>'Results ReCiPe (H) - RD'!J442</f>
        <v>1742.6750701815204</v>
      </c>
      <c r="M95" s="4"/>
      <c r="Q95" s="3"/>
    </row>
    <row r="96" spans="1:24" outlineLevel="1" x14ac:dyDescent="0.35">
      <c r="D96" s="6"/>
      <c r="E96" s="6"/>
      <c r="F96" s="6"/>
      <c r="G96" s="6"/>
      <c r="H96" s="6"/>
      <c r="I96" s="6"/>
      <c r="J96" s="6"/>
      <c r="K96" s="6"/>
      <c r="L96" s="6"/>
      <c r="M96" s="4"/>
    </row>
    <row r="97" spans="1:13" outlineLevel="1" x14ac:dyDescent="0.35">
      <c r="B97" s="282" t="s">
        <v>137</v>
      </c>
      <c r="C97" s="282" t="s">
        <v>899</v>
      </c>
      <c r="D97" s="6">
        <f>'Results ReCiPe (H) - RD'!B444</f>
        <v>75919.651075179616</v>
      </c>
      <c r="E97" s="6">
        <f>'Results ReCiPe (H) - RD'!C444</f>
        <v>65363.208165953372</v>
      </c>
      <c r="F97" s="6">
        <f>'Results ReCiPe (H) - RD'!D444</f>
        <v>51359.145182619439</v>
      </c>
      <c r="G97" s="6">
        <f>'Results ReCiPe (H) - RD'!E444</f>
        <v>61789.227237091356</v>
      </c>
      <c r="H97" s="6">
        <f>'Results ReCiPe (H) - RD'!F444</f>
        <v>53534.451383151216</v>
      </c>
      <c r="I97" s="6">
        <f>'Results ReCiPe (H) - RD'!G444</f>
        <v>42531.37310142738</v>
      </c>
      <c r="J97" s="6">
        <f>'Results ReCiPe (H) - RD'!H444</f>
        <v>25876.999705149618</v>
      </c>
      <c r="K97" s="6">
        <f>'Results ReCiPe (H) - RD'!I444</f>
        <v>25154.223097634636</v>
      </c>
      <c r="L97" s="6">
        <f>'Results ReCiPe (H) - RD'!J444</f>
        <v>23603.023095603188</v>
      </c>
      <c r="M97" s="4"/>
    </row>
    <row r="98" spans="1:13" outlineLevel="1" x14ac:dyDescent="0.35">
      <c r="M98" s="4"/>
    </row>
    <row r="99" spans="1:13" outlineLevel="1" x14ac:dyDescent="0.35">
      <c r="A99" s="15" t="s">
        <v>507</v>
      </c>
      <c r="B99" s="30"/>
      <c r="C99" s="140" t="s">
        <v>180</v>
      </c>
      <c r="D99" s="6" t="s">
        <v>889</v>
      </c>
      <c r="E99" s="6" t="s">
        <v>891</v>
      </c>
      <c r="F99" s="6" t="s">
        <v>890</v>
      </c>
      <c r="G99" s="6" t="s">
        <v>892</v>
      </c>
      <c r="H99" s="6" t="s">
        <v>893</v>
      </c>
      <c r="I99" s="6" t="s">
        <v>894</v>
      </c>
      <c r="J99" s="6" t="s">
        <v>896</v>
      </c>
      <c r="K99" s="6" t="s">
        <v>897</v>
      </c>
      <c r="L99" s="6" t="s">
        <v>895</v>
      </c>
      <c r="M99" s="4"/>
    </row>
    <row r="100" spans="1:13" outlineLevel="1" x14ac:dyDescent="0.35">
      <c r="A100" s="141" t="s">
        <v>508</v>
      </c>
      <c r="B100" s="282" t="s">
        <v>117</v>
      </c>
      <c r="C100" s="282" t="s">
        <v>900</v>
      </c>
      <c r="D100" s="6">
        <f>D88/25</f>
        <v>115.72736269513592</v>
      </c>
      <c r="E100" s="6">
        <f t="shared" ref="E100:L100" si="14">E88/25</f>
        <v>113.50206061764658</v>
      </c>
      <c r="F100" s="6">
        <f t="shared" si="14"/>
        <v>107.27718624716901</v>
      </c>
      <c r="G100" s="6">
        <f t="shared" si="14"/>
        <v>115.72736269513592</v>
      </c>
      <c r="H100" s="6">
        <f t="shared" si="14"/>
        <v>113.50206061764658</v>
      </c>
      <c r="I100" s="6">
        <f t="shared" si="14"/>
        <v>107.27718624716901</v>
      </c>
      <c r="J100" s="6">
        <f t="shared" si="14"/>
        <v>113.82938424470218</v>
      </c>
      <c r="K100" s="6">
        <f t="shared" si="14"/>
        <v>111.63108433609209</v>
      </c>
      <c r="L100" s="6">
        <f t="shared" si="14"/>
        <v>105.46383400579315</v>
      </c>
      <c r="M100" s="4"/>
    </row>
    <row r="101" spans="1:13" outlineLevel="1" x14ac:dyDescent="0.35">
      <c r="B101" s="282" t="s">
        <v>118</v>
      </c>
      <c r="C101" s="282" t="s">
        <v>900</v>
      </c>
      <c r="D101" s="6">
        <f t="shared" ref="D101:L107" si="15">D89/25</f>
        <v>10.787070616191249</v>
      </c>
      <c r="E101" s="6">
        <f t="shared" si="15"/>
        <v>10.67779858933633</v>
      </c>
      <c r="F101" s="6">
        <f t="shared" si="15"/>
        <v>10.355523296253079</v>
      </c>
      <c r="G101" s="6">
        <f t="shared" si="15"/>
        <v>10.787070616191249</v>
      </c>
      <c r="H101" s="6">
        <f t="shared" si="15"/>
        <v>10.67779858933633</v>
      </c>
      <c r="I101" s="6">
        <f t="shared" si="15"/>
        <v>10.355523296253079</v>
      </c>
      <c r="J101" s="6">
        <f t="shared" si="15"/>
        <v>5.3935353080956245</v>
      </c>
      <c r="K101" s="6">
        <f t="shared" si="15"/>
        <v>5.338899294668165</v>
      </c>
      <c r="L101" s="6">
        <f t="shared" si="15"/>
        <v>5.1777616481265394</v>
      </c>
      <c r="M101" s="4"/>
    </row>
    <row r="102" spans="1:13" outlineLevel="1" x14ac:dyDescent="0.35">
      <c r="B102" s="282" t="s">
        <v>119</v>
      </c>
      <c r="C102" s="282" t="s">
        <v>900</v>
      </c>
      <c r="D102" s="6">
        <f t="shared" si="15"/>
        <v>1.8254349738637117</v>
      </c>
      <c r="E102" s="6">
        <f t="shared" si="15"/>
        <v>1.6717650277123781</v>
      </c>
      <c r="F102" s="6">
        <f t="shared" si="15"/>
        <v>1.5515848527432425</v>
      </c>
      <c r="G102" s="6">
        <f t="shared" si="15"/>
        <v>1.8254349738637117</v>
      </c>
      <c r="H102" s="6">
        <f t="shared" si="15"/>
        <v>1.6717650277123781</v>
      </c>
      <c r="I102" s="6">
        <f t="shared" si="15"/>
        <v>1.5515848527432425</v>
      </c>
      <c r="J102" s="6">
        <f t="shared" si="15"/>
        <v>1.8254349738637117</v>
      </c>
      <c r="K102" s="6">
        <f t="shared" si="15"/>
        <v>1.6717650277123781</v>
      </c>
      <c r="L102" s="6">
        <f t="shared" si="15"/>
        <v>1.5515848527432425</v>
      </c>
      <c r="M102" s="4"/>
    </row>
    <row r="103" spans="1:13" outlineLevel="1" x14ac:dyDescent="0.35">
      <c r="B103" s="282" t="s">
        <v>120</v>
      </c>
      <c r="C103" s="282" t="s">
        <v>900</v>
      </c>
      <c r="D103" s="6">
        <f t="shared" si="15"/>
        <v>2.1482519099495843E-5</v>
      </c>
      <c r="E103" s="6">
        <f t="shared" si="15"/>
        <v>5.1851441991315778E-2</v>
      </c>
      <c r="F103" s="6">
        <f t="shared" si="15"/>
        <v>4.9152244322832814E-2</v>
      </c>
      <c r="G103" s="6">
        <f t="shared" si="15"/>
        <v>5.3706297748739605E-2</v>
      </c>
      <c r="H103" s="6">
        <f t="shared" si="15"/>
        <v>5.1851441991315778E-2</v>
      </c>
      <c r="I103" s="6">
        <f t="shared" si="15"/>
        <v>4.9152244322832814E-2</v>
      </c>
      <c r="J103" s="6">
        <f t="shared" si="15"/>
        <v>1.0741259549747921E-5</v>
      </c>
      <c r="K103" s="6">
        <f t="shared" si="15"/>
        <v>2.5925720995657889E-2</v>
      </c>
      <c r="L103" s="6">
        <f t="shared" si="15"/>
        <v>2.4576122161416407E-2</v>
      </c>
      <c r="M103" s="4"/>
    </row>
    <row r="104" spans="1:13" outlineLevel="1" x14ac:dyDescent="0.35">
      <c r="B104" s="282" t="s">
        <v>121</v>
      </c>
      <c r="C104" s="282" t="s">
        <v>900</v>
      </c>
      <c r="D104" s="6">
        <f t="shared" si="15"/>
        <v>42.010526176493542</v>
      </c>
      <c r="E104" s="6">
        <f t="shared" si="15"/>
        <v>41.337054804260035</v>
      </c>
      <c r="F104" s="6">
        <f t="shared" si="15"/>
        <v>40.564349401215765</v>
      </c>
      <c r="G104" s="6">
        <f t="shared" si="15"/>
        <v>42.010526176493542</v>
      </c>
      <c r="H104" s="6">
        <f t="shared" si="15"/>
        <v>41.337054804260035</v>
      </c>
      <c r="I104" s="6">
        <f t="shared" si="15"/>
        <v>40.564349401215765</v>
      </c>
      <c r="J104" s="6">
        <f t="shared" si="15"/>
        <v>42.010526176493542</v>
      </c>
      <c r="K104" s="6">
        <f t="shared" si="15"/>
        <v>41.337054804260035</v>
      </c>
      <c r="L104" s="6">
        <f t="shared" si="15"/>
        <v>40.564349401215765</v>
      </c>
      <c r="M104" s="4"/>
    </row>
    <row r="105" spans="1:13" outlineLevel="1" x14ac:dyDescent="0.35">
      <c r="B105" s="282" t="s">
        <v>797</v>
      </c>
      <c r="C105" s="282" t="s">
        <v>900</v>
      </c>
      <c r="D105" s="6">
        <f t="shared" si="15"/>
        <v>0</v>
      </c>
      <c r="E105" s="6">
        <f t="shared" si="15"/>
        <v>0</v>
      </c>
      <c r="F105" s="6">
        <f t="shared" si="15"/>
        <v>0</v>
      </c>
      <c r="G105" s="6">
        <f t="shared" si="15"/>
        <v>0</v>
      </c>
      <c r="H105" s="6">
        <f t="shared" si="15"/>
        <v>0</v>
      </c>
      <c r="I105" s="6">
        <f t="shared" si="15"/>
        <v>0</v>
      </c>
      <c r="J105" s="6">
        <f t="shared" si="15"/>
        <v>426.28778307629489</v>
      </c>
      <c r="K105" s="6">
        <f t="shared" si="15"/>
        <v>417.62441233697405</v>
      </c>
      <c r="L105" s="6">
        <f t="shared" si="15"/>
        <v>391.1243627972583</v>
      </c>
      <c r="M105" s="4"/>
    </row>
    <row r="106" spans="1:13" outlineLevel="1" x14ac:dyDescent="0.35">
      <c r="B106" s="282" t="s">
        <v>122</v>
      </c>
      <c r="C106" s="282" t="s">
        <v>900</v>
      </c>
      <c r="D106" s="6">
        <f t="shared" si="15"/>
        <v>2658.3558904647111</v>
      </c>
      <c r="E106" s="6">
        <f t="shared" si="15"/>
        <v>2268.5684526739678</v>
      </c>
      <c r="F106" s="6">
        <f t="shared" si="15"/>
        <v>1755.1540056485524</v>
      </c>
      <c r="G106" s="6">
        <f t="shared" si="15"/>
        <v>2093.0852521259517</v>
      </c>
      <c r="H106" s="6">
        <f t="shared" si="15"/>
        <v>1795.4181813618809</v>
      </c>
      <c r="I106" s="6">
        <f t="shared" si="15"/>
        <v>1402.0431224008696</v>
      </c>
      <c r="J106" s="6">
        <f t="shared" si="15"/>
        <v>341.69344538614052</v>
      </c>
      <c r="K106" s="6">
        <f t="shared" si="15"/>
        <v>339.18011064307268</v>
      </c>
      <c r="L106" s="6">
        <f t="shared" si="15"/>
        <v>330.5074521895682</v>
      </c>
      <c r="M106" s="4"/>
    </row>
    <row r="107" spans="1:13" outlineLevel="1" x14ac:dyDescent="0.35">
      <c r="B107" s="282" t="s">
        <v>123</v>
      </c>
      <c r="C107" s="282" t="s">
        <v>900</v>
      </c>
      <c r="D107" s="6">
        <f t="shared" si="15"/>
        <v>208.07973659826959</v>
      </c>
      <c r="E107" s="6">
        <f t="shared" si="15"/>
        <v>178.71934348322114</v>
      </c>
      <c r="F107" s="6">
        <f t="shared" si="15"/>
        <v>139.41400561452164</v>
      </c>
      <c r="G107" s="6">
        <f t="shared" si="15"/>
        <v>208.07973659826959</v>
      </c>
      <c r="H107" s="6">
        <f t="shared" si="15"/>
        <v>178.71934348322114</v>
      </c>
      <c r="I107" s="6">
        <f t="shared" si="15"/>
        <v>139.41400561452164</v>
      </c>
      <c r="J107" s="6">
        <f t="shared" si="15"/>
        <v>104.0398682991348</v>
      </c>
      <c r="K107" s="6">
        <f t="shared" si="15"/>
        <v>89.359671741610569</v>
      </c>
      <c r="L107" s="6">
        <f t="shared" si="15"/>
        <v>69.707002807260821</v>
      </c>
      <c r="M107" s="4"/>
    </row>
    <row r="108" spans="1:13" outlineLevel="1" x14ac:dyDescent="0.35">
      <c r="D108" s="6"/>
      <c r="E108" s="6"/>
      <c r="F108" s="6"/>
      <c r="G108" s="6"/>
      <c r="H108" s="6"/>
      <c r="I108" s="6"/>
      <c r="J108" s="6"/>
      <c r="K108" s="6"/>
      <c r="L108" s="6"/>
      <c r="M108" s="4"/>
    </row>
    <row r="109" spans="1:13" outlineLevel="1" x14ac:dyDescent="0.35">
      <c r="B109" s="282" t="s">
        <v>137</v>
      </c>
      <c r="C109" s="282" t="s">
        <v>900</v>
      </c>
      <c r="D109" s="6">
        <f>SUM(D100:D108)</f>
        <v>3036.7860430071842</v>
      </c>
      <c r="E109" s="6">
        <f t="shared" ref="E109:L109" si="16">SUM(E100:E108)</f>
        <v>2614.5283266381357</v>
      </c>
      <c r="F109" s="6">
        <f t="shared" si="16"/>
        <v>2054.3658073047777</v>
      </c>
      <c r="G109" s="6">
        <f t="shared" si="16"/>
        <v>2471.5690894836544</v>
      </c>
      <c r="H109" s="6">
        <f t="shared" si="16"/>
        <v>2141.3780553260485</v>
      </c>
      <c r="I109" s="6">
        <f t="shared" si="16"/>
        <v>1701.2549240570952</v>
      </c>
      <c r="J109" s="6">
        <f t="shared" si="16"/>
        <v>1035.0799882059848</v>
      </c>
      <c r="K109" s="6">
        <f t="shared" si="16"/>
        <v>1006.1689239053857</v>
      </c>
      <c r="L109" s="6">
        <f t="shared" si="16"/>
        <v>944.12092382412732</v>
      </c>
      <c r="M109" s="4"/>
    </row>
    <row r="110" spans="1:13" outlineLevel="1" x14ac:dyDescent="0.35">
      <c r="M110" s="4"/>
    </row>
    <row r="111" spans="1:13" outlineLevel="1" x14ac:dyDescent="0.35">
      <c r="A111" s="15" t="s">
        <v>509</v>
      </c>
      <c r="B111" s="30"/>
      <c r="C111" s="140" t="s">
        <v>180</v>
      </c>
      <c r="D111" s="6" t="s">
        <v>889</v>
      </c>
      <c r="E111" s="6" t="s">
        <v>891</v>
      </c>
      <c r="F111" s="6" t="s">
        <v>890</v>
      </c>
      <c r="G111" s="6" t="s">
        <v>892</v>
      </c>
      <c r="H111" s="6" t="s">
        <v>893</v>
      </c>
      <c r="I111" s="6" t="s">
        <v>894</v>
      </c>
      <c r="J111" s="6" t="s">
        <v>896</v>
      </c>
      <c r="K111" s="6" t="s">
        <v>897</v>
      </c>
      <c r="L111" s="6" t="s">
        <v>895</v>
      </c>
      <c r="M111" s="4"/>
    </row>
    <row r="112" spans="1:13" outlineLevel="1" x14ac:dyDescent="0.35">
      <c r="B112" s="282" t="s">
        <v>117</v>
      </c>
      <c r="C112" s="282" t="s">
        <v>898</v>
      </c>
      <c r="D112" s="6">
        <f t="shared" ref="D112:I119" si="17">D100/100</f>
        <v>1.1572736269513593</v>
      </c>
      <c r="E112" s="6">
        <f t="shared" si="17"/>
        <v>1.1350206061764658</v>
      </c>
      <c r="F112" s="6">
        <f t="shared" si="17"/>
        <v>1.0727718624716902</v>
      </c>
      <c r="G112" s="6">
        <f t="shared" si="17"/>
        <v>1.1572736269513593</v>
      </c>
      <c r="H112" s="6">
        <f t="shared" si="17"/>
        <v>1.1350206061764658</v>
      </c>
      <c r="I112" s="6">
        <f t="shared" si="17"/>
        <v>1.0727718624716902</v>
      </c>
      <c r="J112" s="6">
        <f>J100/50</f>
        <v>2.2765876848940438</v>
      </c>
      <c r="K112" s="6">
        <f>K100/50</f>
        <v>2.2326216867218416</v>
      </c>
      <c r="L112" s="6">
        <f>L100/50</f>
        <v>2.1092766801158631</v>
      </c>
      <c r="M112" s="4"/>
    </row>
    <row r="113" spans="1:13" outlineLevel="1" x14ac:dyDescent="0.35">
      <c r="B113" s="282" t="s">
        <v>118</v>
      </c>
      <c r="C113" s="282" t="s">
        <v>898</v>
      </c>
      <c r="D113" s="6">
        <f t="shared" si="17"/>
        <v>0.10787070616191249</v>
      </c>
      <c r="E113" s="6">
        <f t="shared" si="17"/>
        <v>0.10677798589336331</v>
      </c>
      <c r="F113" s="6">
        <f t="shared" si="17"/>
        <v>0.10355523296253079</v>
      </c>
      <c r="G113" s="6">
        <f t="shared" si="17"/>
        <v>0.10787070616191249</v>
      </c>
      <c r="H113" s="6">
        <f t="shared" si="17"/>
        <v>0.10677798589336331</v>
      </c>
      <c r="I113" s="6">
        <f t="shared" si="17"/>
        <v>0.10355523296253079</v>
      </c>
      <c r="J113" s="6">
        <f t="shared" ref="J113:L119" si="18">J101/50</f>
        <v>0.10787070616191249</v>
      </c>
      <c r="K113" s="6">
        <f t="shared" si="18"/>
        <v>0.10677798589336331</v>
      </c>
      <c r="L113" s="6">
        <f t="shared" si="18"/>
        <v>0.10355523296253079</v>
      </c>
      <c r="M113" s="4"/>
    </row>
    <row r="114" spans="1:13" outlineLevel="1" x14ac:dyDescent="0.35">
      <c r="B114" s="282" t="s">
        <v>119</v>
      </c>
      <c r="C114" s="282" t="s">
        <v>898</v>
      </c>
      <c r="D114" s="6">
        <f t="shared" si="17"/>
        <v>1.8254349738637116E-2</v>
      </c>
      <c r="E114" s="6">
        <f t="shared" si="17"/>
        <v>1.6717650277123783E-2</v>
      </c>
      <c r="F114" s="6">
        <f t="shared" si="17"/>
        <v>1.5515848527432425E-2</v>
      </c>
      <c r="G114" s="6">
        <f t="shared" si="17"/>
        <v>1.8254349738637116E-2</v>
      </c>
      <c r="H114" s="6">
        <f t="shared" si="17"/>
        <v>1.6717650277123783E-2</v>
      </c>
      <c r="I114" s="6">
        <f t="shared" si="17"/>
        <v>1.5515848527432425E-2</v>
      </c>
      <c r="J114" s="6">
        <f t="shared" si="18"/>
        <v>3.6508699477274233E-2</v>
      </c>
      <c r="K114" s="6">
        <f t="shared" si="18"/>
        <v>3.3435300554247566E-2</v>
      </c>
      <c r="L114" s="6">
        <f t="shared" si="18"/>
        <v>3.1031697054864849E-2</v>
      </c>
      <c r="M114" s="4"/>
    </row>
    <row r="115" spans="1:13" outlineLevel="1" x14ac:dyDescent="0.35">
      <c r="B115" s="282" t="s">
        <v>120</v>
      </c>
      <c r="C115" s="282" t="s">
        <v>898</v>
      </c>
      <c r="D115" s="6">
        <f t="shared" si="17"/>
        <v>2.1482519099495843E-7</v>
      </c>
      <c r="E115" s="6">
        <f t="shared" si="17"/>
        <v>5.1851441991315782E-4</v>
      </c>
      <c r="F115" s="6">
        <f t="shared" si="17"/>
        <v>4.9152244322832816E-4</v>
      </c>
      <c r="G115" s="6">
        <f t="shared" si="17"/>
        <v>5.3706297748739608E-4</v>
      </c>
      <c r="H115" s="6">
        <f t="shared" si="17"/>
        <v>5.1851441991315782E-4</v>
      </c>
      <c r="I115" s="6">
        <f t="shared" si="17"/>
        <v>4.9152244322832816E-4</v>
      </c>
      <c r="J115" s="6">
        <f t="shared" si="18"/>
        <v>2.1482519099495843E-7</v>
      </c>
      <c r="K115" s="6">
        <f t="shared" si="18"/>
        <v>5.1851441991315782E-4</v>
      </c>
      <c r="L115" s="6">
        <f t="shared" si="18"/>
        <v>4.9152244322832816E-4</v>
      </c>
      <c r="M115" s="4"/>
    </row>
    <row r="116" spans="1:13" outlineLevel="1" x14ac:dyDescent="0.35">
      <c r="B116" s="282" t="s">
        <v>121</v>
      </c>
      <c r="C116" s="282" t="s">
        <v>898</v>
      </c>
      <c r="D116" s="6">
        <f t="shared" si="17"/>
        <v>0.4201052617649354</v>
      </c>
      <c r="E116" s="6">
        <f t="shared" si="17"/>
        <v>0.41337054804260037</v>
      </c>
      <c r="F116" s="6">
        <f t="shared" si="17"/>
        <v>0.40564349401215766</v>
      </c>
      <c r="G116" s="6">
        <f t="shared" si="17"/>
        <v>0.4201052617649354</v>
      </c>
      <c r="H116" s="6">
        <f t="shared" si="17"/>
        <v>0.41337054804260037</v>
      </c>
      <c r="I116" s="6">
        <f t="shared" si="17"/>
        <v>0.40564349401215766</v>
      </c>
      <c r="J116" s="6">
        <f t="shared" si="18"/>
        <v>0.8402105235298708</v>
      </c>
      <c r="K116" s="6">
        <f t="shared" si="18"/>
        <v>0.82674109608520074</v>
      </c>
      <c r="L116" s="6">
        <f t="shared" si="18"/>
        <v>0.81128698802431531</v>
      </c>
      <c r="M116" s="4"/>
    </row>
    <row r="117" spans="1:13" outlineLevel="1" x14ac:dyDescent="0.35">
      <c r="B117" s="282" t="s">
        <v>797</v>
      </c>
      <c r="C117" s="282" t="s">
        <v>898</v>
      </c>
      <c r="D117" s="6">
        <f t="shared" si="17"/>
        <v>0</v>
      </c>
      <c r="E117" s="6">
        <f t="shared" si="17"/>
        <v>0</v>
      </c>
      <c r="F117" s="6">
        <f t="shared" si="17"/>
        <v>0</v>
      </c>
      <c r="G117" s="6">
        <f t="shared" si="17"/>
        <v>0</v>
      </c>
      <c r="H117" s="6">
        <f t="shared" si="17"/>
        <v>0</v>
      </c>
      <c r="I117" s="6">
        <f t="shared" si="17"/>
        <v>0</v>
      </c>
      <c r="J117" s="6">
        <f t="shared" si="18"/>
        <v>8.5257556615258974</v>
      </c>
      <c r="K117" s="6">
        <f t="shared" si="18"/>
        <v>8.3524882467394814</v>
      </c>
      <c r="L117" s="6">
        <f t="shared" si="18"/>
        <v>7.8224872559451661</v>
      </c>
      <c r="M117" s="4"/>
    </row>
    <row r="118" spans="1:13" outlineLevel="1" x14ac:dyDescent="0.35">
      <c r="B118" s="282" t="s">
        <v>122</v>
      </c>
      <c r="C118" s="282" t="s">
        <v>898</v>
      </c>
      <c r="D118" s="6">
        <f t="shared" si="17"/>
        <v>26.583558904647113</v>
      </c>
      <c r="E118" s="6">
        <f t="shared" si="17"/>
        <v>22.685684526739678</v>
      </c>
      <c r="F118" s="6">
        <f t="shared" si="17"/>
        <v>17.551540056485525</v>
      </c>
      <c r="G118" s="6">
        <f t="shared" si="17"/>
        <v>20.930852521259517</v>
      </c>
      <c r="H118" s="6">
        <f t="shared" si="17"/>
        <v>17.95418181361881</v>
      </c>
      <c r="I118" s="6">
        <f t="shared" si="17"/>
        <v>14.020431224008696</v>
      </c>
      <c r="J118" s="6">
        <f t="shared" si="18"/>
        <v>6.8338689077228105</v>
      </c>
      <c r="K118" s="6">
        <f t="shared" si="18"/>
        <v>6.7836022128614539</v>
      </c>
      <c r="L118" s="6">
        <f t="shared" si="18"/>
        <v>6.6101490437913641</v>
      </c>
      <c r="M118" s="4"/>
    </row>
    <row r="119" spans="1:13" outlineLevel="1" x14ac:dyDescent="0.35">
      <c r="B119" s="282" t="s">
        <v>123</v>
      </c>
      <c r="C119" s="282" t="s">
        <v>898</v>
      </c>
      <c r="D119" s="6">
        <f t="shared" si="17"/>
        <v>2.0807973659826957</v>
      </c>
      <c r="E119" s="6">
        <f t="shared" si="17"/>
        <v>1.7871934348322114</v>
      </c>
      <c r="F119" s="6">
        <f t="shared" si="17"/>
        <v>1.3941400561452164</v>
      </c>
      <c r="G119" s="6">
        <f t="shared" si="17"/>
        <v>2.0807973659826957</v>
      </c>
      <c r="H119" s="6">
        <f t="shared" si="17"/>
        <v>1.7871934348322114</v>
      </c>
      <c r="I119" s="6">
        <f t="shared" si="17"/>
        <v>1.3941400561452164</v>
      </c>
      <c r="J119" s="6">
        <f t="shared" si="18"/>
        <v>2.0807973659826957</v>
      </c>
      <c r="K119" s="6">
        <f t="shared" si="18"/>
        <v>1.7871934348322114</v>
      </c>
      <c r="L119" s="6">
        <f t="shared" si="18"/>
        <v>1.3941400561452164</v>
      </c>
      <c r="M119" s="4"/>
    </row>
    <row r="120" spans="1:13" outlineLevel="1" x14ac:dyDescent="0.35">
      <c r="D120" s="6"/>
      <c r="E120" s="6"/>
      <c r="F120" s="6"/>
      <c r="G120" s="6"/>
      <c r="H120" s="6"/>
      <c r="I120" s="6"/>
      <c r="J120" s="6"/>
      <c r="K120" s="6"/>
      <c r="L120" s="6"/>
      <c r="M120" s="4"/>
    </row>
    <row r="121" spans="1:13" outlineLevel="1" x14ac:dyDescent="0.35">
      <c r="B121" s="282" t="s">
        <v>137</v>
      </c>
      <c r="C121" s="282" t="s">
        <v>898</v>
      </c>
      <c r="D121" s="6">
        <f>SUM(D112:D120)</f>
        <v>30.367860430071843</v>
      </c>
      <c r="E121" s="6">
        <f t="shared" ref="E121:L121" si="19">SUM(E112:E120)</f>
        <v>26.145283266381355</v>
      </c>
      <c r="F121" s="6">
        <f t="shared" si="19"/>
        <v>20.54365807304778</v>
      </c>
      <c r="G121" s="6">
        <f t="shared" si="19"/>
        <v>24.715690894836545</v>
      </c>
      <c r="H121" s="6">
        <f t="shared" si="19"/>
        <v>21.413780553260487</v>
      </c>
      <c r="I121" s="6">
        <f t="shared" si="19"/>
        <v>17.012549240570952</v>
      </c>
      <c r="J121" s="6">
        <f t="shared" si="19"/>
        <v>20.701599764119699</v>
      </c>
      <c r="K121" s="6">
        <f t="shared" si="19"/>
        <v>20.123378478107714</v>
      </c>
      <c r="L121" s="6">
        <f t="shared" si="19"/>
        <v>18.882418476482549</v>
      </c>
      <c r="M121" s="4"/>
    </row>
    <row r="122" spans="1:13" outlineLevel="1" x14ac:dyDescent="0.35">
      <c r="D122" s="3"/>
      <c r="E122" s="3"/>
      <c r="F122" s="3"/>
      <c r="G122" s="3"/>
      <c r="H122" s="3"/>
      <c r="I122" s="3"/>
      <c r="J122" s="3"/>
      <c r="K122" s="3"/>
      <c r="L122" s="3"/>
      <c r="M122" s="4"/>
    </row>
    <row r="123" spans="1:13" outlineLevel="1" x14ac:dyDescent="0.35">
      <c r="A123" s="15" t="s">
        <v>507</v>
      </c>
      <c r="B123" s="30"/>
      <c r="C123" s="140" t="s">
        <v>180</v>
      </c>
      <c r="D123" s="6" t="s">
        <v>889</v>
      </c>
      <c r="E123" s="6" t="s">
        <v>891</v>
      </c>
      <c r="F123" s="6" t="s">
        <v>890</v>
      </c>
      <c r="G123" s="6" t="s">
        <v>892</v>
      </c>
      <c r="H123" s="6" t="s">
        <v>893</v>
      </c>
      <c r="I123" s="6" t="s">
        <v>894</v>
      </c>
      <c r="J123" s="6" t="s">
        <v>896</v>
      </c>
      <c r="K123" s="6" t="s">
        <v>897</v>
      </c>
      <c r="L123" s="6" t="s">
        <v>895</v>
      </c>
      <c r="M123" s="4"/>
    </row>
    <row r="124" spans="1:13" outlineLevel="1" x14ac:dyDescent="0.35">
      <c r="A124" s="141" t="s">
        <v>510</v>
      </c>
      <c r="B124" s="282" t="s">
        <v>117</v>
      </c>
      <c r="C124" s="282" t="s">
        <v>900</v>
      </c>
      <c r="D124" s="6">
        <f>D88/20</f>
        <v>144.65920336891992</v>
      </c>
      <c r="E124" s="6">
        <f t="shared" ref="E124:L124" si="20">E88/20</f>
        <v>141.87757577205824</v>
      </c>
      <c r="F124" s="6">
        <f t="shared" si="20"/>
        <v>134.09648280896127</v>
      </c>
      <c r="G124" s="6">
        <f t="shared" si="20"/>
        <v>144.65920336891992</v>
      </c>
      <c r="H124" s="6">
        <f t="shared" si="20"/>
        <v>141.87757577205824</v>
      </c>
      <c r="I124" s="6">
        <f t="shared" si="20"/>
        <v>134.09648280896127</v>
      </c>
      <c r="J124" s="6">
        <f t="shared" si="20"/>
        <v>142.28673030587771</v>
      </c>
      <c r="K124" s="6">
        <f t="shared" si="20"/>
        <v>139.53885542011511</v>
      </c>
      <c r="L124" s="6">
        <f t="shared" si="20"/>
        <v>131.82979250724142</v>
      </c>
      <c r="M124" s="4"/>
    </row>
    <row r="125" spans="1:13" outlineLevel="1" x14ac:dyDescent="0.35">
      <c r="B125" s="282" t="s">
        <v>118</v>
      </c>
      <c r="C125" s="282" t="s">
        <v>900</v>
      </c>
      <c r="D125" s="6">
        <f t="shared" ref="D125:L131" si="21">D89/20</f>
        <v>13.483838270239062</v>
      </c>
      <c r="E125" s="6">
        <f t="shared" si="21"/>
        <v>13.347248236670413</v>
      </c>
      <c r="F125" s="6">
        <f t="shared" si="21"/>
        <v>12.944404120316349</v>
      </c>
      <c r="G125" s="6">
        <f t="shared" si="21"/>
        <v>13.483838270239062</v>
      </c>
      <c r="H125" s="6">
        <f t="shared" si="21"/>
        <v>13.347248236670413</v>
      </c>
      <c r="I125" s="6">
        <f t="shared" si="21"/>
        <v>12.944404120316349</v>
      </c>
      <c r="J125" s="6">
        <f t="shared" si="21"/>
        <v>6.7419191351195309</v>
      </c>
      <c r="K125" s="6">
        <f t="shared" si="21"/>
        <v>6.6736241183352067</v>
      </c>
      <c r="L125" s="6">
        <f t="shared" si="21"/>
        <v>6.4722020601581747</v>
      </c>
      <c r="M125" s="4"/>
    </row>
    <row r="126" spans="1:13" outlineLevel="1" x14ac:dyDescent="0.35">
      <c r="B126" s="282" t="s">
        <v>119</v>
      </c>
      <c r="C126" s="282" t="s">
        <v>900</v>
      </c>
      <c r="D126" s="6">
        <f t="shared" si="21"/>
        <v>2.2817937173296396</v>
      </c>
      <c r="E126" s="6">
        <f t="shared" si="21"/>
        <v>2.0897062846404726</v>
      </c>
      <c r="F126" s="6">
        <f t="shared" si="21"/>
        <v>1.9394810659290531</v>
      </c>
      <c r="G126" s="6">
        <f t="shared" si="21"/>
        <v>2.2817937173296396</v>
      </c>
      <c r="H126" s="6">
        <f t="shared" si="21"/>
        <v>2.0897062846404726</v>
      </c>
      <c r="I126" s="6">
        <f t="shared" si="21"/>
        <v>1.9394810659290531</v>
      </c>
      <c r="J126" s="6">
        <f t="shared" si="21"/>
        <v>2.2817937173296396</v>
      </c>
      <c r="K126" s="6">
        <f t="shared" si="21"/>
        <v>2.0897062846404726</v>
      </c>
      <c r="L126" s="6">
        <f t="shared" si="21"/>
        <v>1.9394810659290531</v>
      </c>
      <c r="M126" s="4"/>
    </row>
    <row r="127" spans="1:13" outlineLevel="1" x14ac:dyDescent="0.35">
      <c r="B127" s="282" t="s">
        <v>120</v>
      </c>
      <c r="C127" s="282" t="s">
        <v>900</v>
      </c>
      <c r="D127" s="6">
        <f t="shared" si="21"/>
        <v>2.6853148874369804E-5</v>
      </c>
      <c r="E127" s="6">
        <f t="shared" si="21"/>
        <v>6.4814302489144729E-2</v>
      </c>
      <c r="F127" s="6">
        <f t="shared" si="21"/>
        <v>6.1440305403541021E-2</v>
      </c>
      <c r="G127" s="6">
        <f t="shared" si="21"/>
        <v>6.7132872185924508E-2</v>
      </c>
      <c r="H127" s="6">
        <f t="shared" si="21"/>
        <v>6.4814302489144729E-2</v>
      </c>
      <c r="I127" s="6">
        <f t="shared" si="21"/>
        <v>6.1440305403541021E-2</v>
      </c>
      <c r="J127" s="6">
        <f t="shared" si="21"/>
        <v>1.3426574437184902E-5</v>
      </c>
      <c r="K127" s="6">
        <f t="shared" si="21"/>
        <v>3.2407151244572364E-2</v>
      </c>
      <c r="L127" s="6">
        <f t="shared" si="21"/>
        <v>3.072015270177051E-2</v>
      </c>
      <c r="M127" s="4"/>
    </row>
    <row r="128" spans="1:13" outlineLevel="1" x14ac:dyDescent="0.35">
      <c r="B128" s="282" t="s">
        <v>121</v>
      </c>
      <c r="C128" s="282" t="s">
        <v>900</v>
      </c>
      <c r="D128" s="6">
        <f t="shared" si="21"/>
        <v>52.513157720616924</v>
      </c>
      <c r="E128" s="6">
        <f t="shared" si="21"/>
        <v>51.67131850532504</v>
      </c>
      <c r="F128" s="6">
        <f t="shared" si="21"/>
        <v>50.705436751519706</v>
      </c>
      <c r="G128" s="6">
        <f t="shared" si="21"/>
        <v>52.513157720616924</v>
      </c>
      <c r="H128" s="6">
        <f t="shared" si="21"/>
        <v>51.67131850532504</v>
      </c>
      <c r="I128" s="6">
        <f t="shared" si="21"/>
        <v>50.705436751519706</v>
      </c>
      <c r="J128" s="6">
        <f t="shared" si="21"/>
        <v>52.513157720616924</v>
      </c>
      <c r="K128" s="6">
        <f t="shared" si="21"/>
        <v>51.67131850532504</v>
      </c>
      <c r="L128" s="6">
        <f t="shared" si="21"/>
        <v>50.705436751519706</v>
      </c>
      <c r="M128" s="4"/>
    </row>
    <row r="129" spans="1:13" outlineLevel="1" x14ac:dyDescent="0.35">
      <c r="B129" s="282" t="s">
        <v>797</v>
      </c>
      <c r="C129" s="282" t="s">
        <v>900</v>
      </c>
      <c r="D129" s="6">
        <f t="shared" si="21"/>
        <v>0</v>
      </c>
      <c r="E129" s="6">
        <f t="shared" si="21"/>
        <v>0</v>
      </c>
      <c r="F129" s="6">
        <f t="shared" si="21"/>
        <v>0</v>
      </c>
      <c r="G129" s="6">
        <f t="shared" si="21"/>
        <v>0</v>
      </c>
      <c r="H129" s="6">
        <f t="shared" si="21"/>
        <v>0</v>
      </c>
      <c r="I129" s="6">
        <f t="shared" si="21"/>
        <v>0</v>
      </c>
      <c r="J129" s="6">
        <f t="shared" si="21"/>
        <v>532.85972884536864</v>
      </c>
      <c r="K129" s="6">
        <f t="shared" si="21"/>
        <v>522.03051542121761</v>
      </c>
      <c r="L129" s="6">
        <f t="shared" si="21"/>
        <v>488.90545349657287</v>
      </c>
      <c r="M129" s="4"/>
    </row>
    <row r="130" spans="1:13" outlineLevel="1" x14ac:dyDescent="0.35">
      <c r="B130" s="282" t="s">
        <v>122</v>
      </c>
      <c r="C130" s="282" t="s">
        <v>900</v>
      </c>
      <c r="D130" s="6">
        <f t="shared" si="21"/>
        <v>3322.9448630808888</v>
      </c>
      <c r="E130" s="6">
        <f t="shared" si="21"/>
        <v>2835.7105658424598</v>
      </c>
      <c r="F130" s="6">
        <f t="shared" si="21"/>
        <v>2193.9425070606903</v>
      </c>
      <c r="G130" s="6">
        <f t="shared" si="21"/>
        <v>2616.3565651574395</v>
      </c>
      <c r="H130" s="6">
        <f t="shared" si="21"/>
        <v>2244.2727267023511</v>
      </c>
      <c r="I130" s="6">
        <f t="shared" si="21"/>
        <v>1752.5539030010871</v>
      </c>
      <c r="J130" s="6">
        <f t="shared" si="21"/>
        <v>427.11680673267563</v>
      </c>
      <c r="K130" s="6">
        <f t="shared" si="21"/>
        <v>423.97513830384088</v>
      </c>
      <c r="L130" s="6">
        <f t="shared" si="21"/>
        <v>413.13431523696028</v>
      </c>
      <c r="M130" s="4"/>
    </row>
    <row r="131" spans="1:13" outlineLevel="1" x14ac:dyDescent="0.35">
      <c r="B131" s="282" t="s">
        <v>123</v>
      </c>
      <c r="C131" s="282" t="s">
        <v>900</v>
      </c>
      <c r="D131" s="6">
        <f t="shared" si="21"/>
        <v>260.09967074783697</v>
      </c>
      <c r="E131" s="6">
        <f t="shared" si="21"/>
        <v>223.39917935402642</v>
      </c>
      <c r="F131" s="6">
        <f t="shared" si="21"/>
        <v>174.26750701815203</v>
      </c>
      <c r="G131" s="6">
        <f t="shared" si="21"/>
        <v>260.09967074783697</v>
      </c>
      <c r="H131" s="6">
        <f t="shared" si="21"/>
        <v>223.39917935402642</v>
      </c>
      <c r="I131" s="6">
        <f t="shared" si="21"/>
        <v>174.26750701815203</v>
      </c>
      <c r="J131" s="6">
        <f t="shared" si="21"/>
        <v>130.04983537391848</v>
      </c>
      <c r="K131" s="6">
        <f t="shared" si="21"/>
        <v>111.69958967701321</v>
      </c>
      <c r="L131" s="6">
        <f t="shared" si="21"/>
        <v>87.133753509076016</v>
      </c>
      <c r="M131" s="4"/>
    </row>
    <row r="132" spans="1:13" outlineLevel="1" x14ac:dyDescent="0.35">
      <c r="D132" s="6"/>
      <c r="E132" s="6"/>
      <c r="F132" s="6"/>
      <c r="G132" s="6"/>
      <c r="H132" s="6"/>
      <c r="I132" s="6"/>
      <c r="J132" s="6"/>
      <c r="K132" s="6"/>
      <c r="L132" s="6"/>
      <c r="M132" s="4"/>
    </row>
    <row r="133" spans="1:13" outlineLevel="1" x14ac:dyDescent="0.35">
      <c r="B133" s="282" t="s">
        <v>137</v>
      </c>
      <c r="C133" s="282" t="s">
        <v>900</v>
      </c>
      <c r="D133" s="6">
        <f>SUM(D124:D132)</f>
        <v>3795.9825537589804</v>
      </c>
      <c r="E133" s="6">
        <f t="shared" ref="E133:L133" si="22">SUM(E124:E132)</f>
        <v>3268.1604082976692</v>
      </c>
      <c r="F133" s="6">
        <f t="shared" si="22"/>
        <v>2567.9572591309725</v>
      </c>
      <c r="G133" s="6">
        <f t="shared" si="22"/>
        <v>3089.4613618545682</v>
      </c>
      <c r="H133" s="6">
        <f t="shared" si="22"/>
        <v>2676.7225691575604</v>
      </c>
      <c r="I133" s="6">
        <f t="shared" si="22"/>
        <v>2126.568655071369</v>
      </c>
      <c r="J133" s="6">
        <f t="shared" si="22"/>
        <v>1293.849985257481</v>
      </c>
      <c r="K133" s="6">
        <f t="shared" si="22"/>
        <v>1257.711154881732</v>
      </c>
      <c r="L133" s="6">
        <f t="shared" si="22"/>
        <v>1180.1511547801592</v>
      </c>
      <c r="M133" s="4"/>
    </row>
    <row r="134" spans="1:13" outlineLevel="1" x14ac:dyDescent="0.35">
      <c r="D134" s="3"/>
      <c r="E134" s="3"/>
      <c r="F134" s="3"/>
      <c r="G134" s="3"/>
      <c r="H134" s="3"/>
      <c r="I134" s="3"/>
      <c r="J134" s="3"/>
      <c r="K134" s="3"/>
      <c r="L134" s="3"/>
      <c r="M134" s="4"/>
    </row>
    <row r="135" spans="1:13" outlineLevel="1" x14ac:dyDescent="0.35">
      <c r="A135" s="15" t="s">
        <v>509</v>
      </c>
      <c r="B135" s="30"/>
      <c r="C135" s="140" t="s">
        <v>180</v>
      </c>
      <c r="D135" s="6" t="s">
        <v>889</v>
      </c>
      <c r="E135" s="6" t="s">
        <v>891</v>
      </c>
      <c r="F135" s="6" t="s">
        <v>890</v>
      </c>
      <c r="G135" s="6" t="s">
        <v>892</v>
      </c>
      <c r="H135" s="6" t="s">
        <v>893</v>
      </c>
      <c r="I135" s="6" t="s">
        <v>894</v>
      </c>
      <c r="J135" s="6" t="s">
        <v>896</v>
      </c>
      <c r="K135" s="6" t="s">
        <v>897</v>
      </c>
      <c r="L135" s="6" t="s">
        <v>895</v>
      </c>
      <c r="M135" s="4"/>
    </row>
    <row r="136" spans="1:13" outlineLevel="1" x14ac:dyDescent="0.35">
      <c r="A136" s="141" t="s">
        <v>803</v>
      </c>
      <c r="B136" s="282" t="s">
        <v>117</v>
      </c>
      <c r="C136" s="282" t="s">
        <v>898</v>
      </c>
      <c r="D136" s="6">
        <f t="shared" ref="D136:I143" si="23">D124/100</f>
        <v>1.4465920336891991</v>
      </c>
      <c r="E136" s="6">
        <f t="shared" si="23"/>
        <v>1.4187757577205824</v>
      </c>
      <c r="F136" s="6">
        <f t="shared" si="23"/>
        <v>1.3409648280896127</v>
      </c>
      <c r="G136" s="6">
        <f t="shared" si="23"/>
        <v>1.4465920336891991</v>
      </c>
      <c r="H136" s="6">
        <f t="shared" si="23"/>
        <v>1.4187757577205824</v>
      </c>
      <c r="I136" s="6">
        <f t="shared" si="23"/>
        <v>1.3409648280896127</v>
      </c>
      <c r="J136" s="6">
        <f>J124/50</f>
        <v>2.8457346061175541</v>
      </c>
      <c r="K136" s="6">
        <f>K124/50</f>
        <v>2.7907771084023021</v>
      </c>
      <c r="L136" s="6">
        <f>L124/50</f>
        <v>2.6365958501448286</v>
      </c>
      <c r="M136" s="4"/>
    </row>
    <row r="137" spans="1:13" outlineLevel="1" x14ac:dyDescent="0.35">
      <c r="A137" s="141" t="s">
        <v>804</v>
      </c>
      <c r="B137" s="282" t="s">
        <v>118</v>
      </c>
      <c r="C137" s="282" t="s">
        <v>898</v>
      </c>
      <c r="D137" s="6">
        <f t="shared" si="23"/>
        <v>0.13483838270239062</v>
      </c>
      <c r="E137" s="6">
        <f t="shared" si="23"/>
        <v>0.13347248236670414</v>
      </c>
      <c r="F137" s="6">
        <f t="shared" si="23"/>
        <v>0.1294440412031635</v>
      </c>
      <c r="G137" s="6">
        <f t="shared" si="23"/>
        <v>0.13483838270239062</v>
      </c>
      <c r="H137" s="6">
        <f t="shared" si="23"/>
        <v>0.13347248236670414</v>
      </c>
      <c r="I137" s="6">
        <f t="shared" si="23"/>
        <v>0.1294440412031635</v>
      </c>
      <c r="J137" s="6">
        <f t="shared" ref="J137:L143" si="24">J125/50</f>
        <v>0.13483838270239062</v>
      </c>
      <c r="K137" s="6">
        <f t="shared" si="24"/>
        <v>0.13347248236670414</v>
      </c>
      <c r="L137" s="6">
        <f t="shared" si="24"/>
        <v>0.1294440412031635</v>
      </c>
      <c r="M137" s="4"/>
    </row>
    <row r="138" spans="1:13" outlineLevel="1" x14ac:dyDescent="0.35">
      <c r="B138" s="282" t="s">
        <v>119</v>
      </c>
      <c r="C138" s="282" t="s">
        <v>898</v>
      </c>
      <c r="D138" s="6">
        <f t="shared" si="23"/>
        <v>2.2817937173296398E-2</v>
      </c>
      <c r="E138" s="6">
        <f t="shared" si="23"/>
        <v>2.0897062846404725E-2</v>
      </c>
      <c r="F138" s="6">
        <f t="shared" si="23"/>
        <v>1.939481065929053E-2</v>
      </c>
      <c r="G138" s="6">
        <f t="shared" si="23"/>
        <v>2.2817937173296398E-2</v>
      </c>
      <c r="H138" s="6">
        <f t="shared" si="23"/>
        <v>2.0897062846404725E-2</v>
      </c>
      <c r="I138" s="6">
        <f t="shared" si="23"/>
        <v>1.939481065929053E-2</v>
      </c>
      <c r="J138" s="6">
        <f t="shared" si="24"/>
        <v>4.5635874346592796E-2</v>
      </c>
      <c r="K138" s="6">
        <f t="shared" si="24"/>
        <v>4.179412569280945E-2</v>
      </c>
      <c r="L138" s="6">
        <f t="shared" si="24"/>
        <v>3.8789621318581061E-2</v>
      </c>
      <c r="M138" s="4"/>
    </row>
    <row r="139" spans="1:13" outlineLevel="1" x14ac:dyDescent="0.35">
      <c r="B139" s="282" t="s">
        <v>120</v>
      </c>
      <c r="C139" s="282" t="s">
        <v>898</v>
      </c>
      <c r="D139" s="6">
        <f t="shared" si="23"/>
        <v>2.6853148874369803E-7</v>
      </c>
      <c r="E139" s="6">
        <f t="shared" si="23"/>
        <v>6.4814302489144731E-4</v>
      </c>
      <c r="F139" s="6">
        <f t="shared" si="23"/>
        <v>6.1440305403541017E-4</v>
      </c>
      <c r="G139" s="6">
        <f t="shared" si="23"/>
        <v>6.7132872185924513E-4</v>
      </c>
      <c r="H139" s="6">
        <f t="shared" si="23"/>
        <v>6.4814302489144731E-4</v>
      </c>
      <c r="I139" s="6">
        <f t="shared" si="23"/>
        <v>6.1440305403541017E-4</v>
      </c>
      <c r="J139" s="6">
        <f t="shared" si="24"/>
        <v>2.6853148874369803E-7</v>
      </c>
      <c r="K139" s="6">
        <f t="shared" si="24"/>
        <v>6.4814302489144731E-4</v>
      </c>
      <c r="L139" s="6">
        <f t="shared" si="24"/>
        <v>6.1440305403541017E-4</v>
      </c>
      <c r="M139" s="4"/>
    </row>
    <row r="140" spans="1:13" outlineLevel="1" x14ac:dyDescent="0.35">
      <c r="B140" s="282" t="s">
        <v>121</v>
      </c>
      <c r="C140" s="282" t="s">
        <v>898</v>
      </c>
      <c r="D140" s="6">
        <f t="shared" si="23"/>
        <v>0.52513157720616921</v>
      </c>
      <c r="E140" s="6">
        <f t="shared" si="23"/>
        <v>0.51671318505325037</v>
      </c>
      <c r="F140" s="6">
        <f t="shared" si="23"/>
        <v>0.50705436751519706</v>
      </c>
      <c r="G140" s="6">
        <f t="shared" si="23"/>
        <v>0.52513157720616921</v>
      </c>
      <c r="H140" s="6">
        <f t="shared" si="23"/>
        <v>0.51671318505325037</v>
      </c>
      <c r="I140" s="6">
        <f t="shared" si="23"/>
        <v>0.50705436751519706</v>
      </c>
      <c r="J140" s="6">
        <f t="shared" si="24"/>
        <v>1.0502631544123384</v>
      </c>
      <c r="K140" s="6">
        <f t="shared" si="24"/>
        <v>1.0334263701065007</v>
      </c>
      <c r="L140" s="6">
        <f t="shared" si="24"/>
        <v>1.0141087350303941</v>
      </c>
      <c r="M140" s="4"/>
    </row>
    <row r="141" spans="1:13" outlineLevel="1" x14ac:dyDescent="0.35">
      <c r="B141" s="282" t="s">
        <v>797</v>
      </c>
      <c r="C141" s="282" t="s">
        <v>898</v>
      </c>
      <c r="D141" s="6">
        <f t="shared" si="23"/>
        <v>0</v>
      </c>
      <c r="E141" s="6">
        <f t="shared" si="23"/>
        <v>0</v>
      </c>
      <c r="F141" s="6">
        <f t="shared" si="23"/>
        <v>0</v>
      </c>
      <c r="G141" s="6">
        <f t="shared" si="23"/>
        <v>0</v>
      </c>
      <c r="H141" s="6">
        <f t="shared" si="23"/>
        <v>0</v>
      </c>
      <c r="I141" s="6">
        <f t="shared" si="23"/>
        <v>0</v>
      </c>
      <c r="J141" s="6">
        <f t="shared" si="24"/>
        <v>10.657194576907372</v>
      </c>
      <c r="K141" s="6">
        <f t="shared" si="24"/>
        <v>10.440610308424352</v>
      </c>
      <c r="L141" s="6">
        <f t="shared" si="24"/>
        <v>9.7781090699314568</v>
      </c>
      <c r="M141" s="4"/>
    </row>
    <row r="142" spans="1:13" outlineLevel="1" x14ac:dyDescent="0.35">
      <c r="B142" s="282" t="s">
        <v>122</v>
      </c>
      <c r="C142" s="282" t="s">
        <v>898</v>
      </c>
      <c r="D142" s="6">
        <f t="shared" si="23"/>
        <v>33.229448630808889</v>
      </c>
      <c r="E142" s="6">
        <f t="shared" si="23"/>
        <v>28.357105658424597</v>
      </c>
      <c r="F142" s="6">
        <f t="shared" si="23"/>
        <v>21.939425070606902</v>
      </c>
      <c r="G142" s="6">
        <f t="shared" si="23"/>
        <v>26.163565651574395</v>
      </c>
      <c r="H142" s="6">
        <f t="shared" si="23"/>
        <v>22.442727267023511</v>
      </c>
      <c r="I142" s="6">
        <f t="shared" si="23"/>
        <v>17.525539030010872</v>
      </c>
      <c r="J142" s="6">
        <f t="shared" si="24"/>
        <v>8.542336134653512</v>
      </c>
      <c r="K142" s="6">
        <f t="shared" si="24"/>
        <v>8.4795027660768181</v>
      </c>
      <c r="L142" s="6">
        <f t="shared" si="24"/>
        <v>8.262686304739205</v>
      </c>
      <c r="M142" s="4"/>
    </row>
    <row r="143" spans="1:13" outlineLevel="1" x14ac:dyDescent="0.35">
      <c r="B143" s="282" t="s">
        <v>123</v>
      </c>
      <c r="C143" s="282" t="s">
        <v>898</v>
      </c>
      <c r="D143" s="6">
        <f t="shared" si="23"/>
        <v>2.6009967074783695</v>
      </c>
      <c r="E143" s="6">
        <f t="shared" si="23"/>
        <v>2.2339917935402642</v>
      </c>
      <c r="F143" s="6">
        <f t="shared" si="23"/>
        <v>1.7426750701815203</v>
      </c>
      <c r="G143" s="6">
        <f t="shared" si="23"/>
        <v>2.6009967074783695</v>
      </c>
      <c r="H143" s="6">
        <f t="shared" si="23"/>
        <v>2.2339917935402642</v>
      </c>
      <c r="I143" s="6">
        <f t="shared" si="23"/>
        <v>1.7426750701815203</v>
      </c>
      <c r="J143" s="6">
        <f t="shared" si="24"/>
        <v>2.6009967074783695</v>
      </c>
      <c r="K143" s="6">
        <f t="shared" si="24"/>
        <v>2.2339917935402642</v>
      </c>
      <c r="L143" s="6">
        <f t="shared" si="24"/>
        <v>1.7426750701815203</v>
      </c>
      <c r="M143" s="4"/>
    </row>
    <row r="144" spans="1:13" outlineLevel="1" x14ac:dyDescent="0.35">
      <c r="D144" s="26"/>
      <c r="E144" s="6"/>
      <c r="F144" s="6"/>
      <c r="G144" s="6"/>
      <c r="H144" s="6"/>
      <c r="I144" s="6"/>
      <c r="J144" s="6"/>
      <c r="K144" s="6"/>
      <c r="L144" s="6"/>
      <c r="M144" s="4"/>
    </row>
    <row r="145" spans="1:23" outlineLevel="1" x14ac:dyDescent="0.35">
      <c r="B145" s="282" t="s">
        <v>137</v>
      </c>
      <c r="C145" s="282" t="s">
        <v>898</v>
      </c>
      <c r="D145" s="6">
        <f>SUM(D136:D144)</f>
        <v>37.959825537589808</v>
      </c>
      <c r="E145" s="6">
        <f t="shared" ref="E145:L145" si="25">SUM(E136:E144)</f>
        <v>32.681604082976698</v>
      </c>
      <c r="F145" s="6">
        <f t="shared" si="25"/>
        <v>25.679572591309721</v>
      </c>
      <c r="G145" s="6">
        <f t="shared" si="25"/>
        <v>30.89461361854568</v>
      </c>
      <c r="H145" s="6">
        <f t="shared" si="25"/>
        <v>26.767225691575611</v>
      </c>
      <c r="I145" s="6">
        <f t="shared" si="25"/>
        <v>21.265686550713692</v>
      </c>
      <c r="J145" s="6">
        <f t="shared" si="25"/>
        <v>25.876999705149618</v>
      </c>
      <c r="K145" s="6">
        <f t="shared" si="25"/>
        <v>25.154223097634642</v>
      </c>
      <c r="L145" s="6">
        <f t="shared" si="25"/>
        <v>23.603023095603184</v>
      </c>
      <c r="M145" s="4"/>
    </row>
    <row r="146" spans="1:23" outlineLevel="1" x14ac:dyDescent="0.35">
      <c r="D146" s="6"/>
      <c r="E146" s="6"/>
      <c r="F146" s="6"/>
      <c r="G146" s="6"/>
      <c r="H146" s="6"/>
      <c r="I146" s="6"/>
      <c r="J146" s="6"/>
      <c r="K146" s="6"/>
      <c r="L146" s="6"/>
      <c r="M146" s="4"/>
      <c r="T146" s="282"/>
    </row>
    <row r="147" spans="1:23" s="33" customFormat="1" ht="15.5" x14ac:dyDescent="0.35">
      <c r="A147" s="51" t="s">
        <v>505</v>
      </c>
      <c r="B147" s="4"/>
      <c r="C147" s="4"/>
      <c r="D147" s="4"/>
      <c r="E147" s="4"/>
      <c r="F147" s="4"/>
      <c r="G147" s="4"/>
      <c r="H147" s="4"/>
      <c r="I147" s="4"/>
      <c r="J147" s="4"/>
      <c r="K147" s="4"/>
      <c r="L147" s="4"/>
      <c r="M147" s="4"/>
      <c r="N147" s="282"/>
      <c r="O147" s="282"/>
      <c r="P147" s="282"/>
      <c r="Q147" s="282"/>
      <c r="R147" s="282"/>
      <c r="S147" s="282"/>
      <c r="T147" s="282"/>
      <c r="U147" s="282"/>
      <c r="V147" s="282"/>
      <c r="W147" s="282"/>
    </row>
    <row r="148" spans="1:23" outlineLevel="1" x14ac:dyDescent="0.35">
      <c r="A148" s="15" t="s">
        <v>507</v>
      </c>
      <c r="B148" s="30"/>
      <c r="C148" s="140" t="s">
        <v>180</v>
      </c>
      <c r="D148" s="6" t="s">
        <v>889</v>
      </c>
      <c r="E148" s="6" t="s">
        <v>891</v>
      </c>
      <c r="F148" s="6" t="s">
        <v>890</v>
      </c>
      <c r="G148" s="6" t="s">
        <v>892</v>
      </c>
      <c r="H148" s="6" t="s">
        <v>893</v>
      </c>
      <c r="I148" s="6" t="s">
        <v>894</v>
      </c>
      <c r="J148" s="6" t="s">
        <v>896</v>
      </c>
      <c r="K148" s="6" t="s">
        <v>897</v>
      </c>
      <c r="L148" s="6" t="s">
        <v>895</v>
      </c>
      <c r="M148" s="4"/>
      <c r="T148" s="282"/>
    </row>
    <row r="149" spans="1:23" outlineLevel="1" x14ac:dyDescent="0.35">
      <c r="A149" s="141" t="s">
        <v>508</v>
      </c>
      <c r="B149" s="282" t="s">
        <v>117</v>
      </c>
      <c r="C149" s="282" t="s">
        <v>900</v>
      </c>
      <c r="D149" s="6">
        <f>'Results ReCiPe (H) - RD'!B449</f>
        <v>115.72736269513592</v>
      </c>
      <c r="E149" s="6">
        <f>'Results ReCiPe (H) - RD'!C449</f>
        <v>113.50206061764658</v>
      </c>
      <c r="F149" s="6">
        <f>'Results ReCiPe (H) - RD'!D449</f>
        <v>107.27718624716901</v>
      </c>
      <c r="G149" s="6">
        <f>'Results ReCiPe (H) - RD'!E449</f>
        <v>115.72736269513592</v>
      </c>
      <c r="H149" s="6">
        <f>'Results ReCiPe (H) - RD'!F449</f>
        <v>113.50206061764658</v>
      </c>
      <c r="I149" s="6">
        <f>'Results ReCiPe (H) - RD'!G449</f>
        <v>107.27718624716901</v>
      </c>
      <c r="J149" s="6">
        <f>'Results ReCiPe (H) - RD'!H449</f>
        <v>113.82938424470218</v>
      </c>
      <c r="K149" s="6">
        <f>'Results ReCiPe (H) - RD'!I449</f>
        <v>111.63108433609209</v>
      </c>
      <c r="L149" s="6">
        <f>'Results ReCiPe (H) - RD'!J449</f>
        <v>105.46383400579315</v>
      </c>
      <c r="M149" s="4"/>
    </row>
    <row r="150" spans="1:23" outlineLevel="1" x14ac:dyDescent="0.35">
      <c r="B150" s="282" t="s">
        <v>118</v>
      </c>
      <c r="C150" s="282" t="s">
        <v>900</v>
      </c>
      <c r="D150" s="6">
        <f>'Results ReCiPe (H) - RD'!B450</f>
        <v>10.787070616191249</v>
      </c>
      <c r="E150" s="6">
        <f>'Results ReCiPe (H) - RD'!C450</f>
        <v>10.67779858933633</v>
      </c>
      <c r="F150" s="6">
        <f>'Results ReCiPe (H) - RD'!D450</f>
        <v>10.355523296253079</v>
      </c>
      <c r="G150" s="6">
        <f>'Results ReCiPe (H) - RD'!E450</f>
        <v>10.787070616191249</v>
      </c>
      <c r="H150" s="6">
        <f>'Results ReCiPe (H) - RD'!F450</f>
        <v>10.67779858933633</v>
      </c>
      <c r="I150" s="6">
        <f>'Results ReCiPe (H) - RD'!G450</f>
        <v>10.355523296253079</v>
      </c>
      <c r="J150" s="6">
        <f>'Results ReCiPe (H) - RD'!H450</f>
        <v>5.3935353080956245</v>
      </c>
      <c r="K150" s="6">
        <f>'Results ReCiPe (H) - RD'!I450</f>
        <v>5.338899294668165</v>
      </c>
      <c r="L150" s="6">
        <f>'Results ReCiPe (H) - RD'!J450</f>
        <v>5.1777616481265394</v>
      </c>
      <c r="M150" s="4"/>
    </row>
    <row r="151" spans="1:23" outlineLevel="1" x14ac:dyDescent="0.35">
      <c r="B151" s="282" t="s">
        <v>119</v>
      </c>
      <c r="C151" s="282" t="s">
        <v>900</v>
      </c>
      <c r="D151" s="6">
        <f>'Results ReCiPe (H) - RD'!B451</f>
        <v>1.8254349738637117</v>
      </c>
      <c r="E151" s="6">
        <f>'Results ReCiPe (H) - RD'!C451</f>
        <v>1.6717650277123781</v>
      </c>
      <c r="F151" s="6">
        <f>'Results ReCiPe (H) - RD'!D451</f>
        <v>1.5515848527432425</v>
      </c>
      <c r="G151" s="6">
        <f>'Results ReCiPe (H) - RD'!E451</f>
        <v>1.8254349738637117</v>
      </c>
      <c r="H151" s="6">
        <f>'Results ReCiPe (H) - RD'!F451</f>
        <v>1.6717650277123781</v>
      </c>
      <c r="I151" s="6">
        <f>'Results ReCiPe (H) - RD'!G451</f>
        <v>1.5515848527432425</v>
      </c>
      <c r="J151" s="6">
        <f>'Results ReCiPe (H) - RD'!H451</f>
        <v>1.8254349738637117</v>
      </c>
      <c r="K151" s="6">
        <f>'Results ReCiPe (H) - RD'!I451</f>
        <v>1.6717650277123781</v>
      </c>
      <c r="L151" s="6">
        <f>'Results ReCiPe (H) - RD'!J451</f>
        <v>1.5515848527432425</v>
      </c>
      <c r="M151" s="4"/>
    </row>
    <row r="152" spans="1:23" outlineLevel="1" x14ac:dyDescent="0.35">
      <c r="B152" s="282" t="s">
        <v>120</v>
      </c>
      <c r="C152" s="282" t="s">
        <v>900</v>
      </c>
      <c r="D152" s="6">
        <f>'Results ReCiPe (H) - RD'!B452</f>
        <v>2.1482519099495843E-5</v>
      </c>
      <c r="E152" s="6">
        <f>'Results ReCiPe (H) - RD'!C452</f>
        <v>5.1851441991315778E-2</v>
      </c>
      <c r="F152" s="6">
        <f>'Results ReCiPe (H) - RD'!D452</f>
        <v>4.9152244322832814E-2</v>
      </c>
      <c r="G152" s="6">
        <f>'Results ReCiPe (H) - RD'!E452</f>
        <v>5.3706297748739605E-2</v>
      </c>
      <c r="H152" s="6">
        <f>'Results ReCiPe (H) - RD'!F452</f>
        <v>5.1851441991315778E-2</v>
      </c>
      <c r="I152" s="6">
        <f>'Results ReCiPe (H) - RD'!G452</f>
        <v>4.9152244322832814E-2</v>
      </c>
      <c r="J152" s="6">
        <f>'Results ReCiPe (H) - RD'!H452</f>
        <v>1.0741259549747921E-5</v>
      </c>
      <c r="K152" s="6">
        <f>'Results ReCiPe (H) - RD'!I452</f>
        <v>2.5925720995657889E-2</v>
      </c>
      <c r="L152" s="6">
        <f>'Results ReCiPe (H) - RD'!J452</f>
        <v>2.4576122161416407E-2</v>
      </c>
      <c r="M152" s="4"/>
    </row>
    <row r="153" spans="1:23" outlineLevel="1" x14ac:dyDescent="0.35">
      <c r="B153" s="282" t="s">
        <v>121</v>
      </c>
      <c r="C153" s="282" t="s">
        <v>900</v>
      </c>
      <c r="D153" s="6">
        <f>'Results ReCiPe (H) - RD'!B453</f>
        <v>42.010526176493542</v>
      </c>
      <c r="E153" s="6">
        <f>'Results ReCiPe (H) - RD'!C453</f>
        <v>41.337054804260035</v>
      </c>
      <c r="F153" s="6">
        <f>'Results ReCiPe (H) - RD'!D453</f>
        <v>40.564349401215765</v>
      </c>
      <c r="G153" s="6">
        <f>'Results ReCiPe (H) - RD'!E453</f>
        <v>42.010526176493542</v>
      </c>
      <c r="H153" s="6">
        <f>'Results ReCiPe (H) - RD'!F453</f>
        <v>41.337054804260035</v>
      </c>
      <c r="I153" s="6">
        <f>'Results ReCiPe (H) - RD'!G453</f>
        <v>40.564349401215765</v>
      </c>
      <c r="J153" s="6">
        <f>'Results ReCiPe (H) - RD'!H453</f>
        <v>42.010526176493542</v>
      </c>
      <c r="K153" s="6">
        <f>'Results ReCiPe (H) - RD'!I453</f>
        <v>41.337054804260035</v>
      </c>
      <c r="L153" s="6">
        <f>'Results ReCiPe (H) - RD'!J453</f>
        <v>40.564349401215765</v>
      </c>
      <c r="M153" s="4"/>
    </row>
    <row r="154" spans="1:23" outlineLevel="1" x14ac:dyDescent="0.35">
      <c r="B154" s="282" t="s">
        <v>797</v>
      </c>
      <c r="C154" s="282" t="s">
        <v>900</v>
      </c>
      <c r="D154" s="6">
        <f>'Results ReCiPe (H) - RD'!B454</f>
        <v>0</v>
      </c>
      <c r="E154" s="6">
        <f>'Results ReCiPe (H) - RD'!C454</f>
        <v>0</v>
      </c>
      <c r="F154" s="6">
        <f>'Results ReCiPe (H) - RD'!D454</f>
        <v>0</v>
      </c>
      <c r="G154" s="6">
        <f>'Results ReCiPe (H) - RD'!E454</f>
        <v>0</v>
      </c>
      <c r="H154" s="6">
        <f>'Results ReCiPe (H) - RD'!F454</f>
        <v>0</v>
      </c>
      <c r="I154" s="6">
        <f>'Results ReCiPe (H) - RD'!G454</f>
        <v>0</v>
      </c>
      <c r="J154" s="6">
        <f>'Results ReCiPe (H) - RD'!H454</f>
        <v>426.28778307629489</v>
      </c>
      <c r="K154" s="6">
        <f>'Results ReCiPe (H) - RD'!I454</f>
        <v>417.62441233697405</v>
      </c>
      <c r="L154" s="6">
        <f>'Results ReCiPe (H) - RD'!J454</f>
        <v>391.1243627972583</v>
      </c>
      <c r="M154" s="4"/>
    </row>
    <row r="155" spans="1:23" outlineLevel="1" x14ac:dyDescent="0.35">
      <c r="B155" s="282" t="s">
        <v>122</v>
      </c>
      <c r="C155" s="282" t="s">
        <v>900</v>
      </c>
      <c r="D155" s="6">
        <f>'Results ReCiPe (H) - RD'!B455</f>
        <v>2658.3558904647111</v>
      </c>
      <c r="E155" s="6">
        <f>'Results ReCiPe (H) - RD'!C455</f>
        <v>2268.5684526739678</v>
      </c>
      <c r="F155" s="6">
        <f>'Results ReCiPe (H) - RD'!D455</f>
        <v>1755.1540056485524</v>
      </c>
      <c r="G155" s="6">
        <f>'Results ReCiPe (H) - RD'!E455</f>
        <v>2093.0852521259517</v>
      </c>
      <c r="H155" s="6">
        <f>'Results ReCiPe (H) - RD'!F455</f>
        <v>1795.4181813618809</v>
      </c>
      <c r="I155" s="6">
        <f>'Results ReCiPe (H) - RD'!G455</f>
        <v>1402.0431224008696</v>
      </c>
      <c r="J155" s="6">
        <f>'Results ReCiPe (H) - RD'!H455</f>
        <v>341.69344538614052</v>
      </c>
      <c r="K155" s="6">
        <f>'Results ReCiPe (H) - RD'!I455</f>
        <v>339.18011064307268</v>
      </c>
      <c r="L155" s="6">
        <f>'Results ReCiPe (H) - RD'!J455</f>
        <v>330.5074521895682</v>
      </c>
      <c r="M155" s="4"/>
    </row>
    <row r="156" spans="1:23" outlineLevel="1" x14ac:dyDescent="0.35">
      <c r="B156" s="282" t="s">
        <v>123</v>
      </c>
      <c r="C156" s="282" t="s">
        <v>900</v>
      </c>
      <c r="D156" s="6">
        <f>'Results ReCiPe (H) - RD'!B456</f>
        <v>208.07973659826959</v>
      </c>
      <c r="E156" s="6">
        <f>'Results ReCiPe (H) - RD'!C456</f>
        <v>178.71934348322114</v>
      </c>
      <c r="F156" s="6">
        <f>'Results ReCiPe (H) - RD'!D456</f>
        <v>139.41400561452164</v>
      </c>
      <c r="G156" s="6">
        <f>'Results ReCiPe (H) - RD'!E456</f>
        <v>208.07973659826959</v>
      </c>
      <c r="H156" s="6">
        <f>'Results ReCiPe (H) - RD'!F456</f>
        <v>178.71934348322114</v>
      </c>
      <c r="I156" s="6">
        <f>'Results ReCiPe (H) - RD'!G456</f>
        <v>139.41400561452164</v>
      </c>
      <c r="J156" s="6">
        <f>'Results ReCiPe (H) - RD'!H456</f>
        <v>104.0398682991348</v>
      </c>
      <c r="K156" s="6">
        <f>'Results ReCiPe (H) - RD'!I456</f>
        <v>89.359671741610569</v>
      </c>
      <c r="L156" s="6">
        <f>'Results ReCiPe (H) - RD'!J456</f>
        <v>69.707002807260821</v>
      </c>
      <c r="M156" s="4"/>
    </row>
    <row r="157" spans="1:23" outlineLevel="1" x14ac:dyDescent="0.35">
      <c r="D157" s="6"/>
      <c r="E157" s="6"/>
      <c r="F157" s="6"/>
      <c r="G157" s="6"/>
      <c r="H157" s="6"/>
      <c r="I157" s="6"/>
      <c r="J157" s="6"/>
      <c r="K157" s="6"/>
      <c r="L157" s="6"/>
      <c r="M157" s="4"/>
    </row>
    <row r="158" spans="1:23" outlineLevel="1" x14ac:dyDescent="0.35">
      <c r="B158" s="282" t="s">
        <v>137</v>
      </c>
      <c r="C158" s="282" t="s">
        <v>900</v>
      </c>
      <c r="D158" s="6">
        <f>SUM(D148:D157)</f>
        <v>3036.7860430071842</v>
      </c>
      <c r="E158" s="6">
        <f t="shared" ref="E158:L158" si="26">SUM(E148:E157)</f>
        <v>2614.5283266381357</v>
      </c>
      <c r="F158" s="6">
        <f t="shared" si="26"/>
        <v>2054.3658073047777</v>
      </c>
      <c r="G158" s="6">
        <f t="shared" si="26"/>
        <v>2471.5690894836544</v>
      </c>
      <c r="H158" s="6">
        <f t="shared" si="26"/>
        <v>2141.3780553260485</v>
      </c>
      <c r="I158" s="6">
        <f t="shared" si="26"/>
        <v>1701.2549240570952</v>
      </c>
      <c r="J158" s="6">
        <f t="shared" si="26"/>
        <v>1035.0799882059848</v>
      </c>
      <c r="K158" s="6">
        <f t="shared" si="26"/>
        <v>1006.1689239053857</v>
      </c>
      <c r="L158" s="6">
        <f t="shared" si="26"/>
        <v>944.12092382412732</v>
      </c>
      <c r="M158" s="4"/>
    </row>
    <row r="159" spans="1:23" outlineLevel="1" x14ac:dyDescent="0.35">
      <c r="M159" s="4"/>
    </row>
    <row r="160" spans="1:23" outlineLevel="1" x14ac:dyDescent="0.35">
      <c r="A160" s="15" t="s">
        <v>509</v>
      </c>
      <c r="B160" s="30"/>
      <c r="C160" s="140" t="s">
        <v>180</v>
      </c>
      <c r="D160" s="6" t="s">
        <v>889</v>
      </c>
      <c r="E160" s="6" t="s">
        <v>891</v>
      </c>
      <c r="F160" s="6" t="s">
        <v>890</v>
      </c>
      <c r="G160" s="6" t="s">
        <v>892</v>
      </c>
      <c r="H160" s="6" t="s">
        <v>893</v>
      </c>
      <c r="I160" s="6" t="s">
        <v>894</v>
      </c>
      <c r="J160" s="6" t="s">
        <v>896</v>
      </c>
      <c r="K160" s="6" t="s">
        <v>897</v>
      </c>
      <c r="L160" s="6" t="s">
        <v>895</v>
      </c>
      <c r="M160" s="4"/>
    </row>
    <row r="161" spans="1:13" outlineLevel="1" x14ac:dyDescent="0.35">
      <c r="A161" s="141" t="s">
        <v>803</v>
      </c>
      <c r="B161" s="282" t="s">
        <v>117</v>
      </c>
      <c r="C161" s="282" t="s">
        <v>898</v>
      </c>
      <c r="D161" s="6">
        <f t="shared" ref="D161:I168" si="27">D149/100</f>
        <v>1.1572736269513593</v>
      </c>
      <c r="E161" s="6">
        <f t="shared" si="27"/>
        <v>1.1350206061764658</v>
      </c>
      <c r="F161" s="6">
        <f t="shared" si="27"/>
        <v>1.0727718624716902</v>
      </c>
      <c r="G161" s="6">
        <f t="shared" si="27"/>
        <v>1.1572736269513593</v>
      </c>
      <c r="H161" s="6">
        <f t="shared" si="27"/>
        <v>1.1350206061764658</v>
      </c>
      <c r="I161" s="6">
        <f t="shared" si="27"/>
        <v>1.0727718624716902</v>
      </c>
      <c r="J161" s="6">
        <f>J149/50</f>
        <v>2.2765876848940438</v>
      </c>
      <c r="K161" s="6">
        <f>K149/50</f>
        <v>2.2326216867218416</v>
      </c>
      <c r="L161" s="6">
        <f>L149/50</f>
        <v>2.1092766801158631</v>
      </c>
      <c r="M161" s="4"/>
    </row>
    <row r="162" spans="1:13" outlineLevel="1" x14ac:dyDescent="0.35">
      <c r="A162" s="141" t="s">
        <v>804</v>
      </c>
      <c r="B162" s="282" t="s">
        <v>118</v>
      </c>
      <c r="C162" s="282" t="s">
        <v>898</v>
      </c>
      <c r="D162" s="6">
        <f t="shared" si="27"/>
        <v>0.10787070616191249</v>
      </c>
      <c r="E162" s="6">
        <f t="shared" si="27"/>
        <v>0.10677798589336331</v>
      </c>
      <c r="F162" s="6">
        <f t="shared" si="27"/>
        <v>0.10355523296253079</v>
      </c>
      <c r="G162" s="6">
        <f t="shared" si="27"/>
        <v>0.10787070616191249</v>
      </c>
      <c r="H162" s="6">
        <f t="shared" si="27"/>
        <v>0.10677798589336331</v>
      </c>
      <c r="I162" s="6">
        <f t="shared" si="27"/>
        <v>0.10355523296253079</v>
      </c>
      <c r="J162" s="6">
        <f t="shared" ref="J162:L168" si="28">J150/50</f>
        <v>0.10787070616191249</v>
      </c>
      <c r="K162" s="6">
        <f t="shared" si="28"/>
        <v>0.10677798589336331</v>
      </c>
      <c r="L162" s="6">
        <f t="shared" si="28"/>
        <v>0.10355523296253079</v>
      </c>
      <c r="M162" s="4"/>
    </row>
    <row r="163" spans="1:13" outlineLevel="1" x14ac:dyDescent="0.35">
      <c r="B163" s="282" t="s">
        <v>119</v>
      </c>
      <c r="C163" s="282" t="s">
        <v>898</v>
      </c>
      <c r="D163" s="6">
        <f t="shared" si="27"/>
        <v>1.8254349738637116E-2</v>
      </c>
      <c r="E163" s="6">
        <f t="shared" si="27"/>
        <v>1.6717650277123783E-2</v>
      </c>
      <c r="F163" s="6">
        <f t="shared" si="27"/>
        <v>1.5515848527432425E-2</v>
      </c>
      <c r="G163" s="6">
        <f t="shared" si="27"/>
        <v>1.8254349738637116E-2</v>
      </c>
      <c r="H163" s="6">
        <f t="shared" si="27"/>
        <v>1.6717650277123783E-2</v>
      </c>
      <c r="I163" s="6">
        <f t="shared" si="27"/>
        <v>1.5515848527432425E-2</v>
      </c>
      <c r="J163" s="6">
        <f t="shared" si="28"/>
        <v>3.6508699477274233E-2</v>
      </c>
      <c r="K163" s="6">
        <f t="shared" si="28"/>
        <v>3.3435300554247566E-2</v>
      </c>
      <c r="L163" s="6">
        <f t="shared" si="28"/>
        <v>3.1031697054864849E-2</v>
      </c>
      <c r="M163" s="4"/>
    </row>
    <row r="164" spans="1:13" outlineLevel="1" x14ac:dyDescent="0.35">
      <c r="B164" s="282" t="s">
        <v>120</v>
      </c>
      <c r="C164" s="282" t="s">
        <v>898</v>
      </c>
      <c r="D164" s="6">
        <f t="shared" si="27"/>
        <v>2.1482519099495843E-7</v>
      </c>
      <c r="E164" s="6">
        <f t="shared" si="27"/>
        <v>5.1851441991315782E-4</v>
      </c>
      <c r="F164" s="6">
        <f t="shared" si="27"/>
        <v>4.9152244322832816E-4</v>
      </c>
      <c r="G164" s="6">
        <f t="shared" si="27"/>
        <v>5.3706297748739608E-4</v>
      </c>
      <c r="H164" s="6">
        <f t="shared" si="27"/>
        <v>5.1851441991315782E-4</v>
      </c>
      <c r="I164" s="6">
        <f t="shared" si="27"/>
        <v>4.9152244322832816E-4</v>
      </c>
      <c r="J164" s="6">
        <f t="shared" si="28"/>
        <v>2.1482519099495843E-7</v>
      </c>
      <c r="K164" s="6">
        <f t="shared" si="28"/>
        <v>5.1851441991315782E-4</v>
      </c>
      <c r="L164" s="6">
        <f t="shared" si="28"/>
        <v>4.9152244322832816E-4</v>
      </c>
      <c r="M164" s="4"/>
    </row>
    <row r="165" spans="1:13" outlineLevel="1" x14ac:dyDescent="0.35">
      <c r="B165" s="282" t="s">
        <v>121</v>
      </c>
      <c r="C165" s="282" t="s">
        <v>898</v>
      </c>
      <c r="D165" s="6">
        <f t="shared" si="27"/>
        <v>0.4201052617649354</v>
      </c>
      <c r="E165" s="6">
        <f t="shared" si="27"/>
        <v>0.41337054804260037</v>
      </c>
      <c r="F165" s="6">
        <f t="shared" si="27"/>
        <v>0.40564349401215766</v>
      </c>
      <c r="G165" s="6">
        <f t="shared" si="27"/>
        <v>0.4201052617649354</v>
      </c>
      <c r="H165" s="6">
        <f t="shared" si="27"/>
        <v>0.41337054804260037</v>
      </c>
      <c r="I165" s="6">
        <f t="shared" si="27"/>
        <v>0.40564349401215766</v>
      </c>
      <c r="J165" s="6">
        <f t="shared" si="28"/>
        <v>0.8402105235298708</v>
      </c>
      <c r="K165" s="6">
        <f t="shared" si="28"/>
        <v>0.82674109608520074</v>
      </c>
      <c r="L165" s="6">
        <f t="shared" si="28"/>
        <v>0.81128698802431531</v>
      </c>
      <c r="M165" s="4"/>
    </row>
    <row r="166" spans="1:13" outlineLevel="1" x14ac:dyDescent="0.35">
      <c r="B166" s="282" t="s">
        <v>797</v>
      </c>
      <c r="C166" s="282" t="s">
        <v>898</v>
      </c>
      <c r="D166" s="6">
        <f t="shared" si="27"/>
        <v>0</v>
      </c>
      <c r="E166" s="6">
        <f t="shared" si="27"/>
        <v>0</v>
      </c>
      <c r="F166" s="6">
        <f t="shared" si="27"/>
        <v>0</v>
      </c>
      <c r="G166" s="6">
        <f t="shared" si="27"/>
        <v>0</v>
      </c>
      <c r="H166" s="6">
        <f t="shared" si="27"/>
        <v>0</v>
      </c>
      <c r="I166" s="6">
        <f t="shared" si="27"/>
        <v>0</v>
      </c>
      <c r="J166" s="6">
        <f t="shared" si="28"/>
        <v>8.5257556615258974</v>
      </c>
      <c r="K166" s="6">
        <f t="shared" si="28"/>
        <v>8.3524882467394814</v>
      </c>
      <c r="L166" s="6">
        <f t="shared" si="28"/>
        <v>7.8224872559451661</v>
      </c>
      <c r="M166" s="4"/>
    </row>
    <row r="167" spans="1:13" outlineLevel="1" x14ac:dyDescent="0.35">
      <c r="B167" s="282" t="s">
        <v>122</v>
      </c>
      <c r="C167" s="282" t="s">
        <v>898</v>
      </c>
      <c r="D167" s="6">
        <f t="shared" si="27"/>
        <v>26.583558904647113</v>
      </c>
      <c r="E167" s="6">
        <f t="shared" si="27"/>
        <v>22.685684526739678</v>
      </c>
      <c r="F167" s="6">
        <f t="shared" si="27"/>
        <v>17.551540056485525</v>
      </c>
      <c r="G167" s="6">
        <f t="shared" si="27"/>
        <v>20.930852521259517</v>
      </c>
      <c r="H167" s="6">
        <f t="shared" si="27"/>
        <v>17.95418181361881</v>
      </c>
      <c r="I167" s="6">
        <f t="shared" si="27"/>
        <v>14.020431224008696</v>
      </c>
      <c r="J167" s="6">
        <f t="shared" si="28"/>
        <v>6.8338689077228105</v>
      </c>
      <c r="K167" s="6">
        <f t="shared" si="28"/>
        <v>6.7836022128614539</v>
      </c>
      <c r="L167" s="6">
        <f t="shared" si="28"/>
        <v>6.6101490437913641</v>
      </c>
      <c r="M167" s="4"/>
    </row>
    <row r="168" spans="1:13" outlineLevel="1" x14ac:dyDescent="0.35">
      <c r="B168" s="282" t="s">
        <v>123</v>
      </c>
      <c r="C168" s="282" t="s">
        <v>898</v>
      </c>
      <c r="D168" s="6">
        <f t="shared" si="27"/>
        <v>2.0807973659826957</v>
      </c>
      <c r="E168" s="6">
        <f t="shared" si="27"/>
        <v>1.7871934348322114</v>
      </c>
      <c r="F168" s="6">
        <f t="shared" si="27"/>
        <v>1.3941400561452164</v>
      </c>
      <c r="G168" s="6">
        <f t="shared" si="27"/>
        <v>2.0807973659826957</v>
      </c>
      <c r="H168" s="6">
        <f t="shared" si="27"/>
        <v>1.7871934348322114</v>
      </c>
      <c r="I168" s="6">
        <f t="shared" si="27"/>
        <v>1.3941400561452164</v>
      </c>
      <c r="J168" s="6">
        <f t="shared" si="28"/>
        <v>2.0807973659826957</v>
      </c>
      <c r="K168" s="6">
        <f t="shared" si="28"/>
        <v>1.7871934348322114</v>
      </c>
      <c r="L168" s="6">
        <f t="shared" si="28"/>
        <v>1.3941400561452164</v>
      </c>
      <c r="M168" s="4"/>
    </row>
    <row r="169" spans="1:13" outlineLevel="1" x14ac:dyDescent="0.35">
      <c r="D169" s="6"/>
      <c r="E169" s="6"/>
      <c r="F169" s="6"/>
      <c r="G169" s="6"/>
      <c r="H169" s="6"/>
      <c r="I169" s="6"/>
      <c r="J169" s="6"/>
      <c r="K169" s="6"/>
      <c r="L169" s="6"/>
      <c r="M169" s="4"/>
    </row>
    <row r="170" spans="1:13" outlineLevel="1" x14ac:dyDescent="0.35">
      <c r="B170" s="282" t="s">
        <v>137</v>
      </c>
      <c r="C170" s="282" t="s">
        <v>898</v>
      </c>
      <c r="D170" s="6">
        <f>SUM(D161:D169)</f>
        <v>30.367860430071843</v>
      </c>
      <c r="E170" s="6">
        <f t="shared" ref="E170:L170" si="29">SUM(E161:E169)</f>
        <v>26.145283266381355</v>
      </c>
      <c r="F170" s="6">
        <f t="shared" si="29"/>
        <v>20.54365807304778</v>
      </c>
      <c r="G170" s="6">
        <f t="shared" si="29"/>
        <v>24.715690894836545</v>
      </c>
      <c r="H170" s="6">
        <f t="shared" si="29"/>
        <v>21.413780553260487</v>
      </c>
      <c r="I170" s="6">
        <f t="shared" si="29"/>
        <v>17.012549240570952</v>
      </c>
      <c r="J170" s="6">
        <f t="shared" si="29"/>
        <v>20.701599764119699</v>
      </c>
      <c r="K170" s="6">
        <f t="shared" si="29"/>
        <v>20.123378478107714</v>
      </c>
      <c r="L170" s="6">
        <f t="shared" si="29"/>
        <v>18.882418476482549</v>
      </c>
      <c r="M170" s="4"/>
    </row>
    <row r="171" spans="1:13" outlineLevel="1" x14ac:dyDescent="0.35">
      <c r="M171" s="4"/>
    </row>
    <row r="172" spans="1:13" outlineLevel="1" x14ac:dyDescent="0.35">
      <c r="A172" s="15" t="s">
        <v>509</v>
      </c>
      <c r="B172" s="30"/>
      <c r="C172" s="140" t="s">
        <v>180</v>
      </c>
      <c r="D172" s="6" t="s">
        <v>889</v>
      </c>
      <c r="E172" s="6" t="s">
        <v>891</v>
      </c>
      <c r="F172" s="6" t="s">
        <v>890</v>
      </c>
      <c r="G172" s="6" t="s">
        <v>892</v>
      </c>
      <c r="H172" s="6" t="s">
        <v>893</v>
      </c>
      <c r="I172" s="6" t="s">
        <v>894</v>
      </c>
      <c r="J172" s="6" t="s">
        <v>896</v>
      </c>
      <c r="K172" s="6" t="s">
        <v>897</v>
      </c>
      <c r="L172" s="6" t="s">
        <v>895</v>
      </c>
      <c r="M172" s="4"/>
    </row>
    <row r="173" spans="1:13" outlineLevel="1" x14ac:dyDescent="0.35">
      <c r="A173" s="141" t="s">
        <v>805</v>
      </c>
      <c r="B173" s="282" t="s">
        <v>117</v>
      </c>
      <c r="C173" s="282" t="s">
        <v>898</v>
      </c>
      <c r="D173" s="6">
        <f t="shared" ref="D173:I180" si="30">D149/50</f>
        <v>2.3145472539027185</v>
      </c>
      <c r="E173" s="6">
        <f t="shared" si="30"/>
        <v>2.2700412123529317</v>
      </c>
      <c r="F173" s="6">
        <f t="shared" si="30"/>
        <v>2.1455437249433804</v>
      </c>
      <c r="G173" s="6">
        <f t="shared" si="30"/>
        <v>2.3145472539027185</v>
      </c>
      <c r="H173" s="6">
        <f t="shared" si="30"/>
        <v>2.2700412123529317</v>
      </c>
      <c r="I173" s="6">
        <f t="shared" si="30"/>
        <v>2.1455437249433804</v>
      </c>
      <c r="J173" s="6">
        <f>J149/25</f>
        <v>4.5531753697880877</v>
      </c>
      <c r="K173" s="6">
        <f>K149/25</f>
        <v>4.4652433734436832</v>
      </c>
      <c r="L173" s="6">
        <f>L149/25</f>
        <v>4.2185533602317262</v>
      </c>
      <c r="M173" s="4"/>
    </row>
    <row r="174" spans="1:13" outlineLevel="1" x14ac:dyDescent="0.35">
      <c r="A174" s="141" t="s">
        <v>806</v>
      </c>
      <c r="B174" s="282" t="s">
        <v>118</v>
      </c>
      <c r="C174" s="282" t="s">
        <v>898</v>
      </c>
      <c r="D174" s="6">
        <f t="shared" si="30"/>
        <v>0.21574141232382499</v>
      </c>
      <c r="E174" s="6">
        <f t="shared" si="30"/>
        <v>0.21355597178672661</v>
      </c>
      <c r="F174" s="6">
        <f t="shared" si="30"/>
        <v>0.20711046592506158</v>
      </c>
      <c r="G174" s="6">
        <f t="shared" si="30"/>
        <v>0.21574141232382499</v>
      </c>
      <c r="H174" s="6">
        <f t="shared" si="30"/>
        <v>0.21355597178672661</v>
      </c>
      <c r="I174" s="6">
        <f t="shared" si="30"/>
        <v>0.20711046592506158</v>
      </c>
      <c r="J174" s="6">
        <f t="shared" ref="J174:L180" si="31">J150/25</f>
        <v>0.21574141232382499</v>
      </c>
      <c r="K174" s="6">
        <f t="shared" si="31"/>
        <v>0.21355597178672661</v>
      </c>
      <c r="L174" s="6">
        <f t="shared" si="31"/>
        <v>0.20711046592506158</v>
      </c>
      <c r="M174" s="4"/>
    </row>
    <row r="175" spans="1:13" outlineLevel="1" x14ac:dyDescent="0.35">
      <c r="B175" s="282" t="s">
        <v>119</v>
      </c>
      <c r="C175" s="282" t="s">
        <v>898</v>
      </c>
      <c r="D175" s="6">
        <f t="shared" si="30"/>
        <v>3.6508699477274233E-2</v>
      </c>
      <c r="E175" s="6">
        <f t="shared" si="30"/>
        <v>3.3435300554247566E-2</v>
      </c>
      <c r="F175" s="6">
        <f t="shared" si="30"/>
        <v>3.1031697054864849E-2</v>
      </c>
      <c r="G175" s="6">
        <f t="shared" si="30"/>
        <v>3.6508699477274233E-2</v>
      </c>
      <c r="H175" s="6">
        <f t="shared" si="30"/>
        <v>3.3435300554247566E-2</v>
      </c>
      <c r="I175" s="6">
        <f t="shared" si="30"/>
        <v>3.1031697054864849E-2</v>
      </c>
      <c r="J175" s="6">
        <f t="shared" si="31"/>
        <v>7.3017398954548465E-2</v>
      </c>
      <c r="K175" s="6">
        <f t="shared" si="31"/>
        <v>6.6870601108495131E-2</v>
      </c>
      <c r="L175" s="6">
        <f t="shared" si="31"/>
        <v>6.2063394109729698E-2</v>
      </c>
      <c r="M175" s="4"/>
    </row>
    <row r="176" spans="1:13" outlineLevel="1" x14ac:dyDescent="0.35">
      <c r="B176" s="282" t="s">
        <v>120</v>
      </c>
      <c r="C176" s="282" t="s">
        <v>898</v>
      </c>
      <c r="D176" s="6">
        <f t="shared" si="30"/>
        <v>4.2965038198991686E-7</v>
      </c>
      <c r="E176" s="6">
        <f t="shared" si="30"/>
        <v>1.0370288398263156E-3</v>
      </c>
      <c r="F176" s="6">
        <f t="shared" si="30"/>
        <v>9.8304488645665632E-4</v>
      </c>
      <c r="G176" s="6">
        <f t="shared" si="30"/>
        <v>1.0741259549747922E-3</v>
      </c>
      <c r="H176" s="6">
        <f t="shared" si="30"/>
        <v>1.0370288398263156E-3</v>
      </c>
      <c r="I176" s="6">
        <f t="shared" si="30"/>
        <v>9.8304488645665632E-4</v>
      </c>
      <c r="J176" s="6">
        <f t="shared" si="31"/>
        <v>4.2965038198991686E-7</v>
      </c>
      <c r="K176" s="6">
        <f t="shared" si="31"/>
        <v>1.0370288398263156E-3</v>
      </c>
      <c r="L176" s="6">
        <f t="shared" si="31"/>
        <v>9.8304488645665632E-4</v>
      </c>
      <c r="M176" s="4"/>
    </row>
    <row r="177" spans="1:13" outlineLevel="1" x14ac:dyDescent="0.35">
      <c r="B177" s="282" t="s">
        <v>121</v>
      </c>
      <c r="C177" s="282" t="s">
        <v>898</v>
      </c>
      <c r="D177" s="6">
        <f t="shared" si="30"/>
        <v>0.8402105235298708</v>
      </c>
      <c r="E177" s="6">
        <f t="shared" si="30"/>
        <v>0.82674109608520074</v>
      </c>
      <c r="F177" s="6">
        <f t="shared" si="30"/>
        <v>0.81128698802431531</v>
      </c>
      <c r="G177" s="6">
        <f t="shared" si="30"/>
        <v>0.8402105235298708</v>
      </c>
      <c r="H177" s="6">
        <f t="shared" si="30"/>
        <v>0.82674109608520074</v>
      </c>
      <c r="I177" s="6">
        <f t="shared" si="30"/>
        <v>0.81128698802431531</v>
      </c>
      <c r="J177" s="6">
        <f t="shared" si="31"/>
        <v>1.6804210470597416</v>
      </c>
      <c r="K177" s="6">
        <f t="shared" si="31"/>
        <v>1.6534821921704015</v>
      </c>
      <c r="L177" s="6">
        <f t="shared" si="31"/>
        <v>1.6225739760486306</v>
      </c>
      <c r="M177" s="4"/>
    </row>
    <row r="178" spans="1:13" outlineLevel="1" x14ac:dyDescent="0.35">
      <c r="B178" s="282" t="s">
        <v>797</v>
      </c>
      <c r="C178" s="282" t="s">
        <v>898</v>
      </c>
      <c r="D178" s="6">
        <f t="shared" si="30"/>
        <v>0</v>
      </c>
      <c r="E178" s="6">
        <f t="shared" si="30"/>
        <v>0</v>
      </c>
      <c r="F178" s="6">
        <f t="shared" si="30"/>
        <v>0</v>
      </c>
      <c r="G178" s="6">
        <f t="shared" si="30"/>
        <v>0</v>
      </c>
      <c r="H178" s="6">
        <f t="shared" si="30"/>
        <v>0</v>
      </c>
      <c r="I178" s="6">
        <f t="shared" si="30"/>
        <v>0</v>
      </c>
      <c r="J178" s="6">
        <f t="shared" si="31"/>
        <v>17.051511323051795</v>
      </c>
      <c r="K178" s="6">
        <f t="shared" si="31"/>
        <v>16.704976493478963</v>
      </c>
      <c r="L178" s="6">
        <f t="shared" si="31"/>
        <v>15.644974511890332</v>
      </c>
      <c r="M178" s="4"/>
    </row>
    <row r="179" spans="1:13" outlineLevel="1" x14ac:dyDescent="0.35">
      <c r="B179" s="282" t="s">
        <v>122</v>
      </c>
      <c r="C179" s="282" t="s">
        <v>898</v>
      </c>
      <c r="D179" s="6">
        <f>D155/50</f>
        <v>53.167117809294226</v>
      </c>
      <c r="E179" s="6">
        <f t="shared" si="30"/>
        <v>45.371369053479356</v>
      </c>
      <c r="F179" s="6">
        <f t="shared" si="30"/>
        <v>35.10308011297105</v>
      </c>
      <c r="G179" s="6">
        <f t="shared" si="30"/>
        <v>41.861705042519034</v>
      </c>
      <c r="H179" s="6">
        <f t="shared" si="30"/>
        <v>35.90836362723762</v>
      </c>
      <c r="I179" s="6">
        <f t="shared" si="30"/>
        <v>28.040862448017393</v>
      </c>
      <c r="J179" s="6">
        <f t="shared" si="31"/>
        <v>13.667737815445621</v>
      </c>
      <c r="K179" s="6">
        <f t="shared" si="31"/>
        <v>13.567204425722908</v>
      </c>
      <c r="L179" s="6">
        <f t="shared" si="31"/>
        <v>13.220298087582728</v>
      </c>
      <c r="M179" s="4"/>
    </row>
    <row r="180" spans="1:13" outlineLevel="1" x14ac:dyDescent="0.35">
      <c r="B180" s="282" t="s">
        <v>123</v>
      </c>
      <c r="C180" s="282" t="s">
        <v>898</v>
      </c>
      <c r="D180" s="6">
        <f t="shared" si="30"/>
        <v>4.1615947319653914</v>
      </c>
      <c r="E180" s="6">
        <f t="shared" si="30"/>
        <v>3.5743868696644228</v>
      </c>
      <c r="F180" s="6">
        <f t="shared" si="30"/>
        <v>2.7882801122904328</v>
      </c>
      <c r="G180" s="6">
        <f t="shared" si="30"/>
        <v>4.1615947319653914</v>
      </c>
      <c r="H180" s="6">
        <f t="shared" si="30"/>
        <v>3.5743868696644228</v>
      </c>
      <c r="I180" s="6">
        <f t="shared" si="30"/>
        <v>2.7882801122904328</v>
      </c>
      <c r="J180" s="6">
        <f t="shared" si="31"/>
        <v>4.1615947319653914</v>
      </c>
      <c r="K180" s="6">
        <f t="shared" si="31"/>
        <v>3.5743868696644228</v>
      </c>
      <c r="L180" s="6">
        <f t="shared" si="31"/>
        <v>2.7882801122904328</v>
      </c>
      <c r="M180" s="4"/>
    </row>
    <row r="181" spans="1:13" outlineLevel="1" x14ac:dyDescent="0.35">
      <c r="D181" s="26"/>
      <c r="E181" s="6"/>
      <c r="F181" s="6"/>
      <c r="G181" s="6"/>
      <c r="H181" s="6"/>
      <c r="I181" s="6"/>
      <c r="J181" s="6"/>
      <c r="K181" s="6"/>
      <c r="L181" s="6"/>
      <c r="M181" s="4"/>
    </row>
    <row r="182" spans="1:13" outlineLevel="1" x14ac:dyDescent="0.35">
      <c r="B182" s="282" t="s">
        <v>137</v>
      </c>
      <c r="C182" s="282" t="s">
        <v>898</v>
      </c>
      <c r="D182" s="6">
        <f>SUM(D173:D181)</f>
        <v>60.735720860143687</v>
      </c>
      <c r="E182" s="6">
        <f t="shared" ref="E182:L182" si="32">SUM(E173:E181)</f>
        <v>52.29056653276271</v>
      </c>
      <c r="F182" s="6">
        <f t="shared" si="32"/>
        <v>41.08731614609556</v>
      </c>
      <c r="G182" s="6">
        <f t="shared" si="32"/>
        <v>49.43138178967309</v>
      </c>
      <c r="H182" s="6">
        <f t="shared" si="32"/>
        <v>42.827561106520974</v>
      </c>
      <c r="I182" s="6">
        <f t="shared" si="32"/>
        <v>34.025098481141903</v>
      </c>
      <c r="J182" s="6">
        <f t="shared" si="32"/>
        <v>41.403199528239398</v>
      </c>
      <c r="K182" s="6">
        <f t="shared" si="32"/>
        <v>40.246756956215428</v>
      </c>
      <c r="L182" s="6">
        <f t="shared" si="32"/>
        <v>37.764836952965098</v>
      </c>
      <c r="M182" s="4"/>
    </row>
    <row r="183" spans="1:13" outlineLevel="1" x14ac:dyDescent="0.35">
      <c r="M183" s="4"/>
    </row>
    <row r="184" spans="1:13" outlineLevel="1" x14ac:dyDescent="0.35">
      <c r="A184" s="15" t="s">
        <v>509</v>
      </c>
      <c r="B184" s="30"/>
      <c r="C184" s="140" t="s">
        <v>180</v>
      </c>
      <c r="D184" s="6" t="s">
        <v>889</v>
      </c>
      <c r="E184" s="6" t="s">
        <v>891</v>
      </c>
      <c r="F184" s="6" t="s">
        <v>890</v>
      </c>
      <c r="G184" s="6" t="s">
        <v>892</v>
      </c>
      <c r="H184" s="6" t="s">
        <v>893</v>
      </c>
      <c r="I184" s="6" t="s">
        <v>894</v>
      </c>
      <c r="J184" s="6" t="s">
        <v>896</v>
      </c>
      <c r="K184" s="6" t="s">
        <v>897</v>
      </c>
      <c r="L184" s="6" t="s">
        <v>895</v>
      </c>
      <c r="M184" s="4"/>
    </row>
    <row r="185" spans="1:13" outlineLevel="1" x14ac:dyDescent="0.35">
      <c r="A185" s="141" t="s">
        <v>807</v>
      </c>
      <c r="B185" s="282" t="s">
        <v>117</v>
      </c>
      <c r="C185" s="282" t="s">
        <v>898</v>
      </c>
      <c r="D185" s="6">
        <f t="shared" ref="D185:I192" si="33">D149/150</f>
        <v>0.77151575130090611</v>
      </c>
      <c r="E185" s="6">
        <f t="shared" si="33"/>
        <v>0.75668040411764381</v>
      </c>
      <c r="F185" s="6">
        <f t="shared" si="33"/>
        <v>0.7151812416477934</v>
      </c>
      <c r="G185" s="6">
        <f t="shared" si="33"/>
        <v>0.77151575130090611</v>
      </c>
      <c r="H185" s="6">
        <f t="shared" si="33"/>
        <v>0.75668040411764381</v>
      </c>
      <c r="I185" s="6">
        <f t="shared" si="33"/>
        <v>0.7151812416477934</v>
      </c>
      <c r="J185" s="6">
        <f>J149/75</f>
        <v>1.5177251232626958</v>
      </c>
      <c r="K185" s="6">
        <f>K149/75</f>
        <v>1.4884144578145611</v>
      </c>
      <c r="L185" s="6">
        <f>L149/75</f>
        <v>1.4061844534105752</v>
      </c>
      <c r="M185" s="4"/>
    </row>
    <row r="186" spans="1:13" outlineLevel="1" x14ac:dyDescent="0.35">
      <c r="A186" s="141" t="s">
        <v>808</v>
      </c>
      <c r="B186" s="282" t="s">
        <v>118</v>
      </c>
      <c r="C186" s="282" t="s">
        <v>898</v>
      </c>
      <c r="D186" s="6">
        <f t="shared" si="33"/>
        <v>7.1913804107941667E-2</v>
      </c>
      <c r="E186" s="6">
        <f t="shared" si="33"/>
        <v>7.1185323928908861E-2</v>
      </c>
      <c r="F186" s="6">
        <f t="shared" si="33"/>
        <v>6.9036821975020521E-2</v>
      </c>
      <c r="G186" s="6">
        <f t="shared" si="33"/>
        <v>7.1913804107941667E-2</v>
      </c>
      <c r="H186" s="6">
        <f t="shared" si="33"/>
        <v>7.1185323928908861E-2</v>
      </c>
      <c r="I186" s="6">
        <f t="shared" si="33"/>
        <v>6.9036821975020521E-2</v>
      </c>
      <c r="J186" s="6">
        <f t="shared" ref="J186:L192" si="34">J150/75</f>
        <v>7.1913804107941667E-2</v>
      </c>
      <c r="K186" s="6">
        <f t="shared" si="34"/>
        <v>7.1185323928908861E-2</v>
      </c>
      <c r="L186" s="6">
        <f t="shared" si="34"/>
        <v>6.9036821975020521E-2</v>
      </c>
      <c r="M186" s="4"/>
    </row>
    <row r="187" spans="1:13" outlineLevel="1" x14ac:dyDescent="0.35">
      <c r="B187" s="282" t="s">
        <v>119</v>
      </c>
      <c r="C187" s="282" t="s">
        <v>898</v>
      </c>
      <c r="D187" s="6">
        <f t="shared" si="33"/>
        <v>1.2169566492424745E-2</v>
      </c>
      <c r="E187" s="6">
        <f t="shared" si="33"/>
        <v>1.1145100184749188E-2</v>
      </c>
      <c r="F187" s="6">
        <f t="shared" si="33"/>
        <v>1.0343899018288284E-2</v>
      </c>
      <c r="G187" s="6">
        <f t="shared" si="33"/>
        <v>1.2169566492424745E-2</v>
      </c>
      <c r="H187" s="6">
        <f t="shared" si="33"/>
        <v>1.1145100184749188E-2</v>
      </c>
      <c r="I187" s="6">
        <f t="shared" si="33"/>
        <v>1.0343899018288284E-2</v>
      </c>
      <c r="J187" s="6">
        <f t="shared" si="34"/>
        <v>2.433913298484949E-2</v>
      </c>
      <c r="K187" s="6">
        <f t="shared" si="34"/>
        <v>2.2290200369498376E-2</v>
      </c>
      <c r="L187" s="6">
        <f t="shared" si="34"/>
        <v>2.0687798036576568E-2</v>
      </c>
      <c r="M187" s="4"/>
    </row>
    <row r="188" spans="1:13" outlineLevel="1" x14ac:dyDescent="0.35">
      <c r="B188" s="282" t="s">
        <v>120</v>
      </c>
      <c r="C188" s="282" t="s">
        <v>898</v>
      </c>
      <c r="D188" s="6">
        <f t="shared" si="33"/>
        <v>1.4321679399663895E-7</v>
      </c>
      <c r="E188" s="6">
        <f t="shared" si="33"/>
        <v>3.456762799421052E-4</v>
      </c>
      <c r="F188" s="6">
        <f t="shared" si="33"/>
        <v>3.2768162881888544E-4</v>
      </c>
      <c r="G188" s="6">
        <f t="shared" si="33"/>
        <v>3.5804198499159737E-4</v>
      </c>
      <c r="H188" s="6">
        <f t="shared" si="33"/>
        <v>3.456762799421052E-4</v>
      </c>
      <c r="I188" s="6">
        <f t="shared" si="33"/>
        <v>3.2768162881888544E-4</v>
      </c>
      <c r="J188" s="6">
        <f t="shared" si="34"/>
        <v>1.4321679399663895E-7</v>
      </c>
      <c r="K188" s="6">
        <f t="shared" si="34"/>
        <v>3.456762799421052E-4</v>
      </c>
      <c r="L188" s="6">
        <f t="shared" si="34"/>
        <v>3.2768162881888544E-4</v>
      </c>
      <c r="M188" s="4"/>
    </row>
    <row r="189" spans="1:13" outlineLevel="1" x14ac:dyDescent="0.35">
      <c r="B189" s="282" t="s">
        <v>121</v>
      </c>
      <c r="C189" s="282" t="s">
        <v>898</v>
      </c>
      <c r="D189" s="6">
        <f t="shared" si="33"/>
        <v>0.28007017450995697</v>
      </c>
      <c r="E189" s="6">
        <f t="shared" si="33"/>
        <v>0.27558036536173358</v>
      </c>
      <c r="F189" s="6">
        <f t="shared" si="33"/>
        <v>0.2704289960081051</v>
      </c>
      <c r="G189" s="6">
        <f t="shared" si="33"/>
        <v>0.28007017450995697</v>
      </c>
      <c r="H189" s="6">
        <f t="shared" si="33"/>
        <v>0.27558036536173358</v>
      </c>
      <c r="I189" s="6">
        <f t="shared" si="33"/>
        <v>0.2704289960081051</v>
      </c>
      <c r="J189" s="6">
        <f t="shared" si="34"/>
        <v>0.56014034901991394</v>
      </c>
      <c r="K189" s="6">
        <f t="shared" si="34"/>
        <v>0.55116073072346716</v>
      </c>
      <c r="L189" s="6">
        <f t="shared" si="34"/>
        <v>0.54085799201621021</v>
      </c>
      <c r="M189" s="4"/>
    </row>
    <row r="190" spans="1:13" outlineLevel="1" x14ac:dyDescent="0.35">
      <c r="B190" s="282" t="s">
        <v>797</v>
      </c>
      <c r="C190" s="282" t="s">
        <v>898</v>
      </c>
      <c r="D190" s="6">
        <f t="shared" si="33"/>
        <v>0</v>
      </c>
      <c r="E190" s="6">
        <f t="shared" si="33"/>
        <v>0</v>
      </c>
      <c r="F190" s="6">
        <f t="shared" si="33"/>
        <v>0</v>
      </c>
      <c r="G190" s="6">
        <f t="shared" si="33"/>
        <v>0</v>
      </c>
      <c r="H190" s="6">
        <f t="shared" si="33"/>
        <v>0</v>
      </c>
      <c r="I190" s="6">
        <f t="shared" si="33"/>
        <v>0</v>
      </c>
      <c r="J190" s="6">
        <f t="shared" si="34"/>
        <v>5.6838371076839316</v>
      </c>
      <c r="K190" s="6">
        <f t="shared" si="34"/>
        <v>5.5683254978263204</v>
      </c>
      <c r="L190" s="6">
        <f t="shared" si="34"/>
        <v>5.2149915039634438</v>
      </c>
      <c r="M190" s="4"/>
    </row>
    <row r="191" spans="1:13" outlineLevel="1" x14ac:dyDescent="0.35">
      <c r="B191" s="282" t="s">
        <v>122</v>
      </c>
      <c r="C191" s="282" t="s">
        <v>898</v>
      </c>
      <c r="D191" s="6">
        <f t="shared" si="33"/>
        <v>17.722372603098073</v>
      </c>
      <c r="E191" s="6">
        <f t="shared" si="33"/>
        <v>15.123789684493119</v>
      </c>
      <c r="F191" s="6">
        <f t="shared" si="33"/>
        <v>11.701026704323683</v>
      </c>
      <c r="G191" s="6">
        <f t="shared" si="33"/>
        <v>13.953901680839678</v>
      </c>
      <c r="H191" s="6">
        <f t="shared" si="33"/>
        <v>11.969454542412539</v>
      </c>
      <c r="I191" s="6">
        <f t="shared" si="33"/>
        <v>9.3469541493391315</v>
      </c>
      <c r="J191" s="6">
        <f t="shared" si="34"/>
        <v>4.5559126051485404</v>
      </c>
      <c r="K191" s="6">
        <f t="shared" si="34"/>
        <v>4.5224014752409687</v>
      </c>
      <c r="L191" s="6">
        <f t="shared" si="34"/>
        <v>4.4067660291942428</v>
      </c>
      <c r="M191" s="4"/>
    </row>
    <row r="192" spans="1:13" outlineLevel="1" x14ac:dyDescent="0.35">
      <c r="B192" s="282" t="s">
        <v>123</v>
      </c>
      <c r="C192" s="282" t="s">
        <v>898</v>
      </c>
      <c r="D192" s="6">
        <f t="shared" si="33"/>
        <v>1.387198243988464</v>
      </c>
      <c r="E192" s="6">
        <f t="shared" si="33"/>
        <v>1.1914622898881408</v>
      </c>
      <c r="F192" s="6">
        <f t="shared" si="33"/>
        <v>0.92942670409681094</v>
      </c>
      <c r="G192" s="6">
        <f t="shared" si="33"/>
        <v>1.387198243988464</v>
      </c>
      <c r="H192" s="6">
        <f t="shared" si="33"/>
        <v>1.1914622898881408</v>
      </c>
      <c r="I192" s="6">
        <f t="shared" si="33"/>
        <v>0.92942670409681094</v>
      </c>
      <c r="J192" s="6">
        <f t="shared" si="34"/>
        <v>1.387198243988464</v>
      </c>
      <c r="K192" s="6">
        <f t="shared" si="34"/>
        <v>1.1914622898881408</v>
      </c>
      <c r="L192" s="6">
        <f t="shared" si="34"/>
        <v>0.92942670409681094</v>
      </c>
      <c r="M192" s="4"/>
    </row>
    <row r="193" spans="1:19" outlineLevel="1" x14ac:dyDescent="0.35">
      <c r="D193" s="26"/>
      <c r="E193" s="6"/>
      <c r="F193" s="6"/>
      <c r="G193" s="6"/>
      <c r="H193" s="6"/>
      <c r="I193" s="6"/>
      <c r="J193" s="6"/>
      <c r="K193" s="6"/>
      <c r="L193" s="6"/>
      <c r="M193" s="4"/>
    </row>
    <row r="194" spans="1:19" outlineLevel="1" x14ac:dyDescent="0.35">
      <c r="B194" s="282" t="s">
        <v>137</v>
      </c>
      <c r="C194" s="282" t="s">
        <v>898</v>
      </c>
      <c r="D194" s="6">
        <f>SUM(D185:D193)</f>
        <v>20.245240286714562</v>
      </c>
      <c r="E194" s="6">
        <f t="shared" ref="E194:L194" si="35">SUM(E185:E193)</f>
        <v>17.430188844254236</v>
      </c>
      <c r="F194" s="6">
        <f t="shared" si="35"/>
        <v>13.695772048698519</v>
      </c>
      <c r="G194" s="6">
        <f t="shared" si="35"/>
        <v>16.477127263224364</v>
      </c>
      <c r="H194" s="6">
        <f t="shared" si="35"/>
        <v>14.275853702173658</v>
      </c>
      <c r="I194" s="6">
        <f t="shared" si="35"/>
        <v>11.341699493713968</v>
      </c>
      <c r="J194" s="6">
        <f t="shared" si="35"/>
        <v>13.801066509413133</v>
      </c>
      <c r="K194" s="6">
        <f t="shared" si="35"/>
        <v>13.415585652071808</v>
      </c>
      <c r="L194" s="6">
        <f t="shared" si="35"/>
        <v>12.588278984321699</v>
      </c>
      <c r="M194" s="4"/>
    </row>
    <row r="195" spans="1:19" outlineLevel="1" x14ac:dyDescent="0.35">
      <c r="D195" s="6"/>
      <c r="E195" s="6"/>
      <c r="F195" s="6"/>
      <c r="G195" s="6"/>
      <c r="H195" s="6"/>
      <c r="I195" s="6"/>
      <c r="J195" s="6"/>
      <c r="K195" s="6"/>
      <c r="L195" s="6"/>
      <c r="M195" s="4"/>
    </row>
    <row r="196" spans="1:19" s="33" customFormat="1" ht="15.5" x14ac:dyDescent="0.35">
      <c r="A196" s="51" t="s">
        <v>860</v>
      </c>
      <c r="B196" s="4"/>
      <c r="C196" s="4"/>
      <c r="D196" s="4"/>
      <c r="E196" s="4"/>
      <c r="F196" s="4"/>
      <c r="G196" s="4"/>
      <c r="H196" s="4"/>
      <c r="I196" s="4"/>
      <c r="J196" s="4"/>
      <c r="K196" s="4"/>
      <c r="L196" s="4"/>
      <c r="M196" s="4"/>
      <c r="N196" s="282"/>
      <c r="O196" s="282"/>
      <c r="P196" s="282"/>
      <c r="Q196" s="282"/>
      <c r="R196" s="282"/>
      <c r="S196" s="282"/>
    </row>
    <row r="197" spans="1:19" outlineLevel="1" x14ac:dyDescent="0.35">
      <c r="A197" s="15" t="s">
        <v>573</v>
      </c>
      <c r="B197" s="30"/>
      <c r="C197" s="140" t="s">
        <v>180</v>
      </c>
      <c r="D197" s="6" t="s">
        <v>889</v>
      </c>
      <c r="E197" s="6" t="s">
        <v>891</v>
      </c>
      <c r="F197" s="6" t="s">
        <v>890</v>
      </c>
      <c r="G197" s="6" t="s">
        <v>892</v>
      </c>
      <c r="H197" s="6" t="s">
        <v>893</v>
      </c>
      <c r="I197" s="6" t="s">
        <v>894</v>
      </c>
      <c r="J197" s="6" t="s">
        <v>896</v>
      </c>
      <c r="K197" s="6" t="s">
        <v>897</v>
      </c>
      <c r="L197" s="6" t="s">
        <v>895</v>
      </c>
      <c r="M197" s="4"/>
    </row>
    <row r="198" spans="1:19" outlineLevel="1" x14ac:dyDescent="0.35">
      <c r="B198" s="282" t="s">
        <v>117</v>
      </c>
      <c r="C198" s="282" t="s">
        <v>898</v>
      </c>
      <c r="D198" s="6">
        <f>'Results ReCiPe (H) - RD'!B467</f>
        <v>1.1572736269513593</v>
      </c>
      <c r="E198" s="6">
        <f>'Results ReCiPe (H) - RD'!C467</f>
        <v>1.1350206061764658</v>
      </c>
      <c r="F198" s="6">
        <f>'Results ReCiPe (H) - RD'!D467</f>
        <v>1.0727718624716902</v>
      </c>
      <c r="G198" s="6">
        <f>'Results ReCiPe (H) - RD'!E467</f>
        <v>1.1572736269513593</v>
      </c>
      <c r="H198" s="6">
        <f>'Results ReCiPe (H) - RD'!F467</f>
        <v>1.1350206061764658</v>
      </c>
      <c r="I198" s="6">
        <f>'Results ReCiPe (H) - RD'!G467</f>
        <v>1.0727718624716902</v>
      </c>
      <c r="J198" s="6">
        <f>'Results ReCiPe (H) - RD'!H467</f>
        <v>2.2765876848940438</v>
      </c>
      <c r="K198" s="6">
        <f>'Results ReCiPe (H) - RD'!I467</f>
        <v>2.2326216867218416</v>
      </c>
      <c r="L198" s="6">
        <f>'Results ReCiPe (H) - RD'!J467</f>
        <v>2.1092766801158631</v>
      </c>
      <c r="M198" s="4"/>
    </row>
    <row r="199" spans="1:19" outlineLevel="1" x14ac:dyDescent="0.35">
      <c r="B199" s="282" t="s">
        <v>118</v>
      </c>
      <c r="C199" s="282" t="s">
        <v>898</v>
      </c>
      <c r="D199" s="6">
        <f>'Results ReCiPe (H) - RD'!B468</f>
        <v>0.10787070616191249</v>
      </c>
      <c r="E199" s="6">
        <f>'Results ReCiPe (H) - RD'!C468</f>
        <v>0.10677798589336331</v>
      </c>
      <c r="F199" s="6">
        <f>'Results ReCiPe (H) - RD'!D468</f>
        <v>0.10355523296253079</v>
      </c>
      <c r="G199" s="6">
        <f>'Results ReCiPe (H) - RD'!E468</f>
        <v>0.10787070616191249</v>
      </c>
      <c r="H199" s="6">
        <f>'Results ReCiPe (H) - RD'!F468</f>
        <v>0.10677798589336331</v>
      </c>
      <c r="I199" s="6">
        <f>'Results ReCiPe (H) - RD'!G468</f>
        <v>0.10355523296253079</v>
      </c>
      <c r="J199" s="6">
        <f>'Results ReCiPe (H) - RD'!H468</f>
        <v>0.10787070616191249</v>
      </c>
      <c r="K199" s="6">
        <f>'Results ReCiPe (H) - RD'!I468</f>
        <v>0.10677798589336331</v>
      </c>
      <c r="L199" s="6">
        <f>'Results ReCiPe (H) - RD'!J468</f>
        <v>0.10355523296253079</v>
      </c>
      <c r="M199" s="4"/>
    </row>
    <row r="200" spans="1:19" outlineLevel="1" x14ac:dyDescent="0.35">
      <c r="B200" s="282" t="s">
        <v>119</v>
      </c>
      <c r="C200" s="282" t="s">
        <v>898</v>
      </c>
      <c r="D200" s="6">
        <f>'Results ReCiPe (H) - RD'!B469</f>
        <v>1.8254349738637116E-2</v>
      </c>
      <c r="E200" s="6">
        <f>'Results ReCiPe (H) - RD'!C469</f>
        <v>1.6717650277123783E-2</v>
      </c>
      <c r="F200" s="6">
        <f>'Results ReCiPe (H) - RD'!D469</f>
        <v>1.5515848527432425E-2</v>
      </c>
      <c r="G200" s="6">
        <f>'Results ReCiPe (H) - RD'!E469</f>
        <v>1.8254349738637116E-2</v>
      </c>
      <c r="H200" s="6">
        <f>'Results ReCiPe (H) - RD'!F469</f>
        <v>1.6717650277123783E-2</v>
      </c>
      <c r="I200" s="6">
        <f>'Results ReCiPe (H) - RD'!G469</f>
        <v>1.5515848527432425E-2</v>
      </c>
      <c r="J200" s="6">
        <f>'Results ReCiPe (H) - RD'!H469</f>
        <v>3.6508699477274233E-2</v>
      </c>
      <c r="K200" s="6">
        <f>'Results ReCiPe (H) - RD'!I469</f>
        <v>3.3435300554247566E-2</v>
      </c>
      <c r="L200" s="6">
        <f>'Results ReCiPe (H) - RD'!J469</f>
        <v>3.1031697054864849E-2</v>
      </c>
      <c r="M200" s="4"/>
    </row>
    <row r="201" spans="1:19" outlineLevel="1" x14ac:dyDescent="0.35">
      <c r="B201" s="282" t="s">
        <v>120</v>
      </c>
      <c r="C201" s="282" t="s">
        <v>898</v>
      </c>
      <c r="D201" s="6">
        <f>'Results ReCiPe (H) - RD'!B470</f>
        <v>2.1482519099495843E-7</v>
      </c>
      <c r="E201" s="6">
        <f>'Results ReCiPe (H) - RD'!C470</f>
        <v>5.1851441991315782E-4</v>
      </c>
      <c r="F201" s="6">
        <f>'Results ReCiPe (H) - RD'!D470</f>
        <v>4.9152244322832816E-4</v>
      </c>
      <c r="G201" s="6">
        <f>'Results ReCiPe (H) - RD'!E470</f>
        <v>5.3706297748739608E-4</v>
      </c>
      <c r="H201" s="6">
        <f>'Results ReCiPe (H) - RD'!F470</f>
        <v>5.1851441991315782E-4</v>
      </c>
      <c r="I201" s="6">
        <f>'Results ReCiPe (H) - RD'!G470</f>
        <v>4.9152244322832816E-4</v>
      </c>
      <c r="J201" s="6">
        <f>'Results ReCiPe (H) - RD'!H470</f>
        <v>2.1482519099495843E-7</v>
      </c>
      <c r="K201" s="6">
        <f>'Results ReCiPe (H) - RD'!I470</f>
        <v>5.1851441991315782E-4</v>
      </c>
      <c r="L201" s="6">
        <f>'Results ReCiPe (H) - RD'!J470</f>
        <v>4.9152244322832816E-4</v>
      </c>
      <c r="M201" s="4"/>
    </row>
    <row r="202" spans="1:19" outlineLevel="1" x14ac:dyDescent="0.35">
      <c r="B202" s="282" t="s">
        <v>121</v>
      </c>
      <c r="C202" s="282" t="s">
        <v>898</v>
      </c>
      <c r="D202" s="6">
        <f>'Results ReCiPe (H) - RD'!B471</f>
        <v>0.4201052617649354</v>
      </c>
      <c r="E202" s="6">
        <f>'Results ReCiPe (H) - RD'!C471</f>
        <v>0.41337054804260037</v>
      </c>
      <c r="F202" s="6">
        <f>'Results ReCiPe (H) - RD'!D471</f>
        <v>0.40564349401215766</v>
      </c>
      <c r="G202" s="6">
        <f>'Results ReCiPe (H) - RD'!E471</f>
        <v>0.4201052617649354</v>
      </c>
      <c r="H202" s="6">
        <f>'Results ReCiPe (H) - RD'!F471</f>
        <v>0.41337054804260037</v>
      </c>
      <c r="I202" s="6">
        <f>'Results ReCiPe (H) - RD'!G471</f>
        <v>0.40564349401215766</v>
      </c>
      <c r="J202" s="6">
        <f>'Results ReCiPe (H) - RD'!H471</f>
        <v>0.8402105235298708</v>
      </c>
      <c r="K202" s="6">
        <f>'Results ReCiPe (H) - RD'!I471</f>
        <v>0.82674109608520074</v>
      </c>
      <c r="L202" s="6">
        <f>'Results ReCiPe (H) - RD'!J471</f>
        <v>0.81128698802431531</v>
      </c>
      <c r="M202" s="4"/>
    </row>
    <row r="203" spans="1:19" outlineLevel="1" x14ac:dyDescent="0.35">
      <c r="B203" s="282" t="s">
        <v>797</v>
      </c>
      <c r="C203" s="282" t="s">
        <v>898</v>
      </c>
      <c r="D203" s="6">
        <f>'Results ReCiPe (H) - RD'!B472</f>
        <v>0</v>
      </c>
      <c r="E203" s="6">
        <f>'Results ReCiPe (H) - RD'!C472</f>
        <v>0</v>
      </c>
      <c r="F203" s="6">
        <f>'Results ReCiPe (H) - RD'!D472</f>
        <v>0</v>
      </c>
      <c r="G203" s="6">
        <f>'Results ReCiPe (H) - RD'!E472</f>
        <v>0</v>
      </c>
      <c r="H203" s="6">
        <f>'Results ReCiPe (H) - RD'!F472</f>
        <v>0</v>
      </c>
      <c r="I203" s="6">
        <f>'Results ReCiPe (H) - RD'!G472</f>
        <v>0</v>
      </c>
      <c r="J203" s="6">
        <f>'Results ReCiPe (H) - RD'!H472</f>
        <v>8.5257556615258974</v>
      </c>
      <c r="K203" s="6">
        <f>'Results ReCiPe (H) - RD'!I472</f>
        <v>8.3524882467394814</v>
      </c>
      <c r="L203" s="6">
        <f>'Results ReCiPe (H) - RD'!J472</f>
        <v>7.8224872559451661</v>
      </c>
      <c r="M203" s="4"/>
    </row>
    <row r="204" spans="1:19" outlineLevel="1" x14ac:dyDescent="0.35">
      <c r="B204" s="282" t="s">
        <v>122</v>
      </c>
      <c r="C204" s="282" t="s">
        <v>898</v>
      </c>
      <c r="D204" s="6">
        <f>'Results ReCiPe (H) - RD'!B473</f>
        <v>26.583558904647113</v>
      </c>
      <c r="E204" s="6">
        <f>'Results ReCiPe (H) - RD'!C473</f>
        <v>22.685684526739678</v>
      </c>
      <c r="F204" s="6">
        <f>'Results ReCiPe (H) - RD'!D473</f>
        <v>17.551540056485525</v>
      </c>
      <c r="G204" s="6">
        <f>'Results ReCiPe (H) - RD'!E473</f>
        <v>20.930852521259517</v>
      </c>
      <c r="H204" s="6">
        <f>'Results ReCiPe (H) - RD'!F473</f>
        <v>17.95418181361881</v>
      </c>
      <c r="I204" s="6">
        <f>'Results ReCiPe (H) - RD'!G473</f>
        <v>14.020431224008696</v>
      </c>
      <c r="J204" s="6">
        <f>'Results ReCiPe (H) - RD'!H473</f>
        <v>6.8338689077228105</v>
      </c>
      <c r="K204" s="6">
        <f>'Results ReCiPe (H) - RD'!I473</f>
        <v>6.7836022128614539</v>
      </c>
      <c r="L204" s="6">
        <f>'Results ReCiPe (H) - RD'!J473</f>
        <v>6.6101490437913641</v>
      </c>
      <c r="M204" s="4"/>
    </row>
    <row r="205" spans="1:19" outlineLevel="1" x14ac:dyDescent="0.35">
      <c r="B205" s="282" t="s">
        <v>123</v>
      </c>
      <c r="C205" s="282" t="s">
        <v>898</v>
      </c>
      <c r="D205" s="6">
        <f>'Results ReCiPe (H) - RD'!B474</f>
        <v>2.0807973659826957</v>
      </c>
      <c r="E205" s="6">
        <f>'Results ReCiPe (H) - RD'!C474</f>
        <v>1.7871934348322114</v>
      </c>
      <c r="F205" s="6">
        <f>'Results ReCiPe (H) - RD'!D474</f>
        <v>1.3941400561452164</v>
      </c>
      <c r="G205" s="6">
        <f>'Results ReCiPe (H) - RD'!E474</f>
        <v>2.0807973659826957</v>
      </c>
      <c r="H205" s="6">
        <f>'Results ReCiPe (H) - RD'!F474</f>
        <v>1.7871934348322114</v>
      </c>
      <c r="I205" s="6">
        <f>'Results ReCiPe (H) - RD'!G474</f>
        <v>1.3941400561452164</v>
      </c>
      <c r="J205" s="6">
        <f>'Results ReCiPe (H) - RD'!H474</f>
        <v>2.0807973659826957</v>
      </c>
      <c r="K205" s="6">
        <f>'Results ReCiPe (H) - RD'!I474</f>
        <v>1.7871934348322114</v>
      </c>
      <c r="L205" s="6">
        <f>'Results ReCiPe (H) - RD'!J474</f>
        <v>1.3941400561452164</v>
      </c>
      <c r="M205" s="4"/>
    </row>
    <row r="206" spans="1:19" outlineLevel="1" x14ac:dyDescent="0.35">
      <c r="D206" s="6"/>
      <c r="E206" s="6"/>
      <c r="F206" s="6"/>
      <c r="G206" s="6"/>
      <c r="H206" s="6"/>
      <c r="I206" s="6"/>
      <c r="J206" s="6"/>
      <c r="K206" s="6"/>
      <c r="L206" s="6"/>
      <c r="M206" s="4"/>
    </row>
    <row r="207" spans="1:19" outlineLevel="1" x14ac:dyDescent="0.35">
      <c r="B207" s="282" t="s">
        <v>137</v>
      </c>
      <c r="C207" s="282" t="s">
        <v>898</v>
      </c>
      <c r="D207" s="6">
        <f>'Results ReCiPe (H) - RD'!B476</f>
        <v>30.367860430071847</v>
      </c>
      <c r="E207" s="6">
        <f>'Results ReCiPe (H) - RD'!C476</f>
        <v>26.145283266381348</v>
      </c>
      <c r="F207" s="6">
        <f>'Results ReCiPe (H) - RD'!D476</f>
        <v>20.543658073047776</v>
      </c>
      <c r="G207" s="6">
        <f>'Results ReCiPe (H) - RD'!E476</f>
        <v>24.715690894836545</v>
      </c>
      <c r="H207" s="6">
        <f>'Results ReCiPe (H) - RD'!F476</f>
        <v>21.413780553260484</v>
      </c>
      <c r="I207" s="6">
        <f>'Results ReCiPe (H) - RD'!G476</f>
        <v>17.012549240570952</v>
      </c>
      <c r="J207" s="6">
        <f>'Results ReCiPe (H) - RD'!H476</f>
        <v>20.701599764119692</v>
      </c>
      <c r="K207" s="6">
        <f>'Results ReCiPe (H) - RD'!I476</f>
        <v>20.123378478107711</v>
      </c>
      <c r="L207" s="6">
        <f>'Results ReCiPe (H) - RD'!J476</f>
        <v>18.882418476482552</v>
      </c>
      <c r="M207" s="4"/>
    </row>
    <row r="208" spans="1:19" outlineLevel="1" x14ac:dyDescent="0.35">
      <c r="M208" s="4"/>
    </row>
    <row r="209" spans="1:13" outlineLevel="1" x14ac:dyDescent="0.35">
      <c r="A209" s="15" t="s">
        <v>165</v>
      </c>
      <c r="B209" s="30"/>
      <c r="C209" s="140" t="s">
        <v>180</v>
      </c>
      <c r="D209" s="6" t="s">
        <v>889</v>
      </c>
      <c r="E209" s="6" t="s">
        <v>891</v>
      </c>
      <c r="F209" s="6" t="s">
        <v>890</v>
      </c>
      <c r="G209" s="6" t="s">
        <v>892</v>
      </c>
      <c r="H209" s="6" t="s">
        <v>893</v>
      </c>
      <c r="I209" s="6" t="s">
        <v>894</v>
      </c>
      <c r="J209" s="6" t="s">
        <v>896</v>
      </c>
      <c r="K209" s="6" t="s">
        <v>897</v>
      </c>
      <c r="L209" s="6" t="s">
        <v>895</v>
      </c>
      <c r="M209" s="4"/>
    </row>
    <row r="210" spans="1:13" outlineLevel="1" x14ac:dyDescent="0.35">
      <c r="B210" s="282" t="s">
        <v>117</v>
      </c>
      <c r="C210" s="282" t="s">
        <v>898</v>
      </c>
      <c r="D210" s="6">
        <f>D198</f>
        <v>1.1572736269513593</v>
      </c>
      <c r="E210" s="6">
        <f t="shared" ref="E210:L213" si="36">E198</f>
        <v>1.1350206061764658</v>
      </c>
      <c r="F210" s="6">
        <f t="shared" si="36"/>
        <v>1.0727718624716902</v>
      </c>
      <c r="G210" s="6">
        <f t="shared" si="36"/>
        <v>1.1572736269513593</v>
      </c>
      <c r="H210" s="6">
        <f t="shared" si="36"/>
        <v>1.1350206061764658</v>
      </c>
      <c r="I210" s="6">
        <f t="shared" si="36"/>
        <v>1.0727718624716902</v>
      </c>
      <c r="J210" s="6">
        <f t="shared" si="36"/>
        <v>2.2765876848940438</v>
      </c>
      <c r="K210" s="6">
        <f t="shared" si="36"/>
        <v>2.2326216867218416</v>
      </c>
      <c r="L210" s="6">
        <f t="shared" si="36"/>
        <v>2.1092766801158631</v>
      </c>
      <c r="M210" s="4"/>
    </row>
    <row r="211" spans="1:13" outlineLevel="1" x14ac:dyDescent="0.35">
      <c r="B211" s="282" t="s">
        <v>118</v>
      </c>
      <c r="C211" s="282" t="s">
        <v>898</v>
      </c>
      <c r="D211" s="6">
        <f>D199</f>
        <v>0.10787070616191249</v>
      </c>
      <c r="E211" s="6">
        <f t="shared" si="36"/>
        <v>0.10677798589336331</v>
      </c>
      <c r="F211" s="6">
        <f t="shared" si="36"/>
        <v>0.10355523296253079</v>
      </c>
      <c r="G211" s="6">
        <f t="shared" si="36"/>
        <v>0.10787070616191249</v>
      </c>
      <c r="H211" s="6">
        <f t="shared" si="36"/>
        <v>0.10677798589336331</v>
      </c>
      <c r="I211" s="6">
        <f t="shared" si="36"/>
        <v>0.10355523296253079</v>
      </c>
      <c r="J211" s="6">
        <f t="shared" si="36"/>
        <v>0.10787070616191249</v>
      </c>
      <c r="K211" s="6">
        <f t="shared" si="36"/>
        <v>0.10677798589336331</v>
      </c>
      <c r="L211" s="6">
        <f t="shared" si="36"/>
        <v>0.10355523296253079</v>
      </c>
      <c r="M211" s="4"/>
    </row>
    <row r="212" spans="1:13" outlineLevel="1" x14ac:dyDescent="0.35">
      <c r="B212" s="282" t="s">
        <v>119</v>
      </c>
      <c r="C212" s="282" t="s">
        <v>898</v>
      </c>
      <c r="D212" s="6">
        <f>D200</f>
        <v>1.8254349738637116E-2</v>
      </c>
      <c r="E212" s="6">
        <f t="shared" si="36"/>
        <v>1.6717650277123783E-2</v>
      </c>
      <c r="F212" s="6">
        <f t="shared" si="36"/>
        <v>1.5515848527432425E-2</v>
      </c>
      <c r="G212" s="6">
        <f t="shared" si="36"/>
        <v>1.8254349738637116E-2</v>
      </c>
      <c r="H212" s="6">
        <f t="shared" si="36"/>
        <v>1.6717650277123783E-2</v>
      </c>
      <c r="I212" s="6">
        <f t="shared" si="36"/>
        <v>1.5515848527432425E-2</v>
      </c>
      <c r="J212" s="6">
        <f t="shared" si="36"/>
        <v>3.6508699477274233E-2</v>
      </c>
      <c r="K212" s="6">
        <f t="shared" si="36"/>
        <v>3.3435300554247566E-2</v>
      </c>
      <c r="L212" s="6">
        <f t="shared" si="36"/>
        <v>3.1031697054864849E-2</v>
      </c>
      <c r="M212" s="4"/>
    </row>
    <row r="213" spans="1:13" outlineLevel="1" x14ac:dyDescent="0.35">
      <c r="B213" s="282" t="s">
        <v>120</v>
      </c>
      <c r="C213" s="282" t="s">
        <v>898</v>
      </c>
      <c r="D213" s="6">
        <f>D201</f>
        <v>2.1482519099495843E-7</v>
      </c>
      <c r="E213" s="6">
        <f t="shared" si="36"/>
        <v>5.1851441991315782E-4</v>
      </c>
      <c r="F213" s="6">
        <f t="shared" si="36"/>
        <v>4.9152244322832816E-4</v>
      </c>
      <c r="G213" s="6">
        <f t="shared" si="36"/>
        <v>5.3706297748739608E-4</v>
      </c>
      <c r="H213" s="6">
        <f t="shared" si="36"/>
        <v>5.1851441991315782E-4</v>
      </c>
      <c r="I213" s="6">
        <f t="shared" si="36"/>
        <v>4.9152244322832816E-4</v>
      </c>
      <c r="J213" s="6">
        <f t="shared" si="36"/>
        <v>2.1482519099495843E-7</v>
      </c>
      <c r="K213" s="6">
        <f t="shared" si="36"/>
        <v>5.1851441991315782E-4</v>
      </c>
      <c r="L213" s="6">
        <f t="shared" si="36"/>
        <v>4.9152244322832816E-4</v>
      </c>
      <c r="M213" s="4"/>
    </row>
    <row r="214" spans="1:13" outlineLevel="1" x14ac:dyDescent="0.35">
      <c r="B214" s="282" t="s">
        <v>121</v>
      </c>
      <c r="C214" s="282" t="s">
        <v>898</v>
      </c>
      <c r="D214" s="26">
        <f>SUM('Results ReCiPe (H) - RD'!$B$37:$Z$37)/25/100</f>
        <v>1.1669440178703314</v>
      </c>
      <c r="E214" s="6">
        <f>SUM('Results ReCiPe (H) - RD'!$B$77:$Z$77)/25/100</f>
        <v>1.1483435943392506</v>
      </c>
      <c r="F214" s="6">
        <f>SUM('Results ReCiPe (H) - RD'!$B$117:$Z$117)/25/100</f>
        <v>1.1267788567113075</v>
      </c>
      <c r="G214" s="6">
        <f>SUM('Results ReCiPe (H) - RD'!$B$37:$Z$37)/25/100</f>
        <v>1.1669440178703314</v>
      </c>
      <c r="H214" s="6">
        <f>SUM('Results ReCiPe (H) - RD'!$B$77:$Z$77)/25/100</f>
        <v>1.1483435943392506</v>
      </c>
      <c r="I214" s="6">
        <f>SUM('Results ReCiPe (H) - RD'!$B$117:$Z$117)/25/100</f>
        <v>1.1267788567113075</v>
      </c>
      <c r="J214" s="6">
        <f>SUM('Results ReCiPe (H) - RD'!$B$37:$Z$37)/25/100</f>
        <v>1.1669440178703314</v>
      </c>
      <c r="K214" s="6">
        <f>SUM('Results ReCiPe (H) - RD'!$B$77:$Z$77)/25/100</f>
        <v>1.1483435943392506</v>
      </c>
      <c r="L214" s="6">
        <f>SUM('Results ReCiPe (H) - RD'!$B$117:$Z$117)/25/100</f>
        <v>1.1267788567113075</v>
      </c>
      <c r="M214" s="4"/>
    </row>
    <row r="215" spans="1:13" outlineLevel="1" x14ac:dyDescent="0.35">
      <c r="B215" s="282" t="s">
        <v>797</v>
      </c>
      <c r="C215" s="282" t="s">
        <v>898</v>
      </c>
      <c r="D215" s="6">
        <f t="shared" ref="D215:L217" si="37">D203</f>
        <v>0</v>
      </c>
      <c r="E215" s="6">
        <f t="shared" si="37"/>
        <v>0</v>
      </c>
      <c r="F215" s="6">
        <f t="shared" si="37"/>
        <v>0</v>
      </c>
      <c r="G215" s="6">
        <f t="shared" si="37"/>
        <v>0</v>
      </c>
      <c r="H215" s="6">
        <f t="shared" si="37"/>
        <v>0</v>
      </c>
      <c r="I215" s="6">
        <f t="shared" si="37"/>
        <v>0</v>
      </c>
      <c r="J215" s="6">
        <f t="shared" si="37"/>
        <v>8.5257556615258974</v>
      </c>
      <c r="K215" s="6">
        <f t="shared" si="37"/>
        <v>8.3524882467394814</v>
      </c>
      <c r="L215" s="6">
        <f t="shared" si="37"/>
        <v>7.8224872559451661</v>
      </c>
      <c r="M215" s="4"/>
    </row>
    <row r="216" spans="1:13" outlineLevel="1" x14ac:dyDescent="0.35">
      <c r="B216" s="282" t="s">
        <v>122</v>
      </c>
      <c r="C216" s="282" t="s">
        <v>898</v>
      </c>
      <c r="D216" s="6">
        <f t="shared" si="37"/>
        <v>26.583558904647113</v>
      </c>
      <c r="E216" s="6">
        <f t="shared" si="37"/>
        <v>22.685684526739678</v>
      </c>
      <c r="F216" s="6">
        <f t="shared" si="37"/>
        <v>17.551540056485525</v>
      </c>
      <c r="G216" s="6">
        <f t="shared" si="37"/>
        <v>20.930852521259517</v>
      </c>
      <c r="H216" s="6">
        <f t="shared" si="37"/>
        <v>17.95418181361881</v>
      </c>
      <c r="I216" s="6">
        <f t="shared" si="37"/>
        <v>14.020431224008696</v>
      </c>
      <c r="J216" s="6">
        <f t="shared" si="37"/>
        <v>6.8338689077228105</v>
      </c>
      <c r="K216" s="6">
        <f t="shared" si="37"/>
        <v>6.7836022128614539</v>
      </c>
      <c r="L216" s="6">
        <f t="shared" si="37"/>
        <v>6.6101490437913641</v>
      </c>
      <c r="M216" s="4"/>
    </row>
    <row r="217" spans="1:13" outlineLevel="1" x14ac:dyDescent="0.35">
      <c r="B217" s="282" t="s">
        <v>123</v>
      </c>
      <c r="C217" s="282" t="s">
        <v>898</v>
      </c>
      <c r="D217" s="6">
        <f t="shared" si="37"/>
        <v>2.0807973659826957</v>
      </c>
      <c r="E217" s="6">
        <f t="shared" si="37"/>
        <v>1.7871934348322114</v>
      </c>
      <c r="F217" s="6">
        <f t="shared" si="37"/>
        <v>1.3941400561452164</v>
      </c>
      <c r="G217" s="6">
        <f t="shared" si="37"/>
        <v>2.0807973659826957</v>
      </c>
      <c r="H217" s="6">
        <f t="shared" si="37"/>
        <v>1.7871934348322114</v>
      </c>
      <c r="I217" s="6">
        <f t="shared" si="37"/>
        <v>1.3941400561452164</v>
      </c>
      <c r="J217" s="6">
        <f t="shared" si="37"/>
        <v>2.0807973659826957</v>
      </c>
      <c r="K217" s="6">
        <f t="shared" si="37"/>
        <v>1.7871934348322114</v>
      </c>
      <c r="L217" s="6">
        <f t="shared" si="37"/>
        <v>1.3941400561452164</v>
      </c>
      <c r="M217" s="4"/>
    </row>
    <row r="218" spans="1:13" outlineLevel="1" x14ac:dyDescent="0.35">
      <c r="D218" s="6"/>
      <c r="E218" s="6"/>
      <c r="F218" s="6"/>
      <c r="G218" s="6"/>
      <c r="H218" s="6"/>
      <c r="I218" s="6"/>
      <c r="J218" s="6"/>
      <c r="K218" s="6"/>
      <c r="L218" s="6"/>
      <c r="M218" s="4"/>
    </row>
    <row r="219" spans="1:13" outlineLevel="1" x14ac:dyDescent="0.35">
      <c r="B219" s="282" t="s">
        <v>137</v>
      </c>
      <c r="C219" s="282" t="s">
        <v>898</v>
      </c>
      <c r="D219" s="6">
        <f>SUM(D210:D218)</f>
        <v>31.114699186177241</v>
      </c>
      <c r="E219" s="6">
        <f t="shared" ref="E219:L219" si="38">SUM(E210:E218)</f>
        <v>26.880256312678007</v>
      </c>
      <c r="F219" s="6">
        <f t="shared" si="38"/>
        <v>21.264793435746927</v>
      </c>
      <c r="G219" s="6">
        <f t="shared" si="38"/>
        <v>25.462529650941942</v>
      </c>
      <c r="H219" s="6">
        <f t="shared" si="38"/>
        <v>22.148753599557139</v>
      </c>
      <c r="I219" s="6">
        <f t="shared" si="38"/>
        <v>17.733684603270103</v>
      </c>
      <c r="J219" s="6">
        <f t="shared" si="38"/>
        <v>21.028333258460158</v>
      </c>
      <c r="K219" s="6">
        <f t="shared" si="38"/>
        <v>20.444980976361762</v>
      </c>
      <c r="L219" s="6">
        <f t="shared" si="38"/>
        <v>19.197910345169539</v>
      </c>
      <c r="M219" s="4"/>
    </row>
    <row r="220" spans="1:13" outlineLevel="1" x14ac:dyDescent="0.35">
      <c r="M220" s="4"/>
    </row>
    <row r="221" spans="1:13" outlineLevel="1" x14ac:dyDescent="0.35">
      <c r="A221" s="15" t="s">
        <v>166</v>
      </c>
      <c r="B221" s="30"/>
      <c r="C221" s="140" t="s">
        <v>180</v>
      </c>
      <c r="D221" s="6" t="s">
        <v>889</v>
      </c>
      <c r="E221" s="6" t="s">
        <v>891</v>
      </c>
      <c r="F221" s="6" t="s">
        <v>890</v>
      </c>
      <c r="G221" s="6" t="s">
        <v>892</v>
      </c>
      <c r="H221" s="6" t="s">
        <v>893</v>
      </c>
      <c r="I221" s="6" t="s">
        <v>894</v>
      </c>
      <c r="J221" s="6" t="s">
        <v>896</v>
      </c>
      <c r="K221" s="6" t="s">
        <v>897</v>
      </c>
      <c r="L221" s="6" t="s">
        <v>895</v>
      </c>
      <c r="M221" s="4"/>
    </row>
    <row r="222" spans="1:13" outlineLevel="1" x14ac:dyDescent="0.35">
      <c r="B222" s="282" t="s">
        <v>117</v>
      </c>
      <c r="C222" s="282" t="s">
        <v>898</v>
      </c>
      <c r="D222" s="6">
        <f>D198</f>
        <v>1.1572736269513593</v>
      </c>
      <c r="E222" s="6">
        <f t="shared" ref="E222:L225" si="39">E198</f>
        <v>1.1350206061764658</v>
      </c>
      <c r="F222" s="6">
        <f t="shared" si="39"/>
        <v>1.0727718624716902</v>
      </c>
      <c r="G222" s="6">
        <f t="shared" si="39"/>
        <v>1.1572736269513593</v>
      </c>
      <c r="H222" s="6">
        <f t="shared" si="39"/>
        <v>1.1350206061764658</v>
      </c>
      <c r="I222" s="6">
        <f t="shared" si="39"/>
        <v>1.0727718624716902</v>
      </c>
      <c r="J222" s="6">
        <f t="shared" si="39"/>
        <v>2.2765876848940438</v>
      </c>
      <c r="K222" s="6">
        <f t="shared" si="39"/>
        <v>2.2326216867218416</v>
      </c>
      <c r="L222" s="6">
        <f t="shared" si="39"/>
        <v>2.1092766801158631</v>
      </c>
      <c r="M222" s="4"/>
    </row>
    <row r="223" spans="1:13" outlineLevel="1" x14ac:dyDescent="0.35">
      <c r="B223" s="282" t="s">
        <v>118</v>
      </c>
      <c r="C223" s="282" t="s">
        <v>898</v>
      </c>
      <c r="D223" s="6">
        <f>D199</f>
        <v>0.10787070616191249</v>
      </c>
      <c r="E223" s="6">
        <f t="shared" si="39"/>
        <v>0.10677798589336331</v>
      </c>
      <c r="F223" s="6">
        <f t="shared" si="39"/>
        <v>0.10355523296253079</v>
      </c>
      <c r="G223" s="6">
        <f t="shared" si="39"/>
        <v>0.10787070616191249</v>
      </c>
      <c r="H223" s="6">
        <f t="shared" si="39"/>
        <v>0.10677798589336331</v>
      </c>
      <c r="I223" s="6">
        <f t="shared" si="39"/>
        <v>0.10355523296253079</v>
      </c>
      <c r="J223" s="6">
        <f t="shared" si="39"/>
        <v>0.10787070616191249</v>
      </c>
      <c r="K223" s="6">
        <f t="shared" si="39"/>
        <v>0.10677798589336331</v>
      </c>
      <c r="L223" s="6">
        <f t="shared" si="39"/>
        <v>0.10355523296253079</v>
      </c>
      <c r="M223" s="4"/>
    </row>
    <row r="224" spans="1:13" outlineLevel="1" x14ac:dyDescent="0.35">
      <c r="B224" s="282" t="s">
        <v>119</v>
      </c>
      <c r="C224" s="282" t="s">
        <v>898</v>
      </c>
      <c r="D224" s="6">
        <f>D200</f>
        <v>1.8254349738637116E-2</v>
      </c>
      <c r="E224" s="6">
        <f t="shared" si="39"/>
        <v>1.6717650277123783E-2</v>
      </c>
      <c r="F224" s="6">
        <f t="shared" si="39"/>
        <v>1.5515848527432425E-2</v>
      </c>
      <c r="G224" s="6">
        <f t="shared" si="39"/>
        <v>1.8254349738637116E-2</v>
      </c>
      <c r="H224" s="6">
        <f t="shared" si="39"/>
        <v>1.6717650277123783E-2</v>
      </c>
      <c r="I224" s="6">
        <f t="shared" si="39"/>
        <v>1.5515848527432425E-2</v>
      </c>
      <c r="J224" s="6">
        <f t="shared" si="39"/>
        <v>3.6508699477274233E-2</v>
      </c>
      <c r="K224" s="6">
        <f t="shared" si="39"/>
        <v>3.3435300554247566E-2</v>
      </c>
      <c r="L224" s="6">
        <f t="shared" si="39"/>
        <v>3.1031697054864849E-2</v>
      </c>
      <c r="M224" s="4"/>
    </row>
    <row r="225" spans="1:20" outlineLevel="1" x14ac:dyDescent="0.35">
      <c r="B225" s="282" t="s">
        <v>120</v>
      </c>
      <c r="C225" s="282" t="s">
        <v>898</v>
      </c>
      <c r="D225" s="6">
        <f>D201</f>
        <v>2.1482519099495843E-7</v>
      </c>
      <c r="E225" s="6">
        <f t="shared" si="39"/>
        <v>5.1851441991315782E-4</v>
      </c>
      <c r="F225" s="6">
        <f t="shared" si="39"/>
        <v>4.9152244322832816E-4</v>
      </c>
      <c r="G225" s="6">
        <f t="shared" si="39"/>
        <v>5.3706297748739608E-4</v>
      </c>
      <c r="H225" s="6">
        <f t="shared" si="39"/>
        <v>5.1851441991315782E-4</v>
      </c>
      <c r="I225" s="6">
        <f t="shared" si="39"/>
        <v>4.9152244322832816E-4</v>
      </c>
      <c r="J225" s="6">
        <f t="shared" si="39"/>
        <v>2.1482519099495843E-7</v>
      </c>
      <c r="K225" s="6">
        <f t="shared" si="39"/>
        <v>5.1851441991315782E-4</v>
      </c>
      <c r="L225" s="6">
        <f t="shared" si="39"/>
        <v>4.9152244322832816E-4</v>
      </c>
      <c r="M225" s="4"/>
    </row>
    <row r="226" spans="1:20" outlineLevel="1" x14ac:dyDescent="0.35">
      <c r="B226" s="282" t="s">
        <v>121</v>
      </c>
      <c r="C226" s="282" t="s">
        <v>898</v>
      </c>
      <c r="D226" s="26">
        <f>SUM('Results ReCiPe (H) - RD'!$B$37,'Results ReCiPe (H) - RD'!$G$37,'Results ReCiPe (H) - RD'!$L$37,'Results ReCiPe (H) - RD'!$Q$37,'Results ReCiPe (H) - RD'!$V$37)/25/100</f>
        <v>0.23376445718221039</v>
      </c>
      <c r="E226" s="6">
        <f>SUM('Results ReCiPe (H) - RD'!$B$77,'Results ReCiPe (H) - RD'!$G$77,'Results ReCiPe (H) - RD'!$L$77,'Results ReCiPe (H) - RD'!$Q$77,'Results ReCiPe (H) - RD'!$V$77)/25/100</f>
        <v>0.2304494185420019</v>
      </c>
      <c r="F226" s="6">
        <f>SUM('Results ReCiPe (H) - RD'!$B$117,'Results ReCiPe (H) - RD'!$G$117,'Results ReCiPe (H) - RD'!$L$117,'Results ReCiPe (H) - RD'!$Q$117,'Results ReCiPe (H) - RD'!$V$117)/25/100</f>
        <v>0.22578952485609968</v>
      </c>
      <c r="G226" s="6">
        <f>SUM('Results ReCiPe (H) - RD'!$B$37,'Results ReCiPe (H) - RD'!$G$37,'Results ReCiPe (H) - RD'!$L$37,'Results ReCiPe (H) - RD'!$Q$37,'Results ReCiPe (H) - RD'!$V$37)/25/100</f>
        <v>0.23376445718221039</v>
      </c>
      <c r="H226" s="6">
        <f>SUM('Results ReCiPe (H) - RD'!$B$77,'Results ReCiPe (H) - RD'!$G$77,'Results ReCiPe (H) - RD'!$L$77,'Results ReCiPe (H) - RD'!$Q$77,'Results ReCiPe (H) - RD'!$V$77)/25/100</f>
        <v>0.2304494185420019</v>
      </c>
      <c r="I226" s="6">
        <f>SUM('Results ReCiPe (H) - RD'!$B$117,'Results ReCiPe (H) - RD'!$G$117,'Results ReCiPe (H) - RD'!$L$117,'Results ReCiPe (H) - RD'!$Q$117,'Results ReCiPe (H) - RD'!$V$117)/25/100</f>
        <v>0.22578952485609968</v>
      </c>
      <c r="J226" s="6">
        <f>SUM('Results ReCiPe (H) - RD'!$B$37,'Results ReCiPe (H) - RD'!$G$37,'Results ReCiPe (H) - RD'!$L$37,'Results ReCiPe (H) - RD'!$Q$37,'Results ReCiPe (H) - RD'!$V$37)/25/100</f>
        <v>0.23376445718221039</v>
      </c>
      <c r="K226" s="6">
        <f>SUM('Results ReCiPe (H) - RD'!$B$77,'Results ReCiPe (H) - RD'!$G$77,'Results ReCiPe (H) - RD'!$L$77,'Results ReCiPe (H) - RD'!$Q$77,'Results ReCiPe (H) - RD'!$V$77)/25/100</f>
        <v>0.2304494185420019</v>
      </c>
      <c r="L226" s="6">
        <f>SUM('Results ReCiPe (H) - RD'!$B$117,'Results ReCiPe (H) - RD'!$G$117,'Results ReCiPe (H) - RD'!$L$117,'Results ReCiPe (H) - RD'!$Q$117,'Results ReCiPe (H) - RD'!$V$117)/25/100</f>
        <v>0.22578952485609968</v>
      </c>
      <c r="M226" s="4"/>
    </row>
    <row r="227" spans="1:20" outlineLevel="1" x14ac:dyDescent="0.35">
      <c r="B227" s="282" t="s">
        <v>797</v>
      </c>
      <c r="C227" s="282" t="s">
        <v>898</v>
      </c>
      <c r="D227" s="6">
        <f>D203</f>
        <v>0</v>
      </c>
      <c r="E227" s="6">
        <f t="shared" ref="E227:L227" si="40">E203</f>
        <v>0</v>
      </c>
      <c r="F227" s="6">
        <f t="shared" si="40"/>
        <v>0</v>
      </c>
      <c r="G227" s="6">
        <f t="shared" si="40"/>
        <v>0</v>
      </c>
      <c r="H227" s="6">
        <f t="shared" si="40"/>
        <v>0</v>
      </c>
      <c r="I227" s="6">
        <f t="shared" si="40"/>
        <v>0</v>
      </c>
      <c r="J227" s="6">
        <f t="shared" si="40"/>
        <v>8.5257556615258974</v>
      </c>
      <c r="K227" s="6">
        <f t="shared" si="40"/>
        <v>8.3524882467394814</v>
      </c>
      <c r="L227" s="6">
        <f t="shared" si="40"/>
        <v>7.8224872559451661</v>
      </c>
      <c r="M227" s="4"/>
    </row>
    <row r="228" spans="1:20" outlineLevel="1" x14ac:dyDescent="0.35">
      <c r="B228" s="282" t="s">
        <v>122</v>
      </c>
      <c r="C228" s="282" t="s">
        <v>898</v>
      </c>
      <c r="D228" s="6">
        <f t="shared" ref="D228:L229" si="41">D204</f>
        <v>26.583558904647113</v>
      </c>
      <c r="E228" s="6">
        <f t="shared" si="41"/>
        <v>22.685684526739678</v>
      </c>
      <c r="F228" s="6">
        <f t="shared" si="41"/>
        <v>17.551540056485525</v>
      </c>
      <c r="G228" s="6">
        <f t="shared" si="41"/>
        <v>20.930852521259517</v>
      </c>
      <c r="H228" s="6">
        <f t="shared" si="41"/>
        <v>17.95418181361881</v>
      </c>
      <c r="I228" s="6">
        <f t="shared" si="41"/>
        <v>14.020431224008696</v>
      </c>
      <c r="J228" s="6">
        <f t="shared" si="41"/>
        <v>6.8338689077228105</v>
      </c>
      <c r="K228" s="6">
        <f t="shared" si="41"/>
        <v>6.7836022128614539</v>
      </c>
      <c r="L228" s="6">
        <f t="shared" si="41"/>
        <v>6.6101490437913641</v>
      </c>
      <c r="M228" s="4"/>
    </row>
    <row r="229" spans="1:20" outlineLevel="1" x14ac:dyDescent="0.35">
      <c r="B229" s="282" t="s">
        <v>123</v>
      </c>
      <c r="C229" s="282" t="s">
        <v>898</v>
      </c>
      <c r="D229" s="6">
        <f t="shared" si="41"/>
        <v>2.0807973659826957</v>
      </c>
      <c r="E229" s="6">
        <f t="shared" si="41"/>
        <v>1.7871934348322114</v>
      </c>
      <c r="F229" s="6">
        <f t="shared" si="41"/>
        <v>1.3941400561452164</v>
      </c>
      <c r="G229" s="6">
        <f t="shared" si="41"/>
        <v>2.0807973659826957</v>
      </c>
      <c r="H229" s="6">
        <f t="shared" si="41"/>
        <v>1.7871934348322114</v>
      </c>
      <c r="I229" s="6">
        <f t="shared" si="41"/>
        <v>1.3941400561452164</v>
      </c>
      <c r="J229" s="6">
        <f t="shared" si="41"/>
        <v>2.0807973659826957</v>
      </c>
      <c r="K229" s="6">
        <f t="shared" si="41"/>
        <v>1.7871934348322114</v>
      </c>
      <c r="L229" s="6">
        <f t="shared" si="41"/>
        <v>1.3941400561452164</v>
      </c>
      <c r="M229" s="4"/>
    </row>
    <row r="230" spans="1:20" outlineLevel="1" x14ac:dyDescent="0.35">
      <c r="D230" s="6"/>
      <c r="E230" s="6"/>
      <c r="F230" s="6"/>
      <c r="G230" s="6"/>
      <c r="H230" s="6"/>
      <c r="I230" s="6"/>
      <c r="J230" s="6"/>
      <c r="K230" s="6"/>
      <c r="L230" s="6"/>
      <c r="M230" s="4"/>
    </row>
    <row r="231" spans="1:20" outlineLevel="1" x14ac:dyDescent="0.35">
      <c r="B231" s="282" t="s">
        <v>137</v>
      </c>
      <c r="C231" s="282" t="s">
        <v>898</v>
      </c>
      <c r="D231" s="6">
        <f>SUM(D222:D230)</f>
        <v>30.18151962548912</v>
      </c>
      <c r="E231" s="6">
        <f t="shared" ref="E231:L231" si="42">SUM(E222:E230)</f>
        <v>25.962362136880756</v>
      </c>
      <c r="F231" s="6">
        <f t="shared" si="42"/>
        <v>20.36380410389172</v>
      </c>
      <c r="G231" s="6">
        <f t="shared" si="42"/>
        <v>24.529350090253821</v>
      </c>
      <c r="H231" s="6">
        <f t="shared" si="42"/>
        <v>21.230859423759888</v>
      </c>
      <c r="I231" s="6">
        <f t="shared" si="42"/>
        <v>16.832695271414895</v>
      </c>
      <c r="J231" s="6">
        <f t="shared" si="42"/>
        <v>20.095153697772037</v>
      </c>
      <c r="K231" s="6">
        <f t="shared" si="42"/>
        <v>19.527086800564515</v>
      </c>
      <c r="L231" s="6">
        <f t="shared" si="42"/>
        <v>18.296921013314332</v>
      </c>
      <c r="M231" s="4"/>
    </row>
    <row r="232" spans="1:20" outlineLevel="1" x14ac:dyDescent="0.35">
      <c r="M232" s="4"/>
    </row>
    <row r="233" spans="1:20" x14ac:dyDescent="0.35">
      <c r="A233" s="170" t="s">
        <v>813</v>
      </c>
      <c r="B233" s="4"/>
      <c r="C233" s="4"/>
      <c r="D233" s="4"/>
      <c r="E233" s="4"/>
      <c r="F233" s="4"/>
      <c r="G233" s="4"/>
      <c r="H233" s="4"/>
      <c r="I233" s="4"/>
      <c r="J233" s="4"/>
      <c r="K233" s="4"/>
      <c r="L233" s="4"/>
      <c r="M233" s="4"/>
      <c r="T233" s="282"/>
    </row>
    <row r="234" spans="1:20" outlineLevel="1" x14ac:dyDescent="0.35">
      <c r="A234" s="15" t="s">
        <v>417</v>
      </c>
      <c r="B234" s="30"/>
      <c r="C234" s="140" t="s">
        <v>180</v>
      </c>
      <c r="D234" s="6" t="s">
        <v>889</v>
      </c>
      <c r="E234" s="6" t="s">
        <v>891</v>
      </c>
      <c r="F234" s="6" t="s">
        <v>890</v>
      </c>
      <c r="G234" s="6" t="s">
        <v>892</v>
      </c>
      <c r="H234" s="6" t="s">
        <v>893</v>
      </c>
      <c r="I234" s="6" t="s">
        <v>894</v>
      </c>
      <c r="J234" s="6" t="s">
        <v>896</v>
      </c>
      <c r="K234" s="6" t="s">
        <v>897</v>
      </c>
      <c r="L234" s="6" t="s">
        <v>895</v>
      </c>
      <c r="M234" s="4"/>
      <c r="T234" s="282"/>
    </row>
    <row r="235" spans="1:20" outlineLevel="1" x14ac:dyDescent="0.35">
      <c r="B235" s="282" t="s">
        <v>117</v>
      </c>
      <c r="C235" s="282" t="s">
        <v>898</v>
      </c>
      <c r="D235" s="6">
        <f>'Results ReCiPe (H) - RD'!B467</f>
        <v>1.1572736269513593</v>
      </c>
      <c r="E235" s="6">
        <f>'Results ReCiPe (H) - RD'!C467</f>
        <v>1.1350206061764658</v>
      </c>
      <c r="F235" s="6">
        <f>'Results ReCiPe (H) - RD'!D467</f>
        <v>1.0727718624716902</v>
      </c>
      <c r="G235" s="6">
        <f>'Results ReCiPe (H) - RD'!E467</f>
        <v>1.1572736269513593</v>
      </c>
      <c r="H235" s="6">
        <f>'Results ReCiPe (H) - RD'!F467</f>
        <v>1.1350206061764658</v>
      </c>
      <c r="I235" s="6">
        <f>'Results ReCiPe (H) - RD'!G467</f>
        <v>1.0727718624716902</v>
      </c>
      <c r="J235" s="6">
        <f>'Results ReCiPe (H) - RD'!H467</f>
        <v>2.2765876848940438</v>
      </c>
      <c r="K235" s="6">
        <f>'Results ReCiPe (H) - RD'!I467</f>
        <v>2.2326216867218416</v>
      </c>
      <c r="L235" s="6">
        <f>'Results ReCiPe (H) - RD'!J467</f>
        <v>2.1092766801158631</v>
      </c>
      <c r="M235" s="4"/>
      <c r="T235" s="282"/>
    </row>
    <row r="236" spans="1:20" outlineLevel="1" x14ac:dyDescent="0.35">
      <c r="B236" s="282" t="s">
        <v>118</v>
      </c>
      <c r="C236" s="282" t="s">
        <v>898</v>
      </c>
      <c r="D236" s="6">
        <f>'Results ReCiPe (H) - RD'!B468</f>
        <v>0.10787070616191249</v>
      </c>
      <c r="E236" s="6">
        <f>'Results ReCiPe (H) - RD'!C468</f>
        <v>0.10677798589336331</v>
      </c>
      <c r="F236" s="6">
        <f>'Results ReCiPe (H) - RD'!D468</f>
        <v>0.10355523296253079</v>
      </c>
      <c r="G236" s="6">
        <f>'Results ReCiPe (H) - RD'!E468</f>
        <v>0.10787070616191249</v>
      </c>
      <c r="H236" s="6">
        <f>'Results ReCiPe (H) - RD'!F468</f>
        <v>0.10677798589336331</v>
      </c>
      <c r="I236" s="6">
        <f>'Results ReCiPe (H) - RD'!G468</f>
        <v>0.10355523296253079</v>
      </c>
      <c r="J236" s="6">
        <f>'Results ReCiPe (H) - RD'!H468</f>
        <v>0.10787070616191249</v>
      </c>
      <c r="K236" s="6">
        <f>'Results ReCiPe (H) - RD'!I468</f>
        <v>0.10677798589336331</v>
      </c>
      <c r="L236" s="6">
        <f>'Results ReCiPe (H) - RD'!J468</f>
        <v>0.10355523296253079</v>
      </c>
      <c r="M236" s="4"/>
      <c r="T236" s="282"/>
    </row>
    <row r="237" spans="1:20" outlineLevel="1" x14ac:dyDescent="0.35">
      <c r="B237" s="282" t="s">
        <v>119</v>
      </c>
      <c r="C237" s="282" t="s">
        <v>898</v>
      </c>
      <c r="D237" s="6">
        <f>'Results ReCiPe (H) - RD'!B469</f>
        <v>1.8254349738637116E-2</v>
      </c>
      <c r="E237" s="6">
        <f>'Results ReCiPe (H) - RD'!C469</f>
        <v>1.6717650277123783E-2</v>
      </c>
      <c r="F237" s="6">
        <f>'Results ReCiPe (H) - RD'!D469</f>
        <v>1.5515848527432425E-2</v>
      </c>
      <c r="G237" s="6">
        <f>'Results ReCiPe (H) - RD'!E469</f>
        <v>1.8254349738637116E-2</v>
      </c>
      <c r="H237" s="6">
        <f>'Results ReCiPe (H) - RD'!F469</f>
        <v>1.6717650277123783E-2</v>
      </c>
      <c r="I237" s="6">
        <f>'Results ReCiPe (H) - RD'!G469</f>
        <v>1.5515848527432425E-2</v>
      </c>
      <c r="J237" s="6">
        <f>'Results ReCiPe (H) - RD'!H469</f>
        <v>3.6508699477274233E-2</v>
      </c>
      <c r="K237" s="6">
        <f>'Results ReCiPe (H) - RD'!I469</f>
        <v>3.3435300554247566E-2</v>
      </c>
      <c r="L237" s="6">
        <f>'Results ReCiPe (H) - RD'!J469</f>
        <v>3.1031697054864849E-2</v>
      </c>
      <c r="M237" s="4"/>
    </row>
    <row r="238" spans="1:20" outlineLevel="1" x14ac:dyDescent="0.35">
      <c r="B238" s="282" t="s">
        <v>120</v>
      </c>
      <c r="C238" s="282" t="s">
        <v>898</v>
      </c>
      <c r="D238" s="6">
        <f>'Results ReCiPe (H) - RD'!B470</f>
        <v>2.1482519099495843E-7</v>
      </c>
      <c r="E238" s="6">
        <f>'Results ReCiPe (H) - RD'!C470</f>
        <v>5.1851441991315782E-4</v>
      </c>
      <c r="F238" s="6">
        <f>'Results ReCiPe (H) - RD'!D470</f>
        <v>4.9152244322832816E-4</v>
      </c>
      <c r="G238" s="6">
        <f>'Results ReCiPe (H) - RD'!E470</f>
        <v>5.3706297748739608E-4</v>
      </c>
      <c r="H238" s="6">
        <f>'Results ReCiPe (H) - RD'!F470</f>
        <v>5.1851441991315782E-4</v>
      </c>
      <c r="I238" s="6">
        <f>'Results ReCiPe (H) - RD'!G470</f>
        <v>4.9152244322832816E-4</v>
      </c>
      <c r="J238" s="6">
        <f>'Results ReCiPe (H) - RD'!H470</f>
        <v>2.1482519099495843E-7</v>
      </c>
      <c r="K238" s="6">
        <f>'Results ReCiPe (H) - RD'!I470</f>
        <v>5.1851441991315782E-4</v>
      </c>
      <c r="L238" s="6">
        <f>'Results ReCiPe (H) - RD'!J470</f>
        <v>4.9152244322832816E-4</v>
      </c>
      <c r="M238" s="4"/>
    </row>
    <row r="239" spans="1:20" outlineLevel="1" x14ac:dyDescent="0.35">
      <c r="B239" s="282" t="s">
        <v>121</v>
      </c>
      <c r="C239" s="282" t="s">
        <v>898</v>
      </c>
      <c r="D239" s="6">
        <f>'Results ReCiPe (H) - RD'!B471</f>
        <v>0.4201052617649354</v>
      </c>
      <c r="E239" s="6">
        <f>'Results ReCiPe (H) - RD'!C471</f>
        <v>0.41337054804260037</v>
      </c>
      <c r="F239" s="6">
        <f>'Results ReCiPe (H) - RD'!D471</f>
        <v>0.40564349401215766</v>
      </c>
      <c r="G239" s="6">
        <f>'Results ReCiPe (H) - RD'!E471</f>
        <v>0.4201052617649354</v>
      </c>
      <c r="H239" s="6">
        <f>'Results ReCiPe (H) - RD'!F471</f>
        <v>0.41337054804260037</v>
      </c>
      <c r="I239" s="6">
        <f>'Results ReCiPe (H) - RD'!G471</f>
        <v>0.40564349401215766</v>
      </c>
      <c r="J239" s="6">
        <f>'Results ReCiPe (H) - RD'!H471</f>
        <v>0.8402105235298708</v>
      </c>
      <c r="K239" s="6">
        <f>'Results ReCiPe (H) - RD'!I471</f>
        <v>0.82674109608520074</v>
      </c>
      <c r="L239" s="6">
        <f>'Results ReCiPe (H) - RD'!J471</f>
        <v>0.81128698802431531</v>
      </c>
      <c r="M239" s="4"/>
    </row>
    <row r="240" spans="1:20" outlineLevel="1" x14ac:dyDescent="0.35">
      <c r="B240" s="282" t="s">
        <v>797</v>
      </c>
      <c r="C240" s="282" t="s">
        <v>898</v>
      </c>
      <c r="D240" s="6">
        <f>'Results ReCiPe (H) - RD'!B472</f>
        <v>0</v>
      </c>
      <c r="E240" s="6">
        <f>'Results ReCiPe (H) - RD'!C472</f>
        <v>0</v>
      </c>
      <c r="F240" s="6">
        <f>'Results ReCiPe (H) - RD'!D472</f>
        <v>0</v>
      </c>
      <c r="G240" s="6">
        <f>'Results ReCiPe (H) - RD'!E472</f>
        <v>0</v>
      </c>
      <c r="H240" s="6">
        <f>'Results ReCiPe (H) - RD'!F472</f>
        <v>0</v>
      </c>
      <c r="I240" s="6">
        <f>'Results ReCiPe (H) - RD'!G472</f>
        <v>0</v>
      </c>
      <c r="J240" s="6">
        <f>'Results ReCiPe (H) - RD'!H472</f>
        <v>8.5257556615258974</v>
      </c>
      <c r="K240" s="6">
        <f>'Results ReCiPe (H) - RD'!I472</f>
        <v>8.3524882467394814</v>
      </c>
      <c r="L240" s="6">
        <f>'Results ReCiPe (H) - RD'!J472</f>
        <v>7.8224872559451661</v>
      </c>
      <c r="M240" s="4"/>
    </row>
    <row r="241" spans="1:13" outlineLevel="1" x14ac:dyDescent="0.35">
      <c r="B241" s="282" t="s">
        <v>122</v>
      </c>
      <c r="C241" s="282" t="s">
        <v>898</v>
      </c>
      <c r="D241" s="6">
        <f>'Results ReCiPe (H) - RD'!B473</f>
        <v>26.583558904647113</v>
      </c>
      <c r="E241" s="6">
        <f>'Results ReCiPe (H) - RD'!C473</f>
        <v>22.685684526739678</v>
      </c>
      <c r="F241" s="6">
        <f>'Results ReCiPe (H) - RD'!D473</f>
        <v>17.551540056485525</v>
      </c>
      <c r="G241" s="6">
        <f>'Results ReCiPe (H) - RD'!E473</f>
        <v>20.930852521259517</v>
      </c>
      <c r="H241" s="6">
        <f>'Results ReCiPe (H) - RD'!F473</f>
        <v>17.95418181361881</v>
      </c>
      <c r="I241" s="6">
        <f>'Results ReCiPe (H) - RD'!G473</f>
        <v>14.020431224008696</v>
      </c>
      <c r="J241" s="6">
        <f>'Results ReCiPe (H) - RD'!H473</f>
        <v>6.8338689077228105</v>
      </c>
      <c r="K241" s="6">
        <f>'Results ReCiPe (H) - RD'!I473</f>
        <v>6.7836022128614539</v>
      </c>
      <c r="L241" s="6">
        <f>'Results ReCiPe (H) - RD'!J473</f>
        <v>6.6101490437913641</v>
      </c>
      <c r="M241" s="4"/>
    </row>
    <row r="242" spans="1:13" outlineLevel="1" x14ac:dyDescent="0.35">
      <c r="B242" s="282" t="s">
        <v>123</v>
      </c>
      <c r="C242" s="282" t="s">
        <v>898</v>
      </c>
      <c r="D242" s="6">
        <f>'Results ReCiPe (H) - RD'!B474</f>
        <v>2.0807973659826957</v>
      </c>
      <c r="E242" s="6">
        <f>'Results ReCiPe (H) - RD'!C474</f>
        <v>1.7871934348322114</v>
      </c>
      <c r="F242" s="6">
        <f>'Results ReCiPe (H) - RD'!D474</f>
        <v>1.3941400561452164</v>
      </c>
      <c r="G242" s="6">
        <f>'Results ReCiPe (H) - RD'!E474</f>
        <v>2.0807973659826957</v>
      </c>
      <c r="H242" s="6">
        <f>'Results ReCiPe (H) - RD'!F474</f>
        <v>1.7871934348322114</v>
      </c>
      <c r="I242" s="6">
        <f>'Results ReCiPe (H) - RD'!G474</f>
        <v>1.3941400561452164</v>
      </c>
      <c r="J242" s="6">
        <f>'Results ReCiPe (H) - RD'!H474</f>
        <v>2.0807973659826957</v>
      </c>
      <c r="K242" s="6">
        <f>'Results ReCiPe (H) - RD'!I474</f>
        <v>1.7871934348322114</v>
      </c>
      <c r="L242" s="6">
        <f>'Results ReCiPe (H) - RD'!J474</f>
        <v>1.3941400561452164</v>
      </c>
      <c r="M242" s="4"/>
    </row>
    <row r="243" spans="1:13" outlineLevel="1" x14ac:dyDescent="0.35">
      <c r="D243" s="6"/>
      <c r="E243" s="6"/>
      <c r="F243" s="6"/>
      <c r="G243" s="6"/>
      <c r="H243" s="6"/>
      <c r="I243" s="6"/>
      <c r="J243" s="6"/>
      <c r="K243" s="6"/>
      <c r="L243" s="6"/>
      <c r="M243" s="4"/>
    </row>
    <row r="244" spans="1:13" outlineLevel="1" x14ac:dyDescent="0.35">
      <c r="B244" s="282" t="s">
        <v>137</v>
      </c>
      <c r="C244" s="282" t="s">
        <v>898</v>
      </c>
      <c r="D244" s="6">
        <f>SUM(D235:D243)</f>
        <v>30.367860430071843</v>
      </c>
      <c r="E244" s="6">
        <f t="shared" ref="E244:L244" si="43">SUM(E235:E243)</f>
        <v>26.145283266381355</v>
      </c>
      <c r="F244" s="6">
        <f t="shared" si="43"/>
        <v>20.54365807304778</v>
      </c>
      <c r="G244" s="6">
        <f t="shared" si="43"/>
        <v>24.715690894836545</v>
      </c>
      <c r="H244" s="6">
        <f t="shared" si="43"/>
        <v>21.413780553260487</v>
      </c>
      <c r="I244" s="6">
        <f t="shared" si="43"/>
        <v>17.012549240570952</v>
      </c>
      <c r="J244" s="6">
        <f t="shared" si="43"/>
        <v>20.701599764119699</v>
      </c>
      <c r="K244" s="6">
        <f t="shared" si="43"/>
        <v>20.123378478107714</v>
      </c>
      <c r="L244" s="6">
        <f t="shared" si="43"/>
        <v>18.882418476482549</v>
      </c>
      <c r="M244" s="4"/>
    </row>
    <row r="245" spans="1:13" outlineLevel="1" x14ac:dyDescent="0.35">
      <c r="M245" s="4"/>
    </row>
    <row r="246" spans="1:13" outlineLevel="1" x14ac:dyDescent="0.35">
      <c r="A246" s="15" t="s">
        <v>814</v>
      </c>
      <c r="B246" s="30"/>
      <c r="C246" s="140" t="s">
        <v>180</v>
      </c>
      <c r="D246" s="6" t="s">
        <v>889</v>
      </c>
      <c r="E246" s="6" t="s">
        <v>891</v>
      </c>
      <c r="F246" s="6" t="s">
        <v>890</v>
      </c>
      <c r="G246" s="6" t="s">
        <v>892</v>
      </c>
      <c r="H246" s="6" t="s">
        <v>893</v>
      </c>
      <c r="I246" s="6" t="s">
        <v>894</v>
      </c>
      <c r="J246" s="6" t="s">
        <v>896</v>
      </c>
      <c r="K246" s="6" t="s">
        <v>897</v>
      </c>
      <c r="L246" s="6" t="s">
        <v>895</v>
      </c>
      <c r="M246" s="4"/>
    </row>
    <row r="247" spans="1:13" outlineLevel="1" x14ac:dyDescent="0.35">
      <c r="B247" s="282" t="s">
        <v>117</v>
      </c>
      <c r="C247" s="282" t="s">
        <v>898</v>
      </c>
      <c r="D247" s="6">
        <f>'Results ReCiPe (H) - RD'!B467</f>
        <v>1.1572736269513593</v>
      </c>
      <c r="E247" s="6">
        <f>'Results ReCiPe (H) - RD'!C467</f>
        <v>1.1350206061764658</v>
      </c>
      <c r="F247" s="6">
        <f>'Results ReCiPe (H) - RD'!D467</f>
        <v>1.0727718624716902</v>
      </c>
      <c r="G247" s="6">
        <f>'Results ReCiPe (H) - RD'!E467</f>
        <v>1.1572736269513593</v>
      </c>
      <c r="H247" s="6">
        <f>'Results ReCiPe (H) - RD'!F467</f>
        <v>1.1350206061764658</v>
      </c>
      <c r="I247" s="6">
        <f>'Results ReCiPe (H) - RD'!G467</f>
        <v>1.0727718624716902</v>
      </c>
      <c r="J247" s="6">
        <f>'Results ReCiPe (H) - RD'!H467</f>
        <v>2.2765876848940438</v>
      </c>
      <c r="K247" s="6">
        <f>'Results ReCiPe (H) - RD'!I467</f>
        <v>2.2326216867218416</v>
      </c>
      <c r="L247" s="6">
        <f>'Results ReCiPe (H) - RD'!J467</f>
        <v>2.1092766801158631</v>
      </c>
      <c r="M247" s="4"/>
    </row>
    <row r="248" spans="1:13" outlineLevel="1" x14ac:dyDescent="0.35">
      <c r="B248" s="282" t="s">
        <v>118</v>
      </c>
      <c r="C248" s="282" t="s">
        <v>898</v>
      </c>
      <c r="D248" s="6">
        <f>'Results ReCiPe (H) - RD'!B468</f>
        <v>0.10787070616191249</v>
      </c>
      <c r="E248" s="6">
        <f>'Results ReCiPe (H) - RD'!C468</f>
        <v>0.10677798589336331</v>
      </c>
      <c r="F248" s="6">
        <f>'Results ReCiPe (H) - RD'!D468</f>
        <v>0.10355523296253079</v>
      </c>
      <c r="G248" s="6">
        <f>'Results ReCiPe (H) - RD'!E468</f>
        <v>0.10787070616191249</v>
      </c>
      <c r="H248" s="6">
        <f>'Results ReCiPe (H) - RD'!F468</f>
        <v>0.10677798589336331</v>
      </c>
      <c r="I248" s="6">
        <f>'Results ReCiPe (H) - RD'!G468</f>
        <v>0.10355523296253079</v>
      </c>
      <c r="J248" s="6">
        <f>'Results ReCiPe (H) - RD'!H468</f>
        <v>0.10787070616191249</v>
      </c>
      <c r="K248" s="6">
        <f>'Results ReCiPe (H) - RD'!I468</f>
        <v>0.10677798589336331</v>
      </c>
      <c r="L248" s="6">
        <f>'Results ReCiPe (H) - RD'!J468</f>
        <v>0.10355523296253079</v>
      </c>
      <c r="M248" s="4"/>
    </row>
    <row r="249" spans="1:13" outlineLevel="1" x14ac:dyDescent="0.35">
      <c r="B249" s="282" t="s">
        <v>119</v>
      </c>
      <c r="C249" s="282" t="s">
        <v>898</v>
      </c>
      <c r="D249" s="6">
        <f>'Results ReCiPe (H) - RD'!B469</f>
        <v>1.8254349738637116E-2</v>
      </c>
      <c r="E249" s="6">
        <f>'Results ReCiPe (H) - RD'!C469</f>
        <v>1.6717650277123783E-2</v>
      </c>
      <c r="F249" s="6">
        <f>'Results ReCiPe (H) - RD'!D469</f>
        <v>1.5515848527432425E-2</v>
      </c>
      <c r="G249" s="6">
        <f>'Results ReCiPe (H) - RD'!E469</f>
        <v>1.8254349738637116E-2</v>
      </c>
      <c r="H249" s="6">
        <f>'Results ReCiPe (H) - RD'!F469</f>
        <v>1.6717650277123783E-2</v>
      </c>
      <c r="I249" s="6">
        <f>'Results ReCiPe (H) - RD'!G469</f>
        <v>1.5515848527432425E-2</v>
      </c>
      <c r="J249" s="6">
        <f>'Results ReCiPe (H) - RD'!H469</f>
        <v>3.6508699477274233E-2</v>
      </c>
      <c r="K249" s="6">
        <f>'Results ReCiPe (H) - RD'!I469</f>
        <v>3.3435300554247566E-2</v>
      </c>
      <c r="L249" s="6">
        <f>'Results ReCiPe (H) - RD'!J469</f>
        <v>3.1031697054864849E-2</v>
      </c>
      <c r="M249" s="4"/>
    </row>
    <row r="250" spans="1:13" outlineLevel="1" x14ac:dyDescent="0.35">
      <c r="B250" s="282" t="s">
        <v>120</v>
      </c>
      <c r="C250" s="282" t="s">
        <v>898</v>
      </c>
      <c r="D250" s="6">
        <f>'Results ReCiPe (H) - RD'!B470</f>
        <v>2.1482519099495843E-7</v>
      </c>
      <c r="E250" s="6">
        <f>'Results ReCiPe (H) - RD'!C470</f>
        <v>5.1851441991315782E-4</v>
      </c>
      <c r="F250" s="6">
        <f>'Results ReCiPe (H) - RD'!D470</f>
        <v>4.9152244322832816E-4</v>
      </c>
      <c r="G250" s="6">
        <f>'Results ReCiPe (H) - RD'!E470</f>
        <v>5.3706297748739608E-4</v>
      </c>
      <c r="H250" s="6">
        <f>'Results ReCiPe (H) - RD'!F470</f>
        <v>5.1851441991315782E-4</v>
      </c>
      <c r="I250" s="6">
        <f>'Results ReCiPe (H) - RD'!G470</f>
        <v>4.9152244322832816E-4</v>
      </c>
      <c r="J250" s="6">
        <f>'Results ReCiPe (H) - RD'!H470</f>
        <v>2.1482519099495843E-7</v>
      </c>
      <c r="K250" s="6">
        <f>'Results ReCiPe (H) - RD'!I470</f>
        <v>5.1851441991315782E-4</v>
      </c>
      <c r="L250" s="6">
        <f>'Results ReCiPe (H) - RD'!J470</f>
        <v>4.9152244322832816E-4</v>
      </c>
      <c r="M250" s="4"/>
    </row>
    <row r="251" spans="1:13" outlineLevel="1" x14ac:dyDescent="0.35">
      <c r="B251" s="282" t="s">
        <v>121</v>
      </c>
      <c r="C251" s="282" t="s">
        <v>898</v>
      </c>
      <c r="D251" s="26">
        <f>AVERAGE('Results - raw data ReCiPe (H)'!$BC$186:$CA$186)*0.8</f>
        <v>1.1099113609291438</v>
      </c>
      <c r="E251" s="6">
        <f>AVERAGE('Results - raw data ReCiPe (H)'!$BC$192:$CA$192)*0.8</f>
        <v>1.0922879014789577</v>
      </c>
      <c r="F251" s="6">
        <f>AVERAGE('Results - raw data ReCiPe (H)'!$BC$198:$CA$198)*0.8</f>
        <v>1.0709061927370591</v>
      </c>
      <c r="G251" s="6">
        <f>AVERAGE('Results - raw data ReCiPe (H)'!$BC$186:$CA$186)*0.8</f>
        <v>1.1099113609291438</v>
      </c>
      <c r="H251" s="6">
        <f>AVERAGE('Results - raw data ReCiPe (H)'!$BC$192:$CA$192)*0.8</f>
        <v>1.0922879014789577</v>
      </c>
      <c r="I251" s="6">
        <f>AVERAGE('Results - raw data ReCiPe (H)'!$BC$198:$CA$198)*0.8</f>
        <v>1.0709061927370591</v>
      </c>
      <c r="J251" s="6">
        <f>AVERAGE('Results - raw data ReCiPe (H)'!$BC$186:$CA$186)*0.8*2</f>
        <v>2.2198227218582876</v>
      </c>
      <c r="K251" s="6">
        <f>AVERAGE('Results - raw data ReCiPe (H)'!$BC$192:$CA$192)*0.8*2</f>
        <v>2.1845758029579154</v>
      </c>
      <c r="L251" s="6">
        <f>AVERAGE('Results - raw data ReCiPe (H)'!$BC$198:$CA$198)*0.8*2</f>
        <v>2.1418123854741182</v>
      </c>
      <c r="M251" s="4"/>
    </row>
    <row r="252" spans="1:13" outlineLevel="1" x14ac:dyDescent="0.35">
      <c r="B252" s="282" t="s">
        <v>797</v>
      </c>
      <c r="C252" s="282" t="s">
        <v>898</v>
      </c>
      <c r="D252" s="6">
        <f>'Results ReCiPe (H) - RD'!B472</f>
        <v>0</v>
      </c>
      <c r="E252" s="6">
        <f>'Results ReCiPe (H) - RD'!C472</f>
        <v>0</v>
      </c>
      <c r="F252" s="6">
        <f>'Results ReCiPe (H) - RD'!D472</f>
        <v>0</v>
      </c>
      <c r="G252" s="6">
        <f>'Results ReCiPe (H) - RD'!E472</f>
        <v>0</v>
      </c>
      <c r="H252" s="6">
        <f>'Results ReCiPe (H) - RD'!F472</f>
        <v>0</v>
      </c>
      <c r="I252" s="6">
        <f>'Results ReCiPe (H) - RD'!G472</f>
        <v>0</v>
      </c>
      <c r="J252" s="6">
        <f>'Results ReCiPe (H) - RD'!H472</f>
        <v>8.5257556615258974</v>
      </c>
      <c r="K252" s="6">
        <f>'Results ReCiPe (H) - RD'!I472</f>
        <v>8.3524882467394814</v>
      </c>
      <c r="L252" s="6">
        <f>'Results ReCiPe (H) - RD'!J472</f>
        <v>7.8224872559451661</v>
      </c>
      <c r="M252" s="4"/>
    </row>
    <row r="253" spans="1:13" outlineLevel="1" x14ac:dyDescent="0.35">
      <c r="B253" s="282" t="s">
        <v>122</v>
      </c>
      <c r="C253" s="282" t="s">
        <v>898</v>
      </c>
      <c r="D253" s="6">
        <f>'Results ReCiPe (H) - RD'!B473</f>
        <v>26.583558904647113</v>
      </c>
      <c r="E253" s="6">
        <f>'Results ReCiPe (H) - RD'!C473</f>
        <v>22.685684526739678</v>
      </c>
      <c r="F253" s="6">
        <f>'Results ReCiPe (H) - RD'!D473</f>
        <v>17.551540056485525</v>
      </c>
      <c r="G253" s="6">
        <f>'Results ReCiPe (H) - RD'!E473</f>
        <v>20.930852521259517</v>
      </c>
      <c r="H253" s="6">
        <f>'Results ReCiPe (H) - RD'!F473</f>
        <v>17.95418181361881</v>
      </c>
      <c r="I253" s="6">
        <f>'Results ReCiPe (H) - RD'!G473</f>
        <v>14.020431224008696</v>
      </c>
      <c r="J253" s="6">
        <f>'Results ReCiPe (H) - RD'!H473</f>
        <v>6.8338689077228105</v>
      </c>
      <c r="K253" s="6">
        <f>'Results ReCiPe (H) - RD'!I473</f>
        <v>6.7836022128614539</v>
      </c>
      <c r="L253" s="6">
        <f>'Results ReCiPe (H) - RD'!J473</f>
        <v>6.6101490437913641</v>
      </c>
      <c r="M253" s="4"/>
    </row>
    <row r="254" spans="1:13" outlineLevel="1" x14ac:dyDescent="0.35">
      <c r="B254" s="282" t="s">
        <v>123</v>
      </c>
      <c r="C254" s="282" t="s">
        <v>898</v>
      </c>
      <c r="D254" s="6">
        <f>'Results ReCiPe (H) - RD'!B474</f>
        <v>2.0807973659826957</v>
      </c>
      <c r="E254" s="6">
        <f>'Results ReCiPe (H) - RD'!C474</f>
        <v>1.7871934348322114</v>
      </c>
      <c r="F254" s="6">
        <f>'Results ReCiPe (H) - RD'!D474</f>
        <v>1.3941400561452164</v>
      </c>
      <c r="G254" s="6">
        <f>'Results ReCiPe (H) - RD'!E474</f>
        <v>2.0807973659826957</v>
      </c>
      <c r="H254" s="6">
        <f>'Results ReCiPe (H) - RD'!F474</f>
        <v>1.7871934348322114</v>
      </c>
      <c r="I254" s="6">
        <f>'Results ReCiPe (H) - RD'!G474</f>
        <v>1.3941400561452164</v>
      </c>
      <c r="J254" s="6">
        <f>'Results ReCiPe (H) - RD'!H474</f>
        <v>2.0807973659826957</v>
      </c>
      <c r="K254" s="6">
        <f>'Results ReCiPe (H) - RD'!I474</f>
        <v>1.7871934348322114</v>
      </c>
      <c r="L254" s="6">
        <f>'Results ReCiPe (H) - RD'!J474</f>
        <v>1.3941400561452164</v>
      </c>
      <c r="M254" s="4"/>
    </row>
    <row r="255" spans="1:13" outlineLevel="1" x14ac:dyDescent="0.35">
      <c r="B255" s="282" t="s">
        <v>124</v>
      </c>
      <c r="C255" s="282" t="s">
        <v>898</v>
      </c>
      <c r="D255" s="6">
        <f>'Results ReCiPe (H) - RD'!B475</f>
        <v>0</v>
      </c>
      <c r="E255" s="6">
        <f>'Results ReCiPe (H) - RD'!C475</f>
        <v>0</v>
      </c>
      <c r="F255" s="6">
        <f>'Results ReCiPe (H) - RD'!D475</f>
        <v>0</v>
      </c>
      <c r="G255" s="6">
        <f>'Results ReCiPe (H) - RD'!E475</f>
        <v>0</v>
      </c>
      <c r="H255" s="6">
        <f>'Results ReCiPe (H) - RD'!F475</f>
        <v>0</v>
      </c>
      <c r="I255" s="6">
        <f>'Results ReCiPe (H) - RD'!G475</f>
        <v>0</v>
      </c>
      <c r="J255" s="6">
        <f>'Results ReCiPe (H) - RD'!H475</f>
        <v>0</v>
      </c>
      <c r="K255" s="6">
        <f>'Results ReCiPe (H) - RD'!I475</f>
        <v>0</v>
      </c>
      <c r="L255" s="6">
        <f>'Results ReCiPe (H) - RD'!J475</f>
        <v>0</v>
      </c>
      <c r="M255" s="4"/>
    </row>
    <row r="256" spans="1:13" outlineLevel="1" x14ac:dyDescent="0.35">
      <c r="B256" s="282" t="s">
        <v>137</v>
      </c>
      <c r="C256" s="282" t="s">
        <v>898</v>
      </c>
      <c r="D256" s="6">
        <f>SUM(D247:D255)</f>
        <v>31.057666529236052</v>
      </c>
      <c r="E256" s="6">
        <f t="shared" ref="E256:L256" si="44">SUM(E247:E255)</f>
        <v>26.824200619817713</v>
      </c>
      <c r="F256" s="6">
        <f t="shared" si="44"/>
        <v>21.208920771772679</v>
      </c>
      <c r="G256" s="6">
        <f t="shared" si="44"/>
        <v>25.405496994000753</v>
      </c>
      <c r="H256" s="6">
        <f t="shared" si="44"/>
        <v>22.092697906696845</v>
      </c>
      <c r="I256" s="6">
        <f t="shared" si="44"/>
        <v>17.677811939295854</v>
      </c>
      <c r="J256" s="6">
        <f t="shared" si="44"/>
        <v>22.081211962448116</v>
      </c>
      <c r="K256" s="6">
        <f t="shared" si="44"/>
        <v>21.48121318498043</v>
      </c>
      <c r="L256" s="6">
        <f t="shared" si="44"/>
        <v>20.21294387393235</v>
      </c>
      <c r="M256" s="4"/>
    </row>
    <row r="257" spans="1:20" outlineLevel="1" x14ac:dyDescent="0.35">
      <c r="M257" s="4"/>
      <c r="T257" s="282"/>
    </row>
    <row r="258" spans="1:20" x14ac:dyDescent="0.35">
      <c r="A258" s="170" t="s">
        <v>816</v>
      </c>
      <c r="B258" s="4"/>
      <c r="C258" s="4"/>
      <c r="D258" s="4"/>
      <c r="E258" s="4"/>
      <c r="F258" s="4"/>
      <c r="G258" s="4"/>
      <c r="H258" s="4"/>
      <c r="I258" s="4"/>
      <c r="J258" s="4"/>
      <c r="K258" s="4"/>
      <c r="L258" s="4"/>
      <c r="M258" s="4"/>
      <c r="T258" s="282"/>
    </row>
    <row r="259" spans="1:20" outlineLevel="1" x14ac:dyDescent="0.35">
      <c r="A259" s="15">
        <v>0.23</v>
      </c>
      <c r="B259" s="30"/>
      <c r="C259" s="140" t="s">
        <v>180</v>
      </c>
      <c r="D259" s="6" t="s">
        <v>889</v>
      </c>
      <c r="E259" s="6" t="s">
        <v>891</v>
      </c>
      <c r="F259" s="6" t="s">
        <v>890</v>
      </c>
      <c r="G259" s="6" t="s">
        <v>892</v>
      </c>
      <c r="H259" s="6" t="s">
        <v>893</v>
      </c>
      <c r="I259" s="6" t="s">
        <v>894</v>
      </c>
      <c r="J259" s="6" t="s">
        <v>896</v>
      </c>
      <c r="K259" s="6" t="s">
        <v>897</v>
      </c>
      <c r="L259" s="6" t="s">
        <v>895</v>
      </c>
      <c r="M259" s="4"/>
    </row>
    <row r="260" spans="1:20" outlineLevel="1" x14ac:dyDescent="0.35">
      <c r="B260" s="282" t="s">
        <v>117</v>
      </c>
      <c r="C260" s="282" t="s">
        <v>898</v>
      </c>
      <c r="D260" s="6"/>
      <c r="E260" s="6"/>
      <c r="F260" s="6"/>
      <c r="G260" s="6">
        <f>'Results ReCiPe (H) - RD'!E467</f>
        <v>1.1572736269513593</v>
      </c>
      <c r="H260" s="6">
        <f>'Results ReCiPe (H) - RD'!F467</f>
        <v>1.1350206061764658</v>
      </c>
      <c r="I260" s="6">
        <f>'Results ReCiPe (H) - RD'!G467</f>
        <v>1.0727718624716902</v>
      </c>
      <c r="J260" s="6"/>
      <c r="K260" s="6"/>
      <c r="L260" s="6"/>
      <c r="M260" s="4"/>
    </row>
    <row r="261" spans="1:20" outlineLevel="1" x14ac:dyDescent="0.35">
      <c r="B261" s="282" t="s">
        <v>118</v>
      </c>
      <c r="C261" s="282" t="s">
        <v>898</v>
      </c>
      <c r="D261" s="6"/>
      <c r="E261" s="6"/>
      <c r="F261" s="6"/>
      <c r="G261" s="6">
        <f>'Results ReCiPe (H) - RD'!E468</f>
        <v>0.10787070616191249</v>
      </c>
      <c r="H261" s="6">
        <f>'Results ReCiPe (H) - RD'!F468</f>
        <v>0.10677798589336331</v>
      </c>
      <c r="I261" s="6">
        <f>'Results ReCiPe (H) - RD'!G468</f>
        <v>0.10355523296253079</v>
      </c>
      <c r="J261" s="6"/>
      <c r="K261" s="6"/>
      <c r="L261" s="6"/>
      <c r="M261" s="4"/>
    </row>
    <row r="262" spans="1:20" outlineLevel="1" x14ac:dyDescent="0.35">
      <c r="B262" s="282" t="s">
        <v>119</v>
      </c>
      <c r="C262" s="282" t="s">
        <v>898</v>
      </c>
      <c r="D262" s="6"/>
      <c r="E262" s="6"/>
      <c r="F262" s="6"/>
      <c r="G262" s="6">
        <f>'Results ReCiPe (H) - RD'!E469</f>
        <v>1.8254349738637116E-2</v>
      </c>
      <c r="H262" s="6">
        <f>'Results ReCiPe (H) - RD'!F469</f>
        <v>1.6717650277123783E-2</v>
      </c>
      <c r="I262" s="6">
        <f>'Results ReCiPe (H) - RD'!G469</f>
        <v>1.5515848527432425E-2</v>
      </c>
      <c r="J262" s="6"/>
      <c r="K262" s="6"/>
      <c r="L262" s="6"/>
      <c r="M262" s="4"/>
    </row>
    <row r="263" spans="1:20" outlineLevel="1" x14ac:dyDescent="0.35">
      <c r="B263" s="282" t="s">
        <v>120</v>
      </c>
      <c r="C263" s="282" t="s">
        <v>898</v>
      </c>
      <c r="D263" s="6"/>
      <c r="E263" s="6"/>
      <c r="F263" s="6"/>
      <c r="G263" s="6">
        <f>'Results ReCiPe (H) - RD'!E470</f>
        <v>5.3706297748739608E-4</v>
      </c>
      <c r="H263" s="6">
        <f>'Results ReCiPe (H) - RD'!F470</f>
        <v>5.1851441991315782E-4</v>
      </c>
      <c r="I263" s="6">
        <f>'Results ReCiPe (H) - RD'!G470</f>
        <v>4.9152244322832816E-4</v>
      </c>
      <c r="J263" s="6"/>
      <c r="K263" s="6"/>
      <c r="L263" s="6"/>
      <c r="M263" s="4"/>
    </row>
    <row r="264" spans="1:20" outlineLevel="1" x14ac:dyDescent="0.35">
      <c r="B264" s="282" t="s">
        <v>121</v>
      </c>
      <c r="C264" s="282" t="s">
        <v>898</v>
      </c>
      <c r="D264" s="6"/>
      <c r="E264" s="6"/>
      <c r="F264" s="6"/>
      <c r="G264" s="6">
        <f>'Results ReCiPe (H) - RD'!E471</f>
        <v>0.4201052617649354</v>
      </c>
      <c r="H264" s="6">
        <f>'Results ReCiPe (H) - RD'!F471</f>
        <v>0.41337054804260037</v>
      </c>
      <c r="I264" s="6">
        <f>'Results ReCiPe (H) - RD'!G471</f>
        <v>0.40564349401215766</v>
      </c>
      <c r="J264" s="6"/>
      <c r="K264" s="6"/>
      <c r="L264" s="6"/>
      <c r="M264" s="4"/>
    </row>
    <row r="265" spans="1:20" outlineLevel="1" x14ac:dyDescent="0.35">
      <c r="B265" s="282" t="s">
        <v>797</v>
      </c>
      <c r="C265" s="282" t="s">
        <v>898</v>
      </c>
      <c r="D265" s="6"/>
      <c r="E265" s="6"/>
      <c r="F265" s="6"/>
      <c r="G265" s="6">
        <f>'Results ReCiPe (H) - RD'!E472</f>
        <v>0</v>
      </c>
      <c r="H265" s="6">
        <f>'Results ReCiPe (H) - RD'!F472</f>
        <v>0</v>
      </c>
      <c r="I265" s="6">
        <f>'Results ReCiPe (H) - RD'!G472</f>
        <v>0</v>
      </c>
      <c r="J265" s="6"/>
      <c r="K265" s="6"/>
      <c r="L265" s="6"/>
      <c r="M265" s="4"/>
    </row>
    <row r="266" spans="1:20" outlineLevel="1" x14ac:dyDescent="0.35">
      <c r="B266" s="282" t="s">
        <v>122</v>
      </c>
      <c r="C266" s="282" t="s">
        <v>898</v>
      </c>
      <c r="D266" s="6"/>
      <c r="E266" s="6"/>
      <c r="F266" s="6"/>
      <c r="G266" s="6">
        <f>'Results ReCiPe (H) - RD'!E473</f>
        <v>20.930852521259517</v>
      </c>
      <c r="H266" s="6">
        <f>'Results ReCiPe (H) - RD'!F473</f>
        <v>17.95418181361881</v>
      </c>
      <c r="I266" s="6">
        <f>'Results ReCiPe (H) - RD'!G473</f>
        <v>14.020431224008696</v>
      </c>
      <c r="J266" s="6"/>
      <c r="K266" s="6"/>
      <c r="L266" s="6"/>
      <c r="M266" s="4"/>
    </row>
    <row r="267" spans="1:20" outlineLevel="1" x14ac:dyDescent="0.35">
      <c r="B267" s="282" t="s">
        <v>123</v>
      </c>
      <c r="C267" s="282" t="s">
        <v>898</v>
      </c>
      <c r="D267" s="6"/>
      <c r="E267" s="6"/>
      <c r="F267" s="6"/>
      <c r="G267" s="6">
        <f>'Results ReCiPe (H) - RD'!E474</f>
        <v>2.0807973659826957</v>
      </c>
      <c r="H267" s="6">
        <f>'Results ReCiPe (H) - RD'!F474</f>
        <v>1.7871934348322114</v>
      </c>
      <c r="I267" s="6">
        <f>'Results ReCiPe (H) - RD'!G474</f>
        <v>1.3941400561452164</v>
      </c>
      <c r="J267" s="6"/>
      <c r="K267" s="6"/>
      <c r="L267" s="6"/>
      <c r="M267" s="4"/>
    </row>
    <row r="268" spans="1:20" outlineLevel="1" x14ac:dyDescent="0.35">
      <c r="D268" s="6"/>
      <c r="E268" s="6"/>
      <c r="F268" s="6"/>
      <c r="G268" s="6"/>
      <c r="H268" s="6"/>
      <c r="I268" s="6"/>
      <c r="J268" s="6"/>
      <c r="K268" s="6"/>
      <c r="L268" s="6"/>
      <c r="M268" s="4"/>
    </row>
    <row r="269" spans="1:20" outlineLevel="1" x14ac:dyDescent="0.35">
      <c r="B269" s="282" t="s">
        <v>137</v>
      </c>
      <c r="C269" s="282" t="s">
        <v>898</v>
      </c>
      <c r="D269" s="6"/>
      <c r="E269" s="6"/>
      <c r="F269" s="6"/>
      <c r="G269" s="6">
        <f>SUM(G260:G268)</f>
        <v>24.715690894836545</v>
      </c>
      <c r="H269" s="6">
        <f>SUM(H260:H268)</f>
        <v>21.413780553260487</v>
      </c>
      <c r="I269" s="6">
        <f>SUM(I260:I268)</f>
        <v>17.012549240570952</v>
      </c>
      <c r="J269" s="6"/>
      <c r="K269" s="6"/>
      <c r="L269" s="6"/>
      <c r="M269" s="4"/>
    </row>
    <row r="270" spans="1:20" outlineLevel="1" x14ac:dyDescent="0.35">
      <c r="M270" s="4"/>
    </row>
    <row r="271" spans="1:20" outlineLevel="1" x14ac:dyDescent="0.35">
      <c r="A271" s="15">
        <v>0.35</v>
      </c>
      <c r="B271" s="30"/>
      <c r="C271" s="140" t="s">
        <v>180</v>
      </c>
      <c r="D271" s="6" t="s">
        <v>889</v>
      </c>
      <c r="E271" s="6" t="s">
        <v>891</v>
      </c>
      <c r="F271" s="6" t="s">
        <v>890</v>
      </c>
      <c r="G271" s="6" t="s">
        <v>892</v>
      </c>
      <c r="H271" s="6" t="s">
        <v>893</v>
      </c>
      <c r="I271" s="6" t="s">
        <v>894</v>
      </c>
      <c r="J271" s="6" t="s">
        <v>896</v>
      </c>
      <c r="K271" s="6" t="s">
        <v>897</v>
      </c>
      <c r="L271" s="6" t="s">
        <v>895</v>
      </c>
      <c r="M271" s="4"/>
    </row>
    <row r="272" spans="1:20" outlineLevel="1" x14ac:dyDescent="0.35">
      <c r="B272" s="282" t="s">
        <v>117</v>
      </c>
      <c r="C272" s="282" t="s">
        <v>898</v>
      </c>
      <c r="D272" s="6"/>
      <c r="E272" s="6"/>
      <c r="F272" s="6"/>
      <c r="G272" s="6">
        <f>'Results ReCiPe (H) - RD'!E467</f>
        <v>1.1572736269513593</v>
      </c>
      <c r="H272" s="6">
        <f>'Results ReCiPe (H) - RD'!F467</f>
        <v>1.1350206061764658</v>
      </c>
      <c r="I272" s="6">
        <f>'Results ReCiPe (H) - RD'!G467</f>
        <v>1.0727718624716902</v>
      </c>
      <c r="J272" s="6"/>
      <c r="K272" s="6"/>
      <c r="L272" s="6"/>
      <c r="M272" s="4"/>
    </row>
    <row r="273" spans="1:13" outlineLevel="1" x14ac:dyDescent="0.35">
      <c r="B273" s="282" t="s">
        <v>118</v>
      </c>
      <c r="C273" s="282" t="s">
        <v>898</v>
      </c>
      <c r="D273" s="6"/>
      <c r="E273" s="6"/>
      <c r="F273" s="6"/>
      <c r="G273" s="6">
        <f>'Results ReCiPe (H) - RD'!E468</f>
        <v>0.10787070616191249</v>
      </c>
      <c r="H273" s="6">
        <f>'Results ReCiPe (H) - RD'!F468</f>
        <v>0.10677798589336331</v>
      </c>
      <c r="I273" s="6">
        <f>'Results ReCiPe (H) - RD'!G468</f>
        <v>0.10355523296253079</v>
      </c>
      <c r="J273" s="6"/>
      <c r="K273" s="6"/>
      <c r="L273" s="6"/>
      <c r="M273" s="4"/>
    </row>
    <row r="274" spans="1:13" outlineLevel="1" x14ac:dyDescent="0.35">
      <c r="B274" s="282" t="s">
        <v>119</v>
      </c>
      <c r="C274" s="282" t="s">
        <v>898</v>
      </c>
      <c r="D274" s="6"/>
      <c r="E274" s="6"/>
      <c r="F274" s="6"/>
      <c r="G274" s="6">
        <f>'Results ReCiPe (H) - RD'!E469</f>
        <v>1.8254349738637116E-2</v>
      </c>
      <c r="H274" s="6">
        <f>'Results ReCiPe (H) - RD'!F469</f>
        <v>1.6717650277123783E-2</v>
      </c>
      <c r="I274" s="6">
        <f>'Results ReCiPe (H) - RD'!G469</f>
        <v>1.5515848527432425E-2</v>
      </c>
      <c r="J274" s="6"/>
      <c r="K274" s="6"/>
      <c r="L274" s="6"/>
      <c r="M274" s="4"/>
    </row>
    <row r="275" spans="1:13" outlineLevel="1" x14ac:dyDescent="0.35">
      <c r="B275" s="282" t="s">
        <v>120</v>
      </c>
      <c r="C275" s="282" t="s">
        <v>898</v>
      </c>
      <c r="D275" s="6"/>
      <c r="E275" s="6"/>
      <c r="F275" s="6"/>
      <c r="G275" s="6">
        <f>'Results ReCiPe (H) - RD'!E470</f>
        <v>5.3706297748739608E-4</v>
      </c>
      <c r="H275" s="6">
        <f>'Results ReCiPe (H) - RD'!F470</f>
        <v>5.1851441991315782E-4</v>
      </c>
      <c r="I275" s="6">
        <f>'Results ReCiPe (H) - RD'!G470</f>
        <v>4.9152244322832816E-4</v>
      </c>
      <c r="J275" s="6"/>
      <c r="K275" s="6"/>
      <c r="L275" s="6"/>
      <c r="M275" s="4"/>
    </row>
    <row r="276" spans="1:13" outlineLevel="1" x14ac:dyDescent="0.35">
      <c r="B276" s="282" t="s">
        <v>121</v>
      </c>
      <c r="C276" s="282" t="s">
        <v>898</v>
      </c>
      <c r="D276" s="6"/>
      <c r="E276" s="6"/>
      <c r="F276" s="6"/>
      <c r="G276" s="6">
        <f>'Results ReCiPe (H) - RD'!E471</f>
        <v>0.4201052617649354</v>
      </c>
      <c r="H276" s="6">
        <f>'Results ReCiPe (H) - RD'!F471</f>
        <v>0.41337054804260037</v>
      </c>
      <c r="I276" s="6">
        <f>'Results ReCiPe (H) - RD'!G471</f>
        <v>0.40564349401215766</v>
      </c>
      <c r="J276" s="6"/>
      <c r="K276" s="6"/>
      <c r="L276" s="6"/>
      <c r="M276" s="4"/>
    </row>
    <row r="277" spans="1:13" outlineLevel="1" x14ac:dyDescent="0.35">
      <c r="B277" s="282" t="s">
        <v>797</v>
      </c>
      <c r="C277" s="282" t="s">
        <v>898</v>
      </c>
      <c r="D277" s="6"/>
      <c r="E277" s="6"/>
      <c r="F277" s="6"/>
      <c r="G277" s="6">
        <f>'Results ReCiPe (H) - RD'!E472</f>
        <v>0</v>
      </c>
      <c r="H277" s="6">
        <f>'Results ReCiPe (H) - RD'!F472</f>
        <v>0</v>
      </c>
      <c r="I277" s="6">
        <f>'Results ReCiPe (H) - RD'!G472</f>
        <v>0</v>
      </c>
      <c r="J277" s="6"/>
      <c r="K277" s="6"/>
      <c r="L277" s="6"/>
      <c r="M277" s="4"/>
    </row>
    <row r="278" spans="1:13" outlineLevel="1" x14ac:dyDescent="0.35">
      <c r="B278" s="282" t="s">
        <v>122</v>
      </c>
      <c r="C278" s="282" t="s">
        <v>898</v>
      </c>
      <c r="D278" s="6"/>
      <c r="E278" s="6"/>
      <c r="F278" s="6"/>
      <c r="G278" s="26">
        <f>1500*(0.35*AVERAGE('Results - raw data ReCiPe (H)'!$BC$114:$CA$114)+0.65*AVERAGE('Results - raw data ReCiPe (H)'!$BC$115:$CA$115))</f>
        <v>18.18701860221034</v>
      </c>
      <c r="H278" s="26">
        <f>1500*(0.35*AVERAGE('Results - raw data ReCiPe (H)'!$BC$121:$CA$121)+0.65*AVERAGE('Results - raw data ReCiPe (H)'!$BC$122:$CA$122))</f>
        <v>15.670433604679292</v>
      </c>
      <c r="I278" s="26">
        <f>1500*(0.35*AVERAGE('Results - raw data ReCiPe (H)'!$BC$128:$CA$128)+0.65*AVERAGE('Results - raw data ReCiPe (H)'!$BC$129:$CA$129))</f>
        <v>12.336584516391662</v>
      </c>
      <c r="J278" s="6"/>
      <c r="K278" s="6"/>
      <c r="L278" s="6"/>
      <c r="M278" s="4"/>
    </row>
    <row r="279" spans="1:13" outlineLevel="1" x14ac:dyDescent="0.35">
      <c r="B279" s="282" t="s">
        <v>123</v>
      </c>
      <c r="C279" s="282" t="s">
        <v>898</v>
      </c>
      <c r="D279" s="6"/>
      <c r="E279" s="6"/>
      <c r="F279" s="6"/>
      <c r="G279" s="6">
        <f>'Results ReCiPe (H) - RD'!E474</f>
        <v>2.0807973659826957</v>
      </c>
      <c r="H279" s="6">
        <f>'Results ReCiPe (H) - RD'!F474</f>
        <v>1.7871934348322114</v>
      </c>
      <c r="I279" s="6">
        <f>'Results ReCiPe (H) - RD'!G474</f>
        <v>1.3941400561452164</v>
      </c>
      <c r="J279" s="6"/>
      <c r="K279" s="6"/>
      <c r="L279" s="6"/>
      <c r="M279" s="4"/>
    </row>
    <row r="280" spans="1:13" outlineLevel="1" x14ac:dyDescent="0.35">
      <c r="D280" s="6"/>
      <c r="E280" s="6"/>
      <c r="F280" s="6"/>
      <c r="G280" s="6"/>
      <c r="H280" s="6"/>
      <c r="I280" s="6"/>
      <c r="J280" s="6"/>
      <c r="K280" s="6"/>
      <c r="L280" s="6"/>
      <c r="M280" s="4"/>
    </row>
    <row r="281" spans="1:13" outlineLevel="1" x14ac:dyDescent="0.35">
      <c r="B281" s="282" t="s">
        <v>137</v>
      </c>
      <c r="C281" s="282" t="s">
        <v>898</v>
      </c>
      <c r="D281" s="6"/>
      <c r="E281" s="6"/>
      <c r="F281" s="6"/>
      <c r="G281" s="6">
        <f>SUM(G272:G280)</f>
        <v>21.971856975787368</v>
      </c>
      <c r="H281" s="6">
        <f>SUM(H272:H280)</f>
        <v>19.13003234432097</v>
      </c>
      <c r="I281" s="6">
        <f>SUM(I272:I280)</f>
        <v>15.328702532953917</v>
      </c>
      <c r="J281" s="6"/>
      <c r="K281" s="6"/>
      <c r="L281" s="6"/>
      <c r="M281" s="4"/>
    </row>
    <row r="282" spans="1:13" outlineLevel="1" x14ac:dyDescent="0.35">
      <c r="M282" s="4"/>
    </row>
    <row r="283" spans="1:13" outlineLevel="1" x14ac:dyDescent="0.35">
      <c r="A283" s="15">
        <v>0.45</v>
      </c>
      <c r="C283" s="140" t="s">
        <v>180</v>
      </c>
      <c r="D283" s="6" t="s">
        <v>889</v>
      </c>
      <c r="E283" s="6" t="s">
        <v>891</v>
      </c>
      <c r="F283" s="6" t="s">
        <v>890</v>
      </c>
      <c r="G283" s="6" t="s">
        <v>892</v>
      </c>
      <c r="H283" s="6" t="s">
        <v>893</v>
      </c>
      <c r="I283" s="6" t="s">
        <v>894</v>
      </c>
      <c r="J283" s="6" t="s">
        <v>896</v>
      </c>
      <c r="K283" s="6" t="s">
        <v>897</v>
      </c>
      <c r="L283" s="6" t="s">
        <v>895</v>
      </c>
      <c r="M283" s="4"/>
    </row>
    <row r="284" spans="1:13" outlineLevel="1" x14ac:dyDescent="0.35">
      <c r="B284" s="282" t="s">
        <v>117</v>
      </c>
      <c r="C284" s="282" t="s">
        <v>898</v>
      </c>
      <c r="D284" s="6"/>
      <c r="E284" s="6"/>
      <c r="F284" s="6"/>
      <c r="G284" s="6">
        <f>'Results ReCiPe (H) - RD'!E467</f>
        <v>1.1572736269513593</v>
      </c>
      <c r="H284" s="6">
        <f>'Results ReCiPe (H) - RD'!F467</f>
        <v>1.1350206061764658</v>
      </c>
      <c r="I284" s="6">
        <f>'Results ReCiPe (H) - RD'!G467</f>
        <v>1.0727718624716902</v>
      </c>
      <c r="J284" s="6"/>
      <c r="K284" s="6"/>
      <c r="L284" s="6"/>
      <c r="M284" s="4"/>
    </row>
    <row r="285" spans="1:13" outlineLevel="1" x14ac:dyDescent="0.35">
      <c r="B285" s="282" t="s">
        <v>118</v>
      </c>
      <c r="C285" s="282" t="s">
        <v>898</v>
      </c>
      <c r="D285" s="6"/>
      <c r="E285" s="6"/>
      <c r="F285" s="6"/>
      <c r="G285" s="6">
        <f>'Results ReCiPe (H) - RD'!E468</f>
        <v>0.10787070616191249</v>
      </c>
      <c r="H285" s="6">
        <f>'Results ReCiPe (H) - RD'!F468</f>
        <v>0.10677798589336331</v>
      </c>
      <c r="I285" s="6">
        <f>'Results ReCiPe (H) - RD'!G468</f>
        <v>0.10355523296253079</v>
      </c>
      <c r="J285" s="6"/>
      <c r="K285" s="6"/>
      <c r="L285" s="6"/>
      <c r="M285" s="4"/>
    </row>
    <row r="286" spans="1:13" outlineLevel="1" x14ac:dyDescent="0.35">
      <c r="B286" s="282" t="s">
        <v>119</v>
      </c>
      <c r="C286" s="282" t="s">
        <v>898</v>
      </c>
      <c r="D286" s="6"/>
      <c r="E286" s="6"/>
      <c r="F286" s="6"/>
      <c r="G286" s="6">
        <f>'Results ReCiPe (H) - RD'!E469</f>
        <v>1.8254349738637116E-2</v>
      </c>
      <c r="H286" s="6">
        <f>'Results ReCiPe (H) - RD'!F469</f>
        <v>1.6717650277123783E-2</v>
      </c>
      <c r="I286" s="6">
        <f>'Results ReCiPe (H) - RD'!G469</f>
        <v>1.5515848527432425E-2</v>
      </c>
      <c r="J286" s="6"/>
      <c r="K286" s="6"/>
      <c r="L286" s="6"/>
      <c r="M286" s="4"/>
    </row>
    <row r="287" spans="1:13" outlineLevel="1" x14ac:dyDescent="0.35">
      <c r="B287" s="282" t="s">
        <v>120</v>
      </c>
      <c r="C287" s="282" t="s">
        <v>898</v>
      </c>
      <c r="D287" s="6"/>
      <c r="E287" s="6"/>
      <c r="F287" s="6"/>
      <c r="G287" s="6">
        <f>'Results ReCiPe (H) - RD'!E470</f>
        <v>5.3706297748739608E-4</v>
      </c>
      <c r="H287" s="6">
        <f>'Results ReCiPe (H) - RD'!F470</f>
        <v>5.1851441991315782E-4</v>
      </c>
      <c r="I287" s="6">
        <f>'Results ReCiPe (H) - RD'!G470</f>
        <v>4.9152244322832816E-4</v>
      </c>
      <c r="J287" s="6"/>
      <c r="K287" s="6"/>
      <c r="L287" s="6"/>
      <c r="M287" s="4"/>
    </row>
    <row r="288" spans="1:13" outlineLevel="1" x14ac:dyDescent="0.35">
      <c r="B288" s="282" t="s">
        <v>121</v>
      </c>
      <c r="C288" s="282" t="s">
        <v>898</v>
      </c>
      <c r="D288" s="6"/>
      <c r="E288" s="6"/>
      <c r="F288" s="6"/>
      <c r="G288" s="6">
        <f>'Results ReCiPe (H) - RD'!E471</f>
        <v>0.4201052617649354</v>
      </c>
      <c r="H288" s="6">
        <f>'Results ReCiPe (H) - RD'!F471</f>
        <v>0.41337054804260037</v>
      </c>
      <c r="I288" s="6">
        <f>'Results ReCiPe (H) - RD'!G471</f>
        <v>0.40564349401215766</v>
      </c>
      <c r="J288" s="6"/>
      <c r="K288" s="6"/>
      <c r="L288" s="6"/>
      <c r="M288" s="4"/>
    </row>
    <row r="289" spans="1:20" outlineLevel="1" x14ac:dyDescent="0.35">
      <c r="B289" s="282" t="s">
        <v>797</v>
      </c>
      <c r="C289" s="282" t="s">
        <v>898</v>
      </c>
      <c r="D289" s="6"/>
      <c r="E289" s="6"/>
      <c r="F289" s="6"/>
      <c r="G289" s="6">
        <f>'Results ReCiPe (H) - RD'!E472</f>
        <v>0</v>
      </c>
      <c r="H289" s="6">
        <f>'Results ReCiPe (H) - RD'!F472</f>
        <v>0</v>
      </c>
      <c r="I289" s="6">
        <f>'Results ReCiPe (H) - RD'!G472</f>
        <v>0</v>
      </c>
      <c r="J289" s="6"/>
      <c r="K289" s="6"/>
      <c r="L289" s="6"/>
      <c r="M289" s="4"/>
    </row>
    <row r="290" spans="1:20" outlineLevel="1" x14ac:dyDescent="0.35">
      <c r="B290" s="282" t="s">
        <v>122</v>
      </c>
      <c r="C290" s="282" t="s">
        <v>898</v>
      </c>
      <c r="D290" s="6"/>
      <c r="E290" s="6"/>
      <c r="F290" s="6"/>
      <c r="G290" s="26">
        <f>1500*(0.45*AVERAGE('Results - raw data ReCiPe (H)'!$BC$114:$CA$114)+0.55*AVERAGE('Results - raw data ReCiPe (H)'!$BC$115:$CA$115))</f>
        <v>15.900490336336029</v>
      </c>
      <c r="H290" s="26">
        <f>1500*(0.45*AVERAGE('Results - raw data ReCiPe (H)'!$BC$121:$CA$121)+0.55*AVERAGE('Results - raw data ReCiPe (H)'!$BC$122:$CA$122))</f>
        <v>13.7673100972297</v>
      </c>
      <c r="I290" s="26">
        <f>1500*(0.45*AVERAGE('Results - raw data ReCiPe (H)'!$BC$128:$CA$128)+0.55*AVERAGE('Results - raw data ReCiPe (H)'!$BC$129:$CA$129))</f>
        <v>10.933378926710803</v>
      </c>
      <c r="J290" s="6"/>
      <c r="K290" s="6"/>
      <c r="L290" s="6"/>
      <c r="M290" s="4"/>
    </row>
    <row r="291" spans="1:20" outlineLevel="1" x14ac:dyDescent="0.35">
      <c r="B291" s="282" t="s">
        <v>123</v>
      </c>
      <c r="C291" s="282" t="s">
        <v>898</v>
      </c>
      <c r="D291" s="6"/>
      <c r="E291" s="6"/>
      <c r="F291" s="6"/>
      <c r="G291" s="6">
        <f>'Results ReCiPe (H) - RD'!E474</f>
        <v>2.0807973659826957</v>
      </c>
      <c r="H291" s="6">
        <f>'Results ReCiPe (H) - RD'!F474</f>
        <v>1.7871934348322114</v>
      </c>
      <c r="I291" s="6">
        <f>'Results ReCiPe (H) - RD'!G474</f>
        <v>1.3941400561452164</v>
      </c>
      <c r="J291" s="6"/>
      <c r="K291" s="6"/>
      <c r="L291" s="6"/>
      <c r="M291" s="4"/>
    </row>
    <row r="292" spans="1:20" outlineLevel="1" x14ac:dyDescent="0.35">
      <c r="D292" s="6"/>
      <c r="E292" s="6"/>
      <c r="F292" s="6"/>
      <c r="G292" s="6"/>
      <c r="H292" s="6"/>
      <c r="I292" s="6"/>
      <c r="J292" s="6"/>
      <c r="K292" s="6"/>
      <c r="L292" s="6"/>
      <c r="M292" s="4"/>
    </row>
    <row r="293" spans="1:20" outlineLevel="1" x14ac:dyDescent="0.35">
      <c r="B293" s="282" t="s">
        <v>137</v>
      </c>
      <c r="C293" s="282" t="s">
        <v>898</v>
      </c>
      <c r="D293" s="6"/>
      <c r="E293" s="6"/>
      <c r="F293" s="6"/>
      <c r="G293" s="6">
        <f>SUM(G284:G292)</f>
        <v>19.685328709913058</v>
      </c>
      <c r="H293" s="6">
        <f>SUM(H284:H292)</f>
        <v>17.226908836871377</v>
      </c>
      <c r="I293" s="6">
        <f>SUM(I284:I292)</f>
        <v>13.925496943273059</v>
      </c>
      <c r="J293" s="6"/>
      <c r="K293" s="6"/>
      <c r="L293" s="6"/>
      <c r="M293" s="4"/>
    </row>
    <row r="294" spans="1:20" x14ac:dyDescent="0.35">
      <c r="M294" s="4"/>
    </row>
    <row r="295" spans="1:20" x14ac:dyDescent="0.35">
      <c r="A295" s="170" t="s">
        <v>818</v>
      </c>
      <c r="B295" s="4"/>
      <c r="C295" s="4"/>
      <c r="D295" s="4"/>
      <c r="E295" s="4"/>
      <c r="F295" s="4"/>
      <c r="G295" s="4"/>
      <c r="H295" s="4"/>
      <c r="I295" s="4"/>
      <c r="J295" s="4"/>
      <c r="K295" s="4"/>
      <c r="L295" s="4"/>
      <c r="M295" s="4"/>
      <c r="T295" s="282"/>
    </row>
    <row r="296" spans="1:20" outlineLevel="1" x14ac:dyDescent="0.35">
      <c r="A296" s="15" t="s">
        <v>822</v>
      </c>
      <c r="B296" s="30"/>
      <c r="C296" s="140" t="s">
        <v>180</v>
      </c>
      <c r="J296" s="6" t="s">
        <v>896</v>
      </c>
      <c r="K296" s="6" t="s">
        <v>897</v>
      </c>
      <c r="L296" s="6" t="s">
        <v>895</v>
      </c>
      <c r="M296" s="4"/>
      <c r="T296" s="282"/>
    </row>
    <row r="297" spans="1:20" outlineLevel="1" x14ac:dyDescent="0.35">
      <c r="B297" s="6" t="s">
        <v>117</v>
      </c>
      <c r="C297" s="282" t="s">
        <v>898</v>
      </c>
      <c r="J297" s="191">
        <v>2.2765876848940438</v>
      </c>
      <c r="K297" s="191">
        <v>2.2326216867218416</v>
      </c>
      <c r="L297" s="191">
        <v>2.1092766801158631</v>
      </c>
      <c r="M297" s="4"/>
      <c r="T297" s="282"/>
    </row>
    <row r="298" spans="1:20" outlineLevel="1" x14ac:dyDescent="0.35">
      <c r="B298" s="6" t="s">
        <v>118</v>
      </c>
      <c r="C298" s="282" t="s">
        <v>898</v>
      </c>
      <c r="J298" s="191">
        <v>0.10787070616191249</v>
      </c>
      <c r="K298" s="191">
        <v>0.10677798589336331</v>
      </c>
      <c r="L298" s="191">
        <v>0.10355523296253079</v>
      </c>
      <c r="M298" s="4"/>
      <c r="T298" s="282"/>
    </row>
    <row r="299" spans="1:20" outlineLevel="1" x14ac:dyDescent="0.35">
      <c r="B299" s="6" t="s">
        <v>119</v>
      </c>
      <c r="C299" s="282" t="s">
        <v>898</v>
      </c>
      <c r="J299" s="191">
        <v>3.6508699477274233E-2</v>
      </c>
      <c r="K299" s="191">
        <v>3.3435300554247566E-2</v>
      </c>
      <c r="L299" s="191">
        <v>3.1031697054864849E-2</v>
      </c>
      <c r="M299" s="4"/>
      <c r="T299" s="282"/>
    </row>
    <row r="300" spans="1:20" outlineLevel="1" x14ac:dyDescent="0.35">
      <c r="B300" s="6" t="s">
        <v>120</v>
      </c>
      <c r="C300" s="282" t="s">
        <v>898</v>
      </c>
      <c r="J300" s="191">
        <v>2.1482519099495843E-7</v>
      </c>
      <c r="K300" s="191">
        <v>5.1851441991315782E-4</v>
      </c>
      <c r="L300" s="191">
        <v>4.9152244322832816E-4</v>
      </c>
      <c r="M300" s="4"/>
      <c r="T300" s="282"/>
    </row>
    <row r="301" spans="1:20" outlineLevel="1" x14ac:dyDescent="0.35">
      <c r="B301" s="6" t="s">
        <v>121</v>
      </c>
      <c r="C301" s="282" t="s">
        <v>898</v>
      </c>
      <c r="J301" s="191">
        <v>0.8402105235298708</v>
      </c>
      <c r="K301" s="191">
        <v>0.82674109608520074</v>
      </c>
      <c r="L301" s="191">
        <v>0.81128698802431531</v>
      </c>
      <c r="M301" s="4"/>
      <c r="T301" s="282"/>
    </row>
    <row r="302" spans="1:20" outlineLevel="1" x14ac:dyDescent="0.35">
      <c r="B302" s="6" t="s">
        <v>800</v>
      </c>
      <c r="C302" s="282" t="s">
        <v>898</v>
      </c>
      <c r="J302" s="191">
        <v>8.5257556615258974</v>
      </c>
      <c r="K302" s="191">
        <v>8.3524882467394814</v>
      </c>
      <c r="L302" s="191">
        <v>7.8224872559451661</v>
      </c>
      <c r="M302" s="4"/>
      <c r="T302" s="282"/>
    </row>
    <row r="303" spans="1:20" outlineLevel="1" x14ac:dyDescent="0.35">
      <c r="B303" s="6" t="s">
        <v>122</v>
      </c>
      <c r="C303" s="282" t="s">
        <v>898</v>
      </c>
      <c r="J303" s="191">
        <v>7.0185680673909943</v>
      </c>
      <c r="K303" s="191">
        <v>6.9669428132090614</v>
      </c>
      <c r="L303" s="191">
        <v>6.7888017206505902</v>
      </c>
      <c r="M303" s="4"/>
      <c r="T303" s="282"/>
    </row>
    <row r="304" spans="1:20" outlineLevel="1" x14ac:dyDescent="0.35">
      <c r="B304" s="6" t="s">
        <v>123</v>
      </c>
      <c r="C304" s="282" t="s">
        <v>898</v>
      </c>
      <c r="J304" s="191">
        <v>2.0807973659826957</v>
      </c>
      <c r="K304" s="191">
        <v>1.7871934348322114</v>
      </c>
      <c r="L304" s="191">
        <v>1.3941400561452164</v>
      </c>
      <c r="M304" s="4"/>
      <c r="T304" s="282"/>
    </row>
    <row r="305" spans="1:20" outlineLevel="1" x14ac:dyDescent="0.35">
      <c r="B305" s="6"/>
      <c r="J305" s="191">
        <v>0</v>
      </c>
      <c r="K305" s="191">
        <v>0</v>
      </c>
      <c r="L305" s="191">
        <v>0</v>
      </c>
      <c r="M305" s="4"/>
      <c r="T305" s="282"/>
    </row>
    <row r="306" spans="1:20" outlineLevel="1" x14ac:dyDescent="0.35">
      <c r="B306" s="6" t="s">
        <v>137</v>
      </c>
      <c r="C306" s="282" t="s">
        <v>898</v>
      </c>
      <c r="J306" s="191">
        <v>20.886298923787876</v>
      </c>
      <c r="K306" s="191">
        <v>20.306719078455316</v>
      </c>
      <c r="L306" s="191">
        <v>19.061071153341775</v>
      </c>
      <c r="M306" s="4"/>
      <c r="T306" s="282"/>
    </row>
    <row r="307" spans="1:20" outlineLevel="1" x14ac:dyDescent="0.35">
      <c r="M307" s="4"/>
      <c r="T307" s="282"/>
    </row>
    <row r="308" spans="1:20" outlineLevel="1" x14ac:dyDescent="0.35">
      <c r="A308" s="15" t="s">
        <v>819</v>
      </c>
      <c r="B308" s="30"/>
      <c r="C308" s="140" t="s">
        <v>180</v>
      </c>
      <c r="J308" s="6" t="s">
        <v>896</v>
      </c>
      <c r="K308" s="6" t="s">
        <v>897</v>
      </c>
      <c r="L308" s="6" t="s">
        <v>895</v>
      </c>
      <c r="M308" s="4"/>
      <c r="T308" s="282"/>
    </row>
    <row r="309" spans="1:20" outlineLevel="1" x14ac:dyDescent="0.35">
      <c r="B309" s="6" t="s">
        <v>117</v>
      </c>
      <c r="C309" s="282" t="s">
        <v>898</v>
      </c>
      <c r="J309" s="191">
        <v>2.2765876848940438</v>
      </c>
      <c r="K309" s="191">
        <v>2.2326216867218416</v>
      </c>
      <c r="L309" s="191">
        <v>2.1092766801158631</v>
      </c>
      <c r="M309" s="4"/>
      <c r="T309" s="282"/>
    </row>
    <row r="310" spans="1:20" outlineLevel="1" x14ac:dyDescent="0.35">
      <c r="B310" s="6" t="s">
        <v>118</v>
      </c>
      <c r="C310" s="282" t="s">
        <v>898</v>
      </c>
      <c r="J310" s="191">
        <v>0.10787070616191249</v>
      </c>
      <c r="K310" s="191">
        <v>0.10677798589336331</v>
      </c>
      <c r="L310" s="191">
        <v>0.10355523296253079</v>
      </c>
      <c r="M310" s="4"/>
      <c r="T310" s="282"/>
    </row>
    <row r="311" spans="1:20" outlineLevel="1" x14ac:dyDescent="0.35">
      <c r="B311" s="6" t="s">
        <v>119</v>
      </c>
      <c r="C311" s="282" t="s">
        <v>898</v>
      </c>
      <c r="J311" s="191">
        <v>3.6508699477274233E-2</v>
      </c>
      <c r="K311" s="191">
        <v>3.3435300554247566E-2</v>
      </c>
      <c r="L311" s="191">
        <v>3.1031697054864849E-2</v>
      </c>
      <c r="M311" s="4"/>
      <c r="T311" s="282"/>
    </row>
    <row r="312" spans="1:20" outlineLevel="1" x14ac:dyDescent="0.35">
      <c r="B312" s="6" t="s">
        <v>120</v>
      </c>
      <c r="C312" s="282" t="s">
        <v>898</v>
      </c>
      <c r="J312" s="191">
        <v>2.1482519099495843E-7</v>
      </c>
      <c r="K312" s="191">
        <v>5.1851441991315782E-4</v>
      </c>
      <c r="L312" s="191">
        <v>4.9152244322832816E-4</v>
      </c>
      <c r="M312" s="4"/>
      <c r="T312" s="282"/>
    </row>
    <row r="313" spans="1:20" outlineLevel="1" x14ac:dyDescent="0.35">
      <c r="B313" s="6" t="s">
        <v>121</v>
      </c>
      <c r="C313" s="282" t="s">
        <v>898</v>
      </c>
      <c r="J313" s="191">
        <v>0.8402105235298708</v>
      </c>
      <c r="K313" s="191">
        <v>0.82674109608520074</v>
      </c>
      <c r="L313" s="191">
        <v>0.81128698802431531</v>
      </c>
      <c r="M313" s="4"/>
      <c r="T313" s="282"/>
    </row>
    <row r="314" spans="1:20" outlineLevel="1" x14ac:dyDescent="0.35">
      <c r="B314" s="6" t="s">
        <v>800</v>
      </c>
      <c r="C314" s="282" t="s">
        <v>898</v>
      </c>
      <c r="J314" s="191">
        <v>8.5257556615258974</v>
      </c>
      <c r="K314" s="191">
        <v>8.3524882467394814</v>
      </c>
      <c r="L314" s="191">
        <v>7.8224872559451661</v>
      </c>
      <c r="M314" s="4"/>
      <c r="T314" s="282"/>
    </row>
    <row r="315" spans="1:20" outlineLevel="1" x14ac:dyDescent="0.35">
      <c r="B315" s="6" t="s">
        <v>122</v>
      </c>
      <c r="C315" s="282" t="s">
        <v>898</v>
      </c>
      <c r="J315" s="191">
        <v>3.5092840336954971</v>
      </c>
      <c r="K315" s="191">
        <v>3.4834714066045307</v>
      </c>
      <c r="L315" s="191">
        <v>3.3944008603252951</v>
      </c>
      <c r="M315" s="4"/>
      <c r="T315" s="282"/>
    </row>
    <row r="316" spans="1:20" outlineLevel="1" x14ac:dyDescent="0.35">
      <c r="B316" s="6" t="s">
        <v>123</v>
      </c>
      <c r="C316" s="282" t="s">
        <v>898</v>
      </c>
      <c r="J316" s="191">
        <v>2.0807973659826957</v>
      </c>
      <c r="K316" s="191">
        <v>1.7871934348322114</v>
      </c>
      <c r="L316" s="191">
        <v>1.3941400561452164</v>
      </c>
      <c r="M316" s="4"/>
      <c r="T316" s="282"/>
    </row>
    <row r="317" spans="1:20" outlineLevel="1" x14ac:dyDescent="0.35">
      <c r="B317" s="6"/>
      <c r="J317" s="191">
        <v>0</v>
      </c>
      <c r="K317" s="191">
        <v>0</v>
      </c>
      <c r="L317" s="191">
        <v>0</v>
      </c>
      <c r="M317" s="4"/>
      <c r="T317" s="282"/>
    </row>
    <row r="318" spans="1:20" outlineLevel="1" x14ac:dyDescent="0.35">
      <c r="B318" s="6" t="s">
        <v>137</v>
      </c>
      <c r="C318" s="282" t="s">
        <v>898</v>
      </c>
      <c r="J318" s="191">
        <v>17.377014890092383</v>
      </c>
      <c r="K318" s="191">
        <v>16.823247671850787</v>
      </c>
      <c r="L318" s="191">
        <v>15.666670293016484</v>
      </c>
      <c r="M318" s="4"/>
      <c r="T318" s="282"/>
    </row>
    <row r="319" spans="1:20" outlineLevel="1" x14ac:dyDescent="0.35">
      <c r="M319" s="4"/>
      <c r="T319" s="282"/>
    </row>
    <row r="320" spans="1:20" outlineLevel="1" x14ac:dyDescent="0.35">
      <c r="A320" s="15" t="s">
        <v>823</v>
      </c>
      <c r="B320" s="30"/>
      <c r="C320" s="140" t="s">
        <v>180</v>
      </c>
      <c r="J320" s="6" t="s">
        <v>896</v>
      </c>
      <c r="K320" s="6" t="s">
        <v>897</v>
      </c>
      <c r="L320" s="6" t="s">
        <v>895</v>
      </c>
      <c r="M320" s="4"/>
      <c r="T320" s="282"/>
    </row>
    <row r="321" spans="1:20" outlineLevel="1" x14ac:dyDescent="0.35">
      <c r="B321" s="6" t="s">
        <v>117</v>
      </c>
      <c r="C321" s="282" t="s">
        <v>898</v>
      </c>
      <c r="J321" s="191">
        <v>2.2765876848940438</v>
      </c>
      <c r="K321" s="191">
        <v>2.2326216867218416</v>
      </c>
      <c r="L321" s="191">
        <v>2.1092766801158631</v>
      </c>
      <c r="M321" s="4"/>
      <c r="T321" s="282"/>
    </row>
    <row r="322" spans="1:20" outlineLevel="1" x14ac:dyDescent="0.35">
      <c r="B322" s="6" t="s">
        <v>118</v>
      </c>
      <c r="C322" s="282" t="s">
        <v>898</v>
      </c>
      <c r="J322" s="191">
        <v>0.10787070616191249</v>
      </c>
      <c r="K322" s="191">
        <v>0.10677798589336331</v>
      </c>
      <c r="L322" s="191">
        <v>0.10355523296253079</v>
      </c>
      <c r="M322" s="4"/>
      <c r="T322" s="282"/>
    </row>
    <row r="323" spans="1:20" outlineLevel="1" x14ac:dyDescent="0.35">
      <c r="B323" s="6" t="s">
        <v>119</v>
      </c>
      <c r="C323" s="282" t="s">
        <v>898</v>
      </c>
      <c r="J323" s="191">
        <v>3.6508699477274233E-2</v>
      </c>
      <c r="K323" s="191">
        <v>3.3435300554247566E-2</v>
      </c>
      <c r="L323" s="191">
        <v>3.1031697054864849E-2</v>
      </c>
      <c r="M323" s="4"/>
      <c r="T323" s="282"/>
    </row>
    <row r="324" spans="1:20" outlineLevel="1" x14ac:dyDescent="0.35">
      <c r="B324" s="6" t="s">
        <v>120</v>
      </c>
      <c r="C324" s="282" t="s">
        <v>898</v>
      </c>
      <c r="J324" s="191">
        <v>2.1482519099495843E-7</v>
      </c>
      <c r="K324" s="191">
        <v>5.1851441991315782E-4</v>
      </c>
      <c r="L324" s="191">
        <v>4.9152244322832816E-4</v>
      </c>
      <c r="M324" s="4"/>
      <c r="T324" s="282"/>
    </row>
    <row r="325" spans="1:20" outlineLevel="1" x14ac:dyDescent="0.35">
      <c r="B325" s="6" t="s">
        <v>121</v>
      </c>
      <c r="C325" s="282" t="s">
        <v>898</v>
      </c>
      <c r="J325" s="191">
        <v>0.8402105235298708</v>
      </c>
      <c r="K325" s="191">
        <v>0.82674109608520074</v>
      </c>
      <c r="L325" s="191">
        <v>0.81128698802431531</v>
      </c>
      <c r="M325" s="4"/>
      <c r="T325" s="282"/>
    </row>
    <row r="326" spans="1:20" outlineLevel="1" x14ac:dyDescent="0.35">
      <c r="B326" s="6" t="s">
        <v>800</v>
      </c>
      <c r="C326" s="282" t="s">
        <v>898</v>
      </c>
      <c r="J326" s="191">
        <v>8.5257556615258974</v>
      </c>
      <c r="K326" s="191">
        <v>8.3524882467394814</v>
      </c>
      <c r="L326" s="191">
        <v>7.8224872559451661</v>
      </c>
      <c r="M326" s="4"/>
      <c r="T326" s="282"/>
    </row>
    <row r="327" spans="1:20" outlineLevel="1" x14ac:dyDescent="0.35">
      <c r="B327" s="6" t="s">
        <v>122</v>
      </c>
      <c r="C327" s="282" t="s">
        <v>898</v>
      </c>
      <c r="J327" s="191">
        <v>4.679045378260664</v>
      </c>
      <c r="K327" s="191">
        <v>4.6446285421393734</v>
      </c>
      <c r="L327" s="191">
        <v>4.5258678137670607</v>
      </c>
      <c r="M327" s="4"/>
      <c r="T327" s="282"/>
    </row>
    <row r="328" spans="1:20" outlineLevel="1" x14ac:dyDescent="0.35">
      <c r="B328" s="6" t="s">
        <v>123</v>
      </c>
      <c r="C328" s="282" t="s">
        <v>898</v>
      </c>
      <c r="J328" s="191">
        <v>2.0807973659826957</v>
      </c>
      <c r="K328" s="191">
        <v>1.7871934348322114</v>
      </c>
      <c r="L328" s="191">
        <v>1.3941400561452164</v>
      </c>
      <c r="M328" s="4"/>
      <c r="T328" s="282"/>
    </row>
    <row r="329" spans="1:20" outlineLevel="1" x14ac:dyDescent="0.35">
      <c r="B329" s="6"/>
      <c r="J329" s="191">
        <v>0</v>
      </c>
      <c r="K329" s="191">
        <v>0</v>
      </c>
      <c r="L329" s="191">
        <v>0</v>
      </c>
      <c r="M329" s="4"/>
      <c r="T329" s="282"/>
    </row>
    <row r="330" spans="1:20" outlineLevel="1" x14ac:dyDescent="0.35">
      <c r="B330" s="6" t="s">
        <v>137</v>
      </c>
      <c r="C330" s="282" t="s">
        <v>898</v>
      </c>
      <c r="J330" s="191">
        <v>18.546776234657557</v>
      </c>
      <c r="K330" s="191">
        <v>17.984404807385634</v>
      </c>
      <c r="L330" s="191">
        <v>16.798137246458246</v>
      </c>
      <c r="M330" s="4"/>
      <c r="T330" s="282"/>
    </row>
    <row r="331" spans="1:20" outlineLevel="1" x14ac:dyDescent="0.35">
      <c r="M331" s="4"/>
      <c r="T331" s="282"/>
    </row>
    <row r="332" spans="1:20" outlineLevel="1" x14ac:dyDescent="0.35">
      <c r="A332" s="15" t="s">
        <v>824</v>
      </c>
      <c r="B332" s="30"/>
      <c r="C332" s="140" t="s">
        <v>180</v>
      </c>
      <c r="J332" s="6" t="s">
        <v>896</v>
      </c>
      <c r="K332" s="6" t="s">
        <v>897</v>
      </c>
      <c r="L332" s="6" t="s">
        <v>895</v>
      </c>
      <c r="M332" s="4"/>
      <c r="T332" s="282"/>
    </row>
    <row r="333" spans="1:20" outlineLevel="1" x14ac:dyDescent="0.35">
      <c r="B333" s="6" t="s">
        <v>117</v>
      </c>
      <c r="C333" s="282" t="s">
        <v>898</v>
      </c>
      <c r="J333" s="191">
        <v>2.2765876848940438</v>
      </c>
      <c r="K333" s="191">
        <v>2.2326216867218416</v>
      </c>
      <c r="L333" s="191">
        <v>2.1092766801158631</v>
      </c>
      <c r="M333" s="4"/>
      <c r="T333" s="282"/>
    </row>
    <row r="334" spans="1:20" outlineLevel="1" x14ac:dyDescent="0.35">
      <c r="B334" s="6" t="s">
        <v>118</v>
      </c>
      <c r="C334" s="282" t="s">
        <v>898</v>
      </c>
      <c r="J334" s="191">
        <v>0.10787070616191249</v>
      </c>
      <c r="K334" s="191">
        <v>0.10677798589336331</v>
      </c>
      <c r="L334" s="191">
        <v>0.10355523296253079</v>
      </c>
      <c r="M334" s="4"/>
      <c r="T334" s="282"/>
    </row>
    <row r="335" spans="1:20" outlineLevel="1" x14ac:dyDescent="0.35">
      <c r="B335" s="6" t="s">
        <v>119</v>
      </c>
      <c r="C335" s="282" t="s">
        <v>898</v>
      </c>
      <c r="J335" s="191">
        <v>3.6508699477274233E-2</v>
      </c>
      <c r="K335" s="191">
        <v>3.3435300554247566E-2</v>
      </c>
      <c r="L335" s="191">
        <v>3.1031697054864849E-2</v>
      </c>
      <c r="M335" s="4"/>
      <c r="T335" s="282"/>
    </row>
    <row r="336" spans="1:20" outlineLevel="1" x14ac:dyDescent="0.35">
      <c r="B336" s="6" t="s">
        <v>120</v>
      </c>
      <c r="C336" s="282" t="s">
        <v>898</v>
      </c>
      <c r="J336" s="191">
        <v>2.1482519099495843E-7</v>
      </c>
      <c r="K336" s="191">
        <v>5.1851441991315782E-4</v>
      </c>
      <c r="L336" s="191">
        <v>4.9152244322832816E-4</v>
      </c>
      <c r="M336" s="4"/>
      <c r="T336" s="282"/>
    </row>
    <row r="337" spans="1:20" outlineLevel="1" x14ac:dyDescent="0.35">
      <c r="B337" s="6" t="s">
        <v>121</v>
      </c>
      <c r="C337" s="282" t="s">
        <v>898</v>
      </c>
      <c r="J337" s="191">
        <v>0.8402105235298708</v>
      </c>
      <c r="K337" s="191">
        <v>0.82674109608520074</v>
      </c>
      <c r="L337" s="191">
        <v>0.81128698802431531</v>
      </c>
      <c r="M337" s="4"/>
      <c r="T337" s="282"/>
    </row>
    <row r="338" spans="1:20" outlineLevel="1" x14ac:dyDescent="0.35">
      <c r="B338" s="6" t="s">
        <v>800</v>
      </c>
      <c r="C338" s="282" t="s">
        <v>898</v>
      </c>
      <c r="J338" s="191">
        <v>8.5257556615258974</v>
      </c>
      <c r="K338" s="191">
        <v>8.3524882467394814</v>
      </c>
      <c r="L338" s="191">
        <v>7.8224872559451661</v>
      </c>
      <c r="M338" s="4"/>
      <c r="T338" s="282"/>
    </row>
    <row r="339" spans="1:20" outlineLevel="1" x14ac:dyDescent="0.35">
      <c r="B339" s="6" t="s">
        <v>122</v>
      </c>
      <c r="C339" s="282" t="s">
        <v>898</v>
      </c>
      <c r="J339" s="191">
        <v>14.037136134781989</v>
      </c>
      <c r="K339" s="191">
        <v>13.933885626418123</v>
      </c>
      <c r="L339" s="191">
        <v>13.57760344130118</v>
      </c>
      <c r="M339" s="4"/>
      <c r="T339" s="282"/>
    </row>
    <row r="340" spans="1:20" outlineLevel="1" x14ac:dyDescent="0.35">
      <c r="B340" s="6" t="s">
        <v>123</v>
      </c>
      <c r="C340" s="282" t="s">
        <v>898</v>
      </c>
      <c r="J340" s="191">
        <v>2.0807973659826957</v>
      </c>
      <c r="K340" s="191">
        <v>1.7871934348322114</v>
      </c>
      <c r="L340" s="191">
        <v>1.3941400561452164</v>
      </c>
      <c r="M340" s="4"/>
      <c r="T340" s="282"/>
    </row>
    <row r="341" spans="1:20" outlineLevel="1" x14ac:dyDescent="0.35">
      <c r="B341" s="6"/>
      <c r="J341" s="191">
        <v>0</v>
      </c>
      <c r="K341" s="191">
        <v>0</v>
      </c>
      <c r="L341" s="191">
        <v>0</v>
      </c>
      <c r="M341" s="4"/>
      <c r="T341" s="282"/>
    </row>
    <row r="342" spans="1:20" outlineLevel="1" x14ac:dyDescent="0.35">
      <c r="B342" s="6" t="s">
        <v>137</v>
      </c>
      <c r="C342" s="282" t="s">
        <v>898</v>
      </c>
      <c r="J342" s="191">
        <v>27.904866991178878</v>
      </c>
      <c r="K342" s="191">
        <v>27.273661891664375</v>
      </c>
      <c r="L342" s="191">
        <v>25.849872873992368</v>
      </c>
      <c r="M342" s="4"/>
      <c r="T342" s="282"/>
    </row>
    <row r="343" spans="1:20" outlineLevel="1" x14ac:dyDescent="0.35">
      <c r="M343" s="4"/>
      <c r="T343" s="282"/>
    </row>
    <row r="344" spans="1:20" x14ac:dyDescent="0.35">
      <c r="A344" s="170" t="s">
        <v>777</v>
      </c>
      <c r="B344" s="4"/>
      <c r="C344" s="4"/>
      <c r="D344" s="4"/>
      <c r="E344" s="4"/>
      <c r="F344" s="4"/>
      <c r="G344" s="4"/>
      <c r="H344" s="4"/>
      <c r="I344" s="4"/>
      <c r="J344" s="4"/>
      <c r="K344" s="4"/>
      <c r="L344" s="4"/>
      <c r="M344" s="4"/>
      <c r="T344" s="282"/>
    </row>
    <row r="345" spans="1:20" outlineLevel="1" x14ac:dyDescent="0.35">
      <c r="A345" s="15" t="s">
        <v>825</v>
      </c>
      <c r="B345" s="30"/>
      <c r="C345" s="140" t="s">
        <v>180</v>
      </c>
      <c r="J345" s="6" t="s">
        <v>896</v>
      </c>
      <c r="K345" s="6" t="s">
        <v>897</v>
      </c>
      <c r="L345" s="6" t="s">
        <v>895</v>
      </c>
      <c r="M345" s="4"/>
      <c r="T345" s="282"/>
    </row>
    <row r="346" spans="1:20" outlineLevel="1" x14ac:dyDescent="0.35">
      <c r="B346" s="6" t="s">
        <v>117</v>
      </c>
      <c r="C346" s="282" t="s">
        <v>898</v>
      </c>
      <c r="J346" s="191">
        <v>2.2765876848940438</v>
      </c>
      <c r="K346" s="191">
        <v>2.2326216867218416</v>
      </c>
      <c r="L346" s="191">
        <v>2.1092766801158631</v>
      </c>
      <c r="M346" s="4"/>
      <c r="T346" s="282"/>
    </row>
    <row r="347" spans="1:20" outlineLevel="1" x14ac:dyDescent="0.35">
      <c r="B347" s="6" t="s">
        <v>118</v>
      </c>
      <c r="C347" s="282" t="s">
        <v>898</v>
      </c>
      <c r="I347" s="32"/>
      <c r="J347" s="191">
        <v>0.10787070616191249</v>
      </c>
      <c r="K347" s="191">
        <v>0.10677798589336331</v>
      </c>
      <c r="L347" s="191">
        <v>0.10355523296253079</v>
      </c>
      <c r="M347" s="4"/>
      <c r="T347" s="282"/>
    </row>
    <row r="348" spans="1:20" outlineLevel="1" x14ac:dyDescent="0.35">
      <c r="B348" s="6" t="s">
        <v>119</v>
      </c>
      <c r="C348" s="282" t="s">
        <v>898</v>
      </c>
      <c r="H348" s="6"/>
      <c r="J348" s="191">
        <v>3.6508699477274233E-2</v>
      </c>
      <c r="K348" s="191">
        <v>3.3435300554247566E-2</v>
      </c>
      <c r="L348" s="191">
        <v>3.1031697054864849E-2</v>
      </c>
      <c r="M348" s="4"/>
      <c r="T348" s="282"/>
    </row>
    <row r="349" spans="1:20" outlineLevel="1" x14ac:dyDescent="0.35">
      <c r="B349" s="6" t="s">
        <v>120</v>
      </c>
      <c r="C349" s="282" t="s">
        <v>898</v>
      </c>
      <c r="H349" s="6"/>
      <c r="J349" s="191">
        <v>2.1482519099495843E-7</v>
      </c>
      <c r="K349" s="191">
        <v>5.1851441991315782E-4</v>
      </c>
      <c r="L349" s="191">
        <v>4.9152244322832816E-4</v>
      </c>
      <c r="M349" s="4"/>
      <c r="T349" s="282"/>
    </row>
    <row r="350" spans="1:20" outlineLevel="1" x14ac:dyDescent="0.35">
      <c r="B350" s="6" t="s">
        <v>121</v>
      </c>
      <c r="C350" s="282" t="s">
        <v>898</v>
      </c>
      <c r="H350" s="6"/>
      <c r="J350" s="191">
        <v>0.8402105235298708</v>
      </c>
      <c r="K350" s="191">
        <v>0.82674109608520074</v>
      </c>
      <c r="L350" s="191">
        <v>0.81128698802431531</v>
      </c>
      <c r="M350" s="4"/>
      <c r="T350" s="282"/>
    </row>
    <row r="351" spans="1:20" outlineLevel="1" x14ac:dyDescent="0.35">
      <c r="B351" s="6" t="s">
        <v>800</v>
      </c>
      <c r="C351" s="282" t="s">
        <v>898</v>
      </c>
      <c r="J351" s="191">
        <v>8.5257556615258974</v>
      </c>
      <c r="K351" s="191">
        <v>8.3524882467394814</v>
      </c>
      <c r="L351" s="191">
        <v>7.8224872559451661</v>
      </c>
      <c r="M351" s="4"/>
      <c r="T351" s="282"/>
    </row>
    <row r="352" spans="1:20" outlineLevel="1" x14ac:dyDescent="0.35">
      <c r="B352" s="6" t="s">
        <v>122</v>
      </c>
      <c r="C352" s="282" t="s">
        <v>898</v>
      </c>
      <c r="J352" s="191">
        <v>7.0185680673909943</v>
      </c>
      <c r="K352" s="191">
        <v>6.9669428132090614</v>
      </c>
      <c r="L352" s="191">
        <v>6.7888017206505902</v>
      </c>
      <c r="M352" s="4"/>
      <c r="T352" s="282"/>
    </row>
    <row r="353" spans="1:20" outlineLevel="1" x14ac:dyDescent="0.35">
      <c r="B353" s="6" t="s">
        <v>123</v>
      </c>
      <c r="C353" s="282" t="s">
        <v>898</v>
      </c>
      <c r="J353" s="191">
        <v>2.0807973659826957</v>
      </c>
      <c r="K353" s="191">
        <v>1.7871934348322114</v>
      </c>
      <c r="L353" s="191">
        <v>1.3941400561452164</v>
      </c>
      <c r="M353" s="4"/>
      <c r="T353" s="282"/>
    </row>
    <row r="354" spans="1:20" outlineLevel="1" x14ac:dyDescent="0.35">
      <c r="B354" s="6"/>
      <c r="J354" s="191">
        <v>0</v>
      </c>
      <c r="K354" s="191">
        <v>0</v>
      </c>
      <c r="L354" s="191">
        <v>0</v>
      </c>
      <c r="M354" s="4"/>
      <c r="T354" s="282"/>
    </row>
    <row r="355" spans="1:20" outlineLevel="1" x14ac:dyDescent="0.35">
      <c r="B355" s="6" t="s">
        <v>137</v>
      </c>
      <c r="C355" s="282" t="s">
        <v>898</v>
      </c>
      <c r="J355" s="191">
        <v>20.886298923787876</v>
      </c>
      <c r="K355" s="191">
        <v>20.306719078455316</v>
      </c>
      <c r="L355" s="191">
        <v>19.061071153341775</v>
      </c>
      <c r="M355" s="4"/>
      <c r="T355" s="282"/>
    </row>
    <row r="356" spans="1:20" outlineLevel="1" x14ac:dyDescent="0.35">
      <c r="M356" s="4"/>
      <c r="T356" s="282"/>
    </row>
    <row r="357" spans="1:20" outlineLevel="1" x14ac:dyDescent="0.35">
      <c r="A357" s="15" t="s">
        <v>826</v>
      </c>
      <c r="B357" s="30"/>
      <c r="C357" s="140" t="s">
        <v>180</v>
      </c>
      <c r="J357" s="6" t="s">
        <v>896</v>
      </c>
      <c r="K357" s="6" t="s">
        <v>897</v>
      </c>
      <c r="L357" s="6" t="s">
        <v>895</v>
      </c>
      <c r="M357" s="4"/>
      <c r="T357" s="282"/>
    </row>
    <row r="358" spans="1:20" outlineLevel="1" x14ac:dyDescent="0.35">
      <c r="B358" s="6" t="s">
        <v>117</v>
      </c>
      <c r="C358" s="282" t="s">
        <v>898</v>
      </c>
      <c r="J358" s="191">
        <v>2.2765876848940438</v>
      </c>
      <c r="K358" s="191">
        <v>2.2326216867218416</v>
      </c>
      <c r="L358" s="191">
        <v>2.1092766801158631</v>
      </c>
      <c r="M358" s="4"/>
      <c r="T358" s="282"/>
    </row>
    <row r="359" spans="1:20" outlineLevel="1" x14ac:dyDescent="0.35">
      <c r="B359" s="6" t="s">
        <v>118</v>
      </c>
      <c r="C359" s="282" t="s">
        <v>898</v>
      </c>
      <c r="J359" s="191">
        <v>0.10787070616191249</v>
      </c>
      <c r="K359" s="191">
        <v>0.10677798589336331</v>
      </c>
      <c r="L359" s="191">
        <v>0.10355523296253079</v>
      </c>
      <c r="M359" s="4"/>
      <c r="T359" s="282"/>
    </row>
    <row r="360" spans="1:20" outlineLevel="1" x14ac:dyDescent="0.35">
      <c r="B360" s="6" t="s">
        <v>119</v>
      </c>
      <c r="C360" s="282" t="s">
        <v>898</v>
      </c>
      <c r="J360" s="191">
        <v>3.6508699477274233E-2</v>
      </c>
      <c r="K360" s="191">
        <v>3.3435300554247566E-2</v>
      </c>
      <c r="L360" s="191">
        <v>3.1031697054864849E-2</v>
      </c>
      <c r="M360" s="4"/>
      <c r="T360" s="282"/>
    </row>
    <row r="361" spans="1:20" outlineLevel="1" x14ac:dyDescent="0.35">
      <c r="B361" s="6" t="s">
        <v>120</v>
      </c>
      <c r="C361" s="282" t="s">
        <v>898</v>
      </c>
      <c r="J361" s="191">
        <v>2.1482519099495843E-7</v>
      </c>
      <c r="K361" s="191">
        <v>5.1851441991315782E-4</v>
      </c>
      <c r="L361" s="191">
        <v>4.9152244322832816E-4</v>
      </c>
      <c r="M361" s="4"/>
      <c r="T361" s="282"/>
    </row>
    <row r="362" spans="1:20" outlineLevel="1" x14ac:dyDescent="0.35">
      <c r="B362" s="6" t="s">
        <v>121</v>
      </c>
      <c r="C362" s="282" t="s">
        <v>898</v>
      </c>
      <c r="J362" s="191">
        <v>0.8402105235298708</v>
      </c>
      <c r="K362" s="191">
        <v>0.82674109608520074</v>
      </c>
      <c r="L362" s="191">
        <v>0.81128698802431531</v>
      </c>
      <c r="M362" s="4"/>
      <c r="T362" s="282"/>
    </row>
    <row r="363" spans="1:20" outlineLevel="1" x14ac:dyDescent="0.35">
      <c r="B363" s="6" t="s">
        <v>800</v>
      </c>
      <c r="C363" s="282" t="s">
        <v>898</v>
      </c>
      <c r="J363" s="191">
        <v>2.7599024047807847</v>
      </c>
      <c r="K363" s="191">
        <v>2.7118782506358632</v>
      </c>
      <c r="L363" s="191">
        <v>2.5627890192758702</v>
      </c>
      <c r="M363" s="4"/>
      <c r="T363" s="282"/>
    </row>
    <row r="364" spans="1:20" outlineLevel="1" x14ac:dyDescent="0.35">
      <c r="B364" s="6" t="s">
        <v>122</v>
      </c>
      <c r="C364" s="282" t="s">
        <v>898</v>
      </c>
      <c r="J364" s="191">
        <v>7.0185680673909943</v>
      </c>
      <c r="K364" s="191">
        <v>6.9669428132090614</v>
      </c>
      <c r="L364" s="191">
        <v>6.7888017206505902</v>
      </c>
      <c r="M364" s="4"/>
      <c r="T364" s="282"/>
    </row>
    <row r="365" spans="1:20" outlineLevel="1" x14ac:dyDescent="0.35">
      <c r="B365" s="6" t="s">
        <v>123</v>
      </c>
      <c r="C365" s="282" t="s">
        <v>898</v>
      </c>
      <c r="J365" s="191">
        <v>2.0807973659826957</v>
      </c>
      <c r="K365" s="191">
        <v>1.7871934348322114</v>
      </c>
      <c r="L365" s="191">
        <v>1.3941400561452164</v>
      </c>
      <c r="M365" s="4"/>
      <c r="T365" s="282"/>
    </row>
    <row r="366" spans="1:20" outlineLevel="1" x14ac:dyDescent="0.35">
      <c r="B366" s="6"/>
      <c r="J366" s="191">
        <v>0</v>
      </c>
      <c r="K366" s="191">
        <v>0</v>
      </c>
      <c r="L366" s="191">
        <v>0</v>
      </c>
      <c r="M366" s="4"/>
      <c r="T366" s="282"/>
    </row>
    <row r="367" spans="1:20" outlineLevel="1" x14ac:dyDescent="0.35">
      <c r="B367" s="6" t="s">
        <v>137</v>
      </c>
      <c r="C367" s="282" t="s">
        <v>898</v>
      </c>
      <c r="J367" s="191">
        <v>15.12044566704277</v>
      </c>
      <c r="K367" s="191">
        <v>14.666109082351705</v>
      </c>
      <c r="L367" s="191">
        <v>13.801372916672481</v>
      </c>
      <c r="M367" s="4"/>
      <c r="T367" s="282"/>
    </row>
    <row r="368" spans="1:20" outlineLevel="1" x14ac:dyDescent="0.35">
      <c r="M368" s="4"/>
      <c r="T368" s="282"/>
    </row>
    <row r="369" spans="1:20" outlineLevel="1" x14ac:dyDescent="0.35">
      <c r="A369" s="15" t="s">
        <v>827</v>
      </c>
      <c r="B369" s="30"/>
      <c r="C369" s="140" t="s">
        <v>180</v>
      </c>
      <c r="J369" s="6" t="s">
        <v>896</v>
      </c>
      <c r="K369" s="6" t="s">
        <v>897</v>
      </c>
      <c r="L369" s="6" t="s">
        <v>895</v>
      </c>
      <c r="M369" s="4"/>
      <c r="T369" s="282"/>
    </row>
    <row r="370" spans="1:20" outlineLevel="1" x14ac:dyDescent="0.35">
      <c r="B370" s="6" t="s">
        <v>117</v>
      </c>
      <c r="C370" s="282" t="s">
        <v>898</v>
      </c>
      <c r="J370" s="191">
        <v>2.2765876848940438</v>
      </c>
      <c r="K370" s="191">
        <v>2.2326216867218416</v>
      </c>
      <c r="L370" s="191">
        <v>2.1092766801158631</v>
      </c>
      <c r="M370" s="4"/>
      <c r="T370" s="282"/>
    </row>
    <row r="371" spans="1:20" outlineLevel="1" x14ac:dyDescent="0.35">
      <c r="B371" s="6" t="s">
        <v>118</v>
      </c>
      <c r="C371" s="282" t="s">
        <v>898</v>
      </c>
      <c r="J371" s="191">
        <v>0.10787070616191249</v>
      </c>
      <c r="K371" s="191">
        <v>0.10677798589336331</v>
      </c>
      <c r="L371" s="191">
        <v>0.10355523296253079</v>
      </c>
      <c r="M371" s="4"/>
      <c r="T371" s="282"/>
    </row>
    <row r="372" spans="1:20" outlineLevel="1" x14ac:dyDescent="0.35">
      <c r="B372" s="6" t="s">
        <v>119</v>
      </c>
      <c r="C372" s="282" t="s">
        <v>898</v>
      </c>
      <c r="J372" s="191">
        <v>3.6508699477274233E-2</v>
      </c>
      <c r="K372" s="191">
        <v>3.3435300554247566E-2</v>
      </c>
      <c r="L372" s="191">
        <v>3.1031697054864849E-2</v>
      </c>
      <c r="M372" s="4"/>
      <c r="T372" s="282"/>
    </row>
    <row r="373" spans="1:20" outlineLevel="1" x14ac:dyDescent="0.35">
      <c r="B373" s="6" t="s">
        <v>120</v>
      </c>
      <c r="C373" s="282" t="s">
        <v>898</v>
      </c>
      <c r="J373" s="191">
        <v>2.1482519099495843E-7</v>
      </c>
      <c r="K373" s="191">
        <v>5.1851441991315782E-4</v>
      </c>
      <c r="L373" s="191">
        <v>4.9152244322832816E-4</v>
      </c>
      <c r="M373" s="4"/>
      <c r="T373" s="282"/>
    </row>
    <row r="374" spans="1:20" outlineLevel="1" x14ac:dyDescent="0.35">
      <c r="B374" s="6" t="s">
        <v>121</v>
      </c>
      <c r="C374" s="282" t="s">
        <v>898</v>
      </c>
      <c r="J374" s="191">
        <v>0.8402105235298708</v>
      </c>
      <c r="K374" s="191">
        <v>0.82674109608520074</v>
      </c>
      <c r="L374" s="191">
        <v>0.81128698802431531</v>
      </c>
      <c r="M374" s="4"/>
      <c r="T374" s="282"/>
    </row>
    <row r="375" spans="1:20" outlineLevel="1" x14ac:dyDescent="0.35">
      <c r="B375" s="6" t="s">
        <v>800</v>
      </c>
      <c r="C375" s="282" t="s">
        <v>898</v>
      </c>
      <c r="J375" s="191">
        <v>29.075314730909142</v>
      </c>
      <c r="K375" s="191">
        <v>28.419903475349948</v>
      </c>
      <c r="L375" s="191">
        <v>26.432611381464067</v>
      </c>
      <c r="M375" s="4"/>
      <c r="T375" s="282"/>
    </row>
    <row r="376" spans="1:20" outlineLevel="1" x14ac:dyDescent="0.35">
      <c r="B376" s="6" t="s">
        <v>122</v>
      </c>
      <c r="C376" s="282" t="s">
        <v>898</v>
      </c>
      <c r="J376" s="191">
        <v>7.0185680673909943</v>
      </c>
      <c r="K376" s="191">
        <v>6.9669428132090614</v>
      </c>
      <c r="L376" s="191">
        <v>6.7888017206505902</v>
      </c>
      <c r="M376" s="4"/>
      <c r="T376" s="282"/>
    </row>
    <row r="377" spans="1:20" outlineLevel="1" x14ac:dyDescent="0.35">
      <c r="B377" s="6" t="s">
        <v>123</v>
      </c>
      <c r="C377" s="282" t="s">
        <v>898</v>
      </c>
      <c r="J377" s="191">
        <v>2.0807973659826957</v>
      </c>
      <c r="K377" s="191">
        <v>1.7871934348322114</v>
      </c>
      <c r="L377" s="191">
        <v>1.3941400561452164</v>
      </c>
      <c r="M377" s="4"/>
      <c r="T377" s="282"/>
    </row>
    <row r="378" spans="1:20" outlineLevel="1" x14ac:dyDescent="0.35">
      <c r="B378" s="6"/>
      <c r="J378" s="191">
        <v>0</v>
      </c>
      <c r="K378" s="191">
        <v>0</v>
      </c>
      <c r="L378" s="191">
        <v>0</v>
      </c>
      <c r="M378" s="4"/>
      <c r="T378" s="282"/>
    </row>
    <row r="379" spans="1:20" outlineLevel="1" x14ac:dyDescent="0.35">
      <c r="B379" s="6" t="s">
        <v>137</v>
      </c>
      <c r="C379" s="282" t="s">
        <v>898</v>
      </c>
      <c r="J379" s="191">
        <v>41.435857993171119</v>
      </c>
      <c r="K379" s="191">
        <v>40.374134307065788</v>
      </c>
      <c r="L379" s="191">
        <v>37.671195278860658</v>
      </c>
      <c r="M379" s="4"/>
      <c r="T379" s="282"/>
    </row>
    <row r="380" spans="1:20" outlineLevel="1" x14ac:dyDescent="0.35">
      <c r="M380" s="4"/>
      <c r="T380" s="282"/>
    </row>
    <row r="381" spans="1:20" x14ac:dyDescent="0.35">
      <c r="A381" s="170" t="s">
        <v>798</v>
      </c>
      <c r="B381" s="4"/>
      <c r="C381" s="4"/>
      <c r="D381" s="4"/>
      <c r="E381" s="4"/>
      <c r="F381" s="4"/>
      <c r="G381" s="4"/>
      <c r="H381" s="4"/>
      <c r="I381" s="4"/>
      <c r="J381" s="4"/>
      <c r="K381" s="4"/>
      <c r="L381" s="4"/>
      <c r="M381" s="4"/>
      <c r="T381" s="282"/>
    </row>
    <row r="382" spans="1:20" outlineLevel="1" x14ac:dyDescent="0.35">
      <c r="A382" s="15" t="s">
        <v>828</v>
      </c>
      <c r="B382" s="30"/>
      <c r="C382" s="140" t="s">
        <v>180</v>
      </c>
      <c r="J382" s="6" t="s">
        <v>896</v>
      </c>
      <c r="K382" s="6" t="s">
        <v>897</v>
      </c>
      <c r="L382" s="6" t="s">
        <v>895</v>
      </c>
      <c r="M382" s="4"/>
      <c r="T382" s="282"/>
    </row>
    <row r="383" spans="1:20" outlineLevel="1" x14ac:dyDescent="0.35">
      <c r="B383" s="6" t="s">
        <v>117</v>
      </c>
      <c r="C383" s="282" t="s">
        <v>898</v>
      </c>
      <c r="J383" s="191">
        <v>2.2765876848940438</v>
      </c>
      <c r="K383" s="191">
        <v>2.2326216867218416</v>
      </c>
      <c r="L383" s="191">
        <v>2.1092766801158631</v>
      </c>
      <c r="M383" s="4"/>
      <c r="T383" s="282"/>
    </row>
    <row r="384" spans="1:20" outlineLevel="1" x14ac:dyDescent="0.35">
      <c r="B384" s="6" t="s">
        <v>118</v>
      </c>
      <c r="C384" s="282" t="s">
        <v>898</v>
      </c>
      <c r="I384" s="32"/>
      <c r="J384" s="191">
        <v>0.10787070616191249</v>
      </c>
      <c r="K384" s="191">
        <v>0.10677798589336331</v>
      </c>
      <c r="L384" s="191">
        <v>0.10355523296253079</v>
      </c>
      <c r="M384" s="4"/>
      <c r="T384" s="282"/>
    </row>
    <row r="385" spans="1:20" outlineLevel="1" x14ac:dyDescent="0.35">
      <c r="B385" s="6" t="s">
        <v>119</v>
      </c>
      <c r="C385" s="282" t="s">
        <v>898</v>
      </c>
      <c r="H385" s="6"/>
      <c r="J385" s="191">
        <v>3.6508699477274233E-2</v>
      </c>
      <c r="K385" s="191">
        <v>3.3435300554247566E-2</v>
      </c>
      <c r="L385" s="191">
        <v>3.1031697054864849E-2</v>
      </c>
      <c r="M385" s="4"/>
      <c r="T385" s="282"/>
    </row>
    <row r="386" spans="1:20" outlineLevel="1" x14ac:dyDescent="0.35">
      <c r="B386" s="6" t="s">
        <v>120</v>
      </c>
      <c r="C386" s="282" t="s">
        <v>898</v>
      </c>
      <c r="H386" s="6"/>
      <c r="J386" s="191">
        <v>2.1482519099495843E-7</v>
      </c>
      <c r="K386" s="191">
        <v>5.1851441991315782E-4</v>
      </c>
      <c r="L386" s="191">
        <v>4.9152244322832816E-4</v>
      </c>
      <c r="M386" s="4"/>
      <c r="T386" s="282"/>
    </row>
    <row r="387" spans="1:20" outlineLevel="1" x14ac:dyDescent="0.35">
      <c r="B387" s="6" t="s">
        <v>121</v>
      </c>
      <c r="C387" s="282" t="s">
        <v>898</v>
      </c>
      <c r="H387" s="6"/>
      <c r="J387" s="191">
        <v>0.8402105235298708</v>
      </c>
      <c r="K387" s="191">
        <v>0.82674109608520074</v>
      </c>
      <c r="L387" s="191">
        <v>0.81128698802431531</v>
      </c>
      <c r="M387" s="4"/>
      <c r="T387" s="282"/>
    </row>
    <row r="388" spans="1:20" outlineLevel="1" x14ac:dyDescent="0.35">
      <c r="B388" s="6" t="s">
        <v>800</v>
      </c>
      <c r="C388" s="282" t="s">
        <v>898</v>
      </c>
      <c r="J388" s="191">
        <v>8.5257556615258974</v>
      </c>
      <c r="K388" s="191">
        <v>8.3524882467394814</v>
      </c>
      <c r="L388" s="191">
        <v>7.8224872559451661</v>
      </c>
      <c r="M388" s="4"/>
      <c r="T388" s="282"/>
    </row>
    <row r="389" spans="1:20" outlineLevel="1" x14ac:dyDescent="0.35">
      <c r="B389" s="6" t="s">
        <v>122</v>
      </c>
      <c r="C389" s="282" t="s">
        <v>898</v>
      </c>
      <c r="J389" s="191">
        <v>7.0185680673909943</v>
      </c>
      <c r="K389" s="191">
        <v>6.9669428132090614</v>
      </c>
      <c r="L389" s="191">
        <v>6.7888017206505902</v>
      </c>
      <c r="M389" s="4"/>
      <c r="T389" s="282"/>
    </row>
    <row r="390" spans="1:20" outlineLevel="1" x14ac:dyDescent="0.35">
      <c r="B390" s="6" t="s">
        <v>123</v>
      </c>
      <c r="C390" s="282" t="s">
        <v>898</v>
      </c>
      <c r="J390" s="191">
        <v>2.0807973659826957</v>
      </c>
      <c r="K390" s="191">
        <v>1.7871934348322114</v>
      </c>
      <c r="L390" s="191">
        <v>1.3941400561452164</v>
      </c>
      <c r="M390" s="4"/>
      <c r="T390" s="282"/>
    </row>
    <row r="391" spans="1:20" outlineLevel="1" x14ac:dyDescent="0.35">
      <c r="B391" s="6"/>
      <c r="J391" s="191">
        <v>0</v>
      </c>
      <c r="K391" s="191">
        <v>0</v>
      </c>
      <c r="L391" s="191">
        <v>0</v>
      </c>
      <c r="M391" s="4"/>
      <c r="T391" s="282"/>
    </row>
    <row r="392" spans="1:20" outlineLevel="1" x14ac:dyDescent="0.35">
      <c r="B392" s="6" t="s">
        <v>137</v>
      </c>
      <c r="C392" s="282" t="s">
        <v>898</v>
      </c>
      <c r="J392" s="191">
        <v>20.886298923787876</v>
      </c>
      <c r="K392" s="191">
        <v>20.306719078455316</v>
      </c>
      <c r="L392" s="191">
        <v>19.061071153341775</v>
      </c>
      <c r="M392" s="4"/>
      <c r="T392" s="282"/>
    </row>
    <row r="393" spans="1:20" outlineLevel="1" x14ac:dyDescent="0.35">
      <c r="M393" s="4"/>
      <c r="T393" s="282"/>
    </row>
    <row r="394" spans="1:20" outlineLevel="1" x14ac:dyDescent="0.35">
      <c r="A394" s="15" t="s">
        <v>830</v>
      </c>
      <c r="B394" s="30"/>
      <c r="C394" s="140" t="s">
        <v>180</v>
      </c>
      <c r="J394" s="6" t="s">
        <v>896</v>
      </c>
      <c r="K394" s="6" t="s">
        <v>897</v>
      </c>
      <c r="L394" s="6" t="s">
        <v>895</v>
      </c>
      <c r="M394" s="4"/>
      <c r="T394" s="282"/>
    </row>
    <row r="395" spans="1:20" outlineLevel="1" x14ac:dyDescent="0.35">
      <c r="B395" s="6" t="s">
        <v>117</v>
      </c>
      <c r="C395" s="282" t="s">
        <v>898</v>
      </c>
      <c r="J395" s="191">
        <v>2.2765876848940438</v>
      </c>
      <c r="K395" s="191">
        <v>2.2326216867218416</v>
      </c>
      <c r="L395" s="191">
        <v>2.1092766801158631</v>
      </c>
      <c r="M395" s="4"/>
      <c r="T395" s="282"/>
    </row>
    <row r="396" spans="1:20" outlineLevel="1" x14ac:dyDescent="0.35">
      <c r="B396" s="6" t="s">
        <v>118</v>
      </c>
      <c r="C396" s="282" t="s">
        <v>898</v>
      </c>
      <c r="J396" s="191">
        <v>0.10787070616191249</v>
      </c>
      <c r="K396" s="191">
        <v>0.10677798589336331</v>
      </c>
      <c r="L396" s="191">
        <v>0.10355523296253079</v>
      </c>
      <c r="M396" s="4"/>
      <c r="T396" s="282"/>
    </row>
    <row r="397" spans="1:20" outlineLevel="1" x14ac:dyDescent="0.35">
      <c r="B397" s="6" t="s">
        <v>119</v>
      </c>
      <c r="C397" s="282" t="s">
        <v>898</v>
      </c>
      <c r="J397" s="191">
        <v>3.6508699477274233E-2</v>
      </c>
      <c r="K397" s="191">
        <v>3.3435300554247566E-2</v>
      </c>
      <c r="L397" s="191">
        <v>3.1031697054864849E-2</v>
      </c>
      <c r="M397" s="4"/>
      <c r="T397" s="282"/>
    </row>
    <row r="398" spans="1:20" outlineLevel="1" x14ac:dyDescent="0.35">
      <c r="B398" s="6" t="s">
        <v>120</v>
      </c>
      <c r="C398" s="282" t="s">
        <v>898</v>
      </c>
      <c r="J398" s="191">
        <v>2.1482519099495843E-7</v>
      </c>
      <c r="K398" s="191">
        <v>5.1851441991315782E-4</v>
      </c>
      <c r="L398" s="191">
        <v>4.9152244322832816E-4</v>
      </c>
      <c r="M398" s="4"/>
      <c r="T398" s="282"/>
    </row>
    <row r="399" spans="1:20" outlineLevel="1" x14ac:dyDescent="0.35">
      <c r="B399" s="6" t="s">
        <v>121</v>
      </c>
      <c r="C399" s="282" t="s">
        <v>898</v>
      </c>
      <c r="J399" s="191">
        <v>0.8402105235298708</v>
      </c>
      <c r="K399" s="191">
        <v>0.82674109608520074</v>
      </c>
      <c r="L399" s="191">
        <v>0.81128698802431531</v>
      </c>
      <c r="M399" s="4"/>
      <c r="T399" s="282"/>
    </row>
    <row r="400" spans="1:20" outlineLevel="1" x14ac:dyDescent="0.35">
      <c r="B400" s="6" t="s">
        <v>800</v>
      </c>
      <c r="C400" s="282" t="s">
        <v>898</v>
      </c>
      <c r="J400" s="191">
        <v>8.5257556615258974</v>
      </c>
      <c r="K400" s="191">
        <v>8.3524882467394814</v>
      </c>
      <c r="L400" s="191">
        <v>7.8224872559451661</v>
      </c>
      <c r="M400" s="4"/>
      <c r="T400" s="282"/>
    </row>
    <row r="401" spans="1:20" outlineLevel="1" x14ac:dyDescent="0.35">
      <c r="B401" s="6" t="s">
        <v>122</v>
      </c>
      <c r="C401" s="282" t="s">
        <v>898</v>
      </c>
      <c r="J401" s="191">
        <v>7.0185680673909943</v>
      </c>
      <c r="K401" s="191">
        <v>6.9669428132090614</v>
      </c>
      <c r="L401" s="191">
        <v>6.7888017206505902</v>
      </c>
      <c r="M401" s="4"/>
      <c r="T401" s="282"/>
    </row>
    <row r="402" spans="1:20" outlineLevel="1" x14ac:dyDescent="0.35">
      <c r="B402" s="6" t="s">
        <v>123</v>
      </c>
      <c r="C402" s="282" t="s">
        <v>898</v>
      </c>
      <c r="J402" s="191">
        <v>2.0807973659826957</v>
      </c>
      <c r="K402" s="191">
        <v>1.7871934348322114</v>
      </c>
      <c r="L402" s="191">
        <v>1.3941400561452164</v>
      </c>
      <c r="M402" s="4"/>
      <c r="T402" s="282"/>
    </row>
    <row r="403" spans="1:20" outlineLevel="1" x14ac:dyDescent="0.35">
      <c r="B403" s="6"/>
      <c r="J403" s="191">
        <v>0</v>
      </c>
      <c r="K403" s="191">
        <v>0</v>
      </c>
      <c r="L403" s="191">
        <v>0</v>
      </c>
      <c r="M403" s="4"/>
      <c r="T403" s="282"/>
    </row>
    <row r="404" spans="1:20" outlineLevel="1" x14ac:dyDescent="0.35">
      <c r="B404" s="6" t="s">
        <v>137</v>
      </c>
      <c r="C404" s="282" t="s">
        <v>898</v>
      </c>
      <c r="J404" s="191">
        <v>20.886298923787876</v>
      </c>
      <c r="K404" s="191">
        <v>20.306719078455316</v>
      </c>
      <c r="L404" s="191">
        <v>19.061071153341775</v>
      </c>
      <c r="M404" s="4"/>
      <c r="T404" s="282"/>
    </row>
    <row r="405" spans="1:20" outlineLevel="1" x14ac:dyDescent="0.35">
      <c r="M405" s="4"/>
      <c r="T405" s="282"/>
    </row>
    <row r="406" spans="1:20" outlineLevel="1" x14ac:dyDescent="0.35">
      <c r="A406" s="15" t="s">
        <v>829</v>
      </c>
      <c r="B406" s="30"/>
      <c r="C406" s="140" t="s">
        <v>180</v>
      </c>
      <c r="J406" s="6" t="s">
        <v>896</v>
      </c>
      <c r="K406" s="6" t="s">
        <v>897</v>
      </c>
      <c r="L406" s="6" t="s">
        <v>895</v>
      </c>
      <c r="M406" s="4"/>
      <c r="T406" s="282"/>
    </row>
    <row r="407" spans="1:20" outlineLevel="1" x14ac:dyDescent="0.35">
      <c r="B407" s="6" t="s">
        <v>117</v>
      </c>
      <c r="C407" s="282" t="s">
        <v>898</v>
      </c>
      <c r="J407" s="191">
        <v>2.2765876848940438</v>
      </c>
      <c r="K407" s="191">
        <v>2.2326216867218416</v>
      </c>
      <c r="L407" s="191">
        <v>2.1092766801158631</v>
      </c>
      <c r="M407" s="4"/>
      <c r="T407" s="282"/>
    </row>
    <row r="408" spans="1:20" outlineLevel="1" x14ac:dyDescent="0.35">
      <c r="B408" s="6" t="s">
        <v>118</v>
      </c>
      <c r="C408" s="282" t="s">
        <v>898</v>
      </c>
      <c r="J408" s="191">
        <v>0.10787070616191249</v>
      </c>
      <c r="K408" s="191">
        <v>0.10677798589336331</v>
      </c>
      <c r="L408" s="191">
        <v>0.10355523296253079</v>
      </c>
      <c r="M408" s="4"/>
      <c r="T408" s="282"/>
    </row>
    <row r="409" spans="1:20" outlineLevel="1" x14ac:dyDescent="0.35">
      <c r="B409" s="6" t="s">
        <v>119</v>
      </c>
      <c r="C409" s="282" t="s">
        <v>898</v>
      </c>
      <c r="J409" s="191">
        <v>3.6508699477274233E-2</v>
      </c>
      <c r="K409" s="191">
        <v>3.3435300554247566E-2</v>
      </c>
      <c r="L409" s="191">
        <v>3.1031697054864849E-2</v>
      </c>
      <c r="M409" s="4"/>
      <c r="T409" s="282"/>
    </row>
    <row r="410" spans="1:20" outlineLevel="1" x14ac:dyDescent="0.35">
      <c r="B410" s="6" t="s">
        <v>120</v>
      </c>
      <c r="C410" s="282" t="s">
        <v>898</v>
      </c>
      <c r="J410" s="191">
        <v>2.1482519099495843E-7</v>
      </c>
      <c r="K410" s="191">
        <v>5.1851441991315782E-4</v>
      </c>
      <c r="L410" s="191">
        <v>4.9152244322832816E-4</v>
      </c>
      <c r="M410" s="4"/>
      <c r="T410" s="282"/>
    </row>
    <row r="411" spans="1:20" outlineLevel="1" x14ac:dyDescent="0.35">
      <c r="B411" s="6" t="s">
        <v>121</v>
      </c>
      <c r="C411" s="282" t="s">
        <v>898</v>
      </c>
      <c r="J411" s="191">
        <v>0.8402105235298708</v>
      </c>
      <c r="K411" s="191">
        <v>0.82674109608520074</v>
      </c>
      <c r="L411" s="191">
        <v>0.81128698802431531</v>
      </c>
      <c r="M411" s="4"/>
      <c r="T411" s="282"/>
    </row>
    <row r="412" spans="1:20" outlineLevel="1" x14ac:dyDescent="0.35">
      <c r="B412" s="6" t="s">
        <v>800</v>
      </c>
      <c r="C412" s="282" t="s">
        <v>898</v>
      </c>
      <c r="J412" s="191">
        <v>8.5257556615258974</v>
      </c>
      <c r="K412" s="191">
        <v>8.3524882467394814</v>
      </c>
      <c r="L412" s="191">
        <v>7.8224872559451661</v>
      </c>
      <c r="M412" s="4"/>
      <c r="T412" s="282"/>
    </row>
    <row r="413" spans="1:20" outlineLevel="1" x14ac:dyDescent="0.35">
      <c r="B413" s="6" t="s">
        <v>122</v>
      </c>
      <c r="C413" s="282" t="s">
        <v>898</v>
      </c>
      <c r="J413" s="191">
        <v>7.0185680673909943</v>
      </c>
      <c r="K413" s="191">
        <v>6.9669428132090614</v>
      </c>
      <c r="L413" s="191">
        <v>6.7888017206505902</v>
      </c>
      <c r="M413" s="4"/>
      <c r="T413" s="282"/>
    </row>
    <row r="414" spans="1:20" outlineLevel="1" x14ac:dyDescent="0.35">
      <c r="B414" s="6" t="s">
        <v>123</v>
      </c>
      <c r="C414" s="282" t="s">
        <v>898</v>
      </c>
      <c r="J414" s="191">
        <v>2.0807973659826957</v>
      </c>
      <c r="K414" s="191">
        <v>1.7871934348322114</v>
      </c>
      <c r="L414" s="191">
        <v>1.3941400561452164</v>
      </c>
      <c r="M414" s="4"/>
      <c r="T414" s="282"/>
    </row>
    <row r="415" spans="1:20" outlineLevel="1" x14ac:dyDescent="0.35">
      <c r="B415" s="6"/>
      <c r="J415" s="191">
        <v>0</v>
      </c>
      <c r="K415" s="191">
        <v>0</v>
      </c>
      <c r="L415" s="191">
        <v>0</v>
      </c>
      <c r="M415" s="4"/>
      <c r="T415" s="282"/>
    </row>
    <row r="416" spans="1:20" outlineLevel="1" x14ac:dyDescent="0.35">
      <c r="B416" s="6" t="s">
        <v>137</v>
      </c>
      <c r="C416" s="282" t="s">
        <v>898</v>
      </c>
      <c r="J416" s="191">
        <v>20.886298923787876</v>
      </c>
      <c r="K416" s="191">
        <v>20.306719078455316</v>
      </c>
      <c r="L416" s="191">
        <v>19.061071153341775</v>
      </c>
      <c r="M416" s="4"/>
      <c r="T416" s="282"/>
    </row>
    <row r="417" spans="1:54" outlineLevel="1" x14ac:dyDescent="0.35">
      <c r="M417" s="4"/>
      <c r="T417" s="282"/>
    </row>
    <row r="418" spans="1:54" x14ac:dyDescent="0.35">
      <c r="A418" s="170"/>
      <c r="B418" s="4"/>
      <c r="C418" s="4"/>
      <c r="D418" s="4"/>
      <c r="E418" s="4"/>
      <c r="F418" s="4"/>
      <c r="G418" s="4"/>
      <c r="H418" s="4"/>
      <c r="I418" s="4"/>
      <c r="J418" s="4"/>
      <c r="K418" s="4"/>
      <c r="L418" s="4"/>
      <c r="M418" s="4"/>
      <c r="T418" s="282"/>
    </row>
    <row r="419" spans="1:54" s="125" customFormat="1" x14ac:dyDescent="0.35">
      <c r="A419" s="125" t="s">
        <v>901</v>
      </c>
    </row>
    <row r="423" spans="1:54" x14ac:dyDescent="0.35">
      <c r="A423" s="330" t="s">
        <v>150</v>
      </c>
      <c r="B423" s="330"/>
      <c r="C423" s="330"/>
      <c r="D423" s="330"/>
      <c r="F423" s="330" t="s">
        <v>151</v>
      </c>
      <c r="G423" s="330"/>
      <c r="H423" s="330"/>
      <c r="I423" s="330"/>
      <c r="K423" s="330" t="s">
        <v>834</v>
      </c>
      <c r="L423" s="330"/>
      <c r="M423" s="330"/>
      <c r="O423" s="330" t="s">
        <v>835</v>
      </c>
      <c r="P423" s="330"/>
      <c r="Q423" s="330"/>
      <c r="R423" s="330"/>
      <c r="T423" s="330" t="s">
        <v>163</v>
      </c>
      <c r="U423" s="330"/>
      <c r="V423" s="330"/>
      <c r="W423" s="330"/>
      <c r="Y423" s="330" t="s">
        <v>817</v>
      </c>
      <c r="Z423" s="330"/>
      <c r="AA423" s="330"/>
      <c r="AB423" s="330"/>
      <c r="AD423" s="330" t="s">
        <v>836</v>
      </c>
      <c r="AE423" s="330"/>
      <c r="AF423" s="330"/>
      <c r="AH423" s="330" t="s">
        <v>818</v>
      </c>
      <c r="AI423" s="330"/>
      <c r="AJ423" s="330"/>
      <c r="AK423" s="330"/>
      <c r="AL423" s="330"/>
      <c r="AN423" s="330" t="s">
        <v>777</v>
      </c>
      <c r="AO423" s="330"/>
      <c r="AP423" s="330"/>
      <c r="AQ423" s="330"/>
      <c r="AS423" s="330" t="s">
        <v>837</v>
      </c>
      <c r="AT423" s="330"/>
      <c r="AU423" s="330"/>
      <c r="AV423" s="330"/>
      <c r="AX423" s="347"/>
      <c r="AY423" s="347"/>
      <c r="AZ423" s="347"/>
      <c r="BA423" s="347"/>
    </row>
    <row r="425" spans="1:54" x14ac:dyDescent="0.35">
      <c r="A425" s="109"/>
      <c r="B425" s="142">
        <v>0.8</v>
      </c>
      <c r="C425" s="142">
        <v>1</v>
      </c>
      <c r="D425" s="142">
        <v>1.2</v>
      </c>
      <c r="F425" s="109"/>
      <c r="G425" s="288">
        <f>100/150</f>
        <v>0.66666666666666663</v>
      </c>
      <c r="H425" s="142">
        <v>1</v>
      </c>
      <c r="I425" s="142">
        <f>250/150</f>
        <v>1.6666666666666667</v>
      </c>
      <c r="K425" s="109"/>
      <c r="L425" s="142">
        <v>0.8</v>
      </c>
      <c r="M425" s="142">
        <v>1</v>
      </c>
      <c r="O425" s="109"/>
      <c r="P425" s="142">
        <v>0.33</v>
      </c>
      <c r="Q425" s="142">
        <v>1</v>
      </c>
      <c r="R425" s="142">
        <v>1.67</v>
      </c>
      <c r="T425" s="144"/>
      <c r="U425" s="142">
        <v>0.5</v>
      </c>
      <c r="V425" s="142">
        <v>1</v>
      </c>
      <c r="W425" s="142">
        <v>1.5</v>
      </c>
      <c r="Y425" s="109"/>
      <c r="Z425" s="142">
        <v>1</v>
      </c>
      <c r="AA425" s="142">
        <v>1.5</v>
      </c>
      <c r="AB425" s="142">
        <v>2</v>
      </c>
      <c r="AD425" s="109"/>
      <c r="AE425" s="109" t="s">
        <v>417</v>
      </c>
      <c r="AF425" s="109" t="s">
        <v>814</v>
      </c>
      <c r="AH425" s="109"/>
      <c r="AI425" s="109">
        <v>0</v>
      </c>
      <c r="AJ425" s="109">
        <v>0.5</v>
      </c>
      <c r="AK425" s="109">
        <v>1</v>
      </c>
      <c r="AL425" s="109">
        <v>1.5</v>
      </c>
      <c r="AN425" s="109"/>
      <c r="AO425" s="109">
        <v>0.5</v>
      </c>
      <c r="AP425" s="109">
        <v>1</v>
      </c>
      <c r="AQ425" s="109">
        <v>2</v>
      </c>
      <c r="AS425" s="109"/>
      <c r="AT425" s="109">
        <v>0.5</v>
      </c>
      <c r="AU425" s="109">
        <v>1</v>
      </c>
      <c r="AV425" s="109">
        <v>2</v>
      </c>
    </row>
    <row r="426" spans="1:54" x14ac:dyDescent="0.35">
      <c r="A426" s="126" t="s">
        <v>889</v>
      </c>
      <c r="B426" s="126">
        <f>D35</f>
        <v>30.111180650536426</v>
      </c>
      <c r="C426" s="126">
        <f>D23</f>
        <v>30.367860430071847</v>
      </c>
      <c r="D426" s="126">
        <f>D47</f>
        <v>30.624540209607265</v>
      </c>
      <c r="F426" s="126" t="s">
        <v>889</v>
      </c>
      <c r="G426" s="289">
        <f>D72</f>
        <v>21.506674128522803</v>
      </c>
      <c r="H426" s="126">
        <f>D60</f>
        <v>30.367860430071847</v>
      </c>
      <c r="I426" s="126">
        <f>D84</f>
        <v>48.090233033169916</v>
      </c>
      <c r="K426" s="126" t="s">
        <v>889</v>
      </c>
      <c r="L426" s="277">
        <f>D145</f>
        <v>37.959825537589808</v>
      </c>
      <c r="M426" s="277">
        <f>D121</f>
        <v>30.367860430071843</v>
      </c>
      <c r="O426" s="126" t="s">
        <v>889</v>
      </c>
      <c r="P426" s="126">
        <f>D219</f>
        <v>31.114699186177241</v>
      </c>
      <c r="Q426" s="126">
        <f>D207</f>
        <v>30.367860430071847</v>
      </c>
      <c r="R426" s="126">
        <f>D231</f>
        <v>30.18151962548912</v>
      </c>
      <c r="T426" s="289" t="s">
        <v>889</v>
      </c>
      <c r="U426" s="126">
        <f>D182</f>
        <v>60.735720860143687</v>
      </c>
      <c r="V426" s="126">
        <f>D170</f>
        <v>30.367860430071843</v>
      </c>
      <c r="W426" s="126">
        <f>D194</f>
        <v>20.245240286714562</v>
      </c>
      <c r="Y426" s="126" t="s">
        <v>889</v>
      </c>
      <c r="Z426" s="126"/>
      <c r="AA426" s="126"/>
      <c r="AB426" s="109"/>
      <c r="AD426" s="126" t="s">
        <v>889</v>
      </c>
      <c r="AE426" s="126">
        <f>D244</f>
        <v>30.367860430071843</v>
      </c>
      <c r="AF426" s="126">
        <f>D256</f>
        <v>31.057666529236052</v>
      </c>
      <c r="AH426" s="109"/>
      <c r="AI426" s="109"/>
      <c r="AJ426" s="109"/>
      <c r="AK426" s="109"/>
      <c r="AL426" s="109"/>
      <c r="AN426" s="109"/>
      <c r="AO426" s="109"/>
      <c r="AP426" s="109"/>
      <c r="AQ426" s="109"/>
      <c r="AS426" s="109"/>
      <c r="AT426" s="109"/>
      <c r="AU426" s="109"/>
      <c r="AV426" s="109"/>
    </row>
    <row r="427" spans="1:54" x14ac:dyDescent="0.35">
      <c r="A427" s="126" t="s">
        <v>891</v>
      </c>
      <c r="B427" s="126">
        <f>E35</f>
        <v>25.893476315027982</v>
      </c>
      <c r="C427" s="126">
        <f>E23</f>
        <v>26.145283266381348</v>
      </c>
      <c r="D427" s="126">
        <f>E47</f>
        <v>26.397090217734728</v>
      </c>
      <c r="F427" s="126" t="s">
        <v>891</v>
      </c>
      <c r="G427" s="289">
        <f>E72</f>
        <v>18.583388424134796</v>
      </c>
      <c r="H427" s="126">
        <f>E60</f>
        <v>26.145283266381348</v>
      </c>
      <c r="I427" s="126">
        <f>E84</f>
        <v>41.269072950874474</v>
      </c>
      <c r="K427" s="126" t="s">
        <v>891</v>
      </c>
      <c r="L427" s="277">
        <f>E145</f>
        <v>32.681604082976698</v>
      </c>
      <c r="M427" s="277">
        <f>E121</f>
        <v>26.145283266381355</v>
      </c>
      <c r="O427" s="126" t="s">
        <v>891</v>
      </c>
      <c r="P427" s="126">
        <f>E219</f>
        <v>26.880256312678007</v>
      </c>
      <c r="Q427" s="126">
        <f>E207</f>
        <v>26.145283266381348</v>
      </c>
      <c r="R427" s="126">
        <f>E231</f>
        <v>25.962362136880756</v>
      </c>
      <c r="T427" s="289" t="s">
        <v>891</v>
      </c>
      <c r="U427" s="126">
        <f>E182</f>
        <v>52.29056653276271</v>
      </c>
      <c r="V427" s="126">
        <f>E170</f>
        <v>26.145283266381355</v>
      </c>
      <c r="W427" s="126">
        <f>E194</f>
        <v>17.430188844254236</v>
      </c>
      <c r="Y427" s="126" t="s">
        <v>891</v>
      </c>
      <c r="Z427" s="126"/>
      <c r="AA427" s="126"/>
      <c r="AB427" s="109"/>
      <c r="AD427" s="126" t="s">
        <v>891</v>
      </c>
      <c r="AE427" s="126">
        <f>E244</f>
        <v>26.145283266381355</v>
      </c>
      <c r="AF427" s="126">
        <f>E256</f>
        <v>26.824200619817713</v>
      </c>
      <c r="AH427" s="109"/>
      <c r="AI427" s="109"/>
      <c r="AJ427" s="109"/>
      <c r="AK427" s="109"/>
      <c r="AL427" s="109"/>
      <c r="AN427" s="109"/>
      <c r="AO427" s="109"/>
      <c r="AP427" s="109"/>
      <c r="AQ427" s="109"/>
      <c r="AS427" s="109"/>
      <c r="AT427" s="109"/>
      <c r="AU427" s="109"/>
      <c r="AV427" s="109"/>
    </row>
    <row r="428" spans="1:54" x14ac:dyDescent="0.35">
      <c r="A428" s="126" t="s">
        <v>890</v>
      </c>
      <c r="B428" s="126">
        <f>F35</f>
        <v>20.305191179766805</v>
      </c>
      <c r="C428" s="126">
        <f>F23</f>
        <v>20.543658073047776</v>
      </c>
      <c r="D428" s="126">
        <f>F47</f>
        <v>20.782124966328755</v>
      </c>
      <c r="F428" s="126" t="s">
        <v>890</v>
      </c>
      <c r="G428" s="289">
        <f>F72</f>
        <v>14.693144720885938</v>
      </c>
      <c r="H428" s="126">
        <f>F60</f>
        <v>20.543658073047776</v>
      </c>
      <c r="I428" s="126">
        <f>F84</f>
        <v>32.244684777371468</v>
      </c>
      <c r="K428" s="126" t="s">
        <v>890</v>
      </c>
      <c r="L428" s="277">
        <f>F145</f>
        <v>25.679572591309721</v>
      </c>
      <c r="M428" s="277">
        <f>F121</f>
        <v>20.54365807304778</v>
      </c>
      <c r="O428" s="126" t="s">
        <v>890</v>
      </c>
      <c r="P428" s="126">
        <f>F219</f>
        <v>21.264793435746927</v>
      </c>
      <c r="Q428" s="126">
        <f>F207</f>
        <v>20.543658073047776</v>
      </c>
      <c r="R428" s="126">
        <f>F231</f>
        <v>20.36380410389172</v>
      </c>
      <c r="T428" s="289" t="s">
        <v>890</v>
      </c>
      <c r="U428" s="126">
        <f>F182</f>
        <v>41.08731614609556</v>
      </c>
      <c r="V428" s="126">
        <f>F170</f>
        <v>20.54365807304778</v>
      </c>
      <c r="W428" s="126">
        <f>F194</f>
        <v>13.695772048698519</v>
      </c>
      <c r="Y428" s="126" t="s">
        <v>890</v>
      </c>
      <c r="Z428" s="126"/>
      <c r="AA428" s="126"/>
      <c r="AB428" s="109"/>
      <c r="AD428" s="126" t="s">
        <v>890</v>
      </c>
      <c r="AE428" s="126">
        <f>F244</f>
        <v>20.54365807304778</v>
      </c>
      <c r="AF428" s="126">
        <f>F256</f>
        <v>21.208920771772679</v>
      </c>
      <c r="AH428" s="109"/>
      <c r="AI428" s="109"/>
      <c r="AJ428" s="109"/>
      <c r="AK428" s="109"/>
      <c r="AL428" s="109"/>
      <c r="AN428" s="109"/>
      <c r="AO428" s="109"/>
      <c r="AP428" s="109"/>
      <c r="AQ428" s="109"/>
      <c r="AS428" s="109"/>
      <c r="AT428" s="109"/>
      <c r="AU428" s="109"/>
      <c r="AV428" s="109"/>
    </row>
    <row r="429" spans="1:54" x14ac:dyDescent="0.35">
      <c r="A429" s="126" t="s">
        <v>892</v>
      </c>
      <c r="B429" s="126">
        <f>G35</f>
        <v>24.458903745670668</v>
      </c>
      <c r="C429" s="126">
        <f>G23</f>
        <v>24.715690894836545</v>
      </c>
      <c r="D429" s="126">
        <f>G47</f>
        <v>24.972478044002425</v>
      </c>
      <c r="F429" s="126" t="s">
        <v>892</v>
      </c>
      <c r="G429" s="289">
        <f>G72</f>
        <v>17.738740054416706</v>
      </c>
      <c r="H429" s="126">
        <f>G60</f>
        <v>24.715690894836545</v>
      </c>
      <c r="I429" s="126">
        <f>G84</f>
        <v>38.669592575676226</v>
      </c>
      <c r="K429" s="126" t="s">
        <v>892</v>
      </c>
      <c r="L429" s="277">
        <f>G145</f>
        <v>30.89461361854568</v>
      </c>
      <c r="M429" s="277">
        <f>G121</f>
        <v>24.715690894836545</v>
      </c>
      <c r="O429" s="126" t="s">
        <v>892</v>
      </c>
      <c r="P429" s="126">
        <f>G219</f>
        <v>25.462529650941942</v>
      </c>
      <c r="Q429" s="126">
        <f>G207</f>
        <v>24.715690894836545</v>
      </c>
      <c r="R429" s="126">
        <f>G231</f>
        <v>24.529350090253821</v>
      </c>
      <c r="T429" s="289" t="s">
        <v>892</v>
      </c>
      <c r="U429" s="126">
        <f>G182</f>
        <v>49.43138178967309</v>
      </c>
      <c r="V429" s="126">
        <f>G170</f>
        <v>24.715690894836545</v>
      </c>
      <c r="W429" s="126">
        <f>G194</f>
        <v>16.477127263224364</v>
      </c>
      <c r="Y429" s="126" t="s">
        <v>892</v>
      </c>
      <c r="Z429" s="126">
        <f>G269</f>
        <v>24.715690894836545</v>
      </c>
      <c r="AA429" s="126">
        <f>G281</f>
        <v>21.971856975787368</v>
      </c>
      <c r="AB429" s="126">
        <f>G293</f>
        <v>19.685328709913058</v>
      </c>
      <c r="AD429" s="126" t="s">
        <v>892</v>
      </c>
      <c r="AE429" s="126">
        <f>G244</f>
        <v>24.715690894836545</v>
      </c>
      <c r="AF429" s="126">
        <f>G256</f>
        <v>25.405496994000753</v>
      </c>
      <c r="AH429" s="109"/>
      <c r="AI429" s="109"/>
      <c r="AJ429" s="109"/>
      <c r="AK429" s="109"/>
      <c r="AL429" s="109"/>
      <c r="AN429" s="109"/>
      <c r="AO429" s="109"/>
      <c r="AP429" s="109"/>
      <c r="AQ429" s="109"/>
      <c r="AS429" s="109"/>
      <c r="AT429" s="109"/>
      <c r="AU429" s="109"/>
      <c r="AV429" s="109"/>
    </row>
    <row r="430" spans="1:54" x14ac:dyDescent="0.35">
      <c r="A430" s="126" t="s">
        <v>893</v>
      </c>
      <c r="B430" s="126">
        <f>H35</f>
        <v>21.161973601907114</v>
      </c>
      <c r="C430" s="126">
        <f>H23</f>
        <v>21.413780553260484</v>
      </c>
      <c r="D430" s="126">
        <f>H47</f>
        <v>21.66558750461386</v>
      </c>
      <c r="F430" s="126" t="s">
        <v>893</v>
      </c>
      <c r="G430" s="289">
        <f>H72</f>
        <v>15.429053282054218</v>
      </c>
      <c r="H430" s="126">
        <f>H60</f>
        <v>21.413780553260484</v>
      </c>
      <c r="I430" s="126">
        <f>H84</f>
        <v>33.383235095673029</v>
      </c>
      <c r="K430" s="126" t="s">
        <v>893</v>
      </c>
      <c r="L430" s="277">
        <f>H145</f>
        <v>26.767225691575611</v>
      </c>
      <c r="M430" s="277">
        <f>H121</f>
        <v>21.413780553260487</v>
      </c>
      <c r="O430" s="126" t="s">
        <v>893</v>
      </c>
      <c r="P430" s="126">
        <f>H219</f>
        <v>22.148753599557139</v>
      </c>
      <c r="Q430" s="126">
        <f>H207</f>
        <v>21.413780553260484</v>
      </c>
      <c r="R430" s="126">
        <f>H231</f>
        <v>21.230859423759888</v>
      </c>
      <c r="T430" s="289" t="s">
        <v>893</v>
      </c>
      <c r="U430" s="126">
        <f>H182</f>
        <v>42.827561106520974</v>
      </c>
      <c r="V430" s="126">
        <f>H170</f>
        <v>21.413780553260487</v>
      </c>
      <c r="W430" s="126">
        <f>H194</f>
        <v>14.275853702173658</v>
      </c>
      <c r="Y430" s="126" t="s">
        <v>893</v>
      </c>
      <c r="Z430" s="126">
        <f>H269</f>
        <v>21.413780553260487</v>
      </c>
      <c r="AA430" s="126">
        <f>H281</f>
        <v>19.13003234432097</v>
      </c>
      <c r="AB430" s="126">
        <f>H293</f>
        <v>17.226908836871377</v>
      </c>
      <c r="AD430" s="126" t="s">
        <v>893</v>
      </c>
      <c r="AE430" s="126">
        <f>H244</f>
        <v>21.413780553260487</v>
      </c>
      <c r="AF430" s="126">
        <f>H256</f>
        <v>22.092697906696845</v>
      </c>
      <c r="AH430" s="109"/>
      <c r="AI430" s="109"/>
      <c r="AJ430" s="109"/>
      <c r="AK430" s="109"/>
      <c r="AL430" s="109"/>
      <c r="AN430" s="109"/>
      <c r="AO430" s="109"/>
      <c r="AP430" s="109"/>
      <c r="AQ430" s="109"/>
      <c r="AS430" s="109"/>
      <c r="AT430" s="109"/>
      <c r="AU430" s="109"/>
      <c r="AV430" s="109"/>
    </row>
    <row r="431" spans="1:54" s="37" customFormat="1" x14ac:dyDescent="0.35">
      <c r="A431" s="126" t="s">
        <v>894</v>
      </c>
      <c r="B431" s="292">
        <f>I35</f>
        <v>16.774082347289976</v>
      </c>
      <c r="C431" s="292">
        <f>I23</f>
        <v>17.012549240570952</v>
      </c>
      <c r="D431" s="292">
        <f>I47</f>
        <v>17.251016133851927</v>
      </c>
      <c r="F431" s="292" t="s">
        <v>894</v>
      </c>
      <c r="G431" s="293">
        <f>I72</f>
        <v>12.339072165901387</v>
      </c>
      <c r="H431" s="293">
        <f>I60</f>
        <v>17.012549240570952</v>
      </c>
      <c r="I431" s="293">
        <f>I84</f>
        <v>26.359503389910081</v>
      </c>
      <c r="K431" s="292" t="s">
        <v>894</v>
      </c>
      <c r="L431" s="294">
        <f>I145</f>
        <v>21.265686550713692</v>
      </c>
      <c r="M431" s="294">
        <f>I121</f>
        <v>17.012549240570952</v>
      </c>
      <c r="O431" s="292" t="s">
        <v>894</v>
      </c>
      <c r="P431" s="292">
        <f>I219</f>
        <v>17.733684603270103</v>
      </c>
      <c r="Q431" s="292">
        <f>I207</f>
        <v>17.012549240570952</v>
      </c>
      <c r="R431" s="292">
        <f>I231</f>
        <v>16.832695271414895</v>
      </c>
      <c r="T431" s="293" t="s">
        <v>894</v>
      </c>
      <c r="U431" s="292">
        <f>I182</f>
        <v>34.025098481141903</v>
      </c>
      <c r="V431" s="292">
        <f>I170</f>
        <v>17.012549240570952</v>
      </c>
      <c r="W431" s="292">
        <f>I194</f>
        <v>11.341699493713968</v>
      </c>
      <c r="Y431" s="292" t="s">
        <v>894</v>
      </c>
      <c r="Z431" s="292">
        <f>I269</f>
        <v>17.012549240570952</v>
      </c>
      <c r="AA431" s="292">
        <f>I281</f>
        <v>15.328702532953917</v>
      </c>
      <c r="AB431" s="292">
        <f>I293</f>
        <v>13.925496943273059</v>
      </c>
      <c r="AD431" s="292" t="s">
        <v>894</v>
      </c>
      <c r="AE431" s="292">
        <f>I244</f>
        <v>17.012549240570952</v>
      </c>
      <c r="AF431" s="292">
        <f>I256</f>
        <v>17.677811939295854</v>
      </c>
      <c r="AH431" s="295"/>
      <c r="AI431" s="295"/>
      <c r="AJ431" s="295"/>
      <c r="AK431" s="295"/>
      <c r="AL431" s="295"/>
      <c r="AN431" s="295"/>
      <c r="AO431" s="295"/>
      <c r="AP431" s="295"/>
      <c r="AQ431" s="295"/>
      <c r="AS431" s="295"/>
      <c r="AT431" s="295"/>
      <c r="AU431" s="295"/>
      <c r="AV431" s="295"/>
      <c r="AX431" s="282"/>
      <c r="AY431" s="282"/>
      <c r="AZ431" s="282"/>
      <c r="BA431" s="282"/>
      <c r="BB431" s="282"/>
    </row>
    <row r="432" spans="1:54" s="37" customFormat="1" x14ac:dyDescent="0.35">
      <c r="A432" s="292" t="s">
        <v>896</v>
      </c>
      <c r="B432" s="292">
        <f>J35</f>
        <v>20.217406303048012</v>
      </c>
      <c r="C432" s="292">
        <f>J23</f>
        <v>20.701599764119692</v>
      </c>
      <c r="D432" s="292">
        <f>J47</f>
        <v>21.185793225191382</v>
      </c>
      <c r="F432" s="292" t="s">
        <v>896</v>
      </c>
      <c r="G432" s="292">
        <f>J72</f>
        <v>18.423643461545428</v>
      </c>
      <c r="H432" s="292">
        <f>J60</f>
        <v>20.701599764119692</v>
      </c>
      <c r="I432" s="292">
        <f>J84</f>
        <v>25.257512369268241</v>
      </c>
      <c r="K432" s="292" t="s">
        <v>896</v>
      </c>
      <c r="L432" s="294">
        <f>J145</f>
        <v>25.876999705149618</v>
      </c>
      <c r="M432" s="294">
        <f>J121</f>
        <v>20.701599764119699</v>
      </c>
      <c r="O432" s="292" t="s">
        <v>896</v>
      </c>
      <c r="P432" s="292">
        <f>J219</f>
        <v>21.028333258460158</v>
      </c>
      <c r="Q432" s="292">
        <f>J207</f>
        <v>20.701599764119692</v>
      </c>
      <c r="R432" s="292">
        <f>J231</f>
        <v>20.095153697772037</v>
      </c>
      <c r="T432" s="293" t="s">
        <v>896</v>
      </c>
      <c r="U432" s="292">
        <f>J182</f>
        <v>41.403199528239398</v>
      </c>
      <c r="V432" s="292">
        <f>J170</f>
        <v>20.701599764119699</v>
      </c>
      <c r="W432" s="292">
        <f>J194</f>
        <v>13.801066509413133</v>
      </c>
      <c r="Y432" s="292" t="s">
        <v>896</v>
      </c>
      <c r="Z432" s="292"/>
      <c r="AA432" s="292"/>
      <c r="AB432" s="295"/>
      <c r="AD432" s="292" t="s">
        <v>896</v>
      </c>
      <c r="AE432" s="292">
        <f>J244</f>
        <v>20.701599764119699</v>
      </c>
      <c r="AF432" s="292">
        <f>J256</f>
        <v>22.081211962448116</v>
      </c>
      <c r="AH432" s="295" t="s">
        <v>896</v>
      </c>
      <c r="AI432" s="277">
        <f>J318</f>
        <v>17.377014890092383</v>
      </c>
      <c r="AJ432" s="277">
        <f>J330</f>
        <v>18.546776234657557</v>
      </c>
      <c r="AK432" s="277">
        <f>J306</f>
        <v>20.886298923787876</v>
      </c>
      <c r="AL432" s="277">
        <f>J342</f>
        <v>27.904866991178878</v>
      </c>
      <c r="AN432" s="295" t="s">
        <v>896</v>
      </c>
      <c r="AO432" s="1">
        <f>J367</f>
        <v>15.12044566704277</v>
      </c>
      <c r="AP432" s="1">
        <f>J355</f>
        <v>20.886298923787876</v>
      </c>
      <c r="AQ432" s="191">
        <f>J379</f>
        <v>41.435857993171119</v>
      </c>
      <c r="AS432" s="295" t="s">
        <v>896</v>
      </c>
      <c r="AT432" s="1">
        <f>J404</f>
        <v>20.886298923787876</v>
      </c>
      <c r="AU432" s="1">
        <f>J392</f>
        <v>20.886298923787876</v>
      </c>
      <c r="AV432" s="191">
        <f>J416</f>
        <v>20.886298923787876</v>
      </c>
      <c r="AX432" s="282"/>
      <c r="AY432" s="282"/>
      <c r="AZ432" s="282"/>
      <c r="BA432" s="282"/>
      <c r="BB432" s="282"/>
    </row>
    <row r="433" spans="1:54" s="37" customFormat="1" x14ac:dyDescent="0.35">
      <c r="A433" s="292" t="s">
        <v>897</v>
      </c>
      <c r="B433" s="292">
        <f>K35</f>
        <v>19.648707780589842</v>
      </c>
      <c r="C433" s="292">
        <f>K23</f>
        <v>20.123378478107711</v>
      </c>
      <c r="D433" s="292">
        <f>K47</f>
        <v>20.598049175625587</v>
      </c>
      <c r="F433" s="292" t="s">
        <v>897</v>
      </c>
      <c r="G433" s="292">
        <f>K72</f>
        <v>17.862177740487226</v>
      </c>
      <c r="H433" s="292">
        <f>K60</f>
        <v>20.123378478107711</v>
      </c>
      <c r="I433" s="293">
        <f>K84</f>
        <v>24.645779953348679</v>
      </c>
      <c r="K433" s="292" t="s">
        <v>897</v>
      </c>
      <c r="L433" s="294">
        <f>K145</f>
        <v>25.154223097634642</v>
      </c>
      <c r="M433" s="294">
        <f>K121</f>
        <v>20.123378478107714</v>
      </c>
      <c r="O433" s="292" t="s">
        <v>897</v>
      </c>
      <c r="P433" s="292">
        <f>K219</f>
        <v>20.444980976361762</v>
      </c>
      <c r="Q433" s="292">
        <f>K207</f>
        <v>20.123378478107711</v>
      </c>
      <c r="R433" s="292">
        <f>K231</f>
        <v>19.527086800564515</v>
      </c>
      <c r="T433" s="293" t="s">
        <v>897</v>
      </c>
      <c r="U433" s="292">
        <f>K182</f>
        <v>40.246756956215428</v>
      </c>
      <c r="V433" s="292">
        <f>K170</f>
        <v>20.123378478107714</v>
      </c>
      <c r="W433" s="292">
        <f>K194</f>
        <v>13.415585652071808</v>
      </c>
      <c r="Y433" s="292" t="s">
        <v>897</v>
      </c>
      <c r="Z433" s="292"/>
      <c r="AA433" s="292"/>
      <c r="AB433" s="295"/>
      <c r="AD433" s="292" t="s">
        <v>897</v>
      </c>
      <c r="AE433" s="292">
        <f>K244</f>
        <v>20.123378478107714</v>
      </c>
      <c r="AF433" s="292">
        <f>K256</f>
        <v>21.48121318498043</v>
      </c>
      <c r="AH433" s="295" t="s">
        <v>897</v>
      </c>
      <c r="AI433" s="277">
        <f>K318</f>
        <v>16.823247671850787</v>
      </c>
      <c r="AJ433" s="277">
        <f>K330</f>
        <v>17.984404807385634</v>
      </c>
      <c r="AK433" s="277">
        <f>K306</f>
        <v>20.306719078455316</v>
      </c>
      <c r="AL433" s="277">
        <f>K342</f>
        <v>27.273661891664375</v>
      </c>
      <c r="AN433" s="295" t="s">
        <v>897</v>
      </c>
      <c r="AO433" s="1">
        <f>K367</f>
        <v>14.666109082351705</v>
      </c>
      <c r="AP433" s="1">
        <f>K355</f>
        <v>20.306719078455316</v>
      </c>
      <c r="AQ433" s="191">
        <f>K379</f>
        <v>40.374134307065788</v>
      </c>
      <c r="AS433" s="295" t="s">
        <v>897</v>
      </c>
      <c r="AT433" s="1">
        <f>K404</f>
        <v>20.306719078455316</v>
      </c>
      <c r="AU433" s="1">
        <f>K392</f>
        <v>20.306719078455316</v>
      </c>
      <c r="AV433" s="191">
        <f>K416</f>
        <v>20.306719078455316</v>
      </c>
      <c r="AX433" s="282"/>
      <c r="AY433" s="282"/>
      <c r="AZ433" s="282"/>
      <c r="BA433" s="282"/>
      <c r="BB433" s="282"/>
    </row>
    <row r="434" spans="1:54" s="37" customFormat="1" x14ac:dyDescent="0.35">
      <c r="A434" s="292" t="s">
        <v>895</v>
      </c>
      <c r="B434" s="292">
        <f>L35</f>
        <v>18.43354744996725</v>
      </c>
      <c r="C434" s="292">
        <f>L23</f>
        <v>18.882418476482552</v>
      </c>
      <c r="D434" s="292">
        <f>L47</f>
        <v>19.331289502997844</v>
      </c>
      <c r="F434" s="292" t="s">
        <v>895</v>
      </c>
      <c r="G434" s="292">
        <f>L72</f>
        <v>16.679035461885427</v>
      </c>
      <c r="H434" s="292">
        <f>L60</f>
        <v>18.882418476482552</v>
      </c>
      <c r="I434" s="293">
        <f>L84</f>
        <v>23.28918450567679</v>
      </c>
      <c r="K434" s="292" t="s">
        <v>895</v>
      </c>
      <c r="L434" s="294">
        <f>L145</f>
        <v>23.603023095603184</v>
      </c>
      <c r="M434" s="294">
        <f>L121</f>
        <v>18.882418476482549</v>
      </c>
      <c r="O434" s="292" t="s">
        <v>895</v>
      </c>
      <c r="P434" s="292">
        <f>L219</f>
        <v>19.197910345169539</v>
      </c>
      <c r="Q434" s="292">
        <f>L207</f>
        <v>18.882418476482552</v>
      </c>
      <c r="R434" s="292">
        <f>L231</f>
        <v>18.296921013314332</v>
      </c>
      <c r="T434" s="293" t="s">
        <v>895</v>
      </c>
      <c r="U434" s="292">
        <f>L182</f>
        <v>37.764836952965098</v>
      </c>
      <c r="V434" s="292">
        <f>L170</f>
        <v>18.882418476482549</v>
      </c>
      <c r="W434" s="292">
        <f>L194</f>
        <v>12.588278984321699</v>
      </c>
      <c r="Y434" s="292" t="s">
        <v>895</v>
      </c>
      <c r="Z434" s="292"/>
      <c r="AA434" s="292"/>
      <c r="AB434" s="295"/>
      <c r="AD434" s="292" t="s">
        <v>895</v>
      </c>
      <c r="AE434" s="292">
        <f>L244</f>
        <v>18.882418476482549</v>
      </c>
      <c r="AF434" s="292">
        <f>L256</f>
        <v>20.21294387393235</v>
      </c>
      <c r="AH434" s="295" t="s">
        <v>895</v>
      </c>
      <c r="AI434" s="277">
        <f>L318</f>
        <v>15.666670293016484</v>
      </c>
      <c r="AJ434" s="277">
        <f>L330</f>
        <v>16.798137246458246</v>
      </c>
      <c r="AK434" s="277">
        <f>L306</f>
        <v>19.061071153341775</v>
      </c>
      <c r="AL434" s="277">
        <f>L342</f>
        <v>25.849872873992368</v>
      </c>
      <c r="AN434" s="295" t="s">
        <v>895</v>
      </c>
      <c r="AO434" s="1">
        <f>L367</f>
        <v>13.801372916672481</v>
      </c>
      <c r="AP434" s="1">
        <f>L355</f>
        <v>19.061071153341775</v>
      </c>
      <c r="AQ434" s="191">
        <f>L379</f>
        <v>37.671195278860658</v>
      </c>
      <c r="AS434" s="295" t="s">
        <v>895</v>
      </c>
      <c r="AT434" s="1">
        <f>L404</f>
        <v>19.061071153341775</v>
      </c>
      <c r="AU434" s="1">
        <f>L392</f>
        <v>19.061071153341775</v>
      </c>
      <c r="AV434" s="191">
        <f>L416</f>
        <v>19.061071153341775</v>
      </c>
      <c r="AX434" s="282"/>
      <c r="AY434" s="282"/>
      <c r="AZ434" s="282"/>
      <c r="BA434" s="282"/>
      <c r="BB434" s="282"/>
    </row>
    <row r="438" spans="1:54" ht="15.5" x14ac:dyDescent="0.35">
      <c r="A438" s="51"/>
      <c r="B438" s="4"/>
      <c r="C438" s="4"/>
      <c r="D438" s="4"/>
      <c r="E438" s="4"/>
      <c r="F438" s="4"/>
      <c r="G438" s="4"/>
      <c r="H438" s="4"/>
      <c r="I438" s="4"/>
      <c r="J438" s="4"/>
      <c r="K438" s="4"/>
      <c r="L438" s="4"/>
      <c r="M438" s="4"/>
      <c r="N438" s="4"/>
      <c r="O438" s="4"/>
      <c r="P438" s="4"/>
      <c r="Q438" s="4"/>
      <c r="R438" s="4"/>
      <c r="S438" s="4"/>
      <c r="U438" s="4"/>
      <c r="V438" s="4"/>
      <c r="W438" s="4"/>
      <c r="X438" s="4"/>
      <c r="Y438" s="4"/>
      <c r="Z438" s="4"/>
      <c r="AA438" s="4"/>
      <c r="AB438" s="4"/>
      <c r="AC438" s="4"/>
      <c r="AD438" s="4"/>
      <c r="AE438" s="4"/>
    </row>
    <row r="440" spans="1:54" x14ac:dyDescent="0.35">
      <c r="T440" s="282"/>
    </row>
    <row r="441" spans="1:54" x14ac:dyDescent="0.35">
      <c r="A441" s="126" t="s">
        <v>889</v>
      </c>
      <c r="M441" s="126" t="s">
        <v>891</v>
      </c>
      <c r="Q441" s="33"/>
      <c r="T441" s="282"/>
      <c r="Y441" s="126" t="s">
        <v>890</v>
      </c>
      <c r="AN441" s="33"/>
    </row>
    <row r="442" spans="1:54" x14ac:dyDescent="0.35">
      <c r="A442" s="109"/>
      <c r="B442" s="142">
        <v>0</v>
      </c>
      <c r="C442" s="142">
        <v>0.33</v>
      </c>
      <c r="D442" s="142">
        <v>0.5</v>
      </c>
      <c r="E442" s="142">
        <v>0.67</v>
      </c>
      <c r="F442" s="142">
        <v>0.8</v>
      </c>
      <c r="G442" s="142">
        <v>1</v>
      </c>
      <c r="H442" s="142">
        <v>1.2</v>
      </c>
      <c r="I442" s="142">
        <v>1.5</v>
      </c>
      <c r="J442" s="142">
        <v>1.67</v>
      </c>
      <c r="K442" s="142">
        <v>2</v>
      </c>
      <c r="M442" s="109"/>
      <c r="N442" s="142">
        <v>0</v>
      </c>
      <c r="O442" s="142">
        <v>0.33</v>
      </c>
      <c r="P442" s="142">
        <v>0.5</v>
      </c>
      <c r="Q442" s="288">
        <v>0.67</v>
      </c>
      <c r="R442" s="142">
        <v>0.8</v>
      </c>
      <c r="S442" s="142">
        <v>1</v>
      </c>
      <c r="T442" s="142">
        <v>1.2</v>
      </c>
      <c r="U442" s="142">
        <v>1.5</v>
      </c>
      <c r="V442" s="142">
        <v>1.67</v>
      </c>
      <c r="W442" s="142">
        <v>2</v>
      </c>
      <c r="Y442" s="109"/>
      <c r="Z442" s="142">
        <v>0</v>
      </c>
      <c r="AA442" s="142">
        <v>0.33</v>
      </c>
      <c r="AB442" s="142">
        <v>0.5</v>
      </c>
      <c r="AC442" s="142">
        <v>0.67</v>
      </c>
      <c r="AD442" s="142">
        <v>0.8</v>
      </c>
      <c r="AE442" s="142">
        <v>1</v>
      </c>
      <c r="AF442" s="142">
        <v>1.2</v>
      </c>
      <c r="AG442" s="142">
        <v>1.5</v>
      </c>
      <c r="AH442" s="142">
        <v>1.67</v>
      </c>
      <c r="AI442" s="142"/>
      <c r="AN442" s="34"/>
    </row>
    <row r="443" spans="1:54" x14ac:dyDescent="0.35">
      <c r="A443" s="109" t="s">
        <v>150</v>
      </c>
      <c r="B443" s="277"/>
      <c r="C443" s="277"/>
      <c r="D443" s="277"/>
      <c r="E443" s="277"/>
      <c r="F443" s="277">
        <f>B426</f>
        <v>30.111180650536426</v>
      </c>
      <c r="G443" s="277">
        <f>C426</f>
        <v>30.367860430071847</v>
      </c>
      <c r="H443" s="277">
        <f>D426</f>
        <v>30.624540209607265</v>
      </c>
      <c r="I443" s="277"/>
      <c r="J443" s="277"/>
      <c r="K443" s="109"/>
      <c r="M443" s="109" t="s">
        <v>150</v>
      </c>
      <c r="N443" s="109"/>
      <c r="O443" s="126"/>
      <c r="P443" s="126"/>
      <c r="Q443" s="289"/>
      <c r="R443" s="126">
        <f>B427</f>
        <v>25.893476315027982</v>
      </c>
      <c r="S443" s="126">
        <f>C427</f>
        <v>26.145283266381348</v>
      </c>
      <c r="T443" s="126">
        <f>D427</f>
        <v>26.397090217734728</v>
      </c>
      <c r="U443" s="126"/>
      <c r="V443" s="126"/>
      <c r="W443" s="126"/>
      <c r="Y443" s="109" t="s">
        <v>150</v>
      </c>
      <c r="Z443" s="109"/>
      <c r="AA443" s="126"/>
      <c r="AB443" s="126"/>
      <c r="AC443" s="126"/>
      <c r="AD443" s="126">
        <f>B428</f>
        <v>20.305191179766805</v>
      </c>
      <c r="AE443" s="126">
        <f>C428</f>
        <v>20.543658073047776</v>
      </c>
      <c r="AF443" s="126">
        <f>D428</f>
        <v>20.782124966328755</v>
      </c>
      <c r="AG443" s="126"/>
      <c r="AH443" s="126"/>
      <c r="AI443" s="126"/>
      <c r="AN443" s="33"/>
    </row>
    <row r="444" spans="1:54" x14ac:dyDescent="0.35">
      <c r="A444" s="109" t="s">
        <v>151</v>
      </c>
      <c r="B444" s="277"/>
      <c r="C444" s="277"/>
      <c r="D444" s="277"/>
      <c r="E444" s="277">
        <f>G426</f>
        <v>21.506674128522803</v>
      </c>
      <c r="F444" s="277"/>
      <c r="G444" s="277">
        <f>H426</f>
        <v>30.367860430071847</v>
      </c>
      <c r="H444" s="277"/>
      <c r="I444" s="277"/>
      <c r="J444" s="277">
        <f>I426</f>
        <v>48.090233033169916</v>
      </c>
      <c r="K444" s="109"/>
      <c r="M444" s="109" t="s">
        <v>151</v>
      </c>
      <c r="N444" s="109"/>
      <c r="O444" s="126"/>
      <c r="P444" s="126"/>
      <c r="Q444" s="289">
        <f>G427</f>
        <v>18.583388424134796</v>
      </c>
      <c r="R444" s="126"/>
      <c r="S444" s="126">
        <f>H427</f>
        <v>26.145283266381348</v>
      </c>
      <c r="T444" s="126"/>
      <c r="U444" s="126"/>
      <c r="V444" s="126">
        <f>I427</f>
        <v>41.269072950874474</v>
      </c>
      <c r="W444" s="126"/>
      <c r="Y444" s="109" t="s">
        <v>151</v>
      </c>
      <c r="Z444" s="109"/>
      <c r="AA444" s="126"/>
      <c r="AB444" s="126"/>
      <c r="AC444" s="126">
        <f>G428</f>
        <v>14.693144720885938</v>
      </c>
      <c r="AD444" s="126"/>
      <c r="AE444" s="126">
        <f>H428</f>
        <v>20.543658073047776</v>
      </c>
      <c r="AF444" s="126"/>
      <c r="AG444" s="126"/>
      <c r="AH444" s="126">
        <f>I428</f>
        <v>32.244684777371468</v>
      </c>
      <c r="AI444" s="126"/>
      <c r="AN444" s="35"/>
    </row>
    <row r="445" spans="1:54" x14ac:dyDescent="0.35">
      <c r="A445" s="109" t="s">
        <v>511</v>
      </c>
      <c r="B445" s="277"/>
      <c r="C445" s="277"/>
      <c r="D445" s="277"/>
      <c r="E445" s="277"/>
      <c r="F445" s="277">
        <f>L426</f>
        <v>37.959825537589808</v>
      </c>
      <c r="G445" s="277">
        <f>M426</f>
        <v>30.367860430071843</v>
      </c>
      <c r="H445" s="277"/>
      <c r="I445" s="277"/>
      <c r="J445" s="277"/>
      <c r="K445" s="109"/>
      <c r="M445" s="109" t="s">
        <v>511</v>
      </c>
      <c r="N445" s="109"/>
      <c r="O445" s="126"/>
      <c r="P445" s="126"/>
      <c r="Q445" s="289"/>
      <c r="R445" s="126">
        <f>L427</f>
        <v>32.681604082976698</v>
      </c>
      <c r="S445" s="126">
        <f>M427</f>
        <v>26.145283266381355</v>
      </c>
      <c r="T445" s="126"/>
      <c r="U445" s="126"/>
      <c r="V445" s="126"/>
      <c r="W445" s="126"/>
      <c r="Y445" s="109" t="s">
        <v>511</v>
      </c>
      <c r="Z445" s="109"/>
      <c r="AA445" s="126"/>
      <c r="AB445" s="126"/>
      <c r="AC445" s="126"/>
      <c r="AD445" s="126">
        <f>L428</f>
        <v>25.679572591309721</v>
      </c>
      <c r="AE445" s="126">
        <f>M428</f>
        <v>20.54365807304778</v>
      </c>
      <c r="AF445" s="126"/>
      <c r="AG445" s="126"/>
      <c r="AH445" s="126"/>
      <c r="AI445" s="126"/>
      <c r="AN445" s="33"/>
    </row>
    <row r="446" spans="1:54" x14ac:dyDescent="0.35">
      <c r="A446" s="109" t="s">
        <v>461</v>
      </c>
      <c r="B446" s="277"/>
      <c r="C446" s="277">
        <f>P426</f>
        <v>31.114699186177241</v>
      </c>
      <c r="D446" s="277"/>
      <c r="E446" s="277"/>
      <c r="F446" s="277"/>
      <c r="G446" s="277">
        <f>Q426</f>
        <v>30.367860430071847</v>
      </c>
      <c r="H446" s="277"/>
      <c r="I446" s="277"/>
      <c r="J446" s="277">
        <f>R426</f>
        <v>30.18151962548912</v>
      </c>
      <c r="K446" s="109"/>
      <c r="M446" s="109" t="s">
        <v>461</v>
      </c>
      <c r="N446" s="109"/>
      <c r="O446" s="126">
        <f>P427</f>
        <v>26.880256312678007</v>
      </c>
      <c r="P446" s="126"/>
      <c r="Q446" s="289"/>
      <c r="R446" s="126"/>
      <c r="S446" s="126">
        <f>V427</f>
        <v>26.145283266381355</v>
      </c>
      <c r="T446" s="126"/>
      <c r="U446" s="126"/>
      <c r="V446" s="126">
        <f>R427</f>
        <v>25.962362136880756</v>
      </c>
      <c r="W446" s="126"/>
      <c r="Y446" s="109" t="s">
        <v>461</v>
      </c>
      <c r="Z446" s="109"/>
      <c r="AA446" s="126">
        <f>P428</f>
        <v>21.264793435746927</v>
      </c>
      <c r="AB446" s="126"/>
      <c r="AC446" s="126"/>
      <c r="AD446" s="126"/>
      <c r="AE446" s="126">
        <f>Q428</f>
        <v>20.543658073047776</v>
      </c>
      <c r="AF446" s="126"/>
      <c r="AG446" s="126"/>
      <c r="AH446" s="126">
        <f>R428</f>
        <v>20.36380410389172</v>
      </c>
      <c r="AI446" s="126"/>
      <c r="AN446" s="33"/>
    </row>
    <row r="447" spans="1:54" x14ac:dyDescent="0.35">
      <c r="A447" s="109" t="s">
        <v>163</v>
      </c>
      <c r="B447" s="277"/>
      <c r="C447" s="277"/>
      <c r="D447" s="277">
        <f>U426</f>
        <v>60.735720860143687</v>
      </c>
      <c r="E447" s="277"/>
      <c r="F447" s="277"/>
      <c r="G447" s="277">
        <f>V426</f>
        <v>30.367860430071843</v>
      </c>
      <c r="H447" s="277"/>
      <c r="I447" s="277">
        <f>W426</f>
        <v>20.245240286714562</v>
      </c>
      <c r="J447" s="277"/>
      <c r="K447" s="109"/>
      <c r="M447" s="109" t="s">
        <v>163</v>
      </c>
      <c r="N447" s="109"/>
      <c r="O447" s="126"/>
      <c r="P447" s="126">
        <f>U427</f>
        <v>52.29056653276271</v>
      </c>
      <c r="Q447" s="289"/>
      <c r="R447" s="126"/>
      <c r="S447" s="126">
        <f>V427</f>
        <v>26.145283266381355</v>
      </c>
      <c r="T447" s="126"/>
      <c r="U447" s="126">
        <f>W427</f>
        <v>17.430188844254236</v>
      </c>
      <c r="V447" s="126"/>
      <c r="W447" s="126"/>
      <c r="Y447" s="109" t="s">
        <v>163</v>
      </c>
      <c r="Z447" s="109"/>
      <c r="AA447" s="126"/>
      <c r="AB447" s="126">
        <f>U428</f>
        <v>41.08731614609556</v>
      </c>
      <c r="AC447" s="126"/>
      <c r="AD447" s="126"/>
      <c r="AE447" s="126">
        <f>V428</f>
        <v>20.54365807304778</v>
      </c>
      <c r="AF447" s="126"/>
      <c r="AG447" s="126">
        <f>W428</f>
        <v>13.695772048698519</v>
      </c>
      <c r="AH447" s="126"/>
      <c r="AI447" s="126"/>
      <c r="AN447" s="33"/>
    </row>
    <row r="448" spans="1:54" x14ac:dyDescent="0.35">
      <c r="A448" s="144" t="s">
        <v>815</v>
      </c>
      <c r="B448" s="277"/>
      <c r="C448" s="277"/>
      <c r="D448" s="277"/>
      <c r="E448" s="277"/>
      <c r="F448" s="277"/>
      <c r="G448" s="277">
        <f>AF426</f>
        <v>31.057666529236052</v>
      </c>
      <c r="H448" s="277"/>
      <c r="I448" s="277"/>
      <c r="J448" s="277"/>
      <c r="K448" s="109"/>
      <c r="M448" s="144" t="s">
        <v>815</v>
      </c>
      <c r="N448" s="109"/>
      <c r="O448" s="126"/>
      <c r="P448" s="126"/>
      <c r="Q448" s="289"/>
      <c r="R448" s="126"/>
      <c r="S448" s="126">
        <f>AF427</f>
        <v>26.824200619817713</v>
      </c>
      <c r="T448" s="126"/>
      <c r="U448" s="126"/>
      <c r="V448" s="126"/>
      <c r="W448" s="126"/>
      <c r="Y448" s="144" t="s">
        <v>815</v>
      </c>
      <c r="Z448" s="109"/>
      <c r="AA448" s="109"/>
      <c r="AB448" s="109"/>
      <c r="AC448" s="109"/>
      <c r="AD448" s="109"/>
      <c r="AE448" s="126">
        <f>AF428</f>
        <v>21.208920771772679</v>
      </c>
      <c r="AF448" s="109"/>
      <c r="AG448" s="109"/>
      <c r="AH448" s="109"/>
      <c r="AI448" s="109"/>
      <c r="AN448" s="33"/>
    </row>
    <row r="449" spans="1:40" x14ac:dyDescent="0.35">
      <c r="AN449" s="33"/>
    </row>
    <row r="450" spans="1:40" x14ac:dyDescent="0.35">
      <c r="AN450" s="33"/>
    </row>
    <row r="451" spans="1:40" x14ac:dyDescent="0.35">
      <c r="A451" s="126" t="s">
        <v>892</v>
      </c>
      <c r="M451" s="126" t="s">
        <v>893</v>
      </c>
      <c r="O451" s="33"/>
      <c r="T451" s="282"/>
      <c r="Y451" s="126" t="s">
        <v>894</v>
      </c>
      <c r="AN451" s="33"/>
    </row>
    <row r="452" spans="1:40" x14ac:dyDescent="0.35">
      <c r="A452" s="109"/>
      <c r="B452" s="142">
        <v>0</v>
      </c>
      <c r="C452" s="142">
        <v>0.33</v>
      </c>
      <c r="D452" s="142">
        <v>0.5</v>
      </c>
      <c r="E452" s="142">
        <v>0.67</v>
      </c>
      <c r="F452" s="142">
        <v>0.8</v>
      </c>
      <c r="G452" s="142">
        <v>1</v>
      </c>
      <c r="H452" s="142">
        <v>1.2</v>
      </c>
      <c r="I452" s="142">
        <v>1.5</v>
      </c>
      <c r="J452" s="142">
        <v>1.67</v>
      </c>
      <c r="K452" s="142">
        <v>2</v>
      </c>
      <c r="M452" s="109"/>
      <c r="N452" s="142">
        <v>0</v>
      </c>
      <c r="O452" s="288">
        <v>0.33</v>
      </c>
      <c r="P452" s="142">
        <v>0.5</v>
      </c>
      <c r="Q452" s="142">
        <v>0.67</v>
      </c>
      <c r="R452" s="142">
        <v>0.8</v>
      </c>
      <c r="S452" s="142">
        <v>1</v>
      </c>
      <c r="T452" s="142">
        <v>1.2</v>
      </c>
      <c r="U452" s="142">
        <v>1.5</v>
      </c>
      <c r="V452" s="142">
        <v>1.67</v>
      </c>
      <c r="W452" s="142">
        <v>2</v>
      </c>
      <c r="Y452" s="109"/>
      <c r="Z452" s="142">
        <v>0</v>
      </c>
      <c r="AA452" s="142">
        <v>0.33</v>
      </c>
      <c r="AB452" s="142">
        <v>0.5</v>
      </c>
      <c r="AC452" s="142">
        <v>0.67</v>
      </c>
      <c r="AD452" s="142">
        <v>0.8</v>
      </c>
      <c r="AE452" s="142">
        <v>1</v>
      </c>
      <c r="AF452" s="142">
        <v>1.2</v>
      </c>
      <c r="AG452" s="142">
        <v>1.5</v>
      </c>
      <c r="AH452" s="142">
        <v>1.67</v>
      </c>
      <c r="AI452" s="142">
        <v>2</v>
      </c>
      <c r="AN452" s="33"/>
    </row>
    <row r="453" spans="1:40" x14ac:dyDescent="0.35">
      <c r="A453" s="109" t="s">
        <v>150</v>
      </c>
      <c r="B453" s="109"/>
      <c r="C453" s="126"/>
      <c r="D453" s="126"/>
      <c r="E453" s="126"/>
      <c r="F453" s="126">
        <f>B429</f>
        <v>24.458903745670668</v>
      </c>
      <c r="G453" s="126">
        <f>C429</f>
        <v>24.715690894836545</v>
      </c>
      <c r="H453" s="126">
        <f>D429</f>
        <v>24.972478044002425</v>
      </c>
      <c r="I453" s="126"/>
      <c r="J453" s="126"/>
      <c r="K453" s="126"/>
      <c r="M453" s="109" t="s">
        <v>150</v>
      </c>
      <c r="N453" s="109"/>
      <c r="O453" s="289"/>
      <c r="P453" s="126"/>
      <c r="Q453" s="126"/>
      <c r="R453" s="126">
        <f>B430</f>
        <v>21.161973601907114</v>
      </c>
      <c r="S453" s="126">
        <f>C430</f>
        <v>21.413780553260484</v>
      </c>
      <c r="T453" s="126">
        <f>D430</f>
        <v>21.66558750461386</v>
      </c>
      <c r="U453" s="126"/>
      <c r="V453" s="126"/>
      <c r="W453" s="126"/>
      <c r="Y453" s="109" t="s">
        <v>150</v>
      </c>
      <c r="Z453" s="109"/>
      <c r="AA453" s="126"/>
      <c r="AB453" s="126"/>
      <c r="AC453" s="126"/>
      <c r="AD453" s="126">
        <f>B431</f>
        <v>16.774082347289976</v>
      </c>
      <c r="AE453" s="126">
        <f>C431</f>
        <v>17.012549240570952</v>
      </c>
      <c r="AF453" s="126">
        <f>D431</f>
        <v>17.251016133851927</v>
      </c>
      <c r="AG453" s="126"/>
      <c r="AH453" s="126"/>
      <c r="AI453" s="126"/>
      <c r="AN453" s="33"/>
    </row>
    <row r="454" spans="1:40" x14ac:dyDescent="0.35">
      <c r="A454" s="109" t="s">
        <v>151</v>
      </c>
      <c r="B454" s="109"/>
      <c r="C454" s="126"/>
      <c r="D454" s="126"/>
      <c r="E454" s="126">
        <f>G429</f>
        <v>17.738740054416706</v>
      </c>
      <c r="F454" s="126"/>
      <c r="G454" s="126">
        <f>H429</f>
        <v>24.715690894836545</v>
      </c>
      <c r="H454" s="126"/>
      <c r="I454" s="126"/>
      <c r="J454" s="126">
        <f>I429</f>
        <v>38.669592575676226</v>
      </c>
      <c r="K454" s="126"/>
      <c r="M454" s="109" t="s">
        <v>151</v>
      </c>
      <c r="N454" s="109"/>
      <c r="O454" s="289"/>
      <c r="P454" s="126"/>
      <c r="Q454" s="126">
        <f>G430</f>
        <v>15.429053282054218</v>
      </c>
      <c r="R454" s="126"/>
      <c r="S454" s="126">
        <f>H430</f>
        <v>21.413780553260484</v>
      </c>
      <c r="T454" s="126"/>
      <c r="U454" s="126"/>
      <c r="V454" s="126">
        <f>I430</f>
        <v>33.383235095673029</v>
      </c>
      <c r="W454" s="126"/>
      <c r="Y454" s="109" t="s">
        <v>151</v>
      </c>
      <c r="Z454" s="109"/>
      <c r="AA454" s="126"/>
      <c r="AB454" s="126"/>
      <c r="AC454" s="126">
        <f>G431</f>
        <v>12.339072165901387</v>
      </c>
      <c r="AD454" s="126"/>
      <c r="AE454" s="126">
        <f>H431</f>
        <v>17.012549240570952</v>
      </c>
      <c r="AF454" s="126"/>
      <c r="AG454" s="126"/>
      <c r="AH454" s="126">
        <f>I431</f>
        <v>26.359503389910081</v>
      </c>
      <c r="AI454" s="126"/>
      <c r="AN454" s="33"/>
    </row>
    <row r="455" spans="1:40" x14ac:dyDescent="0.35">
      <c r="A455" s="109" t="s">
        <v>511</v>
      </c>
      <c r="B455" s="109"/>
      <c r="C455" s="126"/>
      <c r="D455" s="126"/>
      <c r="E455" s="126"/>
      <c r="F455" s="126">
        <f>L429</f>
        <v>30.89461361854568</v>
      </c>
      <c r="G455" s="126">
        <f>M429</f>
        <v>24.715690894836545</v>
      </c>
      <c r="H455" s="126"/>
      <c r="I455" s="126"/>
      <c r="J455" s="126"/>
      <c r="K455" s="126"/>
      <c r="M455" s="109" t="s">
        <v>511</v>
      </c>
      <c r="N455" s="109"/>
      <c r="O455" s="289"/>
      <c r="P455" s="126"/>
      <c r="Q455" s="126"/>
      <c r="R455" s="126">
        <f>L430</f>
        <v>26.767225691575611</v>
      </c>
      <c r="S455" s="126">
        <f>M430</f>
        <v>21.413780553260487</v>
      </c>
      <c r="T455" s="126"/>
      <c r="U455" s="126"/>
      <c r="V455" s="126"/>
      <c r="W455" s="126"/>
      <c r="Y455" s="109" t="s">
        <v>511</v>
      </c>
      <c r="Z455" s="109"/>
      <c r="AA455" s="126"/>
      <c r="AB455" s="126"/>
      <c r="AC455" s="126"/>
      <c r="AD455" s="126">
        <f>L431</f>
        <v>21.265686550713692</v>
      </c>
      <c r="AE455" s="126">
        <f>M431</f>
        <v>17.012549240570952</v>
      </c>
      <c r="AF455" s="126"/>
      <c r="AG455" s="126"/>
      <c r="AH455" s="126"/>
      <c r="AI455" s="126"/>
      <c r="AN455" s="33"/>
    </row>
    <row r="456" spans="1:40" x14ac:dyDescent="0.35">
      <c r="A456" s="109" t="s">
        <v>461</v>
      </c>
      <c r="B456" s="109"/>
      <c r="C456" s="126">
        <f>P429</f>
        <v>25.462529650941942</v>
      </c>
      <c r="D456" s="126"/>
      <c r="E456" s="126"/>
      <c r="F456" s="126"/>
      <c r="G456" s="126">
        <f>Q429</f>
        <v>24.715690894836545</v>
      </c>
      <c r="H456" s="126"/>
      <c r="I456" s="126"/>
      <c r="J456" s="126">
        <f>R429</f>
        <v>24.529350090253821</v>
      </c>
      <c r="K456" s="126"/>
      <c r="M456" s="109" t="s">
        <v>461</v>
      </c>
      <c r="N456" s="109"/>
      <c r="O456" s="289">
        <f>P430</f>
        <v>22.148753599557139</v>
      </c>
      <c r="P456" s="126"/>
      <c r="Q456" s="126"/>
      <c r="R456" s="126"/>
      <c r="S456" s="126">
        <f>Q430</f>
        <v>21.413780553260484</v>
      </c>
      <c r="T456" s="126"/>
      <c r="U456" s="126"/>
      <c r="V456" s="126">
        <f>R430</f>
        <v>21.230859423759888</v>
      </c>
      <c r="W456" s="126"/>
      <c r="Y456" s="109" t="s">
        <v>461</v>
      </c>
      <c r="Z456" s="109"/>
      <c r="AA456" s="126">
        <f>P431</f>
        <v>17.733684603270103</v>
      </c>
      <c r="AB456" s="126"/>
      <c r="AC456" s="126"/>
      <c r="AD456" s="126"/>
      <c r="AE456" s="126">
        <f>Q431</f>
        <v>17.012549240570952</v>
      </c>
      <c r="AF456" s="126"/>
      <c r="AG456" s="126"/>
      <c r="AH456" s="126">
        <f>R431</f>
        <v>16.832695271414895</v>
      </c>
      <c r="AI456" s="126"/>
      <c r="AN456" s="33"/>
    </row>
    <row r="457" spans="1:40" x14ac:dyDescent="0.35">
      <c r="A457" s="109" t="s">
        <v>163</v>
      </c>
      <c r="B457" s="109"/>
      <c r="C457" s="126"/>
      <c r="D457" s="126">
        <f>U429</f>
        <v>49.43138178967309</v>
      </c>
      <c r="E457" s="126"/>
      <c r="F457" s="126"/>
      <c r="G457" s="126">
        <f>V429</f>
        <v>24.715690894836545</v>
      </c>
      <c r="H457" s="126"/>
      <c r="I457" s="126">
        <f>W429</f>
        <v>16.477127263224364</v>
      </c>
      <c r="J457" s="126"/>
      <c r="K457" s="126"/>
      <c r="M457" s="109" t="s">
        <v>163</v>
      </c>
      <c r="N457" s="109"/>
      <c r="O457" s="289"/>
      <c r="P457" s="126">
        <f>U430</f>
        <v>42.827561106520974</v>
      </c>
      <c r="Q457" s="126"/>
      <c r="R457" s="126"/>
      <c r="S457" s="126">
        <f>V430</f>
        <v>21.413780553260487</v>
      </c>
      <c r="T457" s="126"/>
      <c r="U457" s="126">
        <f>W430</f>
        <v>14.275853702173658</v>
      </c>
      <c r="V457" s="126"/>
      <c r="W457" s="126"/>
      <c r="Y457" s="109" t="s">
        <v>163</v>
      </c>
      <c r="Z457" s="109"/>
      <c r="AA457" s="126"/>
      <c r="AB457" s="126">
        <f>U431</f>
        <v>34.025098481141903</v>
      </c>
      <c r="AC457" s="126"/>
      <c r="AD457" s="126"/>
      <c r="AE457" s="126">
        <f>V431</f>
        <v>17.012549240570952</v>
      </c>
      <c r="AF457" s="126"/>
      <c r="AG457" s="126">
        <f>W431</f>
        <v>11.341699493713968</v>
      </c>
      <c r="AH457" s="126"/>
      <c r="AI457" s="126"/>
      <c r="AN457" s="33"/>
    </row>
    <row r="458" spans="1:40" x14ac:dyDescent="0.35">
      <c r="A458" s="144" t="s">
        <v>817</v>
      </c>
      <c r="B458" s="109"/>
      <c r="C458" s="109"/>
      <c r="D458" s="109"/>
      <c r="E458" s="109"/>
      <c r="F458" s="109"/>
      <c r="G458" s="126">
        <f>Z429</f>
        <v>24.715690894836545</v>
      </c>
      <c r="H458" s="109"/>
      <c r="I458" s="126">
        <f>AA429</f>
        <v>21.971856975787368</v>
      </c>
      <c r="J458" s="109"/>
      <c r="K458" s="126">
        <f>AB429</f>
        <v>19.685328709913058</v>
      </c>
      <c r="M458" s="144" t="s">
        <v>817</v>
      </c>
      <c r="N458" s="109"/>
      <c r="O458" s="144"/>
      <c r="P458" s="109"/>
      <c r="Q458" s="109"/>
      <c r="R458" s="109"/>
      <c r="S458" s="126">
        <f>Z430</f>
        <v>21.413780553260487</v>
      </c>
      <c r="T458" s="109"/>
      <c r="U458" s="126">
        <f>AA430</f>
        <v>19.13003234432097</v>
      </c>
      <c r="V458" s="109"/>
      <c r="W458" s="126">
        <f>AB430</f>
        <v>17.226908836871377</v>
      </c>
      <c r="Y458" s="144" t="s">
        <v>817</v>
      </c>
      <c r="Z458" s="109"/>
      <c r="AA458" s="109"/>
      <c r="AB458" s="109"/>
      <c r="AC458" s="109"/>
      <c r="AD458" s="109"/>
      <c r="AE458" s="126">
        <f>Z431</f>
        <v>17.012549240570952</v>
      </c>
      <c r="AF458" s="109"/>
      <c r="AG458" s="126">
        <f>AA431</f>
        <v>15.328702532953917</v>
      </c>
      <c r="AH458" s="109"/>
      <c r="AI458" s="126">
        <f>AB431</f>
        <v>13.925496943273059</v>
      </c>
      <c r="AN458" s="33"/>
    </row>
    <row r="459" spans="1:40" x14ac:dyDescent="0.35">
      <c r="A459" s="144" t="s">
        <v>815</v>
      </c>
      <c r="B459" s="109"/>
      <c r="C459" s="109"/>
      <c r="D459" s="109"/>
      <c r="E459" s="109"/>
      <c r="F459" s="109"/>
      <c r="G459" s="126">
        <f>AF429</f>
        <v>25.405496994000753</v>
      </c>
      <c r="H459" s="109"/>
      <c r="I459" s="109"/>
      <c r="J459" s="109"/>
      <c r="K459" s="109"/>
      <c r="M459" s="144" t="s">
        <v>815</v>
      </c>
      <c r="N459" s="109"/>
      <c r="O459" s="144"/>
      <c r="P459" s="109"/>
      <c r="Q459" s="109"/>
      <c r="R459" s="109"/>
      <c r="S459" s="126">
        <f>AF430</f>
        <v>22.092697906696845</v>
      </c>
      <c r="T459" s="109"/>
      <c r="U459" s="109"/>
      <c r="V459" s="109"/>
      <c r="W459" s="109"/>
      <c r="Y459" s="144" t="s">
        <v>815</v>
      </c>
      <c r="Z459" s="109"/>
      <c r="AA459" s="109"/>
      <c r="AB459" s="109"/>
      <c r="AC459" s="109"/>
      <c r="AD459" s="109"/>
      <c r="AE459" s="126">
        <f>AF431</f>
        <v>17.677811939295854</v>
      </c>
      <c r="AF459" s="109"/>
      <c r="AG459" s="109"/>
      <c r="AH459" s="109"/>
      <c r="AI459" s="109"/>
      <c r="AN459" s="33"/>
    </row>
    <row r="460" spans="1:40" x14ac:dyDescent="0.35">
      <c r="AN460" s="33"/>
    </row>
    <row r="461" spans="1:40" x14ac:dyDescent="0.35">
      <c r="AN461" s="33"/>
    </row>
    <row r="462" spans="1:40" x14ac:dyDescent="0.35">
      <c r="A462" s="126" t="s">
        <v>896</v>
      </c>
      <c r="M462" s="292" t="s">
        <v>897</v>
      </c>
      <c r="P462" s="33"/>
      <c r="T462" s="282"/>
      <c r="Y462" s="292" t="s">
        <v>895</v>
      </c>
      <c r="AN462" s="33"/>
    </row>
    <row r="463" spans="1:40" x14ac:dyDescent="0.35">
      <c r="A463" s="109"/>
      <c r="B463" s="142">
        <v>0</v>
      </c>
      <c r="C463" s="142">
        <v>0.33</v>
      </c>
      <c r="D463" s="142">
        <v>0.5</v>
      </c>
      <c r="E463" s="142">
        <v>0.67</v>
      </c>
      <c r="F463" s="142">
        <v>0.8</v>
      </c>
      <c r="G463" s="142">
        <v>1</v>
      </c>
      <c r="H463" s="142">
        <v>1.2</v>
      </c>
      <c r="I463" s="142">
        <v>1.5</v>
      </c>
      <c r="J463" s="142">
        <v>1.67</v>
      </c>
      <c r="K463" s="142">
        <v>2</v>
      </c>
      <c r="M463" s="109"/>
      <c r="N463" s="142">
        <v>0</v>
      </c>
      <c r="O463" s="142">
        <v>0.33</v>
      </c>
      <c r="P463" s="288">
        <v>0.5</v>
      </c>
      <c r="Q463" s="142">
        <v>0.67</v>
      </c>
      <c r="R463" s="142">
        <v>0.8</v>
      </c>
      <c r="S463" s="142">
        <v>1</v>
      </c>
      <c r="T463" s="142">
        <v>1.2</v>
      </c>
      <c r="U463" s="142">
        <v>1.5</v>
      </c>
      <c r="V463" s="142">
        <v>1.67</v>
      </c>
      <c r="W463" s="142">
        <v>2</v>
      </c>
      <c r="Y463" s="109"/>
      <c r="Z463" s="142">
        <v>0</v>
      </c>
      <c r="AA463" s="142">
        <v>0.33</v>
      </c>
      <c r="AB463" s="142">
        <v>0.5</v>
      </c>
      <c r="AC463" s="142">
        <v>0.67</v>
      </c>
      <c r="AD463" s="142">
        <v>0.8</v>
      </c>
      <c r="AE463" s="142">
        <v>1</v>
      </c>
      <c r="AF463" s="142">
        <v>1.2</v>
      </c>
      <c r="AG463" s="142">
        <v>1.5</v>
      </c>
      <c r="AH463" s="142">
        <v>1.67</v>
      </c>
      <c r="AI463" s="142">
        <v>2</v>
      </c>
      <c r="AN463" s="33"/>
    </row>
    <row r="464" spans="1:40" x14ac:dyDescent="0.35">
      <c r="A464" s="109" t="s">
        <v>150</v>
      </c>
      <c r="B464" s="109"/>
      <c r="C464" s="126"/>
      <c r="D464" s="126"/>
      <c r="E464" s="126"/>
      <c r="F464" s="126">
        <f>B432</f>
        <v>20.217406303048012</v>
      </c>
      <c r="G464" s="126">
        <f>C432</f>
        <v>20.701599764119692</v>
      </c>
      <c r="H464" s="126">
        <f>D432</f>
        <v>21.185793225191382</v>
      </c>
      <c r="I464" s="126"/>
      <c r="J464" s="126"/>
      <c r="K464" s="126"/>
      <c r="M464" s="109" t="s">
        <v>150</v>
      </c>
      <c r="N464" s="109"/>
      <c r="O464" s="126"/>
      <c r="P464" s="289"/>
      <c r="Q464" s="126"/>
      <c r="R464" s="126">
        <f>B433</f>
        <v>19.648707780589842</v>
      </c>
      <c r="S464" s="126">
        <f>C433</f>
        <v>20.123378478107711</v>
      </c>
      <c r="T464" s="126">
        <f>D433</f>
        <v>20.598049175625587</v>
      </c>
      <c r="U464" s="126"/>
      <c r="V464" s="126"/>
      <c r="W464" s="126"/>
      <c r="Y464" s="109" t="s">
        <v>150</v>
      </c>
      <c r="Z464" s="109"/>
      <c r="AA464" s="126"/>
      <c r="AB464" s="126"/>
      <c r="AC464" s="126"/>
      <c r="AD464" s="126">
        <f>B434</f>
        <v>18.43354744996725</v>
      </c>
      <c r="AE464" s="126">
        <f>C434</f>
        <v>18.882418476482552</v>
      </c>
      <c r="AF464" s="126">
        <f>R433</f>
        <v>19.527086800564515</v>
      </c>
      <c r="AG464" s="126"/>
      <c r="AH464" s="126"/>
      <c r="AI464" s="126"/>
      <c r="AN464" s="33"/>
    </row>
    <row r="465" spans="1:42" x14ac:dyDescent="0.35">
      <c r="A465" s="109" t="s">
        <v>151</v>
      </c>
      <c r="B465" s="109"/>
      <c r="C465" s="126"/>
      <c r="D465" s="126"/>
      <c r="E465" s="126">
        <f>G432</f>
        <v>18.423643461545428</v>
      </c>
      <c r="F465" s="126"/>
      <c r="G465" s="126">
        <f>H432</f>
        <v>20.701599764119692</v>
      </c>
      <c r="H465" s="126"/>
      <c r="I465" s="126"/>
      <c r="J465" s="126">
        <f>I432</f>
        <v>25.257512369268241</v>
      </c>
      <c r="K465" s="126"/>
      <c r="M465" s="109" t="s">
        <v>151</v>
      </c>
      <c r="N465" s="109"/>
      <c r="O465" s="126"/>
      <c r="P465" s="289"/>
      <c r="Q465" s="126">
        <f>G433</f>
        <v>17.862177740487226</v>
      </c>
      <c r="R465" s="126"/>
      <c r="S465" s="126">
        <f>H433</f>
        <v>20.123378478107711</v>
      </c>
      <c r="T465" s="126"/>
      <c r="U465" s="126"/>
      <c r="V465" s="126">
        <f>I433</f>
        <v>24.645779953348679</v>
      </c>
      <c r="W465" s="126"/>
      <c r="Y465" s="109" t="s">
        <v>151</v>
      </c>
      <c r="Z465" s="109"/>
      <c r="AA465" s="126"/>
      <c r="AB465" s="126"/>
      <c r="AC465" s="126">
        <f>G434</f>
        <v>16.679035461885427</v>
      </c>
      <c r="AD465" s="126"/>
      <c r="AE465" s="126">
        <f>H434</f>
        <v>18.882418476482552</v>
      </c>
      <c r="AF465" s="126"/>
      <c r="AG465" s="126"/>
      <c r="AH465" s="126">
        <f>I434</f>
        <v>23.28918450567679</v>
      </c>
      <c r="AI465" s="126"/>
      <c r="AN465" s="33"/>
    </row>
    <row r="466" spans="1:42" x14ac:dyDescent="0.35">
      <c r="A466" s="109" t="s">
        <v>511</v>
      </c>
      <c r="B466" s="109"/>
      <c r="C466" s="126"/>
      <c r="D466" s="126"/>
      <c r="E466" s="126"/>
      <c r="F466" s="126">
        <f>L432</f>
        <v>25.876999705149618</v>
      </c>
      <c r="G466" s="126">
        <f>M432</f>
        <v>20.701599764119699</v>
      </c>
      <c r="H466" s="126"/>
      <c r="I466" s="126"/>
      <c r="J466" s="126"/>
      <c r="K466" s="126"/>
      <c r="M466" s="109" t="s">
        <v>511</v>
      </c>
      <c r="N466" s="109"/>
      <c r="O466" s="126"/>
      <c r="P466" s="289"/>
      <c r="Q466" s="126"/>
      <c r="R466" s="126">
        <f>L433</f>
        <v>25.154223097634642</v>
      </c>
      <c r="S466" s="126">
        <f>M433</f>
        <v>20.123378478107714</v>
      </c>
      <c r="T466" s="126"/>
      <c r="U466" s="126"/>
      <c r="V466" s="126"/>
      <c r="W466" s="126"/>
      <c r="Y466" s="109" t="s">
        <v>511</v>
      </c>
      <c r="Z466" s="109"/>
      <c r="AA466" s="126"/>
      <c r="AB466" s="126"/>
      <c r="AC466" s="126"/>
      <c r="AD466" s="126">
        <f>L434</f>
        <v>23.603023095603184</v>
      </c>
      <c r="AE466" s="126">
        <f>M434</f>
        <v>18.882418476482549</v>
      </c>
      <c r="AF466" s="126"/>
      <c r="AG466" s="126"/>
      <c r="AH466" s="126"/>
      <c r="AI466" s="126"/>
      <c r="AN466" s="33"/>
    </row>
    <row r="467" spans="1:42" x14ac:dyDescent="0.35">
      <c r="A467" s="109" t="s">
        <v>461</v>
      </c>
      <c r="B467" s="109"/>
      <c r="C467" s="126">
        <f>P432</f>
        <v>21.028333258460158</v>
      </c>
      <c r="D467" s="126"/>
      <c r="E467" s="126"/>
      <c r="F467" s="126"/>
      <c r="G467" s="126">
        <f>Q432</f>
        <v>20.701599764119692</v>
      </c>
      <c r="H467" s="126"/>
      <c r="I467" s="126"/>
      <c r="J467" s="126">
        <f>R432</f>
        <v>20.095153697772037</v>
      </c>
      <c r="K467" s="126"/>
      <c r="M467" s="109" t="s">
        <v>461</v>
      </c>
      <c r="N467" s="109"/>
      <c r="O467" s="126">
        <f>P433</f>
        <v>20.444980976361762</v>
      </c>
      <c r="P467" s="289"/>
      <c r="Q467" s="126"/>
      <c r="R467" s="126"/>
      <c r="S467" s="126">
        <f>Q433</f>
        <v>20.123378478107711</v>
      </c>
      <c r="T467" s="126"/>
      <c r="U467" s="126"/>
      <c r="V467" s="126">
        <f>R433</f>
        <v>19.527086800564515</v>
      </c>
      <c r="W467" s="126"/>
      <c r="Y467" s="109" t="s">
        <v>461</v>
      </c>
      <c r="Z467" s="109"/>
      <c r="AA467" s="126">
        <f>P434</f>
        <v>19.197910345169539</v>
      </c>
      <c r="AB467" s="126"/>
      <c r="AC467" s="126"/>
      <c r="AD467" s="126"/>
      <c r="AE467" s="126">
        <f>Q434</f>
        <v>18.882418476482552</v>
      </c>
      <c r="AF467" s="126"/>
      <c r="AG467" s="126"/>
      <c r="AH467" s="126">
        <f>R434</f>
        <v>18.296921013314332</v>
      </c>
      <c r="AI467" s="126"/>
      <c r="AN467" s="33"/>
    </row>
    <row r="468" spans="1:42" x14ac:dyDescent="0.35">
      <c r="A468" s="109" t="s">
        <v>163</v>
      </c>
      <c r="B468" s="109"/>
      <c r="C468" s="126"/>
      <c r="D468" s="126">
        <f>U432</f>
        <v>41.403199528239398</v>
      </c>
      <c r="E468" s="126"/>
      <c r="F468" s="126"/>
      <c r="G468" s="126">
        <f>V432</f>
        <v>20.701599764119699</v>
      </c>
      <c r="H468" s="126"/>
      <c r="I468" s="126">
        <f>W432</f>
        <v>13.801066509413133</v>
      </c>
      <c r="J468" s="126"/>
      <c r="K468" s="126"/>
      <c r="M468" s="109" t="s">
        <v>163</v>
      </c>
      <c r="N468" s="109"/>
      <c r="O468" s="126"/>
      <c r="P468" s="289">
        <f>U433</f>
        <v>40.246756956215428</v>
      </c>
      <c r="Q468" s="126"/>
      <c r="R468" s="126"/>
      <c r="S468" s="126">
        <f>V433</f>
        <v>20.123378478107714</v>
      </c>
      <c r="T468" s="126"/>
      <c r="U468" s="126">
        <f>W433</f>
        <v>13.415585652071808</v>
      </c>
      <c r="V468" s="126"/>
      <c r="W468" s="126"/>
      <c r="Y468" s="109" t="s">
        <v>163</v>
      </c>
      <c r="Z468" s="109"/>
      <c r="AA468" s="126"/>
      <c r="AB468" s="126">
        <f>U434</f>
        <v>37.764836952965098</v>
      </c>
      <c r="AC468" s="126"/>
      <c r="AD468" s="126"/>
      <c r="AE468" s="126">
        <f>V434</f>
        <v>18.882418476482549</v>
      </c>
      <c r="AF468" s="126"/>
      <c r="AG468" s="126">
        <f>W434</f>
        <v>12.588278984321699</v>
      </c>
      <c r="AH468" s="126"/>
      <c r="AI468" s="126"/>
      <c r="AN468" s="33"/>
    </row>
    <row r="469" spans="1:42" x14ac:dyDescent="0.35">
      <c r="A469" s="144" t="s">
        <v>818</v>
      </c>
      <c r="B469" s="277">
        <f>AI432</f>
        <v>17.377014890092383</v>
      </c>
      <c r="C469" s="109"/>
      <c r="D469" s="277">
        <f>AJ432</f>
        <v>18.546776234657557</v>
      </c>
      <c r="E469" s="109"/>
      <c r="F469" s="109"/>
      <c r="G469" s="126">
        <f>AK432</f>
        <v>20.886298923787876</v>
      </c>
      <c r="H469" s="109"/>
      <c r="I469" s="126">
        <f>AL432</f>
        <v>27.904866991178878</v>
      </c>
      <c r="J469" s="109"/>
      <c r="K469" s="126"/>
      <c r="M469" s="144" t="s">
        <v>818</v>
      </c>
      <c r="N469" s="277">
        <f>AI433</f>
        <v>16.823247671850787</v>
      </c>
      <c r="O469" s="109"/>
      <c r="P469" s="296">
        <f>AJ433</f>
        <v>17.984404807385634</v>
      </c>
      <c r="Q469" s="109"/>
      <c r="R469" s="109"/>
      <c r="S469" s="126">
        <f>AK433</f>
        <v>20.306719078455316</v>
      </c>
      <c r="T469" s="109"/>
      <c r="U469" s="126">
        <f>AL433</f>
        <v>27.273661891664375</v>
      </c>
      <c r="V469" s="109"/>
      <c r="W469" s="126"/>
      <c r="Y469" s="144" t="s">
        <v>818</v>
      </c>
      <c r="Z469" s="277">
        <f>AI434</f>
        <v>15.666670293016484</v>
      </c>
      <c r="AA469" s="109"/>
      <c r="AB469" s="277">
        <f>AJ434</f>
        <v>16.798137246458246</v>
      </c>
      <c r="AC469" s="109"/>
      <c r="AD469" s="109"/>
      <c r="AE469" s="126">
        <f>AK434</f>
        <v>19.061071153341775</v>
      </c>
      <c r="AF469" s="109"/>
      <c r="AG469" s="126">
        <f>AL434</f>
        <v>25.849872873992368</v>
      </c>
      <c r="AH469" s="109"/>
      <c r="AI469" s="126"/>
      <c r="AN469" s="33"/>
    </row>
    <row r="470" spans="1:42" x14ac:dyDescent="0.35">
      <c r="A470" s="144" t="s">
        <v>777</v>
      </c>
      <c r="B470" s="109"/>
      <c r="C470" s="109"/>
      <c r="D470" s="277">
        <f>AO432</f>
        <v>15.12044566704277</v>
      </c>
      <c r="E470" s="109"/>
      <c r="F470" s="109"/>
      <c r="G470" s="277">
        <f>AP432</f>
        <v>20.886298923787876</v>
      </c>
      <c r="H470" s="109"/>
      <c r="I470" s="109"/>
      <c r="J470" s="109"/>
      <c r="K470" s="278">
        <f>AQ432</f>
        <v>41.435857993171119</v>
      </c>
      <c r="M470" s="144" t="s">
        <v>777</v>
      </c>
      <c r="N470" s="109"/>
      <c r="O470" s="109"/>
      <c r="P470" s="296">
        <f>AO433</f>
        <v>14.666109082351705</v>
      </c>
      <c r="Q470" s="109"/>
      <c r="R470" s="109"/>
      <c r="S470" s="277">
        <f>AP433</f>
        <v>20.306719078455316</v>
      </c>
      <c r="T470" s="109"/>
      <c r="U470" s="109"/>
      <c r="V470" s="109"/>
      <c r="W470" s="278">
        <f>AQ433</f>
        <v>40.374134307065788</v>
      </c>
      <c r="Y470" s="144" t="s">
        <v>777</v>
      </c>
      <c r="Z470" s="109"/>
      <c r="AA470" s="109"/>
      <c r="AB470" s="277">
        <f>AO434</f>
        <v>13.801372916672481</v>
      </c>
      <c r="AC470" s="109"/>
      <c r="AD470" s="109"/>
      <c r="AE470" s="277">
        <f>AP434</f>
        <v>19.061071153341775</v>
      </c>
      <c r="AF470" s="109"/>
      <c r="AG470" s="109"/>
      <c r="AH470" s="109"/>
      <c r="AI470" s="278">
        <f>AQ434</f>
        <v>37.671195278860658</v>
      </c>
      <c r="AN470" s="33"/>
    </row>
    <row r="471" spans="1:42" x14ac:dyDescent="0.35">
      <c r="A471" s="144" t="s">
        <v>837</v>
      </c>
      <c r="B471" s="109"/>
      <c r="C471" s="109"/>
      <c r="D471" s="277">
        <f>AT432</f>
        <v>20.886298923787876</v>
      </c>
      <c r="E471" s="109"/>
      <c r="F471" s="109"/>
      <c r="G471" s="277">
        <f>AU432</f>
        <v>20.886298923787876</v>
      </c>
      <c r="H471" s="109"/>
      <c r="I471" s="109"/>
      <c r="J471" s="109"/>
      <c r="K471" s="278">
        <f>AV432</f>
        <v>20.886298923787876</v>
      </c>
      <c r="M471" s="144" t="s">
        <v>837</v>
      </c>
      <c r="N471" s="109"/>
      <c r="O471" s="109"/>
      <c r="P471" s="296">
        <f>AT433</f>
        <v>20.306719078455316</v>
      </c>
      <c r="Q471" s="109"/>
      <c r="R471" s="109"/>
      <c r="S471" s="277">
        <f>AU433</f>
        <v>20.306719078455316</v>
      </c>
      <c r="T471" s="109"/>
      <c r="U471" s="109"/>
      <c r="V471" s="109"/>
      <c r="W471" s="278">
        <f>AV433</f>
        <v>20.306719078455316</v>
      </c>
      <c r="Y471" s="144" t="s">
        <v>837</v>
      </c>
      <c r="Z471" s="109"/>
      <c r="AA471" s="109"/>
      <c r="AB471" s="277">
        <f>AT434</f>
        <v>19.061071153341775</v>
      </c>
      <c r="AC471" s="109"/>
      <c r="AD471" s="109"/>
      <c r="AE471" s="277">
        <f>AU434</f>
        <v>19.061071153341775</v>
      </c>
      <c r="AF471" s="109"/>
      <c r="AG471" s="109"/>
      <c r="AH471" s="109"/>
      <c r="AI471" s="278">
        <f>AV434</f>
        <v>19.061071153341775</v>
      </c>
      <c r="AN471" s="33"/>
    </row>
    <row r="472" spans="1:42" x14ac:dyDescent="0.35">
      <c r="A472" s="144" t="s">
        <v>815</v>
      </c>
      <c r="B472" s="109"/>
      <c r="C472" s="109"/>
      <c r="D472" s="109"/>
      <c r="E472" s="109"/>
      <c r="F472" s="109"/>
      <c r="G472" s="126">
        <f>AF432</f>
        <v>22.081211962448116</v>
      </c>
      <c r="H472" s="109"/>
      <c r="I472" s="109"/>
      <c r="J472" s="109"/>
      <c r="K472" s="109"/>
      <c r="L472" s="33"/>
      <c r="M472" s="144" t="s">
        <v>815</v>
      </c>
      <c r="N472" s="109"/>
      <c r="O472" s="109"/>
      <c r="P472" s="144"/>
      <c r="Q472" s="109"/>
      <c r="R472" s="109"/>
      <c r="S472" s="126">
        <f>AF433</f>
        <v>21.48121318498043</v>
      </c>
      <c r="T472" s="109"/>
      <c r="U472" s="109"/>
      <c r="V472" s="109"/>
      <c r="W472" s="109"/>
      <c r="X472" s="33"/>
      <c r="Y472" s="144" t="s">
        <v>815</v>
      </c>
      <c r="Z472" s="109"/>
      <c r="AA472" s="109"/>
      <c r="AB472" s="109"/>
      <c r="AC472" s="109"/>
      <c r="AD472" s="109"/>
      <c r="AE472" s="126">
        <f>AF434</f>
        <v>20.21294387393235</v>
      </c>
      <c r="AF472" s="109"/>
      <c r="AG472" s="109"/>
      <c r="AH472" s="109"/>
      <c r="AI472" s="109"/>
    </row>
    <row r="473" spans="1:42" x14ac:dyDescent="0.35">
      <c r="B473" s="33"/>
      <c r="P473" s="33"/>
      <c r="Q473" s="33"/>
      <c r="AE473" s="33"/>
    </row>
    <row r="474" spans="1:42" x14ac:dyDescent="0.35">
      <c r="B474" s="33"/>
      <c r="P474" s="33"/>
      <c r="Q474" s="33"/>
      <c r="T474" s="282"/>
    </row>
    <row r="475" spans="1:42" x14ac:dyDescent="0.35">
      <c r="B475" s="33"/>
      <c r="N475" s="32"/>
      <c r="P475" s="33"/>
      <c r="Q475" s="33"/>
      <c r="T475" s="282"/>
      <c r="AC475" s="32"/>
      <c r="AP475" s="32"/>
    </row>
    <row r="476" spans="1:42" x14ac:dyDescent="0.35">
      <c r="B476" s="33"/>
      <c r="P476" s="33"/>
      <c r="Q476" s="33"/>
      <c r="T476" s="282"/>
    </row>
    <row r="477" spans="1:42" x14ac:dyDescent="0.35">
      <c r="B477" s="33"/>
      <c r="N477" s="3"/>
      <c r="P477" s="33"/>
      <c r="Q477" s="33"/>
      <c r="T477" s="282"/>
      <c r="AC477" s="3"/>
      <c r="AP477" s="3"/>
    </row>
    <row r="478" spans="1:42" x14ac:dyDescent="0.35">
      <c r="B478" s="33"/>
      <c r="P478" s="33"/>
      <c r="Q478" s="33"/>
      <c r="T478" s="282"/>
    </row>
    <row r="479" spans="1:42" x14ac:dyDescent="0.35">
      <c r="B479" s="33"/>
      <c r="P479" s="33"/>
      <c r="Q479" s="33"/>
      <c r="T479" s="282"/>
    </row>
    <row r="480" spans="1:42" x14ac:dyDescent="0.35">
      <c r="B480" s="33"/>
      <c r="P480" s="33"/>
      <c r="Q480" s="33"/>
      <c r="T480" s="282"/>
    </row>
    <row r="481" spans="2:39" x14ac:dyDescent="0.35">
      <c r="B481" s="33"/>
      <c r="P481" s="33"/>
      <c r="Q481" s="33"/>
      <c r="T481" s="282"/>
      <c r="AC481" s="6"/>
    </row>
    <row r="482" spans="2:39" x14ac:dyDescent="0.35">
      <c r="B482" s="33"/>
      <c r="P482" s="33"/>
      <c r="Q482" s="33"/>
      <c r="T482" s="282"/>
    </row>
    <row r="483" spans="2:39" x14ac:dyDescent="0.35">
      <c r="B483" s="33"/>
      <c r="P483" s="33"/>
      <c r="Q483" s="33"/>
      <c r="T483" s="282"/>
    </row>
    <row r="484" spans="2:39" x14ac:dyDescent="0.35">
      <c r="B484" s="33"/>
      <c r="P484" s="33"/>
      <c r="Q484" s="33"/>
    </row>
    <row r="485" spans="2:39" x14ac:dyDescent="0.35">
      <c r="B485" s="33"/>
      <c r="P485" s="33"/>
      <c r="Q485" s="33"/>
    </row>
    <row r="486" spans="2:39" x14ac:dyDescent="0.35">
      <c r="B486" s="33"/>
      <c r="P486" s="33"/>
      <c r="Q486" s="33"/>
    </row>
    <row r="487" spans="2:39" x14ac:dyDescent="0.35">
      <c r="B487" s="33"/>
      <c r="P487" s="33"/>
      <c r="Q487" s="33"/>
    </row>
    <row r="488" spans="2:39" x14ac:dyDescent="0.35">
      <c r="B488" s="33"/>
      <c r="P488" s="33"/>
      <c r="Q488" s="33"/>
    </row>
    <row r="489" spans="2:39" x14ac:dyDescent="0.35">
      <c r="B489" s="33"/>
      <c r="P489" s="33"/>
      <c r="Q489" s="33"/>
    </row>
    <row r="490" spans="2:39" x14ac:dyDescent="0.35">
      <c r="B490" s="33"/>
      <c r="P490" s="33"/>
      <c r="Q490" s="33"/>
    </row>
    <row r="491" spans="2:39" x14ac:dyDescent="0.35">
      <c r="B491" s="33"/>
      <c r="P491" s="33"/>
      <c r="Q491" s="33"/>
    </row>
    <row r="492" spans="2:39" x14ac:dyDescent="0.35">
      <c r="B492" s="33"/>
      <c r="F492" s="3"/>
      <c r="G492" s="3"/>
      <c r="I492" s="3"/>
      <c r="K492" s="3"/>
      <c r="P492" s="33"/>
      <c r="Q492" s="33"/>
      <c r="U492" s="3"/>
      <c r="V492" s="3"/>
      <c r="X492" s="3"/>
      <c r="Z492" s="3"/>
      <c r="AH492" s="3"/>
      <c r="AI492" s="3"/>
      <c r="AK492" s="3"/>
      <c r="AM492" s="3"/>
    </row>
    <row r="493" spans="2:39" x14ac:dyDescent="0.35">
      <c r="B493" s="33"/>
      <c r="P493" s="33"/>
      <c r="Q493" s="33"/>
    </row>
    <row r="494" spans="2:39" x14ac:dyDescent="0.35">
      <c r="B494" s="33"/>
      <c r="P494" s="33"/>
      <c r="Q494" s="33"/>
    </row>
    <row r="495" spans="2:39" x14ac:dyDescent="0.35">
      <c r="B495" s="33"/>
      <c r="P495" s="33"/>
      <c r="Q495" s="33"/>
    </row>
    <row r="496" spans="2:39" x14ac:dyDescent="0.35">
      <c r="B496" s="33"/>
      <c r="P496" s="33"/>
      <c r="Q496" s="33"/>
    </row>
    <row r="497" spans="1:27" x14ac:dyDescent="0.35">
      <c r="B497" s="33"/>
      <c r="P497" s="33"/>
      <c r="Q497" s="33"/>
    </row>
    <row r="498" spans="1:27" x14ac:dyDescent="0.35">
      <c r="B498" s="33"/>
      <c r="P498" s="33"/>
      <c r="Q498" s="33"/>
    </row>
    <row r="499" spans="1:27" x14ac:dyDescent="0.35">
      <c r="B499" s="33"/>
      <c r="P499" s="33"/>
      <c r="Q499" s="33"/>
    </row>
    <row r="500" spans="1:27" x14ac:dyDescent="0.35">
      <c r="B500" s="33"/>
      <c r="P500" s="33"/>
      <c r="Q500" s="33"/>
    </row>
    <row r="501" spans="1:27" x14ac:dyDescent="0.35">
      <c r="B501" s="33"/>
      <c r="P501" s="33"/>
      <c r="Q501" s="33"/>
    </row>
    <row r="502" spans="1:27" x14ac:dyDescent="0.35">
      <c r="B502" s="33"/>
      <c r="P502" s="33"/>
      <c r="Q502" s="33"/>
    </row>
    <row r="503" spans="1:27" x14ac:dyDescent="0.35">
      <c r="B503" s="33"/>
      <c r="P503" s="33"/>
      <c r="Q503" s="33"/>
    </row>
    <row r="504" spans="1:27" x14ac:dyDescent="0.35">
      <c r="B504" s="33"/>
      <c r="P504" s="33"/>
      <c r="Q504" s="33"/>
    </row>
    <row r="505" spans="1:27" x14ac:dyDescent="0.35">
      <c r="B505" s="33"/>
      <c r="P505" s="33"/>
      <c r="Q505" s="33"/>
      <c r="AA505" s="6"/>
    </row>
    <row r="506" spans="1:27" x14ac:dyDescent="0.35">
      <c r="B506" s="33"/>
      <c r="P506" s="33"/>
      <c r="Q506" s="33"/>
    </row>
    <row r="507" spans="1:27" x14ac:dyDescent="0.35">
      <c r="A507" s="33"/>
      <c r="B507" s="33"/>
      <c r="P507" s="33"/>
      <c r="Q507" s="33"/>
    </row>
    <row r="508" spans="1:27" x14ac:dyDescent="0.35">
      <c r="A508" s="33"/>
      <c r="B508" s="33"/>
      <c r="T508" s="282"/>
    </row>
    <row r="509" spans="1:27" x14ac:dyDescent="0.35">
      <c r="A509" s="33"/>
      <c r="B509" s="33"/>
      <c r="N509" s="32"/>
      <c r="T509" s="282"/>
    </row>
    <row r="510" spans="1:27" x14ac:dyDescent="0.35">
      <c r="T510" s="282"/>
    </row>
    <row r="511" spans="1:27" x14ac:dyDescent="0.35">
      <c r="N511" s="3"/>
      <c r="T511" s="282"/>
    </row>
    <row r="512" spans="1:27" x14ac:dyDescent="0.35">
      <c r="T512" s="282"/>
    </row>
    <row r="513" spans="6:28" x14ac:dyDescent="0.35">
      <c r="T513" s="282"/>
    </row>
    <row r="514" spans="6:28" x14ac:dyDescent="0.35">
      <c r="T514" s="282"/>
    </row>
    <row r="515" spans="6:28" x14ac:dyDescent="0.35">
      <c r="T515" s="282"/>
    </row>
    <row r="516" spans="6:28" x14ac:dyDescent="0.35">
      <c r="T516" s="282"/>
    </row>
    <row r="517" spans="6:28" x14ac:dyDescent="0.35">
      <c r="T517" s="282"/>
    </row>
    <row r="518" spans="6:28" x14ac:dyDescent="0.35">
      <c r="T518" s="282"/>
      <c r="AB518" s="6"/>
    </row>
    <row r="519" spans="6:28" x14ac:dyDescent="0.35">
      <c r="T519" s="282"/>
    </row>
    <row r="521" spans="6:28" x14ac:dyDescent="0.35">
      <c r="K521" s="6"/>
    </row>
    <row r="522" spans="6:28" x14ac:dyDescent="0.35">
      <c r="L522" s="6"/>
    </row>
    <row r="526" spans="6:28" x14ac:dyDescent="0.35">
      <c r="F526" s="3"/>
      <c r="G526" s="3"/>
      <c r="I526" s="3"/>
      <c r="K526" s="3"/>
    </row>
  </sheetData>
  <mergeCells count="11">
    <mergeCell ref="Y423:AB423"/>
    <mergeCell ref="A423:D423"/>
    <mergeCell ref="F423:I423"/>
    <mergeCell ref="K423:M423"/>
    <mergeCell ref="O423:R423"/>
    <mergeCell ref="T423:W423"/>
    <mergeCell ref="AD423:AF423"/>
    <mergeCell ref="AH423:AL423"/>
    <mergeCell ref="AN423:AQ423"/>
    <mergeCell ref="AS423:AV423"/>
    <mergeCell ref="AX423:BA423"/>
  </mergeCells>
  <pageMargins left="0.7" right="0.7" top="0.75" bottom="0.75" header="0.3" footer="0.3"/>
  <pageSetup paperSize="9" orientation="portrait"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E9074-8C45-49BE-8AA5-9C28239A7717}">
  <sheetPr>
    <tabColor theme="5" tint="0.59999389629810485"/>
  </sheetPr>
  <dimension ref="A1:D64"/>
  <sheetViews>
    <sheetView workbookViewId="0">
      <selection activeCell="N34" sqref="N34"/>
    </sheetView>
  </sheetViews>
  <sheetFormatPr defaultRowHeight="14.5" x14ac:dyDescent="0.35"/>
  <cols>
    <col min="1" max="1" width="33.36328125" bestFit="1" customWidth="1"/>
    <col min="2" max="2" width="10.6328125" bestFit="1" customWidth="1"/>
    <col min="3" max="3" width="9.08984375" bestFit="1" customWidth="1"/>
    <col min="4" max="4" width="10.6328125" bestFit="1" customWidth="1"/>
  </cols>
  <sheetData>
    <row r="1" spans="1:4" s="18" customFormat="1" ht="21" x14ac:dyDescent="0.5">
      <c r="A1" s="18" t="s">
        <v>763</v>
      </c>
    </row>
    <row r="2" spans="1:4" s="125" customFormat="1" x14ac:dyDescent="0.35">
      <c r="A2" s="321" t="s">
        <v>496</v>
      </c>
      <c r="B2" s="321"/>
      <c r="C2" s="321"/>
      <c r="D2" s="321"/>
    </row>
    <row r="4" spans="1:4" x14ac:dyDescent="0.35">
      <c r="B4" s="109" t="s">
        <v>855</v>
      </c>
      <c r="C4" s="109" t="s">
        <v>911</v>
      </c>
      <c r="D4" s="109" t="s">
        <v>912</v>
      </c>
    </row>
    <row r="5" spans="1:4" x14ac:dyDescent="0.35">
      <c r="A5" s="188" t="s">
        <v>230</v>
      </c>
      <c r="B5" s="126">
        <f>'Results ReCiPe (H) - CC'!B10/1000</f>
        <v>0.73653464929750434</v>
      </c>
      <c r="C5" s="126">
        <f>'Results ReCiPe (H) - CC'!B50/1000</f>
        <v>0.66408013862840054</v>
      </c>
      <c r="D5" s="126">
        <f>'Results ReCiPe (H) - CC'!B90/1000</f>
        <v>0.52214630630241099</v>
      </c>
    </row>
    <row r="6" spans="1:4" x14ac:dyDescent="0.35">
      <c r="A6" s="188" t="s">
        <v>883</v>
      </c>
      <c r="B6" s="126">
        <f>'Results ReCiPe (H) - CC'!B11/1000</f>
        <v>0.96471070101214207</v>
      </c>
      <c r="C6" s="126">
        <f>'Results ReCiPe (H) - CC'!B51/1000</f>
        <v>0.88072967752235443</v>
      </c>
      <c r="D6" s="126">
        <f>'Results ReCiPe (H) - CC'!B91/1000</f>
        <v>0.68959917152625094</v>
      </c>
    </row>
    <row r="7" spans="1:4" x14ac:dyDescent="0.35">
      <c r="A7" s="188" t="s">
        <v>272</v>
      </c>
      <c r="B7" s="126">
        <f>'Results ReCiPe (H) - CC'!B12/1000</f>
        <v>3.0123300131811672</v>
      </c>
      <c r="C7" s="126">
        <f>'Results ReCiPe (H) - CC'!B52/1000</f>
        <v>2.7262435258181008</v>
      </c>
      <c r="D7" s="126">
        <f>'Results ReCiPe (H) - CC'!B92/1000</f>
        <v>2.2997919129358628</v>
      </c>
    </row>
    <row r="8" spans="1:4" x14ac:dyDescent="0.35">
      <c r="A8" s="188" t="s">
        <v>191</v>
      </c>
      <c r="B8" s="126">
        <f>'Results ReCiPe (H) - CC'!B13/1000</f>
        <v>2.7459417900267482</v>
      </c>
      <c r="C8" s="126">
        <f>'Results ReCiPe (H) - CC'!B53/1000</f>
        <v>2.5355148250076129</v>
      </c>
      <c r="D8" s="126">
        <f>'Results ReCiPe (H) - CC'!B93/1000</f>
        <v>2.0487708155777868</v>
      </c>
    </row>
    <row r="9" spans="1:4" x14ac:dyDescent="0.35">
      <c r="A9" s="188" t="s">
        <v>192</v>
      </c>
      <c r="B9" s="126">
        <f>'Results ReCiPe (H) - CC'!B14/1000</f>
        <v>1.6252980342894079</v>
      </c>
      <c r="C9" s="126">
        <f>'Results ReCiPe (H) - CC'!B54/1000</f>
        <v>1.5163905809720071</v>
      </c>
      <c r="D9" s="126">
        <f>'Results ReCiPe (H) - CC'!B94/1000</f>
        <v>1.12730474085434</v>
      </c>
    </row>
    <row r="10" spans="1:4" x14ac:dyDescent="0.35">
      <c r="A10" s="188" t="s">
        <v>193</v>
      </c>
      <c r="B10" s="126">
        <f>'Results ReCiPe (H) - CC'!B15/1000</f>
        <v>1.1505712368961118</v>
      </c>
      <c r="C10" s="126">
        <f>'Results ReCiPe (H) - CC'!B55/1000</f>
        <v>1.0908211920973019</v>
      </c>
      <c r="D10" s="126">
        <f>'Results ReCiPe (H) - CC'!B95/1000</f>
        <v>0.91164283815019032</v>
      </c>
    </row>
    <row r="11" spans="1:4" ht="16.5" x14ac:dyDescent="0.45">
      <c r="A11" s="188" t="s">
        <v>884</v>
      </c>
      <c r="B11" s="126">
        <f>'Results ReCiPe (H) - CC'!B16/1000</f>
        <v>0.77205259525488656</v>
      </c>
      <c r="C11" s="126">
        <f>'Results ReCiPe (H) - CC'!B56/1000</f>
        <v>0.72017360726585544</v>
      </c>
      <c r="D11" s="126">
        <f>'Results ReCiPe (H) - CC'!B96/1000</f>
        <v>0.53654433466923934</v>
      </c>
    </row>
    <row r="12" spans="1:4" x14ac:dyDescent="0.35">
      <c r="A12" s="188" t="s">
        <v>195</v>
      </c>
      <c r="B12" s="126">
        <f>'Results ReCiPe (H) - CC'!B17/1000</f>
        <v>0.66502827145034171</v>
      </c>
      <c r="C12" s="126">
        <f>'Results ReCiPe (H) - CC'!B57/1000</f>
        <v>0.60064271598941854</v>
      </c>
      <c r="D12" s="126">
        <f>'Results ReCiPe (H) - CC'!B97/1000</f>
        <v>0.42350186488159069</v>
      </c>
    </row>
    <row r="13" spans="1:4" x14ac:dyDescent="0.35">
      <c r="A13" s="188" t="s">
        <v>885</v>
      </c>
      <c r="B13" s="126">
        <f>'Results ReCiPe (H) - CC'!B18/1000</f>
        <v>6.0685019133974123</v>
      </c>
      <c r="C13" s="126">
        <f>'Results ReCiPe (H) - CC'!B58/1000</f>
        <v>5.4714360123760537</v>
      </c>
      <c r="D13" s="126">
        <f>'Results ReCiPe (H) - CC'!B98/1000</f>
        <v>4.6202212963694533</v>
      </c>
    </row>
    <row r="14" spans="1:4" x14ac:dyDescent="0.35">
      <c r="A14" s="188" t="s">
        <v>354</v>
      </c>
      <c r="B14" s="126">
        <f>'Results ReCiPe (H) - CC'!B19/1000</f>
        <v>11.45141246529284</v>
      </c>
      <c r="C14" s="126">
        <f>'Results ReCiPe (H) - CC'!B59/1000</f>
        <v>10.289890435836419</v>
      </c>
      <c r="D14" s="126">
        <f>'Results ReCiPe (H) - CC'!B99/1000</f>
        <v>5.7396171857742839</v>
      </c>
    </row>
    <row r="15" spans="1:4" x14ac:dyDescent="0.35">
      <c r="A15" s="188" t="s">
        <v>886</v>
      </c>
      <c r="B15" s="126">
        <f>'Results ReCiPe (H) - CC'!B20/1000</f>
        <v>0.160844509152789</v>
      </c>
      <c r="C15" s="126">
        <f>'Results ReCiPe (H) - CC'!B60/1000</f>
        <v>0.1498302664696288</v>
      </c>
      <c r="D15" s="126">
        <f>'Results ReCiPe (H) - CC'!B100/1000</f>
        <v>0.1358099801011502</v>
      </c>
    </row>
    <row r="16" spans="1:4" s="282" customFormat="1" x14ac:dyDescent="0.35">
      <c r="A16" s="297" t="s">
        <v>887</v>
      </c>
      <c r="B16" s="126">
        <f>'Results ReCiPe (H) - CC'!B23/1000</f>
        <v>8.4418358990577627</v>
      </c>
      <c r="C16" s="126">
        <f>'Results ReCiPe (H) - CC'!B63/1000</f>
        <v>8.3858438655395489</v>
      </c>
      <c r="D16" s="126">
        <f>'Results ReCiPe (H) - CC'!B103/1000</f>
        <v>8.2189811246529114</v>
      </c>
    </row>
    <row r="18" spans="1:4" s="125" customFormat="1" x14ac:dyDescent="0.35">
      <c r="A18" s="321" t="s">
        <v>497</v>
      </c>
      <c r="B18" s="321"/>
      <c r="C18" s="321"/>
      <c r="D18" s="321"/>
    </row>
    <row r="19" spans="1:4" s="187" customFormat="1" x14ac:dyDescent="0.35"/>
    <row r="20" spans="1:4" s="187" customFormat="1" x14ac:dyDescent="0.35">
      <c r="B20" s="109" t="s">
        <v>855</v>
      </c>
      <c r="C20" s="109" t="s">
        <v>911</v>
      </c>
      <c r="D20" s="109" t="s">
        <v>912</v>
      </c>
    </row>
    <row r="21" spans="1:4" s="187" customFormat="1" x14ac:dyDescent="0.35">
      <c r="A21" s="188" t="s">
        <v>230</v>
      </c>
      <c r="B21" s="126">
        <f>'Results ReCiPe (H) - ESD'!B10</f>
        <v>3.4065629385513331E-6</v>
      </c>
      <c r="C21" s="126">
        <f>'Results ReCiPe (H) - ESD'!B50</f>
        <v>3.1244393966085418E-6</v>
      </c>
      <c r="D21" s="126">
        <f>'Results ReCiPe (H) - ESD'!B90</f>
        <v>2.5730574523951919E-6</v>
      </c>
    </row>
    <row r="22" spans="1:4" s="187" customFormat="1" x14ac:dyDescent="0.35">
      <c r="A22" s="188" t="s">
        <v>883</v>
      </c>
      <c r="B22" s="126">
        <f>'Results ReCiPe (H) - ESD'!B11</f>
        <v>5.9775544476410673E-6</v>
      </c>
      <c r="C22" s="126">
        <f>'Results ReCiPe (H) - ESD'!B51</f>
        <v>5.6429582916055214E-6</v>
      </c>
      <c r="D22" s="126">
        <f>'Results ReCiPe (H) - ESD'!B91</f>
        <v>4.8920761983372821E-6</v>
      </c>
    </row>
    <row r="23" spans="1:4" s="187" customFormat="1" x14ac:dyDescent="0.35">
      <c r="A23" s="188" t="s">
        <v>272</v>
      </c>
      <c r="B23" s="126">
        <f>'Results ReCiPe (H) - ESD'!B12</f>
        <v>1.5280120239729288E-5</v>
      </c>
      <c r="C23" s="126">
        <f>'Results ReCiPe (H) - ESD'!B52</f>
        <v>1.418628247834127E-5</v>
      </c>
      <c r="D23" s="126">
        <f>'Results ReCiPe (H) - ESD'!B92</f>
        <v>1.2592987091342301E-5</v>
      </c>
    </row>
    <row r="24" spans="1:4" s="187" customFormat="1" x14ac:dyDescent="0.35">
      <c r="A24" s="188" t="s">
        <v>191</v>
      </c>
      <c r="B24" s="126">
        <f>'Results ReCiPe (H) - ESD'!B13</f>
        <v>1.237356434915746E-5</v>
      </c>
      <c r="C24" s="126">
        <f>'Results ReCiPe (H) - ESD'!B53</f>
        <v>1.150422510297097E-5</v>
      </c>
      <c r="D24" s="126">
        <f>'Results ReCiPe (H) - ESD'!B93</f>
        <v>9.5688269134472151E-6</v>
      </c>
    </row>
    <row r="25" spans="1:4" s="187" customFormat="1" x14ac:dyDescent="0.35">
      <c r="A25" s="188" t="s">
        <v>192</v>
      </c>
      <c r="B25" s="126">
        <f>'Results ReCiPe (H) - ESD'!B14</f>
        <v>9.6467851095061977E-6</v>
      </c>
      <c r="C25" s="126">
        <f>'Results ReCiPe (H) - ESD'!B54</f>
        <v>9.1719333838261594E-6</v>
      </c>
      <c r="D25" s="126">
        <f>'Results ReCiPe (H) - ESD'!B94</f>
        <v>7.5789098247603887E-6</v>
      </c>
    </row>
    <row r="26" spans="1:4" s="187" customFormat="1" x14ac:dyDescent="0.35">
      <c r="A26" s="188" t="s">
        <v>193</v>
      </c>
      <c r="B26" s="126">
        <f>'Results ReCiPe (H) - ESD'!B15</f>
        <v>7.490794425870649E-6</v>
      </c>
      <c r="C26" s="126">
        <f>'Results ReCiPe (H) - ESD'!B55</f>
        <v>7.2421411651487134E-6</v>
      </c>
      <c r="D26" s="126">
        <f>'Results ReCiPe (H) - ESD'!B95</f>
        <v>6.5339554735163091E-6</v>
      </c>
    </row>
    <row r="27" spans="1:4" s="187" customFormat="1" ht="16.5" x14ac:dyDescent="0.45">
      <c r="A27" s="188" t="s">
        <v>884</v>
      </c>
      <c r="B27" s="126">
        <f>'Results ReCiPe (H) - ESD'!B16</f>
        <v>5.3054904136133011E-6</v>
      </c>
      <c r="C27" s="126">
        <f>'Results ReCiPe (H) - ESD'!B56</f>
        <v>5.0838586316427567E-6</v>
      </c>
      <c r="D27" s="126">
        <f>'Results ReCiPe (H) - ESD'!B96</f>
        <v>4.3369769417194421E-6</v>
      </c>
    </row>
    <row r="28" spans="1:4" s="187" customFormat="1" x14ac:dyDescent="0.35">
      <c r="A28" s="188" t="s">
        <v>195</v>
      </c>
      <c r="B28" s="126">
        <f>'Results ReCiPe (H) - ESD'!B17</f>
        <v>4.5452790891056938E-6</v>
      </c>
      <c r="C28" s="126">
        <f>'Results ReCiPe (H) - ESD'!B57</f>
        <v>4.2855500853218693E-6</v>
      </c>
      <c r="D28" s="126">
        <f>'Results ReCiPe (H) - ESD'!B97</f>
        <v>3.5786050973205839E-6</v>
      </c>
    </row>
    <row r="29" spans="1:4" s="187" customFormat="1" x14ac:dyDescent="0.35">
      <c r="A29" s="188" t="s">
        <v>885</v>
      </c>
      <c r="B29" s="126">
        <f>'Results ReCiPe (H) - ESD'!B18</f>
        <v>2.519681743962088E-5</v>
      </c>
      <c r="C29" s="126">
        <f>'Results ReCiPe (H) - ESD'!B58</f>
        <v>2.291638491689332E-5</v>
      </c>
      <c r="D29" s="126">
        <f>'Results ReCiPe (H) - ESD'!B98</f>
        <v>1.9755647666104199E-5</v>
      </c>
    </row>
    <row r="30" spans="1:4" s="187" customFormat="1" x14ac:dyDescent="0.35">
      <c r="A30" s="188" t="s">
        <v>354</v>
      </c>
      <c r="B30" s="126">
        <f>'Results ReCiPe (H) - ESD'!B19</f>
        <v>7.3235179910091571E-5</v>
      </c>
      <c r="C30" s="126">
        <f>'Results ReCiPe (H) - ESD'!B59</f>
        <v>6.8369970539627651E-5</v>
      </c>
      <c r="D30" s="126">
        <f>'Results ReCiPe (H) - ESD'!B99</f>
        <v>4.9672540671057758E-5</v>
      </c>
    </row>
    <row r="31" spans="1:4" s="187" customFormat="1" x14ac:dyDescent="0.35">
      <c r="A31" s="188" t="s">
        <v>886</v>
      </c>
      <c r="B31" s="126">
        <f>'Results ReCiPe (H) - ESD'!B20</f>
        <v>7.5090323051228674E-7</v>
      </c>
      <c r="C31" s="126">
        <f>'Results ReCiPe (H) - ESD'!B60</f>
        <v>7.1745132553752663E-7</v>
      </c>
      <c r="D31" s="126">
        <f>'Results ReCiPe (H) - ESD'!B100</f>
        <v>6.7173966351855849E-7</v>
      </c>
    </row>
    <row r="32" spans="1:4" s="282" customFormat="1" x14ac:dyDescent="0.35">
      <c r="A32" s="297" t="s">
        <v>887</v>
      </c>
      <c r="B32" s="126">
        <f>'Results ReCiPe (H) - ESD'!B23</f>
        <v>2.9416502269639851E-5</v>
      </c>
      <c r="C32" s="126">
        <f>'Results ReCiPe (H) - ESD'!B63</f>
        <v>2.9200627294988823E-5</v>
      </c>
      <c r="D32" s="126">
        <f>'Results ReCiPe (H) - ESD'!B103</f>
        <v>2.8577459880686999E-5</v>
      </c>
    </row>
    <row r="34" spans="1:4" s="125" customFormat="1" x14ac:dyDescent="0.35">
      <c r="A34" s="321" t="s">
        <v>498</v>
      </c>
      <c r="B34" s="321"/>
      <c r="C34" s="321"/>
      <c r="D34" s="321"/>
    </row>
    <row r="35" spans="1:4" s="187" customFormat="1" x14ac:dyDescent="0.35"/>
    <row r="36" spans="1:4" s="187" customFormat="1" x14ac:dyDescent="0.35">
      <c r="B36" s="109" t="s">
        <v>855</v>
      </c>
      <c r="C36" s="109" t="s">
        <v>911</v>
      </c>
      <c r="D36" s="109" t="s">
        <v>912</v>
      </c>
    </row>
    <row r="37" spans="1:4" s="187" customFormat="1" x14ac:dyDescent="0.35">
      <c r="A37" s="188" t="s">
        <v>230</v>
      </c>
      <c r="B37" s="126">
        <f>'Results ReCiPe (H) - HHD'!B10</f>
        <v>2.894941084896093E-3</v>
      </c>
      <c r="C37" s="126">
        <f>'Results ReCiPe (H) - HHD'!B50</f>
        <v>2.686627601232994E-3</v>
      </c>
      <c r="D37" s="126">
        <f>'Results ReCiPe (H) - HHD'!B90</f>
        <v>2.4100049612117481E-3</v>
      </c>
    </row>
    <row r="38" spans="1:4" s="187" customFormat="1" x14ac:dyDescent="0.35">
      <c r="A38" s="188" t="s">
        <v>883</v>
      </c>
      <c r="B38" s="126">
        <f>'Results ReCiPe (H) - HHD'!B11</f>
        <v>6.0231401899834662E-3</v>
      </c>
      <c r="C38" s="126">
        <f>'Results ReCiPe (H) - HHD'!B51</f>
        <v>5.7475279188938643E-3</v>
      </c>
      <c r="D38" s="126">
        <f>'Results ReCiPe (H) - HHD'!B91</f>
        <v>5.3713425904224309E-3</v>
      </c>
    </row>
    <row r="39" spans="1:4" s="187" customFormat="1" x14ac:dyDescent="0.35">
      <c r="A39" s="188" t="s">
        <v>272</v>
      </c>
      <c r="B39" s="126">
        <f>'Results ReCiPe (H) - HHD'!B12</f>
        <v>1.3717423440267161E-2</v>
      </c>
      <c r="C39" s="126">
        <f>'Results ReCiPe (H) - HHD'!B52</f>
        <v>1.2845382150857119E-2</v>
      </c>
      <c r="D39" s="126">
        <f>'Results ReCiPe (H) - HHD'!B92</f>
        <v>1.2015567507973911E-2</v>
      </c>
    </row>
    <row r="40" spans="1:4" s="187" customFormat="1" x14ac:dyDescent="0.35">
      <c r="A40" s="188" t="s">
        <v>191</v>
      </c>
      <c r="B40" s="126">
        <f>'Results ReCiPe (H) - HHD'!B13</f>
        <v>1.68268964507193E-2</v>
      </c>
      <c r="C40" s="126">
        <f>'Results ReCiPe (H) - HHD'!B53</f>
        <v>1.6265845410914071E-2</v>
      </c>
      <c r="D40" s="126">
        <f>'Results ReCiPe (H) - HHD'!B93</f>
        <v>1.529227024432098E-2</v>
      </c>
    </row>
    <row r="41" spans="1:4" s="187" customFormat="1" x14ac:dyDescent="0.35">
      <c r="A41" s="188" t="s">
        <v>192</v>
      </c>
      <c r="B41" s="126">
        <f>'Results ReCiPe (H) - HHD'!B14</f>
        <v>1.290728015734449E-2</v>
      </c>
      <c r="C41" s="126">
        <f>'Results ReCiPe (H) - HHD'!B54</f>
        <v>1.267220629476748E-2</v>
      </c>
      <c r="D41" s="126">
        <f>'Results ReCiPe (H) - HHD'!B94</f>
        <v>1.1898439492001591E-2</v>
      </c>
    </row>
    <row r="42" spans="1:4" s="187" customFormat="1" x14ac:dyDescent="0.35">
      <c r="A42" s="188" t="s">
        <v>193</v>
      </c>
      <c r="B42" s="126">
        <f>'Results ReCiPe (H) - HHD'!B15</f>
        <v>8.2577490139394989E-3</v>
      </c>
      <c r="C42" s="126">
        <f>'Results ReCiPe (H) - HHD'!B55</f>
        <v>8.1155683691255427E-3</v>
      </c>
      <c r="D42" s="126">
        <f>'Results ReCiPe (H) - HHD'!B95</f>
        <v>7.7672923315607531E-3</v>
      </c>
    </row>
    <row r="43" spans="1:4" s="187" customFormat="1" ht="16.5" x14ac:dyDescent="0.45">
      <c r="A43" s="188" t="s">
        <v>884</v>
      </c>
      <c r="B43" s="126">
        <f>'Results ReCiPe (H) - HHD'!B16</f>
        <v>6.4251549853091127E-3</v>
      </c>
      <c r="C43" s="126">
        <f>'Results ReCiPe (H) - HHD'!B56</f>
        <v>6.3101752981999824E-3</v>
      </c>
      <c r="D43" s="126">
        <f>'Results ReCiPe (H) - HHD'!B96</f>
        <v>5.948865391495731E-3</v>
      </c>
    </row>
    <row r="44" spans="1:4" s="187" customFormat="1" x14ac:dyDescent="0.35">
      <c r="A44" s="188" t="s">
        <v>195</v>
      </c>
      <c r="B44" s="126">
        <f>'Results ReCiPe (H) - HHD'!B17</f>
        <v>3.8313181865858421E-3</v>
      </c>
      <c r="C44" s="126">
        <f>'Results ReCiPe (H) - HHD'!B57</f>
        <v>3.6673559301182651E-3</v>
      </c>
      <c r="D44" s="126">
        <f>'Results ReCiPe (H) - HHD'!B97</f>
        <v>3.321744155878405E-3</v>
      </c>
    </row>
    <row r="45" spans="1:4" s="187" customFormat="1" x14ac:dyDescent="0.35">
      <c r="A45" s="188" t="s">
        <v>885</v>
      </c>
      <c r="B45" s="126">
        <f>'Results ReCiPe (H) - HHD'!B18</f>
        <v>2.209496262897262E-2</v>
      </c>
      <c r="C45" s="126">
        <f>'Results ReCiPe (H) - HHD'!B58</f>
        <v>2.0251561932952661E-2</v>
      </c>
      <c r="D45" s="126">
        <f>'Results ReCiPe (H) - HHD'!B98</f>
        <v>1.8593796959748408E-2</v>
      </c>
    </row>
    <row r="46" spans="1:4" s="187" customFormat="1" x14ac:dyDescent="0.35">
      <c r="A46" s="188" t="s">
        <v>354</v>
      </c>
      <c r="B46" s="126">
        <f>'Results ReCiPe (H) - HHD'!B19</f>
        <v>5.8245388563263008E-2</v>
      </c>
      <c r="C46" s="126">
        <f>'Results ReCiPe (H) - HHD'!B59</f>
        <v>5.5780352999011518E-2</v>
      </c>
      <c r="D46" s="126">
        <f>'Results ReCiPe (H) - HHD'!B99</f>
        <v>4.6894275088252467E-2</v>
      </c>
    </row>
    <row r="47" spans="1:4" s="187" customFormat="1" x14ac:dyDescent="0.35">
      <c r="A47" s="188" t="s">
        <v>886</v>
      </c>
      <c r="B47" s="126">
        <f>'Results ReCiPe (H) - HHD'!B20</f>
        <v>3.0224220416950572E-4</v>
      </c>
      <c r="C47" s="126">
        <f>'Results ReCiPe (H) - HHD'!B60</f>
        <v>2.8664307292717168E-4</v>
      </c>
      <c r="D47" s="126">
        <f>'Results ReCiPe (H) - HHD'!B100</f>
        <v>2.6822864157904019E-4</v>
      </c>
    </row>
    <row r="48" spans="1:4" x14ac:dyDescent="0.35">
      <c r="A48" s="297" t="s">
        <v>887</v>
      </c>
      <c r="B48" s="126">
        <f>'Results ReCiPe (H) - HHD'!B23</f>
        <v>1.4675893651807536E-2</v>
      </c>
      <c r="C48" s="126">
        <f>'Results ReCiPe (H) - HHD'!B63</f>
        <v>1.4529104350648813E-2</v>
      </c>
      <c r="D48" s="126">
        <f>'Results ReCiPe (H) - HHD'!B103</f>
        <v>1.4230293024424689E-2</v>
      </c>
    </row>
    <row r="50" spans="1:4" s="125" customFormat="1" x14ac:dyDescent="0.35">
      <c r="A50" s="321" t="s">
        <v>913</v>
      </c>
      <c r="B50" s="321"/>
      <c r="C50" s="321"/>
      <c r="D50" s="321"/>
    </row>
    <row r="52" spans="1:4" x14ac:dyDescent="0.35">
      <c r="A52" s="282"/>
      <c r="B52" s="109" t="s">
        <v>855</v>
      </c>
      <c r="C52" s="109" t="s">
        <v>911</v>
      </c>
      <c r="D52" s="109" t="s">
        <v>912</v>
      </c>
    </row>
    <row r="53" spans="1:4" x14ac:dyDescent="0.35">
      <c r="A53" s="188" t="s">
        <v>230</v>
      </c>
      <c r="B53" s="126">
        <f>'Results ReCiPe (H) - RD'!B10</f>
        <v>75.900107259729808</v>
      </c>
      <c r="C53" s="126">
        <f>'Results ReCiPe (H) - RD'!B50</f>
        <v>74.575809260309001</v>
      </c>
      <c r="D53" s="126">
        <f>'Results ReCiPe (H) - RD'!B90</f>
        <v>71.38267553879804</v>
      </c>
    </row>
    <row r="54" spans="1:4" x14ac:dyDescent="0.35">
      <c r="A54" s="188" t="s">
        <v>883</v>
      </c>
      <c r="B54" s="126">
        <f>'Results ReCiPe (H) - RD'!B11</f>
        <v>315.32647070950878</v>
      </c>
      <c r="C54" s="126">
        <f>'Results ReCiPe (H) - RD'!B51</f>
        <v>313.82231223638792</v>
      </c>
      <c r="D54" s="126">
        <f>'Results ReCiPe (H) - RD'!B91</f>
        <v>309.39379081190958</v>
      </c>
    </row>
    <row r="55" spans="1:4" x14ac:dyDescent="0.35">
      <c r="A55" s="188" t="s">
        <v>272</v>
      </c>
      <c r="B55" s="126">
        <f>'Results ReCiPe (H) - RD'!B12</f>
        <v>320.06211166534263</v>
      </c>
      <c r="C55" s="126">
        <f>'Results ReCiPe (H) - RD'!B52</f>
        <v>315.02558376823708</v>
      </c>
      <c r="D55" s="126">
        <f>'Results ReCiPe (H) - RD'!B92</f>
        <v>304.2681794288975</v>
      </c>
    </row>
    <row r="56" spans="1:4" x14ac:dyDescent="0.35">
      <c r="A56" s="188" t="s">
        <v>191</v>
      </c>
      <c r="B56" s="126">
        <f>'Results ReCiPe (H) - RD'!B13</f>
        <v>246.9725509849394</v>
      </c>
      <c r="C56" s="126">
        <f>'Results ReCiPe (H) - RD'!B53</f>
        <v>243.43520206801139</v>
      </c>
      <c r="D56" s="126">
        <f>'Results ReCiPe (H) - RD'!B93</f>
        <v>232.33757803762921</v>
      </c>
    </row>
    <row r="57" spans="1:4" x14ac:dyDescent="0.35">
      <c r="A57" s="188" t="s">
        <v>192</v>
      </c>
      <c r="B57" s="126">
        <f>'Results ReCiPe (H) - RD'!B14</f>
        <v>121.9560327138697</v>
      </c>
      <c r="C57" s="126">
        <f>'Results ReCiPe (H) - RD'!B54</f>
        <v>119.8877128712579</v>
      </c>
      <c r="D57" s="126">
        <f>'Results ReCiPe (H) - RD'!B94</f>
        <v>112.28629490364889</v>
      </c>
    </row>
    <row r="58" spans="1:4" x14ac:dyDescent="0.35">
      <c r="A58" s="188" t="s">
        <v>193</v>
      </c>
      <c r="B58" s="126">
        <f>'Results ReCiPe (H) - RD'!B15</f>
        <v>86.300562327748125</v>
      </c>
      <c r="C58" s="126">
        <f>'Results ReCiPe (H) - RD'!B55</f>
        <v>85.211147912787794</v>
      </c>
      <c r="D58" s="126">
        <f>'Results ReCiPe (H) - RD'!B95</f>
        <v>81.434527823734626</v>
      </c>
    </row>
    <row r="59" spans="1:4" ht="16.5" x14ac:dyDescent="0.45">
      <c r="A59" s="188" t="s">
        <v>884</v>
      </c>
      <c r="B59" s="126">
        <f>'Results ReCiPe (H) - RD'!B16</f>
        <v>58.252905588334869</v>
      </c>
      <c r="C59" s="126">
        <f>'Results ReCiPe (H) - RD'!B56</f>
        <v>57.213045992396857</v>
      </c>
      <c r="D59" s="126">
        <f>'Results ReCiPe (H) - RD'!B96</f>
        <v>53.72069534285378</v>
      </c>
    </row>
    <row r="60" spans="1:4" x14ac:dyDescent="0.35">
      <c r="A60" s="188" t="s">
        <v>195</v>
      </c>
      <c r="B60" s="126">
        <f>'Results ReCiPe (H) - RD'!B17</f>
        <v>61.36907317967863</v>
      </c>
      <c r="C60" s="126">
        <f>'Results ReCiPe (H) - RD'!B57</f>
        <v>60.149320712686112</v>
      </c>
      <c r="D60" s="126">
        <f>'Results ReCiPe (H) - RD'!B97</f>
        <v>56.4741510532414</v>
      </c>
    </row>
    <row r="61" spans="1:4" x14ac:dyDescent="0.35">
      <c r="A61" s="188" t="s">
        <v>885</v>
      </c>
      <c r="B61" s="126">
        <f>'Results ReCiPe (H) - RD'!B18</f>
        <v>664.60788560352216</v>
      </c>
      <c r="C61" s="126">
        <f>'Results ReCiPe (H) - RD'!B58</f>
        <v>654.34504301961317</v>
      </c>
      <c r="D61" s="126">
        <f>'Results ReCiPe (H) - RD'!B98</f>
        <v>632.20465263923336</v>
      </c>
    </row>
    <row r="62" spans="1:4" x14ac:dyDescent="0.35">
      <c r="A62" s="188" t="s">
        <v>354</v>
      </c>
      <c r="B62" s="126">
        <f>'Results ReCiPe (H) - RD'!B19</f>
        <v>720.62977688043634</v>
      </c>
      <c r="C62" s="126">
        <f>'Results ReCiPe (H) - RD'!B59</f>
        <v>693.55879573755169</v>
      </c>
      <c r="D62" s="126">
        <f>'Results ReCiPe (H) - RD'!B99</f>
        <v>613.14460127904488</v>
      </c>
    </row>
    <row r="63" spans="1:4" x14ac:dyDescent="0.35">
      <c r="A63" s="188" t="s">
        <v>886</v>
      </c>
      <c r="B63" s="126">
        <f>'Results ReCiPe (H) - RD'!B20</f>
        <v>53.333868076658177</v>
      </c>
      <c r="C63" s="126">
        <f>'Results ReCiPe (H) - RD'!B60</f>
        <v>53.610983579825508</v>
      </c>
      <c r="D63" s="126">
        <f>'Results ReCiPe (H) - RD'!B100</f>
        <v>53.80292885804797</v>
      </c>
    </row>
    <row r="64" spans="1:4" x14ac:dyDescent="0.35">
      <c r="A64" s="297" t="s">
        <v>887</v>
      </c>
      <c r="B64" s="126">
        <f>'Results ReCiPe (H) - RD'!B23</f>
        <v>94.898922521686899</v>
      </c>
      <c r="C64" s="126">
        <f>'Results ReCiPe (H) - RD'!B63</f>
        <v>93.54881407772514</v>
      </c>
      <c r="D64" s="126">
        <f>'Results ReCiPe (H) - RD'!B103</f>
        <v>90.667612068793431</v>
      </c>
    </row>
  </sheetData>
  <mergeCells count="4">
    <mergeCell ref="A2:D2"/>
    <mergeCell ref="A18:D18"/>
    <mergeCell ref="A34:D34"/>
    <mergeCell ref="A50:D50"/>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0CB43-42EA-4525-89C7-A17E16260385}">
  <sheetPr>
    <tabColor theme="5" tint="-0.249977111117893"/>
  </sheetPr>
  <dimension ref="A1:BB476"/>
  <sheetViews>
    <sheetView topLeftCell="A311" zoomScale="40" zoomScaleNormal="40" workbookViewId="0">
      <selection activeCell="G511" sqref="G511"/>
    </sheetView>
  </sheetViews>
  <sheetFormatPr defaultColWidth="8.54296875" defaultRowHeight="14.5" outlineLevelRow="1" x14ac:dyDescent="0.35"/>
  <cols>
    <col min="1" max="1" width="45.08984375" style="6" customWidth="1"/>
    <col min="2" max="2" width="16.453125" style="6" bestFit="1" customWidth="1"/>
    <col min="3" max="14" width="10.54296875" style="6" bestFit="1" customWidth="1"/>
    <col min="15" max="16" width="10.1796875" style="6" bestFit="1" customWidth="1"/>
    <col min="17" max="24" width="10.54296875" style="6" bestFit="1" customWidth="1"/>
    <col min="25" max="25" width="10.1796875" style="6" bestFit="1" customWidth="1"/>
    <col min="26" max="26" width="16.453125" style="6" bestFit="1" customWidth="1"/>
    <col min="27" max="27" width="8.54296875" style="6"/>
    <col min="28" max="28" width="35" style="6" bestFit="1" customWidth="1"/>
    <col min="29" max="29" width="16.453125" style="6" bestFit="1" customWidth="1"/>
    <col min="30" max="30" width="16.54296875" style="6" customWidth="1"/>
    <col min="31" max="53" width="12.81640625" style="6" bestFit="1" customWidth="1"/>
    <col min="54" max="16384" width="8.54296875" style="6"/>
  </cols>
  <sheetData>
    <row r="1" spans="1:53" s="139" customFormat="1" ht="21" x14ac:dyDescent="0.5">
      <c r="A1" s="138" t="s">
        <v>690</v>
      </c>
    </row>
    <row r="2" spans="1:53" s="221" customFormat="1" ht="21" x14ac:dyDescent="0.5">
      <c r="A2" s="229" t="s">
        <v>849</v>
      </c>
    </row>
    <row r="3" spans="1:53" s="18" customFormat="1" ht="21" x14ac:dyDescent="0.5">
      <c r="A3" s="18" t="s">
        <v>72</v>
      </c>
    </row>
    <row r="4" spans="1:53" s="20" customFormat="1" outlineLevel="1" x14ac:dyDescent="0.35">
      <c r="A4" s="19" t="s">
        <v>767</v>
      </c>
    </row>
    <row r="5" spans="1:53" s="16" customFormat="1" outlineLevel="1" x14ac:dyDescent="0.35">
      <c r="A5" s="21"/>
      <c r="AB5" s="16" t="s">
        <v>47</v>
      </c>
      <c r="AC5" s="16">
        <v>9.2800000000000005E-7</v>
      </c>
      <c r="AD5" s="16" t="s">
        <v>48</v>
      </c>
      <c r="AE5" s="15" t="s">
        <v>714</v>
      </c>
    </row>
    <row r="6" spans="1:53" s="16" customFormat="1" outlineLevel="1" x14ac:dyDescent="0.35">
      <c r="A6" s="22" t="s">
        <v>564</v>
      </c>
      <c r="AC6" s="16">
        <f>AC5*1000</f>
        <v>9.2800000000000001E-4</v>
      </c>
      <c r="AD6" s="16" t="s">
        <v>126</v>
      </c>
    </row>
    <row r="7" spans="1:53" s="16" customFormat="1" outlineLevel="1" x14ac:dyDescent="0.35">
      <c r="A7" s="22"/>
      <c r="AB7" s="16" t="s">
        <v>127</v>
      </c>
      <c r="AC7" s="16">
        <v>100</v>
      </c>
      <c r="AD7" s="16" t="s">
        <v>128</v>
      </c>
    </row>
    <row r="8" spans="1:53" s="16" customFormat="1" outlineLevel="1" x14ac:dyDescent="0.35">
      <c r="A8" s="22"/>
      <c r="AB8" s="16" t="s">
        <v>129</v>
      </c>
      <c r="AC8" s="16">
        <v>25</v>
      </c>
      <c r="AD8" s="16" t="s">
        <v>130</v>
      </c>
    </row>
    <row r="9" spans="1:53" outlineLevel="1" x14ac:dyDescent="0.35">
      <c r="B9" s="25">
        <v>2030</v>
      </c>
      <c r="C9" s="25">
        <v>2031</v>
      </c>
      <c r="D9" s="25">
        <v>2032</v>
      </c>
      <c r="E9" s="25">
        <v>2033</v>
      </c>
      <c r="F9" s="25">
        <v>2034</v>
      </c>
      <c r="G9" s="25">
        <v>2035</v>
      </c>
      <c r="H9" s="25">
        <v>2036</v>
      </c>
      <c r="I9" s="25">
        <v>2037</v>
      </c>
      <c r="J9" s="25">
        <v>2038</v>
      </c>
      <c r="K9" s="25">
        <v>2039</v>
      </c>
      <c r="L9" s="25">
        <v>2040</v>
      </c>
      <c r="M9" s="25">
        <v>2041</v>
      </c>
      <c r="N9" s="25">
        <v>2042</v>
      </c>
      <c r="O9" s="25">
        <v>2043</v>
      </c>
      <c r="P9" s="25">
        <v>2044</v>
      </c>
      <c r="Q9" s="25">
        <v>2045</v>
      </c>
      <c r="R9" s="25">
        <v>2046</v>
      </c>
      <c r="S9" s="25">
        <v>2047</v>
      </c>
      <c r="T9" s="25">
        <v>2048</v>
      </c>
      <c r="U9" s="25">
        <v>2049</v>
      </c>
      <c r="V9" s="25">
        <v>2050</v>
      </c>
      <c r="W9" s="25">
        <v>2051</v>
      </c>
      <c r="X9" s="25">
        <v>2052</v>
      </c>
      <c r="Y9" s="25">
        <v>2053</v>
      </c>
      <c r="Z9" s="25">
        <v>2054</v>
      </c>
      <c r="AC9" s="25">
        <v>2030</v>
      </c>
      <c r="AD9" s="25">
        <v>2031</v>
      </c>
      <c r="AE9" s="25">
        <v>2032</v>
      </c>
      <c r="AF9" s="25">
        <v>2033</v>
      </c>
      <c r="AG9" s="25">
        <v>2034</v>
      </c>
      <c r="AH9" s="25">
        <v>2035</v>
      </c>
      <c r="AI9" s="25">
        <v>2036</v>
      </c>
      <c r="AJ9" s="25">
        <v>2037</v>
      </c>
      <c r="AK9" s="25">
        <v>2038</v>
      </c>
      <c r="AL9" s="25">
        <v>2039</v>
      </c>
      <c r="AM9" s="25">
        <v>2040</v>
      </c>
      <c r="AN9" s="25">
        <v>2041</v>
      </c>
      <c r="AO9" s="25">
        <v>2042</v>
      </c>
      <c r="AP9" s="25">
        <v>2043</v>
      </c>
      <c r="AQ9" s="25">
        <v>2044</v>
      </c>
      <c r="AR9" s="25">
        <v>2045</v>
      </c>
      <c r="AS9" s="25">
        <v>2046</v>
      </c>
      <c r="AT9" s="25">
        <v>2047</v>
      </c>
      <c r="AU9" s="25">
        <v>2048</v>
      </c>
      <c r="AV9" s="25">
        <v>2049</v>
      </c>
      <c r="AW9" s="25">
        <v>2050</v>
      </c>
      <c r="AX9" s="25">
        <v>2051</v>
      </c>
      <c r="AY9" s="25">
        <v>2052</v>
      </c>
      <c r="AZ9" s="25">
        <v>2053</v>
      </c>
      <c r="BA9" s="25">
        <v>2054</v>
      </c>
    </row>
    <row r="10" spans="1:53" outlineLevel="1" x14ac:dyDescent="0.35">
      <c r="A10" s="6" t="s">
        <v>21</v>
      </c>
      <c r="B10" s="6">
        <f>'Results - raw data ReCiPe (H)'!C5</f>
        <v>2.894941084896093E-3</v>
      </c>
      <c r="AB10" s="6" t="s">
        <v>117</v>
      </c>
      <c r="AC10" s="6">
        <f>SUM(B10:B21)+B23</f>
        <v>0.16713320096113157</v>
      </c>
    </row>
    <row r="11" spans="1:53" outlineLevel="1" x14ac:dyDescent="0.35">
      <c r="A11" s="6" t="s">
        <v>23</v>
      </c>
      <c r="B11" s="6">
        <f>'Results - raw data ReCiPe (H)'!C6</f>
        <v>6.0231401899834662E-3</v>
      </c>
      <c r="AB11" s="6" t="s">
        <v>118</v>
      </c>
      <c r="AC11" s="6">
        <f>B22</f>
        <v>1.0010028574258376E-2</v>
      </c>
    </row>
    <row r="12" spans="1:53" outlineLevel="1" x14ac:dyDescent="0.35">
      <c r="A12" s="6" t="s">
        <v>26</v>
      </c>
      <c r="B12" s="6">
        <f>'Results - raw data ReCiPe (H)'!C7</f>
        <v>1.3717423440267161E-2</v>
      </c>
      <c r="AB12" s="6" t="s">
        <v>119</v>
      </c>
      <c r="BA12" s="6">
        <f>SUM(Z24:Z35)</f>
        <v>1.3460715242108881E-3</v>
      </c>
    </row>
    <row r="13" spans="1:53" outlineLevel="1" x14ac:dyDescent="0.35">
      <c r="A13" s="6" t="s">
        <v>28</v>
      </c>
      <c r="B13" s="6">
        <f>'Results - raw data ReCiPe (H)'!C8</f>
        <v>1.68268964507193E-2</v>
      </c>
      <c r="AB13" s="6" t="s">
        <v>120</v>
      </c>
      <c r="BA13" s="6">
        <f>Z36</f>
        <v>3.7268740247547826E-5</v>
      </c>
    </row>
    <row r="14" spans="1:53" outlineLevel="1" x14ac:dyDescent="0.35">
      <c r="A14" s="6" t="s">
        <v>29</v>
      </c>
      <c r="B14" s="6">
        <f>'Results - raw data ReCiPe (H)'!C9</f>
        <v>1.290728015734449E-2</v>
      </c>
      <c r="AB14" s="6" t="s">
        <v>121</v>
      </c>
      <c r="AC14" s="6">
        <f>B37</f>
        <v>2.357201361606037E-3</v>
      </c>
      <c r="AF14" s="6">
        <f>E37</f>
        <v>2.338551887019074E-3</v>
      </c>
      <c r="AI14" s="6">
        <f>H37</f>
        <v>2.3329664166207272E-3</v>
      </c>
      <c r="AL14" s="6">
        <f>K37</f>
        <v>2.334292606370443E-3</v>
      </c>
      <c r="AO14" s="6">
        <f>N37</f>
        <v>2.344407424713253E-3</v>
      </c>
      <c r="AR14" s="6">
        <f>Q37</f>
        <v>2.3564976098142901E-3</v>
      </c>
      <c r="AU14" s="6">
        <f>T37</f>
        <v>2.3307713043124539E-3</v>
      </c>
      <c r="AX14" s="6">
        <f>W37</f>
        <v>2.3230274489819871E-3</v>
      </c>
      <c r="BA14" s="6">
        <f>Z37</f>
        <v>2.2803262576522711E-3</v>
      </c>
    </row>
    <row r="15" spans="1:53" outlineLevel="1" x14ac:dyDescent="0.35">
      <c r="A15" s="6" t="s">
        <v>31</v>
      </c>
      <c r="B15" s="6">
        <f>'Results - raw data ReCiPe (H)'!C10</f>
        <v>8.2577490139394989E-3</v>
      </c>
      <c r="AB15" s="6" t="s">
        <v>122</v>
      </c>
      <c r="AC15" s="6">
        <f>B40+B39</f>
        <v>7.0909447305629536E-2</v>
      </c>
      <c r="AD15" s="6">
        <f t="shared" ref="AD15:BA15" si="0">C40+C39</f>
        <v>7.0729597576853487E-2</v>
      </c>
      <c r="AE15" s="6">
        <f t="shared" si="0"/>
        <v>7.0528013548315796E-2</v>
      </c>
      <c r="AF15" s="6">
        <f t="shared" si="0"/>
        <v>7.0277665591519128E-2</v>
      </c>
      <c r="AG15" s="6">
        <f t="shared" si="0"/>
        <v>7.0067641490333468E-2</v>
      </c>
      <c r="AH15" s="6">
        <f t="shared" si="0"/>
        <v>6.9856831166697067E-2</v>
      </c>
      <c r="AI15" s="6">
        <f t="shared" si="0"/>
        <v>7.4731708484015391E-2</v>
      </c>
      <c r="AJ15" s="6">
        <f t="shared" si="0"/>
        <v>7.95967100678793E-2</v>
      </c>
      <c r="AK15" s="6">
        <f t="shared" si="0"/>
        <v>8.4428256444418356E-2</v>
      </c>
      <c r="AL15" s="6">
        <f t="shared" si="0"/>
        <v>8.9277421687728051E-2</v>
      </c>
      <c r="AM15" s="6">
        <f t="shared" si="0"/>
        <v>9.4114118961245261E-2</v>
      </c>
      <c r="AN15" s="6">
        <f t="shared" si="0"/>
        <v>0.10344985773162441</v>
      </c>
      <c r="AO15" s="6">
        <f t="shared" si="0"/>
        <v>0.1127973450767826</v>
      </c>
      <c r="AP15" s="6">
        <f t="shared" si="0"/>
        <v>0.122153450710752</v>
      </c>
      <c r="AQ15" s="6">
        <f t="shared" si="0"/>
        <v>0.13152565619576609</v>
      </c>
      <c r="AR15" s="6">
        <f t="shared" si="0"/>
        <v>0.1409102799444979</v>
      </c>
      <c r="AS15" s="6">
        <f t="shared" si="0"/>
        <v>0.14167302400756779</v>
      </c>
      <c r="AT15" s="6">
        <f t="shared" si="0"/>
        <v>0.1424294071090331</v>
      </c>
      <c r="AU15" s="6">
        <f t="shared" si="0"/>
        <v>0.1431766533539571</v>
      </c>
      <c r="AV15" s="6">
        <f t="shared" si="0"/>
        <v>0.14392400712011769</v>
      </c>
      <c r="AW15" s="6">
        <f t="shared" si="0"/>
        <v>0.14466707061247311</v>
      </c>
      <c r="AX15" s="6">
        <f t="shared" si="0"/>
        <v>0.1424172327919703</v>
      </c>
      <c r="AY15" s="6">
        <f t="shared" si="0"/>
        <v>0.13830319413001299</v>
      </c>
      <c r="AZ15" s="6">
        <f t="shared" si="0"/>
        <v>0.13417541973035349</v>
      </c>
      <c r="BA15" s="6">
        <f t="shared" si="0"/>
        <v>0.13003377225450399</v>
      </c>
    </row>
    <row r="16" spans="1:53" outlineLevel="1" x14ac:dyDescent="0.35">
      <c r="A16" s="6" t="s">
        <v>34</v>
      </c>
      <c r="B16" s="6">
        <f>'Results - raw data ReCiPe (H)'!C11</f>
        <v>6.4251549853091127E-3</v>
      </c>
      <c r="AB16" s="6" t="s">
        <v>123</v>
      </c>
      <c r="AC16" s="6">
        <f>B38</f>
        <v>6.7993677242686621E-3</v>
      </c>
      <c r="AD16" s="6">
        <f t="shared" ref="AD16:BA16" si="1">C38</f>
        <v>6.7784834500127667E-3</v>
      </c>
      <c r="AE16" s="6">
        <f t="shared" si="1"/>
        <v>6.7559754789491425E-3</v>
      </c>
      <c r="AF16" s="6">
        <f t="shared" si="1"/>
        <v>6.7291424453726958E-3</v>
      </c>
      <c r="AG16" s="6">
        <f t="shared" si="1"/>
        <v>6.7060547545383939E-3</v>
      </c>
      <c r="AH16" s="6">
        <f t="shared" si="1"/>
        <v>6.6829467499308843E-3</v>
      </c>
      <c r="AI16" s="6">
        <f t="shared" si="1"/>
        <v>7.0465754469168874E-3</v>
      </c>
      <c r="AJ16" s="6">
        <f t="shared" si="1"/>
        <v>7.4084309608226104E-3</v>
      </c>
      <c r="AK16" s="6">
        <f t="shared" si="1"/>
        <v>7.7663791422163727E-3</v>
      </c>
      <c r="AL16" s="6">
        <f t="shared" si="1"/>
        <v>8.1249911852799631E-3</v>
      </c>
      <c r="AM16" s="6">
        <f t="shared" si="1"/>
        <v>8.4816399863887545E-3</v>
      </c>
      <c r="AN16" s="6">
        <f t="shared" si="1"/>
        <v>9.1774987825782514E-3</v>
      </c>
      <c r="AO16" s="6">
        <f t="shared" si="1"/>
        <v>9.8726611287057835E-3</v>
      </c>
      <c r="AP16" s="6">
        <f t="shared" si="1"/>
        <v>1.056682152452996E-2</v>
      </c>
      <c r="AQ16" s="6">
        <f t="shared" si="1"/>
        <v>1.126068742598707E-2</v>
      </c>
      <c r="AR16" s="6">
        <f t="shared" si="1"/>
        <v>1.1953902787517689E-2</v>
      </c>
      <c r="AS16" s="6">
        <f t="shared" si="1"/>
        <v>1.200080665794946E-2</v>
      </c>
      <c r="AT16" s="6">
        <f t="shared" si="1"/>
        <v>1.204711020875549E-2</v>
      </c>
      <c r="AU16" s="6">
        <f t="shared" si="1"/>
        <v>1.209251358753091E-2</v>
      </c>
      <c r="AV16" s="6">
        <f t="shared" si="1"/>
        <v>1.213789354470432E-2</v>
      </c>
      <c r="AW16" s="6">
        <f t="shared" si="1"/>
        <v>1.2182828378940179E-2</v>
      </c>
      <c r="AX16" s="6">
        <f t="shared" si="1"/>
        <v>1.2005710806952799E-2</v>
      </c>
      <c r="AY16" s="6">
        <f t="shared" si="1"/>
        <v>1.168029229103198E-2</v>
      </c>
      <c r="AZ16" s="6">
        <f t="shared" si="1"/>
        <v>1.135505831310654E-2</v>
      </c>
      <c r="BA16" s="6">
        <f t="shared" si="1"/>
        <v>1.1030000297077569E-2</v>
      </c>
    </row>
    <row r="17" spans="1:53" outlineLevel="1" x14ac:dyDescent="0.35">
      <c r="A17" s="6" t="s">
        <v>36</v>
      </c>
      <c r="B17" s="6">
        <f>'Results - raw data ReCiPe (H)'!C12</f>
        <v>3.8313181865858421E-3</v>
      </c>
      <c r="AB17" s="6" t="s">
        <v>124</v>
      </c>
      <c r="AC17" s="6">
        <f>-$AC$7*$AC$6</f>
        <v>-9.2799999999999994E-2</v>
      </c>
      <c r="AD17" s="6">
        <f t="shared" ref="AD17:BA17" si="2">-$AC$7*$AC$6</f>
        <v>-9.2799999999999994E-2</v>
      </c>
      <c r="AE17" s="6">
        <f t="shared" si="2"/>
        <v>-9.2799999999999994E-2</v>
      </c>
      <c r="AF17" s="6">
        <f t="shared" si="2"/>
        <v>-9.2799999999999994E-2</v>
      </c>
      <c r="AG17" s="6">
        <f t="shared" si="2"/>
        <v>-9.2799999999999994E-2</v>
      </c>
      <c r="AH17" s="6">
        <f t="shared" si="2"/>
        <v>-9.2799999999999994E-2</v>
      </c>
      <c r="AI17" s="6">
        <f t="shared" si="2"/>
        <v>-9.2799999999999994E-2</v>
      </c>
      <c r="AJ17" s="6">
        <f t="shared" si="2"/>
        <v>-9.2799999999999994E-2</v>
      </c>
      <c r="AK17" s="6">
        <f t="shared" si="2"/>
        <v>-9.2799999999999994E-2</v>
      </c>
      <c r="AL17" s="6">
        <f t="shared" si="2"/>
        <v>-9.2799999999999994E-2</v>
      </c>
      <c r="AM17" s="6">
        <f t="shared" si="2"/>
        <v>-9.2799999999999994E-2</v>
      </c>
      <c r="AN17" s="6">
        <f t="shared" si="2"/>
        <v>-9.2799999999999994E-2</v>
      </c>
      <c r="AO17" s="6">
        <f t="shared" si="2"/>
        <v>-9.2799999999999994E-2</v>
      </c>
      <c r="AP17" s="6">
        <f t="shared" si="2"/>
        <v>-9.2799999999999994E-2</v>
      </c>
      <c r="AQ17" s="6">
        <f t="shared" si="2"/>
        <v>-9.2799999999999994E-2</v>
      </c>
      <c r="AR17" s="6">
        <f t="shared" si="2"/>
        <v>-9.2799999999999994E-2</v>
      </c>
      <c r="AS17" s="6">
        <f t="shared" si="2"/>
        <v>-9.2799999999999994E-2</v>
      </c>
      <c r="AT17" s="6">
        <f t="shared" si="2"/>
        <v>-9.2799999999999994E-2</v>
      </c>
      <c r="AU17" s="6">
        <f t="shared" si="2"/>
        <v>-9.2799999999999994E-2</v>
      </c>
      <c r="AV17" s="6">
        <f t="shared" si="2"/>
        <v>-9.2799999999999994E-2</v>
      </c>
      <c r="AW17" s="6">
        <f t="shared" si="2"/>
        <v>-9.2799999999999994E-2</v>
      </c>
      <c r="AX17" s="6">
        <f t="shared" si="2"/>
        <v>-9.2799999999999994E-2</v>
      </c>
      <c r="AY17" s="6">
        <f t="shared" si="2"/>
        <v>-9.2799999999999994E-2</v>
      </c>
      <c r="AZ17" s="6">
        <f t="shared" si="2"/>
        <v>-9.2799999999999994E-2</v>
      </c>
      <c r="BA17" s="6">
        <f t="shared" si="2"/>
        <v>-9.2799999999999994E-2</v>
      </c>
    </row>
    <row r="18" spans="1:53" outlineLevel="1" x14ac:dyDescent="0.35">
      <c r="A18" s="6" t="s">
        <v>38</v>
      </c>
      <c r="B18" s="6">
        <f>'Results - raw data ReCiPe (H)'!C13</f>
        <v>2.209496262897262E-2</v>
      </c>
      <c r="AB18" s="23" t="s">
        <v>125</v>
      </c>
      <c r="AC18" s="17">
        <f>SUM(AC10:AC17)</f>
        <v>0.16440924592689415</v>
      </c>
      <c r="AD18" s="17">
        <f t="shared" ref="AD18:BA18" si="3">SUM(AD10:AD17)</f>
        <v>-1.5291918973133742E-2</v>
      </c>
      <c r="AE18" s="17">
        <f t="shared" si="3"/>
        <v>-1.5516010972735056E-2</v>
      </c>
      <c r="AF18" s="17">
        <f t="shared" si="3"/>
        <v>-1.3454640076089097E-2</v>
      </c>
      <c r="AG18" s="17">
        <f t="shared" si="3"/>
        <v>-1.6026303755128132E-2</v>
      </c>
      <c r="AH18" s="17">
        <f t="shared" si="3"/>
        <v>-1.6260222083372036E-2</v>
      </c>
      <c r="AI18" s="17">
        <f t="shared" si="3"/>
        <v>-8.6887496524469809E-3</v>
      </c>
      <c r="AJ18" s="17">
        <f t="shared" si="3"/>
        <v>-5.7948589712980836E-3</v>
      </c>
      <c r="AK18" s="17">
        <f t="shared" si="3"/>
        <v>-6.0536441336526969E-4</v>
      </c>
      <c r="AL18" s="17">
        <f t="shared" si="3"/>
        <v>6.9367054793784688E-3</v>
      </c>
      <c r="AM18" s="17">
        <f t="shared" si="3"/>
        <v>9.7957589476340146E-3</v>
      </c>
      <c r="AN18" s="17">
        <f t="shared" si="3"/>
        <v>1.9827356514202671E-2</v>
      </c>
      <c r="AO18" s="17">
        <f t="shared" si="3"/>
        <v>3.2214413630201638E-2</v>
      </c>
      <c r="AP18" s="17">
        <f t="shared" si="3"/>
        <v>3.9920272235281967E-2</v>
      </c>
      <c r="AQ18" s="17">
        <f t="shared" si="3"/>
        <v>4.9986343621753165E-2</v>
      </c>
      <c r="AR18" s="17">
        <f t="shared" si="3"/>
        <v>6.2420680341829876E-2</v>
      </c>
      <c r="AS18" s="17">
        <f t="shared" si="3"/>
        <v>6.0873830665517242E-2</v>
      </c>
      <c r="AT18" s="17">
        <f t="shared" si="3"/>
        <v>6.1676517317788587E-2</v>
      </c>
      <c r="AU18" s="17">
        <f t="shared" si="3"/>
        <v>6.4799938245800465E-2</v>
      </c>
      <c r="AV18" s="17">
        <f t="shared" si="3"/>
        <v>6.3261900664822013E-2</v>
      </c>
      <c r="AW18" s="17">
        <f t="shared" si="3"/>
        <v>6.4049898991413307E-2</v>
      </c>
      <c r="AX18" s="17">
        <f t="shared" si="3"/>
        <v>6.3945971047905115E-2</v>
      </c>
      <c r="AY18" s="17">
        <f t="shared" si="3"/>
        <v>5.7183486421044982E-2</v>
      </c>
      <c r="AZ18" s="17">
        <f t="shared" si="3"/>
        <v>5.2730478043460038E-2</v>
      </c>
      <c r="BA18" s="17">
        <f t="shared" si="3"/>
        <v>5.1927439073692266E-2</v>
      </c>
    </row>
    <row r="19" spans="1:53" outlineLevel="1" x14ac:dyDescent="0.35">
      <c r="A19" s="6" t="s">
        <v>39</v>
      </c>
      <c r="B19" s="6">
        <f>'Results - raw data ReCiPe (H)'!C14</f>
        <v>5.8245388563263008E-2</v>
      </c>
    </row>
    <row r="20" spans="1:53" outlineLevel="1" x14ac:dyDescent="0.35">
      <c r="A20" s="6" t="s">
        <v>41</v>
      </c>
      <c r="B20" s="6">
        <f>'Results - raw data ReCiPe (H)'!C15</f>
        <v>3.0224220416950572E-4</v>
      </c>
    </row>
    <row r="21" spans="1:53" outlineLevel="1" x14ac:dyDescent="0.35">
      <c r="A21" s="6" t="s">
        <v>43</v>
      </c>
      <c r="B21" s="6">
        <f>'Results - raw data ReCiPe (H)'!C16</f>
        <v>9.3081040387393941E-4</v>
      </c>
      <c r="AB21" s="187"/>
      <c r="AC21" s="187"/>
      <c r="AD21" s="187"/>
      <c r="AE21" s="187"/>
      <c r="AF21" s="187"/>
      <c r="AG21" s="187"/>
      <c r="AH21" s="187"/>
      <c r="AI21" s="187"/>
      <c r="AJ21" s="187"/>
      <c r="AK21" s="187"/>
      <c r="AL21" s="187"/>
      <c r="AM21" s="187"/>
      <c r="AN21" s="187"/>
      <c r="AO21" s="187"/>
      <c r="AP21" s="187"/>
      <c r="AQ21" s="187"/>
      <c r="AR21" s="187"/>
      <c r="AS21" s="187"/>
      <c r="AT21" s="187"/>
      <c r="AU21" s="187"/>
      <c r="AV21" s="187"/>
      <c r="AW21" s="187"/>
      <c r="AX21" s="187"/>
      <c r="AY21" s="187"/>
      <c r="AZ21" s="187"/>
      <c r="BA21" s="187"/>
    </row>
    <row r="22" spans="1:53" outlineLevel="1" x14ac:dyDescent="0.35">
      <c r="A22" s="6" t="s">
        <v>44</v>
      </c>
      <c r="B22" s="6">
        <f>'Results - raw data ReCiPe (H)'!C17*AC7*AC8</f>
        <v>1.0010028574258376E-2</v>
      </c>
      <c r="AB22" s="187"/>
      <c r="AC22" s="187"/>
      <c r="AD22" s="187"/>
      <c r="AE22" s="187"/>
      <c r="AF22" s="187"/>
      <c r="AG22" s="187"/>
      <c r="AH22" s="187"/>
      <c r="AI22" s="187"/>
      <c r="AJ22" s="187"/>
      <c r="AK22" s="187"/>
      <c r="AL22" s="187"/>
      <c r="AM22" s="187"/>
      <c r="AN22" s="187"/>
      <c r="AO22" s="187"/>
      <c r="AP22" s="187"/>
      <c r="AQ22" s="187"/>
      <c r="AR22" s="187"/>
      <c r="AS22" s="187"/>
      <c r="AT22" s="187"/>
      <c r="AU22" s="187"/>
      <c r="AV22" s="187"/>
      <c r="AW22" s="187"/>
      <c r="AX22" s="187"/>
      <c r="AY22" s="187"/>
      <c r="AZ22" s="187"/>
      <c r="BA22" s="187"/>
    </row>
    <row r="23" spans="1:53" outlineLevel="1" x14ac:dyDescent="0.35">
      <c r="A23" s="6" t="s">
        <v>757</v>
      </c>
      <c r="B23" s="6">
        <f>'Results - raw data ReCiPe (H)'!C18*AC7*AC8</f>
        <v>1.4675893651807536E-2</v>
      </c>
      <c r="AB23" s="187"/>
      <c r="AC23" s="187"/>
      <c r="AD23" s="187"/>
      <c r="AE23" s="187"/>
      <c r="AF23" s="187"/>
      <c r="AG23" s="187"/>
      <c r="AH23" s="187"/>
      <c r="AI23" s="187"/>
      <c r="AJ23" s="187"/>
      <c r="AK23" s="187"/>
      <c r="AL23" s="187"/>
      <c r="AM23" s="187"/>
      <c r="AN23" s="187"/>
      <c r="AO23" s="187"/>
      <c r="AP23" s="187"/>
      <c r="AQ23" s="187"/>
      <c r="AR23" s="187"/>
      <c r="AS23" s="187"/>
      <c r="AT23" s="187"/>
      <c r="AU23" s="187"/>
      <c r="AV23" s="187"/>
      <c r="AW23" s="187"/>
      <c r="AX23" s="187"/>
      <c r="AY23" s="187"/>
      <c r="AZ23" s="187"/>
      <c r="BA23" s="187"/>
    </row>
    <row r="24" spans="1:53" outlineLevel="1" x14ac:dyDescent="0.35">
      <c r="A24" s="6" t="s">
        <v>22</v>
      </c>
      <c r="Z24" s="6">
        <f>'Results - raw data ReCiPe (H)'!AA19</f>
        <v>2.5411777990047328E-5</v>
      </c>
      <c r="AB24" s="187"/>
      <c r="AC24" s="187"/>
      <c r="AD24" s="187"/>
      <c r="AE24" s="187"/>
      <c r="AF24" s="187"/>
      <c r="AG24" s="187"/>
      <c r="AH24" s="187"/>
      <c r="AI24" s="187"/>
      <c r="AJ24" s="187"/>
      <c r="AK24" s="187"/>
      <c r="AL24" s="187"/>
      <c r="AM24" s="187"/>
      <c r="AN24" s="187"/>
      <c r="AO24" s="187"/>
      <c r="AP24" s="187"/>
      <c r="AQ24" s="187"/>
      <c r="AR24" s="187"/>
      <c r="AS24" s="187"/>
      <c r="AT24" s="187"/>
      <c r="AU24" s="187"/>
      <c r="AV24" s="187"/>
      <c r="AW24" s="187"/>
      <c r="AX24" s="187"/>
      <c r="AY24" s="187"/>
      <c r="AZ24" s="187"/>
      <c r="BA24" s="187"/>
    </row>
    <row r="25" spans="1:53" outlineLevel="1" x14ac:dyDescent="0.35">
      <c r="A25" s="6" t="s">
        <v>24</v>
      </c>
      <c r="Z25" s="6">
        <f>'Results - raw data ReCiPe (H)'!AA20</f>
        <v>1.2429945039727371E-5</v>
      </c>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row>
    <row r="26" spans="1:53" outlineLevel="1" x14ac:dyDescent="0.35">
      <c r="A26" s="6" t="s">
        <v>25</v>
      </c>
      <c r="Z26" s="6">
        <f>'Results - raw data ReCiPe (H)'!AA21</f>
        <v>4.6226838946619207E-5</v>
      </c>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row>
    <row r="27" spans="1:53" outlineLevel="1" x14ac:dyDescent="0.35">
      <c r="A27" s="6" t="s">
        <v>27</v>
      </c>
      <c r="Z27" s="6">
        <f>'Results - raw data ReCiPe (H)'!AA22</f>
        <v>1.8368986682832292E-5</v>
      </c>
      <c r="AB27" s="187"/>
      <c r="AC27" s="187"/>
      <c r="AD27" s="187"/>
      <c r="AE27" s="187"/>
      <c r="AF27" s="187"/>
      <c r="AG27" s="187"/>
      <c r="AH27" s="187"/>
      <c r="AI27" s="187"/>
      <c r="AJ27" s="187"/>
      <c r="AK27" s="187"/>
      <c r="AL27" s="187"/>
      <c r="AM27" s="187"/>
      <c r="AN27" s="187"/>
      <c r="AO27" s="187"/>
      <c r="AP27" s="187"/>
      <c r="AQ27" s="187"/>
      <c r="AR27" s="187"/>
      <c r="AS27" s="187"/>
      <c r="AT27" s="187"/>
      <c r="AU27" s="187"/>
      <c r="AV27" s="187"/>
      <c r="AW27" s="187"/>
      <c r="AX27" s="187"/>
      <c r="AY27" s="187"/>
      <c r="AZ27" s="187"/>
      <c r="BA27" s="187"/>
    </row>
    <row r="28" spans="1:53" outlineLevel="1" x14ac:dyDescent="0.35">
      <c r="A28" s="6" t="s">
        <v>30</v>
      </c>
      <c r="Z28" s="6">
        <f>'Results - raw data ReCiPe (H)'!AA23</f>
        <v>3.3517962022619069E-5</v>
      </c>
      <c r="AB28" s="187"/>
      <c r="AC28" s="187"/>
      <c r="AD28" s="187"/>
      <c r="AE28" s="187"/>
      <c r="AF28" s="187"/>
      <c r="AG28" s="187"/>
      <c r="AH28" s="187"/>
      <c r="AI28" s="187"/>
      <c r="AJ28" s="187"/>
      <c r="AK28" s="187"/>
      <c r="AL28" s="187"/>
      <c r="AM28" s="187"/>
      <c r="AN28" s="187"/>
      <c r="AO28" s="187"/>
      <c r="AP28" s="187"/>
      <c r="AQ28" s="187"/>
      <c r="AR28" s="187"/>
      <c r="AS28" s="187"/>
      <c r="AT28" s="187"/>
      <c r="AU28" s="187"/>
      <c r="AV28" s="187"/>
      <c r="AW28" s="187"/>
      <c r="AX28" s="187"/>
      <c r="AY28" s="187"/>
      <c r="AZ28" s="187"/>
      <c r="BA28" s="187"/>
    </row>
    <row r="29" spans="1:53" outlineLevel="1" x14ac:dyDescent="0.35">
      <c r="A29" s="6" t="s">
        <v>32</v>
      </c>
      <c r="Z29" s="6">
        <f>'Results - raw data ReCiPe (H)'!AA24</f>
        <v>4.8143000851052693E-6</v>
      </c>
      <c r="AB29" s="187"/>
      <c r="AC29" s="187"/>
      <c r="AD29" s="187"/>
      <c r="AE29" s="187"/>
      <c r="AF29" s="187"/>
      <c r="AG29" s="187"/>
      <c r="AH29" s="187"/>
      <c r="AI29" s="187"/>
      <c r="AJ29" s="187"/>
      <c r="AK29" s="187"/>
      <c r="AL29" s="187"/>
      <c r="AM29" s="187"/>
      <c r="AN29" s="187"/>
      <c r="AO29" s="187"/>
      <c r="AP29" s="187"/>
      <c r="AQ29" s="187"/>
      <c r="AR29" s="187"/>
      <c r="AS29" s="187"/>
      <c r="AT29" s="187"/>
      <c r="AU29" s="187"/>
      <c r="AV29" s="187"/>
      <c r="AW29" s="187"/>
      <c r="AX29" s="187"/>
      <c r="AY29" s="187"/>
      <c r="AZ29" s="187"/>
      <c r="BA29" s="187"/>
    </row>
    <row r="30" spans="1:53" outlineLevel="1" x14ac:dyDescent="0.35">
      <c r="A30" s="6" t="s">
        <v>33</v>
      </c>
      <c r="Z30" s="6">
        <f>'Results - raw data ReCiPe (H)'!AA25</f>
        <v>8.5463273686294895E-6</v>
      </c>
      <c r="AB30" s="187"/>
      <c r="AC30" s="187"/>
      <c r="AD30" s="187"/>
      <c r="AE30" s="187"/>
      <c r="AF30" s="187"/>
      <c r="AG30" s="187"/>
      <c r="AH30" s="187"/>
      <c r="AI30" s="187"/>
      <c r="AJ30" s="187"/>
      <c r="AK30" s="187"/>
      <c r="AL30" s="187"/>
      <c r="AM30" s="187"/>
      <c r="AN30" s="187"/>
      <c r="AO30" s="187"/>
      <c r="AP30" s="187"/>
      <c r="AQ30" s="187"/>
      <c r="AR30" s="187"/>
      <c r="AS30" s="187"/>
      <c r="AT30" s="187"/>
      <c r="AU30" s="187"/>
      <c r="AV30" s="187"/>
      <c r="AW30" s="187"/>
      <c r="AX30" s="187"/>
      <c r="AY30" s="187"/>
      <c r="AZ30" s="187"/>
      <c r="BA30" s="187"/>
    </row>
    <row r="31" spans="1:53" outlineLevel="1" x14ac:dyDescent="0.35">
      <c r="A31" s="6" t="s">
        <v>35</v>
      </c>
      <c r="Z31" s="6">
        <f>'Results - raw data ReCiPe (H)'!AA26</f>
        <v>1.7092654737258979E-5</v>
      </c>
      <c r="AB31" s="187"/>
      <c r="AC31" s="187"/>
      <c r="AD31" s="187"/>
      <c r="AE31" s="187"/>
      <c r="AF31" s="187"/>
      <c r="AG31" s="187"/>
      <c r="AH31" s="187"/>
      <c r="AI31" s="187"/>
      <c r="AJ31" s="187"/>
      <c r="AK31" s="187"/>
      <c r="AL31" s="187"/>
      <c r="AM31" s="187"/>
      <c r="AN31" s="187"/>
      <c r="AO31" s="187"/>
      <c r="AP31" s="187"/>
      <c r="AQ31" s="187"/>
      <c r="AR31" s="187"/>
      <c r="AS31" s="187"/>
      <c r="AT31" s="187"/>
      <c r="AU31" s="187"/>
      <c r="AV31" s="187"/>
      <c r="AW31" s="187"/>
      <c r="AX31" s="187"/>
      <c r="AY31" s="187"/>
      <c r="AZ31" s="187"/>
      <c r="BA31" s="187"/>
    </row>
    <row r="32" spans="1:53" outlineLevel="1" x14ac:dyDescent="0.35">
      <c r="A32" s="6" t="s">
        <v>37</v>
      </c>
      <c r="Z32" s="6">
        <f>'Results - raw data ReCiPe (H)'!AA27</f>
        <v>4.5826688518955138E-5</v>
      </c>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row>
    <row r="33" spans="1:53" outlineLevel="1" x14ac:dyDescent="0.35">
      <c r="A33" s="6" t="s">
        <v>40</v>
      </c>
      <c r="Z33" s="6">
        <f>'Results - raw data ReCiPe (H)'!AA28</f>
        <v>6.0617175315794527E-4</v>
      </c>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row>
    <row r="34" spans="1:53" outlineLevel="1" x14ac:dyDescent="0.35">
      <c r="A34" s="6" t="s">
        <v>42</v>
      </c>
      <c r="Z34" s="6">
        <f>'Results - raw data ReCiPe (H)'!AA29</f>
        <v>6.2586007271436383E-5</v>
      </c>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row>
    <row r="35" spans="1:53" outlineLevel="1" x14ac:dyDescent="0.35">
      <c r="A35" s="6" t="s">
        <v>115</v>
      </c>
      <c r="Z35" s="6">
        <f>'Results - raw data ReCiPe (H)'!AA30</f>
        <v>4.6507828238971232E-4</v>
      </c>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row>
    <row r="36" spans="1:53" outlineLevel="1" x14ac:dyDescent="0.35">
      <c r="A36" s="6" t="s">
        <v>45</v>
      </c>
      <c r="Z36" s="6">
        <f>'Results - raw data ReCiPe (H)'!AA31*AC7*AC8</f>
        <v>3.7268740247547826E-5</v>
      </c>
    </row>
    <row r="37" spans="1:53" outlineLevel="1" x14ac:dyDescent="0.35">
      <c r="A37" s="6" t="s">
        <v>116</v>
      </c>
      <c r="B37" s="6">
        <f>'Results - raw data ReCiPe (H)'!C32</f>
        <v>2.357201361606037E-3</v>
      </c>
      <c r="C37" s="6">
        <f>'Results - raw data ReCiPe (H)'!D32</f>
        <v>2.353600688123866E-3</v>
      </c>
      <c r="D37" s="6">
        <f>'Results - raw data ReCiPe (H)'!E32</f>
        <v>2.3500071116123412E-3</v>
      </c>
      <c r="E37" s="6">
        <f>'Results - raw data ReCiPe (H)'!F32</f>
        <v>2.338551887019074E-3</v>
      </c>
      <c r="F37" s="6">
        <f>'Results - raw data ReCiPe (H)'!G32</f>
        <v>2.334948183247444E-3</v>
      </c>
      <c r="G37" s="6">
        <f>'Results - raw data ReCiPe (H)'!H32</f>
        <v>2.331359143562522E-3</v>
      </c>
      <c r="H37" s="6">
        <f>'Results - raw data ReCiPe (H)'!I32</f>
        <v>2.3329664166207272E-3</v>
      </c>
      <c r="I37" s="6">
        <f>'Results - raw data ReCiPe (H)'!J32</f>
        <v>2.334616646953573E-3</v>
      </c>
      <c r="J37" s="6">
        <f>'Results - raw data ReCiPe (H)'!K32</f>
        <v>2.3325229805307031E-3</v>
      </c>
      <c r="K37" s="6">
        <f>'Results - raw data ReCiPe (H)'!L32</f>
        <v>2.334292606370443E-3</v>
      </c>
      <c r="L37" s="6">
        <f>'Results - raw data ReCiPe (H)'!M32</f>
        <v>2.336092196522456E-3</v>
      </c>
      <c r="M37" s="6">
        <f>'Results - raw data ReCiPe (H)'!N32</f>
        <v>2.3402354271006591E-3</v>
      </c>
      <c r="N37" s="6">
        <f>'Results - raw data ReCiPe (H)'!O32</f>
        <v>2.344407424713253E-3</v>
      </c>
      <c r="O37" s="6">
        <f>'Results - raw data ReCiPe (H)'!P32</f>
        <v>2.3478787798235871E-3</v>
      </c>
      <c r="P37" s="6">
        <f>'Results - raw data ReCiPe (H)'!Q32</f>
        <v>2.3521715641440159E-3</v>
      </c>
      <c r="Q37" s="6">
        <f>'Results - raw data ReCiPe (H)'!R32</f>
        <v>2.3564976098142901E-3</v>
      </c>
      <c r="R37" s="6">
        <f>'Results - raw data ReCiPe (H)'!S32</f>
        <v>2.348309135255047E-3</v>
      </c>
      <c r="S37" s="6">
        <f>'Results - raw data ReCiPe (H)'!T32</f>
        <v>2.3400539690804929E-3</v>
      </c>
      <c r="T37" s="6">
        <f>'Results - raw data ReCiPe (H)'!U32</f>
        <v>2.3307713043124539E-3</v>
      </c>
      <c r="U37" s="6">
        <f>'Results - raw data ReCiPe (H)'!V32</f>
        <v>2.322378092485674E-3</v>
      </c>
      <c r="V37" s="6">
        <f>'Results - raw data ReCiPe (H)'!W32</f>
        <v>2.3139082606342351E-3</v>
      </c>
      <c r="W37" s="6">
        <f>'Results - raw data ReCiPe (H)'!X32</f>
        <v>2.3230274489819871E-3</v>
      </c>
      <c r="X37" s="6">
        <f>'Results - raw data ReCiPe (H)'!Y32</f>
        <v>2.308890132934231E-3</v>
      </c>
      <c r="Y37" s="6">
        <f>'Results - raw data ReCiPe (H)'!Z32</f>
        <v>2.2946569016000559E-3</v>
      </c>
      <c r="Z37" s="6">
        <f>'Results - raw data ReCiPe (H)'!AA32</f>
        <v>2.2803262576522711E-3</v>
      </c>
    </row>
    <row r="38" spans="1:53" outlineLevel="1" x14ac:dyDescent="0.35">
      <c r="A38" s="6" t="s">
        <v>758</v>
      </c>
      <c r="B38" s="6">
        <f>'Results - raw data ReCiPe (H)'!C33*$AC$7</f>
        <v>6.7993677242686621E-3</v>
      </c>
      <c r="C38" s="6">
        <f>'Results - raw data ReCiPe (H)'!D33*$AC$7</f>
        <v>6.7784834500127667E-3</v>
      </c>
      <c r="D38" s="6">
        <f>'Results - raw data ReCiPe (H)'!E33*$AC$7</f>
        <v>6.7559754789491425E-3</v>
      </c>
      <c r="E38" s="6">
        <f>'Results - raw data ReCiPe (H)'!F33*$AC$7</f>
        <v>6.7291424453726958E-3</v>
      </c>
      <c r="F38" s="6">
        <f>'Results - raw data ReCiPe (H)'!G33*$AC$7</f>
        <v>6.7060547545383939E-3</v>
      </c>
      <c r="G38" s="6">
        <f>'Results - raw data ReCiPe (H)'!H33*$AC$7</f>
        <v>6.6829467499308843E-3</v>
      </c>
      <c r="H38" s="6">
        <f>'Results - raw data ReCiPe (H)'!I33*$AC$7</f>
        <v>7.0465754469168874E-3</v>
      </c>
      <c r="I38" s="6">
        <f>'Results - raw data ReCiPe (H)'!J33*$AC$7</f>
        <v>7.4084309608226104E-3</v>
      </c>
      <c r="J38" s="6">
        <f>'Results - raw data ReCiPe (H)'!K33*$AC$7</f>
        <v>7.7663791422163727E-3</v>
      </c>
      <c r="K38" s="6">
        <f>'Results - raw data ReCiPe (H)'!L33*$AC$7</f>
        <v>8.1249911852799631E-3</v>
      </c>
      <c r="L38" s="6">
        <f>'Results - raw data ReCiPe (H)'!M33*$AC$7</f>
        <v>8.4816399863887545E-3</v>
      </c>
      <c r="M38" s="6">
        <f>'Results - raw data ReCiPe (H)'!N33*$AC$7</f>
        <v>9.1774987825782514E-3</v>
      </c>
      <c r="N38" s="6">
        <f>'Results - raw data ReCiPe (H)'!O33*$AC$7</f>
        <v>9.8726611287057835E-3</v>
      </c>
      <c r="O38" s="6">
        <f>'Results - raw data ReCiPe (H)'!P33*$AC$7</f>
        <v>1.056682152452996E-2</v>
      </c>
      <c r="P38" s="6">
        <f>'Results - raw data ReCiPe (H)'!Q33*$AC$7</f>
        <v>1.126068742598707E-2</v>
      </c>
      <c r="Q38" s="6">
        <f>'Results - raw data ReCiPe (H)'!R33*$AC$7</f>
        <v>1.1953902787517689E-2</v>
      </c>
      <c r="R38" s="6">
        <f>'Results - raw data ReCiPe (H)'!S33*$AC$7</f>
        <v>1.200080665794946E-2</v>
      </c>
      <c r="S38" s="6">
        <f>'Results - raw data ReCiPe (H)'!T33*$AC$7</f>
        <v>1.204711020875549E-2</v>
      </c>
      <c r="T38" s="6">
        <f>'Results - raw data ReCiPe (H)'!U33*$AC$7</f>
        <v>1.209251358753091E-2</v>
      </c>
      <c r="U38" s="6">
        <f>'Results - raw data ReCiPe (H)'!V33*$AC$7</f>
        <v>1.213789354470432E-2</v>
      </c>
      <c r="V38" s="6">
        <f>'Results - raw data ReCiPe (H)'!W33*$AC$7</f>
        <v>1.2182828378940179E-2</v>
      </c>
      <c r="W38" s="6">
        <f>'Results - raw data ReCiPe (H)'!X33*$AC$7</f>
        <v>1.2005710806952799E-2</v>
      </c>
      <c r="X38" s="6">
        <f>'Results - raw data ReCiPe (H)'!Y33*$AC$7</f>
        <v>1.168029229103198E-2</v>
      </c>
      <c r="Y38" s="6">
        <f>'Results - raw data ReCiPe (H)'!Z33*$AC$7</f>
        <v>1.135505831310654E-2</v>
      </c>
      <c r="Z38" s="6">
        <f>'Results - raw data ReCiPe (H)'!AA33*$AC$7</f>
        <v>1.1030000297077569E-2</v>
      </c>
    </row>
    <row r="39" spans="1:53" outlineLevel="1" x14ac:dyDescent="0.35">
      <c r="A39" s="6" t="s">
        <v>759</v>
      </c>
      <c r="B39" s="6">
        <f>'Results - raw data ReCiPe (H)'!C34</f>
        <v>0</v>
      </c>
      <c r="C39" s="6">
        <f>'Results - raw data ReCiPe (H)'!D34</f>
        <v>0</v>
      </c>
      <c r="D39" s="6">
        <f>'Results - raw data ReCiPe (H)'!E34</f>
        <v>0</v>
      </c>
      <c r="E39" s="6">
        <f>'Results - raw data ReCiPe (H)'!F34</f>
        <v>0</v>
      </c>
      <c r="F39" s="6">
        <f>'Results - raw data ReCiPe (H)'!G34</f>
        <v>0</v>
      </c>
      <c r="G39" s="6">
        <f>'Results - raw data ReCiPe (H)'!H34</f>
        <v>0</v>
      </c>
      <c r="H39" s="6">
        <f>'Results - raw data ReCiPe (H)'!I34</f>
        <v>0</v>
      </c>
      <c r="I39" s="6">
        <f>'Results - raw data ReCiPe (H)'!J34</f>
        <v>0</v>
      </c>
      <c r="J39" s="6">
        <f>'Results - raw data ReCiPe (H)'!K34</f>
        <v>0</v>
      </c>
      <c r="K39" s="6">
        <f>'Results - raw data ReCiPe (H)'!L34</f>
        <v>0</v>
      </c>
      <c r="L39" s="6">
        <f>'Results - raw data ReCiPe (H)'!M34</f>
        <v>0</v>
      </c>
      <c r="M39" s="6">
        <f>'Results - raw data ReCiPe (H)'!N34</f>
        <v>0</v>
      </c>
      <c r="N39" s="6">
        <f>'Results - raw data ReCiPe (H)'!O34</f>
        <v>0</v>
      </c>
      <c r="O39" s="6">
        <f>'Results - raw data ReCiPe (H)'!P34</f>
        <v>0</v>
      </c>
      <c r="P39" s="6">
        <f>'Results - raw data ReCiPe (H)'!Q34</f>
        <v>0</v>
      </c>
      <c r="Q39" s="6">
        <f>'Results - raw data ReCiPe (H)'!R34</f>
        <v>0</v>
      </c>
      <c r="R39" s="6">
        <f>'Results - raw data ReCiPe (H)'!S34</f>
        <v>0</v>
      </c>
      <c r="S39" s="6">
        <f>'Results - raw data ReCiPe (H)'!T34</f>
        <v>0</v>
      </c>
      <c r="T39" s="6">
        <f>'Results - raw data ReCiPe (H)'!U34</f>
        <v>0</v>
      </c>
      <c r="U39" s="6">
        <f>'Results - raw data ReCiPe (H)'!V34</f>
        <v>0</v>
      </c>
      <c r="V39" s="6">
        <f>'Results - raw data ReCiPe (H)'!W34</f>
        <v>0</v>
      </c>
      <c r="W39" s="6">
        <f>'Results - raw data ReCiPe (H)'!X34</f>
        <v>0</v>
      </c>
      <c r="X39" s="6">
        <f>'Results - raw data ReCiPe (H)'!Y34</f>
        <v>0</v>
      </c>
      <c r="Y39" s="6">
        <f>'Results - raw data ReCiPe (H)'!Z34</f>
        <v>0</v>
      </c>
      <c r="Z39" s="6">
        <f>'Results - raw data ReCiPe (H)'!AA34</f>
        <v>0</v>
      </c>
    </row>
    <row r="40" spans="1:53" outlineLevel="1" x14ac:dyDescent="0.35">
      <c r="A40" s="6" t="s">
        <v>760</v>
      </c>
      <c r="B40" s="6">
        <f>'Results - raw data ReCiPe (H)'!C35</f>
        <v>7.0909447305629536E-2</v>
      </c>
      <c r="C40" s="6">
        <f>'Results - raw data ReCiPe (H)'!D35</f>
        <v>7.0729597576853487E-2</v>
      </c>
      <c r="D40" s="6">
        <f>'Results - raw data ReCiPe (H)'!E35</f>
        <v>7.0528013548315796E-2</v>
      </c>
      <c r="E40" s="6">
        <f>'Results - raw data ReCiPe (H)'!F35</f>
        <v>7.0277665591519128E-2</v>
      </c>
      <c r="F40" s="6">
        <f>'Results - raw data ReCiPe (H)'!G35</f>
        <v>7.0067641490333468E-2</v>
      </c>
      <c r="G40" s="6">
        <f>'Results - raw data ReCiPe (H)'!H35</f>
        <v>6.9856831166697067E-2</v>
      </c>
      <c r="H40" s="6">
        <f>'Results - raw data ReCiPe (H)'!I35</f>
        <v>7.4731708484015391E-2</v>
      </c>
      <c r="I40" s="6">
        <f>'Results - raw data ReCiPe (H)'!J35</f>
        <v>7.95967100678793E-2</v>
      </c>
      <c r="J40" s="6">
        <f>'Results - raw data ReCiPe (H)'!K35</f>
        <v>8.4428256444418356E-2</v>
      </c>
      <c r="K40" s="6">
        <f>'Results - raw data ReCiPe (H)'!L35</f>
        <v>8.9277421687728051E-2</v>
      </c>
      <c r="L40" s="6">
        <f>'Results - raw data ReCiPe (H)'!M35</f>
        <v>9.4114118961245261E-2</v>
      </c>
      <c r="M40" s="6">
        <f>'Results - raw data ReCiPe (H)'!N35</f>
        <v>0.10344985773162441</v>
      </c>
      <c r="N40" s="6">
        <f>'Results - raw data ReCiPe (H)'!O35</f>
        <v>0.1127973450767826</v>
      </c>
      <c r="O40" s="6">
        <f>'Results - raw data ReCiPe (H)'!P35</f>
        <v>0.122153450710752</v>
      </c>
      <c r="P40" s="6">
        <f>'Results - raw data ReCiPe (H)'!Q35</f>
        <v>0.13152565619576609</v>
      </c>
      <c r="Q40" s="6">
        <f>'Results - raw data ReCiPe (H)'!R35</f>
        <v>0.1409102799444979</v>
      </c>
      <c r="R40" s="6">
        <f>'Results - raw data ReCiPe (H)'!S35</f>
        <v>0.14167302400756779</v>
      </c>
      <c r="S40" s="6">
        <f>'Results - raw data ReCiPe (H)'!T35</f>
        <v>0.1424294071090331</v>
      </c>
      <c r="T40" s="6">
        <f>'Results - raw data ReCiPe (H)'!U35</f>
        <v>0.1431766533539571</v>
      </c>
      <c r="U40" s="6">
        <f>'Results - raw data ReCiPe (H)'!V35</f>
        <v>0.14392400712011769</v>
      </c>
      <c r="V40" s="6">
        <f>'Results - raw data ReCiPe (H)'!W35</f>
        <v>0.14466707061247311</v>
      </c>
      <c r="W40" s="6">
        <f>'Results - raw data ReCiPe (H)'!X35</f>
        <v>0.1424172327919703</v>
      </c>
      <c r="X40" s="6">
        <f>'Results - raw data ReCiPe (H)'!Y35</f>
        <v>0.13830319413001299</v>
      </c>
      <c r="Y40" s="6">
        <f>'Results - raw data ReCiPe (H)'!Z35</f>
        <v>0.13417541973035349</v>
      </c>
      <c r="Z40" s="6">
        <f>'Results - raw data ReCiPe (H)'!AA35</f>
        <v>0.13003377225450399</v>
      </c>
    </row>
    <row r="41" spans="1:53" outlineLevel="1" x14ac:dyDescent="0.35">
      <c r="A41" s="23" t="s">
        <v>125</v>
      </c>
      <c r="B41" s="17">
        <f>SUM(B10:B40)</f>
        <v>0.2572092459268942</v>
      </c>
      <c r="C41" s="17">
        <f>SUM(C10:C40)</f>
        <v>7.9861681714990113E-2</v>
      </c>
      <c r="D41" s="17">
        <f>SUM(D10:D40)</f>
        <v>7.9633996138877283E-2</v>
      </c>
      <c r="E41" s="17">
        <f>SUM(E10:E40)</f>
        <v>7.9345359923910896E-2</v>
      </c>
      <c r="F41" s="17">
        <f>SUM(F10:F40)</f>
        <v>7.910864442811931E-2</v>
      </c>
      <c r="G41" s="17">
        <f t="shared" ref="G41:Z41" si="4">SUM(G10:G40)</f>
        <v>7.8871137060190472E-2</v>
      </c>
      <c r="H41" s="17">
        <f t="shared" si="4"/>
        <v>8.4111250347553013E-2</v>
      </c>
      <c r="I41" s="17">
        <f t="shared" si="4"/>
        <v>8.9339757675655482E-2</v>
      </c>
      <c r="J41" s="17">
        <f t="shared" si="4"/>
        <v>9.4527158567165426E-2</v>
      </c>
      <c r="K41" s="17">
        <f t="shared" si="4"/>
        <v>9.9736705479378462E-2</v>
      </c>
      <c r="L41" s="17">
        <f t="shared" si="4"/>
        <v>0.10493185114415647</v>
      </c>
      <c r="M41" s="17">
        <f t="shared" si="4"/>
        <v>0.11496759194130332</v>
      </c>
      <c r="N41" s="17">
        <f t="shared" si="4"/>
        <v>0.12501441363020163</v>
      </c>
      <c r="O41" s="17">
        <f t="shared" si="4"/>
        <v>0.13506815101510555</v>
      </c>
      <c r="P41" s="17">
        <f t="shared" si="4"/>
        <v>0.14513851518589718</v>
      </c>
      <c r="Q41" s="17">
        <f t="shared" si="4"/>
        <v>0.15522068034182987</v>
      </c>
      <c r="R41" s="17">
        <f t="shared" si="4"/>
        <v>0.15602213980077229</v>
      </c>
      <c r="S41" s="17">
        <f t="shared" si="4"/>
        <v>0.15681657128686907</v>
      </c>
      <c r="T41" s="17">
        <f t="shared" si="4"/>
        <v>0.15759993824580046</v>
      </c>
      <c r="U41" s="17">
        <f t="shared" si="4"/>
        <v>0.15838427875730768</v>
      </c>
      <c r="V41" s="17">
        <f t="shared" si="4"/>
        <v>0.15916380725204751</v>
      </c>
      <c r="W41" s="17">
        <f t="shared" si="4"/>
        <v>0.15674597104790508</v>
      </c>
      <c r="X41" s="17">
        <f t="shared" si="4"/>
        <v>0.1522923765539792</v>
      </c>
      <c r="Y41" s="17">
        <f t="shared" si="4"/>
        <v>0.14782513494506008</v>
      </c>
      <c r="Z41" s="17">
        <f t="shared" si="4"/>
        <v>0.14472743907369226</v>
      </c>
    </row>
    <row r="42" spans="1:53" outlineLevel="1" x14ac:dyDescent="0.35"/>
    <row r="43" spans="1:53" s="18" customFormat="1" ht="21" x14ac:dyDescent="0.5">
      <c r="A43" s="18" t="s">
        <v>73</v>
      </c>
    </row>
    <row r="44" spans="1:53" s="20" customFormat="1" outlineLevel="1" x14ac:dyDescent="0.35">
      <c r="A44" s="19" t="s">
        <v>767</v>
      </c>
    </row>
    <row r="45" spans="1:53" s="16" customFormat="1" outlineLevel="1" x14ac:dyDescent="0.35">
      <c r="A45" s="21"/>
      <c r="AB45" s="16" t="s">
        <v>47</v>
      </c>
      <c r="AC45" s="16">
        <v>9.2800000000000005E-7</v>
      </c>
      <c r="AD45" s="16" t="s">
        <v>48</v>
      </c>
      <c r="AE45" s="15" t="s">
        <v>714</v>
      </c>
    </row>
    <row r="46" spans="1:53" s="16" customFormat="1" outlineLevel="1" x14ac:dyDescent="0.35">
      <c r="A46" s="22" t="s">
        <v>564</v>
      </c>
      <c r="AC46" s="16">
        <f>AC45*1000</f>
        <v>9.2800000000000001E-4</v>
      </c>
      <c r="AD46" s="16" t="s">
        <v>126</v>
      </c>
    </row>
    <row r="47" spans="1:53" s="16" customFormat="1" outlineLevel="1" x14ac:dyDescent="0.35">
      <c r="A47" s="22"/>
      <c r="AB47" s="16" t="s">
        <v>127</v>
      </c>
      <c r="AC47" s="16">
        <v>100</v>
      </c>
      <c r="AD47" s="16" t="s">
        <v>128</v>
      </c>
    </row>
    <row r="48" spans="1:53" s="16" customFormat="1" outlineLevel="1" x14ac:dyDescent="0.35">
      <c r="A48" s="22"/>
      <c r="AB48" s="16" t="s">
        <v>129</v>
      </c>
      <c r="AC48" s="16">
        <v>25</v>
      </c>
      <c r="AD48" s="16" t="s">
        <v>130</v>
      </c>
    </row>
    <row r="49" spans="1:54" outlineLevel="1" x14ac:dyDescent="0.35">
      <c r="B49" s="25">
        <v>2030</v>
      </c>
      <c r="C49" s="25">
        <v>2031</v>
      </c>
      <c r="D49" s="25">
        <v>2032</v>
      </c>
      <c r="E49" s="25">
        <v>2033</v>
      </c>
      <c r="F49" s="25">
        <v>2034</v>
      </c>
      <c r="G49" s="25">
        <v>2035</v>
      </c>
      <c r="H49" s="25">
        <v>2036</v>
      </c>
      <c r="I49" s="25">
        <v>2037</v>
      </c>
      <c r="J49" s="25">
        <v>2038</v>
      </c>
      <c r="K49" s="25">
        <v>2039</v>
      </c>
      <c r="L49" s="25">
        <v>2040</v>
      </c>
      <c r="M49" s="25">
        <v>2041</v>
      </c>
      <c r="N49" s="25">
        <v>2042</v>
      </c>
      <c r="O49" s="25">
        <v>2043</v>
      </c>
      <c r="P49" s="25">
        <v>2044</v>
      </c>
      <c r="Q49" s="25">
        <v>2045</v>
      </c>
      <c r="R49" s="25">
        <v>2046</v>
      </c>
      <c r="S49" s="25">
        <v>2047</v>
      </c>
      <c r="T49" s="25">
        <v>2048</v>
      </c>
      <c r="U49" s="25">
        <v>2049</v>
      </c>
      <c r="V49" s="25">
        <v>2050</v>
      </c>
      <c r="W49" s="25">
        <v>2051</v>
      </c>
      <c r="X49" s="25">
        <v>2052</v>
      </c>
      <c r="Y49" s="25">
        <v>2053</v>
      </c>
      <c r="Z49" s="25">
        <v>2054</v>
      </c>
      <c r="AC49" s="25">
        <v>2030</v>
      </c>
      <c r="AD49" s="25">
        <v>2031</v>
      </c>
      <c r="AE49" s="25">
        <v>2032</v>
      </c>
      <c r="AF49" s="25">
        <v>2033</v>
      </c>
      <c r="AG49" s="25">
        <v>2034</v>
      </c>
      <c r="AH49" s="25">
        <v>2035</v>
      </c>
      <c r="AI49" s="25">
        <v>2036</v>
      </c>
      <c r="AJ49" s="25">
        <v>2037</v>
      </c>
      <c r="AK49" s="25">
        <v>2038</v>
      </c>
      <c r="AL49" s="25">
        <v>2039</v>
      </c>
      <c r="AM49" s="25">
        <v>2040</v>
      </c>
      <c r="AN49" s="25">
        <v>2041</v>
      </c>
      <c r="AO49" s="25">
        <v>2042</v>
      </c>
      <c r="AP49" s="25">
        <v>2043</v>
      </c>
      <c r="AQ49" s="25">
        <v>2044</v>
      </c>
      <c r="AR49" s="25">
        <v>2045</v>
      </c>
      <c r="AS49" s="25">
        <v>2046</v>
      </c>
      <c r="AT49" s="25">
        <v>2047</v>
      </c>
      <c r="AU49" s="25">
        <v>2048</v>
      </c>
      <c r="AV49" s="25">
        <v>2049</v>
      </c>
      <c r="AW49" s="25">
        <v>2050</v>
      </c>
      <c r="AX49" s="25">
        <v>2051</v>
      </c>
      <c r="AY49" s="25">
        <v>2052</v>
      </c>
      <c r="AZ49" s="25">
        <v>2053</v>
      </c>
      <c r="BA49" s="25">
        <v>2054</v>
      </c>
    </row>
    <row r="50" spans="1:54" outlineLevel="1" x14ac:dyDescent="0.35">
      <c r="A50" s="6" t="s">
        <v>21</v>
      </c>
      <c r="B50" s="6">
        <f>'Results - raw data ReCiPe (H)'!C41</f>
        <v>2.686627601232994E-3</v>
      </c>
      <c r="AB50" s="6" t="s">
        <v>117</v>
      </c>
      <c r="AC50" s="6">
        <f>SUM(B50:B61)+B63</f>
        <v>0.16006814629521346</v>
      </c>
    </row>
    <row r="51" spans="1:54" outlineLevel="1" x14ac:dyDescent="0.35">
      <c r="A51" s="6" t="s">
        <v>23</v>
      </c>
      <c r="B51" s="6">
        <f>'Results - raw data ReCiPe (H)'!C42</f>
        <v>5.7475279188938643E-3</v>
      </c>
      <c r="AB51" s="6" t="s">
        <v>118</v>
      </c>
      <c r="AC51" s="6">
        <f>B62</f>
        <v>9.5063834765982819E-3</v>
      </c>
    </row>
    <row r="52" spans="1:54" outlineLevel="1" x14ac:dyDescent="0.35">
      <c r="A52" s="6" t="s">
        <v>26</v>
      </c>
      <c r="B52" s="6">
        <f>'Results - raw data ReCiPe (H)'!C43</f>
        <v>1.2845382150857119E-2</v>
      </c>
      <c r="AB52" s="6" t="s">
        <v>119</v>
      </c>
      <c r="BA52" s="6">
        <f>SUM(Z64:Z75)</f>
        <v>1.2038817746522666E-3</v>
      </c>
    </row>
    <row r="53" spans="1:54" outlineLevel="1" x14ac:dyDescent="0.35">
      <c r="A53" s="6" t="s">
        <v>28</v>
      </c>
      <c r="B53" s="6">
        <f>'Results - raw data ReCiPe (H)'!C44</f>
        <v>1.6265845410914071E-2</v>
      </c>
      <c r="AB53" s="6" t="s">
        <v>120</v>
      </c>
      <c r="BA53" s="6">
        <f>Z76</f>
        <v>3.5227143847144076E-5</v>
      </c>
    </row>
    <row r="54" spans="1:54" outlineLevel="1" x14ac:dyDescent="0.35">
      <c r="A54" s="6" t="s">
        <v>29</v>
      </c>
      <c r="B54" s="6">
        <f>'Results - raw data ReCiPe (H)'!C45</f>
        <v>1.267220629476748E-2</v>
      </c>
      <c r="AB54" s="6" t="s">
        <v>121</v>
      </c>
      <c r="AC54" s="6">
        <f>B77</f>
        <v>2.2868444478900299E-3</v>
      </c>
      <c r="AF54" s="6">
        <f>E77</f>
        <v>2.2242630345716192E-3</v>
      </c>
      <c r="AI54" s="6">
        <f>H77</f>
        <v>2.1636441841529248E-3</v>
      </c>
      <c r="AL54" s="6">
        <f>K77</f>
        <v>2.0913940629818349E-3</v>
      </c>
      <c r="AO54" s="6">
        <f>N77</f>
        <v>2.0111593851075741E-3</v>
      </c>
      <c r="AR54" s="6">
        <f>Q77</f>
        <v>1.925325558619934E-3</v>
      </c>
      <c r="AU54" s="6">
        <f>T77</f>
        <v>1.868103373074346E-3</v>
      </c>
      <c r="AX54" s="6">
        <f>W77</f>
        <v>1.839484702599319E-3</v>
      </c>
      <c r="BA54" s="6">
        <f>Z77</f>
        <v>1.8308470230828889E-3</v>
      </c>
    </row>
    <row r="55" spans="1:54" outlineLevel="1" x14ac:dyDescent="0.35">
      <c r="A55" s="6" t="s">
        <v>31</v>
      </c>
      <c r="B55" s="6">
        <f>'Results - raw data ReCiPe (H)'!C46</f>
        <v>8.1155683691255427E-3</v>
      </c>
      <c r="AB55" s="6" t="s">
        <v>122</v>
      </c>
      <c r="AC55" s="6">
        <f>B80+B79</f>
        <v>6.0037117955109028E-2</v>
      </c>
      <c r="AD55" s="6">
        <f t="shared" ref="AD55:BA55" si="5">C80+C79</f>
        <v>5.6191867505510959E-2</v>
      </c>
      <c r="AE55" s="6">
        <f t="shared" si="5"/>
        <v>5.2329272684781568E-2</v>
      </c>
      <c r="AF55" s="6">
        <f t="shared" si="5"/>
        <v>4.841413521773321E-2</v>
      </c>
      <c r="AG55" s="6">
        <f t="shared" si="5"/>
        <v>4.4539809777472107E-2</v>
      </c>
      <c r="AH55" s="6">
        <f t="shared" si="5"/>
        <v>4.0662830543897487E-2</v>
      </c>
      <c r="AI55" s="6">
        <f t="shared" si="5"/>
        <v>3.84101452645636E-2</v>
      </c>
      <c r="AJ55" s="6">
        <f t="shared" si="5"/>
        <v>3.616214979454152E-2</v>
      </c>
      <c r="AK55" s="6">
        <f t="shared" si="5"/>
        <v>3.388387353827356E-2</v>
      </c>
      <c r="AL55" s="6">
        <f t="shared" si="5"/>
        <v>3.1636813899357991E-2</v>
      </c>
      <c r="AM55" s="6">
        <f t="shared" si="5"/>
        <v>2.9388776392389161E-2</v>
      </c>
      <c r="AN55" s="6">
        <f t="shared" si="5"/>
        <v>2.7945528803582399E-2</v>
      </c>
      <c r="AO55" s="6">
        <f t="shared" si="5"/>
        <v>2.6495555969194919E-2</v>
      </c>
      <c r="AP55" s="6">
        <f t="shared" si="5"/>
        <v>2.5029611937261359E-2</v>
      </c>
      <c r="AQ55" s="6">
        <f t="shared" si="5"/>
        <v>2.3563053513519231E-2</v>
      </c>
      <c r="AR55" s="6">
        <f t="shared" si="5"/>
        <v>2.2089192003759049E-2</v>
      </c>
      <c r="AS55" s="6">
        <f t="shared" si="5"/>
        <v>2.1568773856969221E-2</v>
      </c>
      <c r="AT55" s="6">
        <f t="shared" si="5"/>
        <v>2.1044854656145601E-2</v>
      </c>
      <c r="AU55" s="6">
        <f t="shared" si="5"/>
        <v>2.0511477278365761E-2</v>
      </c>
      <c r="AV55" s="6">
        <f t="shared" si="5"/>
        <v>1.9983955595474681E-2</v>
      </c>
      <c r="AW55" s="6">
        <f t="shared" si="5"/>
        <v>1.9455066361617632E-2</v>
      </c>
      <c r="AX55" s="6">
        <f t="shared" si="5"/>
        <v>1.964140297480697E-2</v>
      </c>
      <c r="AY55" s="6">
        <f t="shared" si="5"/>
        <v>1.9407556618260911E-2</v>
      </c>
      <c r="AZ55" s="6">
        <f t="shared" si="5"/>
        <v>1.9173059591223431E-2</v>
      </c>
      <c r="BA55" s="6">
        <f t="shared" si="5"/>
        <v>1.893784819983222E-2</v>
      </c>
    </row>
    <row r="56" spans="1:54" outlineLevel="1" x14ac:dyDescent="0.35">
      <c r="A56" s="6" t="s">
        <v>34</v>
      </c>
      <c r="B56" s="6">
        <f>'Results - raw data ReCiPe (H)'!C47</f>
        <v>6.3101752981999824E-3</v>
      </c>
      <c r="AB56" s="6" t="s">
        <v>123</v>
      </c>
      <c r="AC56" s="6">
        <f t="shared" ref="AC56:BA56" si="6">B78</f>
        <v>5.9419755841213177E-3</v>
      </c>
      <c r="AD56" s="6">
        <f t="shared" si="6"/>
        <v>5.6392093242708654E-3</v>
      </c>
      <c r="AE56" s="6">
        <f t="shared" si="6"/>
        <v>5.3364012775946306E-3</v>
      </c>
      <c r="AF56" s="6">
        <f t="shared" si="6"/>
        <v>5.0302367711032329E-3</v>
      </c>
      <c r="AG56" s="6">
        <f t="shared" si="6"/>
        <v>4.7290834870319263E-3</v>
      </c>
      <c r="AH56" s="6">
        <f t="shared" si="6"/>
        <v>4.4290017479485973E-3</v>
      </c>
      <c r="AI56" s="6">
        <f t="shared" si="6"/>
        <v>4.2537680028041161E-3</v>
      </c>
      <c r="AJ56" s="6">
        <f t="shared" si="6"/>
        <v>4.0792273730117469E-3</v>
      </c>
      <c r="AK56" s="6">
        <f t="shared" si="6"/>
        <v>3.9023768692301496E-3</v>
      </c>
      <c r="AL56" s="6">
        <f t="shared" si="6"/>
        <v>3.7285535864472604E-3</v>
      </c>
      <c r="AM56" s="6">
        <f t="shared" si="6"/>
        <v>3.5549715926132793E-3</v>
      </c>
      <c r="AN56" s="6">
        <f t="shared" si="6"/>
        <v>3.4425631906990673E-3</v>
      </c>
      <c r="AO56" s="6">
        <f t="shared" si="6"/>
        <v>3.3297140791255257E-3</v>
      </c>
      <c r="AP56" s="6">
        <f t="shared" si="6"/>
        <v>3.2156256377198051E-3</v>
      </c>
      <c r="AQ56" s="6">
        <f t="shared" si="6"/>
        <v>3.1016491857213022E-3</v>
      </c>
      <c r="AR56" s="6">
        <f t="shared" si="6"/>
        <v>2.987175355825968E-3</v>
      </c>
      <c r="AS56" s="6">
        <f t="shared" si="6"/>
        <v>2.945325002502398E-3</v>
      </c>
      <c r="AT56" s="6">
        <f t="shared" si="6"/>
        <v>2.9031720155841012E-3</v>
      </c>
      <c r="AU56" s="6">
        <f t="shared" si="6"/>
        <v>2.8601680696643469E-3</v>
      </c>
      <c r="AV56" s="6">
        <f t="shared" si="6"/>
        <v>2.8176519553675507E-3</v>
      </c>
      <c r="AW56" s="6">
        <f t="shared" si="6"/>
        <v>2.7749811319828458E-3</v>
      </c>
      <c r="AX56" s="6">
        <f t="shared" si="6"/>
        <v>2.7974518649709168E-3</v>
      </c>
      <c r="AY56" s="6">
        <f t="shared" si="6"/>
        <v>2.7793616825937738E-3</v>
      </c>
      <c r="AZ56" s="6">
        <f t="shared" si="6"/>
        <v>2.7612768881797641E-3</v>
      </c>
      <c r="BA56" s="6">
        <f t="shared" si="6"/>
        <v>2.7431908352950562E-3</v>
      </c>
    </row>
    <row r="57" spans="1:54" outlineLevel="1" x14ac:dyDescent="0.35">
      <c r="A57" s="6" t="s">
        <v>36</v>
      </c>
      <c r="B57" s="6">
        <f>'Results - raw data ReCiPe (H)'!C48</f>
        <v>3.6673559301182651E-3</v>
      </c>
      <c r="AB57" s="6" t="s">
        <v>124</v>
      </c>
      <c r="AC57" s="6">
        <f>-$AC$7*$AC$6</f>
        <v>-9.2799999999999994E-2</v>
      </c>
      <c r="AD57" s="6">
        <f t="shared" ref="AD57:BA57" si="7">-$AC$7*$AC$6</f>
        <v>-9.2799999999999994E-2</v>
      </c>
      <c r="AE57" s="6">
        <f t="shared" si="7"/>
        <v>-9.2799999999999994E-2</v>
      </c>
      <c r="AF57" s="6">
        <f t="shared" si="7"/>
        <v>-9.2799999999999994E-2</v>
      </c>
      <c r="AG57" s="6">
        <f t="shared" si="7"/>
        <v>-9.2799999999999994E-2</v>
      </c>
      <c r="AH57" s="6">
        <f t="shared" si="7"/>
        <v>-9.2799999999999994E-2</v>
      </c>
      <c r="AI57" s="6">
        <f t="shared" si="7"/>
        <v>-9.2799999999999994E-2</v>
      </c>
      <c r="AJ57" s="6">
        <f t="shared" si="7"/>
        <v>-9.2799999999999994E-2</v>
      </c>
      <c r="AK57" s="6">
        <f t="shared" si="7"/>
        <v>-9.2799999999999994E-2</v>
      </c>
      <c r="AL57" s="6">
        <f t="shared" si="7"/>
        <v>-9.2799999999999994E-2</v>
      </c>
      <c r="AM57" s="6">
        <f t="shared" si="7"/>
        <v>-9.2799999999999994E-2</v>
      </c>
      <c r="AN57" s="6">
        <f t="shared" si="7"/>
        <v>-9.2799999999999994E-2</v>
      </c>
      <c r="AO57" s="6">
        <f t="shared" si="7"/>
        <v>-9.2799999999999994E-2</v>
      </c>
      <c r="AP57" s="6">
        <f t="shared" si="7"/>
        <v>-9.2799999999999994E-2</v>
      </c>
      <c r="AQ57" s="6">
        <f t="shared" si="7"/>
        <v>-9.2799999999999994E-2</v>
      </c>
      <c r="AR57" s="6">
        <f t="shared" si="7"/>
        <v>-9.2799999999999994E-2</v>
      </c>
      <c r="AS57" s="6">
        <f t="shared" si="7"/>
        <v>-9.2799999999999994E-2</v>
      </c>
      <c r="AT57" s="6">
        <f t="shared" si="7"/>
        <v>-9.2799999999999994E-2</v>
      </c>
      <c r="AU57" s="6">
        <f t="shared" si="7"/>
        <v>-9.2799999999999994E-2</v>
      </c>
      <c r="AV57" s="6">
        <f t="shared" si="7"/>
        <v>-9.2799999999999994E-2</v>
      </c>
      <c r="AW57" s="6">
        <f t="shared" si="7"/>
        <v>-9.2799999999999994E-2</v>
      </c>
      <c r="AX57" s="6">
        <f t="shared" si="7"/>
        <v>-9.2799999999999994E-2</v>
      </c>
      <c r="AY57" s="6">
        <f t="shared" si="7"/>
        <v>-9.2799999999999994E-2</v>
      </c>
      <c r="AZ57" s="6">
        <f t="shared" si="7"/>
        <v>-9.2799999999999994E-2</v>
      </c>
      <c r="BA57" s="6">
        <f t="shared" si="7"/>
        <v>-9.2799999999999994E-2</v>
      </c>
    </row>
    <row r="58" spans="1:54" outlineLevel="1" x14ac:dyDescent="0.35">
      <c r="A58" s="6" t="s">
        <v>38</v>
      </c>
      <c r="B58" s="6">
        <f>'Results - raw data ReCiPe (H)'!C49</f>
        <v>2.0251561932952661E-2</v>
      </c>
      <c r="AB58" s="23" t="s">
        <v>125</v>
      </c>
      <c r="AC58" s="17">
        <f t="shared" ref="AC58:BA58" si="8">SUM(AC50:AC57)</f>
        <v>0.14504046775893215</v>
      </c>
      <c r="AD58" s="17">
        <f t="shared" si="8"/>
        <v>-3.0968923170218168E-2</v>
      </c>
      <c r="AE58" s="17">
        <f t="shared" si="8"/>
        <v>-3.5134326037623793E-2</v>
      </c>
      <c r="AF58" s="17">
        <f t="shared" si="8"/>
        <v>-3.7131364976591932E-2</v>
      </c>
      <c r="AG58" s="17">
        <f t="shared" si="8"/>
        <v>-4.3531106735495963E-2</v>
      </c>
      <c r="AH58" s="17">
        <f t="shared" si="8"/>
        <v>-4.7708167708153906E-2</v>
      </c>
      <c r="AI58" s="17">
        <f t="shared" si="8"/>
        <v>-4.7972442548479356E-2</v>
      </c>
      <c r="AJ58" s="17">
        <f t="shared" si="8"/>
        <v>-5.2558622832446729E-2</v>
      </c>
      <c r="AK58" s="17">
        <f t="shared" si="8"/>
        <v>-5.5013749592496282E-2</v>
      </c>
      <c r="AL58" s="17">
        <f t="shared" si="8"/>
        <v>-5.5343238451212903E-2</v>
      </c>
      <c r="AM58" s="17">
        <f t="shared" si="8"/>
        <v>-5.985625201499755E-2</v>
      </c>
      <c r="AN58" s="17">
        <f t="shared" si="8"/>
        <v>-6.1411908005718524E-2</v>
      </c>
      <c r="AO58" s="17">
        <f t="shared" si="8"/>
        <v>-6.0963570566571978E-2</v>
      </c>
      <c r="AP58" s="17">
        <f t="shared" si="8"/>
        <v>-6.4554762425018827E-2</v>
      </c>
      <c r="AQ58" s="17">
        <f t="shared" si="8"/>
        <v>-6.6135297300759455E-2</v>
      </c>
      <c r="AR58" s="17">
        <f t="shared" si="8"/>
        <v>-6.5798307081795043E-2</v>
      </c>
      <c r="AS58" s="17">
        <f t="shared" si="8"/>
        <v>-6.8285901140528377E-2</v>
      </c>
      <c r="AT58" s="17">
        <f t="shared" si="8"/>
        <v>-6.8851973328270283E-2</v>
      </c>
      <c r="AU58" s="17">
        <f t="shared" si="8"/>
        <v>-6.7560251278895533E-2</v>
      </c>
      <c r="AV58" s="17">
        <f t="shared" si="8"/>
        <v>-6.9998392449157759E-2</v>
      </c>
      <c r="AW58" s="17">
        <f t="shared" si="8"/>
        <v>-7.0569952506399525E-2</v>
      </c>
      <c r="AX58" s="17">
        <f t="shared" si="8"/>
        <v>-6.8521660457622785E-2</v>
      </c>
      <c r="AY58" s="17">
        <f t="shared" si="8"/>
        <v>-7.0613081699145305E-2</v>
      </c>
      <c r="AZ58" s="17">
        <f t="shared" si="8"/>
        <v>-7.0865663520596797E-2</v>
      </c>
      <c r="BA58" s="17">
        <f t="shared" si="8"/>
        <v>-6.8049005023290421E-2</v>
      </c>
    </row>
    <row r="59" spans="1:54" outlineLevel="1" x14ac:dyDescent="0.35">
      <c r="A59" s="6" t="s">
        <v>39</v>
      </c>
      <c r="B59" s="6">
        <f>'Results - raw data ReCiPe (H)'!C50</f>
        <v>5.5780352999011518E-2</v>
      </c>
    </row>
    <row r="60" spans="1:54" outlineLevel="1" x14ac:dyDescent="0.35">
      <c r="A60" s="6" t="s">
        <v>41</v>
      </c>
      <c r="B60" s="6">
        <f>'Results - raw data ReCiPe (H)'!C51</f>
        <v>2.8664307292717168E-4</v>
      </c>
    </row>
    <row r="61" spans="1:54" outlineLevel="1" x14ac:dyDescent="0.35">
      <c r="A61" s="6" t="s">
        <v>43</v>
      </c>
      <c r="B61" s="6">
        <f>'Results - raw data ReCiPe (H)'!C52</f>
        <v>9.0979496556399054E-4</v>
      </c>
      <c r="AB61" s="187"/>
      <c r="AC61" s="187"/>
      <c r="AD61" s="187"/>
      <c r="AE61" s="187"/>
      <c r="AF61" s="187"/>
      <c r="AG61" s="187"/>
      <c r="AH61" s="187"/>
      <c r="AI61" s="187"/>
      <c r="AJ61" s="187"/>
      <c r="AK61" s="187"/>
      <c r="AL61" s="187"/>
      <c r="AM61" s="187"/>
      <c r="AN61" s="187"/>
      <c r="AO61" s="187"/>
      <c r="AP61" s="187"/>
      <c r="AQ61" s="187"/>
      <c r="AR61" s="187"/>
      <c r="AS61" s="187"/>
      <c r="AT61" s="187"/>
      <c r="AU61" s="187"/>
      <c r="AV61" s="187"/>
      <c r="AW61" s="187"/>
      <c r="AX61" s="187"/>
      <c r="AY61" s="187"/>
      <c r="AZ61" s="187"/>
      <c r="BA61" s="187"/>
      <c r="BB61" s="187"/>
    </row>
    <row r="62" spans="1:54" outlineLevel="1" x14ac:dyDescent="0.35">
      <c r="A62" s="6" t="s">
        <v>44</v>
      </c>
      <c r="B62" s="6">
        <f>'Results - raw data ReCiPe (H)'!C53*AC47*AC48</f>
        <v>9.5063834765982819E-3</v>
      </c>
      <c r="AB62" s="187"/>
      <c r="AC62" s="187"/>
      <c r="AD62" s="187"/>
      <c r="AE62" s="187"/>
      <c r="AF62" s="187"/>
      <c r="AG62" s="187"/>
      <c r="AH62" s="187"/>
      <c r="AI62" s="187"/>
      <c r="AJ62" s="187"/>
      <c r="AK62" s="187"/>
      <c r="AL62" s="187"/>
      <c r="AM62" s="187"/>
      <c r="AN62" s="187"/>
      <c r="AO62" s="187"/>
      <c r="AP62" s="187"/>
      <c r="AQ62" s="187"/>
      <c r="AR62" s="187"/>
      <c r="AS62" s="187"/>
      <c r="AT62" s="187"/>
      <c r="AU62" s="187"/>
      <c r="AV62" s="187"/>
      <c r="AW62" s="187"/>
      <c r="AX62" s="187"/>
      <c r="AY62" s="187"/>
      <c r="AZ62" s="187"/>
      <c r="BA62" s="187"/>
      <c r="BB62" s="187"/>
    </row>
    <row r="63" spans="1:54" outlineLevel="1" x14ac:dyDescent="0.35">
      <c r="A63" s="6" t="s">
        <v>757</v>
      </c>
      <c r="B63" s="6">
        <f>'Results - raw data ReCiPe (H)'!C54*AC47*AC48</f>
        <v>1.4529104350648813E-2</v>
      </c>
      <c r="AB63" s="187"/>
      <c r="AC63" s="187"/>
      <c r="AD63" s="187"/>
      <c r="AE63" s="187"/>
      <c r="AF63" s="187"/>
      <c r="AG63" s="187"/>
      <c r="AH63" s="187"/>
      <c r="AI63" s="187"/>
      <c r="AJ63" s="187"/>
      <c r="AK63" s="187"/>
      <c r="AL63" s="187"/>
      <c r="AM63" s="187"/>
      <c r="AN63" s="187"/>
      <c r="AO63" s="187"/>
      <c r="AP63" s="187"/>
      <c r="AQ63" s="187"/>
      <c r="AR63" s="187"/>
      <c r="AS63" s="187"/>
      <c r="AT63" s="187"/>
      <c r="AU63" s="187"/>
      <c r="AV63" s="187"/>
      <c r="AW63" s="187"/>
      <c r="AX63" s="187"/>
      <c r="AY63" s="187"/>
      <c r="AZ63" s="187"/>
      <c r="BA63" s="187"/>
      <c r="BB63" s="187"/>
    </row>
    <row r="64" spans="1:54" outlineLevel="1" x14ac:dyDescent="0.35">
      <c r="A64" s="6" t="s">
        <v>22</v>
      </c>
      <c r="Z64" s="6">
        <f>'Results - raw data ReCiPe (H)'!AA55</f>
        <v>2.4762670432088011E-5</v>
      </c>
      <c r="AB64" s="187"/>
      <c r="AC64" s="187"/>
      <c r="AD64" s="187"/>
      <c r="AE64" s="187"/>
      <c r="AF64" s="187"/>
      <c r="AG64" s="187"/>
      <c r="AH64" s="187"/>
      <c r="AI64" s="187"/>
      <c r="AJ64" s="187"/>
      <c r="AK64" s="187"/>
      <c r="AL64" s="187"/>
      <c r="AM64" s="187"/>
      <c r="AN64" s="187"/>
      <c r="AO64" s="187"/>
      <c r="AP64" s="187"/>
      <c r="AQ64" s="187"/>
      <c r="AR64" s="187"/>
      <c r="AS64" s="187"/>
      <c r="AT64" s="187"/>
      <c r="AU64" s="187"/>
      <c r="AV64" s="187"/>
      <c r="AW64" s="187"/>
      <c r="AX64" s="187"/>
      <c r="AY64" s="187"/>
      <c r="AZ64" s="187"/>
      <c r="BA64" s="187"/>
      <c r="BB64" s="187"/>
    </row>
    <row r="65" spans="1:54" outlineLevel="1" x14ac:dyDescent="0.35">
      <c r="A65" s="6" t="s">
        <v>24</v>
      </c>
      <c r="Z65" s="6">
        <f>'Results - raw data ReCiPe (H)'!AA56</f>
        <v>1.176118094708814E-5</v>
      </c>
      <c r="AB65" s="187"/>
      <c r="AC65" s="187"/>
      <c r="AD65" s="187"/>
      <c r="AE65" s="187"/>
      <c r="AF65" s="187"/>
      <c r="AG65" s="187"/>
      <c r="AH65" s="187"/>
      <c r="AI65" s="187"/>
      <c r="AJ65" s="187"/>
      <c r="AK65" s="187"/>
      <c r="AL65" s="187"/>
      <c r="AM65" s="187"/>
      <c r="AN65" s="187"/>
      <c r="AO65" s="187"/>
      <c r="AP65" s="187"/>
      <c r="AQ65" s="187"/>
      <c r="AR65" s="187"/>
      <c r="AS65" s="187"/>
      <c r="AT65" s="187"/>
      <c r="AU65" s="187"/>
      <c r="AV65" s="187"/>
      <c r="AW65" s="187"/>
      <c r="AX65" s="187"/>
      <c r="AY65" s="187"/>
      <c r="AZ65" s="187"/>
      <c r="BA65" s="187"/>
      <c r="BB65" s="187"/>
    </row>
    <row r="66" spans="1:54" outlineLevel="1" x14ac:dyDescent="0.35">
      <c r="A66" s="6" t="s">
        <v>25</v>
      </c>
      <c r="Z66" s="6">
        <f>'Results - raw data ReCiPe (H)'!AA57</f>
        <v>3.9046886024631158E-5</v>
      </c>
      <c r="AB66" s="187"/>
      <c r="AC66" s="187"/>
      <c r="AD66" s="187"/>
      <c r="AE66" s="187"/>
      <c r="AF66" s="187"/>
      <c r="AG66" s="187"/>
      <c r="AH66" s="187"/>
      <c r="AI66" s="187"/>
      <c r="AJ66" s="187"/>
      <c r="AK66" s="187"/>
      <c r="AL66" s="187"/>
      <c r="AM66" s="187"/>
      <c r="AN66" s="187"/>
      <c r="AO66" s="187"/>
      <c r="AP66" s="187"/>
      <c r="AQ66" s="187"/>
      <c r="AR66" s="187"/>
      <c r="AS66" s="187"/>
      <c r="AT66" s="187"/>
      <c r="AU66" s="187"/>
      <c r="AV66" s="187"/>
      <c r="AW66" s="187"/>
      <c r="AX66" s="187"/>
      <c r="AY66" s="187"/>
      <c r="AZ66" s="187"/>
      <c r="BA66" s="187"/>
      <c r="BB66" s="187"/>
    </row>
    <row r="67" spans="1:54" outlineLevel="1" x14ac:dyDescent="0.35">
      <c r="A67" s="6" t="s">
        <v>27</v>
      </c>
      <c r="Z67" s="6">
        <f>'Results - raw data ReCiPe (H)'!AA58</f>
        <v>1.6840076209704161E-5</v>
      </c>
      <c r="AB67" s="187"/>
      <c r="AC67" s="187"/>
      <c r="AD67" s="187"/>
      <c r="AE67" s="187"/>
      <c r="AF67" s="187"/>
      <c r="AG67" s="187"/>
      <c r="AH67" s="187"/>
      <c r="AI67" s="187"/>
      <c r="AJ67" s="187"/>
      <c r="AK67" s="187"/>
      <c r="AL67" s="187"/>
      <c r="AM67" s="187"/>
      <c r="AN67" s="187"/>
      <c r="AO67" s="187"/>
      <c r="AP67" s="187"/>
      <c r="AQ67" s="187"/>
      <c r="AR67" s="187"/>
      <c r="AS67" s="187"/>
      <c r="AT67" s="187"/>
      <c r="AU67" s="187"/>
      <c r="AV67" s="187"/>
      <c r="AW67" s="187"/>
      <c r="AX67" s="187"/>
      <c r="AY67" s="187"/>
      <c r="AZ67" s="187"/>
      <c r="BA67" s="187"/>
      <c r="BB67" s="187"/>
    </row>
    <row r="68" spans="1:54" outlineLevel="1" x14ac:dyDescent="0.35">
      <c r="A68" s="6" t="s">
        <v>30</v>
      </c>
      <c r="Z68" s="6">
        <f>'Results - raw data ReCiPe (H)'!AA59</f>
        <v>3.2639269159817092E-5</v>
      </c>
      <c r="AB68" s="187"/>
      <c r="AC68" s="187"/>
      <c r="AD68" s="187"/>
      <c r="AE68" s="187"/>
      <c r="AF68" s="187"/>
      <c r="AG68" s="187"/>
      <c r="AH68" s="187"/>
      <c r="AI68" s="187"/>
      <c r="AJ68" s="187"/>
      <c r="AK68" s="187"/>
      <c r="AL68" s="187"/>
      <c r="AM68" s="187"/>
      <c r="AN68" s="187"/>
      <c r="AO68" s="187"/>
      <c r="AP68" s="187"/>
      <c r="AQ68" s="187"/>
      <c r="AR68" s="187"/>
      <c r="AS68" s="187"/>
      <c r="AT68" s="187"/>
      <c r="AU68" s="187"/>
      <c r="AV68" s="187"/>
      <c r="AW68" s="187"/>
      <c r="AX68" s="187"/>
      <c r="AY68" s="187"/>
      <c r="AZ68" s="187"/>
      <c r="BA68" s="187"/>
      <c r="BB68" s="187"/>
    </row>
    <row r="69" spans="1:54" outlineLevel="1" x14ac:dyDescent="0.35">
      <c r="A69" s="6" t="s">
        <v>32</v>
      </c>
      <c r="Z69" s="6">
        <f>'Results - raw data ReCiPe (H)'!AA60</f>
        <v>4.4601367480851334E-6</v>
      </c>
      <c r="AB69" s="187"/>
      <c r="AC69" s="187"/>
      <c r="AD69" s="187"/>
      <c r="AE69" s="187"/>
      <c r="AF69" s="187"/>
      <c r="AG69" s="187"/>
      <c r="AH69" s="187"/>
      <c r="AI69" s="187"/>
      <c r="AJ69" s="187"/>
      <c r="AK69" s="187"/>
      <c r="AL69" s="187"/>
      <c r="AM69" s="187"/>
      <c r="AN69" s="187"/>
      <c r="AO69" s="187"/>
      <c r="AP69" s="187"/>
      <c r="AQ69" s="187"/>
      <c r="AR69" s="187"/>
      <c r="AS69" s="187"/>
      <c r="AT69" s="187"/>
      <c r="AU69" s="187"/>
      <c r="AV69" s="187"/>
      <c r="AW69" s="187"/>
      <c r="AX69" s="187"/>
      <c r="AY69" s="187"/>
      <c r="AZ69" s="187"/>
      <c r="BA69" s="187"/>
      <c r="BB69" s="187"/>
    </row>
    <row r="70" spans="1:54" outlineLevel="1" x14ac:dyDescent="0.35">
      <c r="A70" s="6" t="s">
        <v>33</v>
      </c>
      <c r="Z70" s="6">
        <f>'Results - raw data ReCiPe (H)'!AA61</f>
        <v>8.2720352410769784E-6</v>
      </c>
      <c r="AB70" s="187"/>
      <c r="AC70" s="187"/>
      <c r="AD70" s="187"/>
      <c r="AE70" s="187"/>
      <c r="AF70" s="187"/>
      <c r="AG70" s="187"/>
      <c r="AH70" s="187"/>
      <c r="AI70" s="187"/>
      <c r="AJ70" s="187"/>
      <c r="AK70" s="187"/>
      <c r="AL70" s="187"/>
      <c r="AM70" s="187"/>
      <c r="AN70" s="187"/>
      <c r="AO70" s="187"/>
      <c r="AP70" s="187"/>
      <c r="AQ70" s="187"/>
      <c r="AR70" s="187"/>
      <c r="AS70" s="187"/>
      <c r="AT70" s="187"/>
      <c r="AU70" s="187"/>
      <c r="AV70" s="187"/>
      <c r="AW70" s="187"/>
      <c r="AX70" s="187"/>
      <c r="AY70" s="187"/>
      <c r="AZ70" s="187"/>
      <c r="BA70" s="187"/>
      <c r="BB70" s="187"/>
    </row>
    <row r="71" spans="1:54" outlineLevel="1" x14ac:dyDescent="0.35">
      <c r="A71" s="6" t="s">
        <v>35</v>
      </c>
      <c r="Z71" s="6">
        <f>'Results - raw data ReCiPe (H)'!AA62</f>
        <v>1.654407048215396E-5</v>
      </c>
      <c r="AB71" s="187"/>
      <c r="AC71" s="187"/>
      <c r="AD71" s="187"/>
      <c r="AE71" s="187"/>
      <c r="AF71" s="187"/>
      <c r="AG71" s="187"/>
      <c r="AH71" s="187"/>
      <c r="AI71" s="187"/>
      <c r="AJ71" s="187"/>
      <c r="AK71" s="187"/>
      <c r="AL71" s="187"/>
      <c r="AM71" s="187"/>
      <c r="AN71" s="187"/>
      <c r="AO71" s="187"/>
      <c r="AP71" s="187"/>
      <c r="AQ71" s="187"/>
      <c r="AR71" s="187"/>
      <c r="AS71" s="187"/>
      <c r="AT71" s="187"/>
      <c r="AU71" s="187"/>
      <c r="AV71" s="187"/>
      <c r="AW71" s="187"/>
      <c r="AX71" s="187"/>
      <c r="AY71" s="187"/>
      <c r="AZ71" s="187"/>
      <c r="BA71" s="187"/>
      <c r="BB71" s="187"/>
    </row>
    <row r="72" spans="1:54" outlineLevel="1" x14ac:dyDescent="0.35">
      <c r="A72" s="6" t="s">
        <v>37</v>
      </c>
      <c r="Z72" s="6">
        <f>'Results - raw data ReCiPe (H)'!AA63</f>
        <v>4.1171919330931541E-5</v>
      </c>
      <c r="AB72" s="187"/>
      <c r="AC72" s="187"/>
      <c r="AD72" s="187"/>
      <c r="AE72" s="187"/>
      <c r="AF72" s="187"/>
      <c r="AG72" s="187"/>
      <c r="AH72" s="187"/>
      <c r="AI72" s="187"/>
      <c r="AJ72" s="187"/>
      <c r="AK72" s="187"/>
      <c r="AL72" s="187"/>
      <c r="AM72" s="187"/>
      <c r="AN72" s="187"/>
      <c r="AO72" s="187"/>
      <c r="AP72" s="187"/>
      <c r="AQ72" s="187"/>
      <c r="AR72" s="187"/>
      <c r="AS72" s="187"/>
      <c r="AT72" s="187"/>
      <c r="AU72" s="187"/>
      <c r="AV72" s="187"/>
      <c r="AW72" s="187"/>
      <c r="AX72" s="187"/>
      <c r="AY72" s="187"/>
      <c r="AZ72" s="187"/>
      <c r="BA72" s="187"/>
      <c r="BB72" s="187"/>
    </row>
    <row r="73" spans="1:54" outlineLevel="1" x14ac:dyDescent="0.35">
      <c r="A73" s="6" t="s">
        <v>40</v>
      </c>
      <c r="Z73" s="6">
        <f>'Results - raw data ReCiPe (H)'!AA64</f>
        <v>5.9448924584171799E-4</v>
      </c>
    </row>
    <row r="74" spans="1:54" outlineLevel="1" x14ac:dyDescent="0.35">
      <c r="A74" s="6" t="s">
        <v>42</v>
      </c>
      <c r="Z74" s="6">
        <f>'Results - raw data ReCiPe (H)'!AA65</f>
        <v>5.4539699490104918E-5</v>
      </c>
    </row>
    <row r="75" spans="1:54" outlineLevel="1" x14ac:dyDescent="0.35">
      <c r="A75" s="6" t="s">
        <v>115</v>
      </c>
      <c r="Z75" s="6">
        <f>'Results - raw data ReCiPe (H)'!AA66</f>
        <v>3.5935458474486748E-4</v>
      </c>
    </row>
    <row r="76" spans="1:54" outlineLevel="1" x14ac:dyDescent="0.35">
      <c r="A76" s="6" t="s">
        <v>45</v>
      </c>
      <c r="Z76" s="6">
        <f>'Results - raw data ReCiPe (H)'!AA67*AC47*AC48</f>
        <v>3.5227143847144076E-5</v>
      </c>
    </row>
    <row r="77" spans="1:54" outlineLevel="1" x14ac:dyDescent="0.35">
      <c r="A77" s="6" t="s">
        <v>116</v>
      </c>
      <c r="B77" s="6">
        <f>'Results - raw data ReCiPe (H)'!C68</f>
        <v>2.2868444478900299E-3</v>
      </c>
      <c r="C77" s="6">
        <f>'Results - raw data ReCiPe (H)'!D68</f>
        <v>2.2688618108593619E-3</v>
      </c>
      <c r="D77" s="6">
        <f>'Results - raw data ReCiPe (H)'!E68</f>
        <v>2.250613145045521E-3</v>
      </c>
      <c r="E77" s="6">
        <f>'Results - raw data ReCiPe (H)'!F68</f>
        <v>2.2242630345716192E-3</v>
      </c>
      <c r="F77" s="6">
        <f>'Results - raw data ReCiPe (H)'!G68</f>
        <v>2.205439178557477E-3</v>
      </c>
      <c r="G77" s="6">
        <f>'Results - raw data ReCiPe (H)'!H68</f>
        <v>2.1863319204748952E-3</v>
      </c>
      <c r="H77" s="6">
        <f>'Results - raw data ReCiPe (H)'!I68</f>
        <v>2.1636441841529248E-3</v>
      </c>
      <c r="I77" s="6">
        <f>'Results - raw data ReCiPe (H)'!J68</f>
        <v>2.140943809067155E-3</v>
      </c>
      <c r="J77" s="6">
        <f>'Results - raw data ReCiPe (H)'!K68</f>
        <v>2.1142905920493878E-3</v>
      </c>
      <c r="K77" s="6">
        <f>'Results - raw data ReCiPe (H)'!L68</f>
        <v>2.0913940629818349E-3</v>
      </c>
      <c r="L77" s="6">
        <f>'Results - raw data ReCiPe (H)'!M68</f>
        <v>2.068344889906047E-3</v>
      </c>
      <c r="M77" s="6">
        <f>'Results - raw data ReCiPe (H)'!N68</f>
        <v>2.0396732943811142E-3</v>
      </c>
      <c r="N77" s="6">
        <f>'Results - raw data ReCiPe (H)'!O68</f>
        <v>2.0111593851075741E-3</v>
      </c>
      <c r="O77" s="6">
        <f>'Results - raw data ReCiPe (H)'!P68</f>
        <v>1.9816419194333399E-3</v>
      </c>
      <c r="P77" s="6">
        <f>'Results - raw data ReCiPe (H)'!Q68</f>
        <v>1.9534224916984309E-3</v>
      </c>
      <c r="Q77" s="6">
        <f>'Results - raw data ReCiPe (H)'!R68</f>
        <v>1.925325558619934E-3</v>
      </c>
      <c r="R77" s="6">
        <f>'Results - raw data ReCiPe (H)'!S68</f>
        <v>1.90651589386873E-3</v>
      </c>
      <c r="S77" s="6">
        <f>'Results - raw data ReCiPe (H)'!T68</f>
        <v>1.887805505923892E-3</v>
      </c>
      <c r="T77" s="6">
        <f>'Results - raw data ReCiPe (H)'!U68</f>
        <v>1.868103373074346E-3</v>
      </c>
      <c r="U77" s="6">
        <f>'Results - raw data ReCiPe (H)'!V68</f>
        <v>1.8496113901087679E-3</v>
      </c>
      <c r="V77" s="6">
        <f>'Results - raw data ReCiPe (H)'!W68</f>
        <v>1.831221787405327E-3</v>
      </c>
      <c r="W77" s="6">
        <f>'Results - raw data ReCiPe (H)'!X68</f>
        <v>1.839484702599319E-3</v>
      </c>
      <c r="X77" s="6">
        <f>'Results - raw data ReCiPe (H)'!Y68</f>
        <v>1.836581954761485E-3</v>
      </c>
      <c r="Y77" s="6">
        <f>'Results - raw data ReCiPe (H)'!Z68</f>
        <v>1.8337028304043451E-3</v>
      </c>
      <c r="Z77" s="6">
        <f>'Results - raw data ReCiPe (H)'!AA68</f>
        <v>1.8308470230828889E-3</v>
      </c>
    </row>
    <row r="78" spans="1:54" outlineLevel="1" x14ac:dyDescent="0.35">
      <c r="A78" s="6" t="s">
        <v>758</v>
      </c>
      <c r="B78" s="6">
        <f>'Results - raw data ReCiPe (H)'!C69*$AC$47</f>
        <v>5.9419755841213177E-3</v>
      </c>
      <c r="C78" s="6">
        <f>'Results - raw data ReCiPe (H)'!D69*$AC$47</f>
        <v>5.6392093242708654E-3</v>
      </c>
      <c r="D78" s="6">
        <f>'Results - raw data ReCiPe (H)'!E69*$AC$47</f>
        <v>5.3364012775946306E-3</v>
      </c>
      <c r="E78" s="6">
        <f>'Results - raw data ReCiPe (H)'!F69*$AC$47</f>
        <v>5.0302367711032329E-3</v>
      </c>
      <c r="F78" s="6">
        <f>'Results - raw data ReCiPe (H)'!G69*$AC$47</f>
        <v>4.7290834870319263E-3</v>
      </c>
      <c r="G78" s="6">
        <f>'Results - raw data ReCiPe (H)'!H69*$AC$47</f>
        <v>4.4290017479485973E-3</v>
      </c>
      <c r="H78" s="6">
        <f>'Results - raw data ReCiPe (H)'!I69*$AC$47</f>
        <v>4.2537680028041161E-3</v>
      </c>
      <c r="I78" s="6">
        <f>'Results - raw data ReCiPe (H)'!J69*$AC$47</f>
        <v>4.0792273730117469E-3</v>
      </c>
      <c r="J78" s="6">
        <f>'Results - raw data ReCiPe (H)'!K69*$AC$47</f>
        <v>3.9023768692301496E-3</v>
      </c>
      <c r="K78" s="6">
        <f>'Results - raw data ReCiPe (H)'!L69*$AC$47</f>
        <v>3.7285535864472604E-3</v>
      </c>
      <c r="L78" s="6">
        <f>'Results - raw data ReCiPe (H)'!M69*$AC$47</f>
        <v>3.5549715926132793E-3</v>
      </c>
      <c r="M78" s="6">
        <f>'Results - raw data ReCiPe (H)'!N69*$AC$47</f>
        <v>3.4425631906990673E-3</v>
      </c>
      <c r="N78" s="6">
        <f>'Results - raw data ReCiPe (H)'!O69*$AC$47</f>
        <v>3.3297140791255257E-3</v>
      </c>
      <c r="O78" s="6">
        <f>'Results - raw data ReCiPe (H)'!P69*$AC$47</f>
        <v>3.2156256377198051E-3</v>
      </c>
      <c r="P78" s="6">
        <f>'Results - raw data ReCiPe (H)'!Q69*$AC$47</f>
        <v>3.1016491857213022E-3</v>
      </c>
      <c r="Q78" s="6">
        <f>'Results - raw data ReCiPe (H)'!R69*$AC$47</f>
        <v>2.987175355825968E-3</v>
      </c>
      <c r="R78" s="6">
        <f>'Results - raw data ReCiPe (H)'!S69*$AC$47</f>
        <v>2.945325002502398E-3</v>
      </c>
      <c r="S78" s="6">
        <f>'Results - raw data ReCiPe (H)'!T69*$AC$47</f>
        <v>2.9031720155841012E-3</v>
      </c>
      <c r="T78" s="6">
        <f>'Results - raw data ReCiPe (H)'!U69*$AC$47</f>
        <v>2.8601680696643469E-3</v>
      </c>
      <c r="U78" s="6">
        <f>'Results - raw data ReCiPe (H)'!V69*$AC$47</f>
        <v>2.8176519553675507E-3</v>
      </c>
      <c r="V78" s="6">
        <f>'Results - raw data ReCiPe (H)'!W69*$AC$47</f>
        <v>2.7749811319828458E-3</v>
      </c>
      <c r="W78" s="6">
        <f>'Results - raw data ReCiPe (H)'!X69*$AC$47</f>
        <v>2.7974518649709168E-3</v>
      </c>
      <c r="X78" s="6">
        <f>'Results - raw data ReCiPe (H)'!Y69*$AC$47</f>
        <v>2.7793616825937738E-3</v>
      </c>
      <c r="Y78" s="6">
        <f>'Results - raw data ReCiPe (H)'!Z69*$AC$47</f>
        <v>2.7612768881797641E-3</v>
      </c>
      <c r="Z78" s="6">
        <f>'Results - raw data ReCiPe (H)'!AA69*$AC$47</f>
        <v>2.7431908352950562E-3</v>
      </c>
    </row>
    <row r="79" spans="1:54" outlineLevel="1" x14ac:dyDescent="0.35">
      <c r="A79" s="6" t="s">
        <v>759</v>
      </c>
      <c r="B79" s="6">
        <f>'Results - raw data ReCiPe (H)'!C70</f>
        <v>0</v>
      </c>
      <c r="C79" s="6">
        <f>'Results - raw data ReCiPe (H)'!D70</f>
        <v>0</v>
      </c>
      <c r="D79" s="6">
        <f>'Results - raw data ReCiPe (H)'!E70</f>
        <v>0</v>
      </c>
      <c r="E79" s="6">
        <f>'Results - raw data ReCiPe (H)'!F70</f>
        <v>0</v>
      </c>
      <c r="F79" s="6">
        <f>'Results - raw data ReCiPe (H)'!G70</f>
        <v>0</v>
      </c>
      <c r="G79" s="6">
        <f>'Results - raw data ReCiPe (H)'!H70</f>
        <v>0</v>
      </c>
      <c r="H79" s="6">
        <f>'Results - raw data ReCiPe (H)'!I70</f>
        <v>0</v>
      </c>
      <c r="I79" s="6">
        <f>'Results - raw data ReCiPe (H)'!J70</f>
        <v>0</v>
      </c>
      <c r="J79" s="6">
        <f>'Results - raw data ReCiPe (H)'!K70</f>
        <v>0</v>
      </c>
      <c r="K79" s="6">
        <f>'Results - raw data ReCiPe (H)'!L70</f>
        <v>0</v>
      </c>
      <c r="L79" s="6">
        <f>'Results - raw data ReCiPe (H)'!M70</f>
        <v>0</v>
      </c>
      <c r="M79" s="6">
        <f>'Results - raw data ReCiPe (H)'!N70</f>
        <v>0</v>
      </c>
      <c r="N79" s="6">
        <f>'Results - raw data ReCiPe (H)'!O70</f>
        <v>0</v>
      </c>
      <c r="O79" s="6">
        <f>'Results - raw data ReCiPe (H)'!P70</f>
        <v>0</v>
      </c>
      <c r="P79" s="6">
        <f>'Results - raw data ReCiPe (H)'!Q70</f>
        <v>0</v>
      </c>
      <c r="Q79" s="6">
        <f>'Results - raw data ReCiPe (H)'!R70</f>
        <v>0</v>
      </c>
      <c r="R79" s="6">
        <f>'Results - raw data ReCiPe (H)'!S70</f>
        <v>0</v>
      </c>
      <c r="S79" s="6">
        <f>'Results - raw data ReCiPe (H)'!T70</f>
        <v>0</v>
      </c>
      <c r="T79" s="6">
        <f>'Results - raw data ReCiPe (H)'!U70</f>
        <v>0</v>
      </c>
      <c r="U79" s="6">
        <f>'Results - raw data ReCiPe (H)'!V70</f>
        <v>0</v>
      </c>
      <c r="V79" s="6">
        <f>'Results - raw data ReCiPe (H)'!W70</f>
        <v>0</v>
      </c>
      <c r="W79" s="6">
        <f>'Results - raw data ReCiPe (H)'!X70</f>
        <v>0</v>
      </c>
      <c r="X79" s="6">
        <f>'Results - raw data ReCiPe (H)'!Y70</f>
        <v>0</v>
      </c>
      <c r="Y79" s="6">
        <f>'Results - raw data ReCiPe (H)'!Z70</f>
        <v>0</v>
      </c>
      <c r="Z79" s="6">
        <f>'Results - raw data ReCiPe (H)'!AA70</f>
        <v>0</v>
      </c>
    </row>
    <row r="80" spans="1:54" outlineLevel="1" x14ac:dyDescent="0.35">
      <c r="A80" s="6" t="s">
        <v>760</v>
      </c>
      <c r="B80" s="6">
        <f>'Results - raw data ReCiPe (H)'!C71</f>
        <v>6.0037117955109028E-2</v>
      </c>
      <c r="C80" s="6">
        <f>'Results - raw data ReCiPe (H)'!D71</f>
        <v>5.6191867505510959E-2</v>
      </c>
      <c r="D80" s="6">
        <f>'Results - raw data ReCiPe (H)'!E71</f>
        <v>5.2329272684781568E-2</v>
      </c>
      <c r="E80" s="6">
        <f>'Results - raw data ReCiPe (H)'!F71</f>
        <v>4.841413521773321E-2</v>
      </c>
      <c r="F80" s="6">
        <f>'Results - raw data ReCiPe (H)'!G71</f>
        <v>4.4539809777472107E-2</v>
      </c>
      <c r="G80" s="6">
        <f>'Results - raw data ReCiPe (H)'!H71</f>
        <v>4.0662830543897487E-2</v>
      </c>
      <c r="H80" s="6">
        <f>'Results - raw data ReCiPe (H)'!I71</f>
        <v>3.84101452645636E-2</v>
      </c>
      <c r="I80" s="6">
        <f>'Results - raw data ReCiPe (H)'!J71</f>
        <v>3.616214979454152E-2</v>
      </c>
      <c r="J80" s="6">
        <f>'Results - raw data ReCiPe (H)'!K71</f>
        <v>3.388387353827356E-2</v>
      </c>
      <c r="K80" s="6">
        <f>'Results - raw data ReCiPe (H)'!L71</f>
        <v>3.1636813899357991E-2</v>
      </c>
      <c r="L80" s="6">
        <f>'Results - raw data ReCiPe (H)'!M71</f>
        <v>2.9388776392389161E-2</v>
      </c>
      <c r="M80" s="6">
        <f>'Results - raw data ReCiPe (H)'!N71</f>
        <v>2.7945528803582399E-2</v>
      </c>
      <c r="N80" s="6">
        <f>'Results - raw data ReCiPe (H)'!O71</f>
        <v>2.6495555969194919E-2</v>
      </c>
      <c r="O80" s="6">
        <f>'Results - raw data ReCiPe (H)'!P71</f>
        <v>2.5029611937261359E-2</v>
      </c>
      <c r="P80" s="6">
        <f>'Results - raw data ReCiPe (H)'!Q71</f>
        <v>2.3563053513519231E-2</v>
      </c>
      <c r="Q80" s="6">
        <f>'Results - raw data ReCiPe (H)'!R71</f>
        <v>2.2089192003759049E-2</v>
      </c>
      <c r="R80" s="6">
        <f>'Results - raw data ReCiPe (H)'!S71</f>
        <v>2.1568773856969221E-2</v>
      </c>
      <c r="S80" s="6">
        <f>'Results - raw data ReCiPe (H)'!T71</f>
        <v>2.1044854656145601E-2</v>
      </c>
      <c r="T80" s="6">
        <f>'Results - raw data ReCiPe (H)'!U71</f>
        <v>2.0511477278365761E-2</v>
      </c>
      <c r="U80" s="6">
        <f>'Results - raw data ReCiPe (H)'!V71</f>
        <v>1.9983955595474681E-2</v>
      </c>
      <c r="V80" s="6">
        <f>'Results - raw data ReCiPe (H)'!W71</f>
        <v>1.9455066361617632E-2</v>
      </c>
      <c r="W80" s="6">
        <f>'Results - raw data ReCiPe (H)'!X71</f>
        <v>1.964140297480697E-2</v>
      </c>
      <c r="X80" s="6">
        <f>'Results - raw data ReCiPe (H)'!Y71</f>
        <v>1.9407556618260911E-2</v>
      </c>
      <c r="Y80" s="6">
        <f>'Results - raw data ReCiPe (H)'!Z71</f>
        <v>1.9173059591223431E-2</v>
      </c>
      <c r="Z80" s="6">
        <f>'Results - raw data ReCiPe (H)'!AA71</f>
        <v>1.893784819983222E-2</v>
      </c>
    </row>
    <row r="81" spans="1:53" outlineLevel="1" x14ac:dyDescent="0.35">
      <c r="A81" s="23" t="s">
        <v>125</v>
      </c>
      <c r="B81" s="17">
        <f t="shared" ref="B81:Z81" si="9">SUM(B50:B80)</f>
        <v>0.23784046775893214</v>
      </c>
      <c r="C81" s="17">
        <f t="shared" si="9"/>
        <v>6.4099938640641188E-2</v>
      </c>
      <c r="D81" s="17">
        <f t="shared" si="9"/>
        <v>5.9916287107421723E-2</v>
      </c>
      <c r="E81" s="17">
        <f t="shared" si="9"/>
        <v>5.5668635023408061E-2</v>
      </c>
      <c r="F81" s="17">
        <f t="shared" si="9"/>
        <v>5.1474332443061509E-2</v>
      </c>
      <c r="G81" s="17">
        <f t="shared" si="9"/>
        <v>4.7278164212320978E-2</v>
      </c>
      <c r="H81" s="17">
        <f t="shared" si="9"/>
        <v>4.4827557451520644E-2</v>
      </c>
      <c r="I81" s="17">
        <f t="shared" si="9"/>
        <v>4.2382320976620425E-2</v>
      </c>
      <c r="J81" s="17">
        <f t="shared" si="9"/>
        <v>3.9900540999553098E-2</v>
      </c>
      <c r="K81" s="17">
        <f t="shared" si="9"/>
        <v>3.7456761548787083E-2</v>
      </c>
      <c r="L81" s="17">
        <f t="shared" si="9"/>
        <v>3.5012092874908488E-2</v>
      </c>
      <c r="M81" s="17">
        <f t="shared" si="9"/>
        <v>3.3427765288662578E-2</v>
      </c>
      <c r="N81" s="17">
        <f t="shared" si="9"/>
        <v>3.1836429433428015E-2</v>
      </c>
      <c r="O81" s="17">
        <f t="shared" si="9"/>
        <v>3.0226879494414504E-2</v>
      </c>
      <c r="P81" s="17">
        <f t="shared" si="9"/>
        <v>2.8618125190938964E-2</v>
      </c>
      <c r="Q81" s="17">
        <f t="shared" si="9"/>
        <v>2.700169291820495E-2</v>
      </c>
      <c r="R81" s="17">
        <f t="shared" si="9"/>
        <v>2.642061475334035E-2</v>
      </c>
      <c r="S81" s="17">
        <f t="shared" si="9"/>
        <v>2.5835832177653596E-2</v>
      </c>
      <c r="T81" s="17">
        <f t="shared" si="9"/>
        <v>2.5239748721104453E-2</v>
      </c>
      <c r="U81" s="17">
        <f t="shared" si="9"/>
        <v>2.4651218940951E-2</v>
      </c>
      <c r="V81" s="17">
        <f t="shared" si="9"/>
        <v>2.4061269281005805E-2</v>
      </c>
      <c r="W81" s="17">
        <f t="shared" si="9"/>
        <v>2.4278339542377205E-2</v>
      </c>
      <c r="X81" s="17">
        <f t="shared" si="9"/>
        <v>2.402350025561617E-2</v>
      </c>
      <c r="Y81" s="17">
        <f t="shared" si="9"/>
        <v>2.3768039309807538E-2</v>
      </c>
      <c r="Z81" s="17">
        <f t="shared" si="9"/>
        <v>2.4750994976709576E-2</v>
      </c>
    </row>
    <row r="82" spans="1:53" outlineLevel="1" x14ac:dyDescent="0.35"/>
    <row r="83" spans="1:53" s="18" customFormat="1" ht="21" x14ac:dyDescent="0.5">
      <c r="A83" s="18" t="s">
        <v>94</v>
      </c>
    </row>
    <row r="84" spans="1:53" s="20" customFormat="1" outlineLevel="1" x14ac:dyDescent="0.35">
      <c r="A84" s="19" t="s">
        <v>767</v>
      </c>
    </row>
    <row r="85" spans="1:53" s="16" customFormat="1" outlineLevel="1" x14ac:dyDescent="0.35">
      <c r="A85" s="21"/>
      <c r="AB85" s="16" t="s">
        <v>47</v>
      </c>
      <c r="AC85" s="16">
        <v>9.2800000000000005E-7</v>
      </c>
      <c r="AD85" s="16" t="s">
        <v>48</v>
      </c>
      <c r="AE85" s="15" t="s">
        <v>714</v>
      </c>
    </row>
    <row r="86" spans="1:53" s="16" customFormat="1" outlineLevel="1" x14ac:dyDescent="0.35">
      <c r="A86" s="22" t="s">
        <v>564</v>
      </c>
      <c r="AC86" s="16">
        <f>AC85*1000</f>
        <v>9.2800000000000001E-4</v>
      </c>
      <c r="AD86" s="16" t="s">
        <v>126</v>
      </c>
    </row>
    <row r="87" spans="1:53" s="16" customFormat="1" outlineLevel="1" x14ac:dyDescent="0.35">
      <c r="A87" s="22"/>
      <c r="AB87" s="16" t="s">
        <v>127</v>
      </c>
      <c r="AC87" s="16">
        <v>100</v>
      </c>
      <c r="AD87" s="16" t="s">
        <v>128</v>
      </c>
    </row>
    <row r="88" spans="1:53" s="16" customFormat="1" outlineLevel="1" x14ac:dyDescent="0.35">
      <c r="A88" s="22"/>
      <c r="AB88" s="16" t="s">
        <v>129</v>
      </c>
      <c r="AC88" s="16">
        <v>25</v>
      </c>
      <c r="AD88" s="16" t="s">
        <v>130</v>
      </c>
    </row>
    <row r="89" spans="1:53" outlineLevel="1" x14ac:dyDescent="0.35">
      <c r="B89" s="25">
        <v>2030</v>
      </c>
      <c r="C89" s="25">
        <v>2031</v>
      </c>
      <c r="D89" s="25">
        <v>2032</v>
      </c>
      <c r="E89" s="25">
        <v>2033</v>
      </c>
      <c r="F89" s="25">
        <v>2034</v>
      </c>
      <c r="G89" s="25">
        <v>2035</v>
      </c>
      <c r="H89" s="25">
        <v>2036</v>
      </c>
      <c r="I89" s="25">
        <v>2037</v>
      </c>
      <c r="J89" s="25">
        <v>2038</v>
      </c>
      <c r="K89" s="25">
        <v>2039</v>
      </c>
      <c r="L89" s="25">
        <v>2040</v>
      </c>
      <c r="M89" s="25">
        <v>2041</v>
      </c>
      <c r="N89" s="25">
        <v>2042</v>
      </c>
      <c r="O89" s="25">
        <v>2043</v>
      </c>
      <c r="P89" s="25">
        <v>2044</v>
      </c>
      <c r="Q89" s="25">
        <v>2045</v>
      </c>
      <c r="R89" s="25">
        <v>2046</v>
      </c>
      <c r="S89" s="25">
        <v>2047</v>
      </c>
      <c r="T89" s="25">
        <v>2048</v>
      </c>
      <c r="U89" s="25">
        <v>2049</v>
      </c>
      <c r="V89" s="25">
        <v>2050</v>
      </c>
      <c r="W89" s="25">
        <v>2051</v>
      </c>
      <c r="X89" s="25">
        <v>2052</v>
      </c>
      <c r="Y89" s="25">
        <v>2053</v>
      </c>
      <c r="Z89" s="25">
        <v>2054</v>
      </c>
      <c r="AC89" s="25">
        <v>2030</v>
      </c>
      <c r="AD89" s="25">
        <v>2031</v>
      </c>
      <c r="AE89" s="25">
        <v>2032</v>
      </c>
      <c r="AF89" s="25">
        <v>2033</v>
      </c>
      <c r="AG89" s="25">
        <v>2034</v>
      </c>
      <c r="AH89" s="25">
        <v>2035</v>
      </c>
      <c r="AI89" s="25">
        <v>2036</v>
      </c>
      <c r="AJ89" s="25">
        <v>2037</v>
      </c>
      <c r="AK89" s="25">
        <v>2038</v>
      </c>
      <c r="AL89" s="25">
        <v>2039</v>
      </c>
      <c r="AM89" s="25">
        <v>2040</v>
      </c>
      <c r="AN89" s="25">
        <v>2041</v>
      </c>
      <c r="AO89" s="25">
        <v>2042</v>
      </c>
      <c r="AP89" s="25">
        <v>2043</v>
      </c>
      <c r="AQ89" s="25">
        <v>2044</v>
      </c>
      <c r="AR89" s="25">
        <v>2045</v>
      </c>
      <c r="AS89" s="25">
        <v>2046</v>
      </c>
      <c r="AT89" s="25">
        <v>2047</v>
      </c>
      <c r="AU89" s="25">
        <v>2048</v>
      </c>
      <c r="AV89" s="25">
        <v>2049</v>
      </c>
      <c r="AW89" s="25">
        <v>2050</v>
      </c>
      <c r="AX89" s="25">
        <v>2051</v>
      </c>
      <c r="AY89" s="25">
        <v>2052</v>
      </c>
      <c r="AZ89" s="25">
        <v>2053</v>
      </c>
      <c r="BA89" s="25">
        <v>2054</v>
      </c>
    </row>
    <row r="90" spans="1:53" outlineLevel="1" x14ac:dyDescent="0.35">
      <c r="A90" s="6" t="s">
        <v>21</v>
      </c>
      <c r="B90" s="6">
        <f>'Results - raw data ReCiPe (H)'!C77</f>
        <v>2.4100049612117481E-3</v>
      </c>
      <c r="AB90" s="6" t="s">
        <v>117</v>
      </c>
      <c r="AC90" s="6">
        <f>SUM(B90:B101)+B103</f>
        <v>0.14486428170139623</v>
      </c>
    </row>
    <row r="91" spans="1:53" outlineLevel="1" x14ac:dyDescent="0.35">
      <c r="A91" s="6" t="s">
        <v>23</v>
      </c>
      <c r="B91" s="6">
        <f>'Results - raw data ReCiPe (H)'!C78</f>
        <v>5.3713425904224309E-3</v>
      </c>
      <c r="AB91" s="6" t="s">
        <v>118</v>
      </c>
      <c r="AC91" s="6">
        <f>B102</f>
        <v>8.977436741851275E-3</v>
      </c>
    </row>
    <row r="92" spans="1:53" outlineLevel="1" x14ac:dyDescent="0.35">
      <c r="A92" s="6" t="s">
        <v>26</v>
      </c>
      <c r="B92" s="6">
        <f>'Results - raw data ReCiPe (H)'!C79</f>
        <v>1.2015567507973911E-2</v>
      </c>
      <c r="AB92" s="6" t="s">
        <v>119</v>
      </c>
      <c r="BA92" s="6">
        <f>SUM(Z104:Z115)</f>
        <v>1.1364491829356034E-3</v>
      </c>
    </row>
    <row r="93" spans="1:53" outlineLevel="1" x14ac:dyDescent="0.35">
      <c r="A93" s="6" t="s">
        <v>28</v>
      </c>
      <c r="B93" s="6">
        <f>'Results - raw data ReCiPe (H)'!C80</f>
        <v>1.529227024432098E-2</v>
      </c>
      <c r="AB93" s="6" t="s">
        <v>120</v>
      </c>
      <c r="BA93" s="6">
        <f>Z116</f>
        <v>3.4041847576099076E-5</v>
      </c>
    </row>
    <row r="94" spans="1:53" outlineLevel="1" x14ac:dyDescent="0.35">
      <c r="A94" s="6" t="s">
        <v>29</v>
      </c>
      <c r="B94" s="6">
        <f>'Results - raw data ReCiPe (H)'!C81</f>
        <v>1.1898439492001591E-2</v>
      </c>
      <c r="AB94" s="6" t="s">
        <v>121</v>
      </c>
      <c r="AC94" s="6">
        <f>B117</f>
        <v>1.9848842622015748E-3</v>
      </c>
      <c r="AF94" s="6">
        <f>E117</f>
        <v>1.889975707684352E-3</v>
      </c>
      <c r="AI94" s="6">
        <f>H117</f>
        <v>1.8240269819210511E-3</v>
      </c>
      <c r="AL94" s="6">
        <f>K117</f>
        <v>1.8069758007361711E-3</v>
      </c>
      <c r="AO94" s="6">
        <f>N117</f>
        <v>1.799728004873463E-3</v>
      </c>
      <c r="AR94" s="6">
        <f>Q117</f>
        <v>1.7946676192961261E-3</v>
      </c>
      <c r="AU94" s="6">
        <f>T117</f>
        <v>1.786311731211142E-3</v>
      </c>
      <c r="AX94" s="6">
        <f>W117</f>
        <v>1.790817045871237E-3</v>
      </c>
      <c r="BA94" s="6">
        <f>Z117</f>
        <v>1.786892271072078E-3</v>
      </c>
    </row>
    <row r="95" spans="1:53" outlineLevel="1" x14ac:dyDescent="0.35">
      <c r="A95" s="6" t="s">
        <v>31</v>
      </c>
      <c r="B95" s="6">
        <f>'Results - raw data ReCiPe (H)'!C82</f>
        <v>7.7672923315607531E-3</v>
      </c>
      <c r="AB95" s="6" t="s">
        <v>122</v>
      </c>
      <c r="AC95" s="6">
        <f>B120+B119</f>
        <v>3.1970161471994191E-2</v>
      </c>
      <c r="AD95" s="6">
        <f t="shared" ref="AD95:BA95" si="10">C120+C119</f>
        <v>2.9109048261782559E-2</v>
      </c>
      <c r="AE95" s="6">
        <f t="shared" si="10"/>
        <v>2.6233085282901681E-2</v>
      </c>
      <c r="AF95" s="6">
        <f t="shared" si="10"/>
        <v>2.3290847167405329E-2</v>
      </c>
      <c r="AG95" s="6">
        <f t="shared" si="10"/>
        <v>2.0383545711031539E-2</v>
      </c>
      <c r="AH95" s="6">
        <f t="shared" si="10"/>
        <v>1.7464351671340882E-2</v>
      </c>
      <c r="AI95" s="6">
        <f t="shared" si="10"/>
        <v>1.7208349479355341E-2</v>
      </c>
      <c r="AJ95" s="6">
        <f t="shared" si="10"/>
        <v>1.6946844039901581E-2</v>
      </c>
      <c r="AK95" s="6">
        <f t="shared" si="10"/>
        <v>1.663817542981191E-2</v>
      </c>
      <c r="AL95" s="6">
        <f t="shared" si="10"/>
        <v>1.6363176778820931E-2</v>
      </c>
      <c r="AM95" s="6">
        <f t="shared" si="10"/>
        <v>1.6081871721863549E-2</v>
      </c>
      <c r="AN95" s="6">
        <f t="shared" si="10"/>
        <v>1.5943938721505829E-2</v>
      </c>
      <c r="AO95" s="6">
        <f t="shared" si="10"/>
        <v>1.5808325031177139E-2</v>
      </c>
      <c r="AP95" s="6">
        <f t="shared" si="10"/>
        <v>1.5664326837769409E-2</v>
      </c>
      <c r="AQ95" s="6">
        <f t="shared" si="10"/>
        <v>1.552884938795052E-2</v>
      </c>
      <c r="AR95" s="6">
        <f t="shared" si="10"/>
        <v>1.5393763316684361E-2</v>
      </c>
      <c r="AS95" s="6">
        <f t="shared" si="10"/>
        <v>1.4778131044248299E-2</v>
      </c>
      <c r="AT95" s="6">
        <f t="shared" si="10"/>
        <v>1.4165123659348791E-2</v>
      </c>
      <c r="AU95" s="6">
        <f t="shared" si="10"/>
        <v>1.35486801968695E-2</v>
      </c>
      <c r="AV95" s="6">
        <f t="shared" si="10"/>
        <v>1.2944755993524751E-2</v>
      </c>
      <c r="AW95" s="6">
        <f t="shared" si="10"/>
        <v>1.2344699833293079E-2</v>
      </c>
      <c r="AX95" s="6">
        <f t="shared" si="10"/>
        <v>1.238039159625819E-2</v>
      </c>
      <c r="AY95" s="6">
        <f t="shared" si="10"/>
        <v>1.1965932677229729E-2</v>
      </c>
      <c r="AZ95" s="6">
        <f t="shared" si="10"/>
        <v>1.1550338322082311E-2</v>
      </c>
      <c r="BA95" s="6">
        <f t="shared" si="10"/>
        <v>1.113355301964785E-2</v>
      </c>
    </row>
    <row r="96" spans="1:53" outlineLevel="1" x14ac:dyDescent="0.35">
      <c r="A96" s="6" t="s">
        <v>34</v>
      </c>
      <c r="B96" s="6">
        <f>'Results - raw data ReCiPe (H)'!C83</f>
        <v>5.948865391495731E-3</v>
      </c>
      <c r="AB96" s="6" t="s">
        <v>123</v>
      </c>
      <c r="AC96" s="6">
        <f t="shared" ref="AC96:BA96" si="11">B118</f>
        <v>3.7592465014811447E-3</v>
      </c>
      <c r="AD96" s="6">
        <f t="shared" si="11"/>
        <v>3.534874192889682E-3</v>
      </c>
      <c r="AE96" s="6">
        <f t="shared" si="11"/>
        <v>3.3107364795979849E-3</v>
      </c>
      <c r="AF96" s="6">
        <f t="shared" si="11"/>
        <v>3.082325305480168E-3</v>
      </c>
      <c r="AG96" s="6">
        <f t="shared" si="11"/>
        <v>2.8585015990500941E-3</v>
      </c>
      <c r="AH96" s="6">
        <f t="shared" si="11"/>
        <v>2.635104236175806E-3</v>
      </c>
      <c r="AI96" s="6">
        <f t="shared" si="11"/>
        <v>2.6150957875085939E-3</v>
      </c>
      <c r="AJ96" s="6">
        <f t="shared" si="11"/>
        <v>2.5947561730891031E-3</v>
      </c>
      <c r="AK96" s="6">
        <f t="shared" si="11"/>
        <v>2.5706665036731129E-3</v>
      </c>
      <c r="AL96" s="6">
        <f t="shared" si="11"/>
        <v>2.5494905097519891E-3</v>
      </c>
      <c r="AM96" s="6">
        <f t="shared" si="11"/>
        <v>2.5279275495489252E-3</v>
      </c>
      <c r="AN96" s="6">
        <f t="shared" si="11"/>
        <v>2.5166466052062081E-3</v>
      </c>
      <c r="AO96" s="6">
        <f t="shared" si="11"/>
        <v>2.5055476753159701E-3</v>
      </c>
      <c r="AP96" s="6">
        <f t="shared" si="11"/>
        <v>2.4937453526695436E-3</v>
      </c>
      <c r="AQ96" s="6">
        <f t="shared" si="11"/>
        <v>2.4826723670918491E-3</v>
      </c>
      <c r="AR96" s="6">
        <f t="shared" si="11"/>
        <v>2.4716325391011588E-3</v>
      </c>
      <c r="AS96" s="6">
        <f t="shared" si="11"/>
        <v>2.4232245060826093E-3</v>
      </c>
      <c r="AT96" s="6">
        <f t="shared" si="11"/>
        <v>2.3746259866759497E-3</v>
      </c>
      <c r="AU96" s="6">
        <f t="shared" si="11"/>
        <v>2.3253024364863466E-3</v>
      </c>
      <c r="AV96" s="6">
        <f t="shared" si="11"/>
        <v>2.2766157353047872E-3</v>
      </c>
      <c r="AW96" s="6">
        <f t="shared" si="11"/>
        <v>2.2278362121082159E-3</v>
      </c>
      <c r="AX96" s="6">
        <f t="shared" si="11"/>
        <v>2.2398565002468632E-3</v>
      </c>
      <c r="AY96" s="6">
        <f t="shared" si="11"/>
        <v>2.2090374049832952E-3</v>
      </c>
      <c r="AZ96" s="6">
        <f t="shared" si="11"/>
        <v>2.178226238161449E-3</v>
      </c>
      <c r="BA96" s="6">
        <f t="shared" si="11"/>
        <v>2.1474172710699438E-3</v>
      </c>
    </row>
    <row r="97" spans="1:53" outlineLevel="1" x14ac:dyDescent="0.35">
      <c r="A97" s="6" t="s">
        <v>36</v>
      </c>
      <c r="B97" s="6">
        <f>'Results - raw data ReCiPe (H)'!C84</f>
        <v>3.321744155878405E-3</v>
      </c>
      <c r="AB97" s="6" t="s">
        <v>124</v>
      </c>
      <c r="AC97" s="6">
        <f>-$AC$7*$AC$6</f>
        <v>-9.2799999999999994E-2</v>
      </c>
      <c r="AD97" s="6">
        <f t="shared" ref="AD97:BA97" si="12">-$AC$7*$AC$6</f>
        <v>-9.2799999999999994E-2</v>
      </c>
      <c r="AE97" s="6">
        <f t="shared" si="12"/>
        <v>-9.2799999999999994E-2</v>
      </c>
      <c r="AF97" s="6">
        <f t="shared" si="12"/>
        <v>-9.2799999999999994E-2</v>
      </c>
      <c r="AG97" s="6">
        <f t="shared" si="12"/>
        <v>-9.2799999999999994E-2</v>
      </c>
      <c r="AH97" s="6">
        <f t="shared" si="12"/>
        <v>-9.2799999999999994E-2</v>
      </c>
      <c r="AI97" s="6">
        <f t="shared" si="12"/>
        <v>-9.2799999999999994E-2</v>
      </c>
      <c r="AJ97" s="6">
        <f t="shared" si="12"/>
        <v>-9.2799999999999994E-2</v>
      </c>
      <c r="AK97" s="6">
        <f t="shared" si="12"/>
        <v>-9.2799999999999994E-2</v>
      </c>
      <c r="AL97" s="6">
        <f t="shared" si="12"/>
        <v>-9.2799999999999994E-2</v>
      </c>
      <c r="AM97" s="6">
        <f t="shared" si="12"/>
        <v>-9.2799999999999994E-2</v>
      </c>
      <c r="AN97" s="6">
        <f t="shared" si="12"/>
        <v>-9.2799999999999994E-2</v>
      </c>
      <c r="AO97" s="6">
        <f t="shared" si="12"/>
        <v>-9.2799999999999994E-2</v>
      </c>
      <c r="AP97" s="6">
        <f t="shared" si="12"/>
        <v>-9.2799999999999994E-2</v>
      </c>
      <c r="AQ97" s="6">
        <f t="shared" si="12"/>
        <v>-9.2799999999999994E-2</v>
      </c>
      <c r="AR97" s="6">
        <f t="shared" si="12"/>
        <v>-9.2799999999999994E-2</v>
      </c>
      <c r="AS97" s="6">
        <f t="shared" si="12"/>
        <v>-9.2799999999999994E-2</v>
      </c>
      <c r="AT97" s="6">
        <f t="shared" si="12"/>
        <v>-9.2799999999999994E-2</v>
      </c>
      <c r="AU97" s="6">
        <f t="shared" si="12"/>
        <v>-9.2799999999999994E-2</v>
      </c>
      <c r="AV97" s="6">
        <f t="shared" si="12"/>
        <v>-9.2799999999999994E-2</v>
      </c>
      <c r="AW97" s="6">
        <f t="shared" si="12"/>
        <v>-9.2799999999999994E-2</v>
      </c>
      <c r="AX97" s="6">
        <f t="shared" si="12"/>
        <v>-9.2799999999999994E-2</v>
      </c>
      <c r="AY97" s="6">
        <f t="shared" si="12"/>
        <v>-9.2799999999999994E-2</v>
      </c>
      <c r="AZ97" s="6">
        <f t="shared" si="12"/>
        <v>-9.2799999999999994E-2</v>
      </c>
      <c r="BA97" s="6">
        <f t="shared" si="12"/>
        <v>-9.2799999999999994E-2</v>
      </c>
    </row>
    <row r="98" spans="1:53" outlineLevel="1" x14ac:dyDescent="0.35">
      <c r="A98" s="6" t="s">
        <v>38</v>
      </c>
      <c r="B98" s="6">
        <f>'Results - raw data ReCiPe (H)'!C85</f>
        <v>1.8593796959748408E-2</v>
      </c>
      <c r="AB98" s="23" t="s">
        <v>125</v>
      </c>
      <c r="AC98" s="17">
        <f t="shared" ref="AC98:BA98" si="13">SUM(AC90:AC97)</f>
        <v>9.875601067892445E-2</v>
      </c>
      <c r="AD98" s="17">
        <f t="shared" si="13"/>
        <v>-6.015607754532775E-2</v>
      </c>
      <c r="AE98" s="17">
        <f t="shared" si="13"/>
        <v>-6.3256178237500321E-2</v>
      </c>
      <c r="AF98" s="17">
        <f t="shared" si="13"/>
        <v>-6.4536851819430141E-2</v>
      </c>
      <c r="AG98" s="17">
        <f t="shared" si="13"/>
        <v>-6.9557952689918365E-2</v>
      </c>
      <c r="AH98" s="17">
        <f t="shared" si="13"/>
        <v>-7.2700544092483305E-2</v>
      </c>
      <c r="AI98" s="17">
        <f t="shared" si="13"/>
        <v>-7.1152527751215E-2</v>
      </c>
      <c r="AJ98" s="17">
        <f t="shared" si="13"/>
        <v>-7.3258399787009307E-2</v>
      </c>
      <c r="AK98" s="17">
        <f t="shared" si="13"/>
        <v>-7.3591158066514978E-2</v>
      </c>
      <c r="AL98" s="17">
        <f t="shared" si="13"/>
        <v>-7.2080356910690896E-2</v>
      </c>
      <c r="AM98" s="17">
        <f t="shared" si="13"/>
        <v>-7.4190200728587521E-2</v>
      </c>
      <c r="AN98" s="17">
        <f t="shared" si="13"/>
        <v>-7.433941467328796E-2</v>
      </c>
      <c r="AO98" s="17">
        <f t="shared" si="13"/>
        <v>-7.2686399288633421E-2</v>
      </c>
      <c r="AP98" s="17">
        <f t="shared" si="13"/>
        <v>-7.464192780956104E-2</v>
      </c>
      <c r="AQ98" s="17">
        <f t="shared" si="13"/>
        <v>-7.4788478244957629E-2</v>
      </c>
      <c r="AR98" s="17">
        <f t="shared" si="13"/>
        <v>-7.3139936524918348E-2</v>
      </c>
      <c r="AS98" s="17">
        <f t="shared" si="13"/>
        <v>-7.5598644449669086E-2</v>
      </c>
      <c r="AT98" s="17">
        <f t="shared" si="13"/>
        <v>-7.6260250353975254E-2</v>
      </c>
      <c r="AU98" s="17">
        <f t="shared" si="13"/>
        <v>-7.5139705635433013E-2</v>
      </c>
      <c r="AV98" s="17">
        <f t="shared" si="13"/>
        <v>-7.7578628271170458E-2</v>
      </c>
      <c r="AW98" s="17">
        <f t="shared" si="13"/>
        <v>-7.8227463954598703E-2</v>
      </c>
      <c r="AX98" s="17">
        <f t="shared" si="13"/>
        <v>-7.63889348576237E-2</v>
      </c>
      <c r="AY98" s="17">
        <f t="shared" si="13"/>
        <v>-7.862502991778697E-2</v>
      </c>
      <c r="AZ98" s="17">
        <f t="shared" si="13"/>
        <v>-7.9071435439756227E-2</v>
      </c>
      <c r="BA98" s="17">
        <f t="shared" si="13"/>
        <v>-7.6561646407698414E-2</v>
      </c>
    </row>
    <row r="99" spans="1:53" outlineLevel="1" x14ac:dyDescent="0.35">
      <c r="A99" s="6" t="s">
        <v>39</v>
      </c>
      <c r="B99" s="6">
        <f>'Results - raw data ReCiPe (H)'!C86</f>
        <v>4.6894275088252467E-2</v>
      </c>
    </row>
    <row r="100" spans="1:53" outlineLevel="1" x14ac:dyDescent="0.35">
      <c r="A100" s="6" t="s">
        <v>41</v>
      </c>
      <c r="B100" s="6">
        <f>'Results - raw data ReCiPe (H)'!C87</f>
        <v>2.6822864157904019E-4</v>
      </c>
      <c r="AB100" s="187"/>
      <c r="AC100" s="187"/>
      <c r="AD100" s="187"/>
      <c r="AE100" s="187"/>
      <c r="AF100" s="187"/>
      <c r="AG100" s="187"/>
      <c r="AH100" s="187"/>
      <c r="AI100" s="187"/>
      <c r="AJ100" s="187"/>
      <c r="AK100" s="187"/>
      <c r="AL100" s="187"/>
      <c r="AM100" s="187"/>
      <c r="AN100" s="187"/>
      <c r="AO100" s="187"/>
      <c r="AP100" s="187"/>
      <c r="AQ100" s="187"/>
      <c r="AR100" s="187"/>
      <c r="AS100" s="187"/>
      <c r="AT100" s="187"/>
      <c r="AU100" s="187"/>
      <c r="AV100" s="187"/>
      <c r="AW100" s="187"/>
      <c r="AX100" s="187"/>
      <c r="AY100" s="187"/>
      <c r="AZ100" s="187"/>
      <c r="BA100" s="187"/>
    </row>
    <row r="101" spans="1:53" outlineLevel="1" x14ac:dyDescent="0.35">
      <c r="A101" s="6" t="s">
        <v>43</v>
      </c>
      <c r="B101" s="6">
        <f>'Results - raw data ReCiPe (H)'!C88</f>
        <v>8.5216131252606215E-4</v>
      </c>
      <c r="AB101" s="187"/>
      <c r="AC101" s="187"/>
      <c r="AD101" s="187"/>
      <c r="AE101" s="187"/>
      <c r="AF101" s="187"/>
      <c r="AG101" s="187"/>
      <c r="AH101" s="187"/>
      <c r="AI101" s="187"/>
      <c r="AJ101" s="187"/>
      <c r="AK101" s="187"/>
      <c r="AL101" s="187"/>
      <c r="AM101" s="187"/>
      <c r="AN101" s="187"/>
      <c r="AO101" s="187"/>
      <c r="AP101" s="187"/>
      <c r="AQ101" s="187"/>
      <c r="AR101" s="187"/>
      <c r="AS101" s="187"/>
      <c r="AT101" s="187"/>
      <c r="AU101" s="187"/>
      <c r="AV101" s="187"/>
      <c r="AW101" s="187"/>
      <c r="AX101" s="187"/>
      <c r="AY101" s="187"/>
      <c r="AZ101" s="187"/>
      <c r="BA101" s="187"/>
    </row>
    <row r="102" spans="1:53" outlineLevel="1" x14ac:dyDescent="0.35">
      <c r="A102" s="6" t="s">
        <v>44</v>
      </c>
      <c r="B102" s="6">
        <f>'Results - raw data ReCiPe (H)'!C89*AC87*AC88</f>
        <v>8.977436741851275E-3</v>
      </c>
      <c r="AB102" s="187"/>
      <c r="AC102" s="187"/>
      <c r="AD102" s="187"/>
      <c r="AE102" s="187"/>
      <c r="AF102" s="187"/>
      <c r="AG102" s="187"/>
      <c r="AH102" s="187"/>
      <c r="AI102" s="187"/>
      <c r="AJ102" s="187"/>
      <c r="AK102" s="187"/>
      <c r="AL102" s="187"/>
      <c r="AM102" s="187"/>
      <c r="AN102" s="187"/>
      <c r="AO102" s="187"/>
      <c r="AP102" s="187"/>
      <c r="AQ102" s="187"/>
      <c r="AR102" s="187"/>
      <c r="AS102" s="187"/>
      <c r="AT102" s="187"/>
      <c r="AU102" s="187"/>
      <c r="AV102" s="187"/>
      <c r="AW102" s="187"/>
      <c r="AX102" s="187"/>
      <c r="AY102" s="187"/>
      <c r="AZ102" s="187"/>
      <c r="BA102" s="187"/>
    </row>
    <row r="103" spans="1:53" outlineLevel="1" x14ac:dyDescent="0.35">
      <c r="A103" s="6" t="s">
        <v>757</v>
      </c>
      <c r="B103" s="6">
        <f>'Results - raw data ReCiPe (H)'!C90*AC87*AC88</f>
        <v>1.4230293024424689E-2</v>
      </c>
      <c r="AB103" s="187"/>
      <c r="AC103" s="187"/>
      <c r="AD103" s="187"/>
      <c r="AE103" s="187"/>
      <c r="AF103" s="187"/>
      <c r="AG103" s="187"/>
      <c r="AH103" s="187"/>
      <c r="AI103" s="187"/>
      <c r="AJ103" s="187"/>
      <c r="AK103" s="187"/>
      <c r="AL103" s="187"/>
      <c r="AM103" s="187"/>
      <c r="AN103" s="187"/>
      <c r="AO103" s="187"/>
      <c r="AP103" s="187"/>
      <c r="AQ103" s="187"/>
      <c r="AR103" s="187"/>
      <c r="AS103" s="187"/>
      <c r="AT103" s="187"/>
      <c r="AU103" s="187"/>
      <c r="AV103" s="187"/>
      <c r="AW103" s="187"/>
      <c r="AX103" s="187"/>
      <c r="AY103" s="187"/>
      <c r="AZ103" s="187"/>
      <c r="BA103" s="187"/>
    </row>
    <row r="104" spans="1:53" outlineLevel="1" x14ac:dyDescent="0.35">
      <c r="A104" s="6" t="s">
        <v>22</v>
      </c>
      <c r="Z104" s="6">
        <f>'Results - raw data ReCiPe (H)'!AA91</f>
        <v>2.4470472695532149E-5</v>
      </c>
      <c r="AB104" s="187"/>
      <c r="AC104" s="187"/>
      <c r="AD104" s="187"/>
      <c r="AE104" s="187"/>
      <c r="AF104" s="187"/>
      <c r="AG104" s="187"/>
      <c r="AH104" s="187"/>
      <c r="AI104" s="187"/>
      <c r="AJ104" s="187"/>
      <c r="AK104" s="187"/>
      <c r="AL104" s="187"/>
      <c r="AM104" s="187"/>
      <c r="AN104" s="187"/>
      <c r="AO104" s="187"/>
      <c r="AP104" s="187"/>
      <c r="AQ104" s="187"/>
      <c r="AR104" s="187"/>
      <c r="AS104" s="187"/>
      <c r="AT104" s="187"/>
      <c r="AU104" s="187"/>
      <c r="AV104" s="187"/>
      <c r="AW104" s="187"/>
      <c r="AX104" s="187"/>
      <c r="AY104" s="187"/>
      <c r="AZ104" s="187"/>
      <c r="BA104" s="187"/>
    </row>
    <row r="105" spans="1:53" outlineLevel="1" x14ac:dyDescent="0.35">
      <c r="A105" s="6" t="s">
        <v>24</v>
      </c>
      <c r="Z105" s="6">
        <f>'Results - raw data ReCiPe (H)'!AA92</f>
        <v>1.143222276225724E-5</v>
      </c>
      <c r="AB105" s="187"/>
      <c r="AC105" s="187"/>
      <c r="AD105" s="187"/>
      <c r="AE105" s="187"/>
      <c r="AF105" s="187"/>
      <c r="AG105" s="187"/>
      <c r="AH105" s="187"/>
      <c r="AI105" s="187"/>
      <c r="AJ105" s="187"/>
      <c r="AK105" s="187"/>
      <c r="AL105" s="187"/>
      <c r="AM105" s="187"/>
      <c r="AN105" s="187"/>
      <c r="AO105" s="187"/>
      <c r="AP105" s="187"/>
      <c r="AQ105" s="187"/>
      <c r="AR105" s="187"/>
      <c r="AS105" s="187"/>
      <c r="AT105" s="187"/>
      <c r="AU105" s="187"/>
      <c r="AV105" s="187"/>
      <c r="AW105" s="187"/>
      <c r="AX105" s="187"/>
      <c r="AY105" s="187"/>
      <c r="AZ105" s="187"/>
      <c r="BA105" s="187"/>
    </row>
    <row r="106" spans="1:53" outlineLevel="1" x14ac:dyDescent="0.35">
      <c r="A106" s="6" t="s">
        <v>25</v>
      </c>
      <c r="Z106" s="6">
        <f>'Results - raw data ReCiPe (H)'!AA93</f>
        <v>3.739067920649309E-5</v>
      </c>
      <c r="AB106" s="187"/>
      <c r="AC106" s="187"/>
      <c r="AD106" s="187"/>
      <c r="AE106" s="187"/>
      <c r="AF106" s="187"/>
      <c r="AG106" s="187"/>
      <c r="AH106" s="187"/>
      <c r="AI106" s="187"/>
      <c r="AJ106" s="187"/>
      <c r="AK106" s="187"/>
      <c r="AL106" s="187"/>
      <c r="AM106" s="187"/>
      <c r="AN106" s="187"/>
      <c r="AO106" s="187"/>
      <c r="AP106" s="187"/>
      <c r="AQ106" s="187"/>
      <c r="AR106" s="187"/>
      <c r="AS106" s="187"/>
      <c r="AT106" s="187"/>
      <c r="AU106" s="187"/>
      <c r="AV106" s="187"/>
      <c r="AW106" s="187"/>
      <c r="AX106" s="187"/>
      <c r="AY106" s="187"/>
      <c r="AZ106" s="187"/>
      <c r="BA106" s="187"/>
    </row>
    <row r="107" spans="1:53" outlineLevel="1" x14ac:dyDescent="0.35">
      <c r="A107" s="6" t="s">
        <v>27</v>
      </c>
      <c r="Z107" s="6">
        <f>'Results - raw data ReCiPe (H)'!AA94</f>
        <v>1.593392328279023E-5</v>
      </c>
      <c r="AB107" s="187"/>
      <c r="AC107" s="187"/>
      <c r="AD107" s="187"/>
      <c r="AE107" s="187"/>
      <c r="AF107" s="187"/>
      <c r="AG107" s="187"/>
      <c r="AH107" s="187"/>
      <c r="AI107" s="187"/>
      <c r="AJ107" s="187"/>
      <c r="AK107" s="187"/>
      <c r="AL107" s="187"/>
      <c r="AM107" s="187"/>
      <c r="AN107" s="187"/>
      <c r="AO107" s="187"/>
      <c r="AP107" s="187"/>
      <c r="AQ107" s="187"/>
      <c r="AR107" s="187"/>
      <c r="AS107" s="187"/>
      <c r="AT107" s="187"/>
      <c r="AU107" s="187"/>
      <c r="AV107" s="187"/>
      <c r="AW107" s="187"/>
      <c r="AX107" s="187"/>
      <c r="AY107" s="187"/>
      <c r="AZ107" s="187"/>
      <c r="BA107" s="187"/>
    </row>
    <row r="108" spans="1:53" outlineLevel="1" x14ac:dyDescent="0.35">
      <c r="A108" s="6" t="s">
        <v>30</v>
      </c>
      <c r="Z108" s="6">
        <f>'Results - raw data ReCiPe (H)'!AA95</f>
        <v>3.2280205040430099E-5</v>
      </c>
      <c r="AB108" s="187"/>
      <c r="AC108" s="187"/>
      <c r="AD108" s="187"/>
      <c r="AE108" s="187"/>
      <c r="AF108" s="187"/>
      <c r="AG108" s="187"/>
      <c r="AH108" s="187"/>
      <c r="AI108" s="187"/>
      <c r="AJ108" s="187"/>
      <c r="AK108" s="187"/>
      <c r="AL108" s="187"/>
      <c r="AM108" s="187"/>
      <c r="AN108" s="187"/>
      <c r="AO108" s="187"/>
      <c r="AP108" s="187"/>
      <c r="AQ108" s="187"/>
      <c r="AR108" s="187"/>
      <c r="AS108" s="187"/>
      <c r="AT108" s="187"/>
      <c r="AU108" s="187"/>
      <c r="AV108" s="187"/>
      <c r="AW108" s="187"/>
      <c r="AX108" s="187"/>
      <c r="AY108" s="187"/>
      <c r="AZ108" s="187"/>
      <c r="BA108" s="187"/>
    </row>
    <row r="109" spans="1:53" outlineLevel="1" x14ac:dyDescent="0.35">
      <c r="A109" s="6" t="s">
        <v>32</v>
      </c>
      <c r="Z109" s="6">
        <f>'Results - raw data ReCiPe (H)'!AA96</f>
        <v>4.2863781753696463E-6</v>
      </c>
      <c r="AB109" s="187"/>
      <c r="AC109" s="187"/>
      <c r="AD109" s="187"/>
      <c r="AE109" s="187"/>
      <c r="AF109" s="187"/>
      <c r="AG109" s="187"/>
      <c r="AH109" s="187"/>
      <c r="AI109" s="187"/>
      <c r="AJ109" s="187"/>
      <c r="AK109" s="187"/>
      <c r="AL109" s="187"/>
      <c r="AM109" s="187"/>
      <c r="AN109" s="187"/>
      <c r="AO109" s="187"/>
      <c r="AP109" s="187"/>
      <c r="AQ109" s="187"/>
      <c r="AR109" s="187"/>
      <c r="AS109" s="187"/>
      <c r="AT109" s="187"/>
      <c r="AU109" s="187"/>
      <c r="AV109" s="187"/>
      <c r="AW109" s="187"/>
      <c r="AX109" s="187"/>
      <c r="AY109" s="187"/>
      <c r="AZ109" s="187"/>
      <c r="BA109" s="187"/>
    </row>
    <row r="110" spans="1:53" outlineLevel="1" x14ac:dyDescent="0.35">
      <c r="A110" s="6" t="s">
        <v>33</v>
      </c>
      <c r="Z110" s="6">
        <f>'Results - raw data ReCiPe (H)'!AA97</f>
        <v>8.1784888544495171E-6</v>
      </c>
      <c r="AB110" s="187"/>
      <c r="AC110" s="187"/>
      <c r="AD110" s="187"/>
      <c r="AE110" s="187"/>
      <c r="AF110" s="187"/>
      <c r="AG110" s="187"/>
      <c r="AH110" s="187"/>
      <c r="AI110" s="187"/>
      <c r="AJ110" s="187"/>
      <c r="AK110" s="187"/>
      <c r="AL110" s="187"/>
      <c r="AM110" s="187"/>
      <c r="AN110" s="187"/>
      <c r="AO110" s="187"/>
      <c r="AP110" s="187"/>
      <c r="AQ110" s="187"/>
      <c r="AR110" s="187"/>
      <c r="AS110" s="187"/>
      <c r="AT110" s="187"/>
      <c r="AU110" s="187"/>
      <c r="AV110" s="187"/>
      <c r="AW110" s="187"/>
      <c r="AX110" s="187"/>
      <c r="AY110" s="187"/>
      <c r="AZ110" s="187"/>
      <c r="BA110" s="187"/>
    </row>
    <row r="111" spans="1:53" outlineLevel="1" x14ac:dyDescent="0.35">
      <c r="A111" s="6" t="s">
        <v>35</v>
      </c>
      <c r="Z111" s="6">
        <f>'Results - raw data ReCiPe (H)'!AA98</f>
        <v>1.6356977708899031E-5</v>
      </c>
      <c r="AB111" s="187"/>
      <c r="AC111" s="187"/>
      <c r="AD111" s="187"/>
      <c r="AE111" s="187"/>
      <c r="AF111" s="187"/>
      <c r="AG111" s="187"/>
      <c r="AH111" s="187"/>
      <c r="AI111" s="187"/>
      <c r="AJ111" s="187"/>
      <c r="AK111" s="187"/>
      <c r="AL111" s="187"/>
      <c r="AM111" s="187"/>
      <c r="AN111" s="187"/>
      <c r="AO111" s="187"/>
      <c r="AP111" s="187"/>
      <c r="AQ111" s="187"/>
      <c r="AR111" s="187"/>
      <c r="AS111" s="187"/>
      <c r="AT111" s="187"/>
      <c r="AU111" s="187"/>
      <c r="AV111" s="187"/>
      <c r="AW111" s="187"/>
      <c r="AX111" s="187"/>
      <c r="AY111" s="187"/>
      <c r="AZ111" s="187"/>
      <c r="BA111" s="187"/>
    </row>
    <row r="112" spans="1:53" outlineLevel="1" x14ac:dyDescent="0.35">
      <c r="A112" s="6" t="s">
        <v>37</v>
      </c>
      <c r="Z112" s="6">
        <f>'Results - raw data ReCiPe (H)'!AA99</f>
        <v>3.8394060112131092E-5</v>
      </c>
      <c r="AB112" s="187"/>
      <c r="AC112" s="187"/>
      <c r="AD112" s="187"/>
      <c r="AE112" s="187"/>
      <c r="AF112" s="187"/>
      <c r="AG112" s="187"/>
      <c r="AH112" s="187"/>
      <c r="AI112" s="187"/>
      <c r="AJ112" s="187"/>
      <c r="AK112" s="187"/>
      <c r="AL112" s="187"/>
      <c r="AM112" s="187"/>
      <c r="AN112" s="187"/>
      <c r="AO112" s="187"/>
      <c r="AP112" s="187"/>
      <c r="AQ112" s="187"/>
      <c r="AR112" s="187"/>
      <c r="AS112" s="187"/>
      <c r="AT112" s="187"/>
      <c r="AU112" s="187"/>
      <c r="AV112" s="187"/>
      <c r="AW112" s="187"/>
      <c r="AX112" s="187"/>
      <c r="AY112" s="187"/>
      <c r="AZ112" s="187"/>
      <c r="BA112" s="187"/>
    </row>
    <row r="113" spans="1:31" outlineLevel="1" x14ac:dyDescent="0.35">
      <c r="A113" s="6" t="s">
        <v>40</v>
      </c>
      <c r="Z113" s="6">
        <f>'Results - raw data ReCiPe (H)'!AA100</f>
        <v>5.9291416813558179E-4</v>
      </c>
    </row>
    <row r="114" spans="1:31" outlineLevel="1" x14ac:dyDescent="0.35">
      <c r="A114" s="6" t="s">
        <v>42</v>
      </c>
      <c r="Z114" s="6">
        <f>'Results - raw data ReCiPe (H)'!AA101</f>
        <v>5.1359748101639407E-5</v>
      </c>
    </row>
    <row r="115" spans="1:31" outlineLevel="1" x14ac:dyDescent="0.35">
      <c r="A115" s="6" t="s">
        <v>115</v>
      </c>
      <c r="Z115" s="6">
        <f>'Results - raw data ReCiPe (H)'!AA102</f>
        <v>3.0345185886003018E-4</v>
      </c>
    </row>
    <row r="116" spans="1:31" outlineLevel="1" x14ac:dyDescent="0.35">
      <c r="A116" s="6" t="s">
        <v>45</v>
      </c>
      <c r="Z116" s="6">
        <f>'Results - raw data ReCiPe (H)'!AA103*AC87*AC88</f>
        <v>3.4041847576099076E-5</v>
      </c>
    </row>
    <row r="117" spans="1:31" outlineLevel="1" x14ac:dyDescent="0.35">
      <c r="A117" s="6" t="s">
        <v>116</v>
      </c>
      <c r="B117" s="6">
        <f>'Results - raw data ReCiPe (H)'!C104</f>
        <v>1.9848842622015748E-3</v>
      </c>
      <c r="C117" s="6">
        <f>'Results - raw data ReCiPe (H)'!D104</f>
        <v>1.9562150558131639E-3</v>
      </c>
      <c r="D117" s="6">
        <f>'Results - raw data ReCiPe (H)'!E104</f>
        <v>1.927059632671337E-3</v>
      </c>
      <c r="E117" s="6">
        <f>'Results - raw data ReCiPe (H)'!F104</f>
        <v>1.889975707684352E-3</v>
      </c>
      <c r="F117" s="6">
        <f>'Results - raw data ReCiPe (H)'!G104</f>
        <v>1.8596825109945729E-3</v>
      </c>
      <c r="G117" s="6">
        <f>'Results - raw data ReCiPe (H)'!H104</f>
        <v>1.8287132515525651E-3</v>
      </c>
      <c r="H117" s="6">
        <f>'Results - raw data ReCiPe (H)'!I104</f>
        <v>1.8240269819210511E-3</v>
      </c>
      <c r="I117" s="6">
        <f>'Results - raw data ReCiPe (H)'!J104</f>
        <v>1.81940860209094E-3</v>
      </c>
      <c r="J117" s="6">
        <f>'Results - raw data ReCiPe (H)'!K104</f>
        <v>1.8114375105735641E-3</v>
      </c>
      <c r="K117" s="6">
        <f>'Results - raw data ReCiPe (H)'!L104</f>
        <v>1.8069758007361711E-3</v>
      </c>
      <c r="L117" s="6">
        <f>'Results - raw data ReCiPe (H)'!M104</f>
        <v>1.802550656783997E-3</v>
      </c>
      <c r="M117" s="6">
        <f>'Results - raw data ReCiPe (H)'!N104</f>
        <v>1.8011237099181739E-3</v>
      </c>
      <c r="N117" s="6">
        <f>'Results - raw data ReCiPe (H)'!O104</f>
        <v>1.799728004873463E-3</v>
      </c>
      <c r="O117" s="6">
        <f>'Results - raw data ReCiPe (H)'!P104</f>
        <v>1.797350991149333E-3</v>
      </c>
      <c r="P117" s="6">
        <f>'Results - raw data ReCiPe (H)'!Q104</f>
        <v>1.7960072204838511E-3</v>
      </c>
      <c r="Q117" s="6">
        <f>'Results - raw data ReCiPe (H)'!R104</f>
        <v>1.7946676192961261E-3</v>
      </c>
      <c r="R117" s="6">
        <f>'Results - raw data ReCiPe (H)'!S104</f>
        <v>1.7921661278737079E-3</v>
      </c>
      <c r="S117" s="6">
        <f>'Results - raw data ReCiPe (H)'!T104</f>
        <v>1.789684688556732E-3</v>
      </c>
      <c r="T117" s="6">
        <f>'Results - raw data ReCiPe (H)'!U104</f>
        <v>1.786311731211142E-3</v>
      </c>
      <c r="U117" s="6">
        <f>'Results - raw data ReCiPe (H)'!V104</f>
        <v>1.783894800268534E-3</v>
      </c>
      <c r="V117" s="6">
        <f>'Results - raw data ReCiPe (H)'!W104</f>
        <v>1.78148582755011E-3</v>
      </c>
      <c r="W117" s="6">
        <f>'Results - raw data ReCiPe (H)'!X104</f>
        <v>1.790817045871237E-3</v>
      </c>
      <c r="X117" s="6">
        <f>'Results - raw data ReCiPe (H)'!Y104</f>
        <v>1.7895035743440109E-3</v>
      </c>
      <c r="Y117" s="6">
        <f>'Results - raw data ReCiPe (H)'!Z104</f>
        <v>1.7881953599072019E-3</v>
      </c>
      <c r="Z117" s="6">
        <f>'Results - raw data ReCiPe (H)'!AA104</f>
        <v>1.786892271072078E-3</v>
      </c>
    </row>
    <row r="118" spans="1:31" outlineLevel="1" x14ac:dyDescent="0.35">
      <c r="A118" s="6" t="s">
        <v>758</v>
      </c>
      <c r="B118" s="6">
        <f>'Results - raw data ReCiPe (H)'!C105*$AC$87</f>
        <v>3.7592465014811447E-3</v>
      </c>
      <c r="C118" s="6">
        <f>'Results - raw data ReCiPe (H)'!D105*$AC$87</f>
        <v>3.534874192889682E-3</v>
      </c>
      <c r="D118" s="6">
        <f>'Results - raw data ReCiPe (H)'!E105*$AC$87</f>
        <v>3.3107364795979849E-3</v>
      </c>
      <c r="E118" s="6">
        <f>'Results - raw data ReCiPe (H)'!F105*$AC$87</f>
        <v>3.082325305480168E-3</v>
      </c>
      <c r="F118" s="6">
        <f>'Results - raw data ReCiPe (H)'!G105*$AC$87</f>
        <v>2.8585015990500941E-3</v>
      </c>
      <c r="G118" s="6">
        <f>'Results - raw data ReCiPe (H)'!H105*$AC$87</f>
        <v>2.635104236175806E-3</v>
      </c>
      <c r="H118" s="6">
        <f>'Results - raw data ReCiPe (H)'!I105*$AC$87</f>
        <v>2.6150957875085939E-3</v>
      </c>
      <c r="I118" s="6">
        <f>'Results - raw data ReCiPe (H)'!J105*$AC$87</f>
        <v>2.5947561730891031E-3</v>
      </c>
      <c r="J118" s="6">
        <f>'Results - raw data ReCiPe (H)'!K105*$AC$87</f>
        <v>2.5706665036731129E-3</v>
      </c>
      <c r="K118" s="6">
        <f>'Results - raw data ReCiPe (H)'!L105*$AC$87</f>
        <v>2.5494905097519891E-3</v>
      </c>
      <c r="L118" s="6">
        <f>'Results - raw data ReCiPe (H)'!M105*$AC$87</f>
        <v>2.5279275495489252E-3</v>
      </c>
      <c r="M118" s="6">
        <f>'Results - raw data ReCiPe (H)'!N105*$AC$87</f>
        <v>2.5166466052062081E-3</v>
      </c>
      <c r="N118" s="6">
        <f>'Results - raw data ReCiPe (H)'!O105*$AC$87</f>
        <v>2.5055476753159701E-3</v>
      </c>
      <c r="O118" s="6">
        <f>'Results - raw data ReCiPe (H)'!P105*$AC$87</f>
        <v>2.4937453526695436E-3</v>
      </c>
      <c r="P118" s="6">
        <f>'Results - raw data ReCiPe (H)'!Q105*$AC$87</f>
        <v>2.4826723670918491E-3</v>
      </c>
      <c r="Q118" s="6">
        <f>'Results - raw data ReCiPe (H)'!R105*$AC$87</f>
        <v>2.4716325391011588E-3</v>
      </c>
      <c r="R118" s="6">
        <f>'Results - raw data ReCiPe (H)'!S105*$AC$87</f>
        <v>2.4232245060826093E-3</v>
      </c>
      <c r="S118" s="6">
        <f>'Results - raw data ReCiPe (H)'!T105*$AC$87</f>
        <v>2.3746259866759497E-3</v>
      </c>
      <c r="T118" s="6">
        <f>'Results - raw data ReCiPe (H)'!U105*$AC$87</f>
        <v>2.3253024364863466E-3</v>
      </c>
      <c r="U118" s="6">
        <f>'Results - raw data ReCiPe (H)'!V105*$AC$87</f>
        <v>2.2766157353047872E-3</v>
      </c>
      <c r="V118" s="6">
        <f>'Results - raw data ReCiPe (H)'!W105*$AC$87</f>
        <v>2.2278362121082159E-3</v>
      </c>
      <c r="W118" s="6">
        <f>'Results - raw data ReCiPe (H)'!X105*$AC$87</f>
        <v>2.2398565002468632E-3</v>
      </c>
      <c r="X118" s="6">
        <f>'Results - raw data ReCiPe (H)'!Y105*$AC$87</f>
        <v>2.2090374049832952E-3</v>
      </c>
      <c r="Y118" s="6">
        <f>'Results - raw data ReCiPe (H)'!Z105*$AC$87</f>
        <v>2.178226238161449E-3</v>
      </c>
      <c r="Z118" s="6">
        <f>'Results - raw data ReCiPe (H)'!AA105*$AC$87</f>
        <v>2.1474172710699438E-3</v>
      </c>
    </row>
    <row r="119" spans="1:31" outlineLevel="1" x14ac:dyDescent="0.35">
      <c r="A119" s="6" t="s">
        <v>759</v>
      </c>
      <c r="B119" s="6">
        <f>'Results - raw data ReCiPe (H)'!C106</f>
        <v>0</v>
      </c>
      <c r="C119" s="6">
        <f>'Results - raw data ReCiPe (H)'!D106</f>
        <v>0</v>
      </c>
      <c r="D119" s="6">
        <f>'Results - raw data ReCiPe (H)'!E106</f>
        <v>0</v>
      </c>
      <c r="E119" s="6">
        <f>'Results - raw data ReCiPe (H)'!F106</f>
        <v>0</v>
      </c>
      <c r="F119" s="6">
        <f>'Results - raw data ReCiPe (H)'!G106</f>
        <v>0</v>
      </c>
      <c r="G119" s="6">
        <f>'Results - raw data ReCiPe (H)'!H106</f>
        <v>0</v>
      </c>
      <c r="H119" s="6">
        <f>'Results - raw data ReCiPe (H)'!I106</f>
        <v>0</v>
      </c>
      <c r="I119" s="6">
        <f>'Results - raw data ReCiPe (H)'!J106</f>
        <v>0</v>
      </c>
      <c r="J119" s="6">
        <f>'Results - raw data ReCiPe (H)'!K106</f>
        <v>0</v>
      </c>
      <c r="K119" s="6">
        <f>'Results - raw data ReCiPe (H)'!L106</f>
        <v>0</v>
      </c>
      <c r="L119" s="6">
        <f>'Results - raw data ReCiPe (H)'!M106</f>
        <v>0</v>
      </c>
      <c r="M119" s="6">
        <f>'Results - raw data ReCiPe (H)'!N106</f>
        <v>0</v>
      </c>
      <c r="N119" s="6">
        <f>'Results - raw data ReCiPe (H)'!O106</f>
        <v>0</v>
      </c>
      <c r="O119" s="6">
        <f>'Results - raw data ReCiPe (H)'!P106</f>
        <v>0</v>
      </c>
      <c r="P119" s="6">
        <f>'Results - raw data ReCiPe (H)'!Q106</f>
        <v>0</v>
      </c>
      <c r="Q119" s="6">
        <f>'Results - raw data ReCiPe (H)'!R106</f>
        <v>0</v>
      </c>
      <c r="R119" s="6">
        <f>'Results - raw data ReCiPe (H)'!S106</f>
        <v>0</v>
      </c>
      <c r="S119" s="6">
        <f>'Results - raw data ReCiPe (H)'!T106</f>
        <v>0</v>
      </c>
      <c r="T119" s="6">
        <f>'Results - raw data ReCiPe (H)'!U106</f>
        <v>0</v>
      </c>
      <c r="U119" s="6">
        <f>'Results - raw data ReCiPe (H)'!V106</f>
        <v>0</v>
      </c>
      <c r="V119" s="6">
        <f>'Results - raw data ReCiPe (H)'!W106</f>
        <v>0</v>
      </c>
      <c r="W119" s="6">
        <f>'Results - raw data ReCiPe (H)'!X106</f>
        <v>0</v>
      </c>
      <c r="X119" s="6">
        <f>'Results - raw data ReCiPe (H)'!Y106</f>
        <v>0</v>
      </c>
      <c r="Y119" s="6">
        <f>'Results - raw data ReCiPe (H)'!Z106</f>
        <v>0</v>
      </c>
      <c r="Z119" s="6">
        <f>'Results - raw data ReCiPe (H)'!AA106</f>
        <v>0</v>
      </c>
    </row>
    <row r="120" spans="1:31" outlineLevel="1" x14ac:dyDescent="0.35">
      <c r="A120" s="6" t="s">
        <v>760</v>
      </c>
      <c r="B120" s="6">
        <f>'Results - raw data ReCiPe (H)'!C107</f>
        <v>3.1970161471994191E-2</v>
      </c>
      <c r="C120" s="6">
        <f>'Results - raw data ReCiPe (H)'!D107</f>
        <v>2.9109048261782559E-2</v>
      </c>
      <c r="D120" s="6">
        <f>'Results - raw data ReCiPe (H)'!E107</f>
        <v>2.6233085282901681E-2</v>
      </c>
      <c r="E120" s="6">
        <f>'Results - raw data ReCiPe (H)'!F107</f>
        <v>2.3290847167405329E-2</v>
      </c>
      <c r="F120" s="6">
        <f>'Results - raw data ReCiPe (H)'!G107</f>
        <v>2.0383545711031539E-2</v>
      </c>
      <c r="G120" s="6">
        <f>'Results - raw data ReCiPe (H)'!H107</f>
        <v>1.7464351671340882E-2</v>
      </c>
      <c r="H120" s="6">
        <f>'Results - raw data ReCiPe (H)'!I107</f>
        <v>1.7208349479355341E-2</v>
      </c>
      <c r="I120" s="6">
        <f>'Results - raw data ReCiPe (H)'!J107</f>
        <v>1.6946844039901581E-2</v>
      </c>
      <c r="J120" s="6">
        <f>'Results - raw data ReCiPe (H)'!K107</f>
        <v>1.663817542981191E-2</v>
      </c>
      <c r="K120" s="6">
        <f>'Results - raw data ReCiPe (H)'!L107</f>
        <v>1.6363176778820931E-2</v>
      </c>
      <c r="L120" s="6">
        <f>'Results - raw data ReCiPe (H)'!M107</f>
        <v>1.6081871721863549E-2</v>
      </c>
      <c r="M120" s="6">
        <f>'Results - raw data ReCiPe (H)'!N107</f>
        <v>1.5943938721505829E-2</v>
      </c>
      <c r="N120" s="6">
        <f>'Results - raw data ReCiPe (H)'!O107</f>
        <v>1.5808325031177139E-2</v>
      </c>
      <c r="O120" s="6">
        <f>'Results - raw data ReCiPe (H)'!P107</f>
        <v>1.5664326837769409E-2</v>
      </c>
      <c r="P120" s="6">
        <f>'Results - raw data ReCiPe (H)'!Q107</f>
        <v>1.552884938795052E-2</v>
      </c>
      <c r="Q120" s="6">
        <f>'Results - raw data ReCiPe (H)'!R107</f>
        <v>1.5393763316684361E-2</v>
      </c>
      <c r="R120" s="6">
        <f>'Results - raw data ReCiPe (H)'!S107</f>
        <v>1.4778131044248299E-2</v>
      </c>
      <c r="S120" s="6">
        <f>'Results - raw data ReCiPe (H)'!T107</f>
        <v>1.4165123659348791E-2</v>
      </c>
      <c r="T120" s="6">
        <f>'Results - raw data ReCiPe (H)'!U107</f>
        <v>1.35486801968695E-2</v>
      </c>
      <c r="U120" s="6">
        <f>'Results - raw data ReCiPe (H)'!V107</f>
        <v>1.2944755993524751E-2</v>
      </c>
      <c r="V120" s="6">
        <f>'Results - raw data ReCiPe (H)'!W107</f>
        <v>1.2344699833293079E-2</v>
      </c>
      <c r="W120" s="6">
        <f>'Results - raw data ReCiPe (H)'!X107</f>
        <v>1.238039159625819E-2</v>
      </c>
      <c r="X120" s="6">
        <f>'Results - raw data ReCiPe (H)'!Y107</f>
        <v>1.1965932677229729E-2</v>
      </c>
      <c r="Y120" s="6">
        <f>'Results - raw data ReCiPe (H)'!Z107</f>
        <v>1.1550338322082311E-2</v>
      </c>
      <c r="Z120" s="6">
        <f>'Results - raw data ReCiPe (H)'!AA107</f>
        <v>1.113355301964785E-2</v>
      </c>
    </row>
    <row r="121" spans="1:31" outlineLevel="1" x14ac:dyDescent="0.35">
      <c r="A121" s="23" t="s">
        <v>125</v>
      </c>
      <c r="B121" s="17">
        <f t="shared" ref="B121:Z121" si="14">SUM(B90:B120)</f>
        <v>0.19155601067892444</v>
      </c>
      <c r="C121" s="17">
        <f t="shared" si="14"/>
        <v>3.4600137510485407E-2</v>
      </c>
      <c r="D121" s="17">
        <f t="shared" si="14"/>
        <v>3.1470881395170999E-2</v>
      </c>
      <c r="E121" s="17">
        <f t="shared" si="14"/>
        <v>2.8263148180569849E-2</v>
      </c>
      <c r="F121" s="17">
        <f t="shared" si="14"/>
        <v>2.5101729821076207E-2</v>
      </c>
      <c r="G121" s="17">
        <f t="shared" si="14"/>
        <v>2.1928169159069252E-2</v>
      </c>
      <c r="H121" s="17">
        <f t="shared" si="14"/>
        <v>2.1647472248784987E-2</v>
      </c>
      <c r="I121" s="17">
        <f t="shared" si="14"/>
        <v>2.1361008815081624E-2</v>
      </c>
      <c r="J121" s="17">
        <f t="shared" si="14"/>
        <v>2.1020279444058588E-2</v>
      </c>
      <c r="K121" s="17">
        <f t="shared" si="14"/>
        <v>2.0719643089309091E-2</v>
      </c>
      <c r="L121" s="17">
        <f t="shared" si="14"/>
        <v>2.0412349928196471E-2</v>
      </c>
      <c r="M121" s="17">
        <f t="shared" si="14"/>
        <v>2.0261709036630209E-2</v>
      </c>
      <c r="N121" s="17">
        <f t="shared" si="14"/>
        <v>2.0113600711366572E-2</v>
      </c>
      <c r="O121" s="17">
        <f t="shared" si="14"/>
        <v>1.9955423181588286E-2</v>
      </c>
      <c r="P121" s="17">
        <f t="shared" si="14"/>
        <v>1.980752897552622E-2</v>
      </c>
      <c r="Q121" s="17">
        <f t="shared" si="14"/>
        <v>1.9660063475081646E-2</v>
      </c>
      <c r="R121" s="17">
        <f t="shared" si="14"/>
        <v>1.8993521678204617E-2</v>
      </c>
      <c r="S121" s="17">
        <f t="shared" si="14"/>
        <v>1.8329434334581472E-2</v>
      </c>
      <c r="T121" s="17">
        <f t="shared" si="14"/>
        <v>1.7660294364566988E-2</v>
      </c>
      <c r="U121" s="17">
        <f t="shared" si="14"/>
        <v>1.7005266529098072E-2</v>
      </c>
      <c r="V121" s="17">
        <f t="shared" si="14"/>
        <v>1.6354021872951405E-2</v>
      </c>
      <c r="W121" s="17">
        <f t="shared" si="14"/>
        <v>1.641106514237629E-2</v>
      </c>
      <c r="X121" s="17">
        <f t="shared" si="14"/>
        <v>1.5964473656557034E-2</v>
      </c>
      <c r="Y121" s="17">
        <f t="shared" si="14"/>
        <v>1.5516759920150962E-2</v>
      </c>
      <c r="Z121" s="17">
        <f t="shared" si="14"/>
        <v>1.6238353592301573E-2</v>
      </c>
    </row>
    <row r="122" spans="1:31" s="47" customFormat="1" outlineLevel="1" x14ac:dyDescent="0.35"/>
    <row r="123" spans="1:31" s="221" customFormat="1" ht="21" x14ac:dyDescent="0.5">
      <c r="A123" s="229" t="s">
        <v>850</v>
      </c>
    </row>
    <row r="124" spans="1:31" s="18" customFormat="1" ht="21" x14ac:dyDescent="0.5">
      <c r="A124" s="18" t="s">
        <v>72</v>
      </c>
    </row>
    <row r="125" spans="1:31" s="20" customFormat="1" outlineLevel="1" x14ac:dyDescent="0.35">
      <c r="A125" s="19" t="s">
        <v>766</v>
      </c>
    </row>
    <row r="126" spans="1:31" s="16" customFormat="1" outlineLevel="1" x14ac:dyDescent="0.35">
      <c r="A126" s="21"/>
      <c r="AB126" s="16" t="s">
        <v>47</v>
      </c>
      <c r="AC126" s="16">
        <v>9.2800000000000005E-7</v>
      </c>
      <c r="AD126" s="16" t="s">
        <v>48</v>
      </c>
      <c r="AE126" s="15" t="s">
        <v>714</v>
      </c>
    </row>
    <row r="127" spans="1:31" s="16" customFormat="1" outlineLevel="1" x14ac:dyDescent="0.35">
      <c r="A127" s="22" t="s">
        <v>564</v>
      </c>
      <c r="AC127" s="16">
        <f>AC126*1000</f>
        <v>9.2800000000000001E-4</v>
      </c>
      <c r="AD127" s="16" t="s">
        <v>126</v>
      </c>
    </row>
    <row r="128" spans="1:31" s="16" customFormat="1" outlineLevel="1" x14ac:dyDescent="0.35">
      <c r="A128" s="22"/>
      <c r="AB128" s="16" t="s">
        <v>127</v>
      </c>
      <c r="AC128" s="16">
        <v>100</v>
      </c>
      <c r="AD128" s="16" t="s">
        <v>128</v>
      </c>
    </row>
    <row r="129" spans="1:53" s="16" customFormat="1" outlineLevel="1" x14ac:dyDescent="0.35">
      <c r="A129" s="230" t="s">
        <v>768</v>
      </c>
      <c r="AB129" s="16" t="s">
        <v>20</v>
      </c>
      <c r="AC129" s="16">
        <v>0.23</v>
      </c>
      <c r="AD129" s="16" t="s">
        <v>715</v>
      </c>
    </row>
    <row r="130" spans="1:53" s="16" customFormat="1" outlineLevel="1" x14ac:dyDescent="0.35">
      <c r="A130" s="22"/>
      <c r="AB130" s="16" t="s">
        <v>129</v>
      </c>
      <c r="AC130" s="16">
        <v>25</v>
      </c>
      <c r="AD130" s="16" t="s">
        <v>130</v>
      </c>
    </row>
    <row r="131" spans="1:53" outlineLevel="1" x14ac:dyDescent="0.35">
      <c r="B131" s="25">
        <v>2030</v>
      </c>
      <c r="C131" s="25">
        <v>2031</v>
      </c>
      <c r="D131" s="25">
        <v>2032</v>
      </c>
      <c r="E131" s="25">
        <v>2033</v>
      </c>
      <c r="F131" s="25">
        <v>2034</v>
      </c>
      <c r="G131" s="25">
        <v>2035</v>
      </c>
      <c r="H131" s="25">
        <v>2036</v>
      </c>
      <c r="I131" s="25">
        <v>2037</v>
      </c>
      <c r="J131" s="25">
        <v>2038</v>
      </c>
      <c r="K131" s="25">
        <v>2039</v>
      </c>
      <c r="L131" s="25">
        <v>2040</v>
      </c>
      <c r="M131" s="25">
        <v>2041</v>
      </c>
      <c r="N131" s="25">
        <v>2042</v>
      </c>
      <c r="O131" s="25">
        <v>2043</v>
      </c>
      <c r="P131" s="25">
        <v>2044</v>
      </c>
      <c r="Q131" s="25">
        <v>2045</v>
      </c>
      <c r="R131" s="25">
        <v>2046</v>
      </c>
      <c r="S131" s="25">
        <v>2047</v>
      </c>
      <c r="T131" s="25">
        <v>2048</v>
      </c>
      <c r="U131" s="25">
        <v>2049</v>
      </c>
      <c r="V131" s="25">
        <v>2050</v>
      </c>
      <c r="W131" s="25">
        <v>2051</v>
      </c>
      <c r="X131" s="25">
        <v>2052</v>
      </c>
      <c r="Y131" s="25">
        <v>2053</v>
      </c>
      <c r="Z131" s="25">
        <v>2054</v>
      </c>
      <c r="AC131" s="25">
        <v>2030</v>
      </c>
      <c r="AD131" s="25">
        <v>2031</v>
      </c>
      <c r="AE131" s="25">
        <v>2032</v>
      </c>
      <c r="AF131" s="25">
        <v>2033</v>
      </c>
      <c r="AG131" s="25">
        <v>2034</v>
      </c>
      <c r="AH131" s="25">
        <v>2035</v>
      </c>
      <c r="AI131" s="25">
        <v>2036</v>
      </c>
      <c r="AJ131" s="25">
        <v>2037</v>
      </c>
      <c r="AK131" s="25">
        <v>2038</v>
      </c>
      <c r="AL131" s="25">
        <v>2039</v>
      </c>
      <c r="AM131" s="25">
        <v>2040</v>
      </c>
      <c r="AN131" s="25">
        <v>2041</v>
      </c>
      <c r="AO131" s="25">
        <v>2042</v>
      </c>
      <c r="AP131" s="25">
        <v>2043</v>
      </c>
      <c r="AQ131" s="25">
        <v>2044</v>
      </c>
      <c r="AR131" s="25">
        <v>2045</v>
      </c>
      <c r="AS131" s="25">
        <v>2046</v>
      </c>
      <c r="AT131" s="25">
        <v>2047</v>
      </c>
      <c r="AU131" s="25">
        <v>2048</v>
      </c>
      <c r="AV131" s="25">
        <v>2049</v>
      </c>
      <c r="AW131" s="25">
        <v>2050</v>
      </c>
      <c r="AX131" s="25">
        <v>2051</v>
      </c>
      <c r="AY131" s="25">
        <v>2052</v>
      </c>
      <c r="AZ131" s="25">
        <v>2053</v>
      </c>
      <c r="BA131" s="25">
        <v>2054</v>
      </c>
    </row>
    <row r="132" spans="1:53" outlineLevel="1" x14ac:dyDescent="0.35">
      <c r="A132" s="6" t="s">
        <v>21</v>
      </c>
      <c r="B132" s="6">
        <f>'Results - raw data ReCiPe (H)'!C5</f>
        <v>2.894941084896093E-3</v>
      </c>
      <c r="AB132" s="6" t="s">
        <v>117</v>
      </c>
      <c r="AC132" s="6">
        <f>SUM(B132:B143)+B145</f>
        <v>0.16713320096113157</v>
      </c>
    </row>
    <row r="133" spans="1:53" outlineLevel="1" x14ac:dyDescent="0.35">
      <c r="A133" s="6" t="s">
        <v>23</v>
      </c>
      <c r="B133" s="6">
        <f>'Results - raw data ReCiPe (H)'!C6</f>
        <v>6.0231401899834662E-3</v>
      </c>
      <c r="AB133" s="6" t="s">
        <v>118</v>
      </c>
      <c r="AC133" s="6">
        <f>B144</f>
        <v>1.0010028574258376E-2</v>
      </c>
    </row>
    <row r="134" spans="1:53" outlineLevel="1" x14ac:dyDescent="0.35">
      <c r="A134" s="6" t="s">
        <v>26</v>
      </c>
      <c r="B134" s="6">
        <f>'Results - raw data ReCiPe (H)'!C7</f>
        <v>1.3717423440267161E-2</v>
      </c>
      <c r="AB134" s="6" t="s">
        <v>119</v>
      </c>
      <c r="BA134" s="6">
        <f>SUM(Z146:Z157)</f>
        <v>1.3460715242108881E-3</v>
      </c>
    </row>
    <row r="135" spans="1:53" outlineLevel="1" x14ac:dyDescent="0.35">
      <c r="A135" s="6" t="s">
        <v>28</v>
      </c>
      <c r="B135" s="6">
        <f>'Results - raw data ReCiPe (H)'!C8</f>
        <v>1.68268964507193E-2</v>
      </c>
      <c r="AB135" s="6" t="s">
        <v>120</v>
      </c>
      <c r="BA135" s="6">
        <f>Z158</f>
        <v>3.7268740247547826E-5</v>
      </c>
    </row>
    <row r="136" spans="1:53" outlineLevel="1" x14ac:dyDescent="0.35">
      <c r="A136" s="6" t="s">
        <v>29</v>
      </c>
      <c r="B136" s="6">
        <f>'Results - raw data ReCiPe (H)'!C9</f>
        <v>1.290728015734449E-2</v>
      </c>
      <c r="AB136" s="6" t="s">
        <v>121</v>
      </c>
      <c r="AC136" s="6">
        <f>B159</f>
        <v>2.357201361606037E-3</v>
      </c>
      <c r="AF136" s="6">
        <f>E159</f>
        <v>2.338551887019074E-3</v>
      </c>
      <c r="AI136" s="6">
        <f>H159</f>
        <v>2.3329664166207272E-3</v>
      </c>
      <c r="AL136" s="6">
        <f>K159</f>
        <v>2.334292606370443E-3</v>
      </c>
      <c r="AO136" s="6">
        <f>N159</f>
        <v>2.344407424713253E-3</v>
      </c>
      <c r="AR136" s="6">
        <f>Q159</f>
        <v>2.3564976098142901E-3</v>
      </c>
      <c r="AU136" s="6">
        <f>T159</f>
        <v>2.3307713043124539E-3</v>
      </c>
      <c r="AX136" s="6">
        <f>W159</f>
        <v>2.3230274489819871E-3</v>
      </c>
      <c r="BA136" s="6">
        <f>Z159</f>
        <v>2.2803262576522711E-3</v>
      </c>
    </row>
    <row r="137" spans="1:53" outlineLevel="1" x14ac:dyDescent="0.35">
      <c r="A137" s="6" t="s">
        <v>31</v>
      </c>
      <c r="B137" s="6">
        <f>'Results - raw data ReCiPe (H)'!C10</f>
        <v>8.2577490139394989E-3</v>
      </c>
      <c r="AB137" s="6" t="s">
        <v>122</v>
      </c>
      <c r="AC137" s="6">
        <f>B162+B161</f>
        <v>5.7936669959752392E-2</v>
      </c>
      <c r="AD137" s="6">
        <f t="shared" ref="AD137:BA137" si="15">C162+C161</f>
        <v>5.7798977536212666E-2</v>
      </c>
      <c r="AE137" s="6">
        <f t="shared" si="15"/>
        <v>5.7644803515677287E-2</v>
      </c>
      <c r="AF137" s="6">
        <f t="shared" si="15"/>
        <v>5.7445538039350992E-2</v>
      </c>
      <c r="AG137" s="6">
        <f t="shared" si="15"/>
        <v>5.7285114550924089E-2</v>
      </c>
      <c r="AH137" s="6">
        <f t="shared" si="15"/>
        <v>5.7124135301795192E-2</v>
      </c>
      <c r="AI137" s="6">
        <f t="shared" si="15"/>
        <v>6.0836013267578565E-2</v>
      </c>
      <c r="AJ137" s="6">
        <f t="shared" si="15"/>
        <v>6.4541273697726845E-2</v>
      </c>
      <c r="AK137" s="6">
        <f t="shared" si="15"/>
        <v>6.8217901008272713E-2</v>
      </c>
      <c r="AL137" s="6">
        <f t="shared" si="15"/>
        <v>7.1912644095711659E-2</v>
      </c>
      <c r="AM137" s="6">
        <f t="shared" si="15"/>
        <v>7.5598510248962941E-2</v>
      </c>
      <c r="AN137" s="6">
        <f t="shared" si="15"/>
        <v>8.2719825770981373E-2</v>
      </c>
      <c r="AO137" s="6">
        <f t="shared" si="15"/>
        <v>8.9850755269602303E-2</v>
      </c>
      <c r="AP137" s="6">
        <f t="shared" si="15"/>
        <v>9.6988260701402235E-2</v>
      </c>
      <c r="AQ137" s="6">
        <f t="shared" si="15"/>
        <v>0.10413922346205783</v>
      </c>
      <c r="AR137" s="6">
        <f t="shared" si="15"/>
        <v>0.11130032917601163</v>
      </c>
      <c r="AS137" s="6">
        <f t="shared" si="15"/>
        <v>0.11187728399346103</v>
      </c>
      <c r="AT137" s="6">
        <f t="shared" si="15"/>
        <v>0.11244936864424317</v>
      </c>
      <c r="AU137" s="6">
        <f t="shared" si="15"/>
        <v>0.11301361816694319</v>
      </c>
      <c r="AV137" s="6">
        <f t="shared" si="15"/>
        <v>0.11357874206618396</v>
      </c>
      <c r="AW137" s="6">
        <f t="shared" si="15"/>
        <v>0.11414054110586323</v>
      </c>
      <c r="AX137" s="6">
        <f t="shared" si="15"/>
        <v>0.11244027225449538</v>
      </c>
      <c r="AY137" s="6">
        <f t="shared" si="15"/>
        <v>0.10929333969881704</v>
      </c>
      <c r="AZ137" s="6">
        <f t="shared" si="15"/>
        <v>0.10613581421870298</v>
      </c>
      <c r="BA137" s="6">
        <f t="shared" si="15"/>
        <v>0.10296758896790391</v>
      </c>
    </row>
    <row r="138" spans="1:53" outlineLevel="1" x14ac:dyDescent="0.35">
      <c r="A138" s="6" t="s">
        <v>34</v>
      </c>
      <c r="B138" s="6">
        <f>'Results - raw data ReCiPe (H)'!C11</f>
        <v>6.4251549853091127E-3</v>
      </c>
      <c r="AB138" s="6" t="s">
        <v>123</v>
      </c>
      <c r="AC138" s="6">
        <f t="shared" ref="AC138:BA138" si="16">B160</f>
        <v>6.7993677242686621E-3</v>
      </c>
      <c r="AD138" s="6">
        <f t="shared" si="16"/>
        <v>6.7784834500127667E-3</v>
      </c>
      <c r="AE138" s="6">
        <f t="shared" si="16"/>
        <v>6.7559754789491425E-3</v>
      </c>
      <c r="AF138" s="6">
        <f t="shared" si="16"/>
        <v>6.7291424453726958E-3</v>
      </c>
      <c r="AG138" s="6">
        <f t="shared" si="16"/>
        <v>6.7060547545383939E-3</v>
      </c>
      <c r="AH138" s="6">
        <f t="shared" si="16"/>
        <v>6.6829467499308843E-3</v>
      </c>
      <c r="AI138" s="6">
        <f t="shared" si="16"/>
        <v>7.0465754469168874E-3</v>
      </c>
      <c r="AJ138" s="6">
        <f t="shared" si="16"/>
        <v>7.4084309608226104E-3</v>
      </c>
      <c r="AK138" s="6">
        <f t="shared" si="16"/>
        <v>7.7663791422163727E-3</v>
      </c>
      <c r="AL138" s="6">
        <f t="shared" si="16"/>
        <v>8.1249911852799631E-3</v>
      </c>
      <c r="AM138" s="6">
        <f t="shared" si="16"/>
        <v>8.4816399863887545E-3</v>
      </c>
      <c r="AN138" s="6">
        <f t="shared" si="16"/>
        <v>9.1774987825782514E-3</v>
      </c>
      <c r="AO138" s="6">
        <f t="shared" si="16"/>
        <v>9.8726611287057835E-3</v>
      </c>
      <c r="AP138" s="6">
        <f t="shared" si="16"/>
        <v>1.056682152452996E-2</v>
      </c>
      <c r="AQ138" s="6">
        <f t="shared" si="16"/>
        <v>1.126068742598707E-2</v>
      </c>
      <c r="AR138" s="6">
        <f t="shared" si="16"/>
        <v>1.1953902787517689E-2</v>
      </c>
      <c r="AS138" s="6">
        <f t="shared" si="16"/>
        <v>1.200080665794946E-2</v>
      </c>
      <c r="AT138" s="6">
        <f t="shared" si="16"/>
        <v>1.204711020875549E-2</v>
      </c>
      <c r="AU138" s="6">
        <f t="shared" si="16"/>
        <v>1.209251358753091E-2</v>
      </c>
      <c r="AV138" s="6">
        <f t="shared" si="16"/>
        <v>1.213789354470432E-2</v>
      </c>
      <c r="AW138" s="6">
        <f t="shared" si="16"/>
        <v>1.2182828378940179E-2</v>
      </c>
      <c r="AX138" s="6">
        <f t="shared" si="16"/>
        <v>1.2005710806952799E-2</v>
      </c>
      <c r="AY138" s="6">
        <f t="shared" si="16"/>
        <v>1.168029229103198E-2</v>
      </c>
      <c r="AZ138" s="6">
        <f t="shared" si="16"/>
        <v>1.135505831310654E-2</v>
      </c>
      <c r="BA138" s="6">
        <f t="shared" si="16"/>
        <v>1.1030000297077569E-2</v>
      </c>
    </row>
    <row r="139" spans="1:53" outlineLevel="1" x14ac:dyDescent="0.35">
      <c r="A139" s="6" t="s">
        <v>36</v>
      </c>
      <c r="B139" s="6">
        <f>'Results - raw data ReCiPe (H)'!C12</f>
        <v>3.8313181865858421E-3</v>
      </c>
      <c r="AB139" s="6" t="s">
        <v>124</v>
      </c>
      <c r="AC139" s="6">
        <f>-$AC$7*$AC$6</f>
        <v>-9.2799999999999994E-2</v>
      </c>
      <c r="AD139" s="6">
        <f t="shared" ref="AD139:BA139" si="17">-$AC$7*$AC$6</f>
        <v>-9.2799999999999994E-2</v>
      </c>
      <c r="AE139" s="6">
        <f t="shared" si="17"/>
        <v>-9.2799999999999994E-2</v>
      </c>
      <c r="AF139" s="6">
        <f t="shared" si="17"/>
        <v>-9.2799999999999994E-2</v>
      </c>
      <c r="AG139" s="6">
        <f t="shared" si="17"/>
        <v>-9.2799999999999994E-2</v>
      </c>
      <c r="AH139" s="6">
        <f t="shared" si="17"/>
        <v>-9.2799999999999994E-2</v>
      </c>
      <c r="AI139" s="6">
        <f t="shared" si="17"/>
        <v>-9.2799999999999994E-2</v>
      </c>
      <c r="AJ139" s="6">
        <f t="shared" si="17"/>
        <v>-9.2799999999999994E-2</v>
      </c>
      <c r="AK139" s="6">
        <f t="shared" si="17"/>
        <v>-9.2799999999999994E-2</v>
      </c>
      <c r="AL139" s="6">
        <f t="shared" si="17"/>
        <v>-9.2799999999999994E-2</v>
      </c>
      <c r="AM139" s="6">
        <f t="shared" si="17"/>
        <v>-9.2799999999999994E-2</v>
      </c>
      <c r="AN139" s="6">
        <f t="shared" si="17"/>
        <v>-9.2799999999999994E-2</v>
      </c>
      <c r="AO139" s="6">
        <f t="shared" si="17"/>
        <v>-9.2799999999999994E-2</v>
      </c>
      <c r="AP139" s="6">
        <f t="shared" si="17"/>
        <v>-9.2799999999999994E-2</v>
      </c>
      <c r="AQ139" s="6">
        <f t="shared" si="17"/>
        <v>-9.2799999999999994E-2</v>
      </c>
      <c r="AR139" s="6">
        <f t="shared" si="17"/>
        <v>-9.2799999999999994E-2</v>
      </c>
      <c r="AS139" s="6">
        <f t="shared" si="17"/>
        <v>-9.2799999999999994E-2</v>
      </c>
      <c r="AT139" s="6">
        <f t="shared" si="17"/>
        <v>-9.2799999999999994E-2</v>
      </c>
      <c r="AU139" s="6">
        <f t="shared" si="17"/>
        <v>-9.2799999999999994E-2</v>
      </c>
      <c r="AV139" s="6">
        <f t="shared" si="17"/>
        <v>-9.2799999999999994E-2</v>
      </c>
      <c r="AW139" s="6">
        <f t="shared" si="17"/>
        <v>-9.2799999999999994E-2</v>
      </c>
      <c r="AX139" s="6">
        <f t="shared" si="17"/>
        <v>-9.2799999999999994E-2</v>
      </c>
      <c r="AY139" s="6">
        <f t="shared" si="17"/>
        <v>-9.2799999999999994E-2</v>
      </c>
      <c r="AZ139" s="6">
        <f t="shared" si="17"/>
        <v>-9.2799999999999994E-2</v>
      </c>
      <c r="BA139" s="6">
        <f t="shared" si="17"/>
        <v>-9.2799999999999994E-2</v>
      </c>
    </row>
    <row r="140" spans="1:53" outlineLevel="1" x14ac:dyDescent="0.35">
      <c r="A140" s="6" t="s">
        <v>38</v>
      </c>
      <c r="B140" s="6">
        <f>'Results - raw data ReCiPe (H)'!C13</f>
        <v>2.209496262897262E-2</v>
      </c>
      <c r="AB140" s="23" t="s">
        <v>125</v>
      </c>
      <c r="AC140" s="17">
        <f t="shared" ref="AC140:BA140" si="18">SUM(AC132:AC139)</f>
        <v>0.15143646858101703</v>
      </c>
      <c r="AD140" s="17">
        <f t="shared" si="18"/>
        <v>-2.8222539013774556E-2</v>
      </c>
      <c r="AE140" s="17">
        <f t="shared" si="18"/>
        <v>-2.8399221005373565E-2</v>
      </c>
      <c r="AF140" s="17">
        <f t="shared" si="18"/>
        <v>-2.628676762825724E-2</v>
      </c>
      <c r="AG140" s="17">
        <f t="shared" si="18"/>
        <v>-2.8808830694537504E-2</v>
      </c>
      <c r="AH140" s="17">
        <f t="shared" si="18"/>
        <v>-2.8992917948273911E-2</v>
      </c>
      <c r="AI140" s="17">
        <f t="shared" si="18"/>
        <v>-2.2584444868883807E-2</v>
      </c>
      <c r="AJ140" s="17">
        <f t="shared" si="18"/>
        <v>-2.0850295341450539E-2</v>
      </c>
      <c r="AK140" s="17">
        <f t="shared" si="18"/>
        <v>-1.6815719849510913E-2</v>
      </c>
      <c r="AL140" s="17">
        <f t="shared" si="18"/>
        <v>-1.0428072112637937E-2</v>
      </c>
      <c r="AM140" s="17">
        <f t="shared" si="18"/>
        <v>-8.7198497646482909E-3</v>
      </c>
      <c r="AN140" s="17">
        <f t="shared" si="18"/>
        <v>-9.0267544644037634E-4</v>
      </c>
      <c r="AO140" s="17">
        <f t="shared" si="18"/>
        <v>9.2678238230213539E-3</v>
      </c>
      <c r="AP140" s="17">
        <f t="shared" si="18"/>
        <v>1.4755082225932206E-2</v>
      </c>
      <c r="AQ140" s="17">
        <f t="shared" si="18"/>
        <v>2.2599910888044902E-2</v>
      </c>
      <c r="AR140" s="17">
        <f t="shared" si="18"/>
        <v>3.2810729573343606E-2</v>
      </c>
      <c r="AS140" s="17">
        <f t="shared" si="18"/>
        <v>3.1078090651410498E-2</v>
      </c>
      <c r="AT140" s="17">
        <f t="shared" si="18"/>
        <v>3.1696478852998658E-2</v>
      </c>
      <c r="AU140" s="17">
        <f t="shared" si="18"/>
        <v>3.4636903058786556E-2</v>
      </c>
      <c r="AV140" s="17">
        <f t="shared" si="18"/>
        <v>3.2916635610888284E-2</v>
      </c>
      <c r="AW140" s="17">
        <f t="shared" si="18"/>
        <v>3.3523369484803417E-2</v>
      </c>
      <c r="AX140" s="17">
        <f t="shared" si="18"/>
        <v>3.3969010510430164E-2</v>
      </c>
      <c r="AY140" s="17">
        <f t="shared" si="18"/>
        <v>2.8173631989849027E-2</v>
      </c>
      <c r="AZ140" s="17">
        <f t="shared" si="18"/>
        <v>2.469087253180953E-2</v>
      </c>
      <c r="BA140" s="17">
        <f t="shared" si="18"/>
        <v>2.4861255787092196E-2</v>
      </c>
    </row>
    <row r="141" spans="1:53" outlineLevel="1" x14ac:dyDescent="0.35">
      <c r="A141" s="6" t="s">
        <v>39</v>
      </c>
      <c r="B141" s="6">
        <f>'Results - raw data ReCiPe (H)'!C14</f>
        <v>5.8245388563263008E-2</v>
      </c>
    </row>
    <row r="142" spans="1:53" outlineLevel="1" x14ac:dyDescent="0.35">
      <c r="A142" s="6" t="s">
        <v>41</v>
      </c>
      <c r="B142" s="6">
        <f>'Results - raw data ReCiPe (H)'!C15</f>
        <v>3.0224220416950572E-4</v>
      </c>
    </row>
    <row r="143" spans="1:53" outlineLevel="1" x14ac:dyDescent="0.35">
      <c r="A143" s="6" t="s">
        <v>43</v>
      </c>
      <c r="B143" s="6">
        <f>'Results - raw data ReCiPe (H)'!C16</f>
        <v>9.3081040387393941E-4</v>
      </c>
      <c r="AB143" s="187"/>
      <c r="AC143" s="187"/>
      <c r="AD143" s="187"/>
      <c r="AE143" s="187"/>
      <c r="AF143" s="187"/>
      <c r="AG143" s="187"/>
      <c r="AH143" s="187"/>
      <c r="AI143" s="187"/>
      <c r="AJ143" s="187"/>
      <c r="AK143" s="187"/>
      <c r="AL143" s="187"/>
      <c r="AM143" s="187"/>
      <c r="AN143" s="187"/>
      <c r="AO143" s="187"/>
      <c r="AP143" s="187"/>
      <c r="AQ143" s="187"/>
      <c r="AR143" s="187"/>
      <c r="AS143" s="187"/>
      <c r="AT143" s="187"/>
      <c r="AU143" s="187"/>
      <c r="AV143" s="187"/>
      <c r="AW143" s="187"/>
      <c r="AX143" s="187"/>
      <c r="AY143" s="187"/>
      <c r="AZ143" s="187"/>
      <c r="BA143" s="187"/>
    </row>
    <row r="144" spans="1:53" outlineLevel="1" x14ac:dyDescent="0.35">
      <c r="A144" s="6" t="s">
        <v>44</v>
      </c>
      <c r="B144" s="6">
        <f>'Results - raw data ReCiPe (H)'!C17*AC128*AC130</f>
        <v>1.0010028574258376E-2</v>
      </c>
      <c r="AB144" s="187"/>
      <c r="AC144" s="187"/>
      <c r="AD144" s="187"/>
      <c r="AE144" s="187"/>
      <c r="AF144" s="187"/>
      <c r="AG144" s="187"/>
      <c r="AH144" s="187"/>
      <c r="AI144" s="187"/>
      <c r="AJ144" s="187"/>
      <c r="AK144" s="187"/>
      <c r="AL144" s="187"/>
      <c r="AM144" s="187"/>
      <c r="AN144" s="187"/>
      <c r="AO144" s="187"/>
      <c r="AP144" s="187"/>
      <c r="AQ144" s="187"/>
      <c r="AR144" s="187"/>
      <c r="AS144" s="187"/>
      <c r="AT144" s="187"/>
      <c r="AU144" s="187"/>
      <c r="AV144" s="187"/>
      <c r="AW144" s="187"/>
      <c r="AX144" s="187"/>
      <c r="AY144" s="187"/>
      <c r="AZ144" s="187"/>
      <c r="BA144" s="187"/>
    </row>
    <row r="145" spans="1:53" outlineLevel="1" x14ac:dyDescent="0.35">
      <c r="A145" s="6" t="s">
        <v>757</v>
      </c>
      <c r="B145" s="6">
        <f>'Results - raw data ReCiPe (H)'!C18*AC128*AC130</f>
        <v>1.4675893651807536E-2</v>
      </c>
      <c r="AB145" s="187"/>
      <c r="AC145" s="187"/>
      <c r="AD145" s="187"/>
      <c r="AE145" s="187"/>
      <c r="AF145" s="187"/>
      <c r="AG145" s="187"/>
      <c r="AH145" s="187"/>
      <c r="AI145" s="187"/>
      <c r="AJ145" s="187"/>
      <c r="AK145" s="187"/>
      <c r="AL145" s="187"/>
      <c r="AM145" s="187"/>
      <c r="AN145" s="187"/>
      <c r="AO145" s="187"/>
      <c r="AP145" s="187"/>
      <c r="AQ145" s="187"/>
      <c r="AR145" s="187"/>
      <c r="AS145" s="187"/>
      <c r="AT145" s="187"/>
      <c r="AU145" s="187"/>
      <c r="AV145" s="187"/>
      <c r="AW145" s="187"/>
      <c r="AX145" s="187"/>
      <c r="AY145" s="187"/>
      <c r="AZ145" s="187"/>
      <c r="BA145" s="187"/>
    </row>
    <row r="146" spans="1:53" outlineLevel="1" x14ac:dyDescent="0.35">
      <c r="A146" s="6" t="s">
        <v>22</v>
      </c>
      <c r="Z146" s="6">
        <f>'Results - raw data ReCiPe (H)'!AA19</f>
        <v>2.5411777990047328E-5</v>
      </c>
      <c r="AB146" s="187"/>
      <c r="AC146" s="187"/>
      <c r="AD146" s="187"/>
      <c r="AE146" s="187"/>
      <c r="AF146" s="187"/>
      <c r="AG146" s="187"/>
      <c r="AH146" s="187"/>
      <c r="AI146" s="187"/>
      <c r="AJ146" s="187"/>
      <c r="AK146" s="187"/>
      <c r="AL146" s="187"/>
      <c r="AM146" s="187"/>
      <c r="AN146" s="187"/>
      <c r="AO146" s="187"/>
      <c r="AP146" s="187"/>
      <c r="AQ146" s="187"/>
      <c r="AR146" s="187"/>
      <c r="AS146" s="187"/>
      <c r="AT146" s="187"/>
      <c r="AU146" s="187"/>
      <c r="AV146" s="187"/>
      <c r="AW146" s="187"/>
      <c r="AX146" s="187"/>
      <c r="AY146" s="187"/>
      <c r="AZ146" s="187"/>
      <c r="BA146" s="187"/>
    </row>
    <row r="147" spans="1:53" outlineLevel="1" x14ac:dyDescent="0.35">
      <c r="A147" s="6" t="s">
        <v>24</v>
      </c>
      <c r="Z147" s="6">
        <f>'Results - raw data ReCiPe (H)'!AA20</f>
        <v>1.2429945039727371E-5</v>
      </c>
      <c r="AB147" s="187"/>
      <c r="AC147" s="187"/>
      <c r="AD147" s="187"/>
      <c r="AE147" s="187"/>
      <c r="AF147" s="187"/>
      <c r="AG147" s="187"/>
      <c r="AH147" s="187"/>
      <c r="AI147" s="187"/>
      <c r="AJ147" s="187"/>
      <c r="AK147" s="187"/>
      <c r="AL147" s="187"/>
      <c r="AM147" s="187"/>
      <c r="AN147" s="187"/>
      <c r="AO147" s="187"/>
      <c r="AP147" s="187"/>
      <c r="AQ147" s="187"/>
      <c r="AR147" s="187"/>
      <c r="AS147" s="187"/>
      <c r="AT147" s="187"/>
      <c r="AU147" s="187"/>
      <c r="AV147" s="187"/>
      <c r="AW147" s="187"/>
      <c r="AX147" s="187"/>
      <c r="AY147" s="187"/>
      <c r="AZ147" s="187"/>
      <c r="BA147" s="187"/>
    </row>
    <row r="148" spans="1:53" outlineLevel="1" x14ac:dyDescent="0.35">
      <c r="A148" s="6" t="s">
        <v>25</v>
      </c>
      <c r="Z148" s="6">
        <f>'Results - raw data ReCiPe (H)'!AA21</f>
        <v>4.6226838946619207E-5</v>
      </c>
      <c r="AB148" s="187"/>
      <c r="AC148" s="187"/>
      <c r="AD148" s="187"/>
      <c r="AE148" s="187"/>
      <c r="AF148" s="187"/>
      <c r="AG148" s="187"/>
      <c r="AH148" s="187"/>
      <c r="AI148" s="187"/>
      <c r="AJ148" s="187"/>
      <c r="AK148" s="187"/>
      <c r="AL148" s="187"/>
      <c r="AM148" s="187"/>
      <c r="AN148" s="187"/>
      <c r="AO148" s="187"/>
      <c r="AP148" s="187"/>
      <c r="AQ148" s="187"/>
      <c r="AR148" s="187"/>
      <c r="AS148" s="187"/>
      <c r="AT148" s="187"/>
      <c r="AU148" s="187"/>
      <c r="AV148" s="187"/>
      <c r="AW148" s="187"/>
      <c r="AX148" s="187"/>
      <c r="AY148" s="187"/>
      <c r="AZ148" s="187"/>
      <c r="BA148" s="187"/>
    </row>
    <row r="149" spans="1:53" outlineLevel="1" x14ac:dyDescent="0.35">
      <c r="A149" s="6" t="s">
        <v>27</v>
      </c>
      <c r="Z149" s="6">
        <f>'Results - raw data ReCiPe (H)'!AA22</f>
        <v>1.8368986682832292E-5</v>
      </c>
      <c r="AB149" s="187"/>
      <c r="AC149" s="187"/>
      <c r="AD149" s="187"/>
      <c r="AE149" s="187"/>
      <c r="AF149" s="187"/>
      <c r="AG149" s="187"/>
      <c r="AH149" s="187"/>
      <c r="AI149" s="187"/>
      <c r="AJ149" s="187"/>
      <c r="AK149" s="187"/>
      <c r="AL149" s="187"/>
      <c r="AM149" s="187"/>
      <c r="AN149" s="187"/>
      <c r="AO149" s="187"/>
      <c r="AP149" s="187"/>
      <c r="AQ149" s="187"/>
      <c r="AR149" s="187"/>
      <c r="AS149" s="187"/>
      <c r="AT149" s="187"/>
      <c r="AU149" s="187"/>
      <c r="AV149" s="187"/>
      <c r="AW149" s="187"/>
      <c r="AX149" s="187"/>
      <c r="AY149" s="187"/>
      <c r="AZ149" s="187"/>
      <c r="BA149" s="187"/>
    </row>
    <row r="150" spans="1:53" outlineLevel="1" x14ac:dyDescent="0.35">
      <c r="A150" s="6" t="s">
        <v>30</v>
      </c>
      <c r="Z150" s="6">
        <f>'Results - raw data ReCiPe (H)'!AA23</f>
        <v>3.3517962022619069E-5</v>
      </c>
      <c r="AB150" s="187"/>
      <c r="AC150" s="187"/>
      <c r="AD150" s="187"/>
      <c r="AE150" s="187"/>
      <c r="AF150" s="187"/>
      <c r="AG150" s="187"/>
      <c r="AH150" s="187"/>
      <c r="AI150" s="187"/>
      <c r="AJ150" s="187"/>
      <c r="AK150" s="187"/>
      <c r="AL150" s="187"/>
      <c r="AM150" s="187"/>
      <c r="AN150" s="187"/>
      <c r="AO150" s="187"/>
      <c r="AP150" s="187"/>
      <c r="AQ150" s="187"/>
      <c r="AR150" s="187"/>
      <c r="AS150" s="187"/>
      <c r="AT150" s="187"/>
      <c r="AU150" s="187"/>
      <c r="AV150" s="187"/>
      <c r="AW150" s="187"/>
      <c r="AX150" s="187"/>
      <c r="AY150" s="187"/>
      <c r="AZ150" s="187"/>
      <c r="BA150" s="187"/>
    </row>
    <row r="151" spans="1:53" outlineLevel="1" x14ac:dyDescent="0.35">
      <c r="A151" s="6" t="s">
        <v>32</v>
      </c>
      <c r="Z151" s="6">
        <f>'Results - raw data ReCiPe (H)'!AA24</f>
        <v>4.8143000851052693E-6</v>
      </c>
      <c r="AB151" s="187"/>
      <c r="AC151" s="187"/>
      <c r="AD151" s="187"/>
      <c r="AE151" s="187"/>
      <c r="AF151" s="187"/>
      <c r="AG151" s="187"/>
      <c r="AH151" s="187"/>
      <c r="AI151" s="187"/>
      <c r="AJ151" s="187"/>
      <c r="AK151" s="187"/>
      <c r="AL151" s="187"/>
      <c r="AM151" s="187"/>
      <c r="AN151" s="187"/>
      <c r="AO151" s="187"/>
      <c r="AP151" s="187"/>
      <c r="AQ151" s="187"/>
      <c r="AR151" s="187"/>
      <c r="AS151" s="187"/>
      <c r="AT151" s="187"/>
      <c r="AU151" s="187"/>
      <c r="AV151" s="187"/>
      <c r="AW151" s="187"/>
      <c r="AX151" s="187"/>
      <c r="AY151" s="187"/>
      <c r="AZ151" s="187"/>
      <c r="BA151" s="187"/>
    </row>
    <row r="152" spans="1:53" outlineLevel="1" x14ac:dyDescent="0.35">
      <c r="A152" s="6" t="s">
        <v>33</v>
      </c>
      <c r="Z152" s="6">
        <f>'Results - raw data ReCiPe (H)'!AA25</f>
        <v>8.5463273686294895E-6</v>
      </c>
      <c r="AB152" s="187"/>
      <c r="AC152" s="187"/>
      <c r="AD152" s="187"/>
      <c r="AE152" s="187"/>
      <c r="AF152" s="187"/>
      <c r="AG152" s="187"/>
      <c r="AH152" s="187"/>
      <c r="AI152" s="187"/>
      <c r="AJ152" s="187"/>
      <c r="AK152" s="187"/>
      <c r="AL152" s="187"/>
      <c r="AM152" s="187"/>
      <c r="AN152" s="187"/>
      <c r="AO152" s="187"/>
      <c r="AP152" s="187"/>
      <c r="AQ152" s="187"/>
      <c r="AR152" s="187"/>
      <c r="AS152" s="187"/>
      <c r="AT152" s="187"/>
      <c r="AU152" s="187"/>
      <c r="AV152" s="187"/>
      <c r="AW152" s="187"/>
      <c r="AX152" s="187"/>
      <c r="AY152" s="187"/>
      <c r="AZ152" s="187"/>
      <c r="BA152" s="187"/>
    </row>
    <row r="153" spans="1:53" outlineLevel="1" x14ac:dyDescent="0.35">
      <c r="A153" s="6" t="s">
        <v>35</v>
      </c>
      <c r="Z153" s="6">
        <f>'Results - raw data ReCiPe (H)'!AA26</f>
        <v>1.7092654737258979E-5</v>
      </c>
      <c r="AB153" s="187"/>
      <c r="AC153" s="187"/>
      <c r="AD153" s="187"/>
      <c r="AE153" s="187"/>
      <c r="AF153" s="187"/>
      <c r="AG153" s="187"/>
      <c r="AH153" s="187"/>
      <c r="AI153" s="187"/>
      <c r="AJ153" s="187"/>
      <c r="AK153" s="187"/>
      <c r="AL153" s="187"/>
      <c r="AM153" s="187"/>
      <c r="AN153" s="187"/>
      <c r="AO153" s="187"/>
      <c r="AP153" s="187"/>
      <c r="AQ153" s="187"/>
      <c r="AR153" s="187"/>
      <c r="AS153" s="187"/>
      <c r="AT153" s="187"/>
      <c r="AU153" s="187"/>
      <c r="AV153" s="187"/>
      <c r="AW153" s="187"/>
      <c r="AX153" s="187"/>
      <c r="AY153" s="187"/>
      <c r="AZ153" s="187"/>
      <c r="BA153" s="187"/>
    </row>
    <row r="154" spans="1:53" outlineLevel="1" x14ac:dyDescent="0.35">
      <c r="A154" s="6" t="s">
        <v>37</v>
      </c>
      <c r="Z154" s="6">
        <f>'Results - raw data ReCiPe (H)'!AA27</f>
        <v>4.5826688518955138E-5</v>
      </c>
      <c r="AB154" s="187"/>
      <c r="AC154" s="187"/>
      <c r="AD154" s="187"/>
      <c r="AE154" s="187"/>
      <c r="AF154" s="187"/>
      <c r="AG154" s="187"/>
      <c r="AH154" s="187"/>
      <c r="AI154" s="187"/>
      <c r="AJ154" s="187"/>
      <c r="AK154" s="187"/>
      <c r="AL154" s="187"/>
      <c r="AM154" s="187"/>
      <c r="AN154" s="187"/>
      <c r="AO154" s="187"/>
      <c r="AP154" s="187"/>
      <c r="AQ154" s="187"/>
      <c r="AR154" s="187"/>
      <c r="AS154" s="187"/>
      <c r="AT154" s="187"/>
      <c r="AU154" s="187"/>
      <c r="AV154" s="187"/>
      <c r="AW154" s="187"/>
      <c r="AX154" s="187"/>
      <c r="AY154" s="187"/>
      <c r="AZ154" s="187"/>
      <c r="BA154" s="187"/>
    </row>
    <row r="155" spans="1:53" outlineLevel="1" x14ac:dyDescent="0.35">
      <c r="A155" s="6" t="s">
        <v>40</v>
      </c>
      <c r="Z155" s="6">
        <f>'Results - raw data ReCiPe (H)'!AA28</f>
        <v>6.0617175315794527E-4</v>
      </c>
    </row>
    <row r="156" spans="1:53" outlineLevel="1" x14ac:dyDescent="0.35">
      <c r="A156" s="6" t="s">
        <v>42</v>
      </c>
      <c r="Z156" s="6">
        <f>'Results - raw data ReCiPe (H)'!AA29</f>
        <v>6.2586007271436383E-5</v>
      </c>
    </row>
    <row r="157" spans="1:53" outlineLevel="1" x14ac:dyDescent="0.35">
      <c r="A157" s="6" t="s">
        <v>115</v>
      </c>
      <c r="Z157" s="6">
        <f>'Results - raw data ReCiPe (H)'!AA30</f>
        <v>4.6507828238971232E-4</v>
      </c>
    </row>
    <row r="158" spans="1:53" outlineLevel="1" x14ac:dyDescent="0.35">
      <c r="A158" s="6" t="s">
        <v>45</v>
      </c>
      <c r="Z158" s="6">
        <f>'Results - raw data ReCiPe (H)'!AA31*AC128*AC130</f>
        <v>3.7268740247547826E-5</v>
      </c>
    </row>
    <row r="159" spans="1:53" outlineLevel="1" x14ac:dyDescent="0.35">
      <c r="A159" s="6" t="s">
        <v>116</v>
      </c>
      <c r="B159" s="6">
        <f>'Results - raw data ReCiPe (H)'!C32</f>
        <v>2.357201361606037E-3</v>
      </c>
      <c r="C159" s="6">
        <f>'Results - raw data ReCiPe (H)'!D32</f>
        <v>2.353600688123866E-3</v>
      </c>
      <c r="D159" s="6">
        <f>'Results - raw data ReCiPe (H)'!E32</f>
        <v>2.3500071116123412E-3</v>
      </c>
      <c r="E159" s="6">
        <f>'Results - raw data ReCiPe (H)'!F32</f>
        <v>2.338551887019074E-3</v>
      </c>
      <c r="F159" s="6">
        <f>'Results - raw data ReCiPe (H)'!G32</f>
        <v>2.334948183247444E-3</v>
      </c>
      <c r="G159" s="6">
        <f>'Results - raw data ReCiPe (H)'!H32</f>
        <v>2.331359143562522E-3</v>
      </c>
      <c r="H159" s="6">
        <f>'Results - raw data ReCiPe (H)'!I32</f>
        <v>2.3329664166207272E-3</v>
      </c>
      <c r="I159" s="6">
        <f>'Results - raw data ReCiPe (H)'!J32</f>
        <v>2.334616646953573E-3</v>
      </c>
      <c r="J159" s="6">
        <f>'Results - raw data ReCiPe (H)'!K32</f>
        <v>2.3325229805307031E-3</v>
      </c>
      <c r="K159" s="6">
        <f>'Results - raw data ReCiPe (H)'!L32</f>
        <v>2.334292606370443E-3</v>
      </c>
      <c r="L159" s="6">
        <f>'Results - raw data ReCiPe (H)'!M32</f>
        <v>2.336092196522456E-3</v>
      </c>
      <c r="M159" s="6">
        <f>'Results - raw data ReCiPe (H)'!N32</f>
        <v>2.3402354271006591E-3</v>
      </c>
      <c r="N159" s="6">
        <f>'Results - raw data ReCiPe (H)'!O32</f>
        <v>2.344407424713253E-3</v>
      </c>
      <c r="O159" s="6">
        <f>'Results - raw data ReCiPe (H)'!P32</f>
        <v>2.3478787798235871E-3</v>
      </c>
      <c r="P159" s="6">
        <f>'Results - raw data ReCiPe (H)'!Q32</f>
        <v>2.3521715641440159E-3</v>
      </c>
      <c r="Q159" s="6">
        <f>'Results - raw data ReCiPe (H)'!R32</f>
        <v>2.3564976098142901E-3</v>
      </c>
      <c r="R159" s="6">
        <f>'Results - raw data ReCiPe (H)'!S32</f>
        <v>2.348309135255047E-3</v>
      </c>
      <c r="S159" s="6">
        <f>'Results - raw data ReCiPe (H)'!T32</f>
        <v>2.3400539690804929E-3</v>
      </c>
      <c r="T159" s="6">
        <f>'Results - raw data ReCiPe (H)'!U32</f>
        <v>2.3307713043124539E-3</v>
      </c>
      <c r="U159" s="6">
        <f>'Results - raw data ReCiPe (H)'!V32</f>
        <v>2.322378092485674E-3</v>
      </c>
      <c r="V159" s="6">
        <f>'Results - raw data ReCiPe (H)'!W32</f>
        <v>2.3139082606342351E-3</v>
      </c>
      <c r="W159" s="6">
        <f>'Results - raw data ReCiPe (H)'!X32</f>
        <v>2.3230274489819871E-3</v>
      </c>
      <c r="X159" s="6">
        <f>'Results - raw data ReCiPe (H)'!Y32</f>
        <v>2.308890132934231E-3</v>
      </c>
      <c r="Y159" s="6">
        <f>'Results - raw data ReCiPe (H)'!Z32</f>
        <v>2.2946569016000559E-3</v>
      </c>
      <c r="Z159" s="6">
        <f>'Results - raw data ReCiPe (H)'!AA32</f>
        <v>2.2803262576522711E-3</v>
      </c>
    </row>
    <row r="160" spans="1:53" outlineLevel="1" x14ac:dyDescent="0.35">
      <c r="A160" s="6" t="s">
        <v>758</v>
      </c>
      <c r="B160" s="6">
        <f>'Results - raw data ReCiPe (H)'!C33*$AC$128</f>
        <v>6.7993677242686621E-3</v>
      </c>
      <c r="C160" s="6">
        <f>'Results - raw data ReCiPe (H)'!D33*$AC$128</f>
        <v>6.7784834500127667E-3</v>
      </c>
      <c r="D160" s="6">
        <f>'Results - raw data ReCiPe (H)'!E33*$AC$128</f>
        <v>6.7559754789491425E-3</v>
      </c>
      <c r="E160" s="6">
        <f>'Results - raw data ReCiPe (H)'!F33*$AC$128</f>
        <v>6.7291424453726958E-3</v>
      </c>
      <c r="F160" s="6">
        <f>'Results - raw data ReCiPe (H)'!G33*$AC$128</f>
        <v>6.7060547545383939E-3</v>
      </c>
      <c r="G160" s="6">
        <f>'Results - raw data ReCiPe (H)'!H33*$AC$128</f>
        <v>6.6829467499308843E-3</v>
      </c>
      <c r="H160" s="6">
        <f>'Results - raw data ReCiPe (H)'!I33*$AC$128</f>
        <v>7.0465754469168874E-3</v>
      </c>
      <c r="I160" s="6">
        <f>'Results - raw data ReCiPe (H)'!J33*$AC$128</f>
        <v>7.4084309608226104E-3</v>
      </c>
      <c r="J160" s="6">
        <f>'Results - raw data ReCiPe (H)'!K33*$AC$128</f>
        <v>7.7663791422163727E-3</v>
      </c>
      <c r="K160" s="6">
        <f>'Results - raw data ReCiPe (H)'!L33*$AC$128</f>
        <v>8.1249911852799631E-3</v>
      </c>
      <c r="L160" s="6">
        <f>'Results - raw data ReCiPe (H)'!M33*$AC$128</f>
        <v>8.4816399863887545E-3</v>
      </c>
      <c r="M160" s="6">
        <f>'Results - raw data ReCiPe (H)'!N33*$AC$128</f>
        <v>9.1774987825782514E-3</v>
      </c>
      <c r="N160" s="6">
        <f>'Results - raw data ReCiPe (H)'!O33*$AC$128</f>
        <v>9.8726611287057835E-3</v>
      </c>
      <c r="O160" s="6">
        <f>'Results - raw data ReCiPe (H)'!P33*$AC$128</f>
        <v>1.056682152452996E-2</v>
      </c>
      <c r="P160" s="6">
        <f>'Results - raw data ReCiPe (H)'!Q33*$AC$128</f>
        <v>1.126068742598707E-2</v>
      </c>
      <c r="Q160" s="6">
        <f>'Results - raw data ReCiPe (H)'!R33*$AC$128</f>
        <v>1.1953902787517689E-2</v>
      </c>
      <c r="R160" s="6">
        <f>'Results - raw data ReCiPe (H)'!S33*$AC$128</f>
        <v>1.200080665794946E-2</v>
      </c>
      <c r="S160" s="6">
        <f>'Results - raw data ReCiPe (H)'!T33*$AC$128</f>
        <v>1.204711020875549E-2</v>
      </c>
      <c r="T160" s="6">
        <f>'Results - raw data ReCiPe (H)'!U33*$AC$128</f>
        <v>1.209251358753091E-2</v>
      </c>
      <c r="U160" s="6">
        <f>'Results - raw data ReCiPe (H)'!V33*$AC$128</f>
        <v>1.213789354470432E-2</v>
      </c>
      <c r="V160" s="6">
        <f>'Results - raw data ReCiPe (H)'!W33*$AC$128</f>
        <v>1.2182828378940179E-2</v>
      </c>
      <c r="W160" s="6">
        <f>'Results - raw data ReCiPe (H)'!X33*$AC$128</f>
        <v>1.2005710806952799E-2</v>
      </c>
      <c r="X160" s="6">
        <f>'Results - raw data ReCiPe (H)'!Y33*$AC$128</f>
        <v>1.168029229103198E-2</v>
      </c>
      <c r="Y160" s="6">
        <f>'Results - raw data ReCiPe (H)'!Z33*$AC$128</f>
        <v>1.135505831310654E-2</v>
      </c>
      <c r="Z160" s="6">
        <f>'Results - raw data ReCiPe (H)'!AA33*$AC$128</f>
        <v>1.1030000297077569E-2</v>
      </c>
    </row>
    <row r="161" spans="1:53" outlineLevel="1" x14ac:dyDescent="0.35">
      <c r="A161" s="6" t="s">
        <v>759</v>
      </c>
      <c r="B161" s="6">
        <f>'Results - raw data ReCiPe (H)'!C34</f>
        <v>0</v>
      </c>
      <c r="C161" s="6">
        <f>'Results - raw data ReCiPe (H)'!D34</f>
        <v>0</v>
      </c>
      <c r="D161" s="6">
        <f>'Results - raw data ReCiPe (H)'!E34</f>
        <v>0</v>
      </c>
      <c r="E161" s="6">
        <f>'Results - raw data ReCiPe (H)'!F34</f>
        <v>0</v>
      </c>
      <c r="F161" s="6">
        <f>'Results - raw data ReCiPe (H)'!G34</f>
        <v>0</v>
      </c>
      <c r="G161" s="6">
        <f>'Results - raw data ReCiPe (H)'!H34</f>
        <v>0</v>
      </c>
      <c r="H161" s="6">
        <f>'Results - raw data ReCiPe (H)'!I34</f>
        <v>0</v>
      </c>
      <c r="I161" s="6">
        <f>'Results - raw data ReCiPe (H)'!J34</f>
        <v>0</v>
      </c>
      <c r="J161" s="6">
        <f>'Results - raw data ReCiPe (H)'!K34</f>
        <v>0</v>
      </c>
      <c r="K161" s="6">
        <f>'Results - raw data ReCiPe (H)'!L34</f>
        <v>0</v>
      </c>
      <c r="L161" s="6">
        <f>'Results - raw data ReCiPe (H)'!M34</f>
        <v>0</v>
      </c>
      <c r="M161" s="6">
        <f>'Results - raw data ReCiPe (H)'!N34</f>
        <v>0</v>
      </c>
      <c r="N161" s="6">
        <f>'Results - raw data ReCiPe (H)'!O34</f>
        <v>0</v>
      </c>
      <c r="O161" s="6">
        <f>'Results - raw data ReCiPe (H)'!P34</f>
        <v>0</v>
      </c>
      <c r="P161" s="6">
        <f>'Results - raw data ReCiPe (H)'!Q34</f>
        <v>0</v>
      </c>
      <c r="Q161" s="6">
        <f>'Results - raw data ReCiPe (H)'!R34</f>
        <v>0</v>
      </c>
      <c r="R161" s="6">
        <f>'Results - raw data ReCiPe (H)'!S34</f>
        <v>0</v>
      </c>
      <c r="S161" s="6">
        <f>'Results - raw data ReCiPe (H)'!T34</f>
        <v>0</v>
      </c>
      <c r="T161" s="6">
        <f>'Results - raw data ReCiPe (H)'!U34</f>
        <v>0</v>
      </c>
      <c r="U161" s="6">
        <f>'Results - raw data ReCiPe (H)'!V34</f>
        <v>0</v>
      </c>
      <c r="V161" s="6">
        <f>'Results - raw data ReCiPe (H)'!W34</f>
        <v>0</v>
      </c>
      <c r="W161" s="6">
        <f>'Results - raw data ReCiPe (H)'!X34</f>
        <v>0</v>
      </c>
      <c r="X161" s="6">
        <f>'Results - raw data ReCiPe (H)'!Y34</f>
        <v>0</v>
      </c>
      <c r="Y161" s="6">
        <f>'Results - raw data ReCiPe (H)'!Z34</f>
        <v>0</v>
      </c>
      <c r="Z161" s="6">
        <f>'Results - raw data ReCiPe (H)'!AA34</f>
        <v>0</v>
      </c>
    </row>
    <row r="162" spans="1:53" outlineLevel="1" x14ac:dyDescent="0.35">
      <c r="A162" s="6" t="s">
        <v>760</v>
      </c>
      <c r="B162" s="6">
        <f>150000*($AC$129*'Results - raw data ReCiPe (H)'!C114+(1-'Results ReCiPe (H) - HHD'!$AC$129)*'Results - raw data ReCiPe (H)'!C115)</f>
        <v>5.7936669959752392E-2</v>
      </c>
      <c r="C162" s="6">
        <f>150000*($AC$129*'Results - raw data ReCiPe (H)'!D114+(1-'Results ReCiPe (H) - HHD'!$AC$129)*'Results - raw data ReCiPe (H)'!D115)</f>
        <v>5.7798977536212666E-2</v>
      </c>
      <c r="D162" s="6">
        <f>150000*($AC$129*'Results - raw data ReCiPe (H)'!E114+(1-'Results ReCiPe (H) - HHD'!$AC$129)*'Results - raw data ReCiPe (H)'!E115)</f>
        <v>5.7644803515677287E-2</v>
      </c>
      <c r="E162" s="6">
        <f>150000*($AC$129*'Results - raw data ReCiPe (H)'!F114+(1-'Results ReCiPe (H) - HHD'!$AC$129)*'Results - raw data ReCiPe (H)'!F115)</f>
        <v>5.7445538039350992E-2</v>
      </c>
      <c r="F162" s="6">
        <f>150000*($AC$129*'Results - raw data ReCiPe (H)'!G114+(1-'Results ReCiPe (H) - HHD'!$AC$129)*'Results - raw data ReCiPe (H)'!G115)</f>
        <v>5.7285114550924089E-2</v>
      </c>
      <c r="G162" s="6">
        <f>150000*($AC$129*'Results - raw data ReCiPe (H)'!H114+(1-'Results ReCiPe (H) - HHD'!$AC$129)*'Results - raw data ReCiPe (H)'!H115)</f>
        <v>5.7124135301795192E-2</v>
      </c>
      <c r="H162" s="6">
        <f>150000*($AC$129*'Results - raw data ReCiPe (H)'!I114+(1-'Results ReCiPe (H) - HHD'!$AC$129)*'Results - raw data ReCiPe (H)'!I115)</f>
        <v>6.0836013267578565E-2</v>
      </c>
      <c r="I162" s="6">
        <f>150000*($AC$129*'Results - raw data ReCiPe (H)'!J114+(1-'Results ReCiPe (H) - HHD'!$AC$129)*'Results - raw data ReCiPe (H)'!J115)</f>
        <v>6.4541273697726845E-2</v>
      </c>
      <c r="J162" s="6">
        <f>150000*($AC$129*'Results - raw data ReCiPe (H)'!K114+(1-'Results ReCiPe (H) - HHD'!$AC$129)*'Results - raw data ReCiPe (H)'!K115)</f>
        <v>6.8217901008272713E-2</v>
      </c>
      <c r="K162" s="6">
        <f>150000*($AC$129*'Results - raw data ReCiPe (H)'!L114+(1-'Results ReCiPe (H) - HHD'!$AC$129)*'Results - raw data ReCiPe (H)'!L115)</f>
        <v>7.1912644095711659E-2</v>
      </c>
      <c r="L162" s="6">
        <f>150000*($AC$129*'Results - raw data ReCiPe (H)'!M114+(1-'Results ReCiPe (H) - HHD'!$AC$129)*'Results - raw data ReCiPe (H)'!M115)</f>
        <v>7.5598510248962941E-2</v>
      </c>
      <c r="M162" s="6">
        <f>150000*($AC$129*'Results - raw data ReCiPe (H)'!N114+(1-'Results ReCiPe (H) - HHD'!$AC$129)*'Results - raw data ReCiPe (H)'!N115)</f>
        <v>8.2719825770981373E-2</v>
      </c>
      <c r="N162" s="6">
        <f>150000*($AC$129*'Results - raw data ReCiPe (H)'!O114+(1-'Results ReCiPe (H) - HHD'!$AC$129)*'Results - raw data ReCiPe (H)'!O115)</f>
        <v>8.9850755269602303E-2</v>
      </c>
      <c r="O162" s="6">
        <f>150000*($AC$129*'Results - raw data ReCiPe (H)'!P114+(1-'Results ReCiPe (H) - HHD'!$AC$129)*'Results - raw data ReCiPe (H)'!P115)</f>
        <v>9.6988260701402235E-2</v>
      </c>
      <c r="P162" s="6">
        <f>150000*($AC$129*'Results - raw data ReCiPe (H)'!Q114+(1-'Results ReCiPe (H) - HHD'!$AC$129)*'Results - raw data ReCiPe (H)'!Q115)</f>
        <v>0.10413922346205783</v>
      </c>
      <c r="Q162" s="6">
        <f>150000*($AC$129*'Results - raw data ReCiPe (H)'!R114+(1-'Results ReCiPe (H) - HHD'!$AC$129)*'Results - raw data ReCiPe (H)'!R115)</f>
        <v>0.11130032917601163</v>
      </c>
      <c r="R162" s="6">
        <f>150000*($AC$129*'Results - raw data ReCiPe (H)'!S114+(1-'Results ReCiPe (H) - HHD'!$AC$129)*'Results - raw data ReCiPe (H)'!S115)</f>
        <v>0.11187728399346103</v>
      </c>
      <c r="S162" s="6">
        <f>150000*($AC$129*'Results - raw data ReCiPe (H)'!T114+(1-'Results ReCiPe (H) - HHD'!$AC$129)*'Results - raw data ReCiPe (H)'!T115)</f>
        <v>0.11244936864424317</v>
      </c>
      <c r="T162" s="6">
        <f>150000*($AC$129*'Results - raw data ReCiPe (H)'!U114+(1-'Results ReCiPe (H) - HHD'!$AC$129)*'Results - raw data ReCiPe (H)'!U115)</f>
        <v>0.11301361816694319</v>
      </c>
      <c r="U162" s="6">
        <f>150000*($AC$129*'Results - raw data ReCiPe (H)'!V114+(1-'Results ReCiPe (H) - HHD'!$AC$129)*'Results - raw data ReCiPe (H)'!V115)</f>
        <v>0.11357874206618396</v>
      </c>
      <c r="V162" s="6">
        <f>150000*($AC$129*'Results - raw data ReCiPe (H)'!W114+(1-'Results ReCiPe (H) - HHD'!$AC$129)*'Results - raw data ReCiPe (H)'!W115)</f>
        <v>0.11414054110586323</v>
      </c>
      <c r="W162" s="6">
        <f>150000*($AC$129*'Results - raw data ReCiPe (H)'!X114+(1-'Results ReCiPe (H) - HHD'!$AC$129)*'Results - raw data ReCiPe (H)'!X115)</f>
        <v>0.11244027225449538</v>
      </c>
      <c r="X162" s="6">
        <f>150000*($AC$129*'Results - raw data ReCiPe (H)'!Y114+(1-'Results ReCiPe (H) - HHD'!$AC$129)*'Results - raw data ReCiPe (H)'!Y115)</f>
        <v>0.10929333969881704</v>
      </c>
      <c r="Y162" s="6">
        <f>150000*($AC$129*'Results - raw data ReCiPe (H)'!Z114+(1-'Results ReCiPe (H) - HHD'!$AC$129)*'Results - raw data ReCiPe (H)'!Z115)</f>
        <v>0.10613581421870298</v>
      </c>
      <c r="Z162" s="6">
        <f>150000*($AC$129*'Results - raw data ReCiPe (H)'!AA114+(1-'Results ReCiPe (H) - HHD'!$AC$129)*'Results - raw data ReCiPe (H)'!AA115)</f>
        <v>0.10296758896790391</v>
      </c>
    </row>
    <row r="163" spans="1:53" outlineLevel="1" x14ac:dyDescent="0.35">
      <c r="A163" s="23" t="s">
        <v>125</v>
      </c>
      <c r="B163" s="17">
        <f t="shared" ref="B163:Z163" si="19">SUM(B132:B162)</f>
        <v>0.24423646858101702</v>
      </c>
      <c r="C163" s="17">
        <f t="shared" si="19"/>
        <v>6.6931061674349299E-2</v>
      </c>
      <c r="D163" s="17">
        <f t="shared" si="19"/>
        <v>6.6750786106238774E-2</v>
      </c>
      <c r="E163" s="17">
        <f t="shared" si="19"/>
        <v>6.6513232371742767E-2</v>
      </c>
      <c r="F163" s="17">
        <f t="shared" si="19"/>
        <v>6.6326117488709924E-2</v>
      </c>
      <c r="G163" s="17">
        <f t="shared" si="19"/>
        <v>6.6138441195288597E-2</v>
      </c>
      <c r="H163" s="17">
        <f t="shared" si="19"/>
        <v>7.0215555131116186E-2</v>
      </c>
      <c r="I163" s="17">
        <f t="shared" si="19"/>
        <v>7.4284321305503026E-2</v>
      </c>
      <c r="J163" s="17">
        <f t="shared" si="19"/>
        <v>7.8316803131019797E-2</v>
      </c>
      <c r="K163" s="17">
        <f t="shared" si="19"/>
        <v>8.237192788736207E-2</v>
      </c>
      <c r="L163" s="17">
        <f t="shared" si="19"/>
        <v>8.6416242431874152E-2</v>
      </c>
      <c r="M163" s="17">
        <f t="shared" si="19"/>
        <v>9.4237559980660288E-2</v>
      </c>
      <c r="N163" s="17">
        <f t="shared" si="19"/>
        <v>0.10206782382302135</v>
      </c>
      <c r="O163" s="17">
        <f t="shared" si="19"/>
        <v>0.10990296100575578</v>
      </c>
      <c r="P163" s="17">
        <f t="shared" si="19"/>
        <v>0.11775208245218891</v>
      </c>
      <c r="Q163" s="17">
        <f t="shared" si="19"/>
        <v>0.1256107295733436</v>
      </c>
      <c r="R163" s="17">
        <f t="shared" si="19"/>
        <v>0.12622639978666553</v>
      </c>
      <c r="S163" s="17">
        <f t="shared" si="19"/>
        <v>0.12683653282207916</v>
      </c>
      <c r="T163" s="17">
        <f t="shared" si="19"/>
        <v>0.12743690305878655</v>
      </c>
      <c r="U163" s="17">
        <f t="shared" si="19"/>
        <v>0.12803901370337395</v>
      </c>
      <c r="V163" s="17">
        <f t="shared" si="19"/>
        <v>0.12863727774543765</v>
      </c>
      <c r="W163" s="17">
        <f t="shared" si="19"/>
        <v>0.12676901051043016</v>
      </c>
      <c r="X163" s="17">
        <f t="shared" si="19"/>
        <v>0.12328252212278325</v>
      </c>
      <c r="Y163" s="17">
        <f t="shared" si="19"/>
        <v>0.11978552943340957</v>
      </c>
      <c r="Z163" s="17">
        <f t="shared" si="19"/>
        <v>0.11766125578709219</v>
      </c>
    </row>
    <row r="164" spans="1:53" outlineLevel="1" x14ac:dyDescent="0.35"/>
    <row r="165" spans="1:53" s="18" customFormat="1" ht="21" x14ac:dyDescent="0.5">
      <c r="A165" s="18" t="s">
        <v>73</v>
      </c>
    </row>
    <row r="166" spans="1:53" s="20" customFormat="1" outlineLevel="1" x14ac:dyDescent="0.35">
      <c r="A166" s="19" t="s">
        <v>766</v>
      </c>
    </row>
    <row r="167" spans="1:53" s="16" customFormat="1" outlineLevel="1" x14ac:dyDescent="0.35">
      <c r="A167" s="21"/>
      <c r="AB167" s="16" t="s">
        <v>47</v>
      </c>
      <c r="AC167" s="16">
        <v>9.2800000000000005E-7</v>
      </c>
      <c r="AD167" s="16" t="s">
        <v>48</v>
      </c>
      <c r="AE167" s="15" t="s">
        <v>714</v>
      </c>
    </row>
    <row r="168" spans="1:53" s="16" customFormat="1" outlineLevel="1" x14ac:dyDescent="0.35">
      <c r="A168" s="22" t="s">
        <v>564</v>
      </c>
      <c r="AC168" s="16">
        <f>AC167*1000</f>
        <v>9.2800000000000001E-4</v>
      </c>
      <c r="AD168" s="16" t="s">
        <v>126</v>
      </c>
    </row>
    <row r="169" spans="1:53" s="16" customFormat="1" outlineLevel="1" x14ac:dyDescent="0.35">
      <c r="A169" s="22"/>
      <c r="AB169" s="16" t="s">
        <v>127</v>
      </c>
      <c r="AC169" s="16">
        <v>100</v>
      </c>
      <c r="AD169" s="16" t="s">
        <v>128</v>
      </c>
    </row>
    <row r="170" spans="1:53" s="16" customFormat="1" outlineLevel="1" x14ac:dyDescent="0.35">
      <c r="A170" s="230" t="s">
        <v>768</v>
      </c>
      <c r="AB170" s="16" t="s">
        <v>20</v>
      </c>
      <c r="AC170" s="16">
        <v>0.23</v>
      </c>
      <c r="AD170" s="16" t="s">
        <v>715</v>
      </c>
    </row>
    <row r="171" spans="1:53" s="16" customFormat="1" outlineLevel="1" x14ac:dyDescent="0.35">
      <c r="A171" s="22"/>
      <c r="AB171" s="16" t="s">
        <v>129</v>
      </c>
      <c r="AC171" s="16">
        <v>25</v>
      </c>
      <c r="AD171" s="16" t="s">
        <v>130</v>
      </c>
    </row>
    <row r="172" spans="1:53" outlineLevel="1" x14ac:dyDescent="0.35">
      <c r="B172" s="25">
        <v>2030</v>
      </c>
      <c r="C172" s="25">
        <v>2031</v>
      </c>
      <c r="D172" s="25">
        <v>2032</v>
      </c>
      <c r="E172" s="25">
        <v>2033</v>
      </c>
      <c r="F172" s="25">
        <v>2034</v>
      </c>
      <c r="G172" s="25">
        <v>2035</v>
      </c>
      <c r="H172" s="25">
        <v>2036</v>
      </c>
      <c r="I172" s="25">
        <v>2037</v>
      </c>
      <c r="J172" s="25">
        <v>2038</v>
      </c>
      <c r="K172" s="25">
        <v>2039</v>
      </c>
      <c r="L172" s="25">
        <v>2040</v>
      </c>
      <c r="M172" s="25">
        <v>2041</v>
      </c>
      <c r="N172" s="25">
        <v>2042</v>
      </c>
      <c r="O172" s="25">
        <v>2043</v>
      </c>
      <c r="P172" s="25">
        <v>2044</v>
      </c>
      <c r="Q172" s="25">
        <v>2045</v>
      </c>
      <c r="R172" s="25">
        <v>2046</v>
      </c>
      <c r="S172" s="25">
        <v>2047</v>
      </c>
      <c r="T172" s="25">
        <v>2048</v>
      </c>
      <c r="U172" s="25">
        <v>2049</v>
      </c>
      <c r="V172" s="25">
        <v>2050</v>
      </c>
      <c r="W172" s="25">
        <v>2051</v>
      </c>
      <c r="X172" s="25">
        <v>2052</v>
      </c>
      <c r="Y172" s="25">
        <v>2053</v>
      </c>
      <c r="Z172" s="25">
        <v>2054</v>
      </c>
      <c r="AC172" s="25">
        <v>2030</v>
      </c>
      <c r="AD172" s="25">
        <v>2031</v>
      </c>
      <c r="AE172" s="25">
        <v>2032</v>
      </c>
      <c r="AF172" s="25">
        <v>2033</v>
      </c>
      <c r="AG172" s="25">
        <v>2034</v>
      </c>
      <c r="AH172" s="25">
        <v>2035</v>
      </c>
      <c r="AI172" s="25">
        <v>2036</v>
      </c>
      <c r="AJ172" s="25">
        <v>2037</v>
      </c>
      <c r="AK172" s="25">
        <v>2038</v>
      </c>
      <c r="AL172" s="25">
        <v>2039</v>
      </c>
      <c r="AM172" s="25">
        <v>2040</v>
      </c>
      <c r="AN172" s="25">
        <v>2041</v>
      </c>
      <c r="AO172" s="25">
        <v>2042</v>
      </c>
      <c r="AP172" s="25">
        <v>2043</v>
      </c>
      <c r="AQ172" s="25">
        <v>2044</v>
      </c>
      <c r="AR172" s="25">
        <v>2045</v>
      </c>
      <c r="AS172" s="25">
        <v>2046</v>
      </c>
      <c r="AT172" s="25">
        <v>2047</v>
      </c>
      <c r="AU172" s="25">
        <v>2048</v>
      </c>
      <c r="AV172" s="25">
        <v>2049</v>
      </c>
      <c r="AW172" s="25">
        <v>2050</v>
      </c>
      <c r="AX172" s="25">
        <v>2051</v>
      </c>
      <c r="AY172" s="25">
        <v>2052</v>
      </c>
      <c r="AZ172" s="25">
        <v>2053</v>
      </c>
      <c r="BA172" s="25">
        <v>2054</v>
      </c>
    </row>
    <row r="173" spans="1:53" outlineLevel="1" x14ac:dyDescent="0.35">
      <c r="A173" s="6" t="s">
        <v>21</v>
      </c>
      <c r="B173" s="6">
        <f>'Results - raw data ReCiPe (H)'!C41</f>
        <v>2.686627601232994E-3</v>
      </c>
      <c r="AB173" s="6" t="s">
        <v>117</v>
      </c>
      <c r="AC173" s="6">
        <f>SUM(B173:B184)+B186</f>
        <v>0.16006814629521346</v>
      </c>
    </row>
    <row r="174" spans="1:53" outlineLevel="1" x14ac:dyDescent="0.35">
      <c r="A174" s="6" t="s">
        <v>23</v>
      </c>
      <c r="B174" s="6">
        <f>'Results - raw data ReCiPe (H)'!C42</f>
        <v>5.7475279188938643E-3</v>
      </c>
      <c r="AB174" s="6" t="s">
        <v>118</v>
      </c>
      <c r="AC174" s="6">
        <f>B185</f>
        <v>9.5063834765982819E-3</v>
      </c>
    </row>
    <row r="175" spans="1:53" outlineLevel="1" x14ac:dyDescent="0.35">
      <c r="A175" s="6" t="s">
        <v>26</v>
      </c>
      <c r="B175" s="6">
        <f>'Results - raw data ReCiPe (H)'!C43</f>
        <v>1.2845382150857119E-2</v>
      </c>
      <c r="AB175" s="6" t="s">
        <v>119</v>
      </c>
      <c r="BA175" s="6">
        <f>SUM(Z187:Z198)</f>
        <v>1.2038817746522666E-3</v>
      </c>
    </row>
    <row r="176" spans="1:53" outlineLevel="1" x14ac:dyDescent="0.35">
      <c r="A176" s="6" t="s">
        <v>28</v>
      </c>
      <c r="B176" s="6">
        <f>'Results - raw data ReCiPe (H)'!C44</f>
        <v>1.6265845410914071E-2</v>
      </c>
      <c r="AB176" s="6" t="s">
        <v>120</v>
      </c>
      <c r="BA176" s="6">
        <f>Z199</f>
        <v>3.5227143847144076E-5</v>
      </c>
    </row>
    <row r="177" spans="1:53" outlineLevel="1" x14ac:dyDescent="0.35">
      <c r="A177" s="6" t="s">
        <v>29</v>
      </c>
      <c r="B177" s="6">
        <f>'Results - raw data ReCiPe (H)'!C45</f>
        <v>1.267220629476748E-2</v>
      </c>
      <c r="AB177" s="6" t="s">
        <v>121</v>
      </c>
      <c r="AC177" s="6">
        <f>B200</f>
        <v>2.2868444478900299E-3</v>
      </c>
      <c r="AF177" s="6">
        <f>E200</f>
        <v>2.2242630345716192E-3</v>
      </c>
      <c r="AI177" s="6">
        <f>H200</f>
        <v>2.1636441841529248E-3</v>
      </c>
      <c r="AL177" s="6">
        <f>K200</f>
        <v>2.0913940629818349E-3</v>
      </c>
      <c r="AO177" s="6">
        <f>N200</f>
        <v>2.0111593851075741E-3</v>
      </c>
      <c r="AR177" s="6">
        <f>Q200</f>
        <v>1.925325558619934E-3</v>
      </c>
      <c r="AU177" s="6">
        <f>T200</f>
        <v>1.868103373074346E-3</v>
      </c>
      <c r="AX177" s="6">
        <f>W200</f>
        <v>1.839484702599319E-3</v>
      </c>
      <c r="BA177" s="6">
        <f>Z200</f>
        <v>1.8308470230828889E-3</v>
      </c>
    </row>
    <row r="178" spans="1:53" outlineLevel="1" x14ac:dyDescent="0.35">
      <c r="A178" s="6" t="s">
        <v>31</v>
      </c>
      <c r="B178" s="6">
        <f>'Results - raw data ReCiPe (H)'!C46</f>
        <v>8.1155683691255427E-3</v>
      </c>
      <c r="AB178" s="6" t="s">
        <v>122</v>
      </c>
      <c r="AC178" s="6">
        <f>B203+B202</f>
        <v>4.9474976847897568E-2</v>
      </c>
      <c r="AD178" s="6">
        <f t="shared" ref="AD178:AV178" si="20">C203+C202</f>
        <v>4.6522550306297726E-2</v>
      </c>
      <c r="AE178" s="6">
        <f t="shared" si="20"/>
        <v>4.355624793890709E-2</v>
      </c>
      <c r="AF178" s="6">
        <f t="shared" si="20"/>
        <v>4.0541541366208723E-2</v>
      </c>
      <c r="AG178" s="6">
        <f t="shared" si="20"/>
        <v>3.7565066504135186E-2</v>
      </c>
      <c r="AH178" s="6">
        <f t="shared" si="20"/>
        <v>3.4585867561235863E-2</v>
      </c>
      <c r="AI178" s="6">
        <f t="shared" si="20"/>
        <v>3.2838818395999891E-2</v>
      </c>
      <c r="AJ178" s="6">
        <f t="shared" si="20"/>
        <v>3.1098187750874622E-2</v>
      </c>
      <c r="AK178" s="6">
        <f t="shared" si="20"/>
        <v>2.933208111837475E-2</v>
      </c>
      <c r="AL178" s="6">
        <f t="shared" si="20"/>
        <v>2.7594024536413905E-2</v>
      </c>
      <c r="AM178" s="6">
        <f t="shared" si="20"/>
        <v>2.5855349323427739E-2</v>
      </c>
      <c r="AN178" s="6">
        <f t="shared" si="20"/>
        <v>2.4734990290458083E-2</v>
      </c>
      <c r="AO178" s="6">
        <f t="shared" si="20"/>
        <v>2.3610300650731924E-2</v>
      </c>
      <c r="AP178" s="6">
        <f t="shared" si="20"/>
        <v>2.2473061940846511E-2</v>
      </c>
      <c r="AQ178" s="6">
        <f t="shared" si="20"/>
        <v>2.1336924852192057E-2</v>
      </c>
      <c r="AR178" s="6">
        <f t="shared" si="20"/>
        <v>2.0195671173589842E-2</v>
      </c>
      <c r="AS178" s="6">
        <f t="shared" si="20"/>
        <v>1.9789530140639756E-2</v>
      </c>
      <c r="AT178" s="6">
        <f t="shared" si="20"/>
        <v>1.9381026348446195E-2</v>
      </c>
      <c r="AU178" s="6">
        <f t="shared" si="20"/>
        <v>1.8964561507911409E-2</v>
      </c>
      <c r="AV178" s="6">
        <f t="shared" si="20"/>
        <v>1.8553924321067339E-2</v>
      </c>
      <c r="AW178" s="6">
        <f>V203</f>
        <v>1.8142723046211284E-2</v>
      </c>
      <c r="AX178" s="6">
        <f>W203</f>
        <v>1.8301014964826487E-2</v>
      </c>
      <c r="AY178" s="6">
        <f>X203</f>
        <v>1.8122457232622846E-2</v>
      </c>
      <c r="AZ178" s="6">
        <f>Y203</f>
        <v>1.7943406836689314E-2</v>
      </c>
      <c r="BA178" s="6">
        <f>Z203</f>
        <v>1.7763818435932222E-2</v>
      </c>
    </row>
    <row r="179" spans="1:53" outlineLevel="1" x14ac:dyDescent="0.35">
      <c r="A179" s="6" t="s">
        <v>34</v>
      </c>
      <c r="B179" s="6">
        <f>'Results - raw data ReCiPe (H)'!C47</f>
        <v>6.3101752981999824E-3</v>
      </c>
      <c r="AB179" s="6" t="s">
        <v>123</v>
      </c>
      <c r="AC179" s="6">
        <f t="shared" ref="AC179:BA179" si="21">B201</f>
        <v>5.9419755841213177E-3</v>
      </c>
      <c r="AD179" s="6">
        <f t="shared" si="21"/>
        <v>5.6392093242708654E-3</v>
      </c>
      <c r="AE179" s="6">
        <f t="shared" si="21"/>
        <v>5.3364012775946306E-3</v>
      </c>
      <c r="AF179" s="6">
        <f t="shared" si="21"/>
        <v>5.0302367711032329E-3</v>
      </c>
      <c r="AG179" s="6">
        <f t="shared" si="21"/>
        <v>4.7290834870319263E-3</v>
      </c>
      <c r="AH179" s="6">
        <f t="shared" si="21"/>
        <v>4.4290017479485973E-3</v>
      </c>
      <c r="AI179" s="6">
        <f t="shared" si="21"/>
        <v>4.2537680028041161E-3</v>
      </c>
      <c r="AJ179" s="6">
        <f t="shared" si="21"/>
        <v>4.0792273730117469E-3</v>
      </c>
      <c r="AK179" s="6">
        <f t="shared" si="21"/>
        <v>3.9023768692301496E-3</v>
      </c>
      <c r="AL179" s="6">
        <f t="shared" si="21"/>
        <v>3.7285535864472604E-3</v>
      </c>
      <c r="AM179" s="6">
        <f t="shared" si="21"/>
        <v>3.5549715926132793E-3</v>
      </c>
      <c r="AN179" s="6">
        <f t="shared" si="21"/>
        <v>3.4425631906990673E-3</v>
      </c>
      <c r="AO179" s="6">
        <f t="shared" si="21"/>
        <v>3.3297140791255257E-3</v>
      </c>
      <c r="AP179" s="6">
        <f t="shared" si="21"/>
        <v>3.2156256377198051E-3</v>
      </c>
      <c r="AQ179" s="6">
        <f t="shared" si="21"/>
        <v>3.1016491857213022E-3</v>
      </c>
      <c r="AR179" s="6">
        <f t="shared" si="21"/>
        <v>2.987175355825968E-3</v>
      </c>
      <c r="AS179" s="6">
        <f t="shared" si="21"/>
        <v>2.945325002502398E-3</v>
      </c>
      <c r="AT179" s="6">
        <f t="shared" si="21"/>
        <v>2.9031720155841012E-3</v>
      </c>
      <c r="AU179" s="6">
        <f t="shared" si="21"/>
        <v>2.8601680696643469E-3</v>
      </c>
      <c r="AV179" s="6">
        <f t="shared" si="21"/>
        <v>2.8176519553675507E-3</v>
      </c>
      <c r="AW179" s="6">
        <f t="shared" si="21"/>
        <v>2.7749811319828458E-3</v>
      </c>
      <c r="AX179" s="6">
        <f t="shared" si="21"/>
        <v>2.7974518649709168E-3</v>
      </c>
      <c r="AY179" s="6">
        <f t="shared" si="21"/>
        <v>2.7793616825937738E-3</v>
      </c>
      <c r="AZ179" s="6">
        <f t="shared" si="21"/>
        <v>2.7612768881797641E-3</v>
      </c>
      <c r="BA179" s="6">
        <f t="shared" si="21"/>
        <v>2.7431908352950562E-3</v>
      </c>
    </row>
    <row r="180" spans="1:53" outlineLevel="1" x14ac:dyDescent="0.35">
      <c r="A180" s="6" t="s">
        <v>36</v>
      </c>
      <c r="B180" s="6">
        <f>'Results - raw data ReCiPe (H)'!C48</f>
        <v>3.6673559301182651E-3</v>
      </c>
      <c r="AB180" s="6" t="s">
        <v>124</v>
      </c>
      <c r="AC180" s="6">
        <f>-$AC$7*$AC$6</f>
        <v>-9.2799999999999994E-2</v>
      </c>
      <c r="AD180" s="6">
        <f t="shared" ref="AD180:BA180" si="22">-$AC$7*$AC$6</f>
        <v>-9.2799999999999994E-2</v>
      </c>
      <c r="AE180" s="6">
        <f t="shared" si="22"/>
        <v>-9.2799999999999994E-2</v>
      </c>
      <c r="AF180" s="6">
        <f t="shared" si="22"/>
        <v>-9.2799999999999994E-2</v>
      </c>
      <c r="AG180" s="6">
        <f t="shared" si="22"/>
        <v>-9.2799999999999994E-2</v>
      </c>
      <c r="AH180" s="6">
        <f t="shared" si="22"/>
        <v>-9.2799999999999994E-2</v>
      </c>
      <c r="AI180" s="6">
        <f t="shared" si="22"/>
        <v>-9.2799999999999994E-2</v>
      </c>
      <c r="AJ180" s="6">
        <f t="shared" si="22"/>
        <v>-9.2799999999999994E-2</v>
      </c>
      <c r="AK180" s="6">
        <f t="shared" si="22"/>
        <v>-9.2799999999999994E-2</v>
      </c>
      <c r="AL180" s="6">
        <f t="shared" si="22"/>
        <v>-9.2799999999999994E-2</v>
      </c>
      <c r="AM180" s="6">
        <f t="shared" si="22"/>
        <v>-9.2799999999999994E-2</v>
      </c>
      <c r="AN180" s="6">
        <f t="shared" si="22"/>
        <v>-9.2799999999999994E-2</v>
      </c>
      <c r="AO180" s="6">
        <f t="shared" si="22"/>
        <v>-9.2799999999999994E-2</v>
      </c>
      <c r="AP180" s="6">
        <f t="shared" si="22"/>
        <v>-9.2799999999999994E-2</v>
      </c>
      <c r="AQ180" s="6">
        <f t="shared" si="22"/>
        <v>-9.2799999999999994E-2</v>
      </c>
      <c r="AR180" s="6">
        <f t="shared" si="22"/>
        <v>-9.2799999999999994E-2</v>
      </c>
      <c r="AS180" s="6">
        <f t="shared" si="22"/>
        <v>-9.2799999999999994E-2</v>
      </c>
      <c r="AT180" s="6">
        <f t="shared" si="22"/>
        <v>-9.2799999999999994E-2</v>
      </c>
      <c r="AU180" s="6">
        <f t="shared" si="22"/>
        <v>-9.2799999999999994E-2</v>
      </c>
      <c r="AV180" s="6">
        <f t="shared" si="22"/>
        <v>-9.2799999999999994E-2</v>
      </c>
      <c r="AW180" s="6">
        <f t="shared" si="22"/>
        <v>-9.2799999999999994E-2</v>
      </c>
      <c r="AX180" s="6">
        <f t="shared" si="22"/>
        <v>-9.2799999999999994E-2</v>
      </c>
      <c r="AY180" s="6">
        <f t="shared" si="22"/>
        <v>-9.2799999999999994E-2</v>
      </c>
      <c r="AZ180" s="6">
        <f t="shared" si="22"/>
        <v>-9.2799999999999994E-2</v>
      </c>
      <c r="BA180" s="6">
        <f t="shared" si="22"/>
        <v>-9.2799999999999994E-2</v>
      </c>
    </row>
    <row r="181" spans="1:53" outlineLevel="1" x14ac:dyDescent="0.35">
      <c r="A181" s="6" t="s">
        <v>38</v>
      </c>
      <c r="B181" s="6">
        <f>'Results - raw data ReCiPe (H)'!C49</f>
        <v>2.0251561932952661E-2</v>
      </c>
      <c r="AB181" s="23" t="s">
        <v>125</v>
      </c>
      <c r="AC181" s="17">
        <f t="shared" ref="AC181:BA181" si="23">SUM(AC173:AC180)</f>
        <v>0.13447832665172069</v>
      </c>
      <c r="AD181" s="17">
        <f t="shared" si="23"/>
        <v>-4.0638240369431401E-2</v>
      </c>
      <c r="AE181" s="17">
        <f t="shared" si="23"/>
        <v>-4.3907350783498271E-2</v>
      </c>
      <c r="AF181" s="17">
        <f t="shared" si="23"/>
        <v>-4.5003958828116419E-2</v>
      </c>
      <c r="AG181" s="17">
        <f t="shared" si="23"/>
        <v>-5.0505850008832884E-2</v>
      </c>
      <c r="AH181" s="17">
        <f t="shared" si="23"/>
        <v>-5.378513069081553E-2</v>
      </c>
      <c r="AI181" s="17">
        <f t="shared" si="23"/>
        <v>-5.3543769417043065E-2</v>
      </c>
      <c r="AJ181" s="17">
        <f t="shared" si="23"/>
        <v>-5.7622584876113624E-2</v>
      </c>
      <c r="AK181" s="17">
        <f t="shared" si="23"/>
        <v>-5.9565542012395091E-2</v>
      </c>
      <c r="AL181" s="17">
        <f t="shared" si="23"/>
        <v>-5.9386027814156993E-2</v>
      </c>
      <c r="AM181" s="17">
        <f t="shared" si="23"/>
        <v>-6.3389679083958983E-2</v>
      </c>
      <c r="AN181" s="17">
        <f t="shared" si="23"/>
        <v>-6.4622446518842844E-2</v>
      </c>
      <c r="AO181" s="17">
        <f t="shared" si="23"/>
        <v>-6.3848825885034974E-2</v>
      </c>
      <c r="AP181" s="17">
        <f t="shared" si="23"/>
        <v>-6.7111312421433672E-2</v>
      </c>
      <c r="AQ181" s="17">
        <f t="shared" si="23"/>
        <v>-6.8361425962086636E-2</v>
      </c>
      <c r="AR181" s="17">
        <f t="shared" si="23"/>
        <v>-6.769182791196425E-2</v>
      </c>
      <c r="AS181" s="17">
        <f t="shared" si="23"/>
        <v>-7.0065144856857831E-2</v>
      </c>
      <c r="AT181" s="17">
        <f t="shared" si="23"/>
        <v>-7.0515801635969697E-2</v>
      </c>
      <c r="AU181" s="17">
        <f t="shared" si="23"/>
        <v>-6.9107167049349896E-2</v>
      </c>
      <c r="AV181" s="17">
        <f t="shared" si="23"/>
        <v>-7.1428423723565101E-2</v>
      </c>
      <c r="AW181" s="17">
        <f t="shared" si="23"/>
        <v>-7.1882295821805858E-2</v>
      </c>
      <c r="AX181" s="17">
        <f t="shared" si="23"/>
        <v>-6.9862048467603272E-2</v>
      </c>
      <c r="AY181" s="17">
        <f t="shared" si="23"/>
        <v>-7.189818108478338E-2</v>
      </c>
      <c r="AZ181" s="17">
        <f t="shared" si="23"/>
        <v>-7.2095316275130911E-2</v>
      </c>
      <c r="BA181" s="17">
        <f t="shared" si="23"/>
        <v>-6.9223034787190413E-2</v>
      </c>
    </row>
    <row r="182" spans="1:53" outlineLevel="1" x14ac:dyDescent="0.35">
      <c r="A182" s="6" t="s">
        <v>39</v>
      </c>
      <c r="B182" s="6">
        <f>'Results - raw data ReCiPe (H)'!C50</f>
        <v>5.5780352999011518E-2</v>
      </c>
    </row>
    <row r="183" spans="1:53" outlineLevel="1" x14ac:dyDescent="0.35">
      <c r="A183" s="6" t="s">
        <v>41</v>
      </c>
      <c r="B183" s="6">
        <f>'Results - raw data ReCiPe (H)'!C51</f>
        <v>2.8664307292717168E-4</v>
      </c>
    </row>
    <row r="184" spans="1:53" outlineLevel="1" x14ac:dyDescent="0.35">
      <c r="A184" s="6" t="s">
        <v>43</v>
      </c>
      <c r="B184" s="6">
        <f>'Results - raw data ReCiPe (H)'!C52</f>
        <v>9.0979496556399054E-4</v>
      </c>
      <c r="AB184" s="187"/>
      <c r="AC184" s="187"/>
      <c r="AD184" s="187"/>
      <c r="AE184" s="187"/>
      <c r="AF184" s="187"/>
      <c r="AG184" s="187"/>
      <c r="AH184" s="187"/>
      <c r="AI184" s="187"/>
      <c r="AJ184" s="187"/>
      <c r="AK184" s="187"/>
      <c r="AL184" s="187"/>
      <c r="AM184" s="187"/>
      <c r="AN184" s="187"/>
      <c r="AO184" s="187"/>
      <c r="AP184" s="187"/>
      <c r="AQ184" s="187"/>
      <c r="AR184" s="187"/>
      <c r="AS184" s="187"/>
      <c r="AT184" s="187"/>
      <c r="AU184" s="187"/>
      <c r="AV184" s="187"/>
      <c r="AW184" s="187"/>
      <c r="AX184" s="187"/>
      <c r="AY184" s="187"/>
      <c r="AZ184" s="187"/>
      <c r="BA184" s="187"/>
    </row>
    <row r="185" spans="1:53" outlineLevel="1" x14ac:dyDescent="0.35">
      <c r="A185" s="6" t="s">
        <v>44</v>
      </c>
      <c r="B185" s="6">
        <f>'Results - raw data ReCiPe (H)'!C53*AC169*AC171</f>
        <v>9.5063834765982819E-3</v>
      </c>
      <c r="AB185" s="187"/>
      <c r="AC185" s="187"/>
      <c r="AD185" s="187"/>
      <c r="AE185" s="187"/>
      <c r="AF185" s="187"/>
      <c r="AG185" s="187"/>
      <c r="AH185" s="187"/>
      <c r="AI185" s="187"/>
      <c r="AJ185" s="187"/>
      <c r="AK185" s="187"/>
      <c r="AL185" s="187"/>
      <c r="AM185" s="187"/>
      <c r="AN185" s="187"/>
      <c r="AO185" s="187"/>
      <c r="AP185" s="187"/>
      <c r="AQ185" s="187"/>
      <c r="AR185" s="187"/>
      <c r="AS185" s="187"/>
      <c r="AT185" s="187"/>
      <c r="AU185" s="187"/>
      <c r="AV185" s="187"/>
      <c r="AW185" s="187"/>
      <c r="AX185" s="187"/>
      <c r="AY185" s="187"/>
      <c r="AZ185" s="187"/>
      <c r="BA185" s="187"/>
    </row>
    <row r="186" spans="1:53" outlineLevel="1" x14ac:dyDescent="0.35">
      <c r="A186" s="6" t="s">
        <v>757</v>
      </c>
      <c r="B186" s="6">
        <f>'Results - raw data ReCiPe (H)'!C54*AC169*AC171</f>
        <v>1.4529104350648813E-2</v>
      </c>
      <c r="AB186" s="187"/>
      <c r="AC186" s="187"/>
      <c r="AD186" s="187"/>
      <c r="AE186" s="187"/>
      <c r="AF186" s="187"/>
      <c r="AG186" s="187"/>
      <c r="AH186" s="187"/>
      <c r="AI186" s="187"/>
      <c r="AJ186" s="187"/>
      <c r="AK186" s="187"/>
      <c r="AL186" s="187"/>
      <c r="AM186" s="187"/>
      <c r="AN186" s="187"/>
      <c r="AO186" s="187"/>
      <c r="AP186" s="187"/>
      <c r="AQ186" s="187"/>
      <c r="AR186" s="187"/>
      <c r="AS186" s="187"/>
      <c r="AT186" s="187"/>
      <c r="AU186" s="187"/>
      <c r="AV186" s="187"/>
      <c r="AW186" s="187"/>
      <c r="AX186" s="187"/>
      <c r="AY186" s="187"/>
      <c r="AZ186" s="187"/>
      <c r="BA186" s="187"/>
    </row>
    <row r="187" spans="1:53" outlineLevel="1" x14ac:dyDescent="0.35">
      <c r="A187" s="6" t="s">
        <v>22</v>
      </c>
      <c r="Z187" s="6">
        <f>'Results - raw data ReCiPe (H)'!AA55</f>
        <v>2.4762670432088011E-5</v>
      </c>
      <c r="AB187" s="187"/>
      <c r="AC187" s="187"/>
      <c r="AD187" s="187"/>
      <c r="AE187" s="187"/>
      <c r="AF187" s="187"/>
      <c r="AG187" s="187"/>
      <c r="AH187" s="187"/>
      <c r="AI187" s="187"/>
      <c r="AJ187" s="187"/>
      <c r="AK187" s="187"/>
      <c r="AL187" s="187"/>
      <c r="AM187" s="187"/>
      <c r="AN187" s="187"/>
      <c r="AO187" s="187"/>
      <c r="AP187" s="187"/>
      <c r="AQ187" s="187"/>
      <c r="AR187" s="187"/>
      <c r="AS187" s="187"/>
      <c r="AT187" s="187"/>
      <c r="AU187" s="187"/>
      <c r="AV187" s="187"/>
      <c r="AW187" s="187"/>
      <c r="AX187" s="187"/>
      <c r="AY187" s="187"/>
      <c r="AZ187" s="187"/>
      <c r="BA187" s="187"/>
    </row>
    <row r="188" spans="1:53" outlineLevel="1" x14ac:dyDescent="0.35">
      <c r="A188" s="6" t="s">
        <v>24</v>
      </c>
      <c r="Z188" s="6">
        <f>'Results - raw data ReCiPe (H)'!AA56</f>
        <v>1.176118094708814E-5</v>
      </c>
      <c r="AB188" s="187"/>
      <c r="AC188" s="187"/>
      <c r="AD188" s="187"/>
      <c r="AE188" s="187"/>
      <c r="AF188" s="187"/>
      <c r="AG188" s="187"/>
      <c r="AH188" s="187"/>
      <c r="AI188" s="187"/>
      <c r="AJ188" s="187"/>
      <c r="AK188" s="187"/>
      <c r="AL188" s="187"/>
      <c r="AM188" s="187"/>
      <c r="AN188" s="187"/>
      <c r="AO188" s="187"/>
      <c r="AP188" s="187"/>
      <c r="AQ188" s="187"/>
      <c r="AR188" s="187"/>
      <c r="AS188" s="187"/>
      <c r="AT188" s="187"/>
      <c r="AU188" s="187"/>
      <c r="AV188" s="187"/>
      <c r="AW188" s="187"/>
      <c r="AX188" s="187"/>
      <c r="AY188" s="187"/>
      <c r="AZ188" s="187"/>
      <c r="BA188" s="187"/>
    </row>
    <row r="189" spans="1:53" outlineLevel="1" x14ac:dyDescent="0.35">
      <c r="A189" s="6" t="s">
        <v>25</v>
      </c>
      <c r="Z189" s="6">
        <f>'Results - raw data ReCiPe (H)'!AA57</f>
        <v>3.9046886024631158E-5</v>
      </c>
      <c r="AB189" s="187"/>
      <c r="AC189" s="187"/>
      <c r="AD189" s="187"/>
      <c r="AE189" s="187"/>
      <c r="AF189" s="187"/>
      <c r="AG189" s="187"/>
      <c r="AH189" s="187"/>
      <c r="AI189" s="187"/>
      <c r="AJ189" s="187"/>
      <c r="AK189" s="187"/>
      <c r="AL189" s="187"/>
      <c r="AM189" s="187"/>
      <c r="AN189" s="187"/>
      <c r="AO189" s="187"/>
      <c r="AP189" s="187"/>
      <c r="AQ189" s="187"/>
      <c r="AR189" s="187"/>
      <c r="AS189" s="187"/>
      <c r="AT189" s="187"/>
      <c r="AU189" s="187"/>
      <c r="AV189" s="187"/>
      <c r="AW189" s="187"/>
      <c r="AX189" s="187"/>
      <c r="AY189" s="187"/>
      <c r="AZ189" s="187"/>
      <c r="BA189" s="187"/>
    </row>
    <row r="190" spans="1:53" outlineLevel="1" x14ac:dyDescent="0.35">
      <c r="A190" s="6" t="s">
        <v>27</v>
      </c>
      <c r="Z190" s="6">
        <f>'Results - raw data ReCiPe (H)'!AA58</f>
        <v>1.6840076209704161E-5</v>
      </c>
      <c r="AB190" s="187"/>
      <c r="AC190" s="187"/>
      <c r="AD190" s="187"/>
      <c r="AE190" s="187"/>
      <c r="AF190" s="187"/>
      <c r="AG190" s="187"/>
      <c r="AH190" s="187"/>
      <c r="AI190" s="187"/>
      <c r="AJ190" s="187"/>
      <c r="AK190" s="187"/>
      <c r="AL190" s="187"/>
      <c r="AM190" s="187"/>
      <c r="AN190" s="187"/>
      <c r="AO190" s="187"/>
      <c r="AP190" s="187"/>
      <c r="AQ190" s="187"/>
      <c r="AR190" s="187"/>
      <c r="AS190" s="187"/>
      <c r="AT190" s="187"/>
      <c r="AU190" s="187"/>
      <c r="AV190" s="187"/>
      <c r="AW190" s="187"/>
      <c r="AX190" s="187"/>
      <c r="AY190" s="187"/>
      <c r="AZ190" s="187"/>
      <c r="BA190" s="187"/>
    </row>
    <row r="191" spans="1:53" outlineLevel="1" x14ac:dyDescent="0.35">
      <c r="A191" s="6" t="s">
        <v>30</v>
      </c>
      <c r="Z191" s="6">
        <f>'Results - raw data ReCiPe (H)'!AA59</f>
        <v>3.2639269159817092E-5</v>
      </c>
      <c r="AB191" s="187"/>
      <c r="AC191" s="187"/>
      <c r="AD191" s="187"/>
      <c r="AE191" s="187"/>
      <c r="AF191" s="187"/>
      <c r="AG191" s="187"/>
      <c r="AH191" s="187"/>
      <c r="AI191" s="187"/>
      <c r="AJ191" s="187"/>
      <c r="AK191" s="187"/>
      <c r="AL191" s="187"/>
      <c r="AM191" s="187"/>
      <c r="AN191" s="187"/>
      <c r="AO191" s="187"/>
      <c r="AP191" s="187"/>
      <c r="AQ191" s="187"/>
      <c r="AR191" s="187"/>
      <c r="AS191" s="187"/>
      <c r="AT191" s="187"/>
      <c r="AU191" s="187"/>
      <c r="AV191" s="187"/>
      <c r="AW191" s="187"/>
      <c r="AX191" s="187"/>
      <c r="AY191" s="187"/>
      <c r="AZ191" s="187"/>
      <c r="BA191" s="187"/>
    </row>
    <row r="192" spans="1:53" outlineLevel="1" x14ac:dyDescent="0.35">
      <c r="A192" s="6" t="s">
        <v>32</v>
      </c>
      <c r="Z192" s="6">
        <f>'Results - raw data ReCiPe (H)'!AA60</f>
        <v>4.4601367480851334E-6</v>
      </c>
      <c r="AB192" s="187"/>
      <c r="AC192" s="187"/>
      <c r="AD192" s="187"/>
      <c r="AE192" s="187"/>
      <c r="AF192" s="187"/>
      <c r="AG192" s="187"/>
      <c r="AH192" s="187"/>
      <c r="AI192" s="187"/>
      <c r="AJ192" s="187"/>
      <c r="AK192" s="187"/>
      <c r="AL192" s="187"/>
      <c r="AM192" s="187"/>
      <c r="AN192" s="187"/>
      <c r="AO192" s="187"/>
      <c r="AP192" s="187"/>
      <c r="AQ192" s="187"/>
      <c r="AR192" s="187"/>
      <c r="AS192" s="187"/>
      <c r="AT192" s="187"/>
      <c r="AU192" s="187"/>
      <c r="AV192" s="187"/>
      <c r="AW192" s="187"/>
      <c r="AX192" s="187"/>
      <c r="AY192" s="187"/>
      <c r="AZ192" s="187"/>
      <c r="BA192" s="187"/>
    </row>
    <row r="193" spans="1:53" outlineLevel="1" x14ac:dyDescent="0.35">
      <c r="A193" s="6" t="s">
        <v>33</v>
      </c>
      <c r="Z193" s="6">
        <f>'Results - raw data ReCiPe (H)'!AA61</f>
        <v>8.2720352410769784E-6</v>
      </c>
      <c r="AB193" s="187"/>
      <c r="AC193" s="187"/>
      <c r="AD193" s="187"/>
      <c r="AE193" s="187"/>
      <c r="AF193" s="187"/>
      <c r="AG193" s="187"/>
      <c r="AH193" s="187"/>
      <c r="AI193" s="187"/>
      <c r="AJ193" s="187"/>
      <c r="AK193" s="187"/>
      <c r="AL193" s="187"/>
      <c r="AM193" s="187"/>
      <c r="AN193" s="187"/>
      <c r="AO193" s="187"/>
      <c r="AP193" s="187"/>
      <c r="AQ193" s="187"/>
      <c r="AR193" s="187"/>
      <c r="AS193" s="187"/>
      <c r="AT193" s="187"/>
      <c r="AU193" s="187"/>
      <c r="AV193" s="187"/>
      <c r="AW193" s="187"/>
      <c r="AX193" s="187"/>
      <c r="AY193" s="187"/>
      <c r="AZ193" s="187"/>
      <c r="BA193" s="187"/>
    </row>
    <row r="194" spans="1:53" outlineLevel="1" x14ac:dyDescent="0.35">
      <c r="A194" s="6" t="s">
        <v>35</v>
      </c>
      <c r="Z194" s="6">
        <f>'Results - raw data ReCiPe (H)'!AA62</f>
        <v>1.654407048215396E-5</v>
      </c>
      <c r="AB194" s="187"/>
      <c r="AC194" s="187"/>
      <c r="AD194" s="187"/>
      <c r="AE194" s="187"/>
      <c r="AF194" s="187"/>
      <c r="AG194" s="187"/>
      <c r="AH194" s="187"/>
      <c r="AI194" s="187"/>
      <c r="AJ194" s="187"/>
      <c r="AK194" s="187"/>
      <c r="AL194" s="187"/>
      <c r="AM194" s="187"/>
      <c r="AN194" s="187"/>
      <c r="AO194" s="187"/>
      <c r="AP194" s="187"/>
      <c r="AQ194" s="187"/>
      <c r="AR194" s="187"/>
      <c r="AS194" s="187"/>
      <c r="AT194" s="187"/>
      <c r="AU194" s="187"/>
      <c r="AV194" s="187"/>
      <c r="AW194" s="187"/>
      <c r="AX194" s="187"/>
      <c r="AY194" s="187"/>
      <c r="AZ194" s="187"/>
      <c r="BA194" s="187"/>
    </row>
    <row r="195" spans="1:53" outlineLevel="1" x14ac:dyDescent="0.35">
      <c r="A195" s="6" t="s">
        <v>37</v>
      </c>
      <c r="Z195" s="6">
        <f>'Results - raw data ReCiPe (H)'!AA63</f>
        <v>4.1171919330931541E-5</v>
      </c>
      <c r="AB195" s="187"/>
      <c r="AC195" s="187"/>
      <c r="AD195" s="187"/>
      <c r="AE195" s="187"/>
      <c r="AF195" s="187"/>
      <c r="AG195" s="187"/>
      <c r="AH195" s="187"/>
      <c r="AI195" s="187"/>
      <c r="AJ195" s="187"/>
      <c r="AK195" s="187"/>
      <c r="AL195" s="187"/>
      <c r="AM195" s="187"/>
      <c r="AN195" s="187"/>
      <c r="AO195" s="187"/>
      <c r="AP195" s="187"/>
      <c r="AQ195" s="187"/>
      <c r="AR195" s="187"/>
      <c r="AS195" s="187"/>
      <c r="AT195" s="187"/>
      <c r="AU195" s="187"/>
      <c r="AV195" s="187"/>
      <c r="AW195" s="187"/>
      <c r="AX195" s="187"/>
      <c r="AY195" s="187"/>
      <c r="AZ195" s="187"/>
      <c r="BA195" s="187"/>
    </row>
    <row r="196" spans="1:53" outlineLevel="1" x14ac:dyDescent="0.35">
      <c r="A196" s="6" t="s">
        <v>40</v>
      </c>
      <c r="Z196" s="6">
        <f>'Results - raw data ReCiPe (H)'!AA64</f>
        <v>5.9448924584171799E-4</v>
      </c>
    </row>
    <row r="197" spans="1:53" outlineLevel="1" x14ac:dyDescent="0.35">
      <c r="A197" s="6" t="s">
        <v>42</v>
      </c>
      <c r="Z197" s="6">
        <f>'Results - raw data ReCiPe (H)'!AA65</f>
        <v>5.4539699490104918E-5</v>
      </c>
    </row>
    <row r="198" spans="1:53" outlineLevel="1" x14ac:dyDescent="0.35">
      <c r="A198" s="6" t="s">
        <v>115</v>
      </c>
      <c r="Z198" s="6">
        <f>'Results - raw data ReCiPe (H)'!AA66</f>
        <v>3.5935458474486748E-4</v>
      </c>
    </row>
    <row r="199" spans="1:53" outlineLevel="1" x14ac:dyDescent="0.35">
      <c r="A199" s="6" t="s">
        <v>45</v>
      </c>
      <c r="Z199" s="6">
        <f>'Results - raw data ReCiPe (H)'!AA67*AC169*AC171</f>
        <v>3.5227143847144076E-5</v>
      </c>
    </row>
    <row r="200" spans="1:53" outlineLevel="1" x14ac:dyDescent="0.35">
      <c r="A200" s="6" t="s">
        <v>116</v>
      </c>
      <c r="B200" s="6">
        <f>'Results - raw data ReCiPe (H)'!C68</f>
        <v>2.2868444478900299E-3</v>
      </c>
      <c r="C200" s="6">
        <f>'Results - raw data ReCiPe (H)'!D68</f>
        <v>2.2688618108593619E-3</v>
      </c>
      <c r="D200" s="6">
        <f>'Results - raw data ReCiPe (H)'!E68</f>
        <v>2.250613145045521E-3</v>
      </c>
      <c r="E200" s="6">
        <f>'Results - raw data ReCiPe (H)'!F68</f>
        <v>2.2242630345716192E-3</v>
      </c>
      <c r="F200" s="6">
        <f>'Results - raw data ReCiPe (H)'!G68</f>
        <v>2.205439178557477E-3</v>
      </c>
      <c r="G200" s="6">
        <f>'Results - raw data ReCiPe (H)'!H68</f>
        <v>2.1863319204748952E-3</v>
      </c>
      <c r="H200" s="6">
        <f>'Results - raw data ReCiPe (H)'!I68</f>
        <v>2.1636441841529248E-3</v>
      </c>
      <c r="I200" s="6">
        <f>'Results - raw data ReCiPe (H)'!J68</f>
        <v>2.140943809067155E-3</v>
      </c>
      <c r="J200" s="6">
        <f>'Results - raw data ReCiPe (H)'!K68</f>
        <v>2.1142905920493878E-3</v>
      </c>
      <c r="K200" s="6">
        <f>'Results - raw data ReCiPe (H)'!L68</f>
        <v>2.0913940629818349E-3</v>
      </c>
      <c r="L200" s="6">
        <f>'Results - raw data ReCiPe (H)'!M68</f>
        <v>2.068344889906047E-3</v>
      </c>
      <c r="M200" s="6">
        <f>'Results - raw data ReCiPe (H)'!N68</f>
        <v>2.0396732943811142E-3</v>
      </c>
      <c r="N200" s="6">
        <f>'Results - raw data ReCiPe (H)'!O68</f>
        <v>2.0111593851075741E-3</v>
      </c>
      <c r="O200" s="6">
        <f>'Results - raw data ReCiPe (H)'!P68</f>
        <v>1.9816419194333399E-3</v>
      </c>
      <c r="P200" s="6">
        <f>'Results - raw data ReCiPe (H)'!Q68</f>
        <v>1.9534224916984309E-3</v>
      </c>
      <c r="Q200" s="6">
        <f>'Results - raw data ReCiPe (H)'!R68</f>
        <v>1.925325558619934E-3</v>
      </c>
      <c r="R200" s="6">
        <f>'Results - raw data ReCiPe (H)'!S68</f>
        <v>1.90651589386873E-3</v>
      </c>
      <c r="S200" s="6">
        <f>'Results - raw data ReCiPe (H)'!T68</f>
        <v>1.887805505923892E-3</v>
      </c>
      <c r="T200" s="6">
        <f>'Results - raw data ReCiPe (H)'!U68</f>
        <v>1.868103373074346E-3</v>
      </c>
      <c r="U200" s="6">
        <f>'Results - raw data ReCiPe (H)'!V68</f>
        <v>1.8496113901087679E-3</v>
      </c>
      <c r="V200" s="6">
        <f>'Results - raw data ReCiPe (H)'!W68</f>
        <v>1.831221787405327E-3</v>
      </c>
      <c r="W200" s="6">
        <f>'Results - raw data ReCiPe (H)'!X68</f>
        <v>1.839484702599319E-3</v>
      </c>
      <c r="X200" s="6">
        <f>'Results - raw data ReCiPe (H)'!Y68</f>
        <v>1.836581954761485E-3</v>
      </c>
      <c r="Y200" s="6">
        <f>'Results - raw data ReCiPe (H)'!Z68</f>
        <v>1.8337028304043451E-3</v>
      </c>
      <c r="Z200" s="6">
        <f>'Results - raw data ReCiPe (H)'!AA68</f>
        <v>1.8308470230828889E-3</v>
      </c>
    </row>
    <row r="201" spans="1:53" outlineLevel="1" x14ac:dyDescent="0.35">
      <c r="A201" s="6" t="s">
        <v>758</v>
      </c>
      <c r="B201" s="6">
        <f>'Results - raw data ReCiPe (H)'!C69*$AC$169</f>
        <v>5.9419755841213177E-3</v>
      </c>
      <c r="C201" s="6">
        <f>'Results - raw data ReCiPe (H)'!D69*$AC$169</f>
        <v>5.6392093242708654E-3</v>
      </c>
      <c r="D201" s="6">
        <f>'Results - raw data ReCiPe (H)'!E69*$AC$169</f>
        <v>5.3364012775946306E-3</v>
      </c>
      <c r="E201" s="6">
        <f>'Results - raw data ReCiPe (H)'!F69*$AC$169</f>
        <v>5.0302367711032329E-3</v>
      </c>
      <c r="F201" s="6">
        <f>'Results - raw data ReCiPe (H)'!G69*$AC$169</f>
        <v>4.7290834870319263E-3</v>
      </c>
      <c r="G201" s="6">
        <f>'Results - raw data ReCiPe (H)'!H69*$AC$169</f>
        <v>4.4290017479485973E-3</v>
      </c>
      <c r="H201" s="6">
        <f>'Results - raw data ReCiPe (H)'!I69*$AC$169</f>
        <v>4.2537680028041161E-3</v>
      </c>
      <c r="I201" s="6">
        <f>'Results - raw data ReCiPe (H)'!J69*$AC$169</f>
        <v>4.0792273730117469E-3</v>
      </c>
      <c r="J201" s="6">
        <f>'Results - raw data ReCiPe (H)'!K69*$AC$169</f>
        <v>3.9023768692301496E-3</v>
      </c>
      <c r="K201" s="6">
        <f>'Results - raw data ReCiPe (H)'!L69*$AC$169</f>
        <v>3.7285535864472604E-3</v>
      </c>
      <c r="L201" s="6">
        <f>'Results - raw data ReCiPe (H)'!M69*$AC$169</f>
        <v>3.5549715926132793E-3</v>
      </c>
      <c r="M201" s="6">
        <f>'Results - raw data ReCiPe (H)'!N69*$AC$169</f>
        <v>3.4425631906990673E-3</v>
      </c>
      <c r="N201" s="6">
        <f>'Results - raw data ReCiPe (H)'!O69*$AC$169</f>
        <v>3.3297140791255257E-3</v>
      </c>
      <c r="O201" s="6">
        <f>'Results - raw data ReCiPe (H)'!P69*$AC$169</f>
        <v>3.2156256377198051E-3</v>
      </c>
      <c r="P201" s="6">
        <f>'Results - raw data ReCiPe (H)'!Q69*$AC$169</f>
        <v>3.1016491857213022E-3</v>
      </c>
      <c r="Q201" s="6">
        <f>'Results - raw data ReCiPe (H)'!R69*$AC$169</f>
        <v>2.987175355825968E-3</v>
      </c>
      <c r="R201" s="6">
        <f>'Results - raw data ReCiPe (H)'!S69*$AC$169</f>
        <v>2.945325002502398E-3</v>
      </c>
      <c r="S201" s="6">
        <f>'Results - raw data ReCiPe (H)'!T69*$AC$169</f>
        <v>2.9031720155841012E-3</v>
      </c>
      <c r="T201" s="6">
        <f>'Results - raw data ReCiPe (H)'!U69*$AC$169</f>
        <v>2.8601680696643469E-3</v>
      </c>
      <c r="U201" s="6">
        <f>'Results - raw data ReCiPe (H)'!V69*$AC$169</f>
        <v>2.8176519553675507E-3</v>
      </c>
      <c r="V201" s="6">
        <f>'Results - raw data ReCiPe (H)'!W69*$AC$169</f>
        <v>2.7749811319828458E-3</v>
      </c>
      <c r="W201" s="6">
        <f>'Results - raw data ReCiPe (H)'!X69*$AC$169</f>
        <v>2.7974518649709168E-3</v>
      </c>
      <c r="X201" s="6">
        <f>'Results - raw data ReCiPe (H)'!Y69*$AC$169</f>
        <v>2.7793616825937738E-3</v>
      </c>
      <c r="Y201" s="6">
        <f>'Results - raw data ReCiPe (H)'!Z69*$AC$169</f>
        <v>2.7612768881797641E-3</v>
      </c>
      <c r="Z201" s="6">
        <f>'Results - raw data ReCiPe (H)'!AA69*$AC$169</f>
        <v>2.7431908352950562E-3</v>
      </c>
    </row>
    <row r="202" spans="1:53" outlineLevel="1" x14ac:dyDescent="0.35">
      <c r="A202" s="6" t="s">
        <v>759</v>
      </c>
      <c r="B202" s="6">
        <f>'Results - raw data ReCiPe (H)'!C70</f>
        <v>0</v>
      </c>
      <c r="C202" s="6">
        <f>'Results - raw data ReCiPe (H)'!D70</f>
        <v>0</v>
      </c>
      <c r="D202" s="6">
        <f>'Results - raw data ReCiPe (H)'!E70</f>
        <v>0</v>
      </c>
      <c r="E202" s="6">
        <f>'Results - raw data ReCiPe (H)'!F70</f>
        <v>0</v>
      </c>
      <c r="F202" s="6">
        <f>'Results - raw data ReCiPe (H)'!G70</f>
        <v>0</v>
      </c>
      <c r="G202" s="6">
        <f>'Results - raw data ReCiPe (H)'!H70</f>
        <v>0</v>
      </c>
      <c r="H202" s="6">
        <f>'Results - raw data ReCiPe (H)'!I70</f>
        <v>0</v>
      </c>
      <c r="I202" s="6">
        <f>'Results - raw data ReCiPe (H)'!J70</f>
        <v>0</v>
      </c>
      <c r="J202" s="6">
        <f>'Results - raw data ReCiPe (H)'!K70</f>
        <v>0</v>
      </c>
      <c r="K202" s="6">
        <f>'Results - raw data ReCiPe (H)'!L70</f>
        <v>0</v>
      </c>
      <c r="L202" s="6">
        <f>'Results - raw data ReCiPe (H)'!M70</f>
        <v>0</v>
      </c>
      <c r="M202" s="6">
        <f>'Results - raw data ReCiPe (H)'!N70</f>
        <v>0</v>
      </c>
      <c r="N202" s="6">
        <f>'Results - raw data ReCiPe (H)'!O70</f>
        <v>0</v>
      </c>
      <c r="O202" s="6">
        <f>'Results - raw data ReCiPe (H)'!P70</f>
        <v>0</v>
      </c>
      <c r="P202" s="6">
        <f>'Results - raw data ReCiPe (H)'!Q70</f>
        <v>0</v>
      </c>
      <c r="Q202" s="6">
        <f>'Results - raw data ReCiPe (H)'!R70</f>
        <v>0</v>
      </c>
      <c r="R202" s="6">
        <f>'Results - raw data ReCiPe (H)'!S70</f>
        <v>0</v>
      </c>
      <c r="S202" s="6">
        <f>'Results - raw data ReCiPe (H)'!T70</f>
        <v>0</v>
      </c>
      <c r="T202" s="6">
        <f>'Results - raw data ReCiPe (H)'!U70</f>
        <v>0</v>
      </c>
      <c r="U202" s="6">
        <f>'Results - raw data ReCiPe (H)'!V70</f>
        <v>0</v>
      </c>
      <c r="V202" s="6">
        <f>'Results - raw data ReCiPe (H)'!W70</f>
        <v>0</v>
      </c>
      <c r="W202" s="6">
        <f>'Results - raw data ReCiPe (H)'!X70</f>
        <v>0</v>
      </c>
      <c r="X202" s="6">
        <f>'Results - raw data ReCiPe (H)'!Y70</f>
        <v>0</v>
      </c>
      <c r="Y202" s="6">
        <f>'Results - raw data ReCiPe (H)'!Z70</f>
        <v>0</v>
      </c>
      <c r="Z202" s="6">
        <f>'Results - raw data ReCiPe (H)'!AA70</f>
        <v>0</v>
      </c>
    </row>
    <row r="203" spans="1:53" outlineLevel="1" x14ac:dyDescent="0.35">
      <c r="A203" s="6" t="s">
        <v>760</v>
      </c>
      <c r="B203" s="6">
        <f>150000*($AC$170*'Results - raw data ReCiPe (H)'!C121+(1-'Results ReCiPe (H) - HHD'!$AC$170)*'Results - raw data ReCiPe (H)'!C122)</f>
        <v>4.9474976847897568E-2</v>
      </c>
      <c r="C203" s="6">
        <f>150000*($AC$170*'Results - raw data ReCiPe (H)'!D121+(1-'Results ReCiPe (H) - HHD'!$AC$170)*'Results - raw data ReCiPe (H)'!D122)</f>
        <v>4.6522550306297726E-2</v>
      </c>
      <c r="D203" s="6">
        <f>150000*($AC$170*'Results - raw data ReCiPe (H)'!E121+(1-'Results ReCiPe (H) - HHD'!$AC$170)*'Results - raw data ReCiPe (H)'!E122)</f>
        <v>4.355624793890709E-2</v>
      </c>
      <c r="E203" s="6">
        <f>150000*($AC$170*'Results - raw data ReCiPe (H)'!F121+(1-'Results ReCiPe (H) - HHD'!$AC$170)*'Results - raw data ReCiPe (H)'!F122)</f>
        <v>4.0541541366208723E-2</v>
      </c>
      <c r="F203" s="6">
        <f>150000*($AC$170*'Results - raw data ReCiPe (H)'!G121+(1-'Results ReCiPe (H) - HHD'!$AC$170)*'Results - raw data ReCiPe (H)'!G122)</f>
        <v>3.7565066504135186E-2</v>
      </c>
      <c r="G203" s="6">
        <f>150000*($AC$170*'Results - raw data ReCiPe (H)'!H121+(1-'Results ReCiPe (H) - HHD'!$AC$170)*'Results - raw data ReCiPe (H)'!H122)</f>
        <v>3.4585867561235863E-2</v>
      </c>
      <c r="H203" s="6">
        <f>150000*($AC$170*'Results - raw data ReCiPe (H)'!I121+(1-'Results ReCiPe (H) - HHD'!$AC$170)*'Results - raw data ReCiPe (H)'!I122)</f>
        <v>3.2838818395999891E-2</v>
      </c>
      <c r="I203" s="6">
        <f>150000*($AC$170*'Results - raw data ReCiPe (H)'!J121+(1-'Results ReCiPe (H) - HHD'!$AC$170)*'Results - raw data ReCiPe (H)'!J122)</f>
        <v>3.1098187750874622E-2</v>
      </c>
      <c r="J203" s="6">
        <f>150000*($AC$170*'Results - raw data ReCiPe (H)'!K121+(1-'Results ReCiPe (H) - HHD'!$AC$170)*'Results - raw data ReCiPe (H)'!K122)</f>
        <v>2.933208111837475E-2</v>
      </c>
      <c r="K203" s="6">
        <f>150000*($AC$170*'Results - raw data ReCiPe (H)'!L121+(1-'Results ReCiPe (H) - HHD'!$AC$170)*'Results - raw data ReCiPe (H)'!L122)</f>
        <v>2.7594024536413905E-2</v>
      </c>
      <c r="L203" s="6">
        <f>150000*($AC$170*'Results - raw data ReCiPe (H)'!M121+(1-'Results ReCiPe (H) - HHD'!$AC$170)*'Results - raw data ReCiPe (H)'!M122)</f>
        <v>2.5855349323427739E-2</v>
      </c>
      <c r="M203" s="6">
        <f>150000*($AC$170*'Results - raw data ReCiPe (H)'!N121+(1-'Results ReCiPe (H) - HHD'!$AC$170)*'Results - raw data ReCiPe (H)'!N122)</f>
        <v>2.4734990290458083E-2</v>
      </c>
      <c r="N203" s="6">
        <f>150000*($AC$170*'Results - raw data ReCiPe (H)'!O121+(1-'Results ReCiPe (H) - HHD'!$AC$170)*'Results - raw data ReCiPe (H)'!O122)</f>
        <v>2.3610300650731924E-2</v>
      </c>
      <c r="O203" s="6">
        <f>150000*($AC$170*'Results - raw data ReCiPe (H)'!P121+(1-'Results ReCiPe (H) - HHD'!$AC$170)*'Results - raw data ReCiPe (H)'!P122)</f>
        <v>2.2473061940846511E-2</v>
      </c>
      <c r="P203" s="6">
        <f>150000*($AC$170*'Results - raw data ReCiPe (H)'!Q121+(1-'Results ReCiPe (H) - HHD'!$AC$170)*'Results - raw data ReCiPe (H)'!Q122)</f>
        <v>2.1336924852192057E-2</v>
      </c>
      <c r="Q203" s="6">
        <f>150000*($AC$170*'Results - raw data ReCiPe (H)'!R121+(1-'Results ReCiPe (H) - HHD'!$AC$170)*'Results - raw data ReCiPe (H)'!R122)</f>
        <v>2.0195671173589842E-2</v>
      </c>
      <c r="R203" s="6">
        <f>150000*($AC$170*'Results - raw data ReCiPe (H)'!S121+(1-'Results ReCiPe (H) - HHD'!$AC$170)*'Results - raw data ReCiPe (H)'!S122)</f>
        <v>1.9789530140639756E-2</v>
      </c>
      <c r="S203" s="6">
        <f>150000*($AC$170*'Results - raw data ReCiPe (H)'!T121+(1-'Results ReCiPe (H) - HHD'!$AC$170)*'Results - raw data ReCiPe (H)'!T122)</f>
        <v>1.9381026348446195E-2</v>
      </c>
      <c r="T203" s="6">
        <f>150000*($AC$170*'Results - raw data ReCiPe (H)'!U121+(1-'Results ReCiPe (H) - HHD'!$AC$170)*'Results - raw data ReCiPe (H)'!U122)</f>
        <v>1.8964561507911409E-2</v>
      </c>
      <c r="U203" s="6">
        <f>150000*($AC$170*'Results - raw data ReCiPe (H)'!V121+(1-'Results ReCiPe (H) - HHD'!$AC$170)*'Results - raw data ReCiPe (H)'!V122)</f>
        <v>1.8553924321067339E-2</v>
      </c>
      <c r="V203" s="6">
        <f>150000*($AC$170*'Results - raw data ReCiPe (H)'!W121+(1-'Results ReCiPe (H) - HHD'!$AC$170)*'Results - raw data ReCiPe (H)'!W122)</f>
        <v>1.8142723046211284E-2</v>
      </c>
      <c r="W203" s="6">
        <f>150000*($AC$170*'Results - raw data ReCiPe (H)'!X121+(1-'Results ReCiPe (H) - HHD'!$AC$170)*'Results - raw data ReCiPe (H)'!X122)</f>
        <v>1.8301014964826487E-2</v>
      </c>
      <c r="X203" s="6">
        <f>150000*($AC$170*'Results - raw data ReCiPe (H)'!Y121+(1-'Results ReCiPe (H) - HHD'!$AC$170)*'Results - raw data ReCiPe (H)'!Y122)</f>
        <v>1.8122457232622846E-2</v>
      </c>
      <c r="Y203" s="6">
        <f>150000*($AC$170*'Results - raw data ReCiPe (H)'!Z121+(1-'Results ReCiPe (H) - HHD'!$AC$170)*'Results - raw data ReCiPe (H)'!Z122)</f>
        <v>1.7943406836689314E-2</v>
      </c>
      <c r="Z203" s="6">
        <f>150000*($AC$170*'Results - raw data ReCiPe (H)'!AA121+(1-'Results ReCiPe (H) - HHD'!$AC$170)*'Results - raw data ReCiPe (H)'!AA122)</f>
        <v>1.7763818435932222E-2</v>
      </c>
    </row>
    <row r="204" spans="1:53" outlineLevel="1" x14ac:dyDescent="0.35">
      <c r="A204" s="23" t="s">
        <v>125</v>
      </c>
      <c r="B204" s="17">
        <f t="shared" ref="B204:Z204" si="24">SUM(B173:B203)</f>
        <v>0.22727832665172068</v>
      </c>
      <c r="C204" s="17">
        <f t="shared" si="24"/>
        <v>5.4430621441427955E-2</v>
      </c>
      <c r="D204" s="17">
        <f t="shared" si="24"/>
        <v>5.1143262361547245E-2</v>
      </c>
      <c r="E204" s="17">
        <f t="shared" si="24"/>
        <v>4.7796041171883574E-2</v>
      </c>
      <c r="F204" s="17">
        <f t="shared" si="24"/>
        <v>4.4499589169724588E-2</v>
      </c>
      <c r="G204" s="17">
        <f t="shared" si="24"/>
        <v>4.1201201229659354E-2</v>
      </c>
      <c r="H204" s="17">
        <f t="shared" si="24"/>
        <v>3.9256230582956936E-2</v>
      </c>
      <c r="I204" s="17">
        <f t="shared" si="24"/>
        <v>3.7318358932953523E-2</v>
      </c>
      <c r="J204" s="17">
        <f t="shared" si="24"/>
        <v>3.5348748579654289E-2</v>
      </c>
      <c r="K204" s="17">
        <f t="shared" si="24"/>
        <v>3.3413972185843001E-2</v>
      </c>
      <c r="L204" s="17">
        <f t="shared" si="24"/>
        <v>3.1478665805947062E-2</v>
      </c>
      <c r="M204" s="17">
        <f t="shared" si="24"/>
        <v>3.0217226775538265E-2</v>
      </c>
      <c r="N204" s="17">
        <f t="shared" si="24"/>
        <v>2.8951174114965023E-2</v>
      </c>
      <c r="O204" s="17">
        <f t="shared" si="24"/>
        <v>2.7670329497999656E-2</v>
      </c>
      <c r="P204" s="17">
        <f t="shared" si="24"/>
        <v>2.6391996529611789E-2</v>
      </c>
      <c r="Q204" s="17">
        <f t="shared" si="24"/>
        <v>2.5108172088035743E-2</v>
      </c>
      <c r="R204" s="17">
        <f t="shared" si="24"/>
        <v>2.4641371037010883E-2</v>
      </c>
      <c r="S204" s="17">
        <f t="shared" si="24"/>
        <v>2.4172003869954189E-2</v>
      </c>
      <c r="T204" s="17">
        <f t="shared" si="24"/>
        <v>2.3692832950650101E-2</v>
      </c>
      <c r="U204" s="17">
        <f t="shared" si="24"/>
        <v>2.3221187666543658E-2</v>
      </c>
      <c r="V204" s="17">
        <f t="shared" si="24"/>
        <v>2.2748925965599458E-2</v>
      </c>
      <c r="W204" s="17">
        <f t="shared" si="24"/>
        <v>2.2937951532396722E-2</v>
      </c>
      <c r="X204" s="17">
        <f t="shared" si="24"/>
        <v>2.2738400869978106E-2</v>
      </c>
      <c r="Y204" s="17">
        <f t="shared" si="24"/>
        <v>2.2538386555273425E-2</v>
      </c>
      <c r="Z204" s="17">
        <f t="shared" si="24"/>
        <v>2.3576965212809577E-2</v>
      </c>
    </row>
    <row r="205" spans="1:53" outlineLevel="1" x14ac:dyDescent="0.35"/>
    <row r="206" spans="1:53" s="18" customFormat="1" ht="21" x14ac:dyDescent="0.5">
      <c r="A206" s="18" t="s">
        <v>94</v>
      </c>
    </row>
    <row r="207" spans="1:53" s="20" customFormat="1" outlineLevel="1" x14ac:dyDescent="0.35">
      <c r="A207" s="19" t="s">
        <v>766</v>
      </c>
    </row>
    <row r="208" spans="1:53" s="16" customFormat="1" outlineLevel="1" x14ac:dyDescent="0.35">
      <c r="A208" s="21"/>
      <c r="AB208" s="16" t="s">
        <v>47</v>
      </c>
      <c r="AC208" s="16">
        <v>9.2800000000000005E-7</v>
      </c>
      <c r="AD208" s="16" t="s">
        <v>48</v>
      </c>
      <c r="AE208" s="15" t="s">
        <v>714</v>
      </c>
    </row>
    <row r="209" spans="1:53" s="16" customFormat="1" outlineLevel="1" x14ac:dyDescent="0.35">
      <c r="A209" s="22" t="s">
        <v>564</v>
      </c>
      <c r="AC209" s="16">
        <f>AC208*1000</f>
        <v>9.2800000000000001E-4</v>
      </c>
      <c r="AD209" s="16" t="s">
        <v>126</v>
      </c>
    </row>
    <row r="210" spans="1:53" s="16" customFormat="1" outlineLevel="1" x14ac:dyDescent="0.35">
      <c r="A210" s="22"/>
      <c r="AB210" s="16" t="s">
        <v>127</v>
      </c>
      <c r="AC210" s="16">
        <v>100</v>
      </c>
      <c r="AD210" s="16" t="s">
        <v>128</v>
      </c>
    </row>
    <row r="211" spans="1:53" s="16" customFormat="1" outlineLevel="1" x14ac:dyDescent="0.35">
      <c r="A211" s="230" t="s">
        <v>768</v>
      </c>
      <c r="AB211" s="16" t="s">
        <v>20</v>
      </c>
      <c r="AC211" s="16">
        <v>0.23</v>
      </c>
      <c r="AD211" s="16" t="s">
        <v>715</v>
      </c>
    </row>
    <row r="212" spans="1:53" s="16" customFormat="1" outlineLevel="1" x14ac:dyDescent="0.35">
      <c r="A212" s="22"/>
      <c r="AB212" s="16" t="s">
        <v>129</v>
      </c>
      <c r="AC212" s="16">
        <v>25</v>
      </c>
      <c r="AD212" s="16" t="s">
        <v>130</v>
      </c>
    </row>
    <row r="213" spans="1:53" outlineLevel="1" x14ac:dyDescent="0.35">
      <c r="B213" s="25">
        <v>2030</v>
      </c>
      <c r="C213" s="25">
        <v>2031</v>
      </c>
      <c r="D213" s="25">
        <v>2032</v>
      </c>
      <c r="E213" s="25">
        <v>2033</v>
      </c>
      <c r="F213" s="25">
        <v>2034</v>
      </c>
      <c r="G213" s="25">
        <v>2035</v>
      </c>
      <c r="H213" s="25">
        <v>2036</v>
      </c>
      <c r="I213" s="25">
        <v>2037</v>
      </c>
      <c r="J213" s="25">
        <v>2038</v>
      </c>
      <c r="K213" s="25">
        <v>2039</v>
      </c>
      <c r="L213" s="25">
        <v>2040</v>
      </c>
      <c r="M213" s="25">
        <v>2041</v>
      </c>
      <c r="N213" s="25">
        <v>2042</v>
      </c>
      <c r="O213" s="25">
        <v>2043</v>
      </c>
      <c r="P213" s="25">
        <v>2044</v>
      </c>
      <c r="Q213" s="25">
        <v>2045</v>
      </c>
      <c r="R213" s="25">
        <v>2046</v>
      </c>
      <c r="S213" s="25">
        <v>2047</v>
      </c>
      <c r="T213" s="25">
        <v>2048</v>
      </c>
      <c r="U213" s="25">
        <v>2049</v>
      </c>
      <c r="V213" s="25">
        <v>2050</v>
      </c>
      <c r="W213" s="25">
        <v>2051</v>
      </c>
      <c r="X213" s="25">
        <v>2052</v>
      </c>
      <c r="Y213" s="25">
        <v>2053</v>
      </c>
      <c r="Z213" s="25">
        <v>2054</v>
      </c>
      <c r="AC213" s="25">
        <v>2030</v>
      </c>
      <c r="AD213" s="25">
        <v>2031</v>
      </c>
      <c r="AE213" s="25">
        <v>2032</v>
      </c>
      <c r="AF213" s="25">
        <v>2033</v>
      </c>
      <c r="AG213" s="25">
        <v>2034</v>
      </c>
      <c r="AH213" s="25">
        <v>2035</v>
      </c>
      <c r="AI213" s="25">
        <v>2036</v>
      </c>
      <c r="AJ213" s="25">
        <v>2037</v>
      </c>
      <c r="AK213" s="25">
        <v>2038</v>
      </c>
      <c r="AL213" s="25">
        <v>2039</v>
      </c>
      <c r="AM213" s="25">
        <v>2040</v>
      </c>
      <c r="AN213" s="25">
        <v>2041</v>
      </c>
      <c r="AO213" s="25">
        <v>2042</v>
      </c>
      <c r="AP213" s="25">
        <v>2043</v>
      </c>
      <c r="AQ213" s="25">
        <v>2044</v>
      </c>
      <c r="AR213" s="25">
        <v>2045</v>
      </c>
      <c r="AS213" s="25">
        <v>2046</v>
      </c>
      <c r="AT213" s="25">
        <v>2047</v>
      </c>
      <c r="AU213" s="25">
        <v>2048</v>
      </c>
      <c r="AV213" s="25">
        <v>2049</v>
      </c>
      <c r="AW213" s="25">
        <v>2050</v>
      </c>
      <c r="AX213" s="25">
        <v>2051</v>
      </c>
      <c r="AY213" s="25">
        <v>2052</v>
      </c>
      <c r="AZ213" s="25">
        <v>2053</v>
      </c>
      <c r="BA213" s="25">
        <v>2054</v>
      </c>
    </row>
    <row r="214" spans="1:53" outlineLevel="1" x14ac:dyDescent="0.35">
      <c r="A214" s="6" t="s">
        <v>21</v>
      </c>
      <c r="B214" s="6">
        <f>'Results - raw data ReCiPe (H)'!C77</f>
        <v>2.4100049612117481E-3</v>
      </c>
      <c r="AB214" s="6" t="s">
        <v>117</v>
      </c>
      <c r="AC214" s="6">
        <f>SUM(B214:B225)+B227</f>
        <v>0.14486428170139623</v>
      </c>
    </row>
    <row r="215" spans="1:53" outlineLevel="1" x14ac:dyDescent="0.35">
      <c r="A215" s="6" t="s">
        <v>23</v>
      </c>
      <c r="B215" s="6">
        <f>'Results - raw data ReCiPe (H)'!C78</f>
        <v>5.3713425904224309E-3</v>
      </c>
      <c r="AB215" s="6" t="s">
        <v>118</v>
      </c>
      <c r="AC215" s="6">
        <f>B226</f>
        <v>8.977436741851275E-3</v>
      </c>
    </row>
    <row r="216" spans="1:53" outlineLevel="1" x14ac:dyDescent="0.35">
      <c r="A216" s="6" t="s">
        <v>26</v>
      </c>
      <c r="B216" s="6">
        <f>'Results - raw data ReCiPe (H)'!C79</f>
        <v>1.2015567507973911E-2</v>
      </c>
      <c r="AB216" s="6" t="s">
        <v>119</v>
      </c>
      <c r="BA216" s="6">
        <f>SUM(Z228:Z239)</f>
        <v>1.1364491829356034E-3</v>
      </c>
    </row>
    <row r="217" spans="1:53" outlineLevel="1" x14ac:dyDescent="0.35">
      <c r="A217" s="6" t="s">
        <v>28</v>
      </c>
      <c r="B217" s="6">
        <f>'Results - raw data ReCiPe (H)'!C80</f>
        <v>1.529227024432098E-2</v>
      </c>
      <c r="AB217" s="6" t="s">
        <v>120</v>
      </c>
      <c r="BA217" s="6">
        <f>Z240</f>
        <v>3.4041847576099076E-5</v>
      </c>
    </row>
    <row r="218" spans="1:53" outlineLevel="1" x14ac:dyDescent="0.35">
      <c r="A218" s="6" t="s">
        <v>29</v>
      </c>
      <c r="B218" s="6">
        <f>'Results - raw data ReCiPe (H)'!C81</f>
        <v>1.1898439492001591E-2</v>
      </c>
      <c r="AB218" s="6" t="s">
        <v>121</v>
      </c>
      <c r="AC218" s="6">
        <f>B241</f>
        <v>1.9848842622015748E-3</v>
      </c>
      <c r="AF218" s="6">
        <f>E241</f>
        <v>1.889975707684352E-3</v>
      </c>
      <c r="AI218" s="6">
        <f>H241</f>
        <v>1.8240269819210511E-3</v>
      </c>
      <c r="AL218" s="6">
        <f>K241</f>
        <v>1.8069758007361711E-3</v>
      </c>
      <c r="AO218" s="6">
        <f>N241</f>
        <v>1.799728004873463E-3</v>
      </c>
      <c r="AR218" s="6">
        <f>Q241</f>
        <v>1.7946676192961261E-3</v>
      </c>
      <c r="AU218" s="6">
        <f>T241</f>
        <v>1.786311731211142E-3</v>
      </c>
      <c r="AX218" s="6">
        <f>W241</f>
        <v>1.790817045871237E-3</v>
      </c>
      <c r="BA218" s="6">
        <f>Z241</f>
        <v>1.786892271072078E-3</v>
      </c>
    </row>
    <row r="219" spans="1:53" outlineLevel="1" x14ac:dyDescent="0.35">
      <c r="A219" s="6" t="s">
        <v>31</v>
      </c>
      <c r="B219" s="6">
        <f>'Results - raw data ReCiPe (H)'!C82</f>
        <v>7.7672923315607531E-3</v>
      </c>
      <c r="AB219" s="6" t="s">
        <v>122</v>
      </c>
      <c r="AC219" s="6">
        <f>B244+B243</f>
        <v>2.7805402985483764E-2</v>
      </c>
      <c r="AD219" s="6">
        <f t="shared" ref="AD219:BA219" si="25">C244+C243</f>
        <v>2.5597110478286972E-2</v>
      </c>
      <c r="AE219" s="6">
        <f t="shared" si="25"/>
        <v>2.3377369172353744E-2</v>
      </c>
      <c r="AF219" s="6">
        <f t="shared" si="25"/>
        <v>2.1099058813075746E-2</v>
      </c>
      <c r="AG219" s="6">
        <f t="shared" si="25"/>
        <v>1.8854118847398099E-2</v>
      </c>
      <c r="AH219" s="6">
        <f t="shared" si="25"/>
        <v>1.6599751467149353E-2</v>
      </c>
      <c r="AI219" s="6">
        <f t="shared" si="25"/>
        <v>1.6392459890207992E-2</v>
      </c>
      <c r="AJ219" s="6">
        <f t="shared" si="25"/>
        <v>1.6182024304463936E-2</v>
      </c>
      <c r="AK219" s="6">
        <f t="shared" si="25"/>
        <v>1.5932960360475808E-2</v>
      </c>
      <c r="AL219" s="6">
        <f t="shared" si="25"/>
        <v>1.5713786827570561E-2</v>
      </c>
      <c r="AM219" s="6">
        <f t="shared" si="25"/>
        <v>1.5490469227403323E-2</v>
      </c>
      <c r="AN219" s="6">
        <f t="shared" si="25"/>
        <v>1.5379799322573877E-2</v>
      </c>
      <c r="AO219" s="6">
        <f t="shared" si="25"/>
        <v>1.5271678877963896E-2</v>
      </c>
      <c r="AP219" s="6">
        <f t="shared" si="25"/>
        <v>1.515681577052932E-2</v>
      </c>
      <c r="AQ219" s="6">
        <f t="shared" si="25"/>
        <v>1.5049750474562492E-2</v>
      </c>
      <c r="AR219" s="6">
        <f t="shared" si="25"/>
        <v>1.4943265329522629E-2</v>
      </c>
      <c r="AS219" s="6">
        <f t="shared" si="25"/>
        <v>1.4472306796371601E-2</v>
      </c>
      <c r="AT219" s="6">
        <f t="shared" si="25"/>
        <v>1.4003396450145969E-2</v>
      </c>
      <c r="AU219" s="6">
        <f t="shared" si="25"/>
        <v>1.3531045803837721E-2</v>
      </c>
      <c r="AV219" s="6">
        <f t="shared" si="25"/>
        <v>1.3069084532262144E-2</v>
      </c>
      <c r="AW219" s="6">
        <f t="shared" si="25"/>
        <v>1.2609663012792977E-2</v>
      </c>
      <c r="AX219" s="6">
        <f t="shared" si="25"/>
        <v>1.2655241851171941E-2</v>
      </c>
      <c r="AY219" s="6">
        <f t="shared" si="25"/>
        <v>1.2340041193375966E-2</v>
      </c>
      <c r="AZ219" s="6">
        <f t="shared" si="25"/>
        <v>1.2023972033871863E-2</v>
      </c>
      <c r="BA219" s="6">
        <f t="shared" si="25"/>
        <v>1.1706992340619025E-2</v>
      </c>
    </row>
    <row r="220" spans="1:53" outlineLevel="1" x14ac:dyDescent="0.35">
      <c r="A220" s="6" t="s">
        <v>34</v>
      </c>
      <c r="B220" s="6">
        <f>'Results - raw data ReCiPe (H)'!C83</f>
        <v>5.948865391495731E-3</v>
      </c>
      <c r="AB220" s="6" t="s">
        <v>123</v>
      </c>
      <c r="AC220" s="6">
        <f t="shared" ref="AC220:BA220" si="26">B242</f>
        <v>3.7592465014811447E-3</v>
      </c>
      <c r="AD220" s="6">
        <f t="shared" si="26"/>
        <v>3.534874192889682E-3</v>
      </c>
      <c r="AE220" s="6">
        <f t="shared" si="26"/>
        <v>3.3107364795979849E-3</v>
      </c>
      <c r="AF220" s="6">
        <f t="shared" si="26"/>
        <v>3.082325305480168E-3</v>
      </c>
      <c r="AG220" s="6">
        <f t="shared" si="26"/>
        <v>2.8585015990500941E-3</v>
      </c>
      <c r="AH220" s="6">
        <f t="shared" si="26"/>
        <v>2.635104236175806E-3</v>
      </c>
      <c r="AI220" s="6">
        <f t="shared" si="26"/>
        <v>2.6150957875085939E-3</v>
      </c>
      <c r="AJ220" s="6">
        <f t="shared" si="26"/>
        <v>2.5947561730891031E-3</v>
      </c>
      <c r="AK220" s="6">
        <f t="shared" si="26"/>
        <v>2.5706665036731129E-3</v>
      </c>
      <c r="AL220" s="6">
        <f t="shared" si="26"/>
        <v>2.5494905097519891E-3</v>
      </c>
      <c r="AM220" s="6">
        <f t="shared" si="26"/>
        <v>2.5279275495489252E-3</v>
      </c>
      <c r="AN220" s="6">
        <f t="shared" si="26"/>
        <v>2.5166466052062081E-3</v>
      </c>
      <c r="AO220" s="6">
        <f t="shared" si="26"/>
        <v>2.5055476753159701E-3</v>
      </c>
      <c r="AP220" s="6">
        <f t="shared" si="26"/>
        <v>2.4937453526695436E-3</v>
      </c>
      <c r="AQ220" s="6">
        <f t="shared" si="26"/>
        <v>2.4826723670918491E-3</v>
      </c>
      <c r="AR220" s="6">
        <f t="shared" si="26"/>
        <v>2.4716325391011588E-3</v>
      </c>
      <c r="AS220" s="6">
        <f t="shared" si="26"/>
        <v>2.4232245060826093E-3</v>
      </c>
      <c r="AT220" s="6">
        <f t="shared" si="26"/>
        <v>2.3746259866759497E-3</v>
      </c>
      <c r="AU220" s="6">
        <f t="shared" si="26"/>
        <v>2.3253024364863466E-3</v>
      </c>
      <c r="AV220" s="6">
        <f t="shared" si="26"/>
        <v>2.2766157353047872E-3</v>
      </c>
      <c r="AW220" s="6">
        <f t="shared" si="26"/>
        <v>2.2278362121082159E-3</v>
      </c>
      <c r="AX220" s="6">
        <f t="shared" si="26"/>
        <v>2.2398565002468632E-3</v>
      </c>
      <c r="AY220" s="6">
        <f t="shared" si="26"/>
        <v>2.2090374049832952E-3</v>
      </c>
      <c r="AZ220" s="6">
        <f t="shared" si="26"/>
        <v>2.178226238161449E-3</v>
      </c>
      <c r="BA220" s="6">
        <f t="shared" si="26"/>
        <v>2.1474172710699438E-3</v>
      </c>
    </row>
    <row r="221" spans="1:53" outlineLevel="1" x14ac:dyDescent="0.35">
      <c r="A221" s="6" t="s">
        <v>36</v>
      </c>
      <c r="B221" s="6">
        <f>'Results - raw data ReCiPe (H)'!C84</f>
        <v>3.321744155878405E-3</v>
      </c>
      <c r="AB221" s="6" t="s">
        <v>124</v>
      </c>
      <c r="AC221" s="6">
        <f>-$AC$7*$AC$6</f>
        <v>-9.2799999999999994E-2</v>
      </c>
      <c r="AD221" s="6">
        <f t="shared" ref="AD221:BA221" si="27">-$AC$7*$AC$6</f>
        <v>-9.2799999999999994E-2</v>
      </c>
      <c r="AE221" s="6">
        <f t="shared" si="27"/>
        <v>-9.2799999999999994E-2</v>
      </c>
      <c r="AF221" s="6">
        <f t="shared" si="27"/>
        <v>-9.2799999999999994E-2</v>
      </c>
      <c r="AG221" s="6">
        <f t="shared" si="27"/>
        <v>-9.2799999999999994E-2</v>
      </c>
      <c r="AH221" s="6">
        <f t="shared" si="27"/>
        <v>-9.2799999999999994E-2</v>
      </c>
      <c r="AI221" s="6">
        <f t="shared" si="27"/>
        <v>-9.2799999999999994E-2</v>
      </c>
      <c r="AJ221" s="6">
        <f t="shared" si="27"/>
        <v>-9.2799999999999994E-2</v>
      </c>
      <c r="AK221" s="6">
        <f t="shared" si="27"/>
        <v>-9.2799999999999994E-2</v>
      </c>
      <c r="AL221" s="6">
        <f t="shared" si="27"/>
        <v>-9.2799999999999994E-2</v>
      </c>
      <c r="AM221" s="6">
        <f t="shared" si="27"/>
        <v>-9.2799999999999994E-2</v>
      </c>
      <c r="AN221" s="6">
        <f t="shared" si="27"/>
        <v>-9.2799999999999994E-2</v>
      </c>
      <c r="AO221" s="6">
        <f t="shared" si="27"/>
        <v>-9.2799999999999994E-2</v>
      </c>
      <c r="AP221" s="6">
        <f t="shared" si="27"/>
        <v>-9.2799999999999994E-2</v>
      </c>
      <c r="AQ221" s="6">
        <f t="shared" si="27"/>
        <v>-9.2799999999999994E-2</v>
      </c>
      <c r="AR221" s="6">
        <f t="shared" si="27"/>
        <v>-9.2799999999999994E-2</v>
      </c>
      <c r="AS221" s="6">
        <f t="shared" si="27"/>
        <v>-9.2799999999999994E-2</v>
      </c>
      <c r="AT221" s="6">
        <f t="shared" si="27"/>
        <v>-9.2799999999999994E-2</v>
      </c>
      <c r="AU221" s="6">
        <f t="shared" si="27"/>
        <v>-9.2799999999999994E-2</v>
      </c>
      <c r="AV221" s="6">
        <f t="shared" si="27"/>
        <v>-9.2799999999999994E-2</v>
      </c>
      <c r="AW221" s="6">
        <f t="shared" si="27"/>
        <v>-9.2799999999999994E-2</v>
      </c>
      <c r="AX221" s="6">
        <f t="shared" si="27"/>
        <v>-9.2799999999999994E-2</v>
      </c>
      <c r="AY221" s="6">
        <f t="shared" si="27"/>
        <v>-9.2799999999999994E-2</v>
      </c>
      <c r="AZ221" s="6">
        <f t="shared" si="27"/>
        <v>-9.2799999999999994E-2</v>
      </c>
      <c r="BA221" s="6">
        <f t="shared" si="27"/>
        <v>-9.2799999999999994E-2</v>
      </c>
    </row>
    <row r="222" spans="1:53" outlineLevel="1" x14ac:dyDescent="0.35">
      <c r="A222" s="6" t="s">
        <v>38</v>
      </c>
      <c r="B222" s="6">
        <f>'Results - raw data ReCiPe (H)'!C85</f>
        <v>1.8593796959748408E-2</v>
      </c>
      <c r="AB222" s="23" t="s">
        <v>125</v>
      </c>
      <c r="AC222" s="17">
        <f t="shared" ref="AC222:BA222" si="28">SUM(AC214:AC221)</f>
        <v>9.4591252192414016E-2</v>
      </c>
      <c r="AD222" s="17">
        <f t="shared" si="28"/>
        <v>-6.3668015328823338E-2</v>
      </c>
      <c r="AE222" s="17">
        <f t="shared" si="28"/>
        <v>-6.6111894348048261E-2</v>
      </c>
      <c r="AF222" s="17">
        <f t="shared" si="28"/>
        <v>-6.6728640173759735E-2</v>
      </c>
      <c r="AG222" s="17">
        <f t="shared" si="28"/>
        <v>-7.1087379553551794E-2</v>
      </c>
      <c r="AH222" s="17">
        <f t="shared" si="28"/>
        <v>-7.3565144296674836E-2</v>
      </c>
      <c r="AI222" s="17">
        <f t="shared" si="28"/>
        <v>-7.1968417340362356E-2</v>
      </c>
      <c r="AJ222" s="17">
        <f t="shared" si="28"/>
        <v>-7.4023219522446948E-2</v>
      </c>
      <c r="AK222" s="17">
        <f t="shared" si="28"/>
        <v>-7.4296373135851079E-2</v>
      </c>
      <c r="AL222" s="17">
        <f t="shared" si="28"/>
        <v>-7.272974686194128E-2</v>
      </c>
      <c r="AM222" s="17">
        <f t="shared" si="28"/>
        <v>-7.4781603223047749E-2</v>
      </c>
      <c r="AN222" s="17">
        <f t="shared" si="28"/>
        <v>-7.4903554072219908E-2</v>
      </c>
      <c r="AO222" s="17">
        <f t="shared" si="28"/>
        <v>-7.3223045441846657E-2</v>
      </c>
      <c r="AP222" s="17">
        <f t="shared" si="28"/>
        <v>-7.5149438876801131E-2</v>
      </c>
      <c r="AQ222" s="17">
        <f t="shared" si="28"/>
        <v>-7.5267577158345644E-2</v>
      </c>
      <c r="AR222" s="17">
        <f t="shared" si="28"/>
        <v>-7.3590434512080083E-2</v>
      </c>
      <c r="AS222" s="17">
        <f t="shared" si="28"/>
        <v>-7.5904468697545788E-2</v>
      </c>
      <c r="AT222" s="17">
        <f t="shared" si="28"/>
        <v>-7.6421977563178076E-2</v>
      </c>
      <c r="AU222" s="17">
        <f t="shared" si="28"/>
        <v>-7.5157340028464775E-2</v>
      </c>
      <c r="AV222" s="17">
        <f t="shared" si="28"/>
        <v>-7.7454299732433063E-2</v>
      </c>
      <c r="AW222" s="17">
        <f t="shared" si="28"/>
        <v>-7.7962500775098809E-2</v>
      </c>
      <c r="AX222" s="17">
        <f t="shared" si="28"/>
        <v>-7.611408460270995E-2</v>
      </c>
      <c r="AY222" s="17">
        <f t="shared" si="28"/>
        <v>-7.8250921401640736E-2</v>
      </c>
      <c r="AZ222" s="17">
        <f t="shared" si="28"/>
        <v>-7.8597801727966682E-2</v>
      </c>
      <c r="BA222" s="17">
        <f t="shared" si="28"/>
        <v>-7.5988207086727239E-2</v>
      </c>
    </row>
    <row r="223" spans="1:53" outlineLevel="1" x14ac:dyDescent="0.35">
      <c r="A223" s="6" t="s">
        <v>39</v>
      </c>
      <c r="B223" s="6">
        <f>'Results - raw data ReCiPe (H)'!C86</f>
        <v>4.6894275088252467E-2</v>
      </c>
    </row>
    <row r="224" spans="1:53" outlineLevel="1" x14ac:dyDescent="0.35">
      <c r="A224" s="6" t="s">
        <v>41</v>
      </c>
      <c r="B224" s="6">
        <f>'Results - raw data ReCiPe (H)'!C87</f>
        <v>2.6822864157904019E-4</v>
      </c>
    </row>
    <row r="225" spans="1:53" outlineLevel="1" x14ac:dyDescent="0.35">
      <c r="A225" s="6" t="s">
        <v>43</v>
      </c>
      <c r="B225" s="6">
        <f>'Results - raw data ReCiPe (H)'!C88</f>
        <v>8.5216131252606215E-4</v>
      </c>
      <c r="AB225" s="187"/>
      <c r="AC225" s="187"/>
      <c r="AD225" s="187"/>
      <c r="AE225" s="187"/>
      <c r="AF225" s="187"/>
      <c r="AG225" s="187"/>
      <c r="AH225" s="187"/>
      <c r="AI225" s="187"/>
      <c r="AJ225" s="187"/>
      <c r="AK225" s="187"/>
      <c r="AL225" s="187"/>
      <c r="AM225" s="187"/>
      <c r="AN225" s="187"/>
      <c r="AO225" s="187"/>
      <c r="AP225" s="187"/>
      <c r="AQ225" s="187"/>
      <c r="AR225" s="187"/>
      <c r="AS225" s="187"/>
      <c r="AT225" s="187"/>
      <c r="AU225" s="187"/>
      <c r="AV225" s="187"/>
      <c r="AW225" s="187"/>
      <c r="AX225" s="187"/>
      <c r="AY225" s="187"/>
      <c r="AZ225" s="187"/>
      <c r="BA225" s="187"/>
    </row>
    <row r="226" spans="1:53" outlineLevel="1" x14ac:dyDescent="0.35">
      <c r="A226" s="6" t="s">
        <v>44</v>
      </c>
      <c r="B226" s="6">
        <f>'Results - raw data ReCiPe (H)'!C89*AC210*AC212</f>
        <v>8.977436741851275E-3</v>
      </c>
      <c r="AB226" s="187"/>
      <c r="AC226" s="187"/>
      <c r="AD226" s="187"/>
      <c r="AE226" s="187"/>
      <c r="AF226" s="187"/>
      <c r="AG226" s="187"/>
      <c r="AH226" s="187"/>
      <c r="AI226" s="187"/>
      <c r="AJ226" s="187"/>
      <c r="AK226" s="187"/>
      <c r="AL226" s="187"/>
      <c r="AM226" s="187"/>
      <c r="AN226" s="187"/>
      <c r="AO226" s="187"/>
      <c r="AP226" s="187"/>
      <c r="AQ226" s="187"/>
      <c r="AR226" s="187"/>
      <c r="AS226" s="187"/>
      <c r="AT226" s="187"/>
      <c r="AU226" s="187"/>
      <c r="AV226" s="187"/>
      <c r="AW226" s="187"/>
      <c r="AX226" s="187"/>
      <c r="AY226" s="187"/>
      <c r="AZ226" s="187"/>
      <c r="BA226" s="187"/>
    </row>
    <row r="227" spans="1:53" outlineLevel="1" x14ac:dyDescent="0.35">
      <c r="A227" s="6" t="s">
        <v>757</v>
      </c>
      <c r="B227" s="6">
        <f>'Results - raw data ReCiPe (H)'!C90*AC210*AC212</f>
        <v>1.4230293024424689E-2</v>
      </c>
      <c r="AB227" s="187"/>
      <c r="AC227" s="187"/>
      <c r="AD227" s="187"/>
      <c r="AE227" s="187"/>
      <c r="AF227" s="187"/>
      <c r="AG227" s="187"/>
      <c r="AH227" s="187"/>
      <c r="AI227" s="187"/>
      <c r="AJ227" s="187"/>
      <c r="AK227" s="187"/>
      <c r="AL227" s="187"/>
      <c r="AM227" s="187"/>
      <c r="AN227" s="187"/>
      <c r="AO227" s="187"/>
      <c r="AP227" s="187"/>
      <c r="AQ227" s="187"/>
      <c r="AR227" s="187"/>
      <c r="AS227" s="187"/>
      <c r="AT227" s="187"/>
      <c r="AU227" s="187"/>
      <c r="AV227" s="187"/>
      <c r="AW227" s="187"/>
      <c r="AX227" s="187"/>
      <c r="AY227" s="187"/>
      <c r="AZ227" s="187"/>
      <c r="BA227" s="187"/>
    </row>
    <row r="228" spans="1:53" outlineLevel="1" x14ac:dyDescent="0.35">
      <c r="A228" s="6" t="s">
        <v>22</v>
      </c>
      <c r="Z228" s="6">
        <f>'Results - raw data ReCiPe (H)'!AA91</f>
        <v>2.4470472695532149E-5</v>
      </c>
      <c r="AB228" s="187"/>
      <c r="AC228" s="187"/>
      <c r="AD228" s="187"/>
      <c r="AE228" s="187"/>
      <c r="AF228" s="187"/>
      <c r="AG228" s="187"/>
      <c r="AH228" s="187"/>
      <c r="AI228" s="187"/>
      <c r="AJ228" s="187"/>
      <c r="AK228" s="187"/>
      <c r="AL228" s="187"/>
      <c r="AM228" s="187"/>
      <c r="AN228" s="187"/>
      <c r="AO228" s="187"/>
      <c r="AP228" s="187"/>
      <c r="AQ228" s="187"/>
      <c r="AR228" s="187"/>
      <c r="AS228" s="187"/>
      <c r="AT228" s="187"/>
      <c r="AU228" s="187"/>
      <c r="AV228" s="187"/>
      <c r="AW228" s="187"/>
      <c r="AX228" s="187"/>
      <c r="AY228" s="187"/>
      <c r="AZ228" s="187"/>
      <c r="BA228" s="187"/>
    </row>
    <row r="229" spans="1:53" outlineLevel="1" x14ac:dyDescent="0.35">
      <c r="A229" s="6" t="s">
        <v>24</v>
      </c>
      <c r="Z229" s="6">
        <f>'Results - raw data ReCiPe (H)'!AA92</f>
        <v>1.143222276225724E-5</v>
      </c>
      <c r="AB229" s="187"/>
      <c r="AC229" s="187"/>
      <c r="AD229" s="187"/>
      <c r="AE229" s="187"/>
      <c r="AF229" s="187"/>
      <c r="AG229" s="187"/>
      <c r="AH229" s="187"/>
      <c r="AI229" s="187"/>
      <c r="AJ229" s="187"/>
      <c r="AK229" s="187"/>
      <c r="AL229" s="187"/>
      <c r="AM229" s="187"/>
      <c r="AN229" s="187"/>
      <c r="AO229" s="187"/>
      <c r="AP229" s="187"/>
      <c r="AQ229" s="187"/>
      <c r="AR229" s="187"/>
      <c r="AS229" s="187"/>
      <c r="AT229" s="187"/>
      <c r="AU229" s="187"/>
      <c r="AV229" s="187"/>
      <c r="AW229" s="187"/>
      <c r="AX229" s="187"/>
      <c r="AY229" s="187"/>
      <c r="AZ229" s="187"/>
      <c r="BA229" s="187"/>
    </row>
    <row r="230" spans="1:53" outlineLevel="1" x14ac:dyDescent="0.35">
      <c r="A230" s="6" t="s">
        <v>25</v>
      </c>
      <c r="Z230" s="6">
        <f>'Results - raw data ReCiPe (H)'!AA93</f>
        <v>3.739067920649309E-5</v>
      </c>
      <c r="AB230" s="187"/>
      <c r="AC230" s="187"/>
      <c r="AD230" s="187"/>
      <c r="AE230" s="187"/>
      <c r="AF230" s="187"/>
      <c r="AG230" s="187"/>
      <c r="AH230" s="187"/>
      <c r="AI230" s="187"/>
      <c r="AJ230" s="187"/>
      <c r="AK230" s="187"/>
      <c r="AL230" s="187"/>
      <c r="AM230" s="187"/>
      <c r="AN230" s="187"/>
      <c r="AO230" s="187"/>
      <c r="AP230" s="187"/>
      <c r="AQ230" s="187"/>
      <c r="AR230" s="187"/>
      <c r="AS230" s="187"/>
      <c r="AT230" s="187"/>
      <c r="AU230" s="187"/>
      <c r="AV230" s="187"/>
      <c r="AW230" s="187"/>
      <c r="AX230" s="187"/>
      <c r="AY230" s="187"/>
      <c r="AZ230" s="187"/>
      <c r="BA230" s="187"/>
    </row>
    <row r="231" spans="1:53" outlineLevel="1" x14ac:dyDescent="0.35">
      <c r="A231" s="6" t="s">
        <v>27</v>
      </c>
      <c r="Z231" s="6">
        <f>'Results - raw data ReCiPe (H)'!AA94</f>
        <v>1.593392328279023E-5</v>
      </c>
      <c r="AB231" s="187"/>
      <c r="AC231" s="187"/>
      <c r="AD231" s="187"/>
      <c r="AE231" s="187"/>
      <c r="AF231" s="187"/>
      <c r="AG231" s="187"/>
      <c r="AH231" s="187"/>
      <c r="AI231" s="187"/>
      <c r="AJ231" s="187"/>
      <c r="AK231" s="187"/>
      <c r="AL231" s="187"/>
      <c r="AM231" s="187"/>
      <c r="AN231" s="187"/>
      <c r="AO231" s="187"/>
      <c r="AP231" s="187"/>
      <c r="AQ231" s="187"/>
      <c r="AR231" s="187"/>
      <c r="AS231" s="187"/>
      <c r="AT231" s="187"/>
      <c r="AU231" s="187"/>
      <c r="AV231" s="187"/>
      <c r="AW231" s="187"/>
      <c r="AX231" s="187"/>
      <c r="AY231" s="187"/>
      <c r="AZ231" s="187"/>
      <c r="BA231" s="187"/>
    </row>
    <row r="232" spans="1:53" outlineLevel="1" x14ac:dyDescent="0.35">
      <c r="A232" s="6" t="s">
        <v>30</v>
      </c>
      <c r="Z232" s="6">
        <f>'Results - raw data ReCiPe (H)'!AA95</f>
        <v>3.2280205040430099E-5</v>
      </c>
      <c r="AB232" s="187"/>
      <c r="AC232" s="187"/>
      <c r="AD232" s="187"/>
      <c r="AE232" s="187"/>
      <c r="AF232" s="187"/>
      <c r="AG232" s="187"/>
      <c r="AH232" s="187"/>
      <c r="AI232" s="187"/>
      <c r="AJ232" s="187"/>
      <c r="AK232" s="187"/>
      <c r="AL232" s="187"/>
      <c r="AM232" s="187"/>
      <c r="AN232" s="187"/>
      <c r="AO232" s="187"/>
      <c r="AP232" s="187"/>
      <c r="AQ232" s="187"/>
      <c r="AR232" s="187"/>
      <c r="AS232" s="187"/>
      <c r="AT232" s="187"/>
      <c r="AU232" s="187"/>
      <c r="AV232" s="187"/>
      <c r="AW232" s="187"/>
      <c r="AX232" s="187"/>
      <c r="AY232" s="187"/>
      <c r="AZ232" s="187"/>
      <c r="BA232" s="187"/>
    </row>
    <row r="233" spans="1:53" outlineLevel="1" x14ac:dyDescent="0.35">
      <c r="A233" s="6" t="s">
        <v>32</v>
      </c>
      <c r="Z233" s="6">
        <f>'Results - raw data ReCiPe (H)'!AA96</f>
        <v>4.2863781753696463E-6</v>
      </c>
      <c r="AB233" s="187"/>
      <c r="AC233" s="187"/>
      <c r="AD233" s="187"/>
      <c r="AE233" s="187"/>
      <c r="AF233" s="187"/>
      <c r="AG233" s="187"/>
      <c r="AH233" s="187"/>
      <c r="AI233" s="187"/>
      <c r="AJ233" s="187"/>
      <c r="AK233" s="187"/>
      <c r="AL233" s="187"/>
      <c r="AM233" s="187"/>
      <c r="AN233" s="187"/>
      <c r="AO233" s="187"/>
      <c r="AP233" s="187"/>
      <c r="AQ233" s="187"/>
      <c r="AR233" s="187"/>
      <c r="AS233" s="187"/>
      <c r="AT233" s="187"/>
      <c r="AU233" s="187"/>
      <c r="AV233" s="187"/>
      <c r="AW233" s="187"/>
      <c r="AX233" s="187"/>
      <c r="AY233" s="187"/>
      <c r="AZ233" s="187"/>
      <c r="BA233" s="187"/>
    </row>
    <row r="234" spans="1:53" outlineLevel="1" x14ac:dyDescent="0.35">
      <c r="A234" s="6" t="s">
        <v>33</v>
      </c>
      <c r="Z234" s="6">
        <f>'Results - raw data ReCiPe (H)'!AA97</f>
        <v>8.1784888544495171E-6</v>
      </c>
      <c r="AB234" s="187"/>
      <c r="AC234" s="187"/>
      <c r="AD234" s="187"/>
      <c r="AE234" s="187"/>
      <c r="AF234" s="187"/>
      <c r="AG234" s="187"/>
      <c r="AH234" s="187"/>
      <c r="AI234" s="187"/>
      <c r="AJ234" s="187"/>
      <c r="AK234" s="187"/>
      <c r="AL234" s="187"/>
      <c r="AM234" s="187"/>
      <c r="AN234" s="187"/>
      <c r="AO234" s="187"/>
      <c r="AP234" s="187"/>
      <c r="AQ234" s="187"/>
      <c r="AR234" s="187"/>
      <c r="AS234" s="187"/>
      <c r="AT234" s="187"/>
      <c r="AU234" s="187"/>
      <c r="AV234" s="187"/>
      <c r="AW234" s="187"/>
      <c r="AX234" s="187"/>
      <c r="AY234" s="187"/>
      <c r="AZ234" s="187"/>
      <c r="BA234" s="187"/>
    </row>
    <row r="235" spans="1:53" outlineLevel="1" x14ac:dyDescent="0.35">
      <c r="A235" s="6" t="s">
        <v>35</v>
      </c>
      <c r="Z235" s="6">
        <f>'Results - raw data ReCiPe (H)'!AA98</f>
        <v>1.6356977708899031E-5</v>
      </c>
      <c r="AB235" s="187"/>
      <c r="AC235" s="187"/>
      <c r="AD235" s="187"/>
      <c r="AE235" s="187"/>
      <c r="AF235" s="187"/>
      <c r="AG235" s="187"/>
      <c r="AH235" s="187"/>
      <c r="AI235" s="187"/>
      <c r="AJ235" s="187"/>
      <c r="AK235" s="187"/>
      <c r="AL235" s="187"/>
      <c r="AM235" s="187"/>
      <c r="AN235" s="187"/>
      <c r="AO235" s="187"/>
      <c r="AP235" s="187"/>
      <c r="AQ235" s="187"/>
      <c r="AR235" s="187"/>
      <c r="AS235" s="187"/>
      <c r="AT235" s="187"/>
      <c r="AU235" s="187"/>
      <c r="AV235" s="187"/>
      <c r="AW235" s="187"/>
      <c r="AX235" s="187"/>
      <c r="AY235" s="187"/>
      <c r="AZ235" s="187"/>
      <c r="BA235" s="187"/>
    </row>
    <row r="236" spans="1:53" outlineLevel="1" x14ac:dyDescent="0.35">
      <c r="A236" s="6" t="s">
        <v>37</v>
      </c>
      <c r="Z236" s="6">
        <f>'Results - raw data ReCiPe (H)'!AA99</f>
        <v>3.8394060112131092E-5</v>
      </c>
      <c r="AB236" s="187"/>
      <c r="AC236" s="187"/>
      <c r="AD236" s="187"/>
      <c r="AE236" s="187"/>
      <c r="AF236" s="187"/>
      <c r="AG236" s="187"/>
      <c r="AH236" s="187"/>
      <c r="AI236" s="187"/>
      <c r="AJ236" s="187"/>
      <c r="AK236" s="187"/>
      <c r="AL236" s="187"/>
      <c r="AM236" s="187"/>
      <c r="AN236" s="187"/>
      <c r="AO236" s="187"/>
      <c r="AP236" s="187"/>
      <c r="AQ236" s="187"/>
      <c r="AR236" s="187"/>
      <c r="AS236" s="187"/>
      <c r="AT236" s="187"/>
      <c r="AU236" s="187"/>
      <c r="AV236" s="187"/>
      <c r="AW236" s="187"/>
      <c r="AX236" s="187"/>
      <c r="AY236" s="187"/>
      <c r="AZ236" s="187"/>
      <c r="BA236" s="187"/>
    </row>
    <row r="237" spans="1:53" outlineLevel="1" x14ac:dyDescent="0.35">
      <c r="A237" s="6" t="s">
        <v>40</v>
      </c>
      <c r="Z237" s="6">
        <f>'Results - raw data ReCiPe (H)'!AA100</f>
        <v>5.9291416813558179E-4</v>
      </c>
    </row>
    <row r="238" spans="1:53" outlineLevel="1" x14ac:dyDescent="0.35">
      <c r="A238" s="6" t="s">
        <v>42</v>
      </c>
      <c r="Z238" s="6">
        <f>'Results - raw data ReCiPe (H)'!AA101</f>
        <v>5.1359748101639407E-5</v>
      </c>
    </row>
    <row r="239" spans="1:53" outlineLevel="1" x14ac:dyDescent="0.35">
      <c r="A239" s="6" t="s">
        <v>115</v>
      </c>
      <c r="Z239" s="6">
        <f>'Results - raw data ReCiPe (H)'!AA102</f>
        <v>3.0345185886003018E-4</v>
      </c>
    </row>
    <row r="240" spans="1:53" outlineLevel="1" x14ac:dyDescent="0.35">
      <c r="A240" s="6" t="s">
        <v>45</v>
      </c>
      <c r="Z240" s="6">
        <f>'Results - raw data ReCiPe (H)'!AA103*AC210*AC212</f>
        <v>3.4041847576099076E-5</v>
      </c>
    </row>
    <row r="241" spans="1:26" outlineLevel="1" x14ac:dyDescent="0.35">
      <c r="A241" s="6" t="s">
        <v>116</v>
      </c>
      <c r="B241" s="6">
        <f>'Results - raw data ReCiPe (H)'!C104</f>
        <v>1.9848842622015748E-3</v>
      </c>
      <c r="C241" s="6">
        <f>'Results - raw data ReCiPe (H)'!D104</f>
        <v>1.9562150558131639E-3</v>
      </c>
      <c r="D241" s="6">
        <f>'Results - raw data ReCiPe (H)'!E104</f>
        <v>1.927059632671337E-3</v>
      </c>
      <c r="E241" s="6">
        <f>'Results - raw data ReCiPe (H)'!F104</f>
        <v>1.889975707684352E-3</v>
      </c>
      <c r="F241" s="6">
        <f>'Results - raw data ReCiPe (H)'!G104</f>
        <v>1.8596825109945729E-3</v>
      </c>
      <c r="G241" s="6">
        <f>'Results - raw data ReCiPe (H)'!H104</f>
        <v>1.8287132515525651E-3</v>
      </c>
      <c r="H241" s="6">
        <f>'Results - raw data ReCiPe (H)'!I104</f>
        <v>1.8240269819210511E-3</v>
      </c>
      <c r="I241" s="6">
        <f>'Results - raw data ReCiPe (H)'!J104</f>
        <v>1.81940860209094E-3</v>
      </c>
      <c r="J241" s="6">
        <f>'Results - raw data ReCiPe (H)'!K104</f>
        <v>1.8114375105735641E-3</v>
      </c>
      <c r="K241" s="6">
        <f>'Results - raw data ReCiPe (H)'!L104</f>
        <v>1.8069758007361711E-3</v>
      </c>
      <c r="L241" s="6">
        <f>'Results - raw data ReCiPe (H)'!M104</f>
        <v>1.802550656783997E-3</v>
      </c>
      <c r="M241" s="6">
        <f>'Results - raw data ReCiPe (H)'!N104</f>
        <v>1.8011237099181739E-3</v>
      </c>
      <c r="N241" s="6">
        <f>'Results - raw data ReCiPe (H)'!O104</f>
        <v>1.799728004873463E-3</v>
      </c>
      <c r="O241" s="6">
        <f>'Results - raw data ReCiPe (H)'!P104</f>
        <v>1.797350991149333E-3</v>
      </c>
      <c r="P241" s="6">
        <f>'Results - raw data ReCiPe (H)'!Q104</f>
        <v>1.7960072204838511E-3</v>
      </c>
      <c r="Q241" s="6">
        <f>'Results - raw data ReCiPe (H)'!R104</f>
        <v>1.7946676192961261E-3</v>
      </c>
      <c r="R241" s="6">
        <f>'Results - raw data ReCiPe (H)'!S104</f>
        <v>1.7921661278737079E-3</v>
      </c>
      <c r="S241" s="6">
        <f>'Results - raw data ReCiPe (H)'!T104</f>
        <v>1.789684688556732E-3</v>
      </c>
      <c r="T241" s="6">
        <f>'Results - raw data ReCiPe (H)'!U104</f>
        <v>1.786311731211142E-3</v>
      </c>
      <c r="U241" s="6">
        <f>'Results - raw data ReCiPe (H)'!V104</f>
        <v>1.783894800268534E-3</v>
      </c>
      <c r="V241" s="6">
        <f>'Results - raw data ReCiPe (H)'!W104</f>
        <v>1.78148582755011E-3</v>
      </c>
      <c r="W241" s="6">
        <f>'Results - raw data ReCiPe (H)'!X104</f>
        <v>1.790817045871237E-3</v>
      </c>
      <c r="X241" s="6">
        <f>'Results - raw data ReCiPe (H)'!Y104</f>
        <v>1.7895035743440109E-3</v>
      </c>
      <c r="Y241" s="6">
        <f>'Results - raw data ReCiPe (H)'!Z104</f>
        <v>1.7881953599072019E-3</v>
      </c>
      <c r="Z241" s="6">
        <f>'Results - raw data ReCiPe (H)'!AA104</f>
        <v>1.786892271072078E-3</v>
      </c>
    </row>
    <row r="242" spans="1:26" outlineLevel="1" x14ac:dyDescent="0.35">
      <c r="A242" s="6" t="s">
        <v>758</v>
      </c>
      <c r="B242" s="6">
        <f>'Results - raw data ReCiPe (H)'!C105*$AC$210</f>
        <v>3.7592465014811447E-3</v>
      </c>
      <c r="C242" s="6">
        <f>'Results - raw data ReCiPe (H)'!D105*$AC$210</f>
        <v>3.534874192889682E-3</v>
      </c>
      <c r="D242" s="6">
        <f>'Results - raw data ReCiPe (H)'!E105*$AC$210</f>
        <v>3.3107364795979849E-3</v>
      </c>
      <c r="E242" s="6">
        <f>'Results - raw data ReCiPe (H)'!F105*$AC$210</f>
        <v>3.082325305480168E-3</v>
      </c>
      <c r="F242" s="6">
        <f>'Results - raw data ReCiPe (H)'!G105*$AC$210</f>
        <v>2.8585015990500941E-3</v>
      </c>
      <c r="G242" s="6">
        <f>'Results - raw data ReCiPe (H)'!H105*$AC$210</f>
        <v>2.635104236175806E-3</v>
      </c>
      <c r="H242" s="6">
        <f>'Results - raw data ReCiPe (H)'!I105*$AC$210</f>
        <v>2.6150957875085939E-3</v>
      </c>
      <c r="I242" s="6">
        <f>'Results - raw data ReCiPe (H)'!J105*$AC$210</f>
        <v>2.5947561730891031E-3</v>
      </c>
      <c r="J242" s="6">
        <f>'Results - raw data ReCiPe (H)'!K105*$AC$210</f>
        <v>2.5706665036731129E-3</v>
      </c>
      <c r="K242" s="6">
        <f>'Results - raw data ReCiPe (H)'!L105*$AC$210</f>
        <v>2.5494905097519891E-3</v>
      </c>
      <c r="L242" s="6">
        <f>'Results - raw data ReCiPe (H)'!M105*$AC$210</f>
        <v>2.5279275495489252E-3</v>
      </c>
      <c r="M242" s="6">
        <f>'Results - raw data ReCiPe (H)'!N105*$AC$210</f>
        <v>2.5166466052062081E-3</v>
      </c>
      <c r="N242" s="6">
        <f>'Results - raw data ReCiPe (H)'!O105*$AC$210</f>
        <v>2.5055476753159701E-3</v>
      </c>
      <c r="O242" s="6">
        <f>'Results - raw data ReCiPe (H)'!P105*$AC$210</f>
        <v>2.4937453526695436E-3</v>
      </c>
      <c r="P242" s="6">
        <f>'Results - raw data ReCiPe (H)'!Q105*$AC$210</f>
        <v>2.4826723670918491E-3</v>
      </c>
      <c r="Q242" s="6">
        <f>'Results - raw data ReCiPe (H)'!R105*$AC$210</f>
        <v>2.4716325391011588E-3</v>
      </c>
      <c r="R242" s="6">
        <f>'Results - raw data ReCiPe (H)'!S105*$AC$210</f>
        <v>2.4232245060826093E-3</v>
      </c>
      <c r="S242" s="6">
        <f>'Results - raw data ReCiPe (H)'!T105*$AC$210</f>
        <v>2.3746259866759497E-3</v>
      </c>
      <c r="T242" s="6">
        <f>'Results - raw data ReCiPe (H)'!U105*$AC$210</f>
        <v>2.3253024364863466E-3</v>
      </c>
      <c r="U242" s="6">
        <f>'Results - raw data ReCiPe (H)'!V105*$AC$210</f>
        <v>2.2766157353047872E-3</v>
      </c>
      <c r="V242" s="6">
        <f>'Results - raw data ReCiPe (H)'!W105*$AC$210</f>
        <v>2.2278362121082159E-3</v>
      </c>
      <c r="W242" s="6">
        <f>'Results - raw data ReCiPe (H)'!X105*$AC$210</f>
        <v>2.2398565002468632E-3</v>
      </c>
      <c r="X242" s="6">
        <f>'Results - raw data ReCiPe (H)'!Y105*$AC$210</f>
        <v>2.2090374049832952E-3</v>
      </c>
      <c r="Y242" s="6">
        <f>'Results - raw data ReCiPe (H)'!Z105*$AC$210</f>
        <v>2.178226238161449E-3</v>
      </c>
      <c r="Z242" s="6">
        <f>'Results - raw data ReCiPe (H)'!AA105*$AC$210</f>
        <v>2.1474172710699438E-3</v>
      </c>
    </row>
    <row r="243" spans="1:26" outlineLevel="1" x14ac:dyDescent="0.35">
      <c r="A243" s="6" t="s">
        <v>759</v>
      </c>
      <c r="B243" s="6">
        <f>'Results - raw data ReCiPe (H)'!C106</f>
        <v>0</v>
      </c>
      <c r="C243" s="6">
        <f>'Results - raw data ReCiPe (H)'!D106</f>
        <v>0</v>
      </c>
      <c r="D243" s="6">
        <f>'Results - raw data ReCiPe (H)'!E106</f>
        <v>0</v>
      </c>
      <c r="E243" s="6">
        <f>'Results - raw data ReCiPe (H)'!F106</f>
        <v>0</v>
      </c>
      <c r="F243" s="6">
        <f>'Results - raw data ReCiPe (H)'!G106</f>
        <v>0</v>
      </c>
      <c r="G243" s="6">
        <f>'Results - raw data ReCiPe (H)'!H106</f>
        <v>0</v>
      </c>
      <c r="H243" s="6">
        <f>'Results - raw data ReCiPe (H)'!I106</f>
        <v>0</v>
      </c>
      <c r="I243" s="6">
        <f>'Results - raw data ReCiPe (H)'!J106</f>
        <v>0</v>
      </c>
      <c r="J243" s="6">
        <f>'Results - raw data ReCiPe (H)'!K106</f>
        <v>0</v>
      </c>
      <c r="K243" s="6">
        <f>'Results - raw data ReCiPe (H)'!L106</f>
        <v>0</v>
      </c>
      <c r="L243" s="6">
        <f>'Results - raw data ReCiPe (H)'!M106</f>
        <v>0</v>
      </c>
      <c r="M243" s="6">
        <f>'Results - raw data ReCiPe (H)'!N106</f>
        <v>0</v>
      </c>
      <c r="N243" s="6">
        <f>'Results - raw data ReCiPe (H)'!O106</f>
        <v>0</v>
      </c>
      <c r="O243" s="6">
        <f>'Results - raw data ReCiPe (H)'!P106</f>
        <v>0</v>
      </c>
      <c r="P243" s="6">
        <f>'Results - raw data ReCiPe (H)'!Q106</f>
        <v>0</v>
      </c>
      <c r="Q243" s="6">
        <f>'Results - raw data ReCiPe (H)'!R106</f>
        <v>0</v>
      </c>
      <c r="R243" s="6">
        <f>'Results - raw data ReCiPe (H)'!S106</f>
        <v>0</v>
      </c>
      <c r="S243" s="6">
        <f>'Results - raw data ReCiPe (H)'!T106</f>
        <v>0</v>
      </c>
      <c r="T243" s="6">
        <f>'Results - raw data ReCiPe (H)'!U106</f>
        <v>0</v>
      </c>
      <c r="U243" s="6">
        <f>'Results - raw data ReCiPe (H)'!V106</f>
        <v>0</v>
      </c>
      <c r="V243" s="6">
        <f>'Results - raw data ReCiPe (H)'!W106</f>
        <v>0</v>
      </c>
      <c r="W243" s="6">
        <f>'Results - raw data ReCiPe (H)'!X106</f>
        <v>0</v>
      </c>
      <c r="X243" s="6">
        <f>'Results - raw data ReCiPe (H)'!Y106</f>
        <v>0</v>
      </c>
      <c r="Y243" s="6">
        <f>'Results - raw data ReCiPe (H)'!Z106</f>
        <v>0</v>
      </c>
      <c r="Z243" s="6">
        <f>'Results - raw data ReCiPe (H)'!AA106</f>
        <v>0</v>
      </c>
    </row>
    <row r="244" spans="1:26" outlineLevel="1" x14ac:dyDescent="0.35">
      <c r="A244" s="6" t="s">
        <v>760</v>
      </c>
      <c r="B244" s="6">
        <f>150000*($AC$211*'Results - raw data ReCiPe (H)'!C128+(1-$AC$211)*'Results - raw data ReCiPe (H)'!C129)</f>
        <v>2.7805402985483764E-2</v>
      </c>
      <c r="C244" s="6">
        <f>150000*($AC$211*'Results - raw data ReCiPe (H)'!D128+(1-$AC$211)*'Results - raw data ReCiPe (H)'!D129)</f>
        <v>2.5597110478286972E-2</v>
      </c>
      <c r="D244" s="6">
        <f>150000*($AC$211*'Results - raw data ReCiPe (H)'!E128+(1-$AC$211)*'Results - raw data ReCiPe (H)'!E129)</f>
        <v>2.3377369172353744E-2</v>
      </c>
      <c r="E244" s="6">
        <f>150000*($AC$211*'Results - raw data ReCiPe (H)'!F128+(1-$AC$211)*'Results - raw data ReCiPe (H)'!F129)</f>
        <v>2.1099058813075746E-2</v>
      </c>
      <c r="F244" s="6">
        <f>150000*($AC$211*'Results - raw data ReCiPe (H)'!G128+(1-$AC$211)*'Results - raw data ReCiPe (H)'!G129)</f>
        <v>1.8854118847398099E-2</v>
      </c>
      <c r="G244" s="6">
        <f>150000*($AC$211*'Results - raw data ReCiPe (H)'!H128+(1-$AC$211)*'Results - raw data ReCiPe (H)'!H129)</f>
        <v>1.6599751467149353E-2</v>
      </c>
      <c r="H244" s="6">
        <f>150000*($AC$211*'Results - raw data ReCiPe (H)'!I128+(1-$AC$211)*'Results - raw data ReCiPe (H)'!I129)</f>
        <v>1.6392459890207992E-2</v>
      </c>
      <c r="I244" s="6">
        <f>150000*($AC$211*'Results - raw data ReCiPe (H)'!J128+(1-$AC$211)*'Results - raw data ReCiPe (H)'!J129)</f>
        <v>1.6182024304463936E-2</v>
      </c>
      <c r="J244" s="6">
        <f>150000*($AC$211*'Results - raw data ReCiPe (H)'!K128+(1-$AC$211)*'Results - raw data ReCiPe (H)'!K129)</f>
        <v>1.5932960360475808E-2</v>
      </c>
      <c r="K244" s="6">
        <f>150000*($AC$211*'Results - raw data ReCiPe (H)'!L128+(1-$AC$211)*'Results - raw data ReCiPe (H)'!L129)</f>
        <v>1.5713786827570561E-2</v>
      </c>
      <c r="L244" s="6">
        <f>150000*($AC$211*'Results - raw data ReCiPe (H)'!M128+(1-$AC$211)*'Results - raw data ReCiPe (H)'!M129)</f>
        <v>1.5490469227403323E-2</v>
      </c>
      <c r="M244" s="6">
        <f>150000*($AC$211*'Results - raw data ReCiPe (H)'!N128+(1-$AC$211)*'Results - raw data ReCiPe (H)'!N129)</f>
        <v>1.5379799322573877E-2</v>
      </c>
      <c r="N244" s="6">
        <f>150000*($AC$211*'Results - raw data ReCiPe (H)'!O128+(1-$AC$211)*'Results - raw data ReCiPe (H)'!O129)</f>
        <v>1.5271678877963896E-2</v>
      </c>
      <c r="O244" s="6">
        <f>150000*($AC$211*'Results - raw data ReCiPe (H)'!P128+(1-$AC$211)*'Results - raw data ReCiPe (H)'!P129)</f>
        <v>1.515681577052932E-2</v>
      </c>
      <c r="P244" s="6">
        <f>150000*($AC$211*'Results - raw data ReCiPe (H)'!Q128+(1-$AC$211)*'Results - raw data ReCiPe (H)'!Q129)</f>
        <v>1.5049750474562492E-2</v>
      </c>
      <c r="Q244" s="6">
        <f>150000*($AC$211*'Results - raw data ReCiPe (H)'!R128+(1-$AC$211)*'Results - raw data ReCiPe (H)'!R129)</f>
        <v>1.4943265329522629E-2</v>
      </c>
      <c r="R244" s="6">
        <f>150000*($AC$211*'Results - raw data ReCiPe (H)'!S128+(1-$AC$211)*'Results - raw data ReCiPe (H)'!S129)</f>
        <v>1.4472306796371601E-2</v>
      </c>
      <c r="S244" s="6">
        <f>150000*($AC$211*'Results - raw data ReCiPe (H)'!T128+(1-$AC$211)*'Results - raw data ReCiPe (H)'!T129)</f>
        <v>1.4003396450145969E-2</v>
      </c>
      <c r="T244" s="6">
        <f>150000*($AC$211*'Results - raw data ReCiPe (H)'!U128+(1-$AC$211)*'Results - raw data ReCiPe (H)'!U129)</f>
        <v>1.3531045803837721E-2</v>
      </c>
      <c r="U244" s="6">
        <f>150000*($AC$211*'Results - raw data ReCiPe (H)'!V128+(1-$AC$211)*'Results - raw data ReCiPe (H)'!V129)</f>
        <v>1.3069084532262144E-2</v>
      </c>
      <c r="V244" s="6">
        <f>150000*($AC$211*'Results - raw data ReCiPe (H)'!W128+(1-$AC$211)*'Results - raw data ReCiPe (H)'!W129)</f>
        <v>1.2609663012792977E-2</v>
      </c>
      <c r="W244" s="6">
        <f>150000*($AC$211*'Results - raw data ReCiPe (H)'!X128+(1-$AC$211)*'Results - raw data ReCiPe (H)'!X129)</f>
        <v>1.2655241851171941E-2</v>
      </c>
      <c r="X244" s="6">
        <f>150000*($AC$211*'Results - raw data ReCiPe (H)'!Y128+(1-$AC$211)*'Results - raw data ReCiPe (H)'!Y129)</f>
        <v>1.2340041193375966E-2</v>
      </c>
      <c r="Y244" s="6">
        <f>150000*($AC$211*'Results - raw data ReCiPe (H)'!Z128+(1-$AC$211)*'Results - raw data ReCiPe (H)'!Z129)</f>
        <v>1.2023972033871863E-2</v>
      </c>
      <c r="Z244" s="6">
        <f>150000*($AC$211*'Results - raw data ReCiPe (H)'!AA128+(1-$AC$211)*'Results - raw data ReCiPe (H)'!AA129)</f>
        <v>1.1706992340619025E-2</v>
      </c>
    </row>
    <row r="245" spans="1:26" outlineLevel="1" x14ac:dyDescent="0.35">
      <c r="A245" s="23" t="s">
        <v>125</v>
      </c>
      <c r="B245" s="17">
        <f t="shared" ref="B245:Z245" si="29">SUM(B214:B244)</f>
        <v>0.18739125219241401</v>
      </c>
      <c r="C245" s="17">
        <f t="shared" si="29"/>
        <v>3.1088199726989819E-2</v>
      </c>
      <c r="D245" s="17">
        <f t="shared" si="29"/>
        <v>2.8615165284623066E-2</v>
      </c>
      <c r="E245" s="17">
        <f t="shared" si="29"/>
        <v>2.6071359826240266E-2</v>
      </c>
      <c r="F245" s="17">
        <f t="shared" si="29"/>
        <v>2.3572302957442767E-2</v>
      </c>
      <c r="G245" s="17">
        <f t="shared" si="29"/>
        <v>2.1063568954877723E-2</v>
      </c>
      <c r="H245" s="17">
        <f t="shared" si="29"/>
        <v>2.0831582659637637E-2</v>
      </c>
      <c r="I245" s="17">
        <f t="shared" si="29"/>
        <v>2.059618907964398E-2</v>
      </c>
      <c r="J245" s="17">
        <f t="shared" si="29"/>
        <v>2.0315064374722486E-2</v>
      </c>
      <c r="K245" s="17">
        <f t="shared" si="29"/>
        <v>2.007025313805872E-2</v>
      </c>
      <c r="L245" s="17">
        <f t="shared" si="29"/>
        <v>1.9820947433736247E-2</v>
      </c>
      <c r="M245" s="17">
        <f t="shared" si="29"/>
        <v>1.969756963769826E-2</v>
      </c>
      <c r="N245" s="17">
        <f t="shared" si="29"/>
        <v>1.957695455815333E-2</v>
      </c>
      <c r="O245" s="17">
        <f t="shared" si="29"/>
        <v>1.9447912114348195E-2</v>
      </c>
      <c r="P245" s="17">
        <f t="shared" si="29"/>
        <v>1.9328430062138191E-2</v>
      </c>
      <c r="Q245" s="17">
        <f t="shared" si="29"/>
        <v>1.9209565487919914E-2</v>
      </c>
      <c r="R245" s="17">
        <f t="shared" si="29"/>
        <v>1.8687697430327919E-2</v>
      </c>
      <c r="S245" s="17">
        <f t="shared" si="29"/>
        <v>1.816770712537865E-2</v>
      </c>
      <c r="T245" s="17">
        <f t="shared" si="29"/>
        <v>1.7642659971535211E-2</v>
      </c>
      <c r="U245" s="17">
        <f t="shared" si="29"/>
        <v>1.7129595067835464E-2</v>
      </c>
      <c r="V245" s="17">
        <f t="shared" si="29"/>
        <v>1.6618985052451303E-2</v>
      </c>
      <c r="W245" s="17">
        <f t="shared" si="29"/>
        <v>1.6685915397290044E-2</v>
      </c>
      <c r="X245" s="17">
        <f t="shared" si="29"/>
        <v>1.6338582172703273E-2</v>
      </c>
      <c r="Y245" s="17">
        <f t="shared" si="29"/>
        <v>1.5990393631940512E-2</v>
      </c>
      <c r="Z245" s="17">
        <f t="shared" si="29"/>
        <v>1.6811792913272748E-2</v>
      </c>
    </row>
    <row r="246" spans="1:26" s="26" customFormat="1" outlineLevel="1" x14ac:dyDescent="0.35"/>
    <row r="247" spans="1:26" s="221" customFormat="1" ht="21" x14ac:dyDescent="0.5">
      <c r="A247" s="229" t="s">
        <v>851</v>
      </c>
    </row>
    <row r="248" spans="1:26" s="18" customFormat="1" ht="21" x14ac:dyDescent="0.5">
      <c r="A248" s="18" t="s">
        <v>72</v>
      </c>
    </row>
    <row r="249" spans="1:26" s="20" customFormat="1" outlineLevel="1" x14ac:dyDescent="0.35">
      <c r="A249" s="19" t="s">
        <v>788</v>
      </c>
    </row>
    <row r="250" spans="1:26" s="20" customFormat="1" outlineLevel="1" x14ac:dyDescent="0.35">
      <c r="A250" s="273" t="s">
        <v>775</v>
      </c>
      <c r="B250" s="20">
        <v>1</v>
      </c>
      <c r="C250" s="274" t="s">
        <v>787</v>
      </c>
    </row>
    <row r="251" spans="1:26" s="20" customFormat="1" outlineLevel="1" x14ac:dyDescent="0.35">
      <c r="A251" s="273" t="s">
        <v>781</v>
      </c>
      <c r="B251" s="20">
        <v>100000</v>
      </c>
      <c r="C251" s="20" t="s">
        <v>782</v>
      </c>
      <c r="E251" s="274"/>
    </row>
    <row r="252" spans="1:26" s="20" customFormat="1" outlineLevel="1" x14ac:dyDescent="0.35">
      <c r="A252" s="273" t="s">
        <v>783</v>
      </c>
      <c r="B252" s="20">
        <v>1500</v>
      </c>
      <c r="C252" s="20" t="s">
        <v>592</v>
      </c>
    </row>
    <row r="253" spans="1:26" s="20" customFormat="1" outlineLevel="1" x14ac:dyDescent="0.35">
      <c r="A253" s="273" t="s">
        <v>784</v>
      </c>
      <c r="B253" s="20">
        <v>8760</v>
      </c>
      <c r="C253" s="20" t="s">
        <v>785</v>
      </c>
    </row>
    <row r="254" spans="1:26" s="20" customFormat="1" outlineLevel="1" x14ac:dyDescent="0.35">
      <c r="A254" s="273"/>
    </row>
    <row r="255" spans="1:26" s="20" customFormat="1" outlineLevel="1" x14ac:dyDescent="0.35">
      <c r="A255" s="275" t="s">
        <v>786</v>
      </c>
      <c r="B255" s="275">
        <f>(B251*B252)/(B253*B250)</f>
        <v>17123.287671232876</v>
      </c>
      <c r="C255" s="275" t="s">
        <v>749</v>
      </c>
    </row>
    <row r="256" spans="1:26" s="20" customFormat="1" outlineLevel="1" x14ac:dyDescent="0.35">
      <c r="A256" s="19"/>
    </row>
    <row r="257" spans="1:31" s="20" customFormat="1" outlineLevel="1" x14ac:dyDescent="0.35">
      <c r="A257" s="19" t="s">
        <v>793</v>
      </c>
    </row>
    <row r="258" spans="1:31" s="20" customFormat="1" outlineLevel="1" x14ac:dyDescent="0.35">
      <c r="A258" s="273" t="s">
        <v>789</v>
      </c>
      <c r="B258" s="20">
        <f>SUM('Results - raw data ReCiPe (H)'!C136:C137)+'Results - raw data ReCiPe (H)'!C140+SUM('Results - raw data ReCiPe (H)'!C138:C139)*AC267</f>
        <v>7.3208068197134577E-3</v>
      </c>
      <c r="C258" s="20" t="s">
        <v>790</v>
      </c>
    </row>
    <row r="259" spans="1:31" s="20" customFormat="1" outlineLevel="1" x14ac:dyDescent="0.35">
      <c r="A259" s="20" t="s">
        <v>792</v>
      </c>
      <c r="B259" s="20">
        <f>B251*AC265</f>
        <v>50000</v>
      </c>
      <c r="C259" s="274" t="s">
        <v>795</v>
      </c>
    </row>
    <row r="260" spans="1:31" s="20" customFormat="1" outlineLevel="1" x14ac:dyDescent="0.35">
      <c r="A260" s="20" t="s">
        <v>791</v>
      </c>
      <c r="B260" s="20">
        <f>(B258*AC267*B255)/(B259*AC266)*(AC266/AC268)</f>
        <v>7.5213768695686222E-4</v>
      </c>
      <c r="C260" s="20" t="s">
        <v>794</v>
      </c>
      <c r="E260" s="274" t="s">
        <v>796</v>
      </c>
    </row>
    <row r="261" spans="1:31" s="20" customFormat="1" outlineLevel="1" x14ac:dyDescent="0.35">
      <c r="A261" s="19"/>
    </row>
    <row r="262" spans="1:31" s="16" customFormat="1" outlineLevel="1" x14ac:dyDescent="0.35">
      <c r="A262" s="21"/>
      <c r="AB262" s="16" t="s">
        <v>47</v>
      </c>
      <c r="AC262" s="16">
        <v>9.2800000000000005E-7</v>
      </c>
      <c r="AD262" s="16" t="s">
        <v>48</v>
      </c>
      <c r="AE262" s="15" t="s">
        <v>714</v>
      </c>
    </row>
    <row r="263" spans="1:31" s="16" customFormat="1" outlineLevel="1" x14ac:dyDescent="0.35">
      <c r="A263" s="22" t="s">
        <v>564</v>
      </c>
      <c r="AC263" s="16">
        <f>AC262*1000</f>
        <v>9.2800000000000001E-4</v>
      </c>
      <c r="AD263" s="16" t="s">
        <v>126</v>
      </c>
    </row>
    <row r="264" spans="1:31" s="16" customFormat="1" outlineLevel="1" x14ac:dyDescent="0.35">
      <c r="A264" s="22"/>
      <c r="AB264" s="16" t="s">
        <v>127</v>
      </c>
      <c r="AC264" s="276">
        <f>100*AC265</f>
        <v>50</v>
      </c>
      <c r="AD264" s="16" t="s">
        <v>128</v>
      </c>
    </row>
    <row r="265" spans="1:31" s="16" customFormat="1" outlineLevel="1" x14ac:dyDescent="0.35">
      <c r="A265" s="230"/>
      <c r="AB265" s="16" t="s">
        <v>776</v>
      </c>
      <c r="AC265" s="276">
        <v>0.5</v>
      </c>
    </row>
    <row r="266" spans="1:31" s="16" customFormat="1" outlineLevel="1" x14ac:dyDescent="0.35">
      <c r="A266" s="230"/>
      <c r="AB266" s="16" t="s">
        <v>129</v>
      </c>
      <c r="AC266" s="276">
        <v>25</v>
      </c>
      <c r="AD266" s="16" t="s">
        <v>130</v>
      </c>
    </row>
    <row r="267" spans="1:31" s="16" customFormat="1" outlineLevel="1" x14ac:dyDescent="0.35">
      <c r="A267" s="230"/>
      <c r="AB267" s="16" t="s">
        <v>777</v>
      </c>
      <c r="AC267" s="276">
        <v>6</v>
      </c>
      <c r="AD267" s="16" t="s">
        <v>779</v>
      </c>
    </row>
    <row r="268" spans="1:31" s="16" customFormat="1" outlineLevel="1" x14ac:dyDescent="0.35">
      <c r="A268" s="22"/>
      <c r="AB268" s="16" t="s">
        <v>778</v>
      </c>
      <c r="AC268" s="276">
        <v>20</v>
      </c>
      <c r="AD268" s="16" t="s">
        <v>130</v>
      </c>
    </row>
    <row r="269" spans="1:31" s="16" customFormat="1" outlineLevel="1" x14ac:dyDescent="0.35">
      <c r="A269" s="22"/>
      <c r="AB269" s="16" t="s">
        <v>780</v>
      </c>
      <c r="AC269" s="276">
        <f>B255</f>
        <v>17123.287671232876</v>
      </c>
      <c r="AD269" s="16" t="s">
        <v>749</v>
      </c>
    </row>
    <row r="270" spans="1:31" s="16" customFormat="1" outlineLevel="1" x14ac:dyDescent="0.35">
      <c r="A270" s="22"/>
      <c r="AB270" s="16" t="s">
        <v>820</v>
      </c>
      <c r="AC270" s="16">
        <v>0.5</v>
      </c>
    </row>
    <row r="271" spans="1:31" s="16" customFormat="1" outlineLevel="1" x14ac:dyDescent="0.35">
      <c r="A271" s="22"/>
      <c r="AB271" s="16" t="s">
        <v>798</v>
      </c>
      <c r="AC271" s="16">
        <v>0.25</v>
      </c>
    </row>
    <row r="272" spans="1:31" s="16" customFormat="1" outlineLevel="1" x14ac:dyDescent="0.35">
      <c r="A272" s="22"/>
      <c r="AB272" s="16" t="s">
        <v>799</v>
      </c>
      <c r="AC272" s="16">
        <v>0.9</v>
      </c>
    </row>
    <row r="273" spans="1:53" outlineLevel="1" x14ac:dyDescent="0.35">
      <c r="B273" s="25">
        <v>2030</v>
      </c>
      <c r="C273" s="25">
        <v>2031</v>
      </c>
      <c r="D273" s="25">
        <v>2032</v>
      </c>
      <c r="E273" s="25">
        <v>2033</v>
      </c>
      <c r="F273" s="25">
        <v>2034</v>
      </c>
      <c r="G273" s="25">
        <v>2035</v>
      </c>
      <c r="H273" s="25">
        <v>2036</v>
      </c>
      <c r="I273" s="25">
        <v>2037</v>
      </c>
      <c r="J273" s="25">
        <v>2038</v>
      </c>
      <c r="K273" s="25">
        <v>2039</v>
      </c>
      <c r="L273" s="25">
        <v>2040</v>
      </c>
      <c r="M273" s="25">
        <v>2041</v>
      </c>
      <c r="N273" s="25">
        <v>2042</v>
      </c>
      <c r="O273" s="25">
        <v>2043</v>
      </c>
      <c r="P273" s="25">
        <v>2044</v>
      </c>
      <c r="Q273" s="25">
        <v>2045</v>
      </c>
      <c r="R273" s="25">
        <v>2046</v>
      </c>
      <c r="S273" s="25">
        <v>2047</v>
      </c>
      <c r="T273" s="25">
        <v>2048</v>
      </c>
      <c r="U273" s="25">
        <v>2049</v>
      </c>
      <c r="V273" s="25">
        <v>2050</v>
      </c>
      <c r="W273" s="25">
        <v>2051</v>
      </c>
      <c r="X273" s="25">
        <v>2052</v>
      </c>
      <c r="Y273" s="25">
        <v>2053</v>
      </c>
      <c r="Z273" s="25">
        <v>2054</v>
      </c>
      <c r="AC273" s="25">
        <v>2030</v>
      </c>
      <c r="AD273" s="25">
        <v>2031</v>
      </c>
      <c r="AE273" s="25">
        <v>2032</v>
      </c>
      <c r="AF273" s="25">
        <v>2033</v>
      </c>
      <c r="AG273" s="25">
        <v>2034</v>
      </c>
      <c r="AH273" s="25">
        <v>2035</v>
      </c>
      <c r="AI273" s="25">
        <v>2036</v>
      </c>
      <c r="AJ273" s="25">
        <v>2037</v>
      </c>
      <c r="AK273" s="25">
        <v>2038</v>
      </c>
      <c r="AL273" s="25">
        <v>2039</v>
      </c>
      <c r="AM273" s="25">
        <v>2040</v>
      </c>
      <c r="AN273" s="25">
        <v>2041</v>
      </c>
      <c r="AO273" s="25">
        <v>2042</v>
      </c>
      <c r="AP273" s="25">
        <v>2043</v>
      </c>
      <c r="AQ273" s="25">
        <v>2044</v>
      </c>
      <c r="AR273" s="25">
        <v>2045</v>
      </c>
      <c r="AS273" s="25">
        <v>2046</v>
      </c>
      <c r="AT273" s="25">
        <v>2047</v>
      </c>
      <c r="AU273" s="25">
        <v>2048</v>
      </c>
      <c r="AV273" s="25">
        <v>2049</v>
      </c>
      <c r="AW273" s="25">
        <v>2050</v>
      </c>
      <c r="AX273" s="25">
        <v>2051</v>
      </c>
      <c r="AY273" s="25">
        <v>2052</v>
      </c>
      <c r="AZ273" s="25">
        <v>2053</v>
      </c>
      <c r="BA273" s="25">
        <v>2054</v>
      </c>
    </row>
    <row r="274" spans="1:53" outlineLevel="1" x14ac:dyDescent="0.35">
      <c r="A274" s="6" t="s">
        <v>21</v>
      </c>
      <c r="B274" s="6">
        <f t="shared" ref="B274:B285" si="30">B10</f>
        <v>2.894941084896093E-3</v>
      </c>
      <c r="AB274" s="6" t="s">
        <v>117</v>
      </c>
      <c r="AC274" s="6">
        <f>SUM(B274:B285)+B287</f>
        <v>0.1597952541352278</v>
      </c>
    </row>
    <row r="275" spans="1:53" outlineLevel="1" x14ac:dyDescent="0.35">
      <c r="A275" s="6" t="s">
        <v>23</v>
      </c>
      <c r="B275" s="6">
        <f t="shared" si="30"/>
        <v>6.0231401899834662E-3</v>
      </c>
      <c r="AB275" s="6" t="s">
        <v>118</v>
      </c>
      <c r="AC275" s="6">
        <f>B286</f>
        <v>5.005014287129188E-3</v>
      </c>
    </row>
    <row r="276" spans="1:53" outlineLevel="1" x14ac:dyDescent="0.35">
      <c r="A276" s="6" t="s">
        <v>26</v>
      </c>
      <c r="B276" s="6">
        <f t="shared" si="30"/>
        <v>1.3717423440267161E-2</v>
      </c>
      <c r="AB276" s="6" t="s">
        <v>119</v>
      </c>
      <c r="BA276" s="6">
        <f>SUM(Z288:Z299)</f>
        <v>1.3460715242108881E-3</v>
      </c>
    </row>
    <row r="277" spans="1:53" outlineLevel="1" x14ac:dyDescent="0.35">
      <c r="A277" s="6" t="s">
        <v>28</v>
      </c>
      <c r="B277" s="6">
        <f t="shared" si="30"/>
        <v>1.68268964507193E-2</v>
      </c>
      <c r="AB277" s="6" t="s">
        <v>120</v>
      </c>
      <c r="BA277" s="6">
        <f>Z300</f>
        <v>1.8634370123773913E-5</v>
      </c>
    </row>
    <row r="278" spans="1:53" outlineLevel="1" x14ac:dyDescent="0.35">
      <c r="A278" s="6" t="s">
        <v>29</v>
      </c>
      <c r="B278" s="6">
        <f t="shared" si="30"/>
        <v>1.290728015734449E-2</v>
      </c>
      <c r="AB278" s="6" t="s">
        <v>121</v>
      </c>
      <c r="AC278" s="6">
        <f>B301</f>
        <v>2.357201361606037E-3</v>
      </c>
      <c r="AF278" s="6">
        <f>E301</f>
        <v>2.338551887019074E-3</v>
      </c>
      <c r="AI278" s="6">
        <f>H301</f>
        <v>2.3329664166207272E-3</v>
      </c>
      <c r="AL278" s="6">
        <f>K301</f>
        <v>2.334292606370443E-3</v>
      </c>
      <c r="AO278" s="6">
        <f>N301</f>
        <v>2.344407424713253E-3</v>
      </c>
      <c r="AR278" s="6">
        <f>Q301</f>
        <v>2.3564976098142901E-3</v>
      </c>
      <c r="AU278" s="6">
        <f>T301</f>
        <v>2.3307713043124539E-3</v>
      </c>
      <c r="AX278" s="6">
        <f>W301</f>
        <v>2.3230274489819871E-3</v>
      </c>
      <c r="BA278" s="6">
        <f>Z301</f>
        <v>2.2803262576522711E-3</v>
      </c>
    </row>
    <row r="279" spans="1:53" outlineLevel="1" x14ac:dyDescent="0.35">
      <c r="A279" s="6" t="s">
        <v>31</v>
      </c>
      <c r="B279" s="6">
        <f t="shared" si="30"/>
        <v>8.2577490139394989E-3</v>
      </c>
      <c r="AB279" s="6" t="s">
        <v>797</v>
      </c>
      <c r="AC279" s="6">
        <f>B305</f>
        <v>3.7606884347843109E-2</v>
      </c>
      <c r="AD279" s="6">
        <f t="shared" ref="AD279:BA279" si="31">C305</f>
        <v>3.7606884347843109E-2</v>
      </c>
      <c r="AE279" s="6">
        <f t="shared" si="31"/>
        <v>3.7606884347843109E-2</v>
      </c>
      <c r="AF279" s="6">
        <f t="shared" si="31"/>
        <v>3.7606884347843109E-2</v>
      </c>
      <c r="AG279" s="6">
        <f t="shared" si="31"/>
        <v>3.7606884347843109E-2</v>
      </c>
      <c r="AH279" s="6">
        <f t="shared" si="31"/>
        <v>3.7606884347843109E-2</v>
      </c>
      <c r="AI279" s="6">
        <f t="shared" si="31"/>
        <v>3.7606884347843109E-2</v>
      </c>
      <c r="AJ279" s="6">
        <f t="shared" si="31"/>
        <v>3.7606884347843109E-2</v>
      </c>
      <c r="AK279" s="6">
        <f t="shared" si="31"/>
        <v>3.7606884347843109E-2</v>
      </c>
      <c r="AL279" s="6">
        <f t="shared" si="31"/>
        <v>3.7606884347843109E-2</v>
      </c>
      <c r="AM279" s="6">
        <f t="shared" si="31"/>
        <v>3.7606884347843109E-2</v>
      </c>
      <c r="AN279" s="6">
        <f t="shared" si="31"/>
        <v>3.7606884347843109E-2</v>
      </c>
      <c r="AO279" s="6">
        <f t="shared" si="31"/>
        <v>3.7606884347843109E-2</v>
      </c>
      <c r="AP279" s="6">
        <f t="shared" si="31"/>
        <v>3.7606884347843109E-2</v>
      </c>
      <c r="AQ279" s="6">
        <f t="shared" si="31"/>
        <v>3.7606884347843109E-2</v>
      </c>
      <c r="AR279" s="6">
        <f t="shared" si="31"/>
        <v>3.7606884347843109E-2</v>
      </c>
      <c r="AS279" s="6">
        <f t="shared" si="31"/>
        <v>3.7606884347843109E-2</v>
      </c>
      <c r="AT279" s="6">
        <f t="shared" si="31"/>
        <v>3.7606884347843109E-2</v>
      </c>
      <c r="AU279" s="6">
        <f t="shared" si="31"/>
        <v>3.7606884347843109E-2</v>
      </c>
      <c r="AV279" s="6">
        <f t="shared" si="31"/>
        <v>3.7606884347843109E-2</v>
      </c>
      <c r="AW279" s="6">
        <f t="shared" si="31"/>
        <v>3.7606884347843109E-2</v>
      </c>
      <c r="AX279" s="6">
        <f t="shared" si="31"/>
        <v>3.7606884347843109E-2</v>
      </c>
      <c r="AY279" s="6">
        <f t="shared" si="31"/>
        <v>3.7606884347843109E-2</v>
      </c>
      <c r="AZ279" s="6">
        <f t="shared" si="31"/>
        <v>3.7606884347843109E-2</v>
      </c>
      <c r="BA279" s="6">
        <f t="shared" si="31"/>
        <v>3.7606884347843109E-2</v>
      </c>
    </row>
    <row r="280" spans="1:53" outlineLevel="1" x14ac:dyDescent="0.35">
      <c r="A280" s="6" t="s">
        <v>34</v>
      </c>
      <c r="B280" s="6">
        <f t="shared" si="30"/>
        <v>6.4251549853091127E-3</v>
      </c>
      <c r="AB280" s="6" t="s">
        <v>122</v>
      </c>
      <c r="AC280" s="6">
        <f t="shared" ref="AC280:BA280" si="32">B304+B303</f>
        <v>2.5393132376145978E-2</v>
      </c>
      <c r="AD280" s="6">
        <f t="shared" si="32"/>
        <v>2.5386762089797048E-2</v>
      </c>
      <c r="AE280" s="6">
        <f t="shared" si="32"/>
        <v>2.538085339756093E-2</v>
      </c>
      <c r="AF280" s="6">
        <f t="shared" si="32"/>
        <v>2.5336334798651702E-2</v>
      </c>
      <c r="AG280" s="6">
        <f t="shared" si="32"/>
        <v>2.5331220502552203E-2</v>
      </c>
      <c r="AH280" s="6">
        <f t="shared" si="32"/>
        <v>2.5326311580108021E-2</v>
      </c>
      <c r="AI280" s="6">
        <f t="shared" si="32"/>
        <v>2.5293725224504678E-2</v>
      </c>
      <c r="AJ280" s="6">
        <f t="shared" si="32"/>
        <v>2.5265270795297202E-2</v>
      </c>
      <c r="AK280" s="6">
        <f t="shared" si="32"/>
        <v>2.5221231765272578E-2</v>
      </c>
      <c r="AL280" s="6">
        <f t="shared" si="32"/>
        <v>2.5199834142130565E-2</v>
      </c>
      <c r="AM280" s="6">
        <f t="shared" si="32"/>
        <v>2.5181295398559476E-2</v>
      </c>
      <c r="AN280" s="6">
        <f t="shared" si="32"/>
        <v>2.5180242641040913E-2</v>
      </c>
      <c r="AO280" s="6">
        <f t="shared" si="32"/>
        <v>2.5182111288651152E-2</v>
      </c>
      <c r="AP280" s="6">
        <f t="shared" si="32"/>
        <v>2.5183691684456298E-2</v>
      </c>
      <c r="AQ280" s="6">
        <f t="shared" si="32"/>
        <v>2.51909032563487E-2</v>
      </c>
      <c r="AR280" s="6">
        <f t="shared" si="32"/>
        <v>2.520113838936287E-2</v>
      </c>
      <c r="AS280" s="6">
        <f t="shared" si="32"/>
        <v>2.5175280834720534E-2</v>
      </c>
      <c r="AT280" s="6">
        <f t="shared" si="32"/>
        <v>2.5149303273379404E-2</v>
      </c>
      <c r="AU280" s="6">
        <f t="shared" si="32"/>
        <v>2.5118992254091137E-2</v>
      </c>
      <c r="AV280" s="6">
        <f t="shared" si="32"/>
        <v>2.5092606311484598E-2</v>
      </c>
      <c r="AW280" s="6">
        <f t="shared" si="32"/>
        <v>2.5065942649119339E-2</v>
      </c>
      <c r="AX280" s="6">
        <f t="shared" si="32"/>
        <v>2.5194146508512049E-2</v>
      </c>
      <c r="AY280" s="6">
        <f t="shared" si="32"/>
        <v>2.5150023608704108E-2</v>
      </c>
      <c r="AZ280" s="6">
        <f t="shared" si="32"/>
        <v>2.5105334490682755E-2</v>
      </c>
      <c r="BA280" s="6">
        <f t="shared" si="32"/>
        <v>2.5060068697469448E-2</v>
      </c>
    </row>
    <row r="281" spans="1:53" outlineLevel="1" x14ac:dyDescent="0.35">
      <c r="A281" s="6" t="s">
        <v>36</v>
      </c>
      <c r="B281" s="6">
        <f t="shared" si="30"/>
        <v>3.8313181865858421E-3</v>
      </c>
      <c r="AB281" s="6" t="s">
        <v>123</v>
      </c>
      <c r="AC281" s="6">
        <f t="shared" ref="AC281:BA281" si="33">B302</f>
        <v>3.3996838621343311E-3</v>
      </c>
      <c r="AD281" s="6">
        <f t="shared" si="33"/>
        <v>3.3892417250063834E-3</v>
      </c>
      <c r="AE281" s="6">
        <f t="shared" si="33"/>
        <v>3.3779877394745713E-3</v>
      </c>
      <c r="AF281" s="6">
        <f t="shared" si="33"/>
        <v>3.3645712226863479E-3</v>
      </c>
      <c r="AG281" s="6">
        <f t="shared" si="33"/>
        <v>3.353027377269197E-3</v>
      </c>
      <c r="AH281" s="6">
        <f t="shared" si="33"/>
        <v>3.3414733749654421E-3</v>
      </c>
      <c r="AI281" s="6">
        <f t="shared" si="33"/>
        <v>3.5232877234584437E-3</v>
      </c>
      <c r="AJ281" s="6">
        <f t="shared" si="33"/>
        <v>3.7042154804113052E-3</v>
      </c>
      <c r="AK281" s="6">
        <f t="shared" si="33"/>
        <v>3.8831895711081863E-3</v>
      </c>
      <c r="AL281" s="6">
        <f t="shared" si="33"/>
        <v>4.0624955926399815E-3</v>
      </c>
      <c r="AM281" s="6">
        <f t="shared" si="33"/>
        <v>4.2408199931943773E-3</v>
      </c>
      <c r="AN281" s="6">
        <f t="shared" si="33"/>
        <v>4.5887493912891257E-3</v>
      </c>
      <c r="AO281" s="6">
        <f t="shared" si="33"/>
        <v>4.9363305643528917E-3</v>
      </c>
      <c r="AP281" s="6">
        <f t="shared" si="33"/>
        <v>5.28341076226498E-3</v>
      </c>
      <c r="AQ281" s="6">
        <f t="shared" si="33"/>
        <v>5.6303437129935352E-3</v>
      </c>
      <c r="AR281" s="6">
        <f t="shared" si="33"/>
        <v>5.9769513937588444E-3</v>
      </c>
      <c r="AS281" s="6">
        <f t="shared" si="33"/>
        <v>6.0004033289747299E-3</v>
      </c>
      <c r="AT281" s="6">
        <f t="shared" si="33"/>
        <v>6.023555104377745E-3</v>
      </c>
      <c r="AU281" s="6">
        <f t="shared" si="33"/>
        <v>6.0462567937654551E-3</v>
      </c>
      <c r="AV281" s="6">
        <f t="shared" si="33"/>
        <v>6.0689467723521601E-3</v>
      </c>
      <c r="AW281" s="6">
        <f t="shared" si="33"/>
        <v>6.0914141894700896E-3</v>
      </c>
      <c r="AX281" s="6">
        <f t="shared" si="33"/>
        <v>6.0028554034763995E-3</v>
      </c>
      <c r="AY281" s="6">
        <f t="shared" si="33"/>
        <v>5.8401461455159899E-3</v>
      </c>
      <c r="AZ281" s="6">
        <f t="shared" si="33"/>
        <v>5.6775291565532701E-3</v>
      </c>
      <c r="BA281" s="6">
        <f t="shared" si="33"/>
        <v>5.5150001485387845E-3</v>
      </c>
    </row>
    <row r="282" spans="1:53" outlineLevel="1" x14ac:dyDescent="0.35">
      <c r="A282" s="6" t="s">
        <v>38</v>
      </c>
      <c r="B282" s="6">
        <f t="shared" si="30"/>
        <v>2.209496262897262E-2</v>
      </c>
      <c r="AB282" s="6" t="s">
        <v>124</v>
      </c>
      <c r="AC282" s="6">
        <f>-$AC$264*$AC$263</f>
        <v>-4.6399999999999997E-2</v>
      </c>
      <c r="AD282" s="6">
        <f t="shared" ref="AD282:BA282" si="34">-$AC$264*$AC$263</f>
        <v>-4.6399999999999997E-2</v>
      </c>
      <c r="AE282" s="6">
        <f t="shared" si="34"/>
        <v>-4.6399999999999997E-2</v>
      </c>
      <c r="AF282" s="6">
        <f t="shared" si="34"/>
        <v>-4.6399999999999997E-2</v>
      </c>
      <c r="AG282" s="6">
        <f t="shared" si="34"/>
        <v>-4.6399999999999997E-2</v>
      </c>
      <c r="AH282" s="6">
        <f t="shared" si="34"/>
        <v>-4.6399999999999997E-2</v>
      </c>
      <c r="AI282" s="6">
        <f t="shared" si="34"/>
        <v>-4.6399999999999997E-2</v>
      </c>
      <c r="AJ282" s="6">
        <f t="shared" si="34"/>
        <v>-4.6399999999999997E-2</v>
      </c>
      <c r="AK282" s="6">
        <f t="shared" si="34"/>
        <v>-4.6399999999999997E-2</v>
      </c>
      <c r="AL282" s="6">
        <f t="shared" si="34"/>
        <v>-4.6399999999999997E-2</v>
      </c>
      <c r="AM282" s="6">
        <f t="shared" si="34"/>
        <v>-4.6399999999999997E-2</v>
      </c>
      <c r="AN282" s="6">
        <f t="shared" si="34"/>
        <v>-4.6399999999999997E-2</v>
      </c>
      <c r="AO282" s="6">
        <f t="shared" si="34"/>
        <v>-4.6399999999999997E-2</v>
      </c>
      <c r="AP282" s="6">
        <f t="shared" si="34"/>
        <v>-4.6399999999999997E-2</v>
      </c>
      <c r="AQ282" s="6">
        <f t="shared" si="34"/>
        <v>-4.6399999999999997E-2</v>
      </c>
      <c r="AR282" s="6">
        <f t="shared" si="34"/>
        <v>-4.6399999999999997E-2</v>
      </c>
      <c r="AS282" s="6">
        <f t="shared" si="34"/>
        <v>-4.6399999999999997E-2</v>
      </c>
      <c r="AT282" s="6">
        <f t="shared" si="34"/>
        <v>-4.6399999999999997E-2</v>
      </c>
      <c r="AU282" s="6">
        <f t="shared" si="34"/>
        <v>-4.6399999999999997E-2</v>
      </c>
      <c r="AV282" s="6">
        <f t="shared" si="34"/>
        <v>-4.6399999999999997E-2</v>
      </c>
      <c r="AW282" s="6">
        <f t="shared" si="34"/>
        <v>-4.6399999999999997E-2</v>
      </c>
      <c r="AX282" s="6">
        <f t="shared" si="34"/>
        <v>-4.6399999999999997E-2</v>
      </c>
      <c r="AY282" s="6">
        <f t="shared" si="34"/>
        <v>-4.6399999999999997E-2</v>
      </c>
      <c r="AZ282" s="6">
        <f t="shared" si="34"/>
        <v>-4.6399999999999997E-2</v>
      </c>
      <c r="BA282" s="6">
        <f t="shared" si="34"/>
        <v>-4.6399999999999997E-2</v>
      </c>
    </row>
    <row r="283" spans="1:53" outlineLevel="1" x14ac:dyDescent="0.35">
      <c r="A283" s="6" t="s">
        <v>39</v>
      </c>
      <c r="B283" s="6">
        <f t="shared" si="30"/>
        <v>5.8245388563263008E-2</v>
      </c>
      <c r="AB283" s="23" t="s">
        <v>125</v>
      </c>
      <c r="AC283" s="17">
        <f t="shared" ref="AC283:BA283" si="35">SUM(AC274:AC282)</f>
        <v>0.18715717037008642</v>
      </c>
      <c r="AD283" s="17">
        <f t="shared" si="35"/>
        <v>1.9982888162646553E-2</v>
      </c>
      <c r="AE283" s="17">
        <f t="shared" si="35"/>
        <v>1.9965725484878613E-2</v>
      </c>
      <c r="AF283" s="17">
        <f t="shared" si="35"/>
        <v>2.2246342256200244E-2</v>
      </c>
      <c r="AG283" s="17">
        <f t="shared" si="35"/>
        <v>1.9891132227664504E-2</v>
      </c>
      <c r="AH283" s="17">
        <f t="shared" si="35"/>
        <v>1.9874669302916578E-2</v>
      </c>
      <c r="AI283" s="17">
        <f t="shared" si="35"/>
        <v>2.2356863712426969E-2</v>
      </c>
      <c r="AJ283" s="17">
        <f t="shared" si="35"/>
        <v>2.0176370623551626E-2</v>
      </c>
      <c r="AK283" s="17">
        <f t="shared" si="35"/>
        <v>2.0311305684223874E-2</v>
      </c>
      <c r="AL283" s="17">
        <f t="shared" si="35"/>
        <v>2.2803506688984093E-2</v>
      </c>
      <c r="AM283" s="17">
        <f t="shared" si="35"/>
        <v>2.0628999739596962E-2</v>
      </c>
      <c r="AN283" s="17">
        <f t="shared" si="35"/>
        <v>2.0975876380173161E-2</v>
      </c>
      <c r="AO283" s="17">
        <f t="shared" si="35"/>
        <v>2.3669733625560407E-2</v>
      </c>
      <c r="AP283" s="17">
        <f t="shared" si="35"/>
        <v>2.1673986794564379E-2</v>
      </c>
      <c r="AQ283" s="17">
        <f t="shared" si="35"/>
        <v>2.202813131718534E-2</v>
      </c>
      <c r="AR283" s="17">
        <f t="shared" si="35"/>
        <v>2.4741471740779106E-2</v>
      </c>
      <c r="AS283" s="17">
        <f t="shared" si="35"/>
        <v>2.2382568511538373E-2</v>
      </c>
      <c r="AT283" s="17">
        <f t="shared" si="35"/>
        <v>2.2379742725600255E-2</v>
      </c>
      <c r="AU283" s="17">
        <f t="shared" si="35"/>
        <v>2.4702904700012157E-2</v>
      </c>
      <c r="AV283" s="17">
        <f t="shared" si="35"/>
        <v>2.2368437431679863E-2</v>
      </c>
      <c r="AW283" s="17">
        <f t="shared" si="35"/>
        <v>2.2364241186432543E-2</v>
      </c>
      <c r="AX283" s="17">
        <f t="shared" si="35"/>
        <v>2.4726913708813553E-2</v>
      </c>
      <c r="AY283" s="17">
        <f t="shared" si="35"/>
        <v>2.2197054102063213E-2</v>
      </c>
      <c r="AZ283" s="17">
        <f t="shared" si="35"/>
        <v>2.1989747995079134E-2</v>
      </c>
      <c r="BA283" s="17">
        <f t="shared" si="35"/>
        <v>2.5426985345838274E-2</v>
      </c>
    </row>
    <row r="284" spans="1:53" outlineLevel="1" x14ac:dyDescent="0.35">
      <c r="A284" s="6" t="s">
        <v>41</v>
      </c>
      <c r="B284" s="6">
        <f t="shared" si="30"/>
        <v>3.0224220416950572E-4</v>
      </c>
    </row>
    <row r="285" spans="1:53" outlineLevel="1" x14ac:dyDescent="0.35">
      <c r="A285" s="6" t="s">
        <v>43</v>
      </c>
      <c r="B285" s="6">
        <f t="shared" si="30"/>
        <v>9.3081040387393941E-4</v>
      </c>
      <c r="AB285" s="272"/>
      <c r="AC285" s="272"/>
      <c r="AD285" s="272"/>
      <c r="AE285" s="272"/>
      <c r="AF285" s="272"/>
      <c r="AG285" s="272"/>
      <c r="AH285" s="272"/>
      <c r="AI285" s="272"/>
      <c r="AJ285" s="272"/>
      <c r="AK285" s="272"/>
      <c r="AL285" s="272"/>
      <c r="AM285" s="272"/>
      <c r="AN285" s="272"/>
      <c r="AO285" s="272"/>
      <c r="AP285" s="272"/>
      <c r="AQ285" s="272"/>
      <c r="AR285" s="272"/>
      <c r="AS285" s="272"/>
      <c r="AT285" s="272"/>
      <c r="AU285" s="272"/>
      <c r="AV285" s="272"/>
      <c r="AW285" s="272"/>
      <c r="AX285" s="272"/>
      <c r="AY285" s="272"/>
      <c r="AZ285" s="272"/>
      <c r="BA285" s="272"/>
    </row>
    <row r="286" spans="1:53" outlineLevel="1" x14ac:dyDescent="0.35">
      <c r="A286" s="6" t="s">
        <v>44</v>
      </c>
      <c r="B286" s="6">
        <f>B22*AC265</f>
        <v>5.005014287129188E-3</v>
      </c>
      <c r="AB286" s="272"/>
      <c r="AC286" s="272"/>
      <c r="AD286" s="272"/>
      <c r="AE286" s="272"/>
      <c r="AF286" s="272"/>
      <c r="AG286" s="272"/>
      <c r="AH286" s="272"/>
      <c r="AI286" s="272"/>
      <c r="AJ286" s="272"/>
      <c r="AK286" s="272"/>
      <c r="AL286" s="272"/>
      <c r="AM286" s="272"/>
      <c r="AN286" s="272"/>
      <c r="AO286" s="272"/>
      <c r="AP286" s="272"/>
      <c r="AQ286" s="272"/>
      <c r="AR286" s="272"/>
      <c r="AS286" s="272"/>
      <c r="AT286" s="272"/>
      <c r="AU286" s="272"/>
      <c r="AV286" s="272"/>
      <c r="AW286" s="272"/>
      <c r="AX286" s="272"/>
      <c r="AY286" s="272"/>
      <c r="AZ286" s="272"/>
      <c r="BA286" s="272"/>
    </row>
    <row r="287" spans="1:53" outlineLevel="1" x14ac:dyDescent="0.35">
      <c r="A287" s="6" t="s">
        <v>757</v>
      </c>
      <c r="B287" s="6">
        <f>B23*AC265</f>
        <v>7.3379468259037678E-3</v>
      </c>
      <c r="AB287" s="272"/>
      <c r="AC287" s="272"/>
      <c r="AD287" s="272"/>
      <c r="AE287" s="272"/>
      <c r="AF287" s="272"/>
      <c r="AG287" s="272"/>
      <c r="AH287" s="272"/>
      <c r="AI287" s="272"/>
      <c r="AJ287" s="272"/>
      <c r="AK287" s="272"/>
      <c r="AL287" s="272"/>
      <c r="AM287" s="272"/>
      <c r="AN287" s="272"/>
      <c r="AO287" s="272"/>
      <c r="AP287" s="272"/>
      <c r="AQ287" s="272"/>
      <c r="AR287" s="272"/>
      <c r="AS287" s="272"/>
      <c r="AT287" s="272"/>
      <c r="AU287" s="272"/>
      <c r="AV287" s="272"/>
      <c r="AW287" s="272"/>
      <c r="AX287" s="272"/>
      <c r="AY287" s="272"/>
      <c r="AZ287" s="272"/>
      <c r="BA287" s="272"/>
    </row>
    <row r="288" spans="1:53" outlineLevel="1" x14ac:dyDescent="0.35">
      <c r="A288" s="6" t="s">
        <v>22</v>
      </c>
      <c r="Z288" s="6">
        <f t="shared" ref="Z288:Z299" si="36">Z24</f>
        <v>2.5411777990047328E-5</v>
      </c>
      <c r="AB288" s="272"/>
      <c r="AC288" s="272"/>
      <c r="AD288" s="272"/>
      <c r="AE288" s="272"/>
      <c r="AF288" s="272"/>
      <c r="AG288" s="272"/>
      <c r="AH288" s="272"/>
      <c r="AI288" s="272"/>
      <c r="AJ288" s="272"/>
      <c r="AK288" s="272"/>
      <c r="AL288" s="272"/>
      <c r="AM288" s="272"/>
      <c r="AN288" s="272"/>
      <c r="AO288" s="272"/>
      <c r="AP288" s="272"/>
      <c r="AQ288" s="272"/>
      <c r="AR288" s="272"/>
      <c r="AS288" s="272"/>
      <c r="AT288" s="272"/>
      <c r="AU288" s="272"/>
      <c r="AV288" s="272"/>
      <c r="AW288" s="272"/>
      <c r="AX288" s="272"/>
      <c r="AY288" s="272"/>
      <c r="AZ288" s="272"/>
      <c r="BA288" s="272"/>
    </row>
    <row r="289" spans="1:53" outlineLevel="1" x14ac:dyDescent="0.35">
      <c r="A289" s="6" t="s">
        <v>24</v>
      </c>
      <c r="Z289" s="6">
        <f t="shared" si="36"/>
        <v>1.2429945039727371E-5</v>
      </c>
      <c r="AB289" s="272"/>
      <c r="AC289" s="272"/>
      <c r="AD289" s="272"/>
      <c r="AE289" s="272"/>
      <c r="AF289" s="272"/>
      <c r="AG289" s="272"/>
      <c r="AH289" s="272"/>
      <c r="AI289" s="272"/>
      <c r="AJ289" s="272"/>
      <c r="AK289" s="272"/>
      <c r="AL289" s="272"/>
      <c r="AM289" s="272"/>
      <c r="AN289" s="272"/>
      <c r="AO289" s="272"/>
      <c r="AP289" s="272"/>
      <c r="AQ289" s="272"/>
      <c r="AR289" s="272"/>
      <c r="AS289" s="272"/>
      <c r="AT289" s="272"/>
      <c r="AU289" s="272"/>
      <c r="AV289" s="272"/>
      <c r="AW289" s="272"/>
      <c r="AX289" s="272"/>
      <c r="AY289" s="272"/>
      <c r="AZ289" s="272"/>
      <c r="BA289" s="272"/>
    </row>
    <row r="290" spans="1:53" outlineLevel="1" x14ac:dyDescent="0.35">
      <c r="A290" s="6" t="s">
        <v>25</v>
      </c>
      <c r="Z290" s="6">
        <f t="shared" si="36"/>
        <v>4.6226838946619207E-5</v>
      </c>
      <c r="AB290" s="272"/>
      <c r="AC290" s="272"/>
      <c r="AD290" s="272"/>
      <c r="AE290" s="272"/>
      <c r="AF290" s="272"/>
      <c r="AG290" s="272"/>
      <c r="AH290" s="272"/>
      <c r="AI290" s="272"/>
      <c r="AJ290" s="272"/>
      <c r="AK290" s="272"/>
      <c r="AL290" s="272"/>
      <c r="AM290" s="272"/>
      <c r="AN290" s="272"/>
      <c r="AO290" s="272"/>
      <c r="AP290" s="272"/>
      <c r="AQ290" s="272"/>
      <c r="AR290" s="272"/>
      <c r="AS290" s="272"/>
      <c r="AT290" s="272"/>
      <c r="AU290" s="272"/>
      <c r="AV290" s="272"/>
      <c r="AW290" s="272"/>
      <c r="AX290" s="272"/>
      <c r="AY290" s="272"/>
      <c r="AZ290" s="272"/>
      <c r="BA290" s="272"/>
    </row>
    <row r="291" spans="1:53" outlineLevel="1" x14ac:dyDescent="0.35">
      <c r="A291" s="6" t="s">
        <v>27</v>
      </c>
      <c r="Z291" s="6">
        <f t="shared" si="36"/>
        <v>1.8368986682832292E-5</v>
      </c>
      <c r="AB291" s="272"/>
      <c r="AC291" s="272"/>
      <c r="AD291" s="272"/>
      <c r="AE291" s="272"/>
      <c r="AF291" s="272"/>
      <c r="AG291" s="272"/>
      <c r="AH291" s="272"/>
      <c r="AI291" s="272"/>
      <c r="AJ291" s="272"/>
      <c r="AK291" s="272"/>
      <c r="AL291" s="272"/>
      <c r="AM291" s="272"/>
      <c r="AN291" s="272"/>
      <c r="AO291" s="272"/>
      <c r="AP291" s="272"/>
      <c r="AQ291" s="272"/>
      <c r="AR291" s="272"/>
      <c r="AS291" s="272"/>
      <c r="AT291" s="272"/>
      <c r="AU291" s="272"/>
      <c r="AV291" s="272"/>
      <c r="AW291" s="272"/>
      <c r="AX291" s="272"/>
      <c r="AY291" s="272"/>
      <c r="AZ291" s="272"/>
      <c r="BA291" s="272"/>
    </row>
    <row r="292" spans="1:53" outlineLevel="1" x14ac:dyDescent="0.35">
      <c r="A292" s="6" t="s">
        <v>30</v>
      </c>
      <c r="Z292" s="6">
        <f t="shared" si="36"/>
        <v>3.3517962022619069E-5</v>
      </c>
      <c r="AB292" s="272"/>
      <c r="AC292" s="272"/>
      <c r="AD292" s="272"/>
      <c r="AE292" s="272"/>
      <c r="AF292" s="272"/>
      <c r="AG292" s="272"/>
      <c r="AH292" s="272"/>
      <c r="AI292" s="272"/>
      <c r="AJ292" s="272"/>
      <c r="AK292" s="272"/>
      <c r="AL292" s="272"/>
      <c r="AM292" s="272"/>
      <c r="AN292" s="272"/>
      <c r="AO292" s="272"/>
      <c r="AP292" s="272"/>
      <c r="AQ292" s="272"/>
      <c r="AR292" s="272"/>
      <c r="AS292" s="272"/>
      <c r="AT292" s="272"/>
      <c r="AU292" s="272"/>
      <c r="AV292" s="272"/>
      <c r="AW292" s="272"/>
      <c r="AX292" s="272"/>
      <c r="AY292" s="272"/>
      <c r="AZ292" s="272"/>
      <c r="BA292" s="272"/>
    </row>
    <row r="293" spans="1:53" outlineLevel="1" x14ac:dyDescent="0.35">
      <c r="A293" s="6" t="s">
        <v>32</v>
      </c>
      <c r="Z293" s="6">
        <f t="shared" si="36"/>
        <v>4.8143000851052693E-6</v>
      </c>
      <c r="AB293" s="272"/>
      <c r="AC293" s="272"/>
      <c r="AD293" s="272"/>
      <c r="AE293" s="272"/>
      <c r="AF293" s="272"/>
      <c r="AG293" s="272"/>
      <c r="AH293" s="272"/>
      <c r="AI293" s="272"/>
      <c r="AJ293" s="272"/>
      <c r="AK293" s="272"/>
      <c r="AL293" s="272"/>
      <c r="AM293" s="272"/>
      <c r="AN293" s="272"/>
      <c r="AO293" s="272"/>
      <c r="AP293" s="272"/>
      <c r="AQ293" s="272"/>
      <c r="AR293" s="272"/>
      <c r="AS293" s="272"/>
      <c r="AT293" s="272"/>
      <c r="AU293" s="272"/>
      <c r="AV293" s="272"/>
      <c r="AW293" s="272"/>
      <c r="AX293" s="272"/>
      <c r="AY293" s="272"/>
      <c r="AZ293" s="272"/>
      <c r="BA293" s="272"/>
    </row>
    <row r="294" spans="1:53" outlineLevel="1" x14ac:dyDescent="0.35">
      <c r="A294" s="6" t="s">
        <v>33</v>
      </c>
      <c r="Z294" s="6">
        <f t="shared" si="36"/>
        <v>8.5463273686294895E-6</v>
      </c>
      <c r="AB294" s="272"/>
      <c r="AC294" s="272"/>
      <c r="AD294" s="272"/>
      <c r="AE294" s="272"/>
      <c r="AF294" s="272"/>
      <c r="AG294" s="272"/>
      <c r="AH294" s="272"/>
      <c r="AI294" s="272"/>
      <c r="AJ294" s="272"/>
      <c r="AK294" s="272"/>
      <c r="AL294" s="272"/>
      <c r="AM294" s="272"/>
      <c r="AN294" s="272"/>
      <c r="AO294" s="272"/>
      <c r="AP294" s="272"/>
      <c r="AQ294" s="272"/>
      <c r="AR294" s="272"/>
      <c r="AS294" s="272"/>
      <c r="AT294" s="272"/>
      <c r="AU294" s="272"/>
      <c r="AV294" s="272"/>
      <c r="AW294" s="272"/>
      <c r="AX294" s="272"/>
      <c r="AY294" s="272"/>
      <c r="AZ294" s="272"/>
      <c r="BA294" s="272"/>
    </row>
    <row r="295" spans="1:53" outlineLevel="1" x14ac:dyDescent="0.35">
      <c r="A295" s="6" t="s">
        <v>35</v>
      </c>
      <c r="Z295" s="6">
        <f t="shared" si="36"/>
        <v>1.7092654737258979E-5</v>
      </c>
      <c r="AB295" s="272"/>
      <c r="AC295" s="272"/>
      <c r="AD295" s="272"/>
      <c r="AE295" s="272"/>
      <c r="AF295" s="272"/>
      <c r="AG295" s="272"/>
      <c r="AH295" s="272"/>
      <c r="AI295" s="272"/>
      <c r="AJ295" s="272"/>
      <c r="AK295" s="272"/>
      <c r="AL295" s="272"/>
      <c r="AM295" s="272"/>
      <c r="AN295" s="272"/>
      <c r="AO295" s="272"/>
      <c r="AP295" s="272"/>
      <c r="AQ295" s="272"/>
      <c r="AR295" s="272"/>
      <c r="AS295" s="272"/>
      <c r="AT295" s="272"/>
      <c r="AU295" s="272"/>
      <c r="AV295" s="272"/>
      <c r="AW295" s="272"/>
      <c r="AX295" s="272"/>
      <c r="AY295" s="272"/>
      <c r="AZ295" s="272"/>
      <c r="BA295" s="272"/>
    </row>
    <row r="296" spans="1:53" outlineLevel="1" x14ac:dyDescent="0.35">
      <c r="A296" s="6" t="s">
        <v>37</v>
      </c>
      <c r="Z296" s="6">
        <f t="shared" si="36"/>
        <v>4.5826688518955138E-5</v>
      </c>
      <c r="AB296" s="272"/>
      <c r="AC296" s="272"/>
      <c r="AD296" s="272"/>
      <c r="AE296" s="272"/>
      <c r="AF296" s="272"/>
      <c r="AG296" s="272"/>
      <c r="AH296" s="272"/>
      <c r="AI296" s="272"/>
      <c r="AJ296" s="272"/>
      <c r="AK296" s="272"/>
      <c r="AL296" s="272"/>
      <c r="AM296" s="272"/>
      <c r="AN296" s="272"/>
      <c r="AO296" s="272"/>
      <c r="AP296" s="272"/>
      <c r="AQ296" s="272"/>
      <c r="AR296" s="272"/>
      <c r="AS296" s="272"/>
      <c r="AT296" s="272"/>
      <c r="AU296" s="272"/>
      <c r="AV296" s="272"/>
      <c r="AW296" s="272"/>
      <c r="AX296" s="272"/>
      <c r="AY296" s="272"/>
      <c r="AZ296" s="272"/>
      <c r="BA296" s="272"/>
    </row>
    <row r="297" spans="1:53" outlineLevel="1" x14ac:dyDescent="0.35">
      <c r="A297" s="6" t="s">
        <v>40</v>
      </c>
      <c r="Z297" s="6">
        <f t="shared" si="36"/>
        <v>6.0617175315794527E-4</v>
      </c>
    </row>
    <row r="298" spans="1:53" outlineLevel="1" x14ac:dyDescent="0.35">
      <c r="A298" s="6" t="s">
        <v>42</v>
      </c>
      <c r="Z298" s="6">
        <f t="shared" si="36"/>
        <v>6.2586007271436383E-5</v>
      </c>
    </row>
    <row r="299" spans="1:53" outlineLevel="1" x14ac:dyDescent="0.35">
      <c r="A299" s="6" t="s">
        <v>115</v>
      </c>
      <c r="Z299" s="6">
        <f t="shared" si="36"/>
        <v>4.6507828238971232E-4</v>
      </c>
    </row>
    <row r="300" spans="1:53" outlineLevel="1" x14ac:dyDescent="0.35">
      <c r="A300" s="6" t="s">
        <v>45</v>
      </c>
      <c r="Z300" s="6">
        <f>Z36*AC265</f>
        <v>1.8634370123773913E-5</v>
      </c>
    </row>
    <row r="301" spans="1:53" outlineLevel="1" x14ac:dyDescent="0.35">
      <c r="A301" s="6" t="s">
        <v>116</v>
      </c>
      <c r="B301" s="6">
        <f>B37</f>
        <v>2.357201361606037E-3</v>
      </c>
      <c r="C301" s="6">
        <f t="shared" ref="C301:Z301" si="37">C37</f>
        <v>2.353600688123866E-3</v>
      </c>
      <c r="D301" s="6">
        <f t="shared" si="37"/>
        <v>2.3500071116123412E-3</v>
      </c>
      <c r="E301" s="6">
        <f t="shared" si="37"/>
        <v>2.338551887019074E-3</v>
      </c>
      <c r="F301" s="6">
        <f t="shared" si="37"/>
        <v>2.334948183247444E-3</v>
      </c>
      <c r="G301" s="6">
        <f t="shared" si="37"/>
        <v>2.331359143562522E-3</v>
      </c>
      <c r="H301" s="6">
        <f t="shared" si="37"/>
        <v>2.3329664166207272E-3</v>
      </c>
      <c r="I301" s="6">
        <f t="shared" si="37"/>
        <v>2.334616646953573E-3</v>
      </c>
      <c r="J301" s="6">
        <f t="shared" si="37"/>
        <v>2.3325229805307031E-3</v>
      </c>
      <c r="K301" s="6">
        <f t="shared" si="37"/>
        <v>2.334292606370443E-3</v>
      </c>
      <c r="L301" s="6">
        <f t="shared" si="37"/>
        <v>2.336092196522456E-3</v>
      </c>
      <c r="M301" s="6">
        <f t="shared" si="37"/>
        <v>2.3402354271006591E-3</v>
      </c>
      <c r="N301" s="6">
        <f t="shared" si="37"/>
        <v>2.344407424713253E-3</v>
      </c>
      <c r="O301" s="6">
        <f t="shared" si="37"/>
        <v>2.3478787798235871E-3</v>
      </c>
      <c r="P301" s="6">
        <f t="shared" si="37"/>
        <v>2.3521715641440159E-3</v>
      </c>
      <c r="Q301" s="6">
        <f t="shared" si="37"/>
        <v>2.3564976098142901E-3</v>
      </c>
      <c r="R301" s="6">
        <f t="shared" si="37"/>
        <v>2.348309135255047E-3</v>
      </c>
      <c r="S301" s="6">
        <f t="shared" si="37"/>
        <v>2.3400539690804929E-3</v>
      </c>
      <c r="T301" s="6">
        <f t="shared" si="37"/>
        <v>2.3307713043124539E-3</v>
      </c>
      <c r="U301" s="6">
        <f t="shared" si="37"/>
        <v>2.322378092485674E-3</v>
      </c>
      <c r="V301" s="6">
        <f t="shared" si="37"/>
        <v>2.3139082606342351E-3</v>
      </c>
      <c r="W301" s="6">
        <f t="shared" si="37"/>
        <v>2.3230274489819871E-3</v>
      </c>
      <c r="X301" s="6">
        <f t="shared" si="37"/>
        <v>2.308890132934231E-3</v>
      </c>
      <c r="Y301" s="6">
        <f t="shared" si="37"/>
        <v>2.2946569016000559E-3</v>
      </c>
      <c r="Z301" s="6">
        <f t="shared" si="37"/>
        <v>2.2803262576522711E-3</v>
      </c>
    </row>
    <row r="302" spans="1:53" outlineLevel="1" x14ac:dyDescent="0.35">
      <c r="A302" s="6" t="s">
        <v>758</v>
      </c>
      <c r="B302" s="6">
        <f>B38*$AC$265</f>
        <v>3.3996838621343311E-3</v>
      </c>
      <c r="C302" s="6">
        <f t="shared" ref="C302:Z302" si="38">C38*$AC$265</f>
        <v>3.3892417250063834E-3</v>
      </c>
      <c r="D302" s="6">
        <f t="shared" si="38"/>
        <v>3.3779877394745713E-3</v>
      </c>
      <c r="E302" s="6">
        <f t="shared" si="38"/>
        <v>3.3645712226863479E-3</v>
      </c>
      <c r="F302" s="6">
        <f t="shared" si="38"/>
        <v>3.353027377269197E-3</v>
      </c>
      <c r="G302" s="6">
        <f t="shared" si="38"/>
        <v>3.3414733749654421E-3</v>
      </c>
      <c r="H302" s="6">
        <f t="shared" si="38"/>
        <v>3.5232877234584437E-3</v>
      </c>
      <c r="I302" s="6">
        <f t="shared" si="38"/>
        <v>3.7042154804113052E-3</v>
      </c>
      <c r="J302" s="6">
        <f t="shared" si="38"/>
        <v>3.8831895711081863E-3</v>
      </c>
      <c r="K302" s="6">
        <f t="shared" si="38"/>
        <v>4.0624955926399815E-3</v>
      </c>
      <c r="L302" s="6">
        <f t="shared" si="38"/>
        <v>4.2408199931943773E-3</v>
      </c>
      <c r="M302" s="6">
        <f t="shared" si="38"/>
        <v>4.5887493912891257E-3</v>
      </c>
      <c r="N302" s="6">
        <f t="shared" si="38"/>
        <v>4.9363305643528917E-3</v>
      </c>
      <c r="O302" s="6">
        <f t="shared" si="38"/>
        <v>5.28341076226498E-3</v>
      </c>
      <c r="P302" s="6">
        <f t="shared" si="38"/>
        <v>5.6303437129935352E-3</v>
      </c>
      <c r="Q302" s="6">
        <f t="shared" si="38"/>
        <v>5.9769513937588444E-3</v>
      </c>
      <c r="R302" s="6">
        <f t="shared" si="38"/>
        <v>6.0004033289747299E-3</v>
      </c>
      <c r="S302" s="6">
        <f t="shared" si="38"/>
        <v>6.023555104377745E-3</v>
      </c>
      <c r="T302" s="6">
        <f t="shared" si="38"/>
        <v>6.0462567937654551E-3</v>
      </c>
      <c r="U302" s="6">
        <f t="shared" si="38"/>
        <v>6.0689467723521601E-3</v>
      </c>
      <c r="V302" s="6">
        <f t="shared" si="38"/>
        <v>6.0914141894700896E-3</v>
      </c>
      <c r="W302" s="6">
        <f t="shared" si="38"/>
        <v>6.0028554034763995E-3</v>
      </c>
      <c r="X302" s="6">
        <f t="shared" si="38"/>
        <v>5.8401461455159899E-3</v>
      </c>
      <c r="Y302" s="6">
        <f t="shared" si="38"/>
        <v>5.6775291565532701E-3</v>
      </c>
      <c r="Z302" s="6">
        <f t="shared" si="38"/>
        <v>5.5150001485387845E-3</v>
      </c>
    </row>
    <row r="303" spans="1:53" outlineLevel="1" x14ac:dyDescent="0.35">
      <c r="A303" s="6" t="s">
        <v>759</v>
      </c>
      <c r="B303" s="6">
        <f>B39*$AC$265</f>
        <v>0</v>
      </c>
      <c r="C303" s="6">
        <f t="shared" ref="C303:Z303" si="39">C39*$AC$265</f>
        <v>0</v>
      </c>
      <c r="D303" s="6">
        <f t="shared" si="39"/>
        <v>0</v>
      </c>
      <c r="E303" s="6">
        <f t="shared" si="39"/>
        <v>0</v>
      </c>
      <c r="F303" s="6">
        <f t="shared" si="39"/>
        <v>0</v>
      </c>
      <c r="G303" s="6">
        <f t="shared" si="39"/>
        <v>0</v>
      </c>
      <c r="H303" s="6">
        <f t="shared" si="39"/>
        <v>0</v>
      </c>
      <c r="I303" s="6">
        <f t="shared" si="39"/>
        <v>0</v>
      </c>
      <c r="J303" s="6">
        <f t="shared" si="39"/>
        <v>0</v>
      </c>
      <c r="K303" s="6">
        <f t="shared" si="39"/>
        <v>0</v>
      </c>
      <c r="L303" s="6">
        <f t="shared" si="39"/>
        <v>0</v>
      </c>
      <c r="M303" s="6">
        <f t="shared" si="39"/>
        <v>0</v>
      </c>
      <c r="N303" s="6">
        <f t="shared" si="39"/>
        <v>0</v>
      </c>
      <c r="O303" s="6">
        <f t="shared" si="39"/>
        <v>0</v>
      </c>
      <c r="P303" s="6">
        <f t="shared" si="39"/>
        <v>0</v>
      </c>
      <c r="Q303" s="6">
        <f t="shared" si="39"/>
        <v>0</v>
      </c>
      <c r="R303" s="6">
        <f t="shared" si="39"/>
        <v>0</v>
      </c>
      <c r="S303" s="6">
        <f t="shared" si="39"/>
        <v>0</v>
      </c>
      <c r="T303" s="6">
        <f t="shared" si="39"/>
        <v>0</v>
      </c>
      <c r="U303" s="6">
        <f t="shared" si="39"/>
        <v>0</v>
      </c>
      <c r="V303" s="6">
        <f t="shared" si="39"/>
        <v>0</v>
      </c>
      <c r="W303" s="6">
        <f t="shared" si="39"/>
        <v>0</v>
      </c>
      <c r="X303" s="6">
        <f t="shared" si="39"/>
        <v>0</v>
      </c>
      <c r="Y303" s="6">
        <f t="shared" si="39"/>
        <v>0</v>
      </c>
      <c r="Z303" s="6">
        <f t="shared" si="39"/>
        <v>0</v>
      </c>
    </row>
    <row r="304" spans="1:53" outlineLevel="1" x14ac:dyDescent="0.35">
      <c r="A304" s="6" t="s">
        <v>760</v>
      </c>
      <c r="B304" s="6">
        <f>$B$252*$AC$264*'Results - raw data ReCiPe (H)'!C114/(1-$AC$270)*(1+'Results ReCiPe (H) - HHD'!$AC$271/'Results ReCiPe (H) - HHD'!$AC$272-'Results ReCiPe (H) - HHD'!$AC$271)</f>
        <v>2.5393132376145978E-2</v>
      </c>
      <c r="C304" s="6">
        <f>$B$252*$AC$264*'Results - raw data ReCiPe (H)'!D114/(1-$AC$270)*(1+'Results ReCiPe (H) - HHD'!$AC$271/'Results ReCiPe (H) - HHD'!$AC$272-'Results ReCiPe (H) - HHD'!$AC$271)</f>
        <v>2.5386762089797048E-2</v>
      </c>
      <c r="D304" s="6">
        <f>$B$252*$AC$264*'Results - raw data ReCiPe (H)'!E114/(1-$AC$270)*(1+'Results ReCiPe (H) - HHD'!$AC$271/'Results ReCiPe (H) - HHD'!$AC$272-'Results ReCiPe (H) - HHD'!$AC$271)</f>
        <v>2.538085339756093E-2</v>
      </c>
      <c r="E304" s="6">
        <f>$B$252*$AC$264*'Results - raw data ReCiPe (H)'!F114/(1-$AC$270)*(1+'Results ReCiPe (H) - HHD'!$AC$271/'Results ReCiPe (H) - HHD'!$AC$272-'Results ReCiPe (H) - HHD'!$AC$271)</f>
        <v>2.5336334798651702E-2</v>
      </c>
      <c r="F304" s="6">
        <f>$B$252*$AC$264*'Results - raw data ReCiPe (H)'!G114/(1-$AC$270)*(1+'Results ReCiPe (H) - HHD'!$AC$271/'Results ReCiPe (H) - HHD'!$AC$272-'Results ReCiPe (H) - HHD'!$AC$271)</f>
        <v>2.5331220502552203E-2</v>
      </c>
      <c r="G304" s="6">
        <f>$B$252*$AC$264*'Results - raw data ReCiPe (H)'!H114/(1-$AC$270)*(1+'Results ReCiPe (H) - HHD'!$AC$271/'Results ReCiPe (H) - HHD'!$AC$272-'Results ReCiPe (H) - HHD'!$AC$271)</f>
        <v>2.5326311580108021E-2</v>
      </c>
      <c r="H304" s="6">
        <f>$B$252*$AC$264*'Results - raw data ReCiPe (H)'!I114/(1-$AC$270)*(1+'Results ReCiPe (H) - HHD'!$AC$271/'Results ReCiPe (H) - HHD'!$AC$272-'Results ReCiPe (H) - HHD'!$AC$271)</f>
        <v>2.5293725224504678E-2</v>
      </c>
      <c r="I304" s="6">
        <f>$B$252*$AC$264*'Results - raw data ReCiPe (H)'!J114/(1-$AC$270)*(1+'Results ReCiPe (H) - HHD'!$AC$271/'Results ReCiPe (H) - HHD'!$AC$272-'Results ReCiPe (H) - HHD'!$AC$271)</f>
        <v>2.5265270795297202E-2</v>
      </c>
      <c r="J304" s="6">
        <f>$B$252*$AC$264*'Results - raw data ReCiPe (H)'!K114/(1-$AC$270)*(1+'Results ReCiPe (H) - HHD'!$AC$271/'Results ReCiPe (H) - HHD'!$AC$272-'Results ReCiPe (H) - HHD'!$AC$271)</f>
        <v>2.5221231765272578E-2</v>
      </c>
      <c r="K304" s="6">
        <f>$B$252*$AC$264*'Results - raw data ReCiPe (H)'!L114/(1-$AC$270)*(1+'Results ReCiPe (H) - HHD'!$AC$271/'Results ReCiPe (H) - HHD'!$AC$272-'Results ReCiPe (H) - HHD'!$AC$271)</f>
        <v>2.5199834142130565E-2</v>
      </c>
      <c r="L304" s="6">
        <f>$B$252*$AC$264*'Results - raw data ReCiPe (H)'!M114/(1-$AC$270)*(1+'Results ReCiPe (H) - HHD'!$AC$271/'Results ReCiPe (H) - HHD'!$AC$272-'Results ReCiPe (H) - HHD'!$AC$271)</f>
        <v>2.5181295398559476E-2</v>
      </c>
      <c r="M304" s="6">
        <f>$B$252*$AC$264*'Results - raw data ReCiPe (H)'!N114/(1-$AC$270)*(1+'Results ReCiPe (H) - HHD'!$AC$271/'Results ReCiPe (H) - HHD'!$AC$272-'Results ReCiPe (H) - HHD'!$AC$271)</f>
        <v>2.5180242641040913E-2</v>
      </c>
      <c r="N304" s="6">
        <f>$B$252*$AC$264*'Results - raw data ReCiPe (H)'!O114/(1-$AC$270)*(1+'Results ReCiPe (H) - HHD'!$AC$271/'Results ReCiPe (H) - HHD'!$AC$272-'Results ReCiPe (H) - HHD'!$AC$271)</f>
        <v>2.5182111288651152E-2</v>
      </c>
      <c r="O304" s="6">
        <f>$B$252*$AC$264*'Results - raw data ReCiPe (H)'!P114/(1-$AC$270)*(1+'Results ReCiPe (H) - HHD'!$AC$271/'Results ReCiPe (H) - HHD'!$AC$272-'Results ReCiPe (H) - HHD'!$AC$271)</f>
        <v>2.5183691684456298E-2</v>
      </c>
      <c r="P304" s="6">
        <f>$B$252*$AC$264*'Results - raw data ReCiPe (H)'!Q114/(1-$AC$270)*(1+'Results ReCiPe (H) - HHD'!$AC$271/'Results ReCiPe (H) - HHD'!$AC$272-'Results ReCiPe (H) - HHD'!$AC$271)</f>
        <v>2.51909032563487E-2</v>
      </c>
      <c r="Q304" s="6">
        <f>$B$252*$AC$264*'Results - raw data ReCiPe (H)'!R114/(1-$AC$270)*(1+'Results ReCiPe (H) - HHD'!$AC$271/'Results ReCiPe (H) - HHD'!$AC$272-'Results ReCiPe (H) - HHD'!$AC$271)</f>
        <v>2.520113838936287E-2</v>
      </c>
      <c r="R304" s="6">
        <f>$B$252*$AC$264*'Results - raw data ReCiPe (H)'!S114/(1-$AC$270)*(1+'Results ReCiPe (H) - HHD'!$AC$271/'Results ReCiPe (H) - HHD'!$AC$272-'Results ReCiPe (H) - HHD'!$AC$271)</f>
        <v>2.5175280834720534E-2</v>
      </c>
      <c r="S304" s="6">
        <f>$B$252*$AC$264*'Results - raw data ReCiPe (H)'!T114/(1-$AC$270)*(1+'Results ReCiPe (H) - HHD'!$AC$271/'Results ReCiPe (H) - HHD'!$AC$272-'Results ReCiPe (H) - HHD'!$AC$271)</f>
        <v>2.5149303273379404E-2</v>
      </c>
      <c r="T304" s="6">
        <f>$B$252*$AC$264*'Results - raw data ReCiPe (H)'!U114/(1-$AC$270)*(1+'Results ReCiPe (H) - HHD'!$AC$271/'Results ReCiPe (H) - HHD'!$AC$272-'Results ReCiPe (H) - HHD'!$AC$271)</f>
        <v>2.5118992254091137E-2</v>
      </c>
      <c r="U304" s="6">
        <f>$B$252*$AC$264*'Results - raw data ReCiPe (H)'!V114/(1-$AC$270)*(1+'Results ReCiPe (H) - HHD'!$AC$271/'Results ReCiPe (H) - HHD'!$AC$272-'Results ReCiPe (H) - HHD'!$AC$271)</f>
        <v>2.5092606311484598E-2</v>
      </c>
      <c r="V304" s="6">
        <f>$B$252*$AC$264*'Results - raw data ReCiPe (H)'!W114/(1-$AC$270)*(1+'Results ReCiPe (H) - HHD'!$AC$271/'Results ReCiPe (H) - HHD'!$AC$272-'Results ReCiPe (H) - HHD'!$AC$271)</f>
        <v>2.5065942649119339E-2</v>
      </c>
      <c r="W304" s="6">
        <f>$B$252*$AC$264*'Results - raw data ReCiPe (H)'!X114/(1-$AC$270)*(1+'Results ReCiPe (H) - HHD'!$AC$271/'Results ReCiPe (H) - HHD'!$AC$272-'Results ReCiPe (H) - HHD'!$AC$271)</f>
        <v>2.5194146508512049E-2</v>
      </c>
      <c r="X304" s="6">
        <f>$B$252*$AC$264*'Results - raw data ReCiPe (H)'!Y114/(1-$AC$270)*(1+'Results ReCiPe (H) - HHD'!$AC$271/'Results ReCiPe (H) - HHD'!$AC$272-'Results ReCiPe (H) - HHD'!$AC$271)</f>
        <v>2.5150023608704108E-2</v>
      </c>
      <c r="Y304" s="6">
        <f>$B$252*$AC$264*'Results - raw data ReCiPe (H)'!Z114/(1-$AC$270)*(1+'Results ReCiPe (H) - HHD'!$AC$271/'Results ReCiPe (H) - HHD'!$AC$272-'Results ReCiPe (H) - HHD'!$AC$271)</f>
        <v>2.5105334490682755E-2</v>
      </c>
      <c r="Z304" s="6">
        <f>$B$252*$AC$264*'Results - raw data ReCiPe (H)'!AA114/(1-$AC$270)*(1+'Results ReCiPe (H) - HHD'!$AC$271/'Results ReCiPe (H) - HHD'!$AC$272-'Results ReCiPe (H) - HHD'!$AC$271)</f>
        <v>2.5060068697469448E-2</v>
      </c>
    </row>
    <row r="305" spans="1:26" outlineLevel="1" x14ac:dyDescent="0.35">
      <c r="A305" s="6" t="s">
        <v>797</v>
      </c>
      <c r="B305" s="6">
        <f>$B$260*$AC$264</f>
        <v>3.7606884347843109E-2</v>
      </c>
      <c r="C305" s="6">
        <f t="shared" ref="C305:Z305" si="40">$B$260*$AC$264</f>
        <v>3.7606884347843109E-2</v>
      </c>
      <c r="D305" s="6">
        <f t="shared" si="40"/>
        <v>3.7606884347843109E-2</v>
      </c>
      <c r="E305" s="6">
        <f t="shared" si="40"/>
        <v>3.7606884347843109E-2</v>
      </c>
      <c r="F305" s="6">
        <f t="shared" si="40"/>
        <v>3.7606884347843109E-2</v>
      </c>
      <c r="G305" s="6">
        <f t="shared" si="40"/>
        <v>3.7606884347843109E-2</v>
      </c>
      <c r="H305" s="6">
        <f t="shared" si="40"/>
        <v>3.7606884347843109E-2</v>
      </c>
      <c r="I305" s="6">
        <f t="shared" si="40"/>
        <v>3.7606884347843109E-2</v>
      </c>
      <c r="J305" s="6">
        <f t="shared" si="40"/>
        <v>3.7606884347843109E-2</v>
      </c>
      <c r="K305" s="6">
        <f t="shared" si="40"/>
        <v>3.7606884347843109E-2</v>
      </c>
      <c r="L305" s="6">
        <f t="shared" si="40"/>
        <v>3.7606884347843109E-2</v>
      </c>
      <c r="M305" s="6">
        <f t="shared" si="40"/>
        <v>3.7606884347843109E-2</v>
      </c>
      <c r="N305" s="6">
        <f t="shared" si="40"/>
        <v>3.7606884347843109E-2</v>
      </c>
      <c r="O305" s="6">
        <f t="shared" si="40"/>
        <v>3.7606884347843109E-2</v>
      </c>
      <c r="P305" s="6">
        <f t="shared" si="40"/>
        <v>3.7606884347843109E-2</v>
      </c>
      <c r="Q305" s="6">
        <f t="shared" si="40"/>
        <v>3.7606884347843109E-2</v>
      </c>
      <c r="R305" s="6">
        <f t="shared" si="40"/>
        <v>3.7606884347843109E-2</v>
      </c>
      <c r="S305" s="6">
        <f t="shared" si="40"/>
        <v>3.7606884347843109E-2</v>
      </c>
      <c r="T305" s="6">
        <f t="shared" si="40"/>
        <v>3.7606884347843109E-2</v>
      </c>
      <c r="U305" s="6">
        <f t="shared" si="40"/>
        <v>3.7606884347843109E-2</v>
      </c>
      <c r="V305" s="6">
        <f t="shared" si="40"/>
        <v>3.7606884347843109E-2</v>
      </c>
      <c r="W305" s="6">
        <f t="shared" si="40"/>
        <v>3.7606884347843109E-2</v>
      </c>
      <c r="X305" s="6">
        <f t="shared" si="40"/>
        <v>3.7606884347843109E-2</v>
      </c>
      <c r="Y305" s="6">
        <f t="shared" si="40"/>
        <v>3.7606884347843109E-2</v>
      </c>
      <c r="Z305" s="6">
        <f t="shared" si="40"/>
        <v>3.7606884347843109E-2</v>
      </c>
    </row>
    <row r="306" spans="1:26" outlineLevel="1" x14ac:dyDescent="0.35">
      <c r="A306" s="23" t="s">
        <v>125</v>
      </c>
      <c r="B306" s="17">
        <f t="shared" ref="B306:Z306" si="41">SUM(B274:B304)</f>
        <v>0.19595028602224332</v>
      </c>
      <c r="C306" s="17">
        <f t="shared" si="41"/>
        <v>3.1129604502927299E-2</v>
      </c>
      <c r="D306" s="17">
        <f t="shared" si="41"/>
        <v>3.1108848248647843E-2</v>
      </c>
      <c r="E306" s="17">
        <f t="shared" si="41"/>
        <v>3.1039457908357125E-2</v>
      </c>
      <c r="F306" s="17">
        <f t="shared" si="41"/>
        <v>3.1019196063068844E-2</v>
      </c>
      <c r="G306" s="17">
        <f t="shared" si="41"/>
        <v>3.0999144098635988E-2</v>
      </c>
      <c r="H306" s="17">
        <f t="shared" si="41"/>
        <v>3.114997936458385E-2</v>
      </c>
      <c r="I306" s="17">
        <f t="shared" si="41"/>
        <v>3.1304102922662079E-2</v>
      </c>
      <c r="J306" s="17">
        <f t="shared" si="41"/>
        <v>3.1436944316911464E-2</v>
      </c>
      <c r="K306" s="17">
        <f t="shared" si="41"/>
        <v>3.1596622341140988E-2</v>
      </c>
      <c r="L306" s="17">
        <f t="shared" si="41"/>
        <v>3.1758207588276313E-2</v>
      </c>
      <c r="M306" s="17">
        <f t="shared" si="41"/>
        <v>3.2109227459430699E-2</v>
      </c>
      <c r="N306" s="17">
        <f t="shared" si="41"/>
        <v>3.2462849277717296E-2</v>
      </c>
      <c r="O306" s="17">
        <f t="shared" si="41"/>
        <v>3.2814981226544866E-2</v>
      </c>
      <c r="P306" s="17">
        <f t="shared" si="41"/>
        <v>3.3173418533486251E-2</v>
      </c>
      <c r="Q306" s="17">
        <f t="shared" si="41"/>
        <v>3.3534587392936008E-2</v>
      </c>
      <c r="R306" s="17">
        <f t="shared" si="41"/>
        <v>3.3523993298950311E-2</v>
      </c>
      <c r="S306" s="17">
        <f t="shared" si="41"/>
        <v>3.3512912346837641E-2</v>
      </c>
      <c r="T306" s="17">
        <f t="shared" si="41"/>
        <v>3.3496020352169045E-2</v>
      </c>
      <c r="U306" s="17">
        <f t="shared" si="41"/>
        <v>3.348393117632243E-2</v>
      </c>
      <c r="V306" s="17">
        <f t="shared" si="41"/>
        <v>3.3471265099223664E-2</v>
      </c>
      <c r="W306" s="17">
        <f t="shared" si="41"/>
        <v>3.3520029360970434E-2</v>
      </c>
      <c r="X306" s="17">
        <f t="shared" si="41"/>
        <v>3.3299059887154328E-2</v>
      </c>
      <c r="Y306" s="17">
        <f t="shared" si="41"/>
        <v>3.307752054883608E-2</v>
      </c>
      <c r="Z306" s="17">
        <f t="shared" si="41"/>
        <v>3.4220100997995162E-2</v>
      </c>
    </row>
    <row r="307" spans="1:26" outlineLevel="1" x14ac:dyDescent="0.35"/>
    <row r="308" spans="1:26" s="18" customFormat="1" ht="21" x14ac:dyDescent="0.5">
      <c r="A308" s="18" t="s">
        <v>73</v>
      </c>
    </row>
    <row r="309" spans="1:26" s="20" customFormat="1" outlineLevel="1" x14ac:dyDescent="0.35">
      <c r="A309" s="19" t="s">
        <v>788</v>
      </c>
    </row>
    <row r="310" spans="1:26" s="20" customFormat="1" outlineLevel="1" x14ac:dyDescent="0.35">
      <c r="A310" s="273" t="s">
        <v>775</v>
      </c>
      <c r="B310" s="20">
        <v>1</v>
      </c>
      <c r="C310" s="274" t="s">
        <v>787</v>
      </c>
    </row>
    <row r="311" spans="1:26" s="20" customFormat="1" outlineLevel="1" x14ac:dyDescent="0.35">
      <c r="A311" s="273" t="s">
        <v>781</v>
      </c>
      <c r="B311" s="20">
        <v>100000</v>
      </c>
      <c r="C311" s="20" t="s">
        <v>782</v>
      </c>
      <c r="E311" s="274"/>
    </row>
    <row r="312" spans="1:26" s="20" customFormat="1" outlineLevel="1" x14ac:dyDescent="0.35">
      <c r="A312" s="273" t="s">
        <v>783</v>
      </c>
      <c r="B312" s="20">
        <v>1500</v>
      </c>
      <c r="C312" s="20" t="s">
        <v>592</v>
      </c>
    </row>
    <row r="313" spans="1:26" s="20" customFormat="1" outlineLevel="1" x14ac:dyDescent="0.35">
      <c r="A313" s="273" t="s">
        <v>784</v>
      </c>
      <c r="B313" s="20">
        <v>8760</v>
      </c>
      <c r="C313" s="20" t="s">
        <v>785</v>
      </c>
    </row>
    <row r="314" spans="1:26" s="20" customFormat="1" outlineLevel="1" x14ac:dyDescent="0.35">
      <c r="A314" s="273"/>
    </row>
    <row r="315" spans="1:26" s="20" customFormat="1" outlineLevel="1" x14ac:dyDescent="0.35">
      <c r="A315" s="275" t="s">
        <v>786</v>
      </c>
      <c r="B315" s="275">
        <f>(B311*B312)/(B313*B310)</f>
        <v>17123.287671232876</v>
      </c>
      <c r="C315" s="275" t="s">
        <v>749</v>
      </c>
    </row>
    <row r="316" spans="1:26" s="20" customFormat="1" outlineLevel="1" x14ac:dyDescent="0.35">
      <c r="A316" s="19"/>
    </row>
    <row r="317" spans="1:26" s="20" customFormat="1" outlineLevel="1" x14ac:dyDescent="0.35">
      <c r="A317" s="19" t="s">
        <v>793</v>
      </c>
    </row>
    <row r="318" spans="1:26" s="20" customFormat="1" outlineLevel="1" x14ac:dyDescent="0.35">
      <c r="A318" s="273" t="s">
        <v>789</v>
      </c>
      <c r="B318" s="20">
        <f>SUM('Results - raw data ReCiPe (H)'!C146:C147)+'Results - raw data ReCiPe (H)'!C150+SUM('Results - raw data ReCiPe (H)'!C148:C149)*AC267</f>
        <v>7.1440272871580316E-3</v>
      </c>
      <c r="C318" s="20" t="s">
        <v>790</v>
      </c>
    </row>
    <row r="319" spans="1:26" s="20" customFormat="1" outlineLevel="1" x14ac:dyDescent="0.35">
      <c r="A319" s="20" t="s">
        <v>792</v>
      </c>
      <c r="B319" s="20">
        <f>B311*AC325</f>
        <v>50000</v>
      </c>
      <c r="C319" s="274" t="s">
        <v>795</v>
      </c>
    </row>
    <row r="320" spans="1:26" s="20" customFormat="1" outlineLevel="1" x14ac:dyDescent="0.35">
      <c r="A320" s="20" t="s">
        <v>791</v>
      </c>
      <c r="B320" s="20">
        <f>(B318*AC327*B315)/(B319*AC326)*(AC326/AC328)</f>
        <v>7.3397540621486621E-4</v>
      </c>
      <c r="C320" s="20" t="s">
        <v>794</v>
      </c>
      <c r="E320" s="274" t="s">
        <v>796</v>
      </c>
    </row>
    <row r="321" spans="1:53" s="20" customFormat="1" outlineLevel="1" x14ac:dyDescent="0.35">
      <c r="A321" s="19"/>
    </row>
    <row r="322" spans="1:53" s="16" customFormat="1" outlineLevel="1" x14ac:dyDescent="0.35">
      <c r="A322" s="21"/>
      <c r="AB322" s="16" t="s">
        <v>47</v>
      </c>
      <c r="AC322" s="16">
        <v>9.2800000000000005E-7</v>
      </c>
      <c r="AD322" s="16" t="s">
        <v>48</v>
      </c>
      <c r="AE322" s="15" t="s">
        <v>714</v>
      </c>
    </row>
    <row r="323" spans="1:53" s="16" customFormat="1" outlineLevel="1" x14ac:dyDescent="0.35">
      <c r="A323" s="22" t="s">
        <v>564</v>
      </c>
      <c r="AC323" s="16">
        <f>AC322*1000</f>
        <v>9.2800000000000001E-4</v>
      </c>
      <c r="AD323" s="16" t="s">
        <v>126</v>
      </c>
    </row>
    <row r="324" spans="1:53" s="16" customFormat="1" outlineLevel="1" x14ac:dyDescent="0.35">
      <c r="A324" s="22"/>
      <c r="AB324" s="16" t="s">
        <v>127</v>
      </c>
      <c r="AC324" s="16">
        <f>100*AC325</f>
        <v>50</v>
      </c>
      <c r="AD324" s="16" t="s">
        <v>128</v>
      </c>
    </row>
    <row r="325" spans="1:53" s="16" customFormat="1" outlineLevel="1" x14ac:dyDescent="0.35">
      <c r="A325" s="230"/>
      <c r="AB325" s="16" t="s">
        <v>776</v>
      </c>
      <c r="AC325" s="16">
        <v>0.5</v>
      </c>
    </row>
    <row r="326" spans="1:53" s="16" customFormat="1" outlineLevel="1" x14ac:dyDescent="0.35">
      <c r="A326" s="21"/>
      <c r="AB326" s="16" t="s">
        <v>129</v>
      </c>
      <c r="AC326" s="16">
        <v>25</v>
      </c>
      <c r="AD326" s="16" t="s">
        <v>130</v>
      </c>
    </row>
    <row r="327" spans="1:53" s="16" customFormat="1" outlineLevel="1" x14ac:dyDescent="0.35">
      <c r="A327" s="21"/>
      <c r="AB327" s="16" t="s">
        <v>777</v>
      </c>
      <c r="AC327" s="16">
        <v>6</v>
      </c>
      <c r="AD327" s="16" t="s">
        <v>779</v>
      </c>
    </row>
    <row r="328" spans="1:53" s="16" customFormat="1" outlineLevel="1" x14ac:dyDescent="0.35">
      <c r="A328" s="21"/>
      <c r="AB328" s="16" t="s">
        <v>778</v>
      </c>
      <c r="AC328" s="16">
        <v>20</v>
      </c>
      <c r="AD328" s="16" t="s">
        <v>130</v>
      </c>
    </row>
    <row r="329" spans="1:53" s="16" customFormat="1" outlineLevel="1" x14ac:dyDescent="0.35">
      <c r="AB329" s="16" t="s">
        <v>780</v>
      </c>
      <c r="AC329" s="16">
        <f>B315</f>
        <v>17123.287671232876</v>
      </c>
      <c r="AD329" s="16" t="s">
        <v>749</v>
      </c>
    </row>
    <row r="330" spans="1:53" s="16" customFormat="1" outlineLevel="1" x14ac:dyDescent="0.35">
      <c r="AB330" s="16" t="s">
        <v>820</v>
      </c>
      <c r="AC330" s="16">
        <v>0.5</v>
      </c>
    </row>
    <row r="331" spans="1:53" s="16" customFormat="1" outlineLevel="1" x14ac:dyDescent="0.35">
      <c r="AB331" s="16" t="s">
        <v>798</v>
      </c>
      <c r="AC331" s="16">
        <v>0.25</v>
      </c>
    </row>
    <row r="332" spans="1:53" s="16" customFormat="1" outlineLevel="1" x14ac:dyDescent="0.35">
      <c r="A332" s="22"/>
      <c r="AB332" s="16" t="s">
        <v>799</v>
      </c>
      <c r="AC332" s="16">
        <v>0.9</v>
      </c>
    </row>
    <row r="333" spans="1:53" outlineLevel="1" x14ac:dyDescent="0.35">
      <c r="B333" s="25">
        <v>2030</v>
      </c>
      <c r="C333" s="25">
        <v>2031</v>
      </c>
      <c r="D333" s="25">
        <v>2032</v>
      </c>
      <c r="E333" s="25">
        <v>2033</v>
      </c>
      <c r="F333" s="25">
        <v>2034</v>
      </c>
      <c r="G333" s="25">
        <v>2035</v>
      </c>
      <c r="H333" s="25">
        <v>2036</v>
      </c>
      <c r="I333" s="25">
        <v>2037</v>
      </c>
      <c r="J333" s="25">
        <v>2038</v>
      </c>
      <c r="K333" s="25">
        <v>2039</v>
      </c>
      <c r="L333" s="25">
        <v>2040</v>
      </c>
      <c r="M333" s="25">
        <v>2041</v>
      </c>
      <c r="N333" s="25">
        <v>2042</v>
      </c>
      <c r="O333" s="25">
        <v>2043</v>
      </c>
      <c r="P333" s="25">
        <v>2044</v>
      </c>
      <c r="Q333" s="25">
        <v>2045</v>
      </c>
      <c r="R333" s="25">
        <v>2046</v>
      </c>
      <c r="S333" s="25">
        <v>2047</v>
      </c>
      <c r="T333" s="25">
        <v>2048</v>
      </c>
      <c r="U333" s="25">
        <v>2049</v>
      </c>
      <c r="V333" s="25">
        <v>2050</v>
      </c>
      <c r="W333" s="25">
        <v>2051</v>
      </c>
      <c r="X333" s="25">
        <v>2052</v>
      </c>
      <c r="Y333" s="25">
        <v>2053</v>
      </c>
      <c r="Z333" s="25">
        <v>2054</v>
      </c>
      <c r="AC333" s="25">
        <v>2030</v>
      </c>
      <c r="AD333" s="25">
        <v>2031</v>
      </c>
      <c r="AE333" s="25">
        <v>2032</v>
      </c>
      <c r="AF333" s="25">
        <v>2033</v>
      </c>
      <c r="AG333" s="25">
        <v>2034</v>
      </c>
      <c r="AH333" s="25">
        <v>2035</v>
      </c>
      <c r="AI333" s="25">
        <v>2036</v>
      </c>
      <c r="AJ333" s="25">
        <v>2037</v>
      </c>
      <c r="AK333" s="25">
        <v>2038</v>
      </c>
      <c r="AL333" s="25">
        <v>2039</v>
      </c>
      <c r="AM333" s="25">
        <v>2040</v>
      </c>
      <c r="AN333" s="25">
        <v>2041</v>
      </c>
      <c r="AO333" s="25">
        <v>2042</v>
      </c>
      <c r="AP333" s="25">
        <v>2043</v>
      </c>
      <c r="AQ333" s="25">
        <v>2044</v>
      </c>
      <c r="AR333" s="25">
        <v>2045</v>
      </c>
      <c r="AS333" s="25">
        <v>2046</v>
      </c>
      <c r="AT333" s="25">
        <v>2047</v>
      </c>
      <c r="AU333" s="25">
        <v>2048</v>
      </c>
      <c r="AV333" s="25">
        <v>2049</v>
      </c>
      <c r="AW333" s="25">
        <v>2050</v>
      </c>
      <c r="AX333" s="25">
        <v>2051</v>
      </c>
      <c r="AY333" s="25">
        <v>2052</v>
      </c>
      <c r="AZ333" s="25">
        <v>2053</v>
      </c>
      <c r="BA333" s="25">
        <v>2054</v>
      </c>
    </row>
    <row r="334" spans="1:53" outlineLevel="1" x14ac:dyDescent="0.35">
      <c r="A334" s="6" t="s">
        <v>21</v>
      </c>
      <c r="B334" s="6">
        <f>B50</f>
        <v>2.686627601232994E-3</v>
      </c>
      <c r="AB334" s="6" t="s">
        <v>117</v>
      </c>
      <c r="AC334" s="6">
        <f>SUM(B334:B345)+B347</f>
        <v>0.15280359411988906</v>
      </c>
    </row>
    <row r="335" spans="1:53" outlineLevel="1" x14ac:dyDescent="0.35">
      <c r="A335" s="6" t="s">
        <v>23</v>
      </c>
      <c r="B335" s="6">
        <f t="shared" ref="B335:B345" si="42">B51</f>
        <v>5.7475279188938643E-3</v>
      </c>
      <c r="AB335" s="6" t="s">
        <v>118</v>
      </c>
      <c r="AC335" s="6">
        <f>B346</f>
        <v>4.7531917382991409E-3</v>
      </c>
    </row>
    <row r="336" spans="1:53" outlineLevel="1" x14ac:dyDescent="0.35">
      <c r="A336" s="6" t="s">
        <v>26</v>
      </c>
      <c r="B336" s="6">
        <f t="shared" si="42"/>
        <v>1.2845382150857119E-2</v>
      </c>
      <c r="AB336" s="6" t="s">
        <v>119</v>
      </c>
      <c r="BA336" s="6">
        <f>SUM(Z348:Z359)</f>
        <v>1.2038817746522666E-3</v>
      </c>
    </row>
    <row r="337" spans="1:53" outlineLevel="1" x14ac:dyDescent="0.35">
      <c r="A337" s="6" t="s">
        <v>28</v>
      </c>
      <c r="B337" s="6">
        <f t="shared" si="42"/>
        <v>1.6265845410914071E-2</v>
      </c>
      <c r="AB337" s="6" t="s">
        <v>120</v>
      </c>
      <c r="BA337" s="6">
        <f>Z360</f>
        <v>1.7613571923572038E-5</v>
      </c>
    </row>
    <row r="338" spans="1:53" outlineLevel="1" x14ac:dyDescent="0.35">
      <c r="A338" s="6" t="s">
        <v>29</v>
      </c>
      <c r="B338" s="6">
        <f t="shared" si="42"/>
        <v>1.267220629476748E-2</v>
      </c>
      <c r="AB338" s="6" t="s">
        <v>121</v>
      </c>
      <c r="AC338" s="6">
        <f>B361</f>
        <v>2.2868444478900299E-3</v>
      </c>
      <c r="AF338" s="6">
        <f>E361</f>
        <v>2.2242630345716192E-3</v>
      </c>
      <c r="AI338" s="6">
        <f>H361</f>
        <v>2.1636441841529248E-3</v>
      </c>
      <c r="AL338" s="6">
        <f>K361</f>
        <v>2.0913940629818349E-3</v>
      </c>
      <c r="AO338" s="6">
        <f>N361</f>
        <v>2.0111593851075741E-3</v>
      </c>
      <c r="AR338" s="6">
        <f>Q361</f>
        <v>1.925325558619934E-3</v>
      </c>
      <c r="AU338" s="6">
        <f>T361</f>
        <v>1.868103373074346E-3</v>
      </c>
      <c r="AX338" s="6">
        <f>W361</f>
        <v>1.839484702599319E-3</v>
      </c>
      <c r="BA338" s="6">
        <f>Z361</f>
        <v>1.8308470230828889E-3</v>
      </c>
    </row>
    <row r="339" spans="1:53" outlineLevel="1" x14ac:dyDescent="0.35">
      <c r="A339" s="6" t="s">
        <v>31</v>
      </c>
      <c r="B339" s="6">
        <f t="shared" si="42"/>
        <v>8.1155683691255427E-3</v>
      </c>
      <c r="AB339" s="6" t="s">
        <v>797</v>
      </c>
      <c r="AC339" s="6">
        <f>B365</f>
        <v>3.6698770310743312E-2</v>
      </c>
      <c r="AD339" s="6">
        <f t="shared" ref="AD339:BA339" si="43">C365</f>
        <v>3.6698770310743312E-2</v>
      </c>
      <c r="AE339" s="6">
        <f t="shared" si="43"/>
        <v>3.6698770310743312E-2</v>
      </c>
      <c r="AF339" s="6">
        <f t="shared" si="43"/>
        <v>3.6698770310743312E-2</v>
      </c>
      <c r="AG339" s="6">
        <f t="shared" si="43"/>
        <v>3.6698770310743312E-2</v>
      </c>
      <c r="AH339" s="6">
        <f t="shared" si="43"/>
        <v>3.6698770310743312E-2</v>
      </c>
      <c r="AI339" s="6">
        <f t="shared" si="43"/>
        <v>3.6698770310743312E-2</v>
      </c>
      <c r="AJ339" s="6">
        <f t="shared" si="43"/>
        <v>3.6698770310743312E-2</v>
      </c>
      <c r="AK339" s="6">
        <f t="shared" si="43"/>
        <v>3.6698770310743312E-2</v>
      </c>
      <c r="AL339" s="6">
        <f t="shared" si="43"/>
        <v>3.6698770310743312E-2</v>
      </c>
      <c r="AM339" s="6">
        <f t="shared" si="43"/>
        <v>3.6698770310743312E-2</v>
      </c>
      <c r="AN339" s="6">
        <f t="shared" si="43"/>
        <v>3.6698770310743312E-2</v>
      </c>
      <c r="AO339" s="6">
        <f t="shared" si="43"/>
        <v>3.6698770310743312E-2</v>
      </c>
      <c r="AP339" s="6">
        <f t="shared" si="43"/>
        <v>3.6698770310743312E-2</v>
      </c>
      <c r="AQ339" s="6">
        <f t="shared" si="43"/>
        <v>3.6698770310743312E-2</v>
      </c>
      <c r="AR339" s="6">
        <f t="shared" si="43"/>
        <v>3.6698770310743312E-2</v>
      </c>
      <c r="AS339" s="6">
        <f t="shared" si="43"/>
        <v>3.6698770310743312E-2</v>
      </c>
      <c r="AT339" s="6">
        <f t="shared" si="43"/>
        <v>3.6698770310743312E-2</v>
      </c>
      <c r="AU339" s="6">
        <f t="shared" si="43"/>
        <v>3.6698770310743312E-2</v>
      </c>
      <c r="AV339" s="6">
        <f t="shared" si="43"/>
        <v>3.6698770310743312E-2</v>
      </c>
      <c r="AW339" s="6">
        <f t="shared" si="43"/>
        <v>3.6698770310743312E-2</v>
      </c>
      <c r="AX339" s="6">
        <f t="shared" si="43"/>
        <v>3.6698770310743312E-2</v>
      </c>
      <c r="AY339" s="6">
        <f t="shared" si="43"/>
        <v>3.6698770310743312E-2</v>
      </c>
      <c r="AZ339" s="6">
        <f t="shared" si="43"/>
        <v>3.6698770310743312E-2</v>
      </c>
      <c r="BA339" s="6">
        <f t="shared" si="43"/>
        <v>3.6698770310743312E-2</v>
      </c>
    </row>
    <row r="340" spans="1:53" outlineLevel="1" x14ac:dyDescent="0.35">
      <c r="A340" s="6" t="s">
        <v>34</v>
      </c>
      <c r="B340" s="6">
        <f t="shared" si="42"/>
        <v>6.3101752981999824E-3</v>
      </c>
      <c r="AB340" s="6" t="s">
        <v>122</v>
      </c>
      <c r="AC340" s="6">
        <f t="shared" ref="AC340:AV340" si="44">B364+B363</f>
        <v>2.4592916213383192E-2</v>
      </c>
      <c r="AD340" s="6">
        <f t="shared" si="44"/>
        <v>2.4492253261722656E-2</v>
      </c>
      <c r="AE340" s="6">
        <f t="shared" si="44"/>
        <v>2.4388433020564908E-2</v>
      </c>
      <c r="AF340" s="6">
        <f t="shared" si="44"/>
        <v>2.42438140080929E-2</v>
      </c>
      <c r="AG340" s="6">
        <f t="shared" si="44"/>
        <v>2.4133906961006681E-2</v>
      </c>
      <c r="AH340" s="6">
        <f t="shared" si="44"/>
        <v>2.4020580058759473E-2</v>
      </c>
      <c r="AI340" s="6">
        <f t="shared" si="44"/>
        <v>2.3878452035089502E-2</v>
      </c>
      <c r="AJ340" s="6">
        <f t="shared" si="44"/>
        <v>2.3749011514534062E-2</v>
      </c>
      <c r="AK340" s="6">
        <f t="shared" si="44"/>
        <v>2.3607155091283992E-2</v>
      </c>
      <c r="AL340" s="6">
        <f t="shared" si="44"/>
        <v>2.3485878923419821E-2</v>
      </c>
      <c r="AM340" s="6">
        <f t="shared" si="44"/>
        <v>2.3365064636344222E-2</v>
      </c>
      <c r="AN340" s="6">
        <f t="shared" si="44"/>
        <v>2.3267325972967434E-2</v>
      </c>
      <c r="AO340" s="6">
        <f t="shared" si="44"/>
        <v>2.3173238075734136E-2</v>
      </c>
      <c r="AP340" s="6">
        <f t="shared" si="44"/>
        <v>2.3077099371627826E-2</v>
      </c>
      <c r="AQ340" s="6">
        <f t="shared" si="44"/>
        <v>2.2988534985372587E-2</v>
      </c>
      <c r="AR340" s="6">
        <f t="shared" si="44"/>
        <v>2.2902055770086523E-2</v>
      </c>
      <c r="AS340" s="6">
        <f t="shared" si="44"/>
        <v>2.2854220142108059E-2</v>
      </c>
      <c r="AT340" s="6">
        <f t="shared" si="44"/>
        <v>2.2807812816613145E-2</v>
      </c>
      <c r="AU340" s="6">
        <f t="shared" si="44"/>
        <v>2.2757660133605091E-2</v>
      </c>
      <c r="AV340" s="6">
        <f t="shared" si="44"/>
        <v>2.2714112173136177E-2</v>
      </c>
      <c r="AW340" s="6">
        <f>V364</f>
        <v>2.2672761776796464E-2</v>
      </c>
      <c r="AX340" s="6">
        <f>W364</f>
        <v>2.2801281023062597E-2</v>
      </c>
      <c r="AY340" s="6">
        <f>X364</f>
        <v>2.2799190558163568E-2</v>
      </c>
      <c r="AZ340" s="6">
        <f>Y364</f>
        <v>2.2797127855379302E-2</v>
      </c>
      <c r="BA340" s="6">
        <f>Z364</f>
        <v>2.279510719349959E-2</v>
      </c>
    </row>
    <row r="341" spans="1:53" outlineLevel="1" x14ac:dyDescent="0.35">
      <c r="A341" s="6" t="s">
        <v>36</v>
      </c>
      <c r="B341" s="6">
        <f t="shared" si="42"/>
        <v>3.6673559301182651E-3</v>
      </c>
      <c r="AB341" s="6" t="s">
        <v>123</v>
      </c>
      <c r="AC341" s="6">
        <f t="shared" ref="AC341:BA341" si="45">B362</f>
        <v>2.9709877920606588E-3</v>
      </c>
      <c r="AD341" s="6">
        <f t="shared" si="45"/>
        <v>2.8196046621354327E-3</v>
      </c>
      <c r="AE341" s="6">
        <f t="shared" si="45"/>
        <v>2.6682006387973153E-3</v>
      </c>
      <c r="AF341" s="6">
        <f t="shared" si="45"/>
        <v>2.5151183855516165E-3</v>
      </c>
      <c r="AG341" s="6">
        <f t="shared" si="45"/>
        <v>2.3645417435159632E-3</v>
      </c>
      <c r="AH341" s="6">
        <f t="shared" si="45"/>
        <v>2.2145008739742986E-3</v>
      </c>
      <c r="AI341" s="6">
        <f t="shared" si="45"/>
        <v>2.126884001402058E-3</v>
      </c>
      <c r="AJ341" s="6">
        <f t="shared" si="45"/>
        <v>2.0396136865058734E-3</v>
      </c>
      <c r="AK341" s="6">
        <f t="shared" si="45"/>
        <v>1.9511884346150748E-3</v>
      </c>
      <c r="AL341" s="6">
        <f t="shared" si="45"/>
        <v>1.8642767932236302E-3</v>
      </c>
      <c r="AM341" s="6">
        <f t="shared" si="45"/>
        <v>1.7774857963066396E-3</v>
      </c>
      <c r="AN341" s="6">
        <f t="shared" si="45"/>
        <v>1.7212815953495336E-3</v>
      </c>
      <c r="AO341" s="6">
        <f t="shared" si="45"/>
        <v>1.6648570395627628E-3</v>
      </c>
      <c r="AP341" s="6">
        <f t="shared" si="45"/>
        <v>1.6078128188599025E-3</v>
      </c>
      <c r="AQ341" s="6">
        <f t="shared" si="45"/>
        <v>1.5508245928606511E-3</v>
      </c>
      <c r="AR341" s="6">
        <f t="shared" si="45"/>
        <v>1.493587677912984E-3</v>
      </c>
      <c r="AS341" s="6">
        <f t="shared" si="45"/>
        <v>1.472662501251199E-3</v>
      </c>
      <c r="AT341" s="6">
        <f t="shared" si="45"/>
        <v>1.4515860077920506E-3</v>
      </c>
      <c r="AU341" s="6">
        <f t="shared" si="45"/>
        <v>1.4300840348321735E-3</v>
      </c>
      <c r="AV341" s="6">
        <f t="shared" si="45"/>
        <v>1.4088259776837754E-3</v>
      </c>
      <c r="AW341" s="6">
        <f t="shared" si="45"/>
        <v>1.3874905659914229E-3</v>
      </c>
      <c r="AX341" s="6">
        <f t="shared" si="45"/>
        <v>1.3987259324854584E-3</v>
      </c>
      <c r="AY341" s="6">
        <f t="shared" si="45"/>
        <v>1.3896808412968869E-3</v>
      </c>
      <c r="AZ341" s="6">
        <f t="shared" si="45"/>
        <v>1.3806384440898821E-3</v>
      </c>
      <c r="BA341" s="6">
        <f t="shared" si="45"/>
        <v>1.3715954176475281E-3</v>
      </c>
    </row>
    <row r="342" spans="1:53" outlineLevel="1" x14ac:dyDescent="0.35">
      <c r="A342" s="6" t="s">
        <v>38</v>
      </c>
      <c r="B342" s="6">
        <f t="shared" si="42"/>
        <v>2.0251561932952661E-2</v>
      </c>
      <c r="AB342" s="6" t="s">
        <v>124</v>
      </c>
      <c r="AC342" s="6">
        <f>-$AC$323*$AC$324</f>
        <v>-4.6399999999999997E-2</v>
      </c>
      <c r="AD342" s="6">
        <f t="shared" ref="AD342:BA342" si="46">-$AC$323*$AC$324</f>
        <v>-4.6399999999999997E-2</v>
      </c>
      <c r="AE342" s="6">
        <f t="shared" si="46"/>
        <v>-4.6399999999999997E-2</v>
      </c>
      <c r="AF342" s="6">
        <f t="shared" si="46"/>
        <v>-4.6399999999999997E-2</v>
      </c>
      <c r="AG342" s="6">
        <f t="shared" si="46"/>
        <v>-4.6399999999999997E-2</v>
      </c>
      <c r="AH342" s="6">
        <f t="shared" si="46"/>
        <v>-4.6399999999999997E-2</v>
      </c>
      <c r="AI342" s="6">
        <f t="shared" si="46"/>
        <v>-4.6399999999999997E-2</v>
      </c>
      <c r="AJ342" s="6">
        <f t="shared" si="46"/>
        <v>-4.6399999999999997E-2</v>
      </c>
      <c r="AK342" s="6">
        <f t="shared" si="46"/>
        <v>-4.6399999999999997E-2</v>
      </c>
      <c r="AL342" s="6">
        <f t="shared" si="46"/>
        <v>-4.6399999999999997E-2</v>
      </c>
      <c r="AM342" s="6">
        <f t="shared" si="46"/>
        <v>-4.6399999999999997E-2</v>
      </c>
      <c r="AN342" s="6">
        <f t="shared" si="46"/>
        <v>-4.6399999999999997E-2</v>
      </c>
      <c r="AO342" s="6">
        <f t="shared" si="46"/>
        <v>-4.6399999999999997E-2</v>
      </c>
      <c r="AP342" s="6">
        <f t="shared" si="46"/>
        <v>-4.6399999999999997E-2</v>
      </c>
      <c r="AQ342" s="6">
        <f t="shared" si="46"/>
        <v>-4.6399999999999997E-2</v>
      </c>
      <c r="AR342" s="6">
        <f t="shared" si="46"/>
        <v>-4.6399999999999997E-2</v>
      </c>
      <c r="AS342" s="6">
        <f t="shared" si="46"/>
        <v>-4.6399999999999997E-2</v>
      </c>
      <c r="AT342" s="6">
        <f t="shared" si="46"/>
        <v>-4.6399999999999997E-2</v>
      </c>
      <c r="AU342" s="6">
        <f t="shared" si="46"/>
        <v>-4.6399999999999997E-2</v>
      </c>
      <c r="AV342" s="6">
        <f t="shared" si="46"/>
        <v>-4.6399999999999997E-2</v>
      </c>
      <c r="AW342" s="6">
        <f t="shared" si="46"/>
        <v>-4.6399999999999997E-2</v>
      </c>
      <c r="AX342" s="6">
        <f t="shared" si="46"/>
        <v>-4.6399999999999997E-2</v>
      </c>
      <c r="AY342" s="6">
        <f t="shared" si="46"/>
        <v>-4.6399999999999997E-2</v>
      </c>
      <c r="AZ342" s="6">
        <f t="shared" si="46"/>
        <v>-4.6399999999999997E-2</v>
      </c>
      <c r="BA342" s="6">
        <f t="shared" si="46"/>
        <v>-4.6399999999999997E-2</v>
      </c>
    </row>
    <row r="343" spans="1:53" outlineLevel="1" x14ac:dyDescent="0.35">
      <c r="A343" s="6" t="s">
        <v>39</v>
      </c>
      <c r="B343" s="6">
        <f t="shared" si="42"/>
        <v>5.5780352999011518E-2</v>
      </c>
      <c r="AB343" s="23" t="s">
        <v>125</v>
      </c>
      <c r="AC343" s="17">
        <f t="shared" ref="AC343:BA343" si="47">SUM(AC334:AC342)</f>
        <v>0.17770630462226539</v>
      </c>
      <c r="AD343" s="17">
        <f t="shared" si="47"/>
        <v>1.7610628234601397E-2</v>
      </c>
      <c r="AE343" s="17">
        <f t="shared" si="47"/>
        <v>1.7355403970105543E-2</v>
      </c>
      <c r="AF343" s="17">
        <f t="shared" si="47"/>
        <v>1.9281965738959447E-2</v>
      </c>
      <c r="AG343" s="17">
        <f t="shared" si="47"/>
        <v>1.6797219015265957E-2</v>
      </c>
      <c r="AH343" s="17">
        <f t="shared" si="47"/>
        <v>1.6533851243477088E-2</v>
      </c>
      <c r="AI343" s="17">
        <f t="shared" si="47"/>
        <v>1.8467750531387786E-2</v>
      </c>
      <c r="AJ343" s="17">
        <f t="shared" si="47"/>
        <v>1.6087395511783252E-2</v>
      </c>
      <c r="AK343" s="17">
        <f t="shared" si="47"/>
        <v>1.5857113836642379E-2</v>
      </c>
      <c r="AL343" s="17">
        <f t="shared" si="47"/>
        <v>1.7740320090368605E-2</v>
      </c>
      <c r="AM343" s="17">
        <f t="shared" si="47"/>
        <v>1.5441320743394174E-2</v>
      </c>
      <c r="AN343" s="17">
        <f t="shared" si="47"/>
        <v>1.5287377879060281E-2</v>
      </c>
      <c r="AO343" s="17">
        <f t="shared" si="47"/>
        <v>1.7148024811147786E-2</v>
      </c>
      <c r="AP343" s="17">
        <f t="shared" si="47"/>
        <v>1.4983682501231048E-2</v>
      </c>
      <c r="AQ343" s="17">
        <f t="shared" si="47"/>
        <v>1.4838129888976551E-2</v>
      </c>
      <c r="AR343" s="17">
        <f t="shared" si="47"/>
        <v>1.6619739317362756E-2</v>
      </c>
      <c r="AS343" s="17">
        <f t="shared" si="47"/>
        <v>1.4625652954102571E-2</v>
      </c>
      <c r="AT343" s="17">
        <f t="shared" si="47"/>
        <v>1.4558169135148513E-2</v>
      </c>
      <c r="AU343" s="17">
        <f t="shared" si="47"/>
        <v>1.6354617852254921E-2</v>
      </c>
      <c r="AV343" s="17">
        <f t="shared" si="47"/>
        <v>1.4421708461563272E-2</v>
      </c>
      <c r="AW343" s="17">
        <f t="shared" si="47"/>
        <v>1.43590226535312E-2</v>
      </c>
      <c r="AX343" s="17">
        <f t="shared" si="47"/>
        <v>1.6338261968890683E-2</v>
      </c>
      <c r="AY343" s="17">
        <f t="shared" si="47"/>
        <v>1.4487641710203766E-2</v>
      </c>
      <c r="AZ343" s="17">
        <f t="shared" si="47"/>
        <v>1.4476536610212497E-2</v>
      </c>
      <c r="BA343" s="17">
        <f t="shared" si="47"/>
        <v>1.7517815291549166E-2</v>
      </c>
    </row>
    <row r="344" spans="1:53" outlineLevel="1" x14ac:dyDescent="0.35">
      <c r="A344" s="6" t="s">
        <v>41</v>
      </c>
      <c r="B344" s="6">
        <f t="shared" si="42"/>
        <v>2.8664307292717168E-4</v>
      </c>
    </row>
    <row r="345" spans="1:53" outlineLevel="1" x14ac:dyDescent="0.35">
      <c r="A345" s="6" t="s">
        <v>43</v>
      </c>
      <c r="B345" s="6">
        <f t="shared" si="42"/>
        <v>9.0979496556399054E-4</v>
      </c>
      <c r="AB345" s="272"/>
      <c r="AC345" s="272"/>
      <c r="AD345" s="272"/>
      <c r="AE345" s="272"/>
      <c r="AF345" s="272"/>
      <c r="AG345" s="272"/>
      <c r="AH345" s="272"/>
      <c r="AI345" s="272"/>
      <c r="AJ345" s="272"/>
      <c r="AK345" s="272"/>
      <c r="AL345" s="272"/>
      <c r="AM345" s="272"/>
      <c r="AN345" s="272"/>
      <c r="AO345" s="272"/>
      <c r="AP345" s="272"/>
      <c r="AQ345" s="272"/>
      <c r="AR345" s="272"/>
      <c r="AS345" s="272"/>
      <c r="AT345" s="272"/>
      <c r="AU345" s="272"/>
      <c r="AV345" s="272"/>
      <c r="AW345" s="272"/>
      <c r="AX345" s="272"/>
      <c r="AY345" s="272"/>
      <c r="AZ345" s="272"/>
      <c r="BA345" s="272"/>
    </row>
    <row r="346" spans="1:53" outlineLevel="1" x14ac:dyDescent="0.35">
      <c r="A346" s="6" t="s">
        <v>44</v>
      </c>
      <c r="B346" s="6">
        <f>B62*AC325</f>
        <v>4.7531917382991409E-3</v>
      </c>
      <c r="AB346" s="272"/>
      <c r="AC346" s="272"/>
      <c r="AD346" s="272"/>
      <c r="AE346" s="272"/>
      <c r="AF346" s="272"/>
      <c r="AG346" s="272"/>
      <c r="AH346" s="272"/>
      <c r="AI346" s="272"/>
      <c r="AJ346" s="272"/>
      <c r="AK346" s="272"/>
      <c r="AL346" s="272"/>
      <c r="AM346" s="272"/>
      <c r="AN346" s="272"/>
      <c r="AO346" s="272"/>
      <c r="AP346" s="272"/>
      <c r="AQ346" s="272"/>
      <c r="AR346" s="272"/>
      <c r="AS346" s="272"/>
      <c r="AT346" s="272"/>
      <c r="AU346" s="272"/>
      <c r="AV346" s="272"/>
      <c r="AW346" s="272"/>
      <c r="AX346" s="272"/>
      <c r="AY346" s="272"/>
      <c r="AZ346" s="272"/>
      <c r="BA346" s="272"/>
    </row>
    <row r="347" spans="1:53" outlineLevel="1" x14ac:dyDescent="0.35">
      <c r="A347" s="6" t="s">
        <v>757</v>
      </c>
      <c r="B347" s="6">
        <f>B63*AC325</f>
        <v>7.2645521753244065E-3</v>
      </c>
      <c r="AB347" s="272"/>
      <c r="AC347" s="272"/>
      <c r="AD347" s="272"/>
      <c r="AE347" s="272"/>
      <c r="AF347" s="272"/>
      <c r="AG347" s="272"/>
      <c r="AH347" s="272"/>
      <c r="AI347" s="272"/>
      <c r="AJ347" s="272"/>
      <c r="AK347" s="272"/>
      <c r="AL347" s="272"/>
      <c r="AM347" s="272"/>
      <c r="AN347" s="272"/>
      <c r="AO347" s="272"/>
      <c r="AP347" s="272"/>
      <c r="AQ347" s="272"/>
      <c r="AR347" s="272"/>
      <c r="AS347" s="272"/>
      <c r="AT347" s="272"/>
      <c r="AU347" s="272"/>
      <c r="AV347" s="272"/>
      <c r="AW347" s="272"/>
      <c r="AX347" s="272"/>
      <c r="AY347" s="272"/>
      <c r="AZ347" s="272"/>
      <c r="BA347" s="272"/>
    </row>
    <row r="348" spans="1:53" outlineLevel="1" x14ac:dyDescent="0.35">
      <c r="A348" s="6" t="s">
        <v>22</v>
      </c>
      <c r="Z348" s="6">
        <f>Z64</f>
        <v>2.4762670432088011E-5</v>
      </c>
      <c r="AB348" s="272"/>
      <c r="AC348" s="272"/>
      <c r="AD348" s="272"/>
      <c r="AE348" s="272"/>
      <c r="AF348" s="272"/>
      <c r="AG348" s="272"/>
      <c r="AH348" s="272"/>
      <c r="AI348" s="272"/>
      <c r="AJ348" s="272"/>
      <c r="AK348" s="272"/>
      <c r="AL348" s="272"/>
      <c r="AM348" s="272"/>
      <c r="AN348" s="272"/>
      <c r="AO348" s="272"/>
      <c r="AP348" s="272"/>
      <c r="AQ348" s="272"/>
      <c r="AR348" s="272"/>
      <c r="AS348" s="272"/>
      <c r="AT348" s="272"/>
      <c r="AU348" s="272"/>
      <c r="AV348" s="272"/>
      <c r="AW348" s="272"/>
      <c r="AX348" s="272"/>
      <c r="AY348" s="272"/>
      <c r="AZ348" s="272"/>
      <c r="BA348" s="272"/>
    </row>
    <row r="349" spans="1:53" outlineLevel="1" x14ac:dyDescent="0.35">
      <c r="A349" s="6" t="s">
        <v>24</v>
      </c>
      <c r="Z349" s="6">
        <f t="shared" ref="Z349:Z359" si="48">Z65</f>
        <v>1.176118094708814E-5</v>
      </c>
      <c r="AB349" s="272"/>
      <c r="AC349" s="272"/>
      <c r="AD349" s="272"/>
      <c r="AE349" s="272"/>
      <c r="AF349" s="272"/>
      <c r="AG349" s="272"/>
      <c r="AH349" s="272"/>
      <c r="AI349" s="272"/>
      <c r="AJ349" s="272"/>
      <c r="AK349" s="272"/>
      <c r="AL349" s="272"/>
      <c r="AM349" s="272"/>
      <c r="AN349" s="272"/>
      <c r="AO349" s="272"/>
      <c r="AP349" s="272"/>
      <c r="AQ349" s="272"/>
      <c r="AR349" s="272"/>
      <c r="AS349" s="272"/>
      <c r="AT349" s="272"/>
      <c r="AU349" s="272"/>
      <c r="AV349" s="272"/>
      <c r="AW349" s="272"/>
      <c r="AX349" s="272"/>
      <c r="AY349" s="272"/>
      <c r="AZ349" s="272"/>
      <c r="BA349" s="272"/>
    </row>
    <row r="350" spans="1:53" outlineLevel="1" x14ac:dyDescent="0.35">
      <c r="A350" s="6" t="s">
        <v>25</v>
      </c>
      <c r="Z350" s="6">
        <f t="shared" si="48"/>
        <v>3.9046886024631158E-5</v>
      </c>
      <c r="AB350" s="272"/>
      <c r="AC350" s="272"/>
      <c r="AD350" s="272"/>
      <c r="AE350" s="272"/>
      <c r="AF350" s="272"/>
      <c r="AG350" s="272"/>
      <c r="AH350" s="272"/>
      <c r="AI350" s="272"/>
      <c r="AJ350" s="272"/>
      <c r="AK350" s="272"/>
      <c r="AL350" s="272"/>
      <c r="AM350" s="272"/>
      <c r="AN350" s="272"/>
      <c r="AO350" s="272"/>
      <c r="AP350" s="272"/>
      <c r="AQ350" s="272"/>
      <c r="AR350" s="272"/>
      <c r="AS350" s="272"/>
      <c r="AT350" s="272"/>
      <c r="AU350" s="272"/>
      <c r="AV350" s="272"/>
      <c r="AW350" s="272"/>
      <c r="AX350" s="272"/>
      <c r="AY350" s="272"/>
      <c r="AZ350" s="272"/>
      <c r="BA350" s="272"/>
    </row>
    <row r="351" spans="1:53" outlineLevel="1" x14ac:dyDescent="0.35">
      <c r="A351" s="6" t="s">
        <v>27</v>
      </c>
      <c r="Z351" s="6">
        <f t="shared" si="48"/>
        <v>1.6840076209704161E-5</v>
      </c>
      <c r="AB351" s="272"/>
      <c r="AC351" s="272"/>
      <c r="AD351" s="272"/>
      <c r="AE351" s="272"/>
      <c r="AF351" s="272"/>
      <c r="AG351" s="272"/>
      <c r="AH351" s="272"/>
      <c r="AI351" s="272"/>
      <c r="AJ351" s="272"/>
      <c r="AK351" s="272"/>
      <c r="AL351" s="272"/>
      <c r="AM351" s="272"/>
      <c r="AN351" s="272"/>
      <c r="AO351" s="272"/>
      <c r="AP351" s="272"/>
      <c r="AQ351" s="272"/>
      <c r="AR351" s="272"/>
      <c r="AS351" s="272"/>
      <c r="AT351" s="272"/>
      <c r="AU351" s="272"/>
      <c r="AV351" s="272"/>
      <c r="AW351" s="272"/>
      <c r="AX351" s="272"/>
      <c r="AY351" s="272"/>
      <c r="AZ351" s="272"/>
      <c r="BA351" s="272"/>
    </row>
    <row r="352" spans="1:53" outlineLevel="1" x14ac:dyDescent="0.35">
      <c r="A352" s="6" t="s">
        <v>30</v>
      </c>
      <c r="Z352" s="6">
        <f t="shared" si="48"/>
        <v>3.2639269159817092E-5</v>
      </c>
      <c r="AB352" s="272"/>
      <c r="AC352" s="272"/>
      <c r="AD352" s="272"/>
      <c r="AE352" s="272"/>
      <c r="AF352" s="272"/>
      <c r="AG352" s="272"/>
      <c r="AH352" s="272"/>
      <c r="AI352" s="272"/>
      <c r="AJ352" s="272"/>
      <c r="AK352" s="272"/>
      <c r="AL352" s="272"/>
      <c r="AM352" s="272"/>
      <c r="AN352" s="272"/>
      <c r="AO352" s="272"/>
      <c r="AP352" s="272"/>
      <c r="AQ352" s="272"/>
      <c r="AR352" s="272"/>
      <c r="AS352" s="272"/>
      <c r="AT352" s="272"/>
      <c r="AU352" s="272"/>
      <c r="AV352" s="272"/>
      <c r="AW352" s="272"/>
      <c r="AX352" s="272"/>
      <c r="AY352" s="272"/>
      <c r="AZ352" s="272"/>
      <c r="BA352" s="272"/>
    </row>
    <row r="353" spans="1:53" outlineLevel="1" x14ac:dyDescent="0.35">
      <c r="A353" s="6" t="s">
        <v>32</v>
      </c>
      <c r="Z353" s="6">
        <f t="shared" si="48"/>
        <v>4.4601367480851334E-6</v>
      </c>
      <c r="AB353" s="272"/>
      <c r="AC353" s="272"/>
      <c r="AD353" s="272"/>
      <c r="AE353" s="272"/>
      <c r="AF353" s="272"/>
      <c r="AG353" s="272"/>
      <c r="AH353" s="272"/>
      <c r="AI353" s="272"/>
      <c r="AJ353" s="272"/>
      <c r="AK353" s="272"/>
      <c r="AL353" s="272"/>
      <c r="AM353" s="272"/>
      <c r="AN353" s="272"/>
      <c r="AO353" s="272"/>
      <c r="AP353" s="272"/>
      <c r="AQ353" s="272"/>
      <c r="AR353" s="272"/>
      <c r="AS353" s="272"/>
      <c r="AT353" s="272"/>
      <c r="AU353" s="272"/>
      <c r="AV353" s="272"/>
      <c r="AW353" s="272"/>
      <c r="AX353" s="272"/>
      <c r="AY353" s="272"/>
      <c r="AZ353" s="272"/>
      <c r="BA353" s="272"/>
    </row>
    <row r="354" spans="1:53" outlineLevel="1" x14ac:dyDescent="0.35">
      <c r="A354" s="6" t="s">
        <v>33</v>
      </c>
      <c r="Z354" s="6">
        <f t="shared" si="48"/>
        <v>8.2720352410769784E-6</v>
      </c>
      <c r="AB354" s="272"/>
      <c r="AC354" s="272"/>
      <c r="AD354" s="272"/>
      <c r="AE354" s="272"/>
      <c r="AF354" s="272"/>
      <c r="AG354" s="272"/>
      <c r="AH354" s="272"/>
      <c r="AI354" s="272"/>
      <c r="AJ354" s="272"/>
      <c r="AK354" s="272"/>
      <c r="AL354" s="272"/>
      <c r="AM354" s="272"/>
      <c r="AN354" s="272"/>
      <c r="AO354" s="272"/>
      <c r="AP354" s="272"/>
      <c r="AQ354" s="272"/>
      <c r="AR354" s="272"/>
      <c r="AS354" s="272"/>
      <c r="AT354" s="272"/>
      <c r="AU354" s="272"/>
      <c r="AV354" s="272"/>
      <c r="AW354" s="272"/>
      <c r="AX354" s="272"/>
      <c r="AY354" s="272"/>
      <c r="AZ354" s="272"/>
      <c r="BA354" s="272"/>
    </row>
    <row r="355" spans="1:53" outlineLevel="1" x14ac:dyDescent="0.35">
      <c r="A355" s="6" t="s">
        <v>35</v>
      </c>
      <c r="Z355" s="6">
        <f t="shared" si="48"/>
        <v>1.654407048215396E-5</v>
      </c>
      <c r="AB355" s="272"/>
      <c r="AC355" s="272"/>
      <c r="AD355" s="272"/>
      <c r="AE355" s="272"/>
      <c r="AF355" s="272"/>
      <c r="AG355" s="272"/>
      <c r="AH355" s="272"/>
      <c r="AI355" s="272"/>
      <c r="AJ355" s="272"/>
      <c r="AK355" s="272"/>
      <c r="AL355" s="272"/>
      <c r="AM355" s="272"/>
      <c r="AN355" s="272"/>
      <c r="AO355" s="272"/>
      <c r="AP355" s="272"/>
      <c r="AQ355" s="272"/>
      <c r="AR355" s="272"/>
      <c r="AS355" s="272"/>
      <c r="AT355" s="272"/>
      <c r="AU355" s="272"/>
      <c r="AV355" s="272"/>
      <c r="AW355" s="272"/>
      <c r="AX355" s="272"/>
      <c r="AY355" s="272"/>
      <c r="AZ355" s="272"/>
      <c r="BA355" s="272"/>
    </row>
    <row r="356" spans="1:53" outlineLevel="1" x14ac:dyDescent="0.35">
      <c r="A356" s="6" t="s">
        <v>37</v>
      </c>
      <c r="Z356" s="6">
        <f t="shared" si="48"/>
        <v>4.1171919330931541E-5</v>
      </c>
      <c r="AB356" s="272"/>
      <c r="AC356" s="272"/>
      <c r="AD356" s="272"/>
      <c r="AE356" s="272"/>
      <c r="AF356" s="272"/>
      <c r="AG356" s="272"/>
      <c r="AH356" s="272"/>
      <c r="AI356" s="272"/>
      <c r="AJ356" s="272"/>
      <c r="AK356" s="272"/>
      <c r="AL356" s="272"/>
      <c r="AM356" s="272"/>
      <c r="AN356" s="272"/>
      <c r="AO356" s="272"/>
      <c r="AP356" s="272"/>
      <c r="AQ356" s="272"/>
      <c r="AR356" s="272"/>
      <c r="AS356" s="272"/>
      <c r="AT356" s="272"/>
      <c r="AU356" s="272"/>
      <c r="AV356" s="272"/>
      <c r="AW356" s="272"/>
      <c r="AX356" s="272"/>
      <c r="AY356" s="272"/>
      <c r="AZ356" s="272"/>
      <c r="BA356" s="272"/>
    </row>
    <row r="357" spans="1:53" outlineLevel="1" x14ac:dyDescent="0.35">
      <c r="A357" s="6" t="s">
        <v>40</v>
      </c>
      <c r="Z357" s="6">
        <f t="shared" si="48"/>
        <v>5.9448924584171799E-4</v>
      </c>
    </row>
    <row r="358" spans="1:53" outlineLevel="1" x14ac:dyDescent="0.35">
      <c r="A358" s="6" t="s">
        <v>42</v>
      </c>
      <c r="Z358" s="6">
        <f t="shared" si="48"/>
        <v>5.4539699490104918E-5</v>
      </c>
    </row>
    <row r="359" spans="1:53" outlineLevel="1" x14ac:dyDescent="0.35">
      <c r="A359" s="6" t="s">
        <v>115</v>
      </c>
      <c r="Z359" s="6">
        <f t="shared" si="48"/>
        <v>3.5935458474486748E-4</v>
      </c>
    </row>
    <row r="360" spans="1:53" outlineLevel="1" x14ac:dyDescent="0.35">
      <c r="A360" s="6" t="s">
        <v>45</v>
      </c>
      <c r="Z360" s="6">
        <f>Z76*AC325</f>
        <v>1.7613571923572038E-5</v>
      </c>
    </row>
    <row r="361" spans="1:53" outlineLevel="1" x14ac:dyDescent="0.35">
      <c r="A361" s="6" t="s">
        <v>116</v>
      </c>
      <c r="B361" s="6">
        <f>B77</f>
        <v>2.2868444478900299E-3</v>
      </c>
      <c r="C361" s="6">
        <f t="shared" ref="C361:Z361" si="49">C77</f>
        <v>2.2688618108593619E-3</v>
      </c>
      <c r="D361" s="6">
        <f t="shared" si="49"/>
        <v>2.250613145045521E-3</v>
      </c>
      <c r="E361" s="6">
        <f t="shared" si="49"/>
        <v>2.2242630345716192E-3</v>
      </c>
      <c r="F361" s="6">
        <f t="shared" si="49"/>
        <v>2.205439178557477E-3</v>
      </c>
      <c r="G361" s="6">
        <f t="shared" si="49"/>
        <v>2.1863319204748952E-3</v>
      </c>
      <c r="H361" s="6">
        <f t="shared" si="49"/>
        <v>2.1636441841529248E-3</v>
      </c>
      <c r="I361" s="6">
        <f t="shared" si="49"/>
        <v>2.140943809067155E-3</v>
      </c>
      <c r="J361" s="6">
        <f t="shared" si="49"/>
        <v>2.1142905920493878E-3</v>
      </c>
      <c r="K361" s="6">
        <f t="shared" si="49"/>
        <v>2.0913940629818349E-3</v>
      </c>
      <c r="L361" s="6">
        <f t="shared" si="49"/>
        <v>2.068344889906047E-3</v>
      </c>
      <c r="M361" s="6">
        <f t="shared" si="49"/>
        <v>2.0396732943811142E-3</v>
      </c>
      <c r="N361" s="6">
        <f t="shared" si="49"/>
        <v>2.0111593851075741E-3</v>
      </c>
      <c r="O361" s="6">
        <f t="shared" si="49"/>
        <v>1.9816419194333399E-3</v>
      </c>
      <c r="P361" s="6">
        <f t="shared" si="49"/>
        <v>1.9534224916984309E-3</v>
      </c>
      <c r="Q361" s="6">
        <f t="shared" si="49"/>
        <v>1.925325558619934E-3</v>
      </c>
      <c r="R361" s="6">
        <f t="shared" si="49"/>
        <v>1.90651589386873E-3</v>
      </c>
      <c r="S361" s="6">
        <f t="shared" si="49"/>
        <v>1.887805505923892E-3</v>
      </c>
      <c r="T361" s="6">
        <f t="shared" si="49"/>
        <v>1.868103373074346E-3</v>
      </c>
      <c r="U361" s="6">
        <f t="shared" si="49"/>
        <v>1.8496113901087679E-3</v>
      </c>
      <c r="V361" s="6">
        <f t="shared" si="49"/>
        <v>1.831221787405327E-3</v>
      </c>
      <c r="W361" s="6">
        <f t="shared" si="49"/>
        <v>1.839484702599319E-3</v>
      </c>
      <c r="X361" s="6">
        <f t="shared" si="49"/>
        <v>1.836581954761485E-3</v>
      </c>
      <c r="Y361" s="6">
        <f t="shared" si="49"/>
        <v>1.8337028304043451E-3</v>
      </c>
      <c r="Z361" s="6">
        <f t="shared" si="49"/>
        <v>1.8308470230828889E-3</v>
      </c>
    </row>
    <row r="362" spans="1:53" outlineLevel="1" x14ac:dyDescent="0.35">
      <c r="A362" s="6" t="s">
        <v>758</v>
      </c>
      <c r="B362" s="6">
        <f>B78*$AC$325</f>
        <v>2.9709877920606588E-3</v>
      </c>
      <c r="C362" s="6">
        <f t="shared" ref="C362:Z362" si="50">C78*$AC$325</f>
        <v>2.8196046621354327E-3</v>
      </c>
      <c r="D362" s="6">
        <f t="shared" si="50"/>
        <v>2.6682006387973153E-3</v>
      </c>
      <c r="E362" s="6">
        <f t="shared" si="50"/>
        <v>2.5151183855516165E-3</v>
      </c>
      <c r="F362" s="6">
        <f t="shared" si="50"/>
        <v>2.3645417435159632E-3</v>
      </c>
      <c r="G362" s="6">
        <f t="shared" si="50"/>
        <v>2.2145008739742986E-3</v>
      </c>
      <c r="H362" s="6">
        <f t="shared" si="50"/>
        <v>2.126884001402058E-3</v>
      </c>
      <c r="I362" s="6">
        <f t="shared" si="50"/>
        <v>2.0396136865058734E-3</v>
      </c>
      <c r="J362" s="6">
        <f t="shared" si="50"/>
        <v>1.9511884346150748E-3</v>
      </c>
      <c r="K362" s="6">
        <f t="shared" si="50"/>
        <v>1.8642767932236302E-3</v>
      </c>
      <c r="L362" s="6">
        <f t="shared" si="50"/>
        <v>1.7774857963066396E-3</v>
      </c>
      <c r="M362" s="6">
        <f t="shared" si="50"/>
        <v>1.7212815953495336E-3</v>
      </c>
      <c r="N362" s="6">
        <f t="shared" si="50"/>
        <v>1.6648570395627628E-3</v>
      </c>
      <c r="O362" s="6">
        <f t="shared" si="50"/>
        <v>1.6078128188599025E-3</v>
      </c>
      <c r="P362" s="6">
        <f t="shared" si="50"/>
        <v>1.5508245928606511E-3</v>
      </c>
      <c r="Q362" s="6">
        <f t="shared" si="50"/>
        <v>1.493587677912984E-3</v>
      </c>
      <c r="R362" s="6">
        <f t="shared" si="50"/>
        <v>1.472662501251199E-3</v>
      </c>
      <c r="S362" s="6">
        <f t="shared" si="50"/>
        <v>1.4515860077920506E-3</v>
      </c>
      <c r="T362" s="6">
        <f t="shared" si="50"/>
        <v>1.4300840348321735E-3</v>
      </c>
      <c r="U362" s="6">
        <f t="shared" si="50"/>
        <v>1.4088259776837754E-3</v>
      </c>
      <c r="V362" s="6">
        <f t="shared" si="50"/>
        <v>1.3874905659914229E-3</v>
      </c>
      <c r="W362" s="6">
        <f t="shared" si="50"/>
        <v>1.3987259324854584E-3</v>
      </c>
      <c r="X362" s="6">
        <f t="shared" si="50"/>
        <v>1.3896808412968869E-3</v>
      </c>
      <c r="Y362" s="6">
        <f t="shared" si="50"/>
        <v>1.3806384440898821E-3</v>
      </c>
      <c r="Z362" s="6">
        <f t="shared" si="50"/>
        <v>1.3715954176475281E-3</v>
      </c>
    </row>
    <row r="363" spans="1:53" outlineLevel="1" x14ac:dyDescent="0.35">
      <c r="A363" s="6" t="s">
        <v>759</v>
      </c>
      <c r="B363" s="6">
        <f>B79*$AC$325</f>
        <v>0</v>
      </c>
      <c r="C363" s="6">
        <f t="shared" ref="C363:Z363" si="51">C79*$AC$325</f>
        <v>0</v>
      </c>
      <c r="D363" s="6">
        <f t="shared" si="51"/>
        <v>0</v>
      </c>
      <c r="E363" s="6">
        <f t="shared" si="51"/>
        <v>0</v>
      </c>
      <c r="F363" s="6">
        <f t="shared" si="51"/>
        <v>0</v>
      </c>
      <c r="G363" s="6">
        <f t="shared" si="51"/>
        <v>0</v>
      </c>
      <c r="H363" s="6">
        <f t="shared" si="51"/>
        <v>0</v>
      </c>
      <c r="I363" s="6">
        <f t="shared" si="51"/>
        <v>0</v>
      </c>
      <c r="J363" s="6">
        <f t="shared" si="51"/>
        <v>0</v>
      </c>
      <c r="K363" s="6">
        <f t="shared" si="51"/>
        <v>0</v>
      </c>
      <c r="L363" s="6">
        <f t="shared" si="51"/>
        <v>0</v>
      </c>
      <c r="M363" s="6">
        <f t="shared" si="51"/>
        <v>0</v>
      </c>
      <c r="N363" s="6">
        <f t="shared" si="51"/>
        <v>0</v>
      </c>
      <c r="O363" s="6">
        <f t="shared" si="51"/>
        <v>0</v>
      </c>
      <c r="P363" s="6">
        <f t="shared" si="51"/>
        <v>0</v>
      </c>
      <c r="Q363" s="6">
        <f t="shared" si="51"/>
        <v>0</v>
      </c>
      <c r="R363" s="6">
        <f t="shared" si="51"/>
        <v>0</v>
      </c>
      <c r="S363" s="6">
        <f t="shared" si="51"/>
        <v>0</v>
      </c>
      <c r="T363" s="6">
        <f t="shared" si="51"/>
        <v>0</v>
      </c>
      <c r="U363" s="6">
        <f t="shared" si="51"/>
        <v>0</v>
      </c>
      <c r="V363" s="6">
        <f t="shared" si="51"/>
        <v>0</v>
      </c>
      <c r="W363" s="6">
        <f t="shared" si="51"/>
        <v>0</v>
      </c>
      <c r="X363" s="6">
        <f t="shared" si="51"/>
        <v>0</v>
      </c>
      <c r="Y363" s="6">
        <f t="shared" si="51"/>
        <v>0</v>
      </c>
      <c r="Z363" s="6">
        <f t="shared" si="51"/>
        <v>0</v>
      </c>
    </row>
    <row r="364" spans="1:53" outlineLevel="1" x14ac:dyDescent="0.35">
      <c r="A364" s="6" t="s">
        <v>760</v>
      </c>
      <c r="B364" s="6">
        <f>$B$252*$AC$324*'Results - raw data ReCiPe (H)'!C121/(1-$AC$330)*(1+'Results ReCiPe (H) - HHD'!$AC$271/'Results ReCiPe (H) - HHD'!$AC$272-'Results ReCiPe (H) - HHD'!$AC$271)</f>
        <v>2.4592916213383192E-2</v>
      </c>
      <c r="C364" s="6">
        <f>$B$252*$AC$324*'Results - raw data ReCiPe (H)'!D121/(1-$AC$330)*(1+'Results ReCiPe (H) - HHD'!$AC$271/'Results ReCiPe (H) - HHD'!$AC$272-'Results ReCiPe (H) - HHD'!$AC$271)</f>
        <v>2.4492253261722656E-2</v>
      </c>
      <c r="D364" s="6">
        <f>$B$252*$AC$324*'Results - raw data ReCiPe (H)'!E121/(1-$AC$330)*(1+'Results ReCiPe (H) - HHD'!$AC$271/'Results ReCiPe (H) - HHD'!$AC$272-'Results ReCiPe (H) - HHD'!$AC$271)</f>
        <v>2.4388433020564908E-2</v>
      </c>
      <c r="E364" s="6">
        <f>$B$252*$AC$324*'Results - raw data ReCiPe (H)'!F121/(1-$AC$330)*(1+'Results ReCiPe (H) - HHD'!$AC$271/'Results ReCiPe (H) - HHD'!$AC$272-'Results ReCiPe (H) - HHD'!$AC$271)</f>
        <v>2.42438140080929E-2</v>
      </c>
      <c r="F364" s="6">
        <f>$B$252*$AC$324*'Results - raw data ReCiPe (H)'!G121/(1-$AC$330)*(1+'Results ReCiPe (H) - HHD'!$AC$271/'Results ReCiPe (H) - HHD'!$AC$272-'Results ReCiPe (H) - HHD'!$AC$271)</f>
        <v>2.4133906961006681E-2</v>
      </c>
      <c r="G364" s="6">
        <f>$B$252*$AC$324*'Results - raw data ReCiPe (H)'!H121/(1-$AC$330)*(1+'Results ReCiPe (H) - HHD'!$AC$271/'Results ReCiPe (H) - HHD'!$AC$272-'Results ReCiPe (H) - HHD'!$AC$271)</f>
        <v>2.4020580058759473E-2</v>
      </c>
      <c r="H364" s="6">
        <f>$B$252*$AC$324*'Results - raw data ReCiPe (H)'!I121/(1-$AC$330)*(1+'Results ReCiPe (H) - HHD'!$AC$271/'Results ReCiPe (H) - HHD'!$AC$272-'Results ReCiPe (H) - HHD'!$AC$271)</f>
        <v>2.3878452035089502E-2</v>
      </c>
      <c r="I364" s="6">
        <f>$B$252*$AC$324*'Results - raw data ReCiPe (H)'!J121/(1-$AC$330)*(1+'Results ReCiPe (H) - HHD'!$AC$271/'Results ReCiPe (H) - HHD'!$AC$272-'Results ReCiPe (H) - HHD'!$AC$271)</f>
        <v>2.3749011514534062E-2</v>
      </c>
      <c r="J364" s="6">
        <f>$B$252*$AC$324*'Results - raw data ReCiPe (H)'!K121/(1-$AC$330)*(1+'Results ReCiPe (H) - HHD'!$AC$271/'Results ReCiPe (H) - HHD'!$AC$272-'Results ReCiPe (H) - HHD'!$AC$271)</f>
        <v>2.3607155091283992E-2</v>
      </c>
      <c r="K364" s="6">
        <f>$B$252*$AC$324*'Results - raw data ReCiPe (H)'!L121/(1-$AC$330)*(1+'Results ReCiPe (H) - HHD'!$AC$271/'Results ReCiPe (H) - HHD'!$AC$272-'Results ReCiPe (H) - HHD'!$AC$271)</f>
        <v>2.3485878923419821E-2</v>
      </c>
      <c r="L364" s="6">
        <f>$B$252*$AC$324*'Results - raw data ReCiPe (H)'!M121/(1-$AC$330)*(1+'Results ReCiPe (H) - HHD'!$AC$271/'Results ReCiPe (H) - HHD'!$AC$272-'Results ReCiPe (H) - HHD'!$AC$271)</f>
        <v>2.3365064636344222E-2</v>
      </c>
      <c r="M364" s="6">
        <f>$B$252*$AC$324*'Results - raw data ReCiPe (H)'!N121/(1-$AC$330)*(1+'Results ReCiPe (H) - HHD'!$AC$271/'Results ReCiPe (H) - HHD'!$AC$272-'Results ReCiPe (H) - HHD'!$AC$271)</f>
        <v>2.3267325972967434E-2</v>
      </c>
      <c r="N364" s="6">
        <f>$B$252*$AC$324*'Results - raw data ReCiPe (H)'!O121/(1-$AC$330)*(1+'Results ReCiPe (H) - HHD'!$AC$271/'Results ReCiPe (H) - HHD'!$AC$272-'Results ReCiPe (H) - HHD'!$AC$271)</f>
        <v>2.3173238075734136E-2</v>
      </c>
      <c r="O364" s="6">
        <f>$B$252*$AC$324*'Results - raw data ReCiPe (H)'!P121/(1-$AC$330)*(1+'Results ReCiPe (H) - HHD'!$AC$271/'Results ReCiPe (H) - HHD'!$AC$272-'Results ReCiPe (H) - HHD'!$AC$271)</f>
        <v>2.3077099371627826E-2</v>
      </c>
      <c r="P364" s="6">
        <f>$B$252*$AC$324*'Results - raw data ReCiPe (H)'!Q121/(1-$AC$330)*(1+'Results ReCiPe (H) - HHD'!$AC$271/'Results ReCiPe (H) - HHD'!$AC$272-'Results ReCiPe (H) - HHD'!$AC$271)</f>
        <v>2.2988534985372587E-2</v>
      </c>
      <c r="Q364" s="6">
        <f>$B$252*$AC$324*'Results - raw data ReCiPe (H)'!R121/(1-$AC$330)*(1+'Results ReCiPe (H) - HHD'!$AC$271/'Results ReCiPe (H) - HHD'!$AC$272-'Results ReCiPe (H) - HHD'!$AC$271)</f>
        <v>2.2902055770086523E-2</v>
      </c>
      <c r="R364" s="6">
        <f>$B$252*$AC$324*'Results - raw data ReCiPe (H)'!S121/(1-$AC$330)*(1+'Results ReCiPe (H) - HHD'!$AC$271/'Results ReCiPe (H) - HHD'!$AC$272-'Results ReCiPe (H) - HHD'!$AC$271)</f>
        <v>2.2854220142108059E-2</v>
      </c>
      <c r="S364" s="6">
        <f>$B$252*$AC$324*'Results - raw data ReCiPe (H)'!T121/(1-$AC$330)*(1+'Results ReCiPe (H) - HHD'!$AC$271/'Results ReCiPe (H) - HHD'!$AC$272-'Results ReCiPe (H) - HHD'!$AC$271)</f>
        <v>2.2807812816613145E-2</v>
      </c>
      <c r="T364" s="6">
        <f>$B$252*$AC$324*'Results - raw data ReCiPe (H)'!U121/(1-$AC$330)*(1+'Results ReCiPe (H) - HHD'!$AC$271/'Results ReCiPe (H) - HHD'!$AC$272-'Results ReCiPe (H) - HHD'!$AC$271)</f>
        <v>2.2757660133605091E-2</v>
      </c>
      <c r="U364" s="6">
        <f>$B$252*$AC$324*'Results - raw data ReCiPe (H)'!V121/(1-$AC$330)*(1+'Results ReCiPe (H) - HHD'!$AC$271/'Results ReCiPe (H) - HHD'!$AC$272-'Results ReCiPe (H) - HHD'!$AC$271)</f>
        <v>2.2714112173136177E-2</v>
      </c>
      <c r="V364" s="6">
        <f>$B$252*$AC$324*'Results - raw data ReCiPe (H)'!W121/(1-$AC$330)*(1+'Results ReCiPe (H) - HHD'!$AC$271/'Results ReCiPe (H) - HHD'!$AC$272-'Results ReCiPe (H) - HHD'!$AC$271)</f>
        <v>2.2672761776796464E-2</v>
      </c>
      <c r="W364" s="6">
        <f>$B$252*$AC$324*'Results - raw data ReCiPe (H)'!X121/(1-$AC$330)*(1+'Results ReCiPe (H) - HHD'!$AC$271/'Results ReCiPe (H) - HHD'!$AC$272-'Results ReCiPe (H) - HHD'!$AC$271)</f>
        <v>2.2801281023062597E-2</v>
      </c>
      <c r="X364" s="6">
        <f>$B$252*$AC$324*'Results - raw data ReCiPe (H)'!Y121/(1-$AC$330)*(1+'Results ReCiPe (H) - HHD'!$AC$271/'Results ReCiPe (H) - HHD'!$AC$272-'Results ReCiPe (H) - HHD'!$AC$271)</f>
        <v>2.2799190558163568E-2</v>
      </c>
      <c r="Y364" s="6">
        <f>$B$252*$AC$324*'Results - raw data ReCiPe (H)'!Z121/(1-$AC$330)*(1+'Results ReCiPe (H) - HHD'!$AC$271/'Results ReCiPe (H) - HHD'!$AC$272-'Results ReCiPe (H) - HHD'!$AC$271)</f>
        <v>2.2797127855379302E-2</v>
      </c>
      <c r="Z364" s="6">
        <f>$B$252*$AC$324*'Results - raw data ReCiPe (H)'!AA121/(1-$AC$330)*(1+'Results ReCiPe (H) - HHD'!$AC$271/'Results ReCiPe (H) - HHD'!$AC$272-'Results ReCiPe (H) - HHD'!$AC$271)</f>
        <v>2.279510719349959E-2</v>
      </c>
    </row>
    <row r="365" spans="1:53" outlineLevel="1" x14ac:dyDescent="0.35">
      <c r="A365" s="6" t="s">
        <v>797</v>
      </c>
      <c r="B365" s="6">
        <f>$B$320*$AC$324</f>
        <v>3.6698770310743312E-2</v>
      </c>
      <c r="C365" s="6">
        <f t="shared" ref="C365:Z365" si="52">$B$320*$AC$324</f>
        <v>3.6698770310743312E-2</v>
      </c>
      <c r="D365" s="6">
        <f t="shared" si="52"/>
        <v>3.6698770310743312E-2</v>
      </c>
      <c r="E365" s="6">
        <f t="shared" si="52"/>
        <v>3.6698770310743312E-2</v>
      </c>
      <c r="F365" s="6">
        <f t="shared" si="52"/>
        <v>3.6698770310743312E-2</v>
      </c>
      <c r="G365" s="6">
        <f t="shared" si="52"/>
        <v>3.6698770310743312E-2</v>
      </c>
      <c r="H365" s="6">
        <f t="shared" si="52"/>
        <v>3.6698770310743312E-2</v>
      </c>
      <c r="I365" s="6">
        <f t="shared" si="52"/>
        <v>3.6698770310743312E-2</v>
      </c>
      <c r="J365" s="6">
        <f t="shared" si="52"/>
        <v>3.6698770310743312E-2</v>
      </c>
      <c r="K365" s="6">
        <f t="shared" si="52"/>
        <v>3.6698770310743312E-2</v>
      </c>
      <c r="L365" s="6">
        <f t="shared" si="52"/>
        <v>3.6698770310743312E-2</v>
      </c>
      <c r="M365" s="6">
        <f t="shared" si="52"/>
        <v>3.6698770310743312E-2</v>
      </c>
      <c r="N365" s="6">
        <f t="shared" si="52"/>
        <v>3.6698770310743312E-2</v>
      </c>
      <c r="O365" s="6">
        <f t="shared" si="52"/>
        <v>3.6698770310743312E-2</v>
      </c>
      <c r="P365" s="6">
        <f t="shared" si="52"/>
        <v>3.6698770310743312E-2</v>
      </c>
      <c r="Q365" s="6">
        <f t="shared" si="52"/>
        <v>3.6698770310743312E-2</v>
      </c>
      <c r="R365" s="6">
        <f t="shared" si="52"/>
        <v>3.6698770310743312E-2</v>
      </c>
      <c r="S365" s="6">
        <f t="shared" si="52"/>
        <v>3.6698770310743312E-2</v>
      </c>
      <c r="T365" s="6">
        <f t="shared" si="52"/>
        <v>3.6698770310743312E-2</v>
      </c>
      <c r="U365" s="6">
        <f t="shared" si="52"/>
        <v>3.6698770310743312E-2</v>
      </c>
      <c r="V365" s="6">
        <f t="shared" si="52"/>
        <v>3.6698770310743312E-2</v>
      </c>
      <c r="W365" s="6">
        <f t="shared" si="52"/>
        <v>3.6698770310743312E-2</v>
      </c>
      <c r="X365" s="6">
        <f t="shared" si="52"/>
        <v>3.6698770310743312E-2</v>
      </c>
      <c r="Y365" s="6">
        <f t="shared" si="52"/>
        <v>3.6698770310743312E-2</v>
      </c>
      <c r="Z365" s="6">
        <f t="shared" si="52"/>
        <v>3.6698770310743312E-2</v>
      </c>
    </row>
    <row r="366" spans="1:53" outlineLevel="1" x14ac:dyDescent="0.35">
      <c r="A366" s="23" t="s">
        <v>125</v>
      </c>
      <c r="B366" s="17">
        <f>SUM(B334:B364)</f>
        <v>0.18740753431152207</v>
      </c>
      <c r="C366" s="17">
        <f t="shared" ref="C366:Z366" si="53">SUM(C334:C364)</f>
        <v>2.9580719734717452E-2</v>
      </c>
      <c r="D366" s="17">
        <f t="shared" si="53"/>
        <v>2.9307246804407744E-2</v>
      </c>
      <c r="E366" s="17">
        <f t="shared" si="53"/>
        <v>2.8983195428216136E-2</v>
      </c>
      <c r="F366" s="17">
        <f t="shared" si="53"/>
        <v>2.870388788308012E-2</v>
      </c>
      <c r="G366" s="17">
        <f t="shared" si="53"/>
        <v>2.8421412853208667E-2</v>
      </c>
      <c r="H366" s="17">
        <f t="shared" si="53"/>
        <v>2.8168980220644485E-2</v>
      </c>
      <c r="I366" s="17">
        <f t="shared" si="53"/>
        <v>2.792956901010709E-2</v>
      </c>
      <c r="J366" s="17">
        <f t="shared" si="53"/>
        <v>2.7672634117948455E-2</v>
      </c>
      <c r="K366" s="17">
        <f t="shared" si="53"/>
        <v>2.7441549779625287E-2</v>
      </c>
      <c r="L366" s="17">
        <f t="shared" si="53"/>
        <v>2.7210895322556907E-2</v>
      </c>
      <c r="M366" s="17">
        <f t="shared" si="53"/>
        <v>2.7028280862698081E-2</v>
      </c>
      <c r="N366" s="17">
        <f t="shared" si="53"/>
        <v>2.6849254500404474E-2</v>
      </c>
      <c r="O366" s="17">
        <f t="shared" si="53"/>
        <v>2.6666554109921067E-2</v>
      </c>
      <c r="P366" s="17">
        <f t="shared" si="53"/>
        <v>2.6492782069931671E-2</v>
      </c>
      <c r="Q366" s="17">
        <f t="shared" si="53"/>
        <v>2.6320969006619441E-2</v>
      </c>
      <c r="R366" s="17">
        <f t="shared" si="53"/>
        <v>2.6233398537227989E-2</v>
      </c>
      <c r="S366" s="17">
        <f t="shared" si="53"/>
        <v>2.6147204330329087E-2</v>
      </c>
      <c r="T366" s="17">
        <f t="shared" si="53"/>
        <v>2.605584754151161E-2</v>
      </c>
      <c r="U366" s="17">
        <f t="shared" si="53"/>
        <v>2.597254954092872E-2</v>
      </c>
      <c r="V366" s="17">
        <f t="shared" si="53"/>
        <v>2.5891474130193215E-2</v>
      </c>
      <c r="W366" s="17">
        <f t="shared" si="53"/>
        <v>2.6039491658147375E-2</v>
      </c>
      <c r="X366" s="17">
        <f t="shared" si="53"/>
        <v>2.602545335422194E-2</v>
      </c>
      <c r="Y366" s="17">
        <f t="shared" si="53"/>
        <v>2.6011469129873531E-2</v>
      </c>
      <c r="Z366" s="17">
        <f t="shared" si="53"/>
        <v>2.7219044980805844E-2</v>
      </c>
    </row>
    <row r="367" spans="1:53" outlineLevel="1" x14ac:dyDescent="0.35"/>
    <row r="368" spans="1:53" s="18" customFormat="1" ht="21" x14ac:dyDescent="0.5">
      <c r="A368" s="18" t="s">
        <v>94</v>
      </c>
    </row>
    <row r="369" spans="1:31" s="20" customFormat="1" outlineLevel="1" x14ac:dyDescent="0.35">
      <c r="A369" s="19" t="s">
        <v>788</v>
      </c>
    </row>
    <row r="370" spans="1:31" s="20" customFormat="1" outlineLevel="1" x14ac:dyDescent="0.35">
      <c r="A370" s="273" t="s">
        <v>775</v>
      </c>
      <c r="B370" s="20">
        <v>1</v>
      </c>
      <c r="C370" s="274" t="s">
        <v>787</v>
      </c>
    </row>
    <row r="371" spans="1:31" s="20" customFormat="1" outlineLevel="1" x14ac:dyDescent="0.35">
      <c r="A371" s="273" t="s">
        <v>781</v>
      </c>
      <c r="B371" s="20">
        <v>100000</v>
      </c>
      <c r="C371" s="20" t="s">
        <v>782</v>
      </c>
      <c r="E371" s="274"/>
    </row>
    <row r="372" spans="1:31" s="20" customFormat="1" outlineLevel="1" x14ac:dyDescent="0.35">
      <c r="A372" s="273" t="s">
        <v>783</v>
      </c>
      <c r="B372" s="20">
        <v>1500</v>
      </c>
      <c r="C372" s="20" t="s">
        <v>592</v>
      </c>
    </row>
    <row r="373" spans="1:31" s="20" customFormat="1" outlineLevel="1" x14ac:dyDescent="0.35">
      <c r="A373" s="273" t="s">
        <v>784</v>
      </c>
      <c r="B373" s="20">
        <v>8760</v>
      </c>
      <c r="C373" s="20" t="s">
        <v>785</v>
      </c>
    </row>
    <row r="374" spans="1:31" s="20" customFormat="1" outlineLevel="1" x14ac:dyDescent="0.35">
      <c r="A374" s="273"/>
    </row>
    <row r="375" spans="1:31" s="20" customFormat="1" outlineLevel="1" x14ac:dyDescent="0.35">
      <c r="A375" s="275" t="s">
        <v>786</v>
      </c>
      <c r="B375" s="275">
        <f>(B371*B372)/(B373*B370)</f>
        <v>17123.287671232876</v>
      </c>
      <c r="C375" s="275" t="s">
        <v>749</v>
      </c>
    </row>
    <row r="376" spans="1:31" s="20" customFormat="1" outlineLevel="1" x14ac:dyDescent="0.35">
      <c r="A376" s="19"/>
    </row>
    <row r="377" spans="1:31" s="20" customFormat="1" outlineLevel="1" x14ac:dyDescent="0.35">
      <c r="A377" s="19" t="s">
        <v>793</v>
      </c>
    </row>
    <row r="378" spans="1:31" s="20" customFormat="1" outlineLevel="1" x14ac:dyDescent="0.35">
      <c r="A378" s="273" t="s">
        <v>789</v>
      </c>
      <c r="B378" s="20">
        <f>SUM('Results - raw data ReCiPe (H)'!C156:C157)+'Results - raw data ReCiPe (H)'!C160+SUM('Results - raw data ReCiPe (H)'!C158:C159)*AC387</f>
        <v>6.6369489897766957E-3</v>
      </c>
      <c r="C378" s="20" t="s">
        <v>790</v>
      </c>
    </row>
    <row r="379" spans="1:31" s="20" customFormat="1" outlineLevel="1" x14ac:dyDescent="0.35">
      <c r="A379" s="20" t="s">
        <v>792</v>
      </c>
      <c r="B379" s="20">
        <f>B371*AC385</f>
        <v>50000</v>
      </c>
      <c r="C379" s="274" t="s">
        <v>795</v>
      </c>
    </row>
    <row r="380" spans="1:31" s="20" customFormat="1" outlineLevel="1" x14ac:dyDescent="0.35">
      <c r="A380" s="20" t="s">
        <v>791</v>
      </c>
      <c r="B380" s="20">
        <f>(B378*AC387*B375)/(B379*AC386)*(AC386/AC388)</f>
        <v>6.8187832086746868E-4</v>
      </c>
      <c r="C380" s="20" t="s">
        <v>794</v>
      </c>
      <c r="E380" s="274" t="s">
        <v>796</v>
      </c>
    </row>
    <row r="381" spans="1:31" s="20" customFormat="1" outlineLevel="1" x14ac:dyDescent="0.35">
      <c r="A381" s="19"/>
    </row>
    <row r="382" spans="1:31" s="16" customFormat="1" outlineLevel="1" x14ac:dyDescent="0.35">
      <c r="A382" s="21"/>
      <c r="AB382" s="16" t="s">
        <v>47</v>
      </c>
      <c r="AC382" s="16">
        <v>9.2800000000000005E-7</v>
      </c>
      <c r="AD382" s="16" t="s">
        <v>48</v>
      </c>
      <c r="AE382" s="15" t="s">
        <v>714</v>
      </c>
    </row>
    <row r="383" spans="1:31" s="16" customFormat="1" outlineLevel="1" x14ac:dyDescent="0.35">
      <c r="A383" s="22" t="s">
        <v>564</v>
      </c>
      <c r="AC383" s="16">
        <f>AC382*1000</f>
        <v>9.2800000000000001E-4</v>
      </c>
      <c r="AD383" s="16" t="s">
        <v>126</v>
      </c>
    </row>
    <row r="384" spans="1:31" s="16" customFormat="1" outlineLevel="1" x14ac:dyDescent="0.35">
      <c r="A384" s="22"/>
      <c r="AB384" s="16" t="s">
        <v>127</v>
      </c>
      <c r="AC384" s="16">
        <f>100*AC385</f>
        <v>50</v>
      </c>
      <c r="AD384" s="16" t="s">
        <v>128</v>
      </c>
    </row>
    <row r="385" spans="1:53" s="16" customFormat="1" outlineLevel="1" x14ac:dyDescent="0.35">
      <c r="A385" s="230"/>
      <c r="AB385" s="16" t="s">
        <v>776</v>
      </c>
      <c r="AC385" s="16">
        <v>0.5</v>
      </c>
    </row>
    <row r="386" spans="1:53" s="16" customFormat="1" outlineLevel="1" x14ac:dyDescent="0.35">
      <c r="A386" s="21"/>
      <c r="AB386" s="16" t="s">
        <v>129</v>
      </c>
      <c r="AC386" s="16">
        <v>25</v>
      </c>
      <c r="AD386" s="16" t="s">
        <v>130</v>
      </c>
    </row>
    <row r="387" spans="1:53" s="16" customFormat="1" outlineLevel="1" x14ac:dyDescent="0.35">
      <c r="A387" s="21"/>
      <c r="AB387" s="16" t="s">
        <v>777</v>
      </c>
      <c r="AC387" s="16">
        <v>6</v>
      </c>
      <c r="AD387" s="16" t="s">
        <v>779</v>
      </c>
    </row>
    <row r="388" spans="1:53" s="16" customFormat="1" outlineLevel="1" x14ac:dyDescent="0.35">
      <c r="A388" s="21"/>
      <c r="AB388" s="16" t="s">
        <v>778</v>
      </c>
      <c r="AC388" s="16">
        <v>20</v>
      </c>
      <c r="AD388" s="16" t="s">
        <v>130</v>
      </c>
    </row>
    <row r="389" spans="1:53" s="16" customFormat="1" outlineLevel="1" x14ac:dyDescent="0.35">
      <c r="AB389" s="16" t="s">
        <v>780</v>
      </c>
      <c r="AC389" s="16">
        <f>B375</f>
        <v>17123.287671232876</v>
      </c>
      <c r="AD389" s="16" t="s">
        <v>749</v>
      </c>
    </row>
    <row r="390" spans="1:53" s="16" customFormat="1" outlineLevel="1" x14ac:dyDescent="0.35">
      <c r="AB390" s="16" t="s">
        <v>820</v>
      </c>
      <c r="AC390" s="16">
        <v>0.5</v>
      </c>
    </row>
    <row r="391" spans="1:53" s="16" customFormat="1" outlineLevel="1" x14ac:dyDescent="0.35">
      <c r="AB391" s="16" t="s">
        <v>798</v>
      </c>
      <c r="AC391" s="16">
        <v>0.25</v>
      </c>
    </row>
    <row r="392" spans="1:53" s="16" customFormat="1" outlineLevel="1" x14ac:dyDescent="0.35">
      <c r="A392" s="22"/>
      <c r="AB392" s="16" t="s">
        <v>799</v>
      </c>
      <c r="AC392" s="16">
        <v>0.9</v>
      </c>
    </row>
    <row r="393" spans="1:53" s="16" customFormat="1" outlineLevel="1" x14ac:dyDescent="0.35">
      <c r="A393" s="22"/>
    </row>
    <row r="394" spans="1:53" outlineLevel="1" x14ac:dyDescent="0.35">
      <c r="B394" s="25">
        <v>2030</v>
      </c>
      <c r="C394" s="25">
        <v>2031</v>
      </c>
      <c r="D394" s="25">
        <v>2032</v>
      </c>
      <c r="E394" s="25">
        <v>2033</v>
      </c>
      <c r="F394" s="25">
        <v>2034</v>
      </c>
      <c r="G394" s="25">
        <v>2035</v>
      </c>
      <c r="H394" s="25">
        <v>2036</v>
      </c>
      <c r="I394" s="25">
        <v>2037</v>
      </c>
      <c r="J394" s="25">
        <v>2038</v>
      </c>
      <c r="K394" s="25">
        <v>2039</v>
      </c>
      <c r="L394" s="25">
        <v>2040</v>
      </c>
      <c r="M394" s="25">
        <v>2041</v>
      </c>
      <c r="N394" s="25">
        <v>2042</v>
      </c>
      <c r="O394" s="25">
        <v>2043</v>
      </c>
      <c r="P394" s="25">
        <v>2044</v>
      </c>
      <c r="Q394" s="25">
        <v>2045</v>
      </c>
      <c r="R394" s="25">
        <v>2046</v>
      </c>
      <c r="S394" s="25">
        <v>2047</v>
      </c>
      <c r="T394" s="25">
        <v>2048</v>
      </c>
      <c r="U394" s="25">
        <v>2049</v>
      </c>
      <c r="V394" s="25">
        <v>2050</v>
      </c>
      <c r="W394" s="25">
        <v>2051</v>
      </c>
      <c r="X394" s="25">
        <v>2052</v>
      </c>
      <c r="Y394" s="25">
        <v>2053</v>
      </c>
      <c r="Z394" s="25">
        <v>2054</v>
      </c>
      <c r="AC394" s="25">
        <v>2030</v>
      </c>
      <c r="AD394" s="25">
        <v>2031</v>
      </c>
      <c r="AE394" s="25">
        <v>2032</v>
      </c>
      <c r="AF394" s="25">
        <v>2033</v>
      </c>
      <c r="AG394" s="25">
        <v>2034</v>
      </c>
      <c r="AH394" s="25">
        <v>2035</v>
      </c>
      <c r="AI394" s="25">
        <v>2036</v>
      </c>
      <c r="AJ394" s="25">
        <v>2037</v>
      </c>
      <c r="AK394" s="25">
        <v>2038</v>
      </c>
      <c r="AL394" s="25">
        <v>2039</v>
      </c>
      <c r="AM394" s="25">
        <v>2040</v>
      </c>
      <c r="AN394" s="25">
        <v>2041</v>
      </c>
      <c r="AO394" s="25">
        <v>2042</v>
      </c>
      <c r="AP394" s="25">
        <v>2043</v>
      </c>
      <c r="AQ394" s="25">
        <v>2044</v>
      </c>
      <c r="AR394" s="25">
        <v>2045</v>
      </c>
      <c r="AS394" s="25">
        <v>2046</v>
      </c>
      <c r="AT394" s="25">
        <v>2047</v>
      </c>
      <c r="AU394" s="25">
        <v>2048</v>
      </c>
      <c r="AV394" s="25">
        <v>2049</v>
      </c>
      <c r="AW394" s="25">
        <v>2050</v>
      </c>
      <c r="AX394" s="25">
        <v>2051</v>
      </c>
      <c r="AY394" s="25">
        <v>2052</v>
      </c>
      <c r="AZ394" s="25">
        <v>2053</v>
      </c>
      <c r="BA394" s="25">
        <v>2054</v>
      </c>
    </row>
    <row r="395" spans="1:53" outlineLevel="1" x14ac:dyDescent="0.35">
      <c r="A395" s="6" t="s">
        <v>21</v>
      </c>
      <c r="B395" s="6">
        <f>B90</f>
        <v>2.4100049612117481E-3</v>
      </c>
      <c r="AB395" s="6" t="s">
        <v>117</v>
      </c>
      <c r="AC395" s="6">
        <f>SUM(B395:B406)+B408</f>
        <v>0.13774913518918389</v>
      </c>
    </row>
    <row r="396" spans="1:53" outlineLevel="1" x14ac:dyDescent="0.35">
      <c r="A396" s="6" t="s">
        <v>23</v>
      </c>
      <c r="B396" s="6">
        <f t="shared" ref="B396:B406" si="54">B91</f>
        <v>5.3713425904224309E-3</v>
      </c>
      <c r="AB396" s="6" t="s">
        <v>118</v>
      </c>
      <c r="AC396" s="6">
        <f>B407</f>
        <v>4.4887183709256375E-3</v>
      </c>
    </row>
    <row r="397" spans="1:53" outlineLevel="1" x14ac:dyDescent="0.35">
      <c r="A397" s="6" t="s">
        <v>26</v>
      </c>
      <c r="B397" s="6">
        <f t="shared" si="54"/>
        <v>1.2015567507973911E-2</v>
      </c>
      <c r="AB397" s="6" t="s">
        <v>119</v>
      </c>
      <c r="BA397" s="6">
        <f>SUM(Z409:Z420)</f>
        <v>1.1364491829356034E-3</v>
      </c>
    </row>
    <row r="398" spans="1:53" outlineLevel="1" x14ac:dyDescent="0.35">
      <c r="A398" s="6" t="s">
        <v>28</v>
      </c>
      <c r="B398" s="6">
        <f t="shared" si="54"/>
        <v>1.529227024432098E-2</v>
      </c>
      <c r="AB398" s="6" t="s">
        <v>120</v>
      </c>
      <c r="BA398" s="6">
        <f>Z421</f>
        <v>1.7020923788049538E-5</v>
      </c>
    </row>
    <row r="399" spans="1:53" outlineLevel="1" x14ac:dyDescent="0.35">
      <c r="A399" s="6" t="s">
        <v>29</v>
      </c>
      <c r="B399" s="6">
        <f t="shared" si="54"/>
        <v>1.1898439492001591E-2</v>
      </c>
      <c r="AB399" s="6" t="s">
        <v>121</v>
      </c>
      <c r="AC399" s="6">
        <f>B422</f>
        <v>1.9848842622015748E-3</v>
      </c>
      <c r="AF399" s="6">
        <f>E422</f>
        <v>1.889975707684352E-3</v>
      </c>
      <c r="AI399" s="6">
        <f>H422</f>
        <v>1.8240269819210511E-3</v>
      </c>
      <c r="AL399" s="6">
        <f>K422</f>
        <v>1.8069758007361711E-3</v>
      </c>
      <c r="AO399" s="6">
        <f>N422</f>
        <v>1.799728004873463E-3</v>
      </c>
      <c r="AR399" s="6">
        <f>Q422</f>
        <v>1.7946676192961261E-3</v>
      </c>
      <c r="AU399" s="6">
        <f>T422</f>
        <v>1.786311731211142E-3</v>
      </c>
      <c r="AX399" s="6">
        <f>W422</f>
        <v>1.790817045871237E-3</v>
      </c>
      <c r="BA399" s="6">
        <f>Z422</f>
        <v>1.786892271072078E-3</v>
      </c>
    </row>
    <row r="400" spans="1:53" outlineLevel="1" x14ac:dyDescent="0.35">
      <c r="A400" s="6" t="s">
        <v>31</v>
      </c>
      <c r="B400" s="6">
        <f t="shared" si="54"/>
        <v>7.7672923315607531E-3</v>
      </c>
      <c r="AB400" s="6" t="s">
        <v>797</v>
      </c>
      <c r="AC400" s="6">
        <f>B426</f>
        <v>3.4093916043373432E-2</v>
      </c>
      <c r="AD400" s="6">
        <f t="shared" ref="AD400:BA400" si="55">C426</f>
        <v>3.4093916043373432E-2</v>
      </c>
      <c r="AE400" s="6">
        <f t="shared" si="55"/>
        <v>3.4093916043373432E-2</v>
      </c>
      <c r="AF400" s="6">
        <f t="shared" si="55"/>
        <v>3.4093916043373432E-2</v>
      </c>
      <c r="AG400" s="6">
        <f t="shared" si="55"/>
        <v>3.4093916043373432E-2</v>
      </c>
      <c r="AH400" s="6">
        <f t="shared" si="55"/>
        <v>3.4093916043373432E-2</v>
      </c>
      <c r="AI400" s="6">
        <f t="shared" si="55"/>
        <v>3.4093916043373432E-2</v>
      </c>
      <c r="AJ400" s="6">
        <f t="shared" si="55"/>
        <v>3.4093916043373432E-2</v>
      </c>
      <c r="AK400" s="6">
        <f t="shared" si="55"/>
        <v>3.4093916043373432E-2</v>
      </c>
      <c r="AL400" s="6">
        <f t="shared" si="55"/>
        <v>3.4093916043373432E-2</v>
      </c>
      <c r="AM400" s="6">
        <f t="shared" si="55"/>
        <v>3.4093916043373432E-2</v>
      </c>
      <c r="AN400" s="6">
        <f t="shared" si="55"/>
        <v>3.4093916043373432E-2</v>
      </c>
      <c r="AO400" s="6">
        <f t="shared" si="55"/>
        <v>3.4093916043373432E-2</v>
      </c>
      <c r="AP400" s="6">
        <f t="shared" si="55"/>
        <v>3.4093916043373432E-2</v>
      </c>
      <c r="AQ400" s="6">
        <f t="shared" si="55"/>
        <v>3.4093916043373432E-2</v>
      </c>
      <c r="AR400" s="6">
        <f t="shared" si="55"/>
        <v>3.4093916043373432E-2</v>
      </c>
      <c r="AS400" s="6">
        <f t="shared" si="55"/>
        <v>3.4093916043373432E-2</v>
      </c>
      <c r="AT400" s="6">
        <f t="shared" si="55"/>
        <v>3.4093916043373432E-2</v>
      </c>
      <c r="AU400" s="6">
        <f t="shared" si="55"/>
        <v>3.4093916043373432E-2</v>
      </c>
      <c r="AV400" s="6">
        <f t="shared" si="55"/>
        <v>3.4093916043373432E-2</v>
      </c>
      <c r="AW400" s="6">
        <f t="shared" si="55"/>
        <v>3.4093916043373432E-2</v>
      </c>
      <c r="AX400" s="6">
        <f t="shared" si="55"/>
        <v>3.4093916043373432E-2</v>
      </c>
      <c r="AY400" s="6">
        <f t="shared" si="55"/>
        <v>3.4093916043373432E-2</v>
      </c>
      <c r="AZ400" s="6">
        <f t="shared" si="55"/>
        <v>3.4093916043373432E-2</v>
      </c>
      <c r="BA400" s="6">
        <f t="shared" si="55"/>
        <v>3.4093916043373432E-2</v>
      </c>
    </row>
    <row r="401" spans="1:53" outlineLevel="1" x14ac:dyDescent="0.35">
      <c r="A401" s="6" t="s">
        <v>34</v>
      </c>
      <c r="B401" s="6">
        <f t="shared" si="54"/>
        <v>5.948865391495731E-3</v>
      </c>
      <c r="AB401" s="6" t="s">
        <v>122</v>
      </c>
      <c r="AC401" s="6">
        <f t="shared" ref="AC401:BA401" si="56">B425+B424</f>
        <v>2.3287088111872252E-2</v>
      </c>
      <c r="AD401" s="6">
        <f t="shared" si="56"/>
        <v>2.3155261909047299E-2</v>
      </c>
      <c r="AE401" s="6">
        <f t="shared" si="56"/>
        <v>2.3022561684121871E-2</v>
      </c>
      <c r="AF401" s="6">
        <f t="shared" si="56"/>
        <v>2.2850508548696778E-2</v>
      </c>
      <c r="AG401" s="6">
        <f t="shared" si="56"/>
        <v>2.2711112085667364E-2</v>
      </c>
      <c r="AH401" s="6">
        <f t="shared" si="56"/>
        <v>2.2569725708316092E-2</v>
      </c>
      <c r="AI401" s="6">
        <f t="shared" si="56"/>
        <v>2.2511239056159222E-2</v>
      </c>
      <c r="AJ401" s="6">
        <f t="shared" si="56"/>
        <v>2.2457514182959971E-2</v>
      </c>
      <c r="AK401" s="6">
        <f t="shared" si="56"/>
        <v>2.2390458299827595E-2</v>
      </c>
      <c r="AL401" s="6">
        <f t="shared" si="56"/>
        <v>2.2343781410811381E-2</v>
      </c>
      <c r="AM401" s="6">
        <f t="shared" si="56"/>
        <v>2.2300115776085223E-2</v>
      </c>
      <c r="AN401" s="6">
        <f t="shared" si="56"/>
        <v>2.2274251263911606E-2</v>
      </c>
      <c r="AO401" s="6">
        <f t="shared" si="56"/>
        <v>2.2251904187837252E-2</v>
      </c>
      <c r="AP401" s="6">
        <f t="shared" si="56"/>
        <v>2.2227607869295677E-2</v>
      </c>
      <c r="AQ401" s="6">
        <f t="shared" si="56"/>
        <v>2.2209561730615349E-2</v>
      </c>
      <c r="AR401" s="6">
        <f t="shared" si="56"/>
        <v>2.2192785967190775E-2</v>
      </c>
      <c r="AS401" s="6">
        <f t="shared" si="56"/>
        <v>2.2185527477797853E-2</v>
      </c>
      <c r="AT401" s="6">
        <f t="shared" si="56"/>
        <v>2.2178486437026447E-2</v>
      </c>
      <c r="AU401" s="6">
        <f t="shared" si="56"/>
        <v>2.2167410309395539E-2</v>
      </c>
      <c r="AV401" s="6">
        <f t="shared" si="56"/>
        <v>2.2160494210171626E-2</v>
      </c>
      <c r="AW401" s="6">
        <f t="shared" si="56"/>
        <v>2.2151742786651041E-2</v>
      </c>
      <c r="AX401" s="6">
        <f t="shared" si="56"/>
        <v>2.2290503926919003E-2</v>
      </c>
      <c r="AY401" s="6">
        <f t="shared" si="56"/>
        <v>2.2294093728597822E-2</v>
      </c>
      <c r="AZ401" s="6">
        <f t="shared" si="56"/>
        <v>2.2297679457918593E-2</v>
      </c>
      <c r="BA401" s="6">
        <f t="shared" si="56"/>
        <v>2.2301262438572052E-2</v>
      </c>
    </row>
    <row r="402" spans="1:53" outlineLevel="1" x14ac:dyDescent="0.35">
      <c r="A402" s="6" t="s">
        <v>36</v>
      </c>
      <c r="B402" s="6">
        <f t="shared" si="54"/>
        <v>3.321744155878405E-3</v>
      </c>
      <c r="AB402" s="6" t="s">
        <v>123</v>
      </c>
      <c r="AC402" s="6">
        <f t="shared" ref="AC402:BA402" si="57">B423</f>
        <v>1.8796232507405724E-3</v>
      </c>
      <c r="AD402" s="6">
        <f t="shared" si="57"/>
        <v>1.767437096444841E-3</v>
      </c>
      <c r="AE402" s="6">
        <f t="shared" si="57"/>
        <v>1.6553682397989925E-3</v>
      </c>
      <c r="AF402" s="6">
        <f t="shared" si="57"/>
        <v>1.541162652740084E-3</v>
      </c>
      <c r="AG402" s="6">
        <f t="shared" si="57"/>
        <v>1.429250799525047E-3</v>
      </c>
      <c r="AH402" s="6">
        <f t="shared" si="57"/>
        <v>1.317552118087903E-3</v>
      </c>
      <c r="AI402" s="6">
        <f t="shared" si="57"/>
        <v>1.307547893754297E-3</v>
      </c>
      <c r="AJ402" s="6">
        <f t="shared" si="57"/>
        <v>1.2973780865445515E-3</v>
      </c>
      <c r="AK402" s="6">
        <f t="shared" si="57"/>
        <v>1.2853332518365564E-3</v>
      </c>
      <c r="AL402" s="6">
        <f t="shared" si="57"/>
        <v>1.2747452548759945E-3</v>
      </c>
      <c r="AM402" s="6">
        <f t="shared" si="57"/>
        <v>1.2639637747744626E-3</v>
      </c>
      <c r="AN402" s="6">
        <f t="shared" si="57"/>
        <v>1.258323302603104E-3</v>
      </c>
      <c r="AO402" s="6">
        <f t="shared" si="57"/>
        <v>1.2527738376579851E-3</v>
      </c>
      <c r="AP402" s="6">
        <f t="shared" si="57"/>
        <v>1.2468726763347718E-3</v>
      </c>
      <c r="AQ402" s="6">
        <f t="shared" si="57"/>
        <v>1.2413361835459246E-3</v>
      </c>
      <c r="AR402" s="6">
        <f t="shared" si="57"/>
        <v>1.2358162695505794E-3</v>
      </c>
      <c r="AS402" s="6">
        <f t="shared" si="57"/>
        <v>1.2116122530413046E-3</v>
      </c>
      <c r="AT402" s="6">
        <f t="shared" si="57"/>
        <v>1.1873129933379749E-3</v>
      </c>
      <c r="AU402" s="6">
        <f t="shared" si="57"/>
        <v>1.1626512182431733E-3</v>
      </c>
      <c r="AV402" s="6">
        <f t="shared" si="57"/>
        <v>1.1383078676523936E-3</v>
      </c>
      <c r="AW402" s="6">
        <f t="shared" si="57"/>
        <v>1.113918106054108E-3</v>
      </c>
      <c r="AX402" s="6">
        <f t="shared" si="57"/>
        <v>1.1199282501234316E-3</v>
      </c>
      <c r="AY402" s="6">
        <f t="shared" si="57"/>
        <v>1.1045187024916476E-3</v>
      </c>
      <c r="AZ402" s="6">
        <f t="shared" si="57"/>
        <v>1.0891131190807245E-3</v>
      </c>
      <c r="BA402" s="6">
        <f t="shared" si="57"/>
        <v>1.0737086355349719E-3</v>
      </c>
    </row>
    <row r="403" spans="1:53" outlineLevel="1" x14ac:dyDescent="0.35">
      <c r="A403" s="6" t="s">
        <v>38</v>
      </c>
      <c r="B403" s="6">
        <f t="shared" si="54"/>
        <v>1.8593796959748408E-2</v>
      </c>
      <c r="AB403" s="6" t="s">
        <v>124</v>
      </c>
      <c r="AC403" s="6">
        <f>-$AC$384*$AC$383</f>
        <v>-4.6399999999999997E-2</v>
      </c>
      <c r="AD403" s="6">
        <f t="shared" ref="AD403:BA403" si="58">-$AC$384*$AC$383</f>
        <v>-4.6399999999999997E-2</v>
      </c>
      <c r="AE403" s="6">
        <f t="shared" si="58"/>
        <v>-4.6399999999999997E-2</v>
      </c>
      <c r="AF403" s="6">
        <f t="shared" si="58"/>
        <v>-4.6399999999999997E-2</v>
      </c>
      <c r="AG403" s="6">
        <f t="shared" si="58"/>
        <v>-4.6399999999999997E-2</v>
      </c>
      <c r="AH403" s="6">
        <f t="shared" si="58"/>
        <v>-4.6399999999999997E-2</v>
      </c>
      <c r="AI403" s="6">
        <f t="shared" si="58"/>
        <v>-4.6399999999999997E-2</v>
      </c>
      <c r="AJ403" s="6">
        <f t="shared" si="58"/>
        <v>-4.6399999999999997E-2</v>
      </c>
      <c r="AK403" s="6">
        <f t="shared" si="58"/>
        <v>-4.6399999999999997E-2</v>
      </c>
      <c r="AL403" s="6">
        <f t="shared" si="58"/>
        <v>-4.6399999999999997E-2</v>
      </c>
      <c r="AM403" s="6">
        <f t="shared" si="58"/>
        <v>-4.6399999999999997E-2</v>
      </c>
      <c r="AN403" s="6">
        <f t="shared" si="58"/>
        <v>-4.6399999999999997E-2</v>
      </c>
      <c r="AO403" s="6">
        <f t="shared" si="58"/>
        <v>-4.6399999999999997E-2</v>
      </c>
      <c r="AP403" s="6">
        <f t="shared" si="58"/>
        <v>-4.6399999999999997E-2</v>
      </c>
      <c r="AQ403" s="6">
        <f t="shared" si="58"/>
        <v>-4.6399999999999997E-2</v>
      </c>
      <c r="AR403" s="6">
        <f t="shared" si="58"/>
        <v>-4.6399999999999997E-2</v>
      </c>
      <c r="AS403" s="6">
        <f t="shared" si="58"/>
        <v>-4.6399999999999997E-2</v>
      </c>
      <c r="AT403" s="6">
        <f t="shared" si="58"/>
        <v>-4.6399999999999997E-2</v>
      </c>
      <c r="AU403" s="6">
        <f t="shared" si="58"/>
        <v>-4.6399999999999997E-2</v>
      </c>
      <c r="AV403" s="6">
        <f t="shared" si="58"/>
        <v>-4.6399999999999997E-2</v>
      </c>
      <c r="AW403" s="6">
        <f t="shared" si="58"/>
        <v>-4.6399999999999997E-2</v>
      </c>
      <c r="AX403" s="6">
        <f t="shared" si="58"/>
        <v>-4.6399999999999997E-2</v>
      </c>
      <c r="AY403" s="6">
        <f t="shared" si="58"/>
        <v>-4.6399999999999997E-2</v>
      </c>
      <c r="AZ403" s="6">
        <f t="shared" si="58"/>
        <v>-4.6399999999999997E-2</v>
      </c>
      <c r="BA403" s="6">
        <f t="shared" si="58"/>
        <v>-4.6399999999999997E-2</v>
      </c>
    </row>
    <row r="404" spans="1:53" outlineLevel="1" x14ac:dyDescent="0.35">
      <c r="A404" s="6" t="s">
        <v>39</v>
      </c>
      <c r="B404" s="6">
        <f t="shared" si="54"/>
        <v>4.6894275088252467E-2</v>
      </c>
      <c r="AB404" s="23" t="s">
        <v>125</v>
      </c>
      <c r="AC404" s="17">
        <f t="shared" ref="AC404:BA404" si="59">SUM(AC395:AC403)</f>
        <v>0.15708336522829733</v>
      </c>
      <c r="AD404" s="17">
        <f t="shared" si="59"/>
        <v>1.2616615048865576E-2</v>
      </c>
      <c r="AE404" s="17">
        <f t="shared" si="59"/>
        <v>1.2371845967294293E-2</v>
      </c>
      <c r="AF404" s="17">
        <f t="shared" si="59"/>
        <v>1.397556295249465E-2</v>
      </c>
      <c r="AG404" s="17">
        <f t="shared" si="59"/>
        <v>1.1834278928565853E-2</v>
      </c>
      <c r="AH404" s="17">
        <f t="shared" si="59"/>
        <v>1.1581193869777427E-2</v>
      </c>
      <c r="AI404" s="17">
        <f t="shared" si="59"/>
        <v>1.3336729975208003E-2</v>
      </c>
      <c r="AJ404" s="17">
        <f t="shared" si="59"/>
        <v>1.1448808312877957E-2</v>
      </c>
      <c r="AK404" s="17">
        <f t="shared" si="59"/>
        <v>1.1369707595037588E-2</v>
      </c>
      <c r="AL404" s="17">
        <f t="shared" si="59"/>
        <v>1.3119418509796983E-2</v>
      </c>
      <c r="AM404" s="17">
        <f t="shared" si="59"/>
        <v>1.1257995594233114E-2</v>
      </c>
      <c r="AN404" s="17">
        <f t="shared" si="59"/>
        <v>1.1226490609888146E-2</v>
      </c>
      <c r="AO404" s="17">
        <f t="shared" si="59"/>
        <v>1.299832207374213E-2</v>
      </c>
      <c r="AP404" s="17">
        <f t="shared" si="59"/>
        <v>1.1168396589003877E-2</v>
      </c>
      <c r="AQ404" s="17">
        <f t="shared" si="59"/>
        <v>1.1144813957534708E-2</v>
      </c>
      <c r="AR404" s="17">
        <f t="shared" si="59"/>
        <v>1.2917185899410918E-2</v>
      </c>
      <c r="AS404" s="17">
        <f t="shared" si="59"/>
        <v>1.1091055774212592E-2</v>
      </c>
      <c r="AT404" s="17">
        <f t="shared" si="59"/>
        <v>1.1059715473737859E-2</v>
      </c>
      <c r="AU404" s="17">
        <f t="shared" si="59"/>
        <v>1.2810289302223291E-2</v>
      </c>
      <c r="AV404" s="17">
        <f t="shared" si="59"/>
        <v>1.0992718121197453E-2</v>
      </c>
      <c r="AW404" s="17">
        <f t="shared" si="59"/>
        <v>1.0959576936078581E-2</v>
      </c>
      <c r="AX404" s="17">
        <f t="shared" si="59"/>
        <v>1.2895165266287104E-2</v>
      </c>
      <c r="AY404" s="17">
        <f t="shared" si="59"/>
        <v>1.1092528474462904E-2</v>
      </c>
      <c r="AZ404" s="17">
        <f t="shared" si="59"/>
        <v>1.1080708620372755E-2</v>
      </c>
      <c r="BA404" s="17">
        <f t="shared" si="59"/>
        <v>1.400924949527619E-2</v>
      </c>
    </row>
    <row r="405" spans="1:53" outlineLevel="1" x14ac:dyDescent="0.35">
      <c r="A405" s="6" t="s">
        <v>41</v>
      </c>
      <c r="B405" s="6">
        <f t="shared" si="54"/>
        <v>2.6822864157904019E-4</v>
      </c>
    </row>
    <row r="406" spans="1:53" outlineLevel="1" x14ac:dyDescent="0.35">
      <c r="A406" s="6" t="s">
        <v>43</v>
      </c>
      <c r="B406" s="6">
        <f t="shared" si="54"/>
        <v>8.5216131252606215E-4</v>
      </c>
      <c r="AB406" s="272"/>
      <c r="AC406" s="272"/>
      <c r="AD406" s="272"/>
      <c r="AE406" s="272"/>
      <c r="AF406" s="272"/>
      <c r="AG406" s="272"/>
      <c r="AH406" s="272"/>
      <c r="AI406" s="272"/>
      <c r="AJ406" s="272"/>
      <c r="AK406" s="272"/>
      <c r="AL406" s="272"/>
      <c r="AM406" s="272"/>
      <c r="AN406" s="272"/>
      <c r="AO406" s="272"/>
      <c r="AP406" s="272"/>
      <c r="AQ406" s="272"/>
      <c r="AR406" s="272"/>
      <c r="AS406" s="272"/>
      <c r="AT406" s="272"/>
      <c r="AU406" s="272"/>
      <c r="AV406" s="272"/>
      <c r="AW406" s="272"/>
      <c r="AX406" s="272"/>
      <c r="AY406" s="272"/>
      <c r="AZ406" s="272"/>
      <c r="BA406" s="272"/>
    </row>
    <row r="407" spans="1:53" outlineLevel="1" x14ac:dyDescent="0.35">
      <c r="A407" s="6" t="s">
        <v>44</v>
      </c>
      <c r="B407" s="6">
        <f>B102*AC385</f>
        <v>4.4887183709256375E-3</v>
      </c>
      <c r="AB407" s="272"/>
      <c r="AC407" s="272"/>
      <c r="AD407" s="272"/>
      <c r="AE407" s="272"/>
      <c r="AF407" s="272"/>
      <c r="AG407" s="272"/>
      <c r="AH407" s="272"/>
      <c r="AI407" s="272"/>
      <c r="AJ407" s="272"/>
      <c r="AK407" s="272"/>
      <c r="AL407" s="272"/>
      <c r="AM407" s="272"/>
      <c r="AN407" s="272"/>
      <c r="AO407" s="272"/>
      <c r="AP407" s="272"/>
      <c r="AQ407" s="272"/>
      <c r="AR407" s="272"/>
      <c r="AS407" s="272"/>
      <c r="AT407" s="272"/>
      <c r="AU407" s="272"/>
      <c r="AV407" s="272"/>
      <c r="AW407" s="272"/>
      <c r="AX407" s="272"/>
      <c r="AY407" s="272"/>
      <c r="AZ407" s="272"/>
      <c r="BA407" s="272"/>
    </row>
    <row r="408" spans="1:53" outlineLevel="1" x14ac:dyDescent="0.35">
      <c r="A408" s="6" t="s">
        <v>757</v>
      </c>
      <c r="B408" s="6">
        <f>B103*AC385</f>
        <v>7.1151465122123447E-3</v>
      </c>
      <c r="AB408" s="272"/>
      <c r="AC408" s="272"/>
      <c r="AD408" s="272"/>
      <c r="AE408" s="272"/>
      <c r="AF408" s="272"/>
      <c r="AG408" s="272"/>
      <c r="AH408" s="272"/>
      <c r="AI408" s="272"/>
      <c r="AJ408" s="272"/>
      <c r="AK408" s="272"/>
      <c r="AL408" s="272"/>
      <c r="AM408" s="272"/>
      <c r="AN408" s="272"/>
      <c r="AO408" s="272"/>
      <c r="AP408" s="272"/>
      <c r="AQ408" s="272"/>
      <c r="AR408" s="272"/>
      <c r="AS408" s="272"/>
      <c r="AT408" s="272"/>
      <c r="AU408" s="272"/>
      <c r="AV408" s="272"/>
      <c r="AW408" s="272"/>
      <c r="AX408" s="272"/>
      <c r="AY408" s="272"/>
      <c r="AZ408" s="272"/>
      <c r="BA408" s="272"/>
    </row>
    <row r="409" spans="1:53" outlineLevel="1" x14ac:dyDescent="0.35">
      <c r="A409" s="6" t="s">
        <v>22</v>
      </c>
      <c r="Z409" s="6">
        <f>Z104</f>
        <v>2.4470472695532149E-5</v>
      </c>
      <c r="AB409" s="272"/>
      <c r="AC409" s="272"/>
      <c r="AD409" s="272"/>
      <c r="AE409" s="272"/>
      <c r="AF409" s="272"/>
      <c r="AG409" s="272"/>
      <c r="AH409" s="272"/>
      <c r="AI409" s="272"/>
      <c r="AJ409" s="272"/>
      <c r="AK409" s="272"/>
      <c r="AL409" s="272"/>
      <c r="AM409" s="272"/>
      <c r="AN409" s="272"/>
      <c r="AO409" s="272"/>
      <c r="AP409" s="272"/>
      <c r="AQ409" s="272"/>
      <c r="AR409" s="272"/>
      <c r="AS409" s="272"/>
      <c r="AT409" s="272"/>
      <c r="AU409" s="272"/>
      <c r="AV409" s="272"/>
      <c r="AW409" s="272"/>
      <c r="AX409" s="272"/>
      <c r="AY409" s="272"/>
      <c r="AZ409" s="272"/>
      <c r="BA409" s="272"/>
    </row>
    <row r="410" spans="1:53" outlineLevel="1" x14ac:dyDescent="0.35">
      <c r="A410" s="6" t="s">
        <v>24</v>
      </c>
      <c r="Z410" s="6">
        <f t="shared" ref="Z410:Z420" si="60">Z105</f>
        <v>1.143222276225724E-5</v>
      </c>
      <c r="AB410" s="272"/>
      <c r="AC410" s="272"/>
      <c r="AD410" s="272"/>
      <c r="AE410" s="272"/>
      <c r="AF410" s="272"/>
      <c r="AG410" s="272"/>
      <c r="AH410" s="272"/>
      <c r="AI410" s="272"/>
      <c r="AJ410" s="272"/>
      <c r="AK410" s="272"/>
      <c r="AL410" s="272"/>
      <c r="AM410" s="272"/>
      <c r="AN410" s="272"/>
      <c r="AO410" s="272"/>
      <c r="AP410" s="272"/>
      <c r="AQ410" s="272"/>
      <c r="AR410" s="272"/>
      <c r="AS410" s="272"/>
      <c r="AT410" s="272"/>
      <c r="AU410" s="272"/>
      <c r="AV410" s="272"/>
      <c r="AW410" s="272"/>
      <c r="AX410" s="272"/>
      <c r="AY410" s="272"/>
      <c r="AZ410" s="272"/>
      <c r="BA410" s="272"/>
    </row>
    <row r="411" spans="1:53" outlineLevel="1" x14ac:dyDescent="0.35">
      <c r="A411" s="6" t="s">
        <v>25</v>
      </c>
      <c r="Z411" s="6">
        <f t="shared" si="60"/>
        <v>3.739067920649309E-5</v>
      </c>
      <c r="AB411" s="272"/>
      <c r="AC411" s="272"/>
      <c r="AD411" s="272"/>
      <c r="AE411" s="272"/>
      <c r="AF411" s="272"/>
      <c r="AG411" s="272"/>
      <c r="AH411" s="272"/>
      <c r="AI411" s="272"/>
      <c r="AJ411" s="272"/>
      <c r="AK411" s="272"/>
      <c r="AL411" s="272"/>
      <c r="AM411" s="272"/>
      <c r="AN411" s="272"/>
      <c r="AO411" s="272"/>
      <c r="AP411" s="272"/>
      <c r="AQ411" s="272"/>
      <c r="AR411" s="272"/>
      <c r="AS411" s="272"/>
      <c r="AT411" s="272"/>
      <c r="AU411" s="272"/>
      <c r="AV411" s="272"/>
      <c r="AW411" s="272"/>
      <c r="AX411" s="272"/>
      <c r="AY411" s="272"/>
      <c r="AZ411" s="272"/>
      <c r="BA411" s="272"/>
    </row>
    <row r="412" spans="1:53" outlineLevel="1" x14ac:dyDescent="0.35">
      <c r="A412" s="6" t="s">
        <v>27</v>
      </c>
      <c r="Z412" s="6">
        <f t="shared" si="60"/>
        <v>1.593392328279023E-5</v>
      </c>
      <c r="AB412" s="272"/>
      <c r="AC412" s="272"/>
      <c r="AD412" s="272"/>
      <c r="AE412" s="272"/>
      <c r="AF412" s="272"/>
      <c r="AG412" s="272"/>
      <c r="AH412" s="272"/>
      <c r="AI412" s="272"/>
      <c r="AJ412" s="272"/>
      <c r="AK412" s="272"/>
      <c r="AL412" s="272"/>
      <c r="AM412" s="272"/>
      <c r="AN412" s="272"/>
      <c r="AO412" s="272"/>
      <c r="AP412" s="272"/>
      <c r="AQ412" s="272"/>
      <c r="AR412" s="272"/>
      <c r="AS412" s="272"/>
      <c r="AT412" s="272"/>
      <c r="AU412" s="272"/>
      <c r="AV412" s="272"/>
      <c r="AW412" s="272"/>
      <c r="AX412" s="272"/>
      <c r="AY412" s="272"/>
      <c r="AZ412" s="272"/>
      <c r="BA412" s="272"/>
    </row>
    <row r="413" spans="1:53" outlineLevel="1" x14ac:dyDescent="0.35">
      <c r="A413" s="6" t="s">
        <v>30</v>
      </c>
      <c r="Z413" s="6">
        <f t="shared" si="60"/>
        <v>3.2280205040430099E-5</v>
      </c>
      <c r="AB413" s="272"/>
      <c r="AC413" s="272"/>
      <c r="AD413" s="272"/>
      <c r="AE413" s="272"/>
      <c r="AF413" s="272"/>
      <c r="AG413" s="272"/>
      <c r="AH413" s="272"/>
      <c r="AI413" s="272"/>
      <c r="AJ413" s="272"/>
      <c r="AK413" s="272"/>
      <c r="AL413" s="272"/>
      <c r="AM413" s="272"/>
      <c r="AN413" s="272"/>
      <c r="AO413" s="272"/>
      <c r="AP413" s="272"/>
      <c r="AQ413" s="272"/>
      <c r="AR413" s="272"/>
      <c r="AS413" s="272"/>
      <c r="AT413" s="272"/>
      <c r="AU413" s="272"/>
      <c r="AV413" s="272"/>
      <c r="AW413" s="272"/>
      <c r="AX413" s="272"/>
      <c r="AY413" s="272"/>
      <c r="AZ413" s="272"/>
      <c r="BA413" s="272"/>
    </row>
    <row r="414" spans="1:53" outlineLevel="1" x14ac:dyDescent="0.35">
      <c r="A414" s="6" t="s">
        <v>32</v>
      </c>
      <c r="Z414" s="6">
        <f t="shared" si="60"/>
        <v>4.2863781753696463E-6</v>
      </c>
      <c r="AB414" s="272"/>
      <c r="AC414" s="272"/>
      <c r="AD414" s="272"/>
      <c r="AE414" s="272"/>
      <c r="AF414" s="272"/>
      <c r="AG414" s="272"/>
      <c r="AH414" s="272"/>
      <c r="AI414" s="272"/>
      <c r="AJ414" s="272"/>
      <c r="AK414" s="272"/>
      <c r="AL414" s="272"/>
      <c r="AM414" s="272"/>
      <c r="AN414" s="272"/>
      <c r="AO414" s="272"/>
      <c r="AP414" s="272"/>
      <c r="AQ414" s="272"/>
      <c r="AR414" s="272"/>
      <c r="AS414" s="272"/>
      <c r="AT414" s="272"/>
      <c r="AU414" s="272"/>
      <c r="AV414" s="272"/>
      <c r="AW414" s="272"/>
      <c r="AX414" s="272"/>
      <c r="AY414" s="272"/>
      <c r="AZ414" s="272"/>
      <c r="BA414" s="272"/>
    </row>
    <row r="415" spans="1:53" outlineLevel="1" x14ac:dyDescent="0.35">
      <c r="A415" s="6" t="s">
        <v>33</v>
      </c>
      <c r="Z415" s="6">
        <f t="shared" si="60"/>
        <v>8.1784888544495171E-6</v>
      </c>
      <c r="AB415" s="272"/>
      <c r="AC415" s="272"/>
      <c r="AD415" s="272"/>
      <c r="AE415" s="272"/>
      <c r="AF415" s="272"/>
      <c r="AG415" s="272"/>
      <c r="AH415" s="272"/>
      <c r="AI415" s="272"/>
      <c r="AJ415" s="272"/>
      <c r="AK415" s="272"/>
      <c r="AL415" s="272"/>
      <c r="AM415" s="272"/>
      <c r="AN415" s="272"/>
      <c r="AO415" s="272"/>
      <c r="AP415" s="272"/>
      <c r="AQ415" s="272"/>
      <c r="AR415" s="272"/>
      <c r="AS415" s="272"/>
      <c r="AT415" s="272"/>
      <c r="AU415" s="272"/>
      <c r="AV415" s="272"/>
      <c r="AW415" s="272"/>
      <c r="AX415" s="272"/>
      <c r="AY415" s="272"/>
      <c r="AZ415" s="272"/>
      <c r="BA415" s="272"/>
    </row>
    <row r="416" spans="1:53" outlineLevel="1" x14ac:dyDescent="0.35">
      <c r="A416" s="6" t="s">
        <v>35</v>
      </c>
      <c r="Z416" s="6">
        <f t="shared" si="60"/>
        <v>1.6356977708899031E-5</v>
      </c>
      <c r="AB416" s="272"/>
      <c r="AC416" s="272"/>
      <c r="AD416" s="272"/>
      <c r="AE416" s="272"/>
      <c r="AF416" s="272"/>
      <c r="AG416" s="272"/>
      <c r="AH416" s="272"/>
      <c r="AI416" s="272"/>
      <c r="AJ416" s="272"/>
      <c r="AK416" s="272"/>
      <c r="AL416" s="272"/>
      <c r="AM416" s="272"/>
      <c r="AN416" s="272"/>
      <c r="AO416" s="272"/>
      <c r="AP416" s="272"/>
      <c r="AQ416" s="272"/>
      <c r="AR416" s="272"/>
      <c r="AS416" s="272"/>
      <c r="AT416" s="272"/>
      <c r="AU416" s="272"/>
      <c r="AV416" s="272"/>
      <c r="AW416" s="272"/>
      <c r="AX416" s="272"/>
      <c r="AY416" s="272"/>
      <c r="AZ416" s="272"/>
      <c r="BA416" s="272"/>
    </row>
    <row r="417" spans="1:53" outlineLevel="1" x14ac:dyDescent="0.35">
      <c r="A417" s="6" t="s">
        <v>37</v>
      </c>
      <c r="Z417" s="6">
        <f t="shared" si="60"/>
        <v>3.8394060112131092E-5</v>
      </c>
      <c r="AB417" s="272"/>
      <c r="AC417" s="272"/>
      <c r="AD417" s="272"/>
      <c r="AE417" s="272"/>
      <c r="AF417" s="272"/>
      <c r="AG417" s="272"/>
      <c r="AH417" s="272"/>
      <c r="AI417" s="272"/>
      <c r="AJ417" s="272"/>
      <c r="AK417" s="272"/>
      <c r="AL417" s="272"/>
      <c r="AM417" s="272"/>
      <c r="AN417" s="272"/>
      <c r="AO417" s="272"/>
      <c r="AP417" s="272"/>
      <c r="AQ417" s="272"/>
      <c r="AR417" s="272"/>
      <c r="AS417" s="272"/>
      <c r="AT417" s="272"/>
      <c r="AU417" s="272"/>
      <c r="AV417" s="272"/>
      <c r="AW417" s="272"/>
      <c r="AX417" s="272"/>
      <c r="AY417" s="272"/>
      <c r="AZ417" s="272"/>
      <c r="BA417" s="272"/>
    </row>
    <row r="418" spans="1:53" outlineLevel="1" x14ac:dyDescent="0.35">
      <c r="A418" s="6" t="s">
        <v>40</v>
      </c>
      <c r="Z418" s="6">
        <f t="shared" si="60"/>
        <v>5.9291416813558179E-4</v>
      </c>
    </row>
    <row r="419" spans="1:53" outlineLevel="1" x14ac:dyDescent="0.35">
      <c r="A419" s="6" t="s">
        <v>42</v>
      </c>
      <c r="Z419" s="6">
        <f t="shared" si="60"/>
        <v>5.1359748101639407E-5</v>
      </c>
    </row>
    <row r="420" spans="1:53" outlineLevel="1" x14ac:dyDescent="0.35">
      <c r="A420" s="6" t="s">
        <v>115</v>
      </c>
      <c r="Z420" s="6">
        <f t="shared" si="60"/>
        <v>3.0345185886003018E-4</v>
      </c>
    </row>
    <row r="421" spans="1:53" outlineLevel="1" x14ac:dyDescent="0.35">
      <c r="A421" s="6" t="s">
        <v>45</v>
      </c>
      <c r="Z421" s="6">
        <f>Z116*AC385</f>
        <v>1.7020923788049538E-5</v>
      </c>
    </row>
    <row r="422" spans="1:53" outlineLevel="1" x14ac:dyDescent="0.35">
      <c r="A422" s="6" t="s">
        <v>116</v>
      </c>
      <c r="B422" s="6">
        <f>B117</f>
        <v>1.9848842622015748E-3</v>
      </c>
      <c r="C422" s="6">
        <f t="shared" ref="C422:Z422" si="61">C117</f>
        <v>1.9562150558131639E-3</v>
      </c>
      <c r="D422" s="6">
        <f t="shared" si="61"/>
        <v>1.927059632671337E-3</v>
      </c>
      <c r="E422" s="6">
        <f t="shared" si="61"/>
        <v>1.889975707684352E-3</v>
      </c>
      <c r="F422" s="6">
        <f t="shared" si="61"/>
        <v>1.8596825109945729E-3</v>
      </c>
      <c r="G422" s="6">
        <f t="shared" si="61"/>
        <v>1.8287132515525651E-3</v>
      </c>
      <c r="H422" s="6">
        <f t="shared" si="61"/>
        <v>1.8240269819210511E-3</v>
      </c>
      <c r="I422" s="6">
        <f t="shared" si="61"/>
        <v>1.81940860209094E-3</v>
      </c>
      <c r="J422" s="6">
        <f t="shared" si="61"/>
        <v>1.8114375105735641E-3</v>
      </c>
      <c r="K422" s="6">
        <f t="shared" si="61"/>
        <v>1.8069758007361711E-3</v>
      </c>
      <c r="L422" s="6">
        <f t="shared" si="61"/>
        <v>1.802550656783997E-3</v>
      </c>
      <c r="M422" s="6">
        <f t="shared" si="61"/>
        <v>1.8011237099181739E-3</v>
      </c>
      <c r="N422" s="6">
        <f t="shared" si="61"/>
        <v>1.799728004873463E-3</v>
      </c>
      <c r="O422" s="6">
        <f t="shared" si="61"/>
        <v>1.797350991149333E-3</v>
      </c>
      <c r="P422" s="6">
        <f t="shared" si="61"/>
        <v>1.7960072204838511E-3</v>
      </c>
      <c r="Q422" s="6">
        <f t="shared" si="61"/>
        <v>1.7946676192961261E-3</v>
      </c>
      <c r="R422" s="6">
        <f t="shared" si="61"/>
        <v>1.7921661278737079E-3</v>
      </c>
      <c r="S422" s="6">
        <f t="shared" si="61"/>
        <v>1.789684688556732E-3</v>
      </c>
      <c r="T422" s="6">
        <f t="shared" si="61"/>
        <v>1.786311731211142E-3</v>
      </c>
      <c r="U422" s="6">
        <f t="shared" si="61"/>
        <v>1.783894800268534E-3</v>
      </c>
      <c r="V422" s="6">
        <f t="shared" si="61"/>
        <v>1.78148582755011E-3</v>
      </c>
      <c r="W422" s="6">
        <f t="shared" si="61"/>
        <v>1.790817045871237E-3</v>
      </c>
      <c r="X422" s="6">
        <f t="shared" si="61"/>
        <v>1.7895035743440109E-3</v>
      </c>
      <c r="Y422" s="6">
        <f t="shared" si="61"/>
        <v>1.7881953599072019E-3</v>
      </c>
      <c r="Z422" s="6">
        <f t="shared" si="61"/>
        <v>1.786892271072078E-3</v>
      </c>
    </row>
    <row r="423" spans="1:53" outlineLevel="1" x14ac:dyDescent="0.35">
      <c r="A423" s="6" t="s">
        <v>758</v>
      </c>
      <c r="B423" s="6">
        <f>B118*$AC$385</f>
        <v>1.8796232507405724E-3</v>
      </c>
      <c r="C423" s="6">
        <f t="shared" ref="C423:Z423" si="62">C118*$AC$385</f>
        <v>1.767437096444841E-3</v>
      </c>
      <c r="D423" s="6">
        <f t="shared" si="62"/>
        <v>1.6553682397989925E-3</v>
      </c>
      <c r="E423" s="6">
        <f t="shared" si="62"/>
        <v>1.541162652740084E-3</v>
      </c>
      <c r="F423" s="6">
        <f t="shared" si="62"/>
        <v>1.429250799525047E-3</v>
      </c>
      <c r="G423" s="6">
        <f t="shared" si="62"/>
        <v>1.317552118087903E-3</v>
      </c>
      <c r="H423" s="6">
        <f t="shared" si="62"/>
        <v>1.307547893754297E-3</v>
      </c>
      <c r="I423" s="6">
        <f t="shared" si="62"/>
        <v>1.2973780865445515E-3</v>
      </c>
      <c r="J423" s="6">
        <f t="shared" si="62"/>
        <v>1.2853332518365564E-3</v>
      </c>
      <c r="K423" s="6">
        <f t="shared" si="62"/>
        <v>1.2747452548759945E-3</v>
      </c>
      <c r="L423" s="6">
        <f t="shared" si="62"/>
        <v>1.2639637747744626E-3</v>
      </c>
      <c r="M423" s="6">
        <f t="shared" si="62"/>
        <v>1.258323302603104E-3</v>
      </c>
      <c r="N423" s="6">
        <f t="shared" si="62"/>
        <v>1.2527738376579851E-3</v>
      </c>
      <c r="O423" s="6">
        <f t="shared" si="62"/>
        <v>1.2468726763347718E-3</v>
      </c>
      <c r="P423" s="6">
        <f t="shared" si="62"/>
        <v>1.2413361835459246E-3</v>
      </c>
      <c r="Q423" s="6">
        <f t="shared" si="62"/>
        <v>1.2358162695505794E-3</v>
      </c>
      <c r="R423" s="6">
        <f t="shared" si="62"/>
        <v>1.2116122530413046E-3</v>
      </c>
      <c r="S423" s="6">
        <f t="shared" si="62"/>
        <v>1.1873129933379749E-3</v>
      </c>
      <c r="T423" s="6">
        <f t="shared" si="62"/>
        <v>1.1626512182431733E-3</v>
      </c>
      <c r="U423" s="6">
        <f t="shared" si="62"/>
        <v>1.1383078676523936E-3</v>
      </c>
      <c r="V423" s="6">
        <f t="shared" si="62"/>
        <v>1.113918106054108E-3</v>
      </c>
      <c r="W423" s="6">
        <f t="shared" si="62"/>
        <v>1.1199282501234316E-3</v>
      </c>
      <c r="X423" s="6">
        <f t="shared" si="62"/>
        <v>1.1045187024916476E-3</v>
      </c>
      <c r="Y423" s="6">
        <f t="shared" si="62"/>
        <v>1.0891131190807245E-3</v>
      </c>
      <c r="Z423" s="6">
        <f t="shared" si="62"/>
        <v>1.0737086355349719E-3</v>
      </c>
    </row>
    <row r="424" spans="1:53" outlineLevel="1" x14ac:dyDescent="0.35">
      <c r="A424" s="6" t="s">
        <v>759</v>
      </c>
      <c r="B424" s="6">
        <f>B119*$AC$385</f>
        <v>0</v>
      </c>
      <c r="C424" s="6">
        <f t="shared" ref="C424:Z424" si="63">C119*$AC$385</f>
        <v>0</v>
      </c>
      <c r="D424" s="6">
        <f t="shared" si="63"/>
        <v>0</v>
      </c>
      <c r="E424" s="6">
        <f t="shared" si="63"/>
        <v>0</v>
      </c>
      <c r="F424" s="6">
        <f t="shared" si="63"/>
        <v>0</v>
      </c>
      <c r="G424" s="6">
        <f t="shared" si="63"/>
        <v>0</v>
      </c>
      <c r="H424" s="6">
        <f t="shared" si="63"/>
        <v>0</v>
      </c>
      <c r="I424" s="6">
        <f t="shared" si="63"/>
        <v>0</v>
      </c>
      <c r="J424" s="6">
        <f t="shared" si="63"/>
        <v>0</v>
      </c>
      <c r="K424" s="6">
        <f t="shared" si="63"/>
        <v>0</v>
      </c>
      <c r="L424" s="6">
        <f t="shared" si="63"/>
        <v>0</v>
      </c>
      <c r="M424" s="6">
        <f t="shared" si="63"/>
        <v>0</v>
      </c>
      <c r="N424" s="6">
        <f t="shared" si="63"/>
        <v>0</v>
      </c>
      <c r="O424" s="6">
        <f t="shared" si="63"/>
        <v>0</v>
      </c>
      <c r="P424" s="6">
        <f t="shared" si="63"/>
        <v>0</v>
      </c>
      <c r="Q424" s="6">
        <f t="shared" si="63"/>
        <v>0</v>
      </c>
      <c r="R424" s="6">
        <f t="shared" si="63"/>
        <v>0</v>
      </c>
      <c r="S424" s="6">
        <f t="shared" si="63"/>
        <v>0</v>
      </c>
      <c r="T424" s="6">
        <f t="shared" si="63"/>
        <v>0</v>
      </c>
      <c r="U424" s="6">
        <f t="shared" si="63"/>
        <v>0</v>
      </c>
      <c r="V424" s="6">
        <f t="shared" si="63"/>
        <v>0</v>
      </c>
      <c r="W424" s="6">
        <f t="shared" si="63"/>
        <v>0</v>
      </c>
      <c r="X424" s="6">
        <f t="shared" si="63"/>
        <v>0</v>
      </c>
      <c r="Y424" s="6">
        <f t="shared" si="63"/>
        <v>0</v>
      </c>
      <c r="Z424" s="6">
        <f t="shared" si="63"/>
        <v>0</v>
      </c>
    </row>
    <row r="425" spans="1:53" outlineLevel="1" x14ac:dyDescent="0.35">
      <c r="A425" s="6" t="s">
        <v>760</v>
      </c>
      <c r="B425" s="6">
        <f>$B$252*$AC$384*'Results - raw data ReCiPe (H)'!C128/(1-$AC$390)*(1+'Results ReCiPe (H) - HHD'!$AC$271/'Results ReCiPe (H) - HHD'!$AC$272-'Results ReCiPe (H) - HHD'!$AC$271)</f>
        <v>2.3287088111872252E-2</v>
      </c>
      <c r="C425" s="6">
        <f>$B$252*$AC$384*'Results - raw data ReCiPe (H)'!D128/(1-$AC$390)*(1+'Results ReCiPe (H) - HHD'!$AC$271/'Results ReCiPe (H) - HHD'!$AC$272-'Results ReCiPe (H) - HHD'!$AC$271)</f>
        <v>2.3155261909047299E-2</v>
      </c>
      <c r="D425" s="6">
        <f>$B$252*$AC$384*'Results - raw data ReCiPe (H)'!E128/(1-$AC$390)*(1+'Results ReCiPe (H) - HHD'!$AC$271/'Results ReCiPe (H) - HHD'!$AC$272-'Results ReCiPe (H) - HHD'!$AC$271)</f>
        <v>2.3022561684121871E-2</v>
      </c>
      <c r="E425" s="6">
        <f>$B$252*$AC$384*'Results - raw data ReCiPe (H)'!F128/(1-$AC$390)*(1+'Results ReCiPe (H) - HHD'!$AC$271/'Results ReCiPe (H) - HHD'!$AC$272-'Results ReCiPe (H) - HHD'!$AC$271)</f>
        <v>2.2850508548696778E-2</v>
      </c>
      <c r="F425" s="6">
        <f>$B$252*$AC$384*'Results - raw data ReCiPe (H)'!G128/(1-$AC$390)*(1+'Results ReCiPe (H) - HHD'!$AC$271/'Results ReCiPe (H) - HHD'!$AC$272-'Results ReCiPe (H) - HHD'!$AC$271)</f>
        <v>2.2711112085667364E-2</v>
      </c>
      <c r="G425" s="6">
        <f>$B$252*$AC$384*'Results - raw data ReCiPe (H)'!H128/(1-$AC$390)*(1+'Results ReCiPe (H) - HHD'!$AC$271/'Results ReCiPe (H) - HHD'!$AC$272-'Results ReCiPe (H) - HHD'!$AC$271)</f>
        <v>2.2569725708316092E-2</v>
      </c>
      <c r="H425" s="6">
        <f>$B$252*$AC$384*'Results - raw data ReCiPe (H)'!I128/(1-$AC$390)*(1+'Results ReCiPe (H) - HHD'!$AC$271/'Results ReCiPe (H) - HHD'!$AC$272-'Results ReCiPe (H) - HHD'!$AC$271)</f>
        <v>2.2511239056159222E-2</v>
      </c>
      <c r="I425" s="6">
        <f>$B$252*$AC$384*'Results - raw data ReCiPe (H)'!J128/(1-$AC$390)*(1+'Results ReCiPe (H) - HHD'!$AC$271/'Results ReCiPe (H) - HHD'!$AC$272-'Results ReCiPe (H) - HHD'!$AC$271)</f>
        <v>2.2457514182959971E-2</v>
      </c>
      <c r="J425" s="6">
        <f>$B$252*$AC$384*'Results - raw data ReCiPe (H)'!K128/(1-$AC$390)*(1+'Results ReCiPe (H) - HHD'!$AC$271/'Results ReCiPe (H) - HHD'!$AC$272-'Results ReCiPe (H) - HHD'!$AC$271)</f>
        <v>2.2390458299827595E-2</v>
      </c>
      <c r="K425" s="6">
        <f>$B$252*$AC$384*'Results - raw data ReCiPe (H)'!L128/(1-$AC$390)*(1+'Results ReCiPe (H) - HHD'!$AC$271/'Results ReCiPe (H) - HHD'!$AC$272-'Results ReCiPe (H) - HHD'!$AC$271)</f>
        <v>2.2343781410811381E-2</v>
      </c>
      <c r="L425" s="6">
        <f>$B$252*$AC$384*'Results - raw data ReCiPe (H)'!M128/(1-$AC$390)*(1+'Results ReCiPe (H) - HHD'!$AC$271/'Results ReCiPe (H) - HHD'!$AC$272-'Results ReCiPe (H) - HHD'!$AC$271)</f>
        <v>2.2300115776085223E-2</v>
      </c>
      <c r="M425" s="6">
        <f>$B$252*$AC$384*'Results - raw data ReCiPe (H)'!N128/(1-$AC$390)*(1+'Results ReCiPe (H) - HHD'!$AC$271/'Results ReCiPe (H) - HHD'!$AC$272-'Results ReCiPe (H) - HHD'!$AC$271)</f>
        <v>2.2274251263911606E-2</v>
      </c>
      <c r="N425" s="6">
        <f>$B$252*$AC$384*'Results - raw data ReCiPe (H)'!O128/(1-$AC$390)*(1+'Results ReCiPe (H) - HHD'!$AC$271/'Results ReCiPe (H) - HHD'!$AC$272-'Results ReCiPe (H) - HHD'!$AC$271)</f>
        <v>2.2251904187837252E-2</v>
      </c>
      <c r="O425" s="6">
        <f>$B$252*$AC$384*'Results - raw data ReCiPe (H)'!P128/(1-$AC$390)*(1+'Results ReCiPe (H) - HHD'!$AC$271/'Results ReCiPe (H) - HHD'!$AC$272-'Results ReCiPe (H) - HHD'!$AC$271)</f>
        <v>2.2227607869295677E-2</v>
      </c>
      <c r="P425" s="6">
        <f>$B$252*$AC$384*'Results - raw data ReCiPe (H)'!Q128/(1-$AC$390)*(1+'Results ReCiPe (H) - HHD'!$AC$271/'Results ReCiPe (H) - HHD'!$AC$272-'Results ReCiPe (H) - HHD'!$AC$271)</f>
        <v>2.2209561730615349E-2</v>
      </c>
      <c r="Q425" s="6">
        <f>$B$252*$AC$384*'Results - raw data ReCiPe (H)'!R128/(1-$AC$390)*(1+'Results ReCiPe (H) - HHD'!$AC$271/'Results ReCiPe (H) - HHD'!$AC$272-'Results ReCiPe (H) - HHD'!$AC$271)</f>
        <v>2.2192785967190775E-2</v>
      </c>
      <c r="R425" s="6">
        <f>$B$252*$AC$384*'Results - raw data ReCiPe (H)'!S128/(1-$AC$390)*(1+'Results ReCiPe (H) - HHD'!$AC$271/'Results ReCiPe (H) - HHD'!$AC$272-'Results ReCiPe (H) - HHD'!$AC$271)</f>
        <v>2.2185527477797853E-2</v>
      </c>
      <c r="S425" s="6">
        <f>$B$252*$AC$384*'Results - raw data ReCiPe (H)'!T128/(1-$AC$390)*(1+'Results ReCiPe (H) - HHD'!$AC$271/'Results ReCiPe (H) - HHD'!$AC$272-'Results ReCiPe (H) - HHD'!$AC$271)</f>
        <v>2.2178486437026447E-2</v>
      </c>
      <c r="T425" s="6">
        <f>$B$252*$AC$384*'Results - raw data ReCiPe (H)'!U128/(1-$AC$390)*(1+'Results ReCiPe (H) - HHD'!$AC$271/'Results ReCiPe (H) - HHD'!$AC$272-'Results ReCiPe (H) - HHD'!$AC$271)</f>
        <v>2.2167410309395539E-2</v>
      </c>
      <c r="U425" s="6">
        <f>$B$252*$AC$384*'Results - raw data ReCiPe (H)'!V128/(1-$AC$390)*(1+'Results ReCiPe (H) - HHD'!$AC$271/'Results ReCiPe (H) - HHD'!$AC$272-'Results ReCiPe (H) - HHD'!$AC$271)</f>
        <v>2.2160494210171626E-2</v>
      </c>
      <c r="V425" s="6">
        <f>$B$252*$AC$384*'Results - raw data ReCiPe (H)'!W128/(1-$AC$390)*(1+'Results ReCiPe (H) - HHD'!$AC$271/'Results ReCiPe (H) - HHD'!$AC$272-'Results ReCiPe (H) - HHD'!$AC$271)</f>
        <v>2.2151742786651041E-2</v>
      </c>
      <c r="W425" s="6">
        <f>$B$252*$AC$384*'Results - raw data ReCiPe (H)'!X128/(1-$AC$390)*(1+'Results ReCiPe (H) - HHD'!$AC$271/'Results ReCiPe (H) - HHD'!$AC$272-'Results ReCiPe (H) - HHD'!$AC$271)</f>
        <v>2.2290503926919003E-2</v>
      </c>
      <c r="X425" s="6">
        <f>$B$252*$AC$384*'Results - raw data ReCiPe (H)'!Y128/(1-$AC$390)*(1+'Results ReCiPe (H) - HHD'!$AC$271/'Results ReCiPe (H) - HHD'!$AC$272-'Results ReCiPe (H) - HHD'!$AC$271)</f>
        <v>2.2294093728597822E-2</v>
      </c>
      <c r="Y425" s="6">
        <f>$B$252*$AC$384*'Results - raw data ReCiPe (H)'!Z128/(1-$AC$390)*(1+'Results ReCiPe (H) - HHD'!$AC$271/'Results ReCiPe (H) - HHD'!$AC$272-'Results ReCiPe (H) - HHD'!$AC$271)</f>
        <v>2.2297679457918593E-2</v>
      </c>
      <c r="Z425" s="6">
        <f>$B$252*$AC$384*'Results - raw data ReCiPe (H)'!AA128/(1-$AC$390)*(1+'Results ReCiPe (H) - HHD'!$AC$271/'Results ReCiPe (H) - HHD'!$AC$272-'Results ReCiPe (H) - HHD'!$AC$271)</f>
        <v>2.2301262438572052E-2</v>
      </c>
    </row>
    <row r="426" spans="1:53" outlineLevel="1" x14ac:dyDescent="0.35">
      <c r="A426" s="6" t="s">
        <v>797</v>
      </c>
      <c r="B426" s="6">
        <f>$B$380*$AC$384</f>
        <v>3.4093916043373432E-2</v>
      </c>
      <c r="C426" s="6">
        <f t="shared" ref="C426:Z426" si="64">$B$380*$AC$384</f>
        <v>3.4093916043373432E-2</v>
      </c>
      <c r="D426" s="6">
        <f t="shared" si="64"/>
        <v>3.4093916043373432E-2</v>
      </c>
      <c r="E426" s="6">
        <f t="shared" si="64"/>
        <v>3.4093916043373432E-2</v>
      </c>
      <c r="F426" s="6">
        <f t="shared" si="64"/>
        <v>3.4093916043373432E-2</v>
      </c>
      <c r="G426" s="6">
        <f t="shared" si="64"/>
        <v>3.4093916043373432E-2</v>
      </c>
      <c r="H426" s="6">
        <f t="shared" si="64"/>
        <v>3.4093916043373432E-2</v>
      </c>
      <c r="I426" s="6">
        <f t="shared" si="64"/>
        <v>3.4093916043373432E-2</v>
      </c>
      <c r="J426" s="6">
        <f t="shared" si="64"/>
        <v>3.4093916043373432E-2</v>
      </c>
      <c r="K426" s="6">
        <f t="shared" si="64"/>
        <v>3.4093916043373432E-2</v>
      </c>
      <c r="L426" s="6">
        <f t="shared" si="64"/>
        <v>3.4093916043373432E-2</v>
      </c>
      <c r="M426" s="6">
        <f t="shared" si="64"/>
        <v>3.4093916043373432E-2</v>
      </c>
      <c r="N426" s="6">
        <f t="shared" si="64"/>
        <v>3.4093916043373432E-2</v>
      </c>
      <c r="O426" s="6">
        <f t="shared" si="64"/>
        <v>3.4093916043373432E-2</v>
      </c>
      <c r="P426" s="6">
        <f t="shared" si="64"/>
        <v>3.4093916043373432E-2</v>
      </c>
      <c r="Q426" s="6">
        <f t="shared" si="64"/>
        <v>3.4093916043373432E-2</v>
      </c>
      <c r="R426" s="6">
        <f t="shared" si="64"/>
        <v>3.4093916043373432E-2</v>
      </c>
      <c r="S426" s="6">
        <f t="shared" si="64"/>
        <v>3.4093916043373432E-2</v>
      </c>
      <c r="T426" s="6">
        <f t="shared" si="64"/>
        <v>3.4093916043373432E-2</v>
      </c>
      <c r="U426" s="6">
        <f t="shared" si="64"/>
        <v>3.4093916043373432E-2</v>
      </c>
      <c r="V426" s="6">
        <f t="shared" si="64"/>
        <v>3.4093916043373432E-2</v>
      </c>
      <c r="W426" s="6">
        <f t="shared" si="64"/>
        <v>3.4093916043373432E-2</v>
      </c>
      <c r="X426" s="6">
        <f t="shared" si="64"/>
        <v>3.4093916043373432E-2</v>
      </c>
      <c r="Y426" s="6">
        <f t="shared" si="64"/>
        <v>3.4093916043373432E-2</v>
      </c>
      <c r="Z426" s="6">
        <f t="shared" si="64"/>
        <v>3.4093916043373432E-2</v>
      </c>
    </row>
    <row r="427" spans="1:53" outlineLevel="1" x14ac:dyDescent="0.35">
      <c r="A427" s="23" t="s">
        <v>125</v>
      </c>
      <c r="B427" s="17">
        <f>SUM(B395:B425)</f>
        <v>0.16938944918492391</v>
      </c>
      <c r="C427" s="17">
        <f t="shared" ref="C427:Z427" si="65">SUM(C395:C425)</f>
        <v>2.6878914061305305E-2</v>
      </c>
      <c r="D427" s="17">
        <f t="shared" si="65"/>
        <v>2.6604989556592198E-2</v>
      </c>
      <c r="E427" s="17">
        <f t="shared" si="65"/>
        <v>2.6281646909121215E-2</v>
      </c>
      <c r="F427" s="17">
        <f t="shared" si="65"/>
        <v>2.6000045396186985E-2</v>
      </c>
      <c r="G427" s="17">
        <f t="shared" si="65"/>
        <v>2.5715991077956558E-2</v>
      </c>
      <c r="H427" s="17">
        <f t="shared" si="65"/>
        <v>2.5642813931834568E-2</v>
      </c>
      <c r="I427" s="17">
        <f t="shared" si="65"/>
        <v>2.5574300871595464E-2</v>
      </c>
      <c r="J427" s="17">
        <f t="shared" si="65"/>
        <v>2.5487229062237715E-2</v>
      </c>
      <c r="K427" s="17">
        <f t="shared" si="65"/>
        <v>2.5425502466423548E-2</v>
      </c>
      <c r="L427" s="17">
        <f t="shared" si="65"/>
        <v>2.5366630207643681E-2</v>
      </c>
      <c r="M427" s="17">
        <f t="shared" si="65"/>
        <v>2.5333698276432885E-2</v>
      </c>
      <c r="N427" s="17">
        <f t="shared" si="65"/>
        <v>2.5304406030368702E-2</v>
      </c>
      <c r="O427" s="17">
        <f t="shared" si="65"/>
        <v>2.5271831536779782E-2</v>
      </c>
      <c r="P427" s="17">
        <f t="shared" si="65"/>
        <v>2.5246905134645125E-2</v>
      </c>
      <c r="Q427" s="17">
        <f t="shared" si="65"/>
        <v>2.522326985603748E-2</v>
      </c>
      <c r="R427" s="17">
        <f t="shared" si="65"/>
        <v>2.5189305858712867E-2</v>
      </c>
      <c r="S427" s="17">
        <f t="shared" si="65"/>
        <v>2.5155484118921153E-2</v>
      </c>
      <c r="T427" s="17">
        <f t="shared" si="65"/>
        <v>2.5116373258849856E-2</v>
      </c>
      <c r="U427" s="17">
        <f t="shared" si="65"/>
        <v>2.5082696878092552E-2</v>
      </c>
      <c r="V427" s="17">
        <f t="shared" si="65"/>
        <v>2.5047146720255258E-2</v>
      </c>
      <c r="W427" s="17">
        <f t="shared" si="65"/>
        <v>2.5201249222913672E-2</v>
      </c>
      <c r="X427" s="17">
        <f t="shared" si="65"/>
        <v>2.518811600543348E-2</v>
      </c>
      <c r="Y427" s="17">
        <f t="shared" si="65"/>
        <v>2.517498793690652E-2</v>
      </c>
      <c r="Z427" s="17">
        <f t="shared" si="65"/>
        <v>2.6315333451902755E-2</v>
      </c>
    </row>
    <row r="428" spans="1:53" s="26" customFormat="1" outlineLevel="1" x14ac:dyDescent="0.35"/>
    <row r="429" spans="1:53" s="236" customFormat="1" ht="21" x14ac:dyDescent="0.5">
      <c r="A429" s="236" t="s">
        <v>136</v>
      </c>
    </row>
    <row r="432" spans="1:53" x14ac:dyDescent="0.35">
      <c r="A432" s="331" t="s">
        <v>131</v>
      </c>
      <c r="B432" s="331"/>
      <c r="C432" s="331"/>
      <c r="D432" s="331"/>
      <c r="E432" s="331"/>
      <c r="F432" s="331"/>
      <c r="G432" s="331"/>
      <c r="H432" s="331"/>
      <c r="I432" s="331"/>
      <c r="J432" s="331"/>
      <c r="K432" s="331"/>
    </row>
    <row r="433" spans="1:11" x14ac:dyDescent="0.35">
      <c r="A433" s="6" t="s">
        <v>132</v>
      </c>
    </row>
    <row r="434" spans="1:11" x14ac:dyDescent="0.35">
      <c r="B434" s="6" t="s">
        <v>889</v>
      </c>
      <c r="C434" s="6" t="s">
        <v>891</v>
      </c>
      <c r="D434" s="6" t="s">
        <v>890</v>
      </c>
      <c r="E434" s="6" t="s">
        <v>892</v>
      </c>
      <c r="F434" s="6" t="s">
        <v>893</v>
      </c>
      <c r="G434" s="6" t="s">
        <v>894</v>
      </c>
      <c r="H434" s="6" t="s">
        <v>896</v>
      </c>
      <c r="I434" s="6" t="s">
        <v>897</v>
      </c>
      <c r="J434" s="6" t="s">
        <v>895</v>
      </c>
    </row>
    <row r="435" spans="1:11" x14ac:dyDescent="0.35">
      <c r="A435" s="6" t="s">
        <v>117</v>
      </c>
      <c r="B435" s="6">
        <f>SUM(AC10:BA10)</f>
        <v>0.16713320096113157</v>
      </c>
      <c r="C435" s="6">
        <f>SUM(AC50:BA50)</f>
        <v>0.16006814629521346</v>
      </c>
      <c r="D435" s="6">
        <f>SUM(AC90:BA90)</f>
        <v>0.14486428170139623</v>
      </c>
      <c r="E435" s="6">
        <f>SUM(AC132:BA132)</f>
        <v>0.16713320096113157</v>
      </c>
      <c r="F435" s="6">
        <f>SUM(AC173:BA173)</f>
        <v>0.16006814629521346</v>
      </c>
      <c r="G435" s="6">
        <f>SUM(AC214:BA214)</f>
        <v>0.14486428170139623</v>
      </c>
      <c r="H435" s="6">
        <f>SUM(AC274:BA274)</f>
        <v>0.1597952541352278</v>
      </c>
      <c r="I435" s="6">
        <f>SUM(AC334:BA334)</f>
        <v>0.15280359411988906</v>
      </c>
      <c r="J435" s="6">
        <f>SUM(AC395:BA395)</f>
        <v>0.13774913518918389</v>
      </c>
    </row>
    <row r="436" spans="1:11" x14ac:dyDescent="0.35">
      <c r="A436" s="6" t="s">
        <v>118</v>
      </c>
      <c r="B436" s="6">
        <f>SUM(AC11:BA11)</f>
        <v>1.0010028574258376E-2</v>
      </c>
      <c r="C436" s="6">
        <f>SUM(AC51:BA51)</f>
        <v>9.5063834765982819E-3</v>
      </c>
      <c r="D436" s="6">
        <f>SUM(AC91:BA91)</f>
        <v>8.977436741851275E-3</v>
      </c>
      <c r="E436" s="6">
        <f>SUM(AC133:BA133)</f>
        <v>1.0010028574258376E-2</v>
      </c>
      <c r="F436" s="6">
        <f>SUM(AC174:BA174)</f>
        <v>9.5063834765982819E-3</v>
      </c>
      <c r="G436" s="6">
        <f>SUM(AC215:BA215)</f>
        <v>8.977436741851275E-3</v>
      </c>
      <c r="H436" s="6">
        <f t="shared" ref="H436:H444" si="66">SUM(AC275:BA275)</f>
        <v>5.005014287129188E-3</v>
      </c>
      <c r="I436" s="6">
        <f t="shared" ref="I436:I444" si="67">SUM(AC335:BA335)</f>
        <v>4.7531917382991409E-3</v>
      </c>
      <c r="J436" s="6">
        <f t="shared" ref="J436:J444" si="68">SUM(AC396:BA396)</f>
        <v>4.4887183709256375E-3</v>
      </c>
    </row>
    <row r="437" spans="1:11" x14ac:dyDescent="0.35">
      <c r="A437" s="6" t="s">
        <v>119</v>
      </c>
      <c r="B437" s="6">
        <f>SUM(AC12:BA12)</f>
        <v>1.3460715242108881E-3</v>
      </c>
      <c r="C437" s="6">
        <f>SUM(AC52:BA52)</f>
        <v>1.2038817746522666E-3</v>
      </c>
      <c r="D437" s="6">
        <f>SUM(AC92:BA92)</f>
        <v>1.1364491829356034E-3</v>
      </c>
      <c r="E437" s="6">
        <f>SUM(AC134:BA134)</f>
        <v>1.3460715242108881E-3</v>
      </c>
      <c r="F437" s="6">
        <f>SUM(AC175:BA175)</f>
        <v>1.2038817746522666E-3</v>
      </c>
      <c r="G437" s="6">
        <f>SUM(AC216:BA216)</f>
        <v>1.1364491829356034E-3</v>
      </c>
      <c r="H437" s="6">
        <f t="shared" si="66"/>
        <v>1.3460715242108881E-3</v>
      </c>
      <c r="I437" s="6">
        <f t="shared" si="67"/>
        <v>1.2038817746522666E-3</v>
      </c>
      <c r="J437" s="6">
        <f t="shared" si="68"/>
        <v>1.1364491829356034E-3</v>
      </c>
    </row>
    <row r="438" spans="1:11" x14ac:dyDescent="0.35">
      <c r="A438" s="6" t="s">
        <v>120</v>
      </c>
      <c r="B438" s="6">
        <f>SUM(AC13:BA13)</f>
        <v>3.7268740247547826E-5</v>
      </c>
      <c r="C438" s="6">
        <f>SUM(AC53:BA53)</f>
        <v>3.5227143847144076E-5</v>
      </c>
      <c r="D438" s="6">
        <f>SUM(AC93:BA93)</f>
        <v>3.4041847576099076E-5</v>
      </c>
      <c r="E438" s="6">
        <f>SUM(AC135:BA135)</f>
        <v>3.7268740247547826E-5</v>
      </c>
      <c r="F438" s="6">
        <f>SUM(AC176:BA176)</f>
        <v>3.5227143847144076E-5</v>
      </c>
      <c r="G438" s="6">
        <f>SUM(AC217:BA217)</f>
        <v>3.4041847576099076E-5</v>
      </c>
      <c r="H438" s="6">
        <f t="shared" si="66"/>
        <v>1.8634370123773913E-5</v>
      </c>
      <c r="I438" s="6">
        <f t="shared" si="67"/>
        <v>1.7613571923572038E-5</v>
      </c>
      <c r="J438" s="6">
        <f t="shared" si="68"/>
        <v>1.7020923788049538E-5</v>
      </c>
    </row>
    <row r="439" spans="1:11" x14ac:dyDescent="0.35">
      <c r="A439" s="6" t="s">
        <v>121</v>
      </c>
      <c r="B439" s="6">
        <f>SUM(AC14:BA14)</f>
        <v>2.0998042317090532E-2</v>
      </c>
      <c r="C439" s="6">
        <f>SUM(AC54:BA54)</f>
        <v>1.824106577208047E-2</v>
      </c>
      <c r="D439" s="6">
        <f>SUM(AC94:BA94)</f>
        <v>1.6464279424867195E-2</v>
      </c>
      <c r="E439" s="6">
        <f>SUM(AC136:BA136)</f>
        <v>2.0998042317090532E-2</v>
      </c>
      <c r="F439" s="6">
        <f>SUM(AC177:BA177)</f>
        <v>1.824106577208047E-2</v>
      </c>
      <c r="G439" s="6">
        <f>SUM(AC218:BA218)</f>
        <v>1.6464279424867195E-2</v>
      </c>
      <c r="H439" s="6">
        <f t="shared" si="66"/>
        <v>2.0998042317090532E-2</v>
      </c>
      <c r="I439" s="6">
        <f t="shared" si="67"/>
        <v>1.824106577208047E-2</v>
      </c>
      <c r="J439" s="6">
        <f t="shared" si="68"/>
        <v>1.6464279424867195E-2</v>
      </c>
    </row>
    <row r="440" spans="1:11" x14ac:dyDescent="0.35">
      <c r="A440" s="6" t="s">
        <v>800</v>
      </c>
      <c r="H440" s="6">
        <f t="shared" si="66"/>
        <v>0.94017210869607748</v>
      </c>
      <c r="I440" s="6">
        <f t="shared" si="67"/>
        <v>0.91746925776858279</v>
      </c>
      <c r="J440" s="6">
        <f t="shared" si="68"/>
        <v>0.85234790108433556</v>
      </c>
    </row>
    <row r="441" spans="1:11" x14ac:dyDescent="0.35">
      <c r="A441" s="6" t="s">
        <v>122</v>
      </c>
      <c r="B441" s="6">
        <f>SUM(AC15:BA15)</f>
        <v>2.7161537830940472</v>
      </c>
      <c r="C441" s="6">
        <f>SUM(AC55:BA55)</f>
        <v>0.77650372993364369</v>
      </c>
      <c r="D441" s="6">
        <f>SUM(AC95:BA95)</f>
        <v>0.4248402666537992</v>
      </c>
      <c r="E441" s="6">
        <f>SUM(AC137:BA137)</f>
        <v>2.1672365447186341</v>
      </c>
      <c r="F441" s="6">
        <f>SUM(AC178:BA178)</f>
        <v>0.67827812339193838</v>
      </c>
      <c r="G441" s="6">
        <f>SUM(AC219:BA219)</f>
        <v>0.40525756616347069</v>
      </c>
      <c r="H441" s="6">
        <f t="shared" si="66"/>
        <v>0.63036575795860372</v>
      </c>
      <c r="I441" s="6">
        <f t="shared" si="67"/>
        <v>0.58436499357235405</v>
      </c>
      <c r="J441" s="6">
        <f t="shared" si="68"/>
        <v>0.56078267856546571</v>
      </c>
    </row>
    <row r="442" spans="1:11" x14ac:dyDescent="0.35">
      <c r="A442" s="6" t="s">
        <v>123</v>
      </c>
      <c r="B442" s="6">
        <f>SUM(AC16:BA16)</f>
        <v>0.23864377306006512</v>
      </c>
      <c r="C442" s="6">
        <f>SUM(AC56:BA56)</f>
        <v>9.2084112511409577E-2</v>
      </c>
      <c r="D442" s="6">
        <f>SUM(AC96:BA96)</f>
        <v>6.4911111668750798E-2</v>
      </c>
      <c r="E442" s="6">
        <f>SUM(AC138:BA138)</f>
        <v>0.23864377306006512</v>
      </c>
      <c r="F442" s="6">
        <f>SUM(AC179:BA179)</f>
        <v>9.2084112511409577E-2</v>
      </c>
      <c r="G442" s="6">
        <f>SUM(AC220:BA220)</f>
        <v>6.4911111668750798E-2</v>
      </c>
      <c r="H442" s="6">
        <f t="shared" si="66"/>
        <v>0.11932188653003256</v>
      </c>
      <c r="I442" s="6">
        <f t="shared" si="67"/>
        <v>4.6042056255704789E-2</v>
      </c>
      <c r="J442" s="6">
        <f t="shared" si="68"/>
        <v>3.2455555834375399E-2</v>
      </c>
    </row>
    <row r="443" spans="1:11" x14ac:dyDescent="0.35">
      <c r="A443" s="6" t="s">
        <v>124</v>
      </c>
      <c r="B443" s="6">
        <f>SUM(AC17:BA17)</f>
        <v>-2.3199999999999998</v>
      </c>
      <c r="C443" s="6">
        <f>SUM(AC57:BA57)</f>
        <v>-2.3199999999999998</v>
      </c>
      <c r="D443" s="6">
        <f>SUM(AC97:BA97)</f>
        <v>-2.3199999999999998</v>
      </c>
      <c r="E443" s="6">
        <f>SUM(AC139:BA139)</f>
        <v>-2.3199999999999998</v>
      </c>
      <c r="F443" s="6">
        <f>SUM(AC180:BA180)</f>
        <v>-2.3199999999999998</v>
      </c>
      <c r="G443" s="6">
        <f>SUM(AC221:BA221)</f>
        <v>-2.3199999999999998</v>
      </c>
      <c r="H443" s="6">
        <f t="shared" si="66"/>
        <v>-1.1599999999999999</v>
      </c>
      <c r="I443" s="6">
        <f t="shared" si="67"/>
        <v>-1.1599999999999999</v>
      </c>
      <c r="J443" s="6">
        <f t="shared" si="68"/>
        <v>-1.1599999999999999</v>
      </c>
    </row>
    <row r="444" spans="1:11" x14ac:dyDescent="0.35">
      <c r="A444" s="6" t="s">
        <v>137</v>
      </c>
      <c r="B444" s="6">
        <f>SUM(AC18:BA18)</f>
        <v>0.83432216827105143</v>
      </c>
      <c r="C444" s="6">
        <f>SUM(AC58:BA58)</f>
        <v>-1.2623574530925552</v>
      </c>
      <c r="D444" s="6">
        <f>SUM(AC98:BA98)</f>
        <v>-1.6587721327788234</v>
      </c>
      <c r="E444" s="6">
        <f>SUM(AC140:BA140)</f>
        <v>0.28540492989563876</v>
      </c>
      <c r="F444" s="6">
        <f>SUM(AC181:BA181)</f>
        <v>-1.3605830596342607</v>
      </c>
      <c r="G444" s="6">
        <f>SUM(AC222:BA222)</f>
        <v>-1.678354833269152</v>
      </c>
      <c r="H444" s="6">
        <f t="shared" si="66"/>
        <v>0.71702276981849622</v>
      </c>
      <c r="I444" s="6">
        <f t="shared" si="67"/>
        <v>0.56489565457348612</v>
      </c>
      <c r="J444" s="6">
        <f t="shared" si="68"/>
        <v>0.44544173857587727</v>
      </c>
    </row>
    <row r="446" spans="1:11" x14ac:dyDescent="0.35">
      <c r="A446" s="331" t="s">
        <v>133</v>
      </c>
      <c r="B446" s="331"/>
      <c r="C446" s="331"/>
      <c r="D446" s="331"/>
      <c r="E446" s="331"/>
      <c r="F446" s="331"/>
      <c r="G446" s="331"/>
      <c r="H446" s="331"/>
      <c r="I446" s="331"/>
      <c r="J446" s="331"/>
      <c r="K446" s="331"/>
    </row>
    <row r="447" spans="1:11" x14ac:dyDescent="0.35">
      <c r="A447" s="6" t="s">
        <v>134</v>
      </c>
    </row>
    <row r="448" spans="1:11" x14ac:dyDescent="0.35">
      <c r="B448" s="6" t="s">
        <v>889</v>
      </c>
      <c r="C448" s="6" t="s">
        <v>891</v>
      </c>
      <c r="D448" s="6" t="s">
        <v>890</v>
      </c>
      <c r="E448" s="6" t="s">
        <v>892</v>
      </c>
      <c r="F448" s="6" t="s">
        <v>893</v>
      </c>
      <c r="G448" s="6" t="s">
        <v>894</v>
      </c>
      <c r="H448" s="6" t="s">
        <v>896</v>
      </c>
      <c r="I448" s="6" t="s">
        <v>897</v>
      </c>
      <c r="J448" s="6" t="s">
        <v>895</v>
      </c>
    </row>
    <row r="449" spans="1:11" x14ac:dyDescent="0.35">
      <c r="A449" s="6" t="s">
        <v>117</v>
      </c>
      <c r="B449" s="6">
        <f>B435/25</f>
        <v>6.6853280384452625E-3</v>
      </c>
      <c r="C449" s="6">
        <f t="shared" ref="C449:J449" si="69">C435/25</f>
        <v>6.4027258518085384E-3</v>
      </c>
      <c r="D449" s="6">
        <f t="shared" si="69"/>
        <v>5.7945712680558493E-3</v>
      </c>
      <c r="E449" s="6">
        <f t="shared" si="69"/>
        <v>6.6853280384452625E-3</v>
      </c>
      <c r="F449" s="6">
        <f t="shared" si="69"/>
        <v>6.4027258518085384E-3</v>
      </c>
      <c r="G449" s="6">
        <f t="shared" si="69"/>
        <v>5.7945712680558493E-3</v>
      </c>
      <c r="H449" s="6">
        <f t="shared" si="69"/>
        <v>6.3918101654091121E-3</v>
      </c>
      <c r="I449" s="6">
        <f t="shared" si="69"/>
        <v>6.1121437647955624E-3</v>
      </c>
      <c r="J449" s="6">
        <f t="shared" si="69"/>
        <v>5.5099654075673552E-3</v>
      </c>
    </row>
    <row r="450" spans="1:11" x14ac:dyDescent="0.35">
      <c r="A450" s="6" t="s">
        <v>118</v>
      </c>
      <c r="B450" s="6">
        <f t="shared" ref="B450:J458" si="70">B436/25</f>
        <v>4.0040114297033505E-4</v>
      </c>
      <c r="C450" s="6">
        <f t="shared" si="70"/>
        <v>3.8025533906393125E-4</v>
      </c>
      <c r="D450" s="6">
        <f t="shared" si="70"/>
        <v>3.5909746967405102E-4</v>
      </c>
      <c r="E450" s="6">
        <f t="shared" si="70"/>
        <v>4.0040114297033505E-4</v>
      </c>
      <c r="F450" s="6">
        <f t="shared" si="70"/>
        <v>3.8025533906393125E-4</v>
      </c>
      <c r="G450" s="6">
        <f t="shared" si="70"/>
        <v>3.5909746967405102E-4</v>
      </c>
      <c r="H450" s="6">
        <f t="shared" si="70"/>
        <v>2.0020057148516753E-4</v>
      </c>
      <c r="I450" s="6">
        <f t="shared" si="70"/>
        <v>1.9012766953196563E-4</v>
      </c>
      <c r="J450" s="6">
        <f t="shared" si="70"/>
        <v>1.7954873483702551E-4</v>
      </c>
    </row>
    <row r="451" spans="1:11" x14ac:dyDescent="0.35">
      <c r="A451" s="6" t="s">
        <v>119</v>
      </c>
      <c r="B451" s="6">
        <f t="shared" si="70"/>
        <v>5.3842860968435526E-5</v>
      </c>
      <c r="C451" s="6">
        <f t="shared" si="70"/>
        <v>4.8155270986090666E-5</v>
      </c>
      <c r="D451" s="6">
        <f t="shared" si="70"/>
        <v>4.5457967317424134E-5</v>
      </c>
      <c r="E451" s="6">
        <f t="shared" si="70"/>
        <v>5.3842860968435526E-5</v>
      </c>
      <c r="F451" s="6">
        <f t="shared" si="70"/>
        <v>4.8155270986090666E-5</v>
      </c>
      <c r="G451" s="6">
        <f t="shared" si="70"/>
        <v>4.5457967317424134E-5</v>
      </c>
      <c r="H451" s="6">
        <f t="shared" si="70"/>
        <v>5.3842860968435526E-5</v>
      </c>
      <c r="I451" s="6">
        <f t="shared" si="70"/>
        <v>4.8155270986090666E-5</v>
      </c>
      <c r="J451" s="6">
        <f t="shared" si="70"/>
        <v>4.5457967317424134E-5</v>
      </c>
    </row>
    <row r="452" spans="1:11" x14ac:dyDescent="0.35">
      <c r="A452" s="6" t="s">
        <v>120</v>
      </c>
      <c r="B452" s="6">
        <f t="shared" si="70"/>
        <v>1.4907496099019131E-6</v>
      </c>
      <c r="C452" s="6">
        <f t="shared" si="70"/>
        <v>1.409085753885763E-6</v>
      </c>
      <c r="D452" s="6">
        <f t="shared" si="70"/>
        <v>1.361673903043963E-6</v>
      </c>
      <c r="E452" s="6">
        <f t="shared" si="70"/>
        <v>1.4907496099019131E-6</v>
      </c>
      <c r="F452" s="6">
        <f t="shared" si="70"/>
        <v>1.409085753885763E-6</v>
      </c>
      <c r="G452" s="6">
        <f t="shared" si="70"/>
        <v>1.361673903043963E-6</v>
      </c>
      <c r="H452" s="6">
        <f t="shared" si="70"/>
        <v>7.4537480495095655E-7</v>
      </c>
      <c r="I452" s="6">
        <f t="shared" si="70"/>
        <v>7.0454287694288149E-7</v>
      </c>
      <c r="J452" s="6">
        <f t="shared" si="70"/>
        <v>6.8083695152198152E-7</v>
      </c>
    </row>
    <row r="453" spans="1:11" x14ac:dyDescent="0.35">
      <c r="A453" s="6" t="s">
        <v>121</v>
      </c>
      <c r="B453" s="6">
        <f t="shared" si="70"/>
        <v>8.3992169268362127E-4</v>
      </c>
      <c r="C453" s="6">
        <f t="shared" si="70"/>
        <v>7.2964263088321879E-4</v>
      </c>
      <c r="D453" s="6">
        <f t="shared" si="70"/>
        <v>6.5857117699468783E-4</v>
      </c>
      <c r="E453" s="6">
        <f t="shared" si="70"/>
        <v>8.3992169268362127E-4</v>
      </c>
      <c r="F453" s="6">
        <f t="shared" si="70"/>
        <v>7.2964263088321879E-4</v>
      </c>
      <c r="G453" s="6">
        <f t="shared" si="70"/>
        <v>6.5857117699468783E-4</v>
      </c>
      <c r="H453" s="6">
        <f t="shared" si="70"/>
        <v>8.3992169268362127E-4</v>
      </c>
      <c r="I453" s="6">
        <f t="shared" si="70"/>
        <v>7.2964263088321879E-4</v>
      </c>
      <c r="J453" s="6">
        <f t="shared" si="70"/>
        <v>6.5857117699468783E-4</v>
      </c>
    </row>
    <row r="454" spans="1:11" x14ac:dyDescent="0.35">
      <c r="A454" s="6" t="s">
        <v>800</v>
      </c>
      <c r="B454" s="6">
        <f t="shared" si="70"/>
        <v>0</v>
      </c>
      <c r="C454" s="6">
        <f t="shared" si="70"/>
        <v>0</v>
      </c>
      <c r="D454" s="6">
        <f t="shared" si="70"/>
        <v>0</v>
      </c>
      <c r="E454" s="6">
        <f t="shared" si="70"/>
        <v>0</v>
      </c>
      <c r="F454" s="6">
        <f t="shared" si="70"/>
        <v>0</v>
      </c>
      <c r="G454" s="6">
        <f t="shared" si="70"/>
        <v>0</v>
      </c>
      <c r="H454" s="6">
        <f t="shared" si="70"/>
        <v>3.7606884347843102E-2</v>
      </c>
      <c r="I454" s="6">
        <f t="shared" si="70"/>
        <v>3.6698770310743312E-2</v>
      </c>
      <c r="J454" s="6">
        <f t="shared" si="70"/>
        <v>3.4093916043373425E-2</v>
      </c>
    </row>
    <row r="455" spans="1:11" x14ac:dyDescent="0.35">
      <c r="A455" s="6" t="s">
        <v>122</v>
      </c>
      <c r="B455" s="6">
        <f t="shared" si="70"/>
        <v>0.10864615132376189</v>
      </c>
      <c r="C455" s="6">
        <f t="shared" si="70"/>
        <v>3.1060149197345746E-2</v>
      </c>
      <c r="D455" s="6">
        <f t="shared" si="70"/>
        <v>1.699361066615197E-2</v>
      </c>
      <c r="E455" s="6">
        <f t="shared" si="70"/>
        <v>8.668946178874537E-2</v>
      </c>
      <c r="F455" s="6">
        <f t="shared" si="70"/>
        <v>2.7131124935677535E-2</v>
      </c>
      <c r="G455" s="6">
        <f t="shared" si="70"/>
        <v>1.6210302646538829E-2</v>
      </c>
      <c r="H455" s="6">
        <f t="shared" si="70"/>
        <v>2.5214630318344148E-2</v>
      </c>
      <c r="I455" s="6">
        <f t="shared" si="70"/>
        <v>2.3374599742894162E-2</v>
      </c>
      <c r="J455" s="6">
        <f t="shared" si="70"/>
        <v>2.243130714261863E-2</v>
      </c>
    </row>
    <row r="456" spans="1:11" x14ac:dyDescent="0.35">
      <c r="A456" s="6" t="s">
        <v>123</v>
      </c>
      <c r="B456" s="6">
        <f t="shared" si="70"/>
        <v>9.5457509224026044E-3</v>
      </c>
      <c r="C456" s="6">
        <f t="shared" si="70"/>
        <v>3.6833645004563831E-3</v>
      </c>
      <c r="D456" s="6">
        <f t="shared" si="70"/>
        <v>2.5964444667500321E-3</v>
      </c>
      <c r="E456" s="6">
        <f t="shared" si="70"/>
        <v>9.5457509224026044E-3</v>
      </c>
      <c r="F456" s="6">
        <f t="shared" si="70"/>
        <v>3.6833645004563831E-3</v>
      </c>
      <c r="G456" s="6">
        <f t="shared" si="70"/>
        <v>2.5964444667500321E-3</v>
      </c>
      <c r="H456" s="6">
        <f t="shared" si="70"/>
        <v>4.7728754612013022E-3</v>
      </c>
      <c r="I456" s="6">
        <f t="shared" si="70"/>
        <v>1.8416822502281916E-3</v>
      </c>
      <c r="J456" s="6">
        <f t="shared" si="70"/>
        <v>1.2982222333750161E-3</v>
      </c>
    </row>
    <row r="457" spans="1:11" x14ac:dyDescent="0.35">
      <c r="A457" s="6" t="s">
        <v>124</v>
      </c>
      <c r="B457" s="6">
        <f t="shared" si="70"/>
        <v>-9.2799999999999994E-2</v>
      </c>
      <c r="C457" s="6">
        <f t="shared" si="70"/>
        <v>-9.2799999999999994E-2</v>
      </c>
      <c r="D457" s="6">
        <f t="shared" si="70"/>
        <v>-9.2799999999999994E-2</v>
      </c>
      <c r="E457" s="6">
        <f t="shared" si="70"/>
        <v>-9.2799999999999994E-2</v>
      </c>
      <c r="F457" s="6">
        <f t="shared" si="70"/>
        <v>-9.2799999999999994E-2</v>
      </c>
      <c r="G457" s="6">
        <f t="shared" si="70"/>
        <v>-9.2799999999999994E-2</v>
      </c>
      <c r="H457" s="6">
        <f t="shared" si="70"/>
        <v>-4.6399999999999997E-2</v>
      </c>
      <c r="I457" s="6">
        <f t="shared" si="70"/>
        <v>-4.6399999999999997E-2</v>
      </c>
      <c r="J457" s="6">
        <f t="shared" si="70"/>
        <v>-4.6399999999999997E-2</v>
      </c>
    </row>
    <row r="458" spans="1:11" x14ac:dyDescent="0.35">
      <c r="A458" s="6" t="s">
        <v>137</v>
      </c>
      <c r="B458" s="6">
        <f t="shared" si="70"/>
        <v>3.3372886730842058E-2</v>
      </c>
      <c r="C458" s="6">
        <f t="shared" si="70"/>
        <v>-5.0494298123702208E-2</v>
      </c>
      <c r="D458" s="6">
        <f t="shared" si="70"/>
        <v>-6.6350885311152935E-2</v>
      </c>
      <c r="E458" s="6">
        <f t="shared" si="70"/>
        <v>1.141619719582555E-2</v>
      </c>
      <c r="F458" s="6">
        <f t="shared" si="70"/>
        <v>-5.4423322385370426E-2</v>
      </c>
      <c r="G458" s="6">
        <f t="shared" si="70"/>
        <v>-6.7134193330766076E-2</v>
      </c>
      <c r="H458" s="6">
        <f t="shared" si="70"/>
        <v>2.868091079273985E-2</v>
      </c>
      <c r="I458" s="6">
        <f t="shared" si="70"/>
        <v>2.2595826182939444E-2</v>
      </c>
      <c r="J458" s="6">
        <f t="shared" si="70"/>
        <v>1.781766954303509E-2</v>
      </c>
    </row>
    <row r="461" spans="1:11" x14ac:dyDescent="0.35">
      <c r="A461" s="331" t="s">
        <v>135</v>
      </c>
      <c r="B461" s="331"/>
      <c r="C461" s="331"/>
      <c r="D461" s="331"/>
      <c r="E461" s="331"/>
      <c r="F461" s="331"/>
      <c r="G461" s="331"/>
      <c r="H461" s="331"/>
      <c r="I461" s="331"/>
      <c r="J461" s="331"/>
      <c r="K461" s="331"/>
    </row>
    <row r="462" spans="1:11" x14ac:dyDescent="0.35">
      <c r="A462" s="6" t="s">
        <v>138</v>
      </c>
    </row>
    <row r="463" spans="1:11" x14ac:dyDescent="0.35">
      <c r="A463" s="6" t="s">
        <v>139</v>
      </c>
      <c r="B463" s="6">
        <v>100</v>
      </c>
      <c r="C463" s="6" t="s">
        <v>128</v>
      </c>
    </row>
    <row r="464" spans="1:11" x14ac:dyDescent="0.35">
      <c r="A464" s="6" t="s">
        <v>140</v>
      </c>
      <c r="B464" s="6">
        <v>50</v>
      </c>
      <c r="C464" s="6" t="s">
        <v>128</v>
      </c>
    </row>
    <row r="466" spans="1:12" x14ac:dyDescent="0.35">
      <c r="B466" s="6" t="s">
        <v>889</v>
      </c>
      <c r="C466" s="6" t="s">
        <v>891</v>
      </c>
      <c r="D466" s="6" t="s">
        <v>890</v>
      </c>
      <c r="E466" s="6" t="s">
        <v>892</v>
      </c>
      <c r="F466" s="6" t="s">
        <v>893</v>
      </c>
      <c r="G466" s="6" t="s">
        <v>894</v>
      </c>
      <c r="H466" s="6" t="s">
        <v>896</v>
      </c>
      <c r="I466" s="6" t="s">
        <v>897</v>
      </c>
      <c r="J466" s="6" t="s">
        <v>895</v>
      </c>
    </row>
    <row r="467" spans="1:12" x14ac:dyDescent="0.35">
      <c r="A467" s="6" t="s">
        <v>117</v>
      </c>
      <c r="B467" s="6">
        <f t="shared" ref="B467:G467" si="71">B449/$B$463</f>
        <v>6.6853280384452626E-5</v>
      </c>
      <c r="C467" s="6">
        <f t="shared" si="71"/>
        <v>6.4027258518085386E-5</v>
      </c>
      <c r="D467" s="6">
        <f t="shared" si="71"/>
        <v>5.794571268055849E-5</v>
      </c>
      <c r="E467" s="6">
        <f t="shared" si="71"/>
        <v>6.6853280384452626E-5</v>
      </c>
      <c r="F467" s="6">
        <f t="shared" si="71"/>
        <v>6.4027258518085386E-5</v>
      </c>
      <c r="G467" s="6">
        <f t="shared" si="71"/>
        <v>5.794571268055849E-5</v>
      </c>
      <c r="H467" s="6">
        <f>H449/$B$464</f>
        <v>1.2783620330818223E-4</v>
      </c>
      <c r="I467" s="6">
        <f>I449/$B$464</f>
        <v>1.2224287529591124E-4</v>
      </c>
      <c r="J467" s="6">
        <f>J449/$B$464</f>
        <v>1.1019930815134711E-4</v>
      </c>
    </row>
    <row r="468" spans="1:12" x14ac:dyDescent="0.35">
      <c r="A468" s="6" t="s">
        <v>118</v>
      </c>
      <c r="B468" s="6">
        <f t="shared" ref="B468:G476" si="72">B450/$B$463</f>
        <v>4.0040114297033507E-6</v>
      </c>
      <c r="C468" s="6">
        <f t="shared" si="72"/>
        <v>3.8025533906393124E-6</v>
      </c>
      <c r="D468" s="6">
        <f t="shared" si="72"/>
        <v>3.5909746967405102E-6</v>
      </c>
      <c r="E468" s="6">
        <f t="shared" si="72"/>
        <v>4.0040114297033507E-6</v>
      </c>
      <c r="F468" s="6">
        <f t="shared" si="72"/>
        <v>3.8025533906393124E-6</v>
      </c>
      <c r="G468" s="6">
        <f t="shared" si="72"/>
        <v>3.5909746967405102E-6</v>
      </c>
      <c r="H468" s="6">
        <f t="shared" ref="H468:J476" si="73">H450/$B$464</f>
        <v>4.0040114297033507E-6</v>
      </c>
      <c r="I468" s="6">
        <f t="shared" si="73"/>
        <v>3.8025533906393124E-6</v>
      </c>
      <c r="J468" s="6">
        <f t="shared" si="73"/>
        <v>3.5909746967405102E-6</v>
      </c>
    </row>
    <row r="469" spans="1:12" x14ac:dyDescent="0.35">
      <c r="A469" s="6" t="s">
        <v>119</v>
      </c>
      <c r="B469" s="6">
        <f t="shared" si="72"/>
        <v>5.3842860968435531E-7</v>
      </c>
      <c r="C469" s="6">
        <f t="shared" si="72"/>
        <v>4.8155270986090666E-7</v>
      </c>
      <c r="D469" s="6">
        <f t="shared" si="72"/>
        <v>4.5457967317424136E-7</v>
      </c>
      <c r="E469" s="6">
        <f t="shared" si="72"/>
        <v>5.3842860968435531E-7</v>
      </c>
      <c r="F469" s="6">
        <f t="shared" si="72"/>
        <v>4.8155270986090666E-7</v>
      </c>
      <c r="G469" s="6">
        <f t="shared" si="72"/>
        <v>4.5457967317424136E-7</v>
      </c>
      <c r="H469" s="6">
        <f t="shared" si="73"/>
        <v>1.0768572193687106E-6</v>
      </c>
      <c r="I469" s="6">
        <f t="shared" si="73"/>
        <v>9.6310541972181332E-7</v>
      </c>
      <c r="J469" s="6">
        <f t="shared" si="73"/>
        <v>9.0915934634848273E-7</v>
      </c>
    </row>
    <row r="470" spans="1:12" x14ac:dyDescent="0.35">
      <c r="A470" s="6" t="s">
        <v>120</v>
      </c>
      <c r="B470" s="6">
        <f t="shared" si="72"/>
        <v>1.4907496099019133E-8</v>
      </c>
      <c r="C470" s="6">
        <f t="shared" si="72"/>
        <v>1.4090857538857629E-8</v>
      </c>
      <c r="D470" s="6">
        <f t="shared" si="72"/>
        <v>1.3616739030439631E-8</v>
      </c>
      <c r="E470" s="6">
        <f t="shared" si="72"/>
        <v>1.4907496099019133E-8</v>
      </c>
      <c r="F470" s="6">
        <f t="shared" si="72"/>
        <v>1.4090857538857629E-8</v>
      </c>
      <c r="G470" s="6">
        <f t="shared" si="72"/>
        <v>1.3616739030439631E-8</v>
      </c>
      <c r="H470" s="6">
        <f t="shared" si="73"/>
        <v>1.4907496099019133E-8</v>
      </c>
      <c r="I470" s="6">
        <f t="shared" si="73"/>
        <v>1.4090857538857629E-8</v>
      </c>
      <c r="J470" s="6">
        <f t="shared" si="73"/>
        <v>1.3616739030439631E-8</v>
      </c>
    </row>
    <row r="471" spans="1:12" x14ac:dyDescent="0.35">
      <c r="A471" s="6" t="s">
        <v>121</v>
      </c>
      <c r="B471" s="6">
        <f t="shared" si="72"/>
        <v>8.3992169268362136E-6</v>
      </c>
      <c r="C471" s="6">
        <f t="shared" si="72"/>
        <v>7.2964263088321881E-6</v>
      </c>
      <c r="D471" s="6">
        <f t="shared" si="72"/>
        <v>6.5857117699468779E-6</v>
      </c>
      <c r="E471" s="6">
        <f t="shared" si="72"/>
        <v>8.3992169268362136E-6</v>
      </c>
      <c r="F471" s="6">
        <f t="shared" si="72"/>
        <v>7.2964263088321881E-6</v>
      </c>
      <c r="G471" s="6">
        <f t="shared" si="72"/>
        <v>6.5857117699468779E-6</v>
      </c>
      <c r="H471" s="6">
        <f t="shared" si="73"/>
        <v>1.6798433853672427E-5</v>
      </c>
      <c r="I471" s="6">
        <f t="shared" si="73"/>
        <v>1.4592852617664376E-5</v>
      </c>
      <c r="J471" s="6">
        <f t="shared" si="73"/>
        <v>1.3171423539893756E-5</v>
      </c>
    </row>
    <row r="472" spans="1:12" x14ac:dyDescent="0.35">
      <c r="A472" s="6" t="s">
        <v>800</v>
      </c>
      <c r="B472" s="6">
        <f t="shared" si="72"/>
        <v>0</v>
      </c>
      <c r="C472" s="6">
        <f t="shared" si="72"/>
        <v>0</v>
      </c>
      <c r="D472" s="6">
        <f t="shared" si="72"/>
        <v>0</v>
      </c>
      <c r="E472" s="6">
        <f t="shared" si="72"/>
        <v>0</v>
      </c>
      <c r="F472" s="6">
        <f t="shared" si="72"/>
        <v>0</v>
      </c>
      <c r="G472" s="6">
        <f t="shared" si="72"/>
        <v>0</v>
      </c>
      <c r="H472" s="6">
        <f t="shared" si="73"/>
        <v>7.52137686956862E-4</v>
      </c>
      <c r="I472" s="6">
        <f t="shared" si="73"/>
        <v>7.3397540621486621E-4</v>
      </c>
      <c r="J472" s="6">
        <f t="shared" si="73"/>
        <v>6.8187832086746847E-4</v>
      </c>
    </row>
    <row r="473" spans="1:12" x14ac:dyDescent="0.35">
      <c r="A473" s="6" t="s">
        <v>122</v>
      </c>
      <c r="B473" s="6">
        <f t="shared" si="72"/>
        <v>1.0864615132376188E-3</v>
      </c>
      <c r="C473" s="6">
        <f t="shared" si="72"/>
        <v>3.1060149197345745E-4</v>
      </c>
      <c r="D473" s="6">
        <f t="shared" si="72"/>
        <v>1.6993610666151968E-4</v>
      </c>
      <c r="E473" s="6">
        <f t="shared" si="72"/>
        <v>8.6689461788745366E-4</v>
      </c>
      <c r="F473" s="6">
        <f t="shared" si="72"/>
        <v>2.7131124935677535E-4</v>
      </c>
      <c r="G473" s="6">
        <f t="shared" si="72"/>
        <v>1.6210302646538829E-4</v>
      </c>
      <c r="H473" s="6">
        <f t="shared" si="73"/>
        <v>5.0429260636688296E-4</v>
      </c>
      <c r="I473" s="6">
        <f t="shared" si="73"/>
        <v>4.6749199485788325E-4</v>
      </c>
      <c r="J473" s="6">
        <f t="shared" si="73"/>
        <v>4.486261428523726E-4</v>
      </c>
      <c r="L473" s="1"/>
    </row>
    <row r="474" spans="1:12" x14ac:dyDescent="0.35">
      <c r="A474" s="6" t="s">
        <v>123</v>
      </c>
      <c r="B474" s="6">
        <f t="shared" si="72"/>
        <v>9.5457509224026042E-5</v>
      </c>
      <c r="C474" s="6">
        <f t="shared" si="72"/>
        <v>3.6833645004563829E-5</v>
      </c>
      <c r="D474" s="6">
        <f t="shared" si="72"/>
        <v>2.5964444667500321E-5</v>
      </c>
      <c r="E474" s="6">
        <f t="shared" si="72"/>
        <v>9.5457509224026042E-5</v>
      </c>
      <c r="F474" s="6">
        <f t="shared" si="72"/>
        <v>3.6833645004563829E-5</v>
      </c>
      <c r="G474" s="6">
        <f t="shared" si="72"/>
        <v>2.5964444667500321E-5</v>
      </c>
      <c r="H474" s="6">
        <f t="shared" si="73"/>
        <v>9.5457509224026042E-5</v>
      </c>
      <c r="I474" s="6">
        <f t="shared" si="73"/>
        <v>3.6833645004563829E-5</v>
      </c>
      <c r="J474" s="6">
        <f t="shared" si="73"/>
        <v>2.5964444667500321E-5</v>
      </c>
    </row>
    <row r="475" spans="1:12" x14ac:dyDescent="0.35">
      <c r="A475" s="6" t="s">
        <v>124</v>
      </c>
      <c r="B475" s="6">
        <f t="shared" si="72"/>
        <v>-9.279999999999999E-4</v>
      </c>
      <c r="C475" s="6">
        <f t="shared" si="72"/>
        <v>-9.279999999999999E-4</v>
      </c>
      <c r="D475" s="6">
        <f t="shared" si="72"/>
        <v>-9.279999999999999E-4</v>
      </c>
      <c r="E475" s="6">
        <f t="shared" si="72"/>
        <v>-9.279999999999999E-4</v>
      </c>
      <c r="F475" s="6">
        <f t="shared" si="72"/>
        <v>-9.279999999999999E-4</v>
      </c>
      <c r="G475" s="6">
        <f t="shared" si="72"/>
        <v>-9.279999999999999E-4</v>
      </c>
      <c r="H475" s="6">
        <f t="shared" si="73"/>
        <v>-9.279999999999999E-4</v>
      </c>
      <c r="I475" s="6">
        <f t="shared" si="73"/>
        <v>-9.279999999999999E-4</v>
      </c>
      <c r="J475" s="6">
        <f t="shared" si="73"/>
        <v>-9.279999999999999E-4</v>
      </c>
    </row>
    <row r="476" spans="1:12" x14ac:dyDescent="0.35">
      <c r="A476" s="6" t="s">
        <v>137</v>
      </c>
      <c r="B476" s="6">
        <f t="shared" si="72"/>
        <v>3.337288673084206E-4</v>
      </c>
      <c r="C476" s="6">
        <f t="shared" si="72"/>
        <v>-5.0494298123702206E-4</v>
      </c>
      <c r="D476" s="6">
        <f t="shared" si="72"/>
        <v>-6.6350885311152938E-4</v>
      </c>
      <c r="E476" s="6">
        <f t="shared" si="72"/>
        <v>1.1416197195825549E-4</v>
      </c>
      <c r="F476" s="6">
        <f t="shared" si="72"/>
        <v>-5.4423322385370421E-4</v>
      </c>
      <c r="G476" s="6">
        <f t="shared" si="72"/>
        <v>-6.7134193330766075E-4</v>
      </c>
      <c r="H476" s="6">
        <f t="shared" si="73"/>
        <v>5.7361821585479695E-4</v>
      </c>
      <c r="I476" s="6">
        <f t="shared" si="73"/>
        <v>4.5191652365878887E-4</v>
      </c>
      <c r="J476" s="6">
        <f t="shared" si="73"/>
        <v>3.5635339086070183E-4</v>
      </c>
    </row>
  </sheetData>
  <mergeCells count="3">
    <mergeCell ref="A432:K432"/>
    <mergeCell ref="A446:K446"/>
    <mergeCell ref="A461:K461"/>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9F140-D3BB-47A6-9FB1-0E7EFD511CDC}">
  <sheetPr>
    <tabColor theme="5" tint="-0.249977111117893"/>
  </sheetPr>
  <dimension ref="A1:BA476"/>
  <sheetViews>
    <sheetView topLeftCell="V1" zoomScale="60" zoomScaleNormal="60" workbookViewId="0">
      <selection activeCell="AG34" sqref="AG34"/>
    </sheetView>
  </sheetViews>
  <sheetFormatPr defaultColWidth="8.54296875" defaultRowHeight="14.5" outlineLevelRow="1" x14ac:dyDescent="0.35"/>
  <cols>
    <col min="1" max="1" width="37.54296875" style="6" customWidth="1"/>
    <col min="2" max="2" width="16.453125" style="6" bestFit="1" customWidth="1"/>
    <col min="3" max="14" width="10.54296875" style="6" bestFit="1" customWidth="1"/>
    <col min="15" max="16" width="10.1796875" style="6" bestFit="1" customWidth="1"/>
    <col min="17" max="24" width="10.54296875" style="6" bestFit="1" customWidth="1"/>
    <col min="25" max="25" width="10.1796875" style="6" bestFit="1" customWidth="1"/>
    <col min="26" max="26" width="16.453125" style="6" bestFit="1" customWidth="1"/>
    <col min="27" max="27" width="8.54296875" style="6"/>
    <col min="28" max="28" width="35" style="6" bestFit="1" customWidth="1"/>
    <col min="29" max="29" width="16.453125" style="6" bestFit="1" customWidth="1"/>
    <col min="30" max="53" width="12.81640625" style="6" bestFit="1" customWidth="1"/>
    <col min="54" max="16384" width="8.54296875" style="6"/>
  </cols>
  <sheetData>
    <row r="1" spans="1:53" s="139" customFormat="1" ht="21" x14ac:dyDescent="0.5">
      <c r="A1" s="138" t="s">
        <v>691</v>
      </c>
    </row>
    <row r="2" spans="1:53" s="221" customFormat="1" ht="21" x14ac:dyDescent="0.5">
      <c r="A2" s="229" t="s">
        <v>849</v>
      </c>
    </row>
    <row r="3" spans="1:53" s="18" customFormat="1" ht="21" x14ac:dyDescent="0.5">
      <c r="A3" s="18" t="s">
        <v>72</v>
      </c>
    </row>
    <row r="4" spans="1:53" s="20" customFormat="1" outlineLevel="1" x14ac:dyDescent="0.35">
      <c r="A4" s="19" t="s">
        <v>767</v>
      </c>
    </row>
    <row r="5" spans="1:53" s="16" customFormat="1" outlineLevel="1" x14ac:dyDescent="0.35">
      <c r="A5" s="21"/>
      <c r="AA5" s="15"/>
      <c r="AB5" s="15" t="s">
        <v>143</v>
      </c>
      <c r="AC5" s="16">
        <f>0.0000000028+0.0000000000000765</f>
        <v>2.8000764999999998E-9</v>
      </c>
      <c r="AD5" s="16" t="s">
        <v>916</v>
      </c>
      <c r="AE5" s="15" t="s">
        <v>714</v>
      </c>
    </row>
    <row r="6" spans="1:53" s="16" customFormat="1" outlineLevel="1" x14ac:dyDescent="0.35">
      <c r="A6" s="22" t="s">
        <v>917</v>
      </c>
      <c r="AC6" s="16">
        <f>AC5*1000</f>
        <v>2.8000765E-6</v>
      </c>
      <c r="AD6" s="16" t="s">
        <v>918</v>
      </c>
    </row>
    <row r="7" spans="1:53" s="16" customFormat="1" outlineLevel="1" x14ac:dyDescent="0.35">
      <c r="A7" s="22"/>
      <c r="AB7" s="16" t="s">
        <v>127</v>
      </c>
      <c r="AC7" s="16">
        <v>100</v>
      </c>
      <c r="AD7" s="16" t="s">
        <v>128</v>
      </c>
    </row>
    <row r="8" spans="1:53" s="16" customFormat="1" outlineLevel="1" x14ac:dyDescent="0.35">
      <c r="A8" s="22"/>
      <c r="AB8" s="16" t="s">
        <v>129</v>
      </c>
      <c r="AC8" s="16">
        <v>25</v>
      </c>
      <c r="AD8" s="16" t="s">
        <v>130</v>
      </c>
    </row>
    <row r="9" spans="1:53" outlineLevel="1" x14ac:dyDescent="0.35">
      <c r="B9" s="25">
        <v>2030</v>
      </c>
      <c r="C9" s="25">
        <v>2031</v>
      </c>
      <c r="D9" s="25">
        <v>2032</v>
      </c>
      <c r="E9" s="25">
        <v>2033</v>
      </c>
      <c r="F9" s="25">
        <v>2034</v>
      </c>
      <c r="G9" s="25">
        <v>2035</v>
      </c>
      <c r="H9" s="25">
        <v>2036</v>
      </c>
      <c r="I9" s="25">
        <v>2037</v>
      </c>
      <c r="J9" s="25">
        <v>2038</v>
      </c>
      <c r="K9" s="25">
        <v>2039</v>
      </c>
      <c r="L9" s="25">
        <v>2040</v>
      </c>
      <c r="M9" s="25">
        <v>2041</v>
      </c>
      <c r="N9" s="25">
        <v>2042</v>
      </c>
      <c r="O9" s="25">
        <v>2043</v>
      </c>
      <c r="P9" s="25">
        <v>2044</v>
      </c>
      <c r="Q9" s="25">
        <v>2045</v>
      </c>
      <c r="R9" s="25">
        <v>2046</v>
      </c>
      <c r="S9" s="25">
        <v>2047</v>
      </c>
      <c r="T9" s="25">
        <v>2048</v>
      </c>
      <c r="U9" s="25">
        <v>2049</v>
      </c>
      <c r="V9" s="25">
        <v>2050</v>
      </c>
      <c r="W9" s="25">
        <v>2051</v>
      </c>
      <c r="X9" s="25">
        <v>2052</v>
      </c>
      <c r="Y9" s="25">
        <v>2053</v>
      </c>
      <c r="Z9" s="25">
        <v>2054</v>
      </c>
      <c r="AC9" s="25">
        <v>2030</v>
      </c>
      <c r="AD9" s="25">
        <v>2031</v>
      </c>
      <c r="AE9" s="25">
        <v>2032</v>
      </c>
      <c r="AF9" s="25">
        <v>2033</v>
      </c>
      <c r="AG9" s="25">
        <v>2034</v>
      </c>
      <c r="AH9" s="25">
        <v>2035</v>
      </c>
      <c r="AI9" s="25">
        <v>2036</v>
      </c>
      <c r="AJ9" s="25">
        <v>2037</v>
      </c>
      <c r="AK9" s="25">
        <v>2038</v>
      </c>
      <c r="AL9" s="25">
        <v>2039</v>
      </c>
      <c r="AM9" s="25">
        <v>2040</v>
      </c>
      <c r="AN9" s="25">
        <v>2041</v>
      </c>
      <c r="AO9" s="25">
        <v>2042</v>
      </c>
      <c r="AP9" s="25">
        <v>2043</v>
      </c>
      <c r="AQ9" s="25">
        <v>2044</v>
      </c>
      <c r="AR9" s="25">
        <v>2045</v>
      </c>
      <c r="AS9" s="25">
        <v>2046</v>
      </c>
      <c r="AT9" s="25">
        <v>2047</v>
      </c>
      <c r="AU9" s="25">
        <v>2048</v>
      </c>
      <c r="AV9" s="25">
        <v>2049</v>
      </c>
      <c r="AW9" s="25">
        <v>2050</v>
      </c>
      <c r="AX9" s="25">
        <v>2051</v>
      </c>
      <c r="AY9" s="25">
        <v>2052</v>
      </c>
      <c r="AZ9" s="25">
        <v>2053</v>
      </c>
      <c r="BA9" s="25">
        <v>2054</v>
      </c>
    </row>
    <row r="10" spans="1:53" outlineLevel="1" x14ac:dyDescent="0.35">
      <c r="A10" s="6" t="s">
        <v>21</v>
      </c>
      <c r="B10" s="6">
        <f>'Results - raw data ReCiPe (H)'!AC5</f>
        <v>3.4065629385513331E-6</v>
      </c>
      <c r="AB10" s="6" t="s">
        <v>117</v>
      </c>
      <c r="AC10" s="6">
        <f>SUM(B10:B21)+B23</f>
        <v>1.9467533260507852E-4</v>
      </c>
    </row>
    <row r="11" spans="1:53" outlineLevel="1" x14ac:dyDescent="0.35">
      <c r="A11" s="6" t="s">
        <v>23</v>
      </c>
      <c r="B11" s="6">
        <f>'Results - raw data ReCiPe (H)'!AC6</f>
        <v>5.9775544476410673E-6</v>
      </c>
      <c r="AB11" s="6" t="s">
        <v>118</v>
      </c>
      <c r="AC11" s="6">
        <f>B22</f>
        <v>1.1362073373089257E-5</v>
      </c>
    </row>
    <row r="12" spans="1:53" outlineLevel="1" x14ac:dyDescent="0.35">
      <c r="A12" s="6" t="s">
        <v>26</v>
      </c>
      <c r="B12" s="6">
        <f>'Results - raw data ReCiPe (H)'!AC7</f>
        <v>1.5280120239729288E-5</v>
      </c>
      <c r="AB12" s="6" t="s">
        <v>119</v>
      </c>
      <c r="BA12" s="6">
        <f>SUM(Z24:Z35)</f>
        <v>2.8327516247168551E-6</v>
      </c>
    </row>
    <row r="13" spans="1:53" outlineLevel="1" x14ac:dyDescent="0.35">
      <c r="A13" s="6" t="s">
        <v>28</v>
      </c>
      <c r="B13" s="6">
        <f>'Results - raw data ReCiPe (H)'!AC8</f>
        <v>1.237356434915746E-5</v>
      </c>
      <c r="AB13" s="6" t="s">
        <v>120</v>
      </c>
      <c r="BA13" s="6">
        <f>Z36</f>
        <v>9.2615556283479631E-8</v>
      </c>
    </row>
    <row r="14" spans="1:53" outlineLevel="1" x14ac:dyDescent="0.35">
      <c r="A14" s="6" t="s">
        <v>29</v>
      </c>
      <c r="B14" s="6">
        <f>'Results - raw data ReCiPe (H)'!AC9</f>
        <v>9.6467851095061977E-6</v>
      </c>
      <c r="AB14" s="6" t="s">
        <v>121</v>
      </c>
      <c r="AC14" s="6">
        <f>B37</f>
        <v>4.5446143489064019E-6</v>
      </c>
      <c r="AF14" s="6">
        <f>E37</f>
        <v>4.4990771841472508E-6</v>
      </c>
      <c r="AI14" s="6">
        <f>H37</f>
        <v>4.4904228129143327E-6</v>
      </c>
      <c r="AL14" s="6">
        <f>K37</f>
        <v>4.4944994140002021E-6</v>
      </c>
      <c r="AO14" s="6">
        <f>N37</f>
        <v>4.5214378334785092E-6</v>
      </c>
      <c r="AR14" s="6">
        <f>Q37</f>
        <v>4.5497134383595956E-6</v>
      </c>
      <c r="AU14" s="6">
        <f>T37</f>
        <v>4.4955793454683717E-6</v>
      </c>
      <c r="AX14" s="6">
        <f>W37</f>
        <v>4.4518098931988601E-6</v>
      </c>
      <c r="BA14" s="6">
        <f>Z37</f>
        <v>4.3615476020125354E-6</v>
      </c>
    </row>
    <row r="15" spans="1:53" outlineLevel="1" x14ac:dyDescent="0.35">
      <c r="A15" s="6" t="s">
        <v>31</v>
      </c>
      <c r="B15" s="6">
        <f>'Results - raw data ReCiPe (H)'!AC10</f>
        <v>7.490794425870649E-6</v>
      </c>
      <c r="AB15" s="6" t="s">
        <v>122</v>
      </c>
      <c r="AC15" s="6">
        <f>B40+B39</f>
        <v>1.5920555991974649E-4</v>
      </c>
      <c r="AD15" s="6">
        <f t="shared" ref="AD15:BA15" si="0">C40+C39</f>
        <v>1.5859027360308589E-4</v>
      </c>
      <c r="AE15" s="6">
        <f t="shared" si="0"/>
        <v>1.5797337276137659E-4</v>
      </c>
      <c r="AF15" s="6">
        <f t="shared" si="0"/>
        <v>1.572254907913862E-4</v>
      </c>
      <c r="AG15" s="6">
        <f t="shared" si="0"/>
        <v>1.5660366017830599E-4</v>
      </c>
      <c r="AH15" s="6">
        <f t="shared" si="0"/>
        <v>1.5597967989555838E-4</v>
      </c>
      <c r="AI15" s="6">
        <f t="shared" si="0"/>
        <v>1.670822608839831E-4</v>
      </c>
      <c r="AJ15" s="6">
        <f t="shared" si="0"/>
        <v>1.781692607581189E-4</v>
      </c>
      <c r="AK15" s="6">
        <f t="shared" si="0"/>
        <v>1.8916451889116779E-4</v>
      </c>
      <c r="AL15" s="6">
        <f t="shared" si="0"/>
        <v>2.002330591974372E-4</v>
      </c>
      <c r="AM15" s="6">
        <f t="shared" si="0"/>
        <v>2.1128054377896619E-4</v>
      </c>
      <c r="AN15" s="6">
        <f t="shared" si="0"/>
        <v>2.3211425384718858E-4</v>
      </c>
      <c r="AO15" s="6">
        <f t="shared" si="0"/>
        <v>2.5300220548370649E-4</v>
      </c>
      <c r="AP15" s="6">
        <f t="shared" si="0"/>
        <v>2.7393031315185381E-4</v>
      </c>
      <c r="AQ15" s="6">
        <f t="shared" si="0"/>
        <v>2.9493631770013121E-4</v>
      </c>
      <c r="AR15" s="6">
        <f t="shared" si="0"/>
        <v>3.160065837364855E-4</v>
      </c>
      <c r="AS15" s="6">
        <f t="shared" si="0"/>
        <v>3.1826920214883341E-4</v>
      </c>
      <c r="AT15" s="6">
        <f t="shared" si="0"/>
        <v>3.2055707191781731E-4</v>
      </c>
      <c r="AU15" s="6">
        <f t="shared" si="0"/>
        <v>3.2285076714382098E-4</v>
      </c>
      <c r="AV15" s="6">
        <f t="shared" si="0"/>
        <v>3.2518167321633171E-4</v>
      </c>
      <c r="AW15" s="6">
        <f t="shared" si="0"/>
        <v>3.2753064165504488E-4</v>
      </c>
      <c r="AX15" s="6">
        <f t="shared" si="0"/>
        <v>3.2324713149420558E-4</v>
      </c>
      <c r="AY15" s="6">
        <f t="shared" si="0"/>
        <v>3.1409168339007588E-4</v>
      </c>
      <c r="AZ15" s="6">
        <f t="shared" si="0"/>
        <v>3.0490425528419628E-4</v>
      </c>
      <c r="BA15" s="6">
        <f t="shared" si="0"/>
        <v>2.9568457784293501E-4</v>
      </c>
    </row>
    <row r="16" spans="1:53" outlineLevel="1" x14ac:dyDescent="0.35">
      <c r="A16" s="6" t="s">
        <v>34</v>
      </c>
      <c r="B16" s="6">
        <f>'Results - raw data ReCiPe (H)'!AC11</f>
        <v>5.3054904136133011E-6</v>
      </c>
      <c r="AB16" s="6" t="s">
        <v>123</v>
      </c>
      <c r="AC16" s="6">
        <f>B38</f>
        <v>1.3825122680617771E-5</v>
      </c>
      <c r="AD16" s="6">
        <f t="shared" ref="AD16:BA16" si="1">C38</f>
        <v>1.3759902917927412E-5</v>
      </c>
      <c r="AE16" s="6">
        <f t="shared" si="1"/>
        <v>1.3694695617310542E-5</v>
      </c>
      <c r="AF16" s="6">
        <f t="shared" si="1"/>
        <v>1.3617655193569548E-5</v>
      </c>
      <c r="AG16" s="6">
        <f t="shared" si="1"/>
        <v>1.3552331207114361E-5</v>
      </c>
      <c r="AH16" s="6">
        <f t="shared" si="1"/>
        <v>1.3486973750625351E-5</v>
      </c>
      <c r="AI16" s="6">
        <f t="shared" si="1"/>
        <v>1.4313664737331181E-5</v>
      </c>
      <c r="AJ16" s="6">
        <f t="shared" si="1"/>
        <v>1.5136824316444241E-5</v>
      </c>
      <c r="AK16" s="6">
        <f t="shared" si="1"/>
        <v>1.594954476916694E-5</v>
      </c>
      <c r="AL16" s="6">
        <f t="shared" si="1"/>
        <v>1.6766620597628698E-5</v>
      </c>
      <c r="AM16" s="6">
        <f t="shared" si="1"/>
        <v>1.7579759164313812E-5</v>
      </c>
      <c r="AN16" s="6">
        <f t="shared" si="1"/>
        <v>1.9131079108679199E-5</v>
      </c>
      <c r="AO16" s="6">
        <f t="shared" si="1"/>
        <v>2.0682926523569119E-5</v>
      </c>
      <c r="AP16" s="6">
        <f t="shared" si="1"/>
        <v>2.2233908314421181E-5</v>
      </c>
      <c r="AQ16" s="6">
        <f t="shared" si="1"/>
        <v>2.378751299496791E-5</v>
      </c>
      <c r="AR16" s="6">
        <f t="shared" si="1"/>
        <v>2.5342366243447142E-5</v>
      </c>
      <c r="AS16" s="6">
        <f t="shared" si="1"/>
        <v>2.5487750432641492E-5</v>
      </c>
      <c r="AT16" s="6">
        <f t="shared" si="1"/>
        <v>2.563465488967339E-5</v>
      </c>
      <c r="AU16" s="6">
        <f t="shared" si="1"/>
        <v>2.5781291549539742E-5</v>
      </c>
      <c r="AV16" s="6">
        <f t="shared" si="1"/>
        <v>2.5930678861789619E-5</v>
      </c>
      <c r="AW16" s="6">
        <f t="shared" si="1"/>
        <v>2.608104393707787E-5</v>
      </c>
      <c r="AX16" s="6">
        <f t="shared" si="1"/>
        <v>2.5723849614526909E-5</v>
      </c>
      <c r="AY16" s="6">
        <f t="shared" si="1"/>
        <v>2.4995945771477489E-5</v>
      </c>
      <c r="AZ16" s="6">
        <f t="shared" si="1"/>
        <v>2.4268367166794739E-5</v>
      </c>
      <c r="BA16" s="6">
        <f t="shared" si="1"/>
        <v>2.3541100195586112E-5</v>
      </c>
    </row>
    <row r="17" spans="1:53" outlineLevel="1" x14ac:dyDescent="0.35">
      <c r="A17" s="6" t="s">
        <v>36</v>
      </c>
      <c r="B17" s="6">
        <f>'Results - raw data ReCiPe (H)'!AC12</f>
        <v>4.5452790891056938E-6</v>
      </c>
      <c r="AB17" s="6" t="s">
        <v>124</v>
      </c>
      <c r="AC17" s="6">
        <f>-$AC$7*$AC$6</f>
        <v>-2.8000764999999998E-4</v>
      </c>
      <c r="AD17" s="6">
        <f t="shared" ref="AD17:BA17" si="2">-$AC$7*$AC$6</f>
        <v>-2.8000764999999998E-4</v>
      </c>
      <c r="AE17" s="6">
        <f t="shared" si="2"/>
        <v>-2.8000764999999998E-4</v>
      </c>
      <c r="AF17" s="6">
        <f t="shared" si="2"/>
        <v>-2.8000764999999998E-4</v>
      </c>
      <c r="AG17" s="6">
        <f t="shared" si="2"/>
        <v>-2.8000764999999998E-4</v>
      </c>
      <c r="AH17" s="6">
        <f t="shared" si="2"/>
        <v>-2.8000764999999998E-4</v>
      </c>
      <c r="AI17" s="6">
        <f t="shared" si="2"/>
        <v>-2.8000764999999998E-4</v>
      </c>
      <c r="AJ17" s="6">
        <f t="shared" si="2"/>
        <v>-2.8000764999999998E-4</v>
      </c>
      <c r="AK17" s="6">
        <f t="shared" si="2"/>
        <v>-2.8000764999999998E-4</v>
      </c>
      <c r="AL17" s="6">
        <f t="shared" si="2"/>
        <v>-2.8000764999999998E-4</v>
      </c>
      <c r="AM17" s="6">
        <f t="shared" si="2"/>
        <v>-2.8000764999999998E-4</v>
      </c>
      <c r="AN17" s="6">
        <f t="shared" si="2"/>
        <v>-2.8000764999999998E-4</v>
      </c>
      <c r="AO17" s="6">
        <f t="shared" si="2"/>
        <v>-2.8000764999999998E-4</v>
      </c>
      <c r="AP17" s="6">
        <f t="shared" si="2"/>
        <v>-2.8000764999999998E-4</v>
      </c>
      <c r="AQ17" s="6">
        <f t="shared" si="2"/>
        <v>-2.8000764999999998E-4</v>
      </c>
      <c r="AR17" s="6">
        <f t="shared" si="2"/>
        <v>-2.8000764999999998E-4</v>
      </c>
      <c r="AS17" s="6">
        <f t="shared" si="2"/>
        <v>-2.8000764999999998E-4</v>
      </c>
      <c r="AT17" s="6">
        <f t="shared" si="2"/>
        <v>-2.8000764999999998E-4</v>
      </c>
      <c r="AU17" s="6">
        <f t="shared" si="2"/>
        <v>-2.8000764999999998E-4</v>
      </c>
      <c r="AV17" s="6">
        <f t="shared" si="2"/>
        <v>-2.8000764999999998E-4</v>
      </c>
      <c r="AW17" s="6">
        <f t="shared" si="2"/>
        <v>-2.8000764999999998E-4</v>
      </c>
      <c r="AX17" s="6">
        <f t="shared" si="2"/>
        <v>-2.8000764999999998E-4</v>
      </c>
      <c r="AY17" s="6">
        <f t="shared" si="2"/>
        <v>-2.8000764999999998E-4</v>
      </c>
      <c r="AZ17" s="6">
        <f t="shared" si="2"/>
        <v>-2.8000764999999998E-4</v>
      </c>
      <c r="BA17" s="6">
        <f t="shared" si="2"/>
        <v>-2.8000764999999998E-4</v>
      </c>
    </row>
    <row r="18" spans="1:53" outlineLevel="1" x14ac:dyDescent="0.35">
      <c r="A18" s="6" t="s">
        <v>38</v>
      </c>
      <c r="B18" s="6">
        <f>'Results - raw data ReCiPe (H)'!AC13</f>
        <v>2.519681743962088E-5</v>
      </c>
      <c r="AB18" s="23" t="s">
        <v>125</v>
      </c>
      <c r="AC18" s="17">
        <f>SUM(AC10:AC17)</f>
        <v>1.0360505292743841E-4</v>
      </c>
      <c r="AD18" s="17">
        <f t="shared" ref="AD18:BA18" si="3">SUM(AD10:AD17)</f>
        <v>-1.0765747347898669E-4</v>
      </c>
      <c r="AE18" s="17">
        <f t="shared" si="3"/>
        <v>-1.0833958162131285E-4</v>
      </c>
      <c r="AF18" s="17">
        <f>SUM(AF10:AF17)</f>
        <v>-1.04665426830897E-4</v>
      </c>
      <c r="AG18" s="17">
        <f t="shared" si="3"/>
        <v>-1.0985165861457962E-4</v>
      </c>
      <c r="AH18" s="17">
        <f t="shared" si="3"/>
        <v>-1.1054099635381625E-4</v>
      </c>
      <c r="AI18" s="17">
        <f>SUM(AI10:AI17)</f>
        <v>-9.4121301565771367E-5</v>
      </c>
      <c r="AJ18" s="17">
        <f t="shared" si="3"/>
        <v>-8.6701564925436843E-5</v>
      </c>
      <c r="AK18" s="17">
        <f t="shared" si="3"/>
        <v>-7.4893586339665246E-5</v>
      </c>
      <c r="AL18" s="17">
        <f t="shared" si="3"/>
        <v>-5.851347079093388E-5</v>
      </c>
      <c r="AM18" s="17">
        <f t="shared" si="3"/>
        <v>-5.1147347056719982E-5</v>
      </c>
      <c r="AN18" s="17">
        <f t="shared" si="3"/>
        <v>-2.8762317044132206E-5</v>
      </c>
      <c r="AO18" s="17">
        <f t="shared" si="3"/>
        <v>-1.801080159245837E-6</v>
      </c>
      <c r="AP18" s="17">
        <f t="shared" si="3"/>
        <v>1.6156571466274989E-5</v>
      </c>
      <c r="AQ18" s="17">
        <f t="shared" si="3"/>
        <v>3.8716180695099129E-5</v>
      </c>
      <c r="AR18" s="17">
        <f t="shared" si="3"/>
        <v>6.5891013418292298E-5</v>
      </c>
      <c r="AS18" s="17">
        <f t="shared" si="3"/>
        <v>6.3749302581474947E-5</v>
      </c>
      <c r="AT18" s="17">
        <f t="shared" si="3"/>
        <v>6.6184076807490708E-5</v>
      </c>
      <c r="AU18" s="17">
        <f t="shared" si="3"/>
        <v>7.31199880388291E-5</v>
      </c>
      <c r="AV18" s="17">
        <f t="shared" si="3"/>
        <v>7.1104702078121336E-5</v>
      </c>
      <c r="AW18" s="17">
        <f t="shared" si="3"/>
        <v>7.3604035592122791E-5</v>
      </c>
      <c r="AX18" s="17">
        <f t="shared" si="3"/>
        <v>7.3415141001931391E-5</v>
      </c>
      <c r="AY18" s="17">
        <f t="shared" si="3"/>
        <v>5.9079979161553401E-5</v>
      </c>
      <c r="AZ18" s="17">
        <f t="shared" si="3"/>
        <v>4.9164972450991022E-5</v>
      </c>
      <c r="BA18" s="17">
        <f t="shared" si="3"/>
        <v>4.6504942821534007E-5</v>
      </c>
    </row>
    <row r="19" spans="1:53" outlineLevel="1" x14ac:dyDescent="0.35">
      <c r="A19" s="6" t="s">
        <v>39</v>
      </c>
      <c r="B19" s="6">
        <f>'Results - raw data ReCiPe (H)'!AC14</f>
        <v>7.3235179910091571E-5</v>
      </c>
    </row>
    <row r="20" spans="1:53" outlineLevel="1" x14ac:dyDescent="0.35">
      <c r="A20" s="6" t="s">
        <v>41</v>
      </c>
      <c r="B20" s="6">
        <f>'Results - raw data ReCiPe (H)'!AC15</f>
        <v>7.5090323051228674E-7</v>
      </c>
    </row>
    <row r="21" spans="1:53" outlineLevel="1" x14ac:dyDescent="0.35">
      <c r="A21" s="6" t="s">
        <v>43</v>
      </c>
      <c r="B21" s="6">
        <f>'Results - raw data ReCiPe (H)'!AC16</f>
        <v>2.0497787420389352E-6</v>
      </c>
      <c r="AB21" s="187"/>
      <c r="AC21" s="187"/>
      <c r="AD21" s="187"/>
      <c r="AE21" s="187"/>
      <c r="AF21" s="187"/>
      <c r="AG21" s="187"/>
      <c r="AH21" s="187"/>
      <c r="AI21" s="187"/>
      <c r="AJ21" s="187"/>
      <c r="AK21" s="187"/>
      <c r="AL21" s="187"/>
      <c r="AM21" s="187"/>
      <c r="AN21" s="187"/>
      <c r="AO21" s="187"/>
      <c r="AP21" s="187"/>
      <c r="AQ21" s="187"/>
      <c r="AR21" s="187"/>
      <c r="AS21" s="187"/>
      <c r="AT21" s="187"/>
      <c r="AU21" s="187"/>
      <c r="AV21" s="187"/>
      <c r="AW21" s="187"/>
      <c r="AX21" s="187"/>
      <c r="AY21" s="187"/>
      <c r="AZ21" s="187"/>
      <c r="BA21" s="187"/>
    </row>
    <row r="22" spans="1:53" outlineLevel="1" x14ac:dyDescent="0.35">
      <c r="A22" s="6" t="s">
        <v>44</v>
      </c>
      <c r="B22" s="6">
        <f>'Results - raw data ReCiPe (H)'!AC17*AC7*AC8</f>
        <v>1.1362073373089257E-5</v>
      </c>
      <c r="AB22" s="187"/>
      <c r="AC22" s="187"/>
      <c r="AD22" s="187"/>
      <c r="AE22" s="187"/>
      <c r="AF22" s="187"/>
      <c r="AG22" s="187"/>
      <c r="AH22" s="187"/>
      <c r="AI22" s="187"/>
      <c r="AJ22" s="187"/>
      <c r="AK22" s="187"/>
      <c r="AL22" s="187"/>
      <c r="AM22" s="187"/>
      <c r="AN22" s="187"/>
      <c r="AO22" s="187"/>
      <c r="AP22" s="187"/>
      <c r="AQ22" s="187"/>
      <c r="AR22" s="187"/>
      <c r="AS22" s="187"/>
      <c r="AT22" s="187"/>
      <c r="AU22" s="187"/>
      <c r="AV22" s="187"/>
      <c r="AW22" s="187"/>
      <c r="AX22" s="187"/>
      <c r="AY22" s="187"/>
      <c r="AZ22" s="187"/>
      <c r="BA22" s="187"/>
    </row>
    <row r="23" spans="1:53" outlineLevel="1" x14ac:dyDescent="0.35">
      <c r="A23" s="6" t="s">
        <v>757</v>
      </c>
      <c r="B23" s="6">
        <f>'Results - raw data ReCiPe (H)'!AC18*AC7*AC8</f>
        <v>2.9416502269639851E-5</v>
      </c>
      <c r="AB23" s="187"/>
      <c r="AC23" s="187"/>
      <c r="AD23" s="187"/>
      <c r="AE23" s="187"/>
      <c r="AF23" s="187"/>
      <c r="AG23" s="187"/>
      <c r="AH23" s="187"/>
      <c r="AI23" s="187"/>
      <c r="AJ23" s="187"/>
      <c r="AK23" s="187"/>
      <c r="AL23" s="187"/>
      <c r="AM23" s="187"/>
      <c r="AN23" s="187"/>
      <c r="AO23" s="187"/>
      <c r="AP23" s="187"/>
      <c r="AQ23" s="187"/>
      <c r="AR23" s="187"/>
      <c r="AS23" s="187"/>
      <c r="AT23" s="187"/>
      <c r="AU23" s="187"/>
      <c r="AV23" s="187"/>
      <c r="AW23" s="187"/>
      <c r="AX23" s="187"/>
      <c r="AY23" s="187"/>
      <c r="AZ23" s="187"/>
      <c r="BA23" s="187"/>
    </row>
    <row r="24" spans="1:53" outlineLevel="1" x14ac:dyDescent="0.35">
      <c r="A24" s="6" t="s">
        <v>22</v>
      </c>
      <c r="Z24" s="6">
        <f>'Results - raw data ReCiPe (H)'!BA19</f>
        <v>6.2658793463083337E-8</v>
      </c>
      <c r="AB24" s="187"/>
      <c r="AC24" s="187"/>
      <c r="AD24" s="187"/>
      <c r="AE24" s="187"/>
      <c r="AF24" s="187"/>
      <c r="AG24" s="187"/>
      <c r="AH24" s="187"/>
      <c r="AI24" s="187"/>
      <c r="AJ24" s="187"/>
      <c r="AK24" s="187"/>
      <c r="AL24" s="187"/>
      <c r="AM24" s="187"/>
      <c r="AN24" s="187"/>
      <c r="AO24" s="187"/>
      <c r="AP24" s="187"/>
      <c r="AQ24" s="187"/>
      <c r="AR24" s="187"/>
      <c r="AS24" s="187"/>
      <c r="AT24" s="187"/>
      <c r="AU24" s="187"/>
      <c r="AV24" s="187"/>
      <c r="AW24" s="187"/>
      <c r="AX24" s="187"/>
      <c r="AY24" s="187"/>
      <c r="AZ24" s="187"/>
      <c r="BA24" s="187"/>
    </row>
    <row r="25" spans="1:53" outlineLevel="1" x14ac:dyDescent="0.35">
      <c r="A25" s="6" t="s">
        <v>24</v>
      </c>
      <c r="Z25" s="6">
        <f>'Results - raw data ReCiPe (H)'!BA20</f>
        <v>3.0939913639353121E-8</v>
      </c>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row>
    <row r="26" spans="1:53" outlineLevel="1" x14ac:dyDescent="0.35">
      <c r="A26" s="6" t="s">
        <v>25</v>
      </c>
      <c r="Z26" s="6">
        <f>'Results - raw data ReCiPe (H)'!BA21</f>
        <v>1.3113107499561001E-7</v>
      </c>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row>
    <row r="27" spans="1:53" outlineLevel="1" x14ac:dyDescent="0.35">
      <c r="A27" s="6" t="s">
        <v>27</v>
      </c>
      <c r="Z27" s="6">
        <f>'Results - raw data ReCiPe (H)'!BA22</f>
        <v>4.6156121953184779E-8</v>
      </c>
      <c r="AB27" s="187"/>
      <c r="AC27" s="187"/>
      <c r="AD27" s="187"/>
      <c r="AE27" s="187"/>
      <c r="AF27" s="187"/>
      <c r="AG27" s="187"/>
      <c r="AH27" s="187"/>
      <c r="AI27" s="187"/>
      <c r="AJ27" s="187"/>
      <c r="AK27" s="187"/>
      <c r="AL27" s="187"/>
      <c r="AM27" s="187"/>
      <c r="AN27" s="187"/>
      <c r="AO27" s="187"/>
      <c r="AP27" s="187"/>
      <c r="AQ27" s="187"/>
      <c r="AR27" s="187"/>
      <c r="AS27" s="187"/>
      <c r="AT27" s="187"/>
      <c r="AU27" s="187"/>
      <c r="AV27" s="187"/>
      <c r="AW27" s="187"/>
      <c r="AX27" s="187"/>
      <c r="AY27" s="187"/>
      <c r="AZ27" s="187"/>
      <c r="BA27" s="187"/>
    </row>
    <row r="28" spans="1:53" outlineLevel="1" x14ac:dyDescent="0.35">
      <c r="A28" s="6" t="s">
        <v>30</v>
      </c>
      <c r="Z28" s="6">
        <f>'Results - raw data ReCiPe (H)'!BA23</f>
        <v>8.2652845953532874E-8</v>
      </c>
      <c r="AB28" s="187"/>
      <c r="AC28" s="187"/>
      <c r="AD28" s="187"/>
      <c r="AE28" s="187"/>
      <c r="AF28" s="187"/>
      <c r="AG28" s="187"/>
      <c r="AH28" s="187"/>
      <c r="AI28" s="187"/>
      <c r="AJ28" s="187"/>
      <c r="AK28" s="187"/>
      <c r="AL28" s="187"/>
      <c r="AM28" s="187"/>
      <c r="AN28" s="187"/>
      <c r="AO28" s="187"/>
      <c r="AP28" s="187"/>
      <c r="AQ28" s="187"/>
      <c r="AR28" s="187"/>
      <c r="AS28" s="187"/>
      <c r="AT28" s="187"/>
      <c r="AU28" s="187"/>
      <c r="AV28" s="187"/>
      <c r="AW28" s="187"/>
      <c r="AX28" s="187"/>
      <c r="AY28" s="187"/>
      <c r="AZ28" s="187"/>
      <c r="BA28" s="187"/>
    </row>
    <row r="29" spans="1:53" outlineLevel="1" x14ac:dyDescent="0.35">
      <c r="A29" s="6" t="s">
        <v>32</v>
      </c>
      <c r="Z29" s="6">
        <f>'Results - raw data ReCiPe (H)'!BA24</f>
        <v>7.097868543756944E-9</v>
      </c>
      <c r="AB29" s="187"/>
      <c r="AC29" s="187"/>
      <c r="AD29" s="187"/>
      <c r="AE29" s="187"/>
      <c r="AF29" s="187"/>
      <c r="AG29" s="187"/>
      <c r="AH29" s="187"/>
      <c r="AI29" s="187"/>
      <c r="AJ29" s="187"/>
      <c r="AK29" s="187"/>
      <c r="AL29" s="187"/>
      <c r="AM29" s="187"/>
      <c r="AN29" s="187"/>
      <c r="AO29" s="187"/>
      <c r="AP29" s="187"/>
      <c r="AQ29" s="187"/>
      <c r="AR29" s="187"/>
      <c r="AS29" s="187"/>
      <c r="AT29" s="187"/>
      <c r="AU29" s="187"/>
      <c r="AV29" s="187"/>
      <c r="AW29" s="187"/>
      <c r="AX29" s="187"/>
      <c r="AY29" s="187"/>
      <c r="AZ29" s="187"/>
      <c r="BA29" s="187"/>
    </row>
    <row r="30" spans="1:53" outlineLevel="1" x14ac:dyDescent="0.35">
      <c r="A30" s="6" t="s">
        <v>33</v>
      </c>
      <c r="Z30" s="6">
        <f>'Results - raw data ReCiPe (H)'!BA25</f>
        <v>2.110830182896093E-8</v>
      </c>
      <c r="AB30" s="187"/>
      <c r="AC30" s="187"/>
      <c r="AD30" s="187"/>
      <c r="AE30" s="187"/>
      <c r="AF30" s="187"/>
      <c r="AG30" s="187"/>
      <c r="AH30" s="187"/>
      <c r="AI30" s="187"/>
      <c r="AJ30" s="187"/>
      <c r="AK30" s="187"/>
      <c r="AL30" s="187"/>
      <c r="AM30" s="187"/>
      <c r="AN30" s="187"/>
      <c r="AO30" s="187"/>
      <c r="AP30" s="187"/>
      <c r="AQ30" s="187"/>
      <c r="AR30" s="187"/>
      <c r="AS30" s="187"/>
      <c r="AT30" s="187"/>
      <c r="AU30" s="187"/>
      <c r="AV30" s="187"/>
      <c r="AW30" s="187"/>
      <c r="AX30" s="187"/>
      <c r="AY30" s="187"/>
      <c r="AZ30" s="187"/>
      <c r="BA30" s="187"/>
    </row>
    <row r="31" spans="1:53" outlineLevel="1" x14ac:dyDescent="0.35">
      <c r="A31" s="6" t="s">
        <v>35</v>
      </c>
      <c r="Z31" s="6">
        <f>'Results - raw data ReCiPe (H)'!BA26</f>
        <v>4.2216603657921873E-8</v>
      </c>
      <c r="AB31" s="187"/>
      <c r="AC31" s="187"/>
      <c r="AD31" s="187"/>
      <c r="AE31" s="187"/>
      <c r="AF31" s="187"/>
      <c r="AG31" s="187"/>
      <c r="AH31" s="187"/>
      <c r="AI31" s="187"/>
      <c r="AJ31" s="187"/>
      <c r="AK31" s="187"/>
      <c r="AL31" s="187"/>
      <c r="AM31" s="187"/>
      <c r="AN31" s="187"/>
      <c r="AO31" s="187"/>
      <c r="AP31" s="187"/>
      <c r="AQ31" s="187"/>
      <c r="AR31" s="187"/>
      <c r="AS31" s="187"/>
      <c r="AT31" s="187"/>
      <c r="AU31" s="187"/>
      <c r="AV31" s="187"/>
      <c r="AW31" s="187"/>
      <c r="AX31" s="187"/>
      <c r="AY31" s="187"/>
      <c r="AZ31" s="187"/>
      <c r="BA31" s="187"/>
    </row>
    <row r="32" spans="1:53" outlineLevel="1" x14ac:dyDescent="0.35">
      <c r="A32" s="6" t="s">
        <v>37</v>
      </c>
      <c r="Z32" s="6">
        <f>'Results - raw data ReCiPe (H)'!BA27</f>
        <v>1.160130193626278E-7</v>
      </c>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row>
    <row r="33" spans="1:53" outlineLevel="1" x14ac:dyDescent="0.35">
      <c r="A33" s="6" t="s">
        <v>40</v>
      </c>
      <c r="Z33" s="6">
        <f>'Results - raw data ReCiPe (H)'!BA28</f>
        <v>9.5709423987073597E-7</v>
      </c>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row>
    <row r="34" spans="1:53" outlineLevel="1" x14ac:dyDescent="0.35">
      <c r="A34" s="6" t="s">
        <v>42</v>
      </c>
      <c r="Z34" s="6">
        <f>'Results - raw data ReCiPe (H)'!BA29</f>
        <v>1.7656694459384321E-7</v>
      </c>
    </row>
    <row r="35" spans="1:53" outlineLevel="1" x14ac:dyDescent="0.35">
      <c r="A35" s="6" t="s">
        <v>115</v>
      </c>
      <c r="Z35" s="6">
        <f>'Results - raw data ReCiPe (H)'!BA30</f>
        <v>1.1591158968542441E-6</v>
      </c>
    </row>
    <row r="36" spans="1:53" outlineLevel="1" x14ac:dyDescent="0.35">
      <c r="A36" s="6" t="s">
        <v>45</v>
      </c>
      <c r="Z36" s="6">
        <f>'Results - raw data ReCiPe (H)'!BA31*AC7*AC8</f>
        <v>9.2615556283479631E-8</v>
      </c>
    </row>
    <row r="37" spans="1:53" outlineLevel="1" x14ac:dyDescent="0.35">
      <c r="A37" s="6" t="s">
        <v>116</v>
      </c>
      <c r="B37" s="6">
        <f>'Results - raw data ReCiPe (H)'!AC32</f>
        <v>4.5446143489064019E-6</v>
      </c>
      <c r="C37" s="6">
        <f>'Results - raw data ReCiPe (H)'!AD32</f>
        <v>4.5375318532980086E-6</v>
      </c>
      <c r="D37" s="6">
        <f>'Results - raw data ReCiPe (H)'!AE32</f>
        <v>4.5304734340900244E-6</v>
      </c>
      <c r="E37" s="6">
        <f>'Results - raw data ReCiPe (H)'!AF32</f>
        <v>4.4990771841472508E-6</v>
      </c>
      <c r="F37" s="6">
        <f>'Results - raw data ReCiPe (H)'!AG32</f>
        <v>4.4919915866917474E-6</v>
      </c>
      <c r="G37" s="6">
        <f>'Results - raw data ReCiPe (H)'!AH32</f>
        <v>4.4849171952101174E-6</v>
      </c>
      <c r="H37" s="6">
        <f>'Results - raw data ReCiPe (H)'!AI32</f>
        <v>4.4904228129143327E-6</v>
      </c>
      <c r="I37" s="6">
        <f>'Results - raw data ReCiPe (H)'!AJ32</f>
        <v>4.4959352490022174E-6</v>
      </c>
      <c r="J37" s="6">
        <f>'Results - raw data ReCiPe (H)'!AK32</f>
        <v>4.4889268251604726E-6</v>
      </c>
      <c r="K37" s="6">
        <f>'Results - raw data ReCiPe (H)'!AL32</f>
        <v>4.4944994140002021E-6</v>
      </c>
      <c r="L37" s="6">
        <f>'Results - raw data ReCiPe (H)'!AM32</f>
        <v>4.5000640197401953E-6</v>
      </c>
      <c r="M37" s="6">
        <f>'Results - raw data ReCiPe (H)'!AN32</f>
        <v>4.5107792253624839E-6</v>
      </c>
      <c r="N37" s="6">
        <f>'Results - raw data ReCiPe (H)'!AO32</f>
        <v>4.5214378334785092E-6</v>
      </c>
      <c r="O37" s="6">
        <f>'Results - raw data ReCiPe (H)'!AP32</f>
        <v>4.5283096521643754E-6</v>
      </c>
      <c r="P37" s="6">
        <f>'Results - raw data ReCiPe (H)'!AQ32</f>
        <v>4.5390097879665774E-6</v>
      </c>
      <c r="Q37" s="6">
        <f>'Results - raw data ReCiPe (H)'!AR32</f>
        <v>4.5497134383595956E-6</v>
      </c>
      <c r="R37" s="6">
        <f>'Results - raw data ReCiPe (H)'!AS32</f>
        <v>4.5331460721649742E-6</v>
      </c>
      <c r="S37" s="6">
        <f>'Results - raw data ReCiPe (H)'!AT32</f>
        <v>4.5163606296090708E-6</v>
      </c>
      <c r="T37" s="6">
        <f>'Results - raw data ReCiPe (H)'!AU32</f>
        <v>4.4955793454683717E-6</v>
      </c>
      <c r="U37" s="6">
        <f>'Results - raw data ReCiPe (H)'!AV32</f>
        <v>4.4784778933645077E-6</v>
      </c>
      <c r="V37" s="6">
        <f>'Results - raw data ReCiPe (H)'!AW32</f>
        <v>4.4612376012212993E-6</v>
      </c>
      <c r="W37" s="6">
        <f>'Results - raw data ReCiPe (H)'!AX32</f>
        <v>4.4518098931988601E-6</v>
      </c>
      <c r="X37" s="6">
        <f>'Results - raw data ReCiPe (H)'!AY32</f>
        <v>4.4218886582910254E-6</v>
      </c>
      <c r="Y37" s="6">
        <f>'Results - raw data ReCiPe (H)'!AZ32</f>
        <v>4.3918023831125164E-6</v>
      </c>
      <c r="Z37" s="6">
        <f>'Results - raw data ReCiPe (H)'!BA32</f>
        <v>4.3615476020125354E-6</v>
      </c>
    </row>
    <row r="38" spans="1:53" outlineLevel="1" x14ac:dyDescent="0.35">
      <c r="A38" s="6" t="s">
        <v>758</v>
      </c>
      <c r="B38" s="6">
        <f>'Results - raw data ReCiPe (H)'!AC33*$AC$7</f>
        <v>1.3825122680617771E-5</v>
      </c>
      <c r="C38" s="6">
        <f>'Results - raw data ReCiPe (H)'!AD33*$AC$7</f>
        <v>1.3759902917927412E-5</v>
      </c>
      <c r="D38" s="6">
        <f>'Results - raw data ReCiPe (H)'!AE33*$AC$7</f>
        <v>1.3694695617310542E-5</v>
      </c>
      <c r="E38" s="6">
        <f>'Results - raw data ReCiPe (H)'!AF33*$AC$7</f>
        <v>1.3617655193569548E-5</v>
      </c>
      <c r="F38" s="6">
        <f>'Results - raw data ReCiPe (H)'!AG33*$AC$7</f>
        <v>1.3552331207114361E-5</v>
      </c>
      <c r="G38" s="6">
        <f>'Results - raw data ReCiPe (H)'!AH33*$AC$7</f>
        <v>1.3486973750625351E-5</v>
      </c>
      <c r="H38" s="6">
        <f>'Results - raw data ReCiPe (H)'!AI33*$AC$7</f>
        <v>1.4313664737331181E-5</v>
      </c>
      <c r="I38" s="6">
        <f>'Results - raw data ReCiPe (H)'!AJ33*$AC$7</f>
        <v>1.5136824316444241E-5</v>
      </c>
      <c r="J38" s="6">
        <f>'Results - raw data ReCiPe (H)'!AK33*$AC$7</f>
        <v>1.594954476916694E-5</v>
      </c>
      <c r="K38" s="6">
        <f>'Results - raw data ReCiPe (H)'!AL33*$AC$7</f>
        <v>1.6766620597628698E-5</v>
      </c>
      <c r="L38" s="6">
        <f>'Results - raw data ReCiPe (H)'!AM33*$AC$7</f>
        <v>1.7579759164313812E-5</v>
      </c>
      <c r="M38" s="6">
        <f>'Results - raw data ReCiPe (H)'!AN33*$AC$7</f>
        <v>1.9131079108679199E-5</v>
      </c>
      <c r="N38" s="6">
        <f>'Results - raw data ReCiPe (H)'!AO33*$AC$7</f>
        <v>2.0682926523569119E-5</v>
      </c>
      <c r="O38" s="6">
        <f>'Results - raw data ReCiPe (H)'!AP33*$AC$7</f>
        <v>2.2233908314421181E-5</v>
      </c>
      <c r="P38" s="6">
        <f>'Results - raw data ReCiPe (H)'!AQ33*$AC$7</f>
        <v>2.378751299496791E-5</v>
      </c>
      <c r="Q38" s="6">
        <f>'Results - raw data ReCiPe (H)'!AR33*$AC$7</f>
        <v>2.5342366243447142E-5</v>
      </c>
      <c r="R38" s="6">
        <f>'Results - raw data ReCiPe (H)'!AS33*$AC$7</f>
        <v>2.5487750432641492E-5</v>
      </c>
      <c r="S38" s="6">
        <f>'Results - raw data ReCiPe (H)'!AT33*$AC$7</f>
        <v>2.563465488967339E-5</v>
      </c>
      <c r="T38" s="6">
        <f>'Results - raw data ReCiPe (H)'!AU33*$AC$7</f>
        <v>2.5781291549539742E-5</v>
      </c>
      <c r="U38" s="6">
        <f>'Results - raw data ReCiPe (H)'!AV33*$AC$7</f>
        <v>2.5930678861789619E-5</v>
      </c>
      <c r="V38" s="6">
        <f>'Results - raw data ReCiPe (H)'!AW33*$AC$7</f>
        <v>2.608104393707787E-5</v>
      </c>
      <c r="W38" s="6">
        <f>'Results - raw data ReCiPe (H)'!AX33*$AC$7</f>
        <v>2.5723849614526909E-5</v>
      </c>
      <c r="X38" s="6">
        <f>'Results - raw data ReCiPe (H)'!AY33*$AC$7</f>
        <v>2.4995945771477489E-5</v>
      </c>
      <c r="Y38" s="6">
        <f>'Results - raw data ReCiPe (H)'!AZ33*$AC$7</f>
        <v>2.4268367166794739E-5</v>
      </c>
      <c r="Z38" s="6">
        <f>'Results - raw data ReCiPe (H)'!BA33*$AC$7</f>
        <v>2.3541100195586112E-5</v>
      </c>
    </row>
    <row r="39" spans="1:53" outlineLevel="1" x14ac:dyDescent="0.35">
      <c r="A39" s="6" t="s">
        <v>759</v>
      </c>
      <c r="B39" s="6">
        <f>'Results - raw data ReCiPe (H)'!AC34</f>
        <v>2.0736000294618859E-7</v>
      </c>
      <c r="C39" s="6">
        <f>'Results - raw data ReCiPe (H)'!AD34</f>
        <v>2.0736000294618859E-7</v>
      </c>
      <c r="D39" s="6">
        <f>'Results - raw data ReCiPe (H)'!AE34</f>
        <v>2.0736000294618859E-7</v>
      </c>
      <c r="E39" s="6">
        <f>'Results - raw data ReCiPe (H)'!AF34</f>
        <v>2.0736000294618859E-7</v>
      </c>
      <c r="F39" s="6">
        <f>'Results - raw data ReCiPe (H)'!AG34</f>
        <v>2.0736000294618859E-7</v>
      </c>
      <c r="G39" s="6">
        <f>'Results - raw data ReCiPe (H)'!AH34</f>
        <v>2.0736000294618859E-7</v>
      </c>
      <c r="H39" s="6">
        <f>'Results - raw data ReCiPe (H)'!AI34</f>
        <v>2.0736000294618859E-7</v>
      </c>
      <c r="I39" s="6">
        <f>'Results - raw data ReCiPe (H)'!AJ34</f>
        <v>2.0736000294618859E-7</v>
      </c>
      <c r="J39" s="6">
        <f>'Results - raw data ReCiPe (H)'!AK34</f>
        <v>2.0736000294618859E-7</v>
      </c>
      <c r="K39" s="6">
        <f>'Results - raw data ReCiPe (H)'!AL34</f>
        <v>2.0736000294618859E-7</v>
      </c>
      <c r="L39" s="6">
        <f>'Results - raw data ReCiPe (H)'!AM34</f>
        <v>2.0736000294618859E-7</v>
      </c>
      <c r="M39" s="6">
        <f>'Results - raw data ReCiPe (H)'!AN34</f>
        <v>2.0736000294618859E-7</v>
      </c>
      <c r="N39" s="6">
        <f>'Results - raw data ReCiPe (H)'!AO34</f>
        <v>2.0736000294618859E-7</v>
      </c>
      <c r="O39" s="6">
        <f>'Results - raw data ReCiPe (H)'!AP34</f>
        <v>2.0736000294618859E-7</v>
      </c>
      <c r="P39" s="6">
        <f>'Results - raw data ReCiPe (H)'!AQ34</f>
        <v>2.0736000294618859E-7</v>
      </c>
      <c r="Q39" s="6">
        <f>'Results - raw data ReCiPe (H)'!AR34</f>
        <v>2.0736000294618859E-7</v>
      </c>
      <c r="R39" s="6">
        <f>'Results - raw data ReCiPe (H)'!AS34</f>
        <v>2.0736000294618859E-7</v>
      </c>
      <c r="S39" s="6">
        <f>'Results - raw data ReCiPe (H)'!AT34</f>
        <v>2.0736000294618859E-7</v>
      </c>
      <c r="T39" s="6">
        <f>'Results - raw data ReCiPe (H)'!AU34</f>
        <v>2.0736000294618859E-7</v>
      </c>
      <c r="U39" s="6">
        <f>'Results - raw data ReCiPe (H)'!AV34</f>
        <v>2.0736000294618859E-7</v>
      </c>
      <c r="V39" s="6">
        <f>'Results - raw data ReCiPe (H)'!AW34</f>
        <v>2.0736000294618859E-7</v>
      </c>
      <c r="W39" s="6">
        <f>'Results - raw data ReCiPe (H)'!AX34</f>
        <v>2.0736000294618859E-7</v>
      </c>
      <c r="X39" s="6">
        <f>'Results - raw data ReCiPe (H)'!AY34</f>
        <v>2.0736000294618859E-7</v>
      </c>
      <c r="Y39" s="6">
        <f>'Results - raw data ReCiPe (H)'!AZ34</f>
        <v>2.0736000294618859E-7</v>
      </c>
      <c r="Z39" s="6">
        <f>'Results - raw data ReCiPe (H)'!BA34</f>
        <v>2.0736000294618859E-7</v>
      </c>
    </row>
    <row r="40" spans="1:53" outlineLevel="1" x14ac:dyDescent="0.35">
      <c r="A40" s="6" t="s">
        <v>760</v>
      </c>
      <c r="B40" s="6">
        <f>'Results - raw data ReCiPe (H)'!AC35</f>
        <v>1.589981999168003E-4</v>
      </c>
      <c r="C40" s="6">
        <f>'Results - raw data ReCiPe (H)'!AD35</f>
        <v>1.583829136001397E-4</v>
      </c>
      <c r="D40" s="6">
        <f>'Results - raw data ReCiPe (H)'!AE35</f>
        <v>1.577660127584304E-4</v>
      </c>
      <c r="E40" s="6">
        <f>'Results - raw data ReCiPe (H)'!AF35</f>
        <v>1.5701813078844001E-4</v>
      </c>
      <c r="F40" s="6">
        <f>'Results - raw data ReCiPe (H)'!AG35</f>
        <v>1.563963001753598E-4</v>
      </c>
      <c r="G40" s="6">
        <f>'Results - raw data ReCiPe (H)'!AH35</f>
        <v>1.5577231989261219E-4</v>
      </c>
      <c r="H40" s="6">
        <f>'Results - raw data ReCiPe (H)'!AI35</f>
        <v>1.6687490088103691E-4</v>
      </c>
      <c r="I40" s="6">
        <f>'Results - raw data ReCiPe (H)'!AJ35</f>
        <v>1.7796190075517271E-4</v>
      </c>
      <c r="J40" s="6">
        <f>'Results - raw data ReCiPe (H)'!AK35</f>
        <v>1.889571588882216E-4</v>
      </c>
      <c r="K40" s="6">
        <f>'Results - raw data ReCiPe (H)'!AL35</f>
        <v>2.0002569919449101E-4</v>
      </c>
      <c r="L40" s="6">
        <f>'Results - raw data ReCiPe (H)'!AM35</f>
        <v>2.1107318377602E-4</v>
      </c>
      <c r="M40" s="6">
        <f>'Results - raw data ReCiPe (H)'!AN35</f>
        <v>2.319068938442424E-4</v>
      </c>
      <c r="N40" s="6">
        <f>'Results - raw data ReCiPe (H)'!AO35</f>
        <v>2.5279484548076031E-4</v>
      </c>
      <c r="O40" s="6">
        <f>'Results - raw data ReCiPe (H)'!AP35</f>
        <v>2.7372295314890763E-4</v>
      </c>
      <c r="P40" s="6">
        <f>'Results - raw data ReCiPe (H)'!AQ35</f>
        <v>2.9472895769718503E-4</v>
      </c>
      <c r="Q40" s="6">
        <f>'Results - raw data ReCiPe (H)'!AR35</f>
        <v>3.1579922373353931E-4</v>
      </c>
      <c r="R40" s="6">
        <f>'Results - raw data ReCiPe (H)'!AS35</f>
        <v>3.1806184214588722E-4</v>
      </c>
      <c r="S40" s="6">
        <f>'Results - raw data ReCiPe (H)'!AT35</f>
        <v>3.2034971191487112E-4</v>
      </c>
      <c r="T40" s="6">
        <f>'Results - raw data ReCiPe (H)'!AU35</f>
        <v>3.2264340714087479E-4</v>
      </c>
      <c r="U40" s="6">
        <f>'Results - raw data ReCiPe (H)'!AV35</f>
        <v>3.2497431321338552E-4</v>
      </c>
      <c r="V40" s="6">
        <f>'Results - raw data ReCiPe (H)'!AW35</f>
        <v>3.2732328165209869E-4</v>
      </c>
      <c r="W40" s="6">
        <f>'Results - raw data ReCiPe (H)'!AX35</f>
        <v>3.2303977149125939E-4</v>
      </c>
      <c r="X40" s="6">
        <f>'Results - raw data ReCiPe (H)'!AY35</f>
        <v>3.1388432338712969E-4</v>
      </c>
      <c r="Y40" s="6">
        <f>'Results - raw data ReCiPe (H)'!AZ35</f>
        <v>3.0469689528125009E-4</v>
      </c>
      <c r="Z40" s="6">
        <f>'Results - raw data ReCiPe (H)'!BA35</f>
        <v>2.9547721783998882E-4</v>
      </c>
    </row>
    <row r="41" spans="1:53" outlineLevel="1" x14ac:dyDescent="0.35">
      <c r="A41" s="23" t="s">
        <v>125</v>
      </c>
      <c r="B41" s="17">
        <f>SUM(B10:B40)</f>
        <v>3.8361270292743845E-4</v>
      </c>
      <c r="C41" s="17">
        <f>SUM(C10:C40)</f>
        <v>1.7688770837431131E-4</v>
      </c>
      <c r="D41" s="17">
        <f>SUM(D10:D40)</f>
        <v>1.7619854181277715E-4</v>
      </c>
      <c r="E41" s="17">
        <f>SUM(E10:E40)</f>
        <v>1.7534222316910301E-4</v>
      </c>
      <c r="F41" s="17">
        <f>SUM(F10:F40)</f>
        <v>1.746479829721121E-4</v>
      </c>
      <c r="G41" s="17">
        <f t="shared" ref="G41:Z41" si="4">SUM(G10:G40)</f>
        <v>1.7395157084139384E-4</v>
      </c>
      <c r="H41" s="17">
        <f t="shared" si="4"/>
        <v>1.8588634843422862E-4</v>
      </c>
      <c r="I41" s="17">
        <f t="shared" si="4"/>
        <v>1.9780202032356536E-4</v>
      </c>
      <c r="J41" s="17">
        <f t="shared" si="4"/>
        <v>2.0960299048549519E-4</v>
      </c>
      <c r="K41" s="17">
        <f t="shared" si="4"/>
        <v>2.214941792090661E-4</v>
      </c>
      <c r="L41" s="17">
        <f t="shared" si="4"/>
        <v>2.3336036696302019E-4</v>
      </c>
      <c r="M41" s="17">
        <f t="shared" si="4"/>
        <v>2.5575611218123028E-4</v>
      </c>
      <c r="N41" s="17">
        <f t="shared" si="4"/>
        <v>2.7820656984075415E-4</v>
      </c>
      <c r="O41" s="17">
        <f t="shared" si="4"/>
        <v>3.0069253111843935E-4</v>
      </c>
      <c r="P41" s="17">
        <f t="shared" si="4"/>
        <v>3.2326284048306568E-4</v>
      </c>
      <c r="Q41" s="17">
        <f t="shared" si="4"/>
        <v>3.4589866341829223E-4</v>
      </c>
      <c r="R41" s="17">
        <f t="shared" si="4"/>
        <v>3.4829009865363985E-4</v>
      </c>
      <c r="S41" s="17">
        <f t="shared" si="4"/>
        <v>3.5070808743709975E-4</v>
      </c>
      <c r="T41" s="17">
        <f t="shared" si="4"/>
        <v>3.5312763803882908E-4</v>
      </c>
      <c r="U41" s="17">
        <f t="shared" si="4"/>
        <v>3.5559082997148583E-4</v>
      </c>
      <c r="V41" s="17">
        <f t="shared" si="4"/>
        <v>3.5807292319334406E-4</v>
      </c>
      <c r="W41" s="17">
        <f t="shared" si="4"/>
        <v>3.5342279100193137E-4</v>
      </c>
      <c r="X41" s="17">
        <f t="shared" si="4"/>
        <v>3.4350951781984438E-4</v>
      </c>
      <c r="Y41" s="17">
        <f t="shared" si="4"/>
        <v>3.3356442483410356E-4</v>
      </c>
      <c r="Z41" s="17">
        <f t="shared" si="4"/>
        <v>3.2651259282153399E-4</v>
      </c>
    </row>
    <row r="42" spans="1:53" outlineLevel="1" x14ac:dyDescent="0.35"/>
    <row r="43" spans="1:53" s="18" customFormat="1" ht="21" x14ac:dyDescent="0.5">
      <c r="A43" s="18" t="s">
        <v>73</v>
      </c>
    </row>
    <row r="44" spans="1:53" s="20" customFormat="1" outlineLevel="1" x14ac:dyDescent="0.35">
      <c r="A44" s="19" t="s">
        <v>767</v>
      </c>
    </row>
    <row r="45" spans="1:53" s="16" customFormat="1" outlineLevel="1" x14ac:dyDescent="0.35">
      <c r="A45" s="21"/>
      <c r="AB45" s="15" t="s">
        <v>143</v>
      </c>
      <c r="AC45" s="16">
        <f>0.0000000028+0.0000000000000765</f>
        <v>2.8000764999999998E-9</v>
      </c>
      <c r="AD45" s="16" t="s">
        <v>916</v>
      </c>
      <c r="AE45" s="15" t="s">
        <v>714</v>
      </c>
    </row>
    <row r="46" spans="1:53" s="16" customFormat="1" outlineLevel="1" x14ac:dyDescent="0.35">
      <c r="A46" s="22" t="s">
        <v>917</v>
      </c>
      <c r="AC46" s="16">
        <f>AC45*1000</f>
        <v>2.8000765E-6</v>
      </c>
      <c r="AD46" s="16" t="s">
        <v>918</v>
      </c>
    </row>
    <row r="47" spans="1:53" s="16" customFormat="1" outlineLevel="1" x14ac:dyDescent="0.35">
      <c r="A47" s="22"/>
      <c r="AB47" s="16" t="s">
        <v>127</v>
      </c>
      <c r="AC47" s="16">
        <v>100</v>
      </c>
      <c r="AD47" s="16" t="s">
        <v>128</v>
      </c>
    </row>
    <row r="48" spans="1:53" s="16" customFormat="1" outlineLevel="1" x14ac:dyDescent="0.35">
      <c r="A48" s="22"/>
      <c r="AB48" s="16" t="s">
        <v>129</v>
      </c>
      <c r="AC48" s="16">
        <v>25</v>
      </c>
      <c r="AD48" s="16" t="s">
        <v>130</v>
      </c>
    </row>
    <row r="49" spans="1:53" outlineLevel="1" x14ac:dyDescent="0.35">
      <c r="B49" s="25">
        <v>2030</v>
      </c>
      <c r="C49" s="25">
        <v>2031</v>
      </c>
      <c r="D49" s="25">
        <v>2032</v>
      </c>
      <c r="E49" s="25">
        <v>2033</v>
      </c>
      <c r="F49" s="25">
        <v>2034</v>
      </c>
      <c r="G49" s="25">
        <v>2035</v>
      </c>
      <c r="H49" s="25">
        <v>2036</v>
      </c>
      <c r="I49" s="25">
        <v>2037</v>
      </c>
      <c r="J49" s="25">
        <v>2038</v>
      </c>
      <c r="K49" s="25">
        <v>2039</v>
      </c>
      <c r="L49" s="25">
        <v>2040</v>
      </c>
      <c r="M49" s="25">
        <v>2041</v>
      </c>
      <c r="N49" s="25">
        <v>2042</v>
      </c>
      <c r="O49" s="25">
        <v>2043</v>
      </c>
      <c r="P49" s="25">
        <v>2044</v>
      </c>
      <c r="Q49" s="25">
        <v>2045</v>
      </c>
      <c r="R49" s="25">
        <v>2046</v>
      </c>
      <c r="S49" s="25">
        <v>2047</v>
      </c>
      <c r="T49" s="25">
        <v>2048</v>
      </c>
      <c r="U49" s="25">
        <v>2049</v>
      </c>
      <c r="V49" s="25">
        <v>2050</v>
      </c>
      <c r="W49" s="25">
        <v>2051</v>
      </c>
      <c r="X49" s="25">
        <v>2052</v>
      </c>
      <c r="Y49" s="25">
        <v>2053</v>
      </c>
      <c r="Z49" s="25">
        <v>2054</v>
      </c>
      <c r="AC49" s="25">
        <v>2030</v>
      </c>
      <c r="AD49" s="25">
        <v>2031</v>
      </c>
      <c r="AE49" s="25">
        <v>2032</v>
      </c>
      <c r="AF49" s="25">
        <v>2033</v>
      </c>
      <c r="AG49" s="25">
        <v>2034</v>
      </c>
      <c r="AH49" s="25">
        <v>2035</v>
      </c>
      <c r="AI49" s="25">
        <v>2036</v>
      </c>
      <c r="AJ49" s="25">
        <v>2037</v>
      </c>
      <c r="AK49" s="25">
        <v>2038</v>
      </c>
      <c r="AL49" s="25">
        <v>2039</v>
      </c>
      <c r="AM49" s="25">
        <v>2040</v>
      </c>
      <c r="AN49" s="25">
        <v>2041</v>
      </c>
      <c r="AO49" s="25">
        <v>2042</v>
      </c>
      <c r="AP49" s="25">
        <v>2043</v>
      </c>
      <c r="AQ49" s="25">
        <v>2044</v>
      </c>
      <c r="AR49" s="25">
        <v>2045</v>
      </c>
      <c r="AS49" s="25">
        <v>2046</v>
      </c>
      <c r="AT49" s="25">
        <v>2047</v>
      </c>
      <c r="AU49" s="25">
        <v>2048</v>
      </c>
      <c r="AV49" s="25">
        <v>2049</v>
      </c>
      <c r="AW49" s="25">
        <v>2050</v>
      </c>
      <c r="AX49" s="25">
        <v>2051</v>
      </c>
      <c r="AY49" s="25">
        <v>2052</v>
      </c>
      <c r="AZ49" s="25">
        <v>2053</v>
      </c>
      <c r="BA49" s="25">
        <v>2054</v>
      </c>
    </row>
    <row r="50" spans="1:53" outlineLevel="1" x14ac:dyDescent="0.35">
      <c r="A50" s="6" t="s">
        <v>21</v>
      </c>
      <c r="B50" s="6">
        <f>'Results - raw data ReCiPe (H)'!AC41</f>
        <v>3.1244393966085418E-6</v>
      </c>
      <c r="AB50" s="6" t="s">
        <v>117</v>
      </c>
      <c r="AC50" s="6">
        <f>SUM(B50:B61)+B63</f>
        <v>1.8346526921509307E-4</v>
      </c>
    </row>
    <row r="51" spans="1:53" outlineLevel="1" x14ac:dyDescent="0.35">
      <c r="A51" s="6" t="s">
        <v>23</v>
      </c>
      <c r="B51" s="6">
        <f>'Results - raw data ReCiPe (H)'!AC42</f>
        <v>5.6429582916055214E-6</v>
      </c>
      <c r="AB51" s="6" t="s">
        <v>118</v>
      </c>
      <c r="AC51" s="6">
        <f>B62</f>
        <v>1.0765797689579158E-5</v>
      </c>
    </row>
    <row r="52" spans="1:53" outlineLevel="1" x14ac:dyDescent="0.35">
      <c r="A52" s="6" t="s">
        <v>26</v>
      </c>
      <c r="B52" s="6">
        <f>'Results - raw data ReCiPe (H)'!AC43</f>
        <v>1.418628247834127E-5</v>
      </c>
      <c r="AB52" s="6" t="s">
        <v>119</v>
      </c>
      <c r="BA52" s="6">
        <f>SUM(Z64:Z75)</f>
        <v>2.5814369390254752E-6</v>
      </c>
    </row>
    <row r="53" spans="1:53" outlineLevel="1" x14ac:dyDescent="0.35">
      <c r="A53" s="6" t="s">
        <v>28</v>
      </c>
      <c r="B53" s="6">
        <f>'Results - raw data ReCiPe (H)'!AC44</f>
        <v>1.150422510297097E-5</v>
      </c>
      <c r="AB53" s="6" t="s">
        <v>120</v>
      </c>
      <c r="BA53" s="6">
        <f>Z76</f>
        <v>8.9177657234606268E-8</v>
      </c>
    </row>
    <row r="54" spans="1:53" outlineLevel="1" x14ac:dyDescent="0.35">
      <c r="A54" s="6" t="s">
        <v>29</v>
      </c>
      <c r="B54" s="6">
        <f>'Results - raw data ReCiPe (H)'!AC45</f>
        <v>9.1719333838261594E-6</v>
      </c>
      <c r="AB54" s="6" t="s">
        <v>121</v>
      </c>
      <c r="AC54" s="6">
        <f>B77</f>
        <v>4.3941155135361717E-6</v>
      </c>
      <c r="AF54" s="6">
        <f>E77</f>
        <v>4.2507924568478764E-6</v>
      </c>
      <c r="AI54" s="6">
        <f>H77</f>
        <v>4.1207843305059888E-6</v>
      </c>
      <c r="AL54" s="6">
        <f>K77</f>
        <v>3.961479922998473E-6</v>
      </c>
      <c r="AO54" s="6">
        <f>N77</f>
        <v>3.782659921523485E-6</v>
      </c>
      <c r="AR54" s="6">
        <f>Q77</f>
        <v>3.5852486401048028E-6</v>
      </c>
      <c r="AU54" s="6">
        <f>T77</f>
        <v>3.4498744880293848E-6</v>
      </c>
      <c r="AX54" s="6">
        <f>W77</f>
        <v>3.372986237475297E-6</v>
      </c>
      <c r="BA54" s="6">
        <f>Z77</f>
        <v>3.3539861692443772E-6</v>
      </c>
    </row>
    <row r="55" spans="1:53" outlineLevel="1" x14ac:dyDescent="0.35">
      <c r="A55" s="6" t="s">
        <v>31</v>
      </c>
      <c r="B55" s="6">
        <f>'Results - raw data ReCiPe (H)'!AC46</f>
        <v>7.2421411651487134E-6</v>
      </c>
      <c r="AB55" s="6" t="s">
        <v>122</v>
      </c>
      <c r="AC55" s="6">
        <f>B80+B79</f>
        <v>1.3361435604320219E-4</v>
      </c>
      <c r="AD55" s="6">
        <f t="shared" ref="AD55:BA55" si="5">C80+C79</f>
        <v>1.2435162258133729E-4</v>
      </c>
      <c r="AE55" s="6">
        <f t="shared" si="5"/>
        <v>1.1508237983310978E-4</v>
      </c>
      <c r="AF55" s="6">
        <f t="shared" si="5"/>
        <v>1.0566677106744298E-4</v>
      </c>
      <c r="AG55" s="6">
        <f t="shared" si="5"/>
        <v>9.6381925416766273E-5</v>
      </c>
      <c r="AH55" s="6">
        <f t="shared" si="5"/>
        <v>8.70902425505496E-5</v>
      </c>
      <c r="AI55" s="6">
        <f t="shared" si="5"/>
        <v>8.124926805619201E-5</v>
      </c>
      <c r="AJ55" s="6">
        <f t="shared" si="5"/>
        <v>7.5405929888946104E-5</v>
      </c>
      <c r="AK55" s="6">
        <f t="shared" si="5"/>
        <v>6.944717831106104E-5</v>
      </c>
      <c r="AL55" s="6">
        <f t="shared" si="5"/>
        <v>6.358312376437103E-5</v>
      </c>
      <c r="AM55" s="6">
        <f t="shared" si="5"/>
        <v>5.7708346934499931E-5</v>
      </c>
      <c r="AN55" s="6">
        <f t="shared" si="5"/>
        <v>5.3763378307681148E-5</v>
      </c>
      <c r="AO55" s="6">
        <f t="shared" si="5"/>
        <v>4.9798807055253776E-5</v>
      </c>
      <c r="AP55" s="6">
        <f t="shared" si="5"/>
        <v>4.5778917704587026E-5</v>
      </c>
      <c r="AQ55" s="6">
        <f t="shared" si="5"/>
        <v>4.1767328423486589E-5</v>
      </c>
      <c r="AR55" s="6">
        <f t="shared" si="5"/>
        <v>3.7736342371296047E-5</v>
      </c>
      <c r="AS55" s="6">
        <f t="shared" si="5"/>
        <v>3.5947525832154186E-5</v>
      </c>
      <c r="AT55" s="6">
        <f t="shared" si="5"/>
        <v>3.4163542254970762E-5</v>
      </c>
      <c r="AU55" s="6">
        <f t="shared" si="5"/>
        <v>3.2354290354847996E-5</v>
      </c>
      <c r="AV55" s="6">
        <f t="shared" si="5"/>
        <v>3.0578067059847324E-5</v>
      </c>
      <c r="AW55" s="6">
        <f t="shared" si="5"/>
        <v>2.8806914294984728E-5</v>
      </c>
      <c r="AX55" s="6">
        <f t="shared" si="5"/>
        <v>2.8834762225004799E-5</v>
      </c>
      <c r="AY55" s="6">
        <f t="shared" si="5"/>
        <v>2.7994095656881697E-5</v>
      </c>
      <c r="AZ55" s="6">
        <f t="shared" si="5"/>
        <v>2.7149398183460298E-5</v>
      </c>
      <c r="BA55" s="6">
        <f t="shared" si="5"/>
        <v>2.6300571716740338E-5</v>
      </c>
    </row>
    <row r="56" spans="1:53" outlineLevel="1" x14ac:dyDescent="0.35">
      <c r="A56" s="6" t="s">
        <v>34</v>
      </c>
      <c r="B56" s="6">
        <f>'Results - raw data ReCiPe (H)'!AC47</f>
        <v>5.0838586316427567E-6</v>
      </c>
      <c r="AB56" s="6" t="s">
        <v>123</v>
      </c>
      <c r="AC56" s="6">
        <f t="shared" ref="AC56:BA56" si="6">B78</f>
        <v>1.180353765704293E-5</v>
      </c>
      <c r="AD56" s="6">
        <f t="shared" si="6"/>
        <v>1.1073155861344529E-5</v>
      </c>
      <c r="AE56" s="6">
        <f t="shared" si="6"/>
        <v>1.0345410243321971E-5</v>
      </c>
      <c r="AF56" s="6">
        <f t="shared" si="6"/>
        <v>9.6076734762525372E-6</v>
      </c>
      <c r="AG56" s="6">
        <f t="shared" si="6"/>
        <v>8.8850274124384594E-6</v>
      </c>
      <c r="AH56" s="6">
        <f t="shared" si="6"/>
        <v>8.1649981181105521E-6</v>
      </c>
      <c r="AI56" s="6">
        <f t="shared" si="6"/>
        <v>7.7124545581239988E-6</v>
      </c>
      <c r="AJ56" s="6">
        <f t="shared" si="6"/>
        <v>7.2606091517102967E-6</v>
      </c>
      <c r="AK56" s="6">
        <f t="shared" si="6"/>
        <v>6.7997153185198531E-6</v>
      </c>
      <c r="AL56" s="6">
        <f t="shared" si="6"/>
        <v>6.3480215018184388E-6</v>
      </c>
      <c r="AM56" s="6">
        <f t="shared" si="6"/>
        <v>5.8963671944136386E-6</v>
      </c>
      <c r="AN56" s="6">
        <f t="shared" si="6"/>
        <v>5.5916639914165485E-6</v>
      </c>
      <c r="AO56" s="6">
        <f t="shared" si="6"/>
        <v>5.2856066738563171E-6</v>
      </c>
      <c r="AP56" s="6">
        <f t="shared" si="6"/>
        <v>4.975080681316159E-6</v>
      </c>
      <c r="AQ56" s="6">
        <f t="shared" si="6"/>
        <v>4.6657076029889536E-6</v>
      </c>
      <c r="AR56" s="6">
        <f t="shared" si="6"/>
        <v>4.3549751300134577E-6</v>
      </c>
      <c r="AS56" s="6">
        <f t="shared" si="6"/>
        <v>4.2158964067818076E-6</v>
      </c>
      <c r="AT56" s="6">
        <f t="shared" si="6"/>
        <v>4.0768847583429948E-6</v>
      </c>
      <c r="AU56" s="6">
        <f t="shared" si="6"/>
        <v>3.9352947430933967E-6</v>
      </c>
      <c r="AV56" s="6">
        <f t="shared" si="6"/>
        <v>3.7962663629180191E-6</v>
      </c>
      <c r="AW56" s="6">
        <f t="shared" si="6"/>
        <v>3.6573208024109291E-6</v>
      </c>
      <c r="AX56" s="6">
        <f t="shared" si="6"/>
        <v>3.6679197950260158E-6</v>
      </c>
      <c r="AY56" s="6">
        <f t="shared" si="6"/>
        <v>3.6029840180959272E-6</v>
      </c>
      <c r="AZ56" s="6">
        <f t="shared" si="6"/>
        <v>3.5379422713850677E-6</v>
      </c>
      <c r="BA56" s="6">
        <f t="shared" si="6"/>
        <v>3.4727851788264592E-6</v>
      </c>
    </row>
    <row r="57" spans="1:53" outlineLevel="1" x14ac:dyDescent="0.35">
      <c r="A57" s="6" t="s">
        <v>36</v>
      </c>
      <c r="B57" s="6">
        <f>'Results - raw data ReCiPe (H)'!AC48</f>
        <v>4.2855500853218693E-6</v>
      </c>
      <c r="AB57" s="6" t="s">
        <v>124</v>
      </c>
      <c r="AC57" s="6">
        <f>-$AC$7*$AC$6</f>
        <v>-2.8000764999999998E-4</v>
      </c>
      <c r="AD57" s="6">
        <f t="shared" ref="AD57:BA57" si="7">-$AC$7*$AC$6</f>
        <v>-2.8000764999999998E-4</v>
      </c>
      <c r="AE57" s="6">
        <f t="shared" si="7"/>
        <v>-2.8000764999999998E-4</v>
      </c>
      <c r="AF57" s="6">
        <f t="shared" si="7"/>
        <v>-2.8000764999999998E-4</v>
      </c>
      <c r="AG57" s="6">
        <f t="shared" si="7"/>
        <v>-2.8000764999999998E-4</v>
      </c>
      <c r="AH57" s="6">
        <f t="shared" si="7"/>
        <v>-2.8000764999999998E-4</v>
      </c>
      <c r="AI57" s="6">
        <f t="shared" si="7"/>
        <v>-2.8000764999999998E-4</v>
      </c>
      <c r="AJ57" s="6">
        <f t="shared" si="7"/>
        <v>-2.8000764999999998E-4</v>
      </c>
      <c r="AK57" s="6">
        <f t="shared" si="7"/>
        <v>-2.8000764999999998E-4</v>
      </c>
      <c r="AL57" s="6">
        <f t="shared" si="7"/>
        <v>-2.8000764999999998E-4</v>
      </c>
      <c r="AM57" s="6">
        <f t="shared" si="7"/>
        <v>-2.8000764999999998E-4</v>
      </c>
      <c r="AN57" s="6">
        <f t="shared" si="7"/>
        <v>-2.8000764999999998E-4</v>
      </c>
      <c r="AO57" s="6">
        <f t="shared" si="7"/>
        <v>-2.8000764999999998E-4</v>
      </c>
      <c r="AP57" s="6">
        <f t="shared" si="7"/>
        <v>-2.8000764999999998E-4</v>
      </c>
      <c r="AQ57" s="6">
        <f t="shared" si="7"/>
        <v>-2.8000764999999998E-4</v>
      </c>
      <c r="AR57" s="6">
        <f t="shared" si="7"/>
        <v>-2.8000764999999998E-4</v>
      </c>
      <c r="AS57" s="6">
        <f t="shared" si="7"/>
        <v>-2.8000764999999998E-4</v>
      </c>
      <c r="AT57" s="6">
        <f t="shared" si="7"/>
        <v>-2.8000764999999998E-4</v>
      </c>
      <c r="AU57" s="6">
        <f t="shared" si="7"/>
        <v>-2.8000764999999998E-4</v>
      </c>
      <c r="AV57" s="6">
        <f t="shared" si="7"/>
        <v>-2.8000764999999998E-4</v>
      </c>
      <c r="AW57" s="6">
        <f t="shared" si="7"/>
        <v>-2.8000764999999998E-4</v>
      </c>
      <c r="AX57" s="6">
        <f t="shared" si="7"/>
        <v>-2.8000764999999998E-4</v>
      </c>
      <c r="AY57" s="6">
        <f t="shared" si="7"/>
        <v>-2.8000764999999998E-4</v>
      </c>
      <c r="AZ57" s="6">
        <f t="shared" si="7"/>
        <v>-2.8000764999999998E-4</v>
      </c>
      <c r="BA57" s="6">
        <f t="shared" si="7"/>
        <v>-2.8000764999999998E-4</v>
      </c>
    </row>
    <row r="58" spans="1:53" outlineLevel="1" x14ac:dyDescent="0.35">
      <c r="A58" s="6" t="s">
        <v>38</v>
      </c>
      <c r="B58" s="6">
        <f>'Results - raw data ReCiPe (H)'!AC49</f>
        <v>2.291638491689332E-5</v>
      </c>
      <c r="AB58" s="23" t="s">
        <v>125</v>
      </c>
      <c r="AC58" s="17">
        <f t="shared" ref="AC58:BA58" si="8">SUM(AC50:AC57)</f>
        <v>6.4035426118453503E-5</v>
      </c>
      <c r="AD58" s="17">
        <f t="shared" si="8"/>
        <v>-1.4458287155731816E-4</v>
      </c>
      <c r="AE58" s="17">
        <f t="shared" si="8"/>
        <v>-1.5457985992356824E-4</v>
      </c>
      <c r="AF58" s="17">
        <f t="shared" si="8"/>
        <v>-1.6048241299945659E-4</v>
      </c>
      <c r="AG58" s="17">
        <f t="shared" si="8"/>
        <v>-1.7474069717079527E-4</v>
      </c>
      <c r="AH58" s="17">
        <f t="shared" si="8"/>
        <v>-1.8475240933133982E-4</v>
      </c>
      <c r="AI58" s="17">
        <f t="shared" si="8"/>
        <v>-1.86925143055178E-4</v>
      </c>
      <c r="AJ58" s="17">
        <f t="shared" si="8"/>
        <v>-1.9734111095934357E-4</v>
      </c>
      <c r="AK58" s="17">
        <f t="shared" si="8"/>
        <v>-2.0376075637041908E-4</v>
      </c>
      <c r="AL58" s="17">
        <f t="shared" si="8"/>
        <v>-2.0611502481081203E-4</v>
      </c>
      <c r="AM58" s="17">
        <f t="shared" si="8"/>
        <v>-2.1640293587108642E-4</v>
      </c>
      <c r="AN58" s="17">
        <f t="shared" si="8"/>
        <v>-2.206526077009023E-4</v>
      </c>
      <c r="AO58" s="17">
        <f t="shared" si="8"/>
        <v>-2.2114057634936641E-4</v>
      </c>
      <c r="AP58" s="17">
        <f t="shared" si="8"/>
        <v>-2.2925365161409678E-4</v>
      </c>
      <c r="AQ58" s="17">
        <f t="shared" si="8"/>
        <v>-2.3357461397352443E-4</v>
      </c>
      <c r="AR58" s="17">
        <f t="shared" si="8"/>
        <v>-2.3433108385858566E-4</v>
      </c>
      <c r="AS58" s="17">
        <f t="shared" si="8"/>
        <v>-2.3984422776106399E-4</v>
      </c>
      <c r="AT58" s="17">
        <f t="shared" si="8"/>
        <v>-2.4176722298668624E-4</v>
      </c>
      <c r="AU58" s="17">
        <f t="shared" si="8"/>
        <v>-2.4026819041402919E-4</v>
      </c>
      <c r="AV58" s="17">
        <f t="shared" si="8"/>
        <v>-2.4563331657723463E-4</v>
      </c>
      <c r="AW58" s="17">
        <f t="shared" si="8"/>
        <v>-2.4754341490260432E-4</v>
      </c>
      <c r="AX58" s="17">
        <f t="shared" si="8"/>
        <v>-2.4413198174249386E-4</v>
      </c>
      <c r="AY58" s="17">
        <f t="shared" si="8"/>
        <v>-2.4841057032502236E-4</v>
      </c>
      <c r="AZ58" s="17">
        <f t="shared" si="8"/>
        <v>-2.4932030954515462E-4</v>
      </c>
      <c r="BA58" s="17">
        <f t="shared" si="8"/>
        <v>-2.4420969233892871E-4</v>
      </c>
    </row>
    <row r="59" spans="1:53" outlineLevel="1" x14ac:dyDescent="0.35">
      <c r="A59" s="6" t="s">
        <v>39</v>
      </c>
      <c r="B59" s="6">
        <f>'Results - raw data ReCiPe (H)'!AC50</f>
        <v>6.8369970539627651E-5</v>
      </c>
    </row>
    <row r="60" spans="1:53" outlineLevel="1" x14ac:dyDescent="0.35">
      <c r="A60" s="6" t="s">
        <v>41</v>
      </c>
      <c r="B60" s="6">
        <f>'Results - raw data ReCiPe (H)'!AC51</f>
        <v>7.1745132553752663E-7</v>
      </c>
    </row>
    <row r="61" spans="1:53" outlineLevel="1" x14ac:dyDescent="0.35">
      <c r="A61" s="6" t="s">
        <v>43</v>
      </c>
      <c r="B61" s="6">
        <f>'Results - raw data ReCiPe (H)'!AC52</f>
        <v>2.0194466025799359E-6</v>
      </c>
      <c r="AB61" s="187"/>
      <c r="AC61" s="187"/>
      <c r="AD61" s="187"/>
      <c r="AE61" s="187"/>
      <c r="AF61" s="187"/>
      <c r="AG61" s="187"/>
      <c r="AH61" s="187"/>
      <c r="AI61" s="187"/>
      <c r="AJ61" s="187"/>
      <c r="AK61" s="187"/>
      <c r="AL61" s="187"/>
      <c r="AM61" s="187"/>
      <c r="AN61" s="187"/>
      <c r="AO61" s="187"/>
      <c r="AP61" s="187"/>
      <c r="AQ61" s="187"/>
      <c r="AR61" s="187"/>
      <c r="AS61" s="187"/>
      <c r="AT61" s="187"/>
      <c r="AU61" s="187"/>
      <c r="AV61" s="187"/>
      <c r="AW61" s="187"/>
      <c r="AX61" s="187"/>
      <c r="AY61" s="187"/>
      <c r="AZ61" s="187"/>
      <c r="BA61" s="187"/>
    </row>
    <row r="62" spans="1:53" outlineLevel="1" x14ac:dyDescent="0.35">
      <c r="A62" s="6" t="s">
        <v>44</v>
      </c>
      <c r="B62" s="6">
        <f>'Results - raw data ReCiPe (H)'!AC53*AC47*AC48</f>
        <v>1.0765797689579158E-5</v>
      </c>
      <c r="AB62" s="187"/>
      <c r="AC62" s="187"/>
      <c r="AD62" s="187"/>
      <c r="AE62" s="187"/>
      <c r="AF62" s="187"/>
      <c r="AG62" s="187"/>
      <c r="AH62" s="187"/>
      <c r="AI62" s="187"/>
      <c r="AJ62" s="187"/>
      <c r="AK62" s="187"/>
      <c r="AL62" s="187"/>
      <c r="AM62" s="187"/>
      <c r="AN62" s="187"/>
      <c r="AO62" s="187"/>
      <c r="AP62" s="187"/>
      <c r="AQ62" s="187"/>
      <c r="AR62" s="187"/>
      <c r="AS62" s="187"/>
      <c r="AT62" s="187"/>
      <c r="AU62" s="187"/>
      <c r="AV62" s="187"/>
      <c r="AW62" s="187"/>
      <c r="AX62" s="187"/>
      <c r="AY62" s="187"/>
      <c r="AZ62" s="187"/>
      <c r="BA62" s="187"/>
    </row>
    <row r="63" spans="1:53" outlineLevel="1" x14ac:dyDescent="0.35">
      <c r="A63" s="6" t="s">
        <v>757</v>
      </c>
      <c r="B63" s="6">
        <f>'Results - raw data ReCiPe (H)'!AC54*AC47*AC48</f>
        <v>2.9200627294988823E-5</v>
      </c>
      <c r="AB63" s="187"/>
      <c r="AC63" s="187"/>
      <c r="AD63" s="187"/>
      <c r="AE63" s="187"/>
      <c r="AF63" s="187"/>
      <c r="AG63" s="187"/>
      <c r="AH63" s="187"/>
      <c r="AI63" s="187"/>
      <c r="AJ63" s="187"/>
      <c r="AK63" s="187"/>
      <c r="AL63" s="187"/>
      <c r="AM63" s="187"/>
      <c r="AN63" s="187"/>
      <c r="AO63" s="187"/>
      <c r="AP63" s="187"/>
      <c r="AQ63" s="187"/>
      <c r="AR63" s="187"/>
      <c r="AS63" s="187"/>
      <c r="AT63" s="187"/>
      <c r="AU63" s="187"/>
      <c r="AV63" s="187"/>
      <c r="AW63" s="187"/>
      <c r="AX63" s="187"/>
      <c r="AY63" s="187"/>
      <c r="AZ63" s="187"/>
      <c r="BA63" s="187"/>
    </row>
    <row r="64" spans="1:53" outlineLevel="1" x14ac:dyDescent="0.35">
      <c r="A64" s="6" t="s">
        <v>22</v>
      </c>
      <c r="Z64" s="6">
        <f>'Results - raw data ReCiPe (H)'!BA55</f>
        <v>6.1478607554612128E-8</v>
      </c>
      <c r="AB64" s="187"/>
      <c r="AC64" s="187"/>
      <c r="AD64" s="187"/>
      <c r="AE64" s="187"/>
      <c r="AF64" s="187"/>
      <c r="AG64" s="187"/>
      <c r="AH64" s="187"/>
      <c r="AI64" s="187"/>
      <c r="AJ64" s="187"/>
      <c r="AK64" s="187"/>
      <c r="AL64" s="187"/>
      <c r="AM64" s="187"/>
      <c r="AN64" s="187"/>
      <c r="AO64" s="187"/>
      <c r="AP64" s="187"/>
      <c r="AQ64" s="187"/>
      <c r="AR64" s="187"/>
      <c r="AS64" s="187"/>
      <c r="AT64" s="187"/>
      <c r="AU64" s="187"/>
      <c r="AV64" s="187"/>
      <c r="AW64" s="187"/>
      <c r="AX64" s="187"/>
      <c r="AY64" s="187"/>
      <c r="AZ64" s="187"/>
      <c r="BA64" s="187"/>
    </row>
    <row r="65" spans="1:53" outlineLevel="1" x14ac:dyDescent="0.35">
      <c r="A65" s="6" t="s">
        <v>24</v>
      </c>
      <c r="Z65" s="6">
        <f>'Results - raw data ReCiPe (H)'!BA56</f>
        <v>2.976482971528415E-8</v>
      </c>
      <c r="AB65" s="187"/>
      <c r="AC65" s="187"/>
      <c r="AD65" s="187"/>
      <c r="AE65" s="187"/>
      <c r="AF65" s="187"/>
      <c r="AG65" s="187"/>
      <c r="AH65" s="187"/>
      <c r="AI65" s="187"/>
      <c r="AJ65" s="187"/>
      <c r="AK65" s="187"/>
      <c r="AL65" s="187"/>
      <c r="AM65" s="187"/>
      <c r="AN65" s="187"/>
      <c r="AO65" s="187"/>
      <c r="AP65" s="187"/>
      <c r="AQ65" s="187"/>
      <c r="AR65" s="187"/>
      <c r="AS65" s="187"/>
      <c r="AT65" s="187"/>
      <c r="AU65" s="187"/>
      <c r="AV65" s="187"/>
      <c r="AW65" s="187"/>
      <c r="AX65" s="187"/>
      <c r="AY65" s="187"/>
      <c r="AZ65" s="187"/>
      <c r="BA65" s="187"/>
    </row>
    <row r="66" spans="1:53" outlineLevel="1" x14ac:dyDescent="0.35">
      <c r="A66" s="6" t="s">
        <v>25</v>
      </c>
      <c r="Z66" s="6">
        <f>'Results - raw data ReCiPe (H)'!BA57</f>
        <v>1.171837262399769E-7</v>
      </c>
      <c r="AB66" s="187"/>
      <c r="AC66" s="187"/>
      <c r="AD66" s="187"/>
      <c r="AE66" s="187"/>
      <c r="AF66" s="187"/>
      <c r="AG66" s="187"/>
      <c r="AH66" s="187"/>
      <c r="AI66" s="187"/>
      <c r="AJ66" s="187"/>
      <c r="AK66" s="187"/>
      <c r="AL66" s="187"/>
      <c r="AM66" s="187"/>
      <c r="AN66" s="187"/>
      <c r="AO66" s="187"/>
      <c r="AP66" s="187"/>
      <c r="AQ66" s="187"/>
      <c r="AR66" s="187"/>
      <c r="AS66" s="187"/>
      <c r="AT66" s="187"/>
      <c r="AU66" s="187"/>
      <c r="AV66" s="187"/>
      <c r="AW66" s="187"/>
      <c r="AX66" s="187"/>
      <c r="AY66" s="187"/>
      <c r="AZ66" s="187"/>
      <c r="BA66" s="187"/>
    </row>
    <row r="67" spans="1:53" outlineLevel="1" x14ac:dyDescent="0.35">
      <c r="A67" s="6" t="s">
        <v>27</v>
      </c>
      <c r="Z67" s="6">
        <f>'Results - raw data ReCiPe (H)'!BA58</f>
        <v>4.3609799371464648E-8</v>
      </c>
      <c r="AB67" s="187"/>
      <c r="AC67" s="187"/>
      <c r="AD67" s="187"/>
      <c r="AE67" s="187"/>
      <c r="AF67" s="187"/>
      <c r="AG67" s="187"/>
      <c r="AH67" s="187"/>
      <c r="AI67" s="187"/>
      <c r="AJ67" s="187"/>
      <c r="AK67" s="187"/>
      <c r="AL67" s="187"/>
      <c r="AM67" s="187"/>
      <c r="AN67" s="187"/>
      <c r="AO67" s="187"/>
      <c r="AP67" s="187"/>
      <c r="AQ67" s="187"/>
      <c r="AR67" s="187"/>
      <c r="AS67" s="187"/>
      <c r="AT67" s="187"/>
      <c r="AU67" s="187"/>
      <c r="AV67" s="187"/>
      <c r="AW67" s="187"/>
      <c r="AX67" s="187"/>
      <c r="AY67" s="187"/>
      <c r="AZ67" s="187"/>
      <c r="BA67" s="187"/>
    </row>
    <row r="68" spans="1:53" outlineLevel="1" x14ac:dyDescent="0.35">
      <c r="A68" s="6" t="s">
        <v>30</v>
      </c>
      <c r="Z68" s="6">
        <f>'Results - raw data ReCiPe (H)'!BA59</f>
        <v>8.1026310749086041E-8</v>
      </c>
      <c r="AB68" s="187"/>
      <c r="AC68" s="187"/>
      <c r="AD68" s="187"/>
      <c r="AE68" s="187"/>
      <c r="AF68" s="187"/>
      <c r="AG68" s="187"/>
      <c r="AH68" s="187"/>
      <c r="AI68" s="187"/>
      <c r="AJ68" s="187"/>
      <c r="AK68" s="187"/>
      <c r="AL68" s="187"/>
      <c r="AM68" s="187"/>
      <c r="AN68" s="187"/>
      <c r="AO68" s="187"/>
      <c r="AP68" s="187"/>
      <c r="AQ68" s="187"/>
      <c r="AR68" s="187"/>
      <c r="AS68" s="187"/>
      <c r="AT68" s="187"/>
      <c r="AU68" s="187"/>
      <c r="AV68" s="187"/>
      <c r="AW68" s="187"/>
      <c r="AX68" s="187"/>
      <c r="AY68" s="187"/>
      <c r="AZ68" s="187"/>
      <c r="BA68" s="187"/>
    </row>
    <row r="69" spans="1:53" outlineLevel="1" x14ac:dyDescent="0.35">
      <c r="A69" s="6" t="s">
        <v>32</v>
      </c>
      <c r="Z69" s="6">
        <f>'Results - raw data ReCiPe (H)'!BA60</f>
        <v>6.462583175159231E-9</v>
      </c>
      <c r="AB69" s="187"/>
      <c r="AC69" s="187"/>
      <c r="AD69" s="187"/>
      <c r="AE69" s="187"/>
      <c r="AF69" s="187"/>
      <c r="AG69" s="187"/>
      <c r="AH69" s="187"/>
      <c r="AI69" s="187"/>
      <c r="AJ69" s="187"/>
      <c r="AK69" s="187"/>
      <c r="AL69" s="187"/>
      <c r="AM69" s="187"/>
      <c r="AN69" s="187"/>
      <c r="AO69" s="187"/>
      <c r="AP69" s="187"/>
      <c r="AQ69" s="187"/>
      <c r="AR69" s="187"/>
      <c r="AS69" s="187"/>
      <c r="AT69" s="187"/>
      <c r="AU69" s="187"/>
      <c r="AV69" s="187"/>
      <c r="AW69" s="187"/>
      <c r="AX69" s="187"/>
      <c r="AY69" s="187"/>
      <c r="AZ69" s="187"/>
      <c r="BA69" s="187"/>
    </row>
    <row r="70" spans="1:53" outlineLevel="1" x14ac:dyDescent="0.35">
      <c r="A70" s="6" t="s">
        <v>33</v>
      </c>
      <c r="Z70" s="6">
        <f>'Results - raw data ReCiPe (H)'!BA61</f>
        <v>2.0587769966053419E-8</v>
      </c>
      <c r="AB70" s="187"/>
      <c r="AC70" s="187"/>
      <c r="AD70" s="187"/>
      <c r="AE70" s="187"/>
      <c r="AF70" s="187"/>
      <c r="AG70" s="187"/>
      <c r="AH70" s="187"/>
      <c r="AI70" s="187"/>
      <c r="AJ70" s="187"/>
      <c r="AK70" s="187"/>
      <c r="AL70" s="187"/>
      <c r="AM70" s="187"/>
      <c r="AN70" s="187"/>
      <c r="AO70" s="187"/>
      <c r="AP70" s="187"/>
      <c r="AQ70" s="187"/>
      <c r="AR70" s="187"/>
      <c r="AS70" s="187"/>
      <c r="AT70" s="187"/>
      <c r="AU70" s="187"/>
      <c r="AV70" s="187"/>
      <c r="AW70" s="187"/>
      <c r="AX70" s="187"/>
      <c r="AY70" s="187"/>
      <c r="AZ70" s="187"/>
      <c r="BA70" s="187"/>
    </row>
    <row r="71" spans="1:53" outlineLevel="1" x14ac:dyDescent="0.35">
      <c r="A71" s="6" t="s">
        <v>35</v>
      </c>
      <c r="Z71" s="6">
        <f>'Results - raw data ReCiPe (H)'!BA62</f>
        <v>4.1175539932106838E-8</v>
      </c>
      <c r="AB71" s="187"/>
      <c r="AC71" s="187"/>
      <c r="AD71" s="187"/>
      <c r="AE71" s="187"/>
      <c r="AF71" s="187"/>
      <c r="AG71" s="187"/>
      <c r="AH71" s="187"/>
      <c r="AI71" s="187"/>
      <c r="AJ71" s="187"/>
      <c r="AK71" s="187"/>
      <c r="AL71" s="187"/>
      <c r="AM71" s="187"/>
      <c r="AN71" s="187"/>
      <c r="AO71" s="187"/>
      <c r="AP71" s="187"/>
      <c r="AQ71" s="187"/>
      <c r="AR71" s="187"/>
      <c r="AS71" s="187"/>
      <c r="AT71" s="187"/>
      <c r="AU71" s="187"/>
      <c r="AV71" s="187"/>
      <c r="AW71" s="187"/>
      <c r="AX71" s="187"/>
      <c r="AY71" s="187"/>
      <c r="AZ71" s="187"/>
      <c r="BA71" s="187"/>
    </row>
    <row r="72" spans="1:53" outlineLevel="1" x14ac:dyDescent="0.35">
      <c r="A72" s="6" t="s">
        <v>37</v>
      </c>
      <c r="Z72" s="6">
        <f>'Results - raw data ReCiPe (H)'!BA63</f>
        <v>1.082893050409224E-7</v>
      </c>
      <c r="AB72" s="187"/>
      <c r="AC72" s="187"/>
      <c r="AD72" s="187"/>
      <c r="AE72" s="187"/>
      <c r="AF72" s="187"/>
      <c r="AG72" s="187"/>
      <c r="AH72" s="187"/>
      <c r="AI72" s="187"/>
      <c r="AJ72" s="187"/>
      <c r="AK72" s="187"/>
      <c r="AL72" s="187"/>
      <c r="AM72" s="187"/>
      <c r="AN72" s="187"/>
      <c r="AO72" s="187"/>
      <c r="AP72" s="187"/>
      <c r="AQ72" s="187"/>
      <c r="AR72" s="187"/>
      <c r="AS72" s="187"/>
      <c r="AT72" s="187"/>
      <c r="AU72" s="187"/>
      <c r="AV72" s="187"/>
      <c r="AW72" s="187"/>
      <c r="AX72" s="187"/>
      <c r="AY72" s="187"/>
      <c r="AZ72" s="187"/>
      <c r="BA72" s="187"/>
    </row>
    <row r="73" spans="1:53" outlineLevel="1" x14ac:dyDescent="0.35">
      <c r="A73" s="6" t="s">
        <v>40</v>
      </c>
      <c r="Z73" s="6">
        <f>'Results - raw data ReCiPe (H)'!BA64</f>
        <v>9.3290002951854711E-7</v>
      </c>
    </row>
    <row r="74" spans="1:53" outlineLevel="1" x14ac:dyDescent="0.35">
      <c r="A74" s="6" t="s">
        <v>42</v>
      </c>
      <c r="Z74" s="6">
        <f>'Results - raw data ReCiPe (H)'!BA65</f>
        <v>1.6127658943828059E-7</v>
      </c>
    </row>
    <row r="75" spans="1:53" outlineLevel="1" x14ac:dyDescent="0.35">
      <c r="A75" s="6" t="s">
        <v>115</v>
      </c>
      <c r="Z75" s="6">
        <f>'Results - raw data ReCiPe (H)'!BA66</f>
        <v>9.7768184832398183E-7</v>
      </c>
    </row>
    <row r="76" spans="1:53" outlineLevel="1" x14ac:dyDescent="0.35">
      <c r="A76" s="6" t="s">
        <v>45</v>
      </c>
      <c r="Z76" s="6">
        <f>'Results - raw data ReCiPe (H)'!BA67*AC47*AC48</f>
        <v>8.9177657234606268E-8</v>
      </c>
    </row>
    <row r="77" spans="1:53" outlineLevel="1" x14ac:dyDescent="0.35">
      <c r="A77" s="6" t="s">
        <v>116</v>
      </c>
      <c r="B77" s="6">
        <f>'Results - raw data ReCiPe (H)'!AC68</f>
        <v>4.3941155135361717E-6</v>
      </c>
      <c r="C77" s="6">
        <f>'Results - raw data ReCiPe (H)'!AD68</f>
        <v>4.3551339936524957E-6</v>
      </c>
      <c r="D77" s="6">
        <f>'Results - raw data ReCiPe (H)'!AE68</f>
        <v>4.3155764585668393E-6</v>
      </c>
      <c r="E77" s="6">
        <f>'Results - raw data ReCiPe (H)'!AF68</f>
        <v>4.2507924568478764E-6</v>
      </c>
      <c r="F77" s="6">
        <f>'Results - raw data ReCiPe (H)'!AG68</f>
        <v>4.2100362106520597E-6</v>
      </c>
      <c r="G77" s="6">
        <f>'Results - raw data ReCiPe (H)'!AH68</f>
        <v>4.1687095630562638E-6</v>
      </c>
      <c r="H77" s="6">
        <f>'Results - raw data ReCiPe (H)'!AI68</f>
        <v>4.1207843305059888E-6</v>
      </c>
      <c r="I77" s="6">
        <f>'Results - raw data ReCiPe (H)'!AJ68</f>
        <v>4.0725727703376247E-6</v>
      </c>
      <c r="J77" s="6">
        <f>'Results - raw data ReCiPe (H)'!AK68</f>
        <v>4.01062457106556E-6</v>
      </c>
      <c r="K77" s="6">
        <f>'Results - raw data ReCiPe (H)'!AL68</f>
        <v>3.961479922998473E-6</v>
      </c>
      <c r="L77" s="6">
        <f>'Results - raw data ReCiPe (H)'!AM68</f>
        <v>3.9118591966726191E-6</v>
      </c>
      <c r="M77" s="6">
        <f>'Results - raw data ReCiPe (H)'!AN68</f>
        <v>3.8471478244737326E-6</v>
      </c>
      <c r="N77" s="6">
        <f>'Results - raw data ReCiPe (H)'!AO68</f>
        <v>3.782659921523485E-6</v>
      </c>
      <c r="O77" s="6">
        <f>'Results - raw data ReCiPe (H)'!AP68</f>
        <v>3.713272756861E-6</v>
      </c>
      <c r="P77" s="6">
        <f>'Results - raw data ReCiPe (H)'!AQ68</f>
        <v>3.6491625076252609E-6</v>
      </c>
      <c r="Q77" s="6">
        <f>'Results - raw data ReCiPe (H)'!AR68</f>
        <v>3.5852486401048028E-6</v>
      </c>
      <c r="R77" s="6">
        <f>'Results - raw data ReCiPe (H)'!AS68</f>
        <v>3.541524251276272E-6</v>
      </c>
      <c r="S77" s="6">
        <f>'Results - raw data ReCiPe (H)'!AT68</f>
        <v>3.497920157316386E-6</v>
      </c>
      <c r="T77" s="6">
        <f>'Results - raw data ReCiPe (H)'!AU68</f>
        <v>3.4498744880293848E-6</v>
      </c>
      <c r="U77" s="6">
        <f>'Results - raw data ReCiPe (H)'!AV68</f>
        <v>3.40659234526044E-6</v>
      </c>
      <c r="V77" s="6">
        <f>'Results - raw data ReCiPe (H)'!AW68</f>
        <v>3.3635236817237319E-6</v>
      </c>
      <c r="W77" s="6">
        <f>'Results - raw data ReCiPe (H)'!AX68</f>
        <v>3.372986237475297E-6</v>
      </c>
      <c r="X77" s="6">
        <f>'Results - raw data ReCiPe (H)'!AY68</f>
        <v>3.366594014311087E-6</v>
      </c>
      <c r="Y77" s="6">
        <f>'Results - raw data ReCiPe (H)'!AZ68</f>
        <v>3.3602610921714248E-6</v>
      </c>
      <c r="Z77" s="6">
        <f>'Results - raw data ReCiPe (H)'!BA68</f>
        <v>3.3539861692443772E-6</v>
      </c>
    </row>
    <row r="78" spans="1:53" outlineLevel="1" x14ac:dyDescent="0.35">
      <c r="A78" s="6" t="s">
        <v>758</v>
      </c>
      <c r="B78" s="6">
        <f>'Results - raw data ReCiPe (H)'!AC69*$AC$47</f>
        <v>1.180353765704293E-5</v>
      </c>
      <c r="C78" s="6">
        <f>'Results - raw data ReCiPe (H)'!AD69*$AC$47</f>
        <v>1.1073155861344529E-5</v>
      </c>
      <c r="D78" s="6">
        <f>'Results - raw data ReCiPe (H)'!AE69*$AC$47</f>
        <v>1.0345410243321971E-5</v>
      </c>
      <c r="E78" s="6">
        <f>'Results - raw data ReCiPe (H)'!AF69*$AC$47</f>
        <v>9.6076734762525372E-6</v>
      </c>
      <c r="F78" s="6">
        <f>'Results - raw data ReCiPe (H)'!AG69*$AC$47</f>
        <v>8.8850274124384594E-6</v>
      </c>
      <c r="G78" s="6">
        <f>'Results - raw data ReCiPe (H)'!AH69*$AC$47</f>
        <v>8.1649981181105521E-6</v>
      </c>
      <c r="H78" s="6">
        <f>'Results - raw data ReCiPe (H)'!AI69*$AC$47</f>
        <v>7.7124545581239988E-6</v>
      </c>
      <c r="I78" s="6">
        <f>'Results - raw data ReCiPe (H)'!AJ69*$AC$47</f>
        <v>7.2606091517102967E-6</v>
      </c>
      <c r="J78" s="6">
        <f>'Results - raw data ReCiPe (H)'!AK69*$AC$47</f>
        <v>6.7997153185198531E-6</v>
      </c>
      <c r="K78" s="6">
        <f>'Results - raw data ReCiPe (H)'!AL69*$AC$47</f>
        <v>6.3480215018184388E-6</v>
      </c>
      <c r="L78" s="6">
        <f>'Results - raw data ReCiPe (H)'!AM69*$AC$47</f>
        <v>5.8963671944136386E-6</v>
      </c>
      <c r="M78" s="6">
        <f>'Results - raw data ReCiPe (H)'!AN69*$AC$47</f>
        <v>5.5916639914165485E-6</v>
      </c>
      <c r="N78" s="6">
        <f>'Results - raw data ReCiPe (H)'!AO69*$AC$47</f>
        <v>5.2856066738563171E-6</v>
      </c>
      <c r="O78" s="6">
        <f>'Results - raw data ReCiPe (H)'!AP69*$AC$47</f>
        <v>4.975080681316159E-6</v>
      </c>
      <c r="P78" s="6">
        <f>'Results - raw data ReCiPe (H)'!AQ69*$AC$47</f>
        <v>4.6657076029889536E-6</v>
      </c>
      <c r="Q78" s="6">
        <f>'Results - raw data ReCiPe (H)'!AR69*$AC$47</f>
        <v>4.3549751300134577E-6</v>
      </c>
      <c r="R78" s="6">
        <f>'Results - raw data ReCiPe (H)'!AS69*$AC$47</f>
        <v>4.2158964067818076E-6</v>
      </c>
      <c r="S78" s="6">
        <f>'Results - raw data ReCiPe (H)'!AT69*$AC$47</f>
        <v>4.0768847583429948E-6</v>
      </c>
      <c r="T78" s="6">
        <f>'Results - raw data ReCiPe (H)'!AU69*$AC$47</f>
        <v>3.9352947430933967E-6</v>
      </c>
      <c r="U78" s="6">
        <f>'Results - raw data ReCiPe (H)'!AV69*$AC$47</f>
        <v>3.7962663629180191E-6</v>
      </c>
      <c r="V78" s="6">
        <f>'Results - raw data ReCiPe (H)'!AW69*$AC$47</f>
        <v>3.6573208024109291E-6</v>
      </c>
      <c r="W78" s="6">
        <f>'Results - raw data ReCiPe (H)'!AX69*$AC$47</f>
        <v>3.6679197950260158E-6</v>
      </c>
      <c r="X78" s="6">
        <f>'Results - raw data ReCiPe (H)'!AY69*$AC$47</f>
        <v>3.6029840180959272E-6</v>
      </c>
      <c r="Y78" s="6">
        <f>'Results - raw data ReCiPe (H)'!AZ69*$AC$47</f>
        <v>3.5379422713850677E-6</v>
      </c>
      <c r="Z78" s="6">
        <f>'Results - raw data ReCiPe (H)'!BA69*$AC$47</f>
        <v>3.4727851788264592E-6</v>
      </c>
    </row>
    <row r="79" spans="1:53" outlineLevel="1" x14ac:dyDescent="0.35">
      <c r="A79" s="6" t="s">
        <v>759</v>
      </c>
      <c r="B79" s="6">
        <f>'Results - raw data ReCiPe (H)'!AC70</f>
        <v>2.0736000294618859E-7</v>
      </c>
      <c r="C79" s="6">
        <f>'Results - raw data ReCiPe (H)'!AD70</f>
        <v>2.0736000294618859E-7</v>
      </c>
      <c r="D79" s="6">
        <f>'Results - raw data ReCiPe (H)'!AE70</f>
        <v>2.0736000294618859E-7</v>
      </c>
      <c r="E79" s="6">
        <f>'Results - raw data ReCiPe (H)'!AF70</f>
        <v>2.0736000294618859E-7</v>
      </c>
      <c r="F79" s="6">
        <f>'Results - raw data ReCiPe (H)'!AG70</f>
        <v>2.0736000294618859E-7</v>
      </c>
      <c r="G79" s="6">
        <f>'Results - raw data ReCiPe (H)'!AH70</f>
        <v>2.0736000294618859E-7</v>
      </c>
      <c r="H79" s="6">
        <f>'Results - raw data ReCiPe (H)'!AI70</f>
        <v>2.0736000294618859E-7</v>
      </c>
      <c r="I79" s="6">
        <f>'Results - raw data ReCiPe (H)'!AJ70</f>
        <v>2.0736000294618859E-7</v>
      </c>
      <c r="J79" s="6">
        <f>'Results - raw data ReCiPe (H)'!AK70</f>
        <v>2.0736000294618859E-7</v>
      </c>
      <c r="K79" s="6">
        <f>'Results - raw data ReCiPe (H)'!AL70</f>
        <v>2.0736000294618859E-7</v>
      </c>
      <c r="L79" s="6">
        <f>'Results - raw data ReCiPe (H)'!AM70</f>
        <v>2.0736000294618859E-7</v>
      </c>
      <c r="M79" s="6">
        <f>'Results - raw data ReCiPe (H)'!AN70</f>
        <v>2.0736000294618859E-7</v>
      </c>
      <c r="N79" s="6">
        <f>'Results - raw data ReCiPe (H)'!AO70</f>
        <v>2.0736000294618859E-7</v>
      </c>
      <c r="O79" s="6">
        <f>'Results - raw data ReCiPe (H)'!AP70</f>
        <v>2.0736000294618859E-7</v>
      </c>
      <c r="P79" s="6">
        <f>'Results - raw data ReCiPe (H)'!AQ70</f>
        <v>2.0736000294618859E-7</v>
      </c>
      <c r="Q79" s="6">
        <f>'Results - raw data ReCiPe (H)'!AR70</f>
        <v>2.0736000294618859E-7</v>
      </c>
      <c r="R79" s="6">
        <f>'Results - raw data ReCiPe (H)'!AS70</f>
        <v>2.0736000294618859E-7</v>
      </c>
      <c r="S79" s="6">
        <f>'Results - raw data ReCiPe (H)'!AT70</f>
        <v>2.0736000294618859E-7</v>
      </c>
      <c r="T79" s="6">
        <f>'Results - raw data ReCiPe (H)'!AU70</f>
        <v>2.0736000294618859E-7</v>
      </c>
      <c r="U79" s="6">
        <f>'Results - raw data ReCiPe (H)'!AV70</f>
        <v>2.0736000294618859E-7</v>
      </c>
      <c r="V79" s="6">
        <f>'Results - raw data ReCiPe (H)'!AW70</f>
        <v>2.0736000294618859E-7</v>
      </c>
      <c r="W79" s="6">
        <f>'Results - raw data ReCiPe (H)'!AX70</f>
        <v>2.0736000294618859E-7</v>
      </c>
      <c r="X79" s="6">
        <f>'Results - raw data ReCiPe (H)'!AY70</f>
        <v>2.0736000294618859E-7</v>
      </c>
      <c r="Y79" s="6">
        <f>'Results - raw data ReCiPe (H)'!AZ70</f>
        <v>2.0736000294618859E-7</v>
      </c>
      <c r="Z79" s="6">
        <f>'Results - raw data ReCiPe (H)'!BA70</f>
        <v>2.0736000294618859E-7</v>
      </c>
    </row>
    <row r="80" spans="1:53" outlineLevel="1" x14ac:dyDescent="0.35">
      <c r="A80" s="6" t="s">
        <v>760</v>
      </c>
      <c r="B80" s="6">
        <f>'Results - raw data ReCiPe (H)'!AC71</f>
        <v>1.33406996040256E-4</v>
      </c>
      <c r="C80" s="6">
        <f>'Results - raw data ReCiPe (H)'!AD71</f>
        <v>1.241442625783911E-4</v>
      </c>
      <c r="D80" s="6">
        <f>'Results - raw data ReCiPe (H)'!AE71</f>
        <v>1.1487501983016359E-4</v>
      </c>
      <c r="E80" s="6">
        <f>'Results - raw data ReCiPe (H)'!AF71</f>
        <v>1.0545941106449679E-4</v>
      </c>
      <c r="F80" s="6">
        <f>'Results - raw data ReCiPe (H)'!AG71</f>
        <v>9.6174565413820084E-5</v>
      </c>
      <c r="G80" s="6">
        <f>'Results - raw data ReCiPe (H)'!AH71</f>
        <v>8.6882882547603411E-5</v>
      </c>
      <c r="H80" s="6">
        <f>'Results - raw data ReCiPe (H)'!AI71</f>
        <v>8.1041908053245822E-5</v>
      </c>
      <c r="I80" s="6">
        <f>'Results - raw data ReCiPe (H)'!AJ71</f>
        <v>7.5198569885999916E-5</v>
      </c>
      <c r="J80" s="6">
        <f>'Results - raw data ReCiPe (H)'!AK71</f>
        <v>6.9239818308114852E-5</v>
      </c>
      <c r="K80" s="6">
        <f>'Results - raw data ReCiPe (H)'!AL71</f>
        <v>6.3375763761424841E-5</v>
      </c>
      <c r="L80" s="6">
        <f>'Results - raw data ReCiPe (H)'!AM71</f>
        <v>5.7500986931553743E-5</v>
      </c>
      <c r="M80" s="6">
        <f>'Results - raw data ReCiPe (H)'!AN71</f>
        <v>5.3556018304734959E-5</v>
      </c>
      <c r="N80" s="6">
        <f>'Results - raw data ReCiPe (H)'!AO71</f>
        <v>4.9591447052307587E-5</v>
      </c>
      <c r="O80" s="6">
        <f>'Results - raw data ReCiPe (H)'!AP71</f>
        <v>4.5571557701640838E-5</v>
      </c>
      <c r="P80" s="6">
        <f>'Results - raw data ReCiPe (H)'!AQ71</f>
        <v>4.1559968420540401E-5</v>
      </c>
      <c r="Q80" s="6">
        <f>'Results - raw data ReCiPe (H)'!AR71</f>
        <v>3.7528982368349858E-5</v>
      </c>
      <c r="R80" s="6">
        <f>'Results - raw data ReCiPe (H)'!AS71</f>
        <v>3.5740165829207997E-5</v>
      </c>
      <c r="S80" s="6">
        <f>'Results - raw data ReCiPe (H)'!AT71</f>
        <v>3.3956182252024573E-5</v>
      </c>
      <c r="T80" s="6">
        <f>'Results - raw data ReCiPe (H)'!AU71</f>
        <v>3.2146930351901807E-5</v>
      </c>
      <c r="U80" s="6">
        <f>'Results - raw data ReCiPe (H)'!AV71</f>
        <v>3.0370707056901139E-5</v>
      </c>
      <c r="V80" s="6">
        <f>'Results - raw data ReCiPe (H)'!AW71</f>
        <v>2.859955429203854E-5</v>
      </c>
      <c r="W80" s="6">
        <f>'Results - raw data ReCiPe (H)'!AX71</f>
        <v>2.862740222205861E-5</v>
      </c>
      <c r="X80" s="6">
        <f>'Results - raw data ReCiPe (H)'!AY71</f>
        <v>2.7786735653935509E-5</v>
      </c>
      <c r="Y80" s="6">
        <f>'Results - raw data ReCiPe (H)'!AZ71</f>
        <v>2.694203818051411E-5</v>
      </c>
      <c r="Z80" s="6">
        <f>'Results - raw data ReCiPe (H)'!BA71</f>
        <v>2.6093211713794149E-5</v>
      </c>
    </row>
    <row r="81" spans="1:53" outlineLevel="1" x14ac:dyDescent="0.35">
      <c r="A81" s="23" t="s">
        <v>125</v>
      </c>
      <c r="B81" s="17">
        <f t="shared" ref="B81:Z81" si="9">SUM(B50:B80)</f>
        <v>3.4404307611845349E-4</v>
      </c>
      <c r="C81" s="17">
        <f t="shared" si="9"/>
        <v>1.3977991243633431E-4</v>
      </c>
      <c r="D81" s="17">
        <f t="shared" si="9"/>
        <v>1.297433665349986E-4</v>
      </c>
      <c r="E81" s="17">
        <f t="shared" si="9"/>
        <v>1.195252370005434E-4</v>
      </c>
      <c r="F81" s="17">
        <f t="shared" si="9"/>
        <v>1.0947698903985679E-4</v>
      </c>
      <c r="G81" s="17">
        <f t="shared" si="9"/>
        <v>9.9423950231716419E-5</v>
      </c>
      <c r="H81" s="17">
        <f t="shared" si="9"/>
        <v>9.3082506944822005E-5</v>
      </c>
      <c r="I81" s="17">
        <f t="shared" si="9"/>
        <v>8.6739111810994028E-5</v>
      </c>
      <c r="J81" s="17">
        <f t="shared" si="9"/>
        <v>8.0257518200646457E-5</v>
      </c>
      <c r="K81" s="17">
        <f t="shared" si="9"/>
        <v>7.3892625189187939E-5</v>
      </c>
      <c r="L81" s="17">
        <f t="shared" si="9"/>
        <v>6.7516573325586193E-5</v>
      </c>
      <c r="M81" s="17">
        <f t="shared" si="9"/>
        <v>6.3202190123571423E-5</v>
      </c>
      <c r="N81" s="17">
        <f t="shared" si="9"/>
        <v>5.8867073650633576E-5</v>
      </c>
      <c r="O81" s="17">
        <f t="shared" si="9"/>
        <v>5.4467271142764185E-5</v>
      </c>
      <c r="P81" s="17">
        <f t="shared" si="9"/>
        <v>5.0082198534100807E-5</v>
      </c>
      <c r="Q81" s="17">
        <f t="shared" si="9"/>
        <v>4.5676566141414308E-5</v>
      </c>
      <c r="R81" s="17">
        <f t="shared" si="9"/>
        <v>4.3704946490212269E-5</v>
      </c>
      <c r="S81" s="17">
        <f t="shared" si="9"/>
        <v>4.173834717063014E-5</v>
      </c>
      <c r="T81" s="17">
        <f t="shared" si="9"/>
        <v>3.9739459585970775E-5</v>
      </c>
      <c r="U81" s="17">
        <f t="shared" si="9"/>
        <v>3.7780925768025784E-5</v>
      </c>
      <c r="V81" s="17">
        <f t="shared" si="9"/>
        <v>3.5827758779119392E-5</v>
      </c>
      <c r="W81" s="17">
        <f t="shared" si="9"/>
        <v>3.5875668257506112E-5</v>
      </c>
      <c r="X81" s="17">
        <f t="shared" si="9"/>
        <v>3.4963673689288712E-5</v>
      </c>
      <c r="Y81" s="17">
        <f t="shared" si="9"/>
        <v>3.404760154701679E-5</v>
      </c>
      <c r="Z81" s="17">
        <f t="shared" si="9"/>
        <v>3.5797957661071256E-5</v>
      </c>
    </row>
    <row r="82" spans="1:53" outlineLevel="1" x14ac:dyDescent="0.35"/>
    <row r="83" spans="1:53" s="18" customFormat="1" ht="21" x14ac:dyDescent="0.5">
      <c r="A83" s="18" t="s">
        <v>94</v>
      </c>
    </row>
    <row r="84" spans="1:53" s="20" customFormat="1" outlineLevel="1" x14ac:dyDescent="0.35">
      <c r="A84" s="19" t="s">
        <v>767</v>
      </c>
    </row>
    <row r="85" spans="1:53" s="16" customFormat="1" outlineLevel="1" x14ac:dyDescent="0.35">
      <c r="A85" s="21"/>
      <c r="AB85" s="15" t="s">
        <v>143</v>
      </c>
      <c r="AC85" s="16">
        <f>0.0000000028+0.0000000000000765</f>
        <v>2.8000764999999998E-9</v>
      </c>
      <c r="AD85" s="16" t="s">
        <v>916</v>
      </c>
      <c r="AE85" s="15" t="s">
        <v>714</v>
      </c>
    </row>
    <row r="86" spans="1:53" s="16" customFormat="1" outlineLevel="1" x14ac:dyDescent="0.35">
      <c r="A86" s="22" t="s">
        <v>917</v>
      </c>
      <c r="AC86" s="16">
        <f>AC85*1000</f>
        <v>2.8000765E-6</v>
      </c>
      <c r="AD86" s="16" t="s">
        <v>918</v>
      </c>
    </row>
    <row r="87" spans="1:53" s="16" customFormat="1" outlineLevel="1" x14ac:dyDescent="0.35">
      <c r="A87" s="22"/>
      <c r="AB87" s="16" t="s">
        <v>127</v>
      </c>
      <c r="AC87" s="16">
        <v>100</v>
      </c>
      <c r="AD87" s="16" t="s">
        <v>128</v>
      </c>
    </row>
    <row r="88" spans="1:53" s="16" customFormat="1" outlineLevel="1" x14ac:dyDescent="0.35">
      <c r="A88" s="22"/>
      <c r="AB88" s="16" t="s">
        <v>129</v>
      </c>
      <c r="AC88" s="16">
        <v>25</v>
      </c>
      <c r="AD88" s="16" t="s">
        <v>130</v>
      </c>
    </row>
    <row r="89" spans="1:53" outlineLevel="1" x14ac:dyDescent="0.35">
      <c r="B89" s="25">
        <v>2030</v>
      </c>
      <c r="C89" s="25">
        <v>2031</v>
      </c>
      <c r="D89" s="25">
        <v>2032</v>
      </c>
      <c r="E89" s="25">
        <v>2033</v>
      </c>
      <c r="F89" s="25">
        <v>2034</v>
      </c>
      <c r="G89" s="25">
        <v>2035</v>
      </c>
      <c r="H89" s="25">
        <v>2036</v>
      </c>
      <c r="I89" s="25">
        <v>2037</v>
      </c>
      <c r="J89" s="25">
        <v>2038</v>
      </c>
      <c r="K89" s="25">
        <v>2039</v>
      </c>
      <c r="L89" s="25">
        <v>2040</v>
      </c>
      <c r="M89" s="25">
        <v>2041</v>
      </c>
      <c r="N89" s="25">
        <v>2042</v>
      </c>
      <c r="O89" s="25">
        <v>2043</v>
      </c>
      <c r="P89" s="25">
        <v>2044</v>
      </c>
      <c r="Q89" s="25">
        <v>2045</v>
      </c>
      <c r="R89" s="25">
        <v>2046</v>
      </c>
      <c r="S89" s="25">
        <v>2047</v>
      </c>
      <c r="T89" s="25">
        <v>2048</v>
      </c>
      <c r="U89" s="25">
        <v>2049</v>
      </c>
      <c r="V89" s="25">
        <v>2050</v>
      </c>
      <c r="W89" s="25">
        <v>2051</v>
      </c>
      <c r="X89" s="25">
        <v>2052</v>
      </c>
      <c r="Y89" s="25">
        <v>2053</v>
      </c>
      <c r="Z89" s="25">
        <v>2054</v>
      </c>
      <c r="AC89" s="25">
        <v>2030</v>
      </c>
      <c r="AD89" s="25">
        <v>2031</v>
      </c>
      <c r="AE89" s="25">
        <v>2032</v>
      </c>
      <c r="AF89" s="25">
        <v>2033</v>
      </c>
      <c r="AG89" s="25">
        <v>2034</v>
      </c>
      <c r="AH89" s="25">
        <v>2035</v>
      </c>
      <c r="AI89" s="25">
        <v>2036</v>
      </c>
      <c r="AJ89" s="25">
        <v>2037</v>
      </c>
      <c r="AK89" s="25">
        <v>2038</v>
      </c>
      <c r="AL89" s="25">
        <v>2039</v>
      </c>
      <c r="AM89" s="25">
        <v>2040</v>
      </c>
      <c r="AN89" s="25">
        <v>2041</v>
      </c>
      <c r="AO89" s="25">
        <v>2042</v>
      </c>
      <c r="AP89" s="25">
        <v>2043</v>
      </c>
      <c r="AQ89" s="25">
        <v>2044</v>
      </c>
      <c r="AR89" s="25">
        <v>2045</v>
      </c>
      <c r="AS89" s="25">
        <v>2046</v>
      </c>
      <c r="AT89" s="25">
        <v>2047</v>
      </c>
      <c r="AU89" s="25">
        <v>2048</v>
      </c>
      <c r="AV89" s="25">
        <v>2049</v>
      </c>
      <c r="AW89" s="25">
        <v>2050</v>
      </c>
      <c r="AX89" s="25">
        <v>2051</v>
      </c>
      <c r="AY89" s="25">
        <v>2052</v>
      </c>
      <c r="AZ89" s="25">
        <v>2053</v>
      </c>
      <c r="BA89" s="25">
        <v>2054</v>
      </c>
    </row>
    <row r="90" spans="1:53" outlineLevel="1" x14ac:dyDescent="0.35">
      <c r="A90" s="6" t="s">
        <v>21</v>
      </c>
      <c r="B90" s="6">
        <f>'Results - raw data ReCiPe (H)'!AC77</f>
        <v>2.5730574523951919E-6</v>
      </c>
      <c r="AB90" s="6" t="s">
        <v>117</v>
      </c>
      <c r="AC90" s="6">
        <f>SUM(B90:B101)+B103</f>
        <v>1.5226911141711527E-4</v>
      </c>
    </row>
    <row r="91" spans="1:53" outlineLevel="1" x14ac:dyDescent="0.35">
      <c r="A91" s="6" t="s">
        <v>23</v>
      </c>
      <c r="B91" s="6">
        <f>'Results - raw data ReCiPe (H)'!AC78</f>
        <v>4.8920761983372821E-6</v>
      </c>
      <c r="AB91" s="6" t="s">
        <v>118</v>
      </c>
      <c r="AC91" s="6">
        <f>B102</f>
        <v>9.7865963272845992E-6</v>
      </c>
    </row>
    <row r="92" spans="1:53" outlineLevel="1" x14ac:dyDescent="0.35">
      <c r="A92" s="6" t="s">
        <v>26</v>
      </c>
      <c r="B92" s="6">
        <f>'Results - raw data ReCiPe (H)'!AC79</f>
        <v>1.2592987091342301E-5</v>
      </c>
      <c r="AB92" s="6" t="s">
        <v>119</v>
      </c>
      <c r="BA92" s="6">
        <f>SUM(Z104:Z115)</f>
        <v>2.4979772832792044E-6</v>
      </c>
    </row>
    <row r="93" spans="1:53" outlineLevel="1" x14ac:dyDescent="0.35">
      <c r="A93" s="6" t="s">
        <v>28</v>
      </c>
      <c r="B93" s="6">
        <f>'Results - raw data ReCiPe (H)'!AC80</f>
        <v>9.5688269134472151E-6</v>
      </c>
      <c r="AB93" s="6" t="s">
        <v>120</v>
      </c>
      <c r="BA93" s="6">
        <f>Z116</f>
        <v>8.9291412421487725E-8</v>
      </c>
    </row>
    <row r="94" spans="1:53" outlineLevel="1" x14ac:dyDescent="0.35">
      <c r="A94" s="6" t="s">
        <v>29</v>
      </c>
      <c r="B94" s="6">
        <f>'Results - raw data ReCiPe (H)'!AC81</f>
        <v>7.5789098247603887E-6</v>
      </c>
      <c r="AB94" s="6" t="s">
        <v>121</v>
      </c>
      <c r="AC94" s="6">
        <f>B117</f>
        <v>3.715731652454359E-6</v>
      </c>
      <c r="AF94" s="6">
        <f>E117</f>
        <v>3.5013590415283682E-6</v>
      </c>
      <c r="AI94" s="6">
        <f>H117</f>
        <v>3.359625974222981E-6</v>
      </c>
      <c r="AL94" s="6">
        <f>K117</f>
        <v>3.3222042704526711E-6</v>
      </c>
      <c r="AO94" s="6">
        <f>N117</f>
        <v>3.3098090978734569E-6</v>
      </c>
      <c r="AR94" s="6">
        <f>Q117</f>
        <v>3.2987119954850761E-6</v>
      </c>
      <c r="AU94" s="6">
        <f>T117</f>
        <v>3.278896138541998E-6</v>
      </c>
      <c r="AX94" s="6">
        <f>W117</f>
        <v>3.2828870256197742E-6</v>
      </c>
      <c r="BA94" s="6">
        <f>Z117</f>
        <v>3.2779455111866361E-6</v>
      </c>
    </row>
    <row r="95" spans="1:53" outlineLevel="1" x14ac:dyDescent="0.35">
      <c r="A95" s="6" t="s">
        <v>31</v>
      </c>
      <c r="B95" s="6">
        <f>'Results - raw data ReCiPe (H)'!AC82</f>
        <v>6.5339554735163091E-6</v>
      </c>
      <c r="AB95" s="6" t="s">
        <v>122</v>
      </c>
      <c r="AC95" s="6">
        <f>B120+B119</f>
        <v>6.3717328796313093E-5</v>
      </c>
      <c r="AD95" s="6">
        <f t="shared" ref="AD95:BA95" si="10">C120+C119</f>
        <v>5.6064869259432871E-5</v>
      </c>
      <c r="AE95" s="6">
        <f t="shared" si="10"/>
        <v>4.8387865202493779E-5</v>
      </c>
      <c r="AF95" s="6">
        <f t="shared" si="10"/>
        <v>4.0517758274940266E-5</v>
      </c>
      <c r="AG95" s="6">
        <f t="shared" si="10"/>
        <v>3.2780388556367346E-5</v>
      </c>
      <c r="AH95" s="6">
        <f t="shared" si="10"/>
        <v>2.5018586502988008E-5</v>
      </c>
      <c r="AI95" s="6">
        <f t="shared" si="10"/>
        <v>2.4397784673646839E-5</v>
      </c>
      <c r="AJ95" s="6">
        <f t="shared" si="10"/>
        <v>2.3766644488374709E-5</v>
      </c>
      <c r="AK95" s="6">
        <f t="shared" si="10"/>
        <v>2.2968897962791128E-5</v>
      </c>
      <c r="AL95" s="6">
        <f t="shared" si="10"/>
        <v>2.2308068249612139E-5</v>
      </c>
      <c r="AM95" s="6">
        <f t="shared" si="10"/>
        <v>2.1636248337898779E-5</v>
      </c>
      <c r="AN95" s="6">
        <f t="shared" si="10"/>
        <v>2.1186751507580927E-5</v>
      </c>
      <c r="AO95" s="6">
        <f t="shared" si="10"/>
        <v>2.0735727732456728E-5</v>
      </c>
      <c r="AP95" s="6">
        <f t="shared" si="10"/>
        <v>2.0237052755713819E-5</v>
      </c>
      <c r="AQ95" s="6">
        <f t="shared" si="10"/>
        <v>1.977188367707933E-5</v>
      </c>
      <c r="AR95" s="6">
        <f t="shared" si="10"/>
        <v>1.930151207486615E-5</v>
      </c>
      <c r="AS95" s="6">
        <f t="shared" si="10"/>
        <v>1.750980975287537E-5</v>
      </c>
      <c r="AT95" s="6">
        <f t="shared" si="10"/>
        <v>1.573940713515193E-5</v>
      </c>
      <c r="AU95" s="6">
        <f t="shared" si="10"/>
        <v>1.3954408532416669E-5</v>
      </c>
      <c r="AV95" s="6">
        <f t="shared" si="10"/>
        <v>1.2223309099940228E-5</v>
      </c>
      <c r="AW95" s="6">
        <f t="shared" si="10"/>
        <v>1.0506036422635848E-5</v>
      </c>
      <c r="AX95" s="6">
        <f t="shared" si="10"/>
        <v>1.0245999437767839E-5</v>
      </c>
      <c r="AY95" s="6">
        <f t="shared" si="10"/>
        <v>9.0410572106458026E-6</v>
      </c>
      <c r="AZ95" s="6">
        <f t="shared" si="10"/>
        <v>7.8342904707184229E-6</v>
      </c>
      <c r="BA95" s="6">
        <f t="shared" si="10"/>
        <v>6.6254960565204505E-6</v>
      </c>
    </row>
    <row r="96" spans="1:53" outlineLevel="1" x14ac:dyDescent="0.35">
      <c r="A96" s="6" t="s">
        <v>34</v>
      </c>
      <c r="B96" s="6">
        <f>'Results - raw data ReCiPe (H)'!AC83</f>
        <v>4.3369769417194421E-6</v>
      </c>
      <c r="AB96" s="6" t="s">
        <v>123</v>
      </c>
      <c r="AC96" s="6">
        <f t="shared" ref="AC96:BA96" si="11">B118</f>
        <v>6.3817447397678701E-6</v>
      </c>
      <c r="AD96" s="6">
        <f t="shared" si="11"/>
        <v>5.7821592952878012E-6</v>
      </c>
      <c r="AE96" s="6">
        <f t="shared" si="11"/>
        <v>5.184444313018207E-6</v>
      </c>
      <c r="AF96" s="6">
        <f t="shared" si="11"/>
        <v>4.573849456068004E-6</v>
      </c>
      <c r="AG96" s="6">
        <f t="shared" si="11"/>
        <v>3.9790659179141379E-6</v>
      </c>
      <c r="AH96" s="6">
        <f t="shared" si="11"/>
        <v>3.3861463555049949E-6</v>
      </c>
      <c r="AI96" s="6">
        <f t="shared" si="11"/>
        <v>3.3374682082654149E-6</v>
      </c>
      <c r="AJ96" s="6">
        <f t="shared" si="11"/>
        <v>3.2881570368442091E-6</v>
      </c>
      <c r="AK96" s="6">
        <f t="shared" si="11"/>
        <v>3.2253656685543869E-6</v>
      </c>
      <c r="AL96" s="6">
        <f t="shared" si="11"/>
        <v>3.1741680482204189E-6</v>
      </c>
      <c r="AM96" s="6">
        <f t="shared" si="11"/>
        <v>3.1223148211611095E-6</v>
      </c>
      <c r="AN96" s="6">
        <f t="shared" si="11"/>
        <v>3.0875438210041065E-6</v>
      </c>
      <c r="AO96" s="6">
        <f t="shared" si="11"/>
        <v>3.0526438684044575E-6</v>
      </c>
      <c r="AP96" s="6">
        <f t="shared" si="11"/>
        <v>3.0137586886540927E-6</v>
      </c>
      <c r="AQ96" s="6">
        <f t="shared" si="11"/>
        <v>2.9777691935766821E-6</v>
      </c>
      <c r="AR96" s="6">
        <f t="shared" si="11"/>
        <v>2.9413690235047201E-6</v>
      </c>
      <c r="AS96" s="6">
        <f t="shared" si="11"/>
        <v>2.8046124052885331E-6</v>
      </c>
      <c r="AT96" s="6">
        <f t="shared" si="11"/>
        <v>2.668261086883535E-6</v>
      </c>
      <c r="AU96" s="6">
        <f t="shared" si="11"/>
        <v>2.52927218934321E-6</v>
      </c>
      <c r="AV96" s="6">
        <f t="shared" si="11"/>
        <v>2.3935320689052198E-6</v>
      </c>
      <c r="AW96" s="6">
        <f t="shared" si="11"/>
        <v>2.2576695351428628E-6</v>
      </c>
      <c r="AX96" s="6">
        <f t="shared" si="11"/>
        <v>2.2491397340091358E-6</v>
      </c>
      <c r="AY96" s="6">
        <f t="shared" si="11"/>
        <v>2.1590820324197839E-6</v>
      </c>
      <c r="AZ96" s="6">
        <f t="shared" si="11"/>
        <v>2.0691563580032741E-6</v>
      </c>
      <c r="BA96" s="6">
        <f t="shared" si="11"/>
        <v>1.9793448929012829E-6</v>
      </c>
    </row>
    <row r="97" spans="1:53" outlineLevel="1" x14ac:dyDescent="0.35">
      <c r="A97" s="6" t="s">
        <v>36</v>
      </c>
      <c r="B97" s="6">
        <f>'Results - raw data ReCiPe (H)'!AC84</f>
        <v>3.5786050973205839E-6</v>
      </c>
      <c r="AB97" s="6" t="s">
        <v>124</v>
      </c>
      <c r="AC97" s="6">
        <f>-$AC$7*$AC$6</f>
        <v>-2.8000764999999998E-4</v>
      </c>
      <c r="AD97" s="6">
        <f t="shared" ref="AD97:BA97" si="12">-$AC$7*$AC$6</f>
        <v>-2.8000764999999998E-4</v>
      </c>
      <c r="AE97" s="6">
        <f t="shared" si="12"/>
        <v>-2.8000764999999998E-4</v>
      </c>
      <c r="AF97" s="6">
        <f t="shared" si="12"/>
        <v>-2.8000764999999998E-4</v>
      </c>
      <c r="AG97" s="6">
        <f t="shared" si="12"/>
        <v>-2.8000764999999998E-4</v>
      </c>
      <c r="AH97" s="6">
        <f t="shared" si="12"/>
        <v>-2.8000764999999998E-4</v>
      </c>
      <c r="AI97" s="6">
        <f t="shared" si="12"/>
        <v>-2.8000764999999998E-4</v>
      </c>
      <c r="AJ97" s="6">
        <f t="shared" si="12"/>
        <v>-2.8000764999999998E-4</v>
      </c>
      <c r="AK97" s="6">
        <f t="shared" si="12"/>
        <v>-2.8000764999999998E-4</v>
      </c>
      <c r="AL97" s="6">
        <f t="shared" si="12"/>
        <v>-2.8000764999999998E-4</v>
      </c>
      <c r="AM97" s="6">
        <f t="shared" si="12"/>
        <v>-2.8000764999999998E-4</v>
      </c>
      <c r="AN97" s="6">
        <f t="shared" si="12"/>
        <v>-2.8000764999999998E-4</v>
      </c>
      <c r="AO97" s="6">
        <f t="shared" si="12"/>
        <v>-2.8000764999999998E-4</v>
      </c>
      <c r="AP97" s="6">
        <f t="shared" si="12"/>
        <v>-2.8000764999999998E-4</v>
      </c>
      <c r="AQ97" s="6">
        <f t="shared" si="12"/>
        <v>-2.8000764999999998E-4</v>
      </c>
      <c r="AR97" s="6">
        <f t="shared" si="12"/>
        <v>-2.8000764999999998E-4</v>
      </c>
      <c r="AS97" s="6">
        <f t="shared" si="12"/>
        <v>-2.8000764999999998E-4</v>
      </c>
      <c r="AT97" s="6">
        <f t="shared" si="12"/>
        <v>-2.8000764999999998E-4</v>
      </c>
      <c r="AU97" s="6">
        <f t="shared" si="12"/>
        <v>-2.8000764999999998E-4</v>
      </c>
      <c r="AV97" s="6">
        <f t="shared" si="12"/>
        <v>-2.8000764999999998E-4</v>
      </c>
      <c r="AW97" s="6">
        <f t="shared" si="12"/>
        <v>-2.8000764999999998E-4</v>
      </c>
      <c r="AX97" s="6">
        <f t="shared" si="12"/>
        <v>-2.8000764999999998E-4</v>
      </c>
      <c r="AY97" s="6">
        <f t="shared" si="12"/>
        <v>-2.8000764999999998E-4</v>
      </c>
      <c r="AZ97" s="6">
        <f t="shared" si="12"/>
        <v>-2.8000764999999998E-4</v>
      </c>
      <c r="BA97" s="6">
        <f t="shared" si="12"/>
        <v>-2.8000764999999998E-4</v>
      </c>
    </row>
    <row r="98" spans="1:53" outlineLevel="1" x14ac:dyDescent="0.35">
      <c r="A98" s="6" t="s">
        <v>38</v>
      </c>
      <c r="B98" s="6">
        <f>'Results - raw data ReCiPe (H)'!AC85</f>
        <v>1.9755647666104199E-5</v>
      </c>
      <c r="AB98" s="23" t="s">
        <v>125</v>
      </c>
      <c r="AC98" s="17">
        <f t="shared" ref="AC98:BA98" si="13">SUM(AC90:AC97)</f>
        <v>-4.4137137067064785E-5</v>
      </c>
      <c r="AD98" s="17">
        <f t="shared" si="13"/>
        <v>-2.1816062144527931E-4</v>
      </c>
      <c r="AE98" s="17">
        <f t="shared" si="13"/>
        <v>-2.26435340484488E-4</v>
      </c>
      <c r="AF98" s="17">
        <f t="shared" si="13"/>
        <v>-2.3141468322746334E-4</v>
      </c>
      <c r="AG98" s="17">
        <f t="shared" si="13"/>
        <v>-2.432481955257185E-4</v>
      </c>
      <c r="AH98" s="17">
        <f t="shared" si="13"/>
        <v>-2.5160291714150697E-4</v>
      </c>
      <c r="AI98" s="17">
        <f t="shared" si="13"/>
        <v>-2.4891277114386475E-4</v>
      </c>
      <c r="AJ98" s="17">
        <f t="shared" si="13"/>
        <v>-2.5295284847478108E-4</v>
      </c>
      <c r="AK98" s="17">
        <f t="shared" si="13"/>
        <v>-2.538133863686545E-4</v>
      </c>
      <c r="AL98" s="17">
        <f t="shared" si="13"/>
        <v>-2.5120320943171473E-4</v>
      </c>
      <c r="AM98" s="17">
        <f t="shared" si="13"/>
        <v>-2.5524908684094007E-4</v>
      </c>
      <c r="AN98" s="17">
        <f t="shared" si="13"/>
        <v>-2.5573335467141497E-4</v>
      </c>
      <c r="AO98" s="17">
        <f t="shared" si="13"/>
        <v>-2.5290946930126533E-4</v>
      </c>
      <c r="AP98" s="17">
        <f t="shared" si="13"/>
        <v>-2.5675683855563207E-4</v>
      </c>
      <c r="AQ98" s="17">
        <f t="shared" si="13"/>
        <v>-2.5725799712934399E-4</v>
      </c>
      <c r="AR98" s="17">
        <f t="shared" si="13"/>
        <v>-2.5446605690614404E-4</v>
      </c>
      <c r="AS98" s="17">
        <f t="shared" si="13"/>
        <v>-2.5969322784183608E-4</v>
      </c>
      <c r="AT98" s="17">
        <f t="shared" si="13"/>
        <v>-2.6159998177796454E-4</v>
      </c>
      <c r="AU98" s="17">
        <f t="shared" si="13"/>
        <v>-2.6024507313969811E-4</v>
      </c>
      <c r="AV98" s="17">
        <f t="shared" si="13"/>
        <v>-2.6539080883115451E-4</v>
      </c>
      <c r="AW98" s="17">
        <f t="shared" si="13"/>
        <v>-2.6724394404222126E-4</v>
      </c>
      <c r="AX98" s="17">
        <f t="shared" si="13"/>
        <v>-2.6422962380260326E-4</v>
      </c>
      <c r="AY98" s="17">
        <f t="shared" si="13"/>
        <v>-2.6880751075693439E-4</v>
      </c>
      <c r="AZ98" s="17">
        <f t="shared" si="13"/>
        <v>-2.7010420317127826E-4</v>
      </c>
      <c r="BA98" s="17">
        <f t="shared" si="13"/>
        <v>-2.6553759484369095E-4</v>
      </c>
    </row>
    <row r="99" spans="1:53" outlineLevel="1" x14ac:dyDescent="0.35">
      <c r="A99" s="6" t="s">
        <v>39</v>
      </c>
      <c r="B99" s="6">
        <f>'Results - raw data ReCiPe (H)'!AC86</f>
        <v>4.9672540671057758E-5</v>
      </c>
    </row>
    <row r="100" spans="1:53" outlineLevel="1" x14ac:dyDescent="0.35">
      <c r="A100" s="6" t="s">
        <v>41</v>
      </c>
      <c r="B100" s="6">
        <f>'Results - raw data ReCiPe (H)'!AC87</f>
        <v>6.7173966351855849E-7</v>
      </c>
    </row>
    <row r="101" spans="1:53" outlineLevel="1" x14ac:dyDescent="0.35">
      <c r="A101" s="6" t="s">
        <v>43</v>
      </c>
      <c r="B101" s="6">
        <f>'Results - raw data ReCiPe (H)'!AC88</f>
        <v>1.9363285429090501E-6</v>
      </c>
      <c r="AB101" s="187"/>
      <c r="AC101" s="187"/>
      <c r="AD101" s="187"/>
      <c r="AE101" s="187"/>
      <c r="AF101" s="187"/>
      <c r="AG101" s="187"/>
      <c r="AH101" s="187"/>
      <c r="AI101" s="187"/>
      <c r="AJ101" s="187"/>
      <c r="AK101" s="187"/>
      <c r="AL101" s="187"/>
      <c r="AM101" s="187"/>
      <c r="AN101" s="187"/>
      <c r="AO101" s="187"/>
      <c r="AP101" s="187"/>
      <c r="AQ101" s="187"/>
      <c r="AR101" s="187"/>
      <c r="AS101" s="187"/>
      <c r="AT101" s="187"/>
      <c r="AU101" s="187"/>
      <c r="AV101" s="187"/>
      <c r="AW101" s="187"/>
      <c r="AX101" s="187"/>
      <c r="AY101" s="187"/>
      <c r="AZ101" s="187"/>
      <c r="BA101" s="187"/>
    </row>
    <row r="102" spans="1:53" outlineLevel="1" x14ac:dyDescent="0.35">
      <c r="A102" s="6" t="s">
        <v>44</v>
      </c>
      <c r="B102" s="6">
        <f>'Results - raw data ReCiPe (H)'!AC89*AC87*AC88</f>
        <v>9.7865963272845992E-6</v>
      </c>
      <c r="AB102" s="187"/>
      <c r="AC102" s="187"/>
      <c r="AD102" s="187"/>
      <c r="AE102" s="187"/>
      <c r="AF102" s="187"/>
      <c r="AG102" s="187"/>
      <c r="AH102" s="187"/>
      <c r="AI102" s="187"/>
      <c r="AJ102" s="187"/>
      <c r="AK102" s="187"/>
      <c r="AL102" s="187"/>
      <c r="AM102" s="187"/>
      <c r="AN102" s="187"/>
      <c r="AO102" s="187"/>
      <c r="AP102" s="187"/>
      <c r="AQ102" s="187"/>
      <c r="AR102" s="187"/>
      <c r="AS102" s="187"/>
      <c r="AT102" s="187"/>
      <c r="AU102" s="187"/>
      <c r="AV102" s="187"/>
      <c r="AW102" s="187"/>
      <c r="AX102" s="187"/>
      <c r="AY102" s="187"/>
      <c r="AZ102" s="187"/>
      <c r="BA102" s="187"/>
    </row>
    <row r="103" spans="1:53" outlineLevel="1" x14ac:dyDescent="0.35">
      <c r="A103" s="6" t="s">
        <v>757</v>
      </c>
      <c r="B103" s="6">
        <f>'Results - raw data ReCiPe (H)'!AC90*AC87*AC88</f>
        <v>2.8577459880686999E-5</v>
      </c>
      <c r="AB103" s="187"/>
      <c r="AC103" s="187"/>
      <c r="AD103" s="187"/>
      <c r="AE103" s="187"/>
      <c r="AF103" s="187"/>
      <c r="AG103" s="187"/>
      <c r="AH103" s="187"/>
      <c r="AI103" s="187"/>
      <c r="AJ103" s="187"/>
      <c r="AK103" s="187"/>
      <c r="AL103" s="187"/>
      <c r="AM103" s="187"/>
      <c r="AN103" s="187"/>
      <c r="AO103" s="187"/>
      <c r="AP103" s="187"/>
      <c r="AQ103" s="187"/>
      <c r="AR103" s="187"/>
      <c r="AS103" s="187"/>
      <c r="AT103" s="187"/>
      <c r="AU103" s="187"/>
      <c r="AV103" s="187"/>
      <c r="AW103" s="187"/>
      <c r="AX103" s="187"/>
      <c r="AY103" s="187"/>
      <c r="AZ103" s="187"/>
      <c r="BA103" s="187"/>
    </row>
    <row r="104" spans="1:53" outlineLevel="1" x14ac:dyDescent="0.35">
      <c r="A104" s="6" t="s">
        <v>22</v>
      </c>
      <c r="Z104" s="6">
        <f>'Results - raw data ReCiPe (H)'!BA91</f>
        <v>6.1463287504351536E-8</v>
      </c>
      <c r="AB104" s="187"/>
      <c r="AC104" s="187"/>
      <c r="AD104" s="187"/>
      <c r="AE104" s="187"/>
      <c r="AF104" s="187"/>
      <c r="AG104" s="187"/>
      <c r="AH104" s="187"/>
      <c r="AI104" s="187"/>
      <c r="AJ104" s="187"/>
      <c r="AK104" s="187"/>
      <c r="AL104" s="187"/>
      <c r="AM104" s="187"/>
      <c r="AN104" s="187"/>
      <c r="AO104" s="187"/>
      <c r="AP104" s="187"/>
      <c r="AQ104" s="187"/>
      <c r="AR104" s="187"/>
      <c r="AS104" s="187"/>
      <c r="AT104" s="187"/>
      <c r="AU104" s="187"/>
      <c r="AV104" s="187"/>
      <c r="AW104" s="187"/>
      <c r="AX104" s="187"/>
      <c r="AY104" s="187"/>
      <c r="AZ104" s="187"/>
      <c r="BA104" s="187"/>
    </row>
    <row r="105" spans="1:53" outlineLevel="1" x14ac:dyDescent="0.35">
      <c r="A105" s="6" t="s">
        <v>24</v>
      </c>
      <c r="Z105" s="6">
        <f>'Results - raw data ReCiPe (H)'!BA92</f>
        <v>2.9780930154979231E-8</v>
      </c>
      <c r="AB105" s="187"/>
      <c r="AC105" s="187"/>
      <c r="AD105" s="187"/>
      <c r="AE105" s="187"/>
      <c r="AF105" s="187"/>
      <c r="AG105" s="187"/>
      <c r="AH105" s="187"/>
      <c r="AI105" s="187"/>
      <c r="AJ105" s="187"/>
      <c r="AK105" s="187"/>
      <c r="AL105" s="187"/>
      <c r="AM105" s="187"/>
      <c r="AN105" s="187"/>
      <c r="AO105" s="187"/>
      <c r="AP105" s="187"/>
      <c r="AQ105" s="187"/>
      <c r="AR105" s="187"/>
      <c r="AS105" s="187"/>
      <c r="AT105" s="187"/>
      <c r="AU105" s="187"/>
      <c r="AV105" s="187"/>
      <c r="AW105" s="187"/>
      <c r="AX105" s="187"/>
      <c r="AY105" s="187"/>
      <c r="AZ105" s="187"/>
      <c r="BA105" s="187"/>
    </row>
    <row r="106" spans="1:53" outlineLevel="1" x14ac:dyDescent="0.35">
      <c r="A106" s="6" t="s">
        <v>25</v>
      </c>
      <c r="Z106" s="6">
        <f>'Results - raw data ReCiPe (H)'!BA93</f>
        <v>1.1656149191787559E-7</v>
      </c>
      <c r="AB106" s="187"/>
      <c r="AC106" s="187"/>
      <c r="AD106" s="187"/>
      <c r="AE106" s="187"/>
      <c r="AF106" s="187"/>
      <c r="AG106" s="187"/>
      <c r="AH106" s="187"/>
      <c r="AI106" s="187"/>
      <c r="AJ106" s="187"/>
      <c r="AK106" s="187"/>
      <c r="AL106" s="187"/>
      <c r="AM106" s="187"/>
      <c r="AN106" s="187"/>
      <c r="AO106" s="187"/>
      <c r="AP106" s="187"/>
      <c r="AQ106" s="187"/>
      <c r="AR106" s="187"/>
      <c r="AS106" s="187"/>
      <c r="AT106" s="187"/>
      <c r="AU106" s="187"/>
      <c r="AV106" s="187"/>
      <c r="AW106" s="187"/>
      <c r="AX106" s="187"/>
      <c r="AY106" s="187"/>
      <c r="AZ106" s="187"/>
      <c r="BA106" s="187"/>
    </row>
    <row r="107" spans="1:53" outlineLevel="1" x14ac:dyDescent="0.35">
      <c r="A107" s="6" t="s">
        <v>27</v>
      </c>
      <c r="Z107" s="6">
        <f>'Results - raw data ReCiPe (H)'!BA94</f>
        <v>4.3717870155312199E-8</v>
      </c>
      <c r="AB107" s="187"/>
      <c r="AC107" s="187"/>
      <c r="AD107" s="187"/>
      <c r="AE107" s="187"/>
      <c r="AF107" s="187"/>
      <c r="AG107" s="187"/>
      <c r="AH107" s="187"/>
      <c r="AI107" s="187"/>
      <c r="AJ107" s="187"/>
      <c r="AK107" s="187"/>
      <c r="AL107" s="187"/>
      <c r="AM107" s="187"/>
      <c r="AN107" s="187"/>
      <c r="AO107" s="187"/>
      <c r="AP107" s="187"/>
      <c r="AQ107" s="187"/>
      <c r="AR107" s="187"/>
      <c r="AS107" s="187"/>
      <c r="AT107" s="187"/>
      <c r="AU107" s="187"/>
      <c r="AV107" s="187"/>
      <c r="AW107" s="187"/>
      <c r="AX107" s="187"/>
      <c r="AY107" s="187"/>
      <c r="AZ107" s="187"/>
      <c r="BA107" s="187"/>
    </row>
    <row r="108" spans="1:53" outlineLevel="1" x14ac:dyDescent="0.35">
      <c r="A108" s="6" t="s">
        <v>30</v>
      </c>
      <c r="Z108" s="6">
        <f>'Results - raw data ReCiPe (H)'!BA95</f>
        <v>8.0994806426941983E-8</v>
      </c>
      <c r="AB108" s="187"/>
      <c r="AC108" s="187"/>
      <c r="AD108" s="187"/>
      <c r="AE108" s="187"/>
      <c r="AF108" s="187"/>
      <c r="AG108" s="187"/>
      <c r="AH108" s="187"/>
      <c r="AI108" s="187"/>
      <c r="AJ108" s="187"/>
      <c r="AK108" s="187"/>
      <c r="AL108" s="187"/>
      <c r="AM108" s="187"/>
      <c r="AN108" s="187"/>
      <c r="AO108" s="187"/>
      <c r="AP108" s="187"/>
      <c r="AQ108" s="187"/>
      <c r="AR108" s="187"/>
      <c r="AS108" s="187"/>
      <c r="AT108" s="187"/>
      <c r="AU108" s="187"/>
      <c r="AV108" s="187"/>
      <c r="AW108" s="187"/>
      <c r="AX108" s="187"/>
      <c r="AY108" s="187"/>
      <c r="AZ108" s="187"/>
      <c r="BA108" s="187"/>
    </row>
    <row r="109" spans="1:53" outlineLevel="1" x14ac:dyDescent="0.35">
      <c r="A109" s="6" t="s">
        <v>32</v>
      </c>
      <c r="Z109" s="6">
        <f>'Results - raw data ReCiPe (H)'!BA96</f>
        <v>6.377197675436085E-9</v>
      </c>
      <c r="AB109" s="187"/>
      <c r="AC109" s="187"/>
      <c r="AD109" s="187"/>
      <c r="AE109" s="187"/>
      <c r="AF109" s="187"/>
      <c r="AG109" s="187"/>
      <c r="AH109" s="187"/>
      <c r="AI109" s="187"/>
      <c r="AJ109" s="187"/>
      <c r="AK109" s="187"/>
      <c r="AL109" s="187"/>
      <c r="AM109" s="187"/>
      <c r="AN109" s="187"/>
      <c r="AO109" s="187"/>
      <c r="AP109" s="187"/>
      <c r="AQ109" s="187"/>
      <c r="AR109" s="187"/>
      <c r="AS109" s="187"/>
      <c r="AT109" s="187"/>
      <c r="AU109" s="187"/>
      <c r="AV109" s="187"/>
      <c r="AW109" s="187"/>
      <c r="AX109" s="187"/>
      <c r="AY109" s="187"/>
      <c r="AZ109" s="187"/>
      <c r="BA109" s="187"/>
    </row>
    <row r="110" spans="1:53" outlineLevel="1" x14ac:dyDescent="0.35">
      <c r="A110" s="6" t="s">
        <v>33</v>
      </c>
      <c r="Z110" s="6">
        <f>'Results - raw data ReCiPe (H)'!BA97</f>
        <v>2.0574872161815658E-8</v>
      </c>
      <c r="AB110" s="187"/>
      <c r="AC110" s="187"/>
      <c r="AD110" s="187"/>
      <c r="AE110" s="187"/>
      <c r="AF110" s="187"/>
      <c r="AG110" s="187"/>
      <c r="AH110" s="187"/>
      <c r="AI110" s="187"/>
      <c r="AJ110" s="187"/>
      <c r="AK110" s="187"/>
      <c r="AL110" s="187"/>
      <c r="AM110" s="187"/>
      <c r="AN110" s="187"/>
      <c r="AO110" s="187"/>
      <c r="AP110" s="187"/>
      <c r="AQ110" s="187"/>
      <c r="AR110" s="187"/>
      <c r="AS110" s="187"/>
      <c r="AT110" s="187"/>
      <c r="AU110" s="187"/>
      <c r="AV110" s="187"/>
      <c r="AW110" s="187"/>
      <c r="AX110" s="187"/>
      <c r="AY110" s="187"/>
      <c r="AZ110" s="187"/>
      <c r="BA110" s="187"/>
    </row>
    <row r="111" spans="1:53" outlineLevel="1" x14ac:dyDescent="0.35">
      <c r="A111" s="6" t="s">
        <v>35</v>
      </c>
      <c r="Z111" s="6">
        <f>'Results - raw data ReCiPe (H)'!BA98</f>
        <v>4.114974432363133E-8</v>
      </c>
      <c r="AB111" s="187"/>
      <c r="AC111" s="187"/>
      <c r="AD111" s="187"/>
      <c r="AE111" s="187"/>
      <c r="AF111" s="187"/>
      <c r="AG111" s="187"/>
      <c r="AH111" s="187"/>
      <c r="AI111" s="187"/>
      <c r="AJ111" s="187"/>
      <c r="AK111" s="187"/>
      <c r="AL111" s="187"/>
      <c r="AM111" s="187"/>
      <c r="AN111" s="187"/>
      <c r="AO111" s="187"/>
      <c r="AP111" s="187"/>
      <c r="AQ111" s="187"/>
      <c r="AR111" s="187"/>
      <c r="AS111" s="187"/>
      <c r="AT111" s="187"/>
      <c r="AU111" s="187"/>
      <c r="AV111" s="187"/>
      <c r="AW111" s="187"/>
      <c r="AX111" s="187"/>
      <c r="AY111" s="187"/>
      <c r="AZ111" s="187"/>
      <c r="BA111" s="187"/>
    </row>
    <row r="112" spans="1:53" outlineLevel="1" x14ac:dyDescent="0.35">
      <c r="A112" s="6" t="s">
        <v>37</v>
      </c>
      <c r="Z112" s="6">
        <f>'Results - raw data ReCiPe (H)'!BA99</f>
        <v>1.0863148431932961E-7</v>
      </c>
      <c r="AB112" s="187"/>
      <c r="AC112" s="187"/>
      <c r="AD112" s="187"/>
      <c r="AE112" s="187"/>
      <c r="AF112" s="187"/>
      <c r="AG112" s="187"/>
      <c r="AH112" s="187"/>
      <c r="AI112" s="187"/>
      <c r="AJ112" s="187"/>
      <c r="AK112" s="187"/>
      <c r="AL112" s="187"/>
      <c r="AM112" s="187"/>
      <c r="AN112" s="187"/>
      <c r="AO112" s="187"/>
      <c r="AP112" s="187"/>
      <c r="AQ112" s="187"/>
      <c r="AR112" s="187"/>
      <c r="AS112" s="187"/>
      <c r="AT112" s="187"/>
      <c r="AU112" s="187"/>
      <c r="AV112" s="187"/>
      <c r="AW112" s="187"/>
      <c r="AX112" s="187"/>
      <c r="AY112" s="187"/>
      <c r="AZ112" s="187"/>
      <c r="BA112" s="187"/>
    </row>
    <row r="113" spans="1:31" outlineLevel="1" x14ac:dyDescent="0.35">
      <c r="A113" s="6" t="s">
        <v>40</v>
      </c>
      <c r="Z113" s="6">
        <f>'Results - raw data ReCiPe (H)'!BA100</f>
        <v>9.3099600369301554E-7</v>
      </c>
    </row>
    <row r="114" spans="1:31" outlineLevel="1" x14ac:dyDescent="0.35">
      <c r="A114" s="6" t="s">
        <v>42</v>
      </c>
      <c r="Z114" s="6">
        <f>'Results - raw data ReCiPe (H)'!BA101</f>
        <v>1.5771509757995021E-7</v>
      </c>
    </row>
    <row r="115" spans="1:31" outlineLevel="1" x14ac:dyDescent="0.35">
      <c r="A115" s="6" t="s">
        <v>115</v>
      </c>
      <c r="Z115" s="6">
        <f>'Results - raw data ReCiPe (H)'!BA102</f>
        <v>9.0001449736656561E-7</v>
      </c>
    </row>
    <row r="116" spans="1:31" outlineLevel="1" x14ac:dyDescent="0.35">
      <c r="A116" s="6" t="s">
        <v>45</v>
      </c>
      <c r="Z116" s="6">
        <f>'Results - raw data ReCiPe (H)'!BA103*AC87*AC88</f>
        <v>8.9291412421487725E-8</v>
      </c>
    </row>
    <row r="117" spans="1:31" outlineLevel="1" x14ac:dyDescent="0.35">
      <c r="A117" s="6" t="s">
        <v>116</v>
      </c>
      <c r="B117" s="6">
        <f>'Results - raw data ReCiPe (H)'!AC104</f>
        <v>3.715731652454359E-6</v>
      </c>
      <c r="C117" s="6">
        <f>'Results - raw data ReCiPe (H)'!AD104</f>
        <v>3.653971786261327E-6</v>
      </c>
      <c r="D117" s="6">
        <f>'Results - raw data ReCiPe (H)'!AE104</f>
        <v>3.590700222859685E-6</v>
      </c>
      <c r="E117" s="6">
        <f>'Results - raw data ReCiPe (H)'!AF104</f>
        <v>3.5013590415283682E-6</v>
      </c>
      <c r="F117" s="6">
        <f>'Results - raw data ReCiPe (H)'!AG104</f>
        <v>3.4350987731988199E-6</v>
      </c>
      <c r="G117" s="6">
        <f>'Results - raw data ReCiPe (H)'!AH104</f>
        <v>3.3672208371307779E-6</v>
      </c>
      <c r="H117" s="6">
        <f>'Results - raw data ReCiPe (H)'!AI104</f>
        <v>3.359625974222981E-6</v>
      </c>
      <c r="I117" s="6">
        <f>'Results - raw data ReCiPe (H)'!AJ104</f>
        <v>3.3517806086884919E-6</v>
      </c>
      <c r="J117" s="6">
        <f>'Results - raw data ReCiPe (H)'!AK104</f>
        <v>3.330478938302756E-6</v>
      </c>
      <c r="K117" s="6">
        <f>'Results - raw data ReCiPe (H)'!AL104</f>
        <v>3.3222042704526711E-6</v>
      </c>
      <c r="L117" s="6">
        <f>'Results - raw data ReCiPe (H)'!AM104</f>
        <v>3.3137581199034298E-6</v>
      </c>
      <c r="M117" s="6">
        <f>'Results - raw data ReCiPe (H)'!AN104</f>
        <v>3.3117835992973371E-6</v>
      </c>
      <c r="N117" s="6">
        <f>'Results - raw data ReCiPe (H)'!AO104</f>
        <v>3.3098090978734569E-6</v>
      </c>
      <c r="O117" s="6">
        <f>'Results - raw data ReCiPe (H)'!AP104</f>
        <v>3.3027531832062708E-6</v>
      </c>
      <c r="P117" s="6">
        <f>'Results - raw data ReCiPe (H)'!AQ104</f>
        <v>3.300744338648619E-6</v>
      </c>
      <c r="Q117" s="6">
        <f>'Results - raw data ReCiPe (H)'!AR104</f>
        <v>3.2987119954850761E-6</v>
      </c>
      <c r="R117" s="6">
        <f>'Results - raw data ReCiPe (H)'!AS104</f>
        <v>3.2935302766583081E-6</v>
      </c>
      <c r="S117" s="6">
        <f>'Results - raw data ReCiPe (H)'!AT104</f>
        <v>3.288392539742852E-6</v>
      </c>
      <c r="T117" s="6">
        <f>'Results - raw data ReCiPe (H)'!AU104</f>
        <v>3.278896138541998E-6</v>
      </c>
      <c r="U117" s="6">
        <f>'Results - raw data ReCiPe (H)'!AV104</f>
        <v>3.273848587933931E-6</v>
      </c>
      <c r="V117" s="6">
        <f>'Results - raw data ReCiPe (H)'!AW104</f>
        <v>3.268749516231205E-6</v>
      </c>
      <c r="W117" s="6">
        <f>'Results - raw data ReCiPe (H)'!AX104</f>
        <v>3.2828870256197742E-6</v>
      </c>
      <c r="X117" s="6">
        <f>'Results - raw data ReCiPe (H)'!AY104</f>
        <v>3.2812446458292191E-6</v>
      </c>
      <c r="Y117" s="6">
        <f>'Results - raw data ReCiPe (H)'!AZ104</f>
        <v>3.2795974630278679E-6</v>
      </c>
      <c r="Z117" s="6">
        <f>'Results - raw data ReCiPe (H)'!BA104</f>
        <v>3.2779455111866361E-6</v>
      </c>
    </row>
    <row r="118" spans="1:31" outlineLevel="1" x14ac:dyDescent="0.35">
      <c r="A118" s="6" t="s">
        <v>758</v>
      </c>
      <c r="B118" s="6">
        <f>'Results - raw data ReCiPe (H)'!AC105*$AC$87</f>
        <v>6.3817447397678701E-6</v>
      </c>
      <c r="C118" s="6">
        <f>'Results - raw data ReCiPe (H)'!AD105*$AC$87</f>
        <v>5.7821592952878012E-6</v>
      </c>
      <c r="D118" s="6">
        <f>'Results - raw data ReCiPe (H)'!AE105*$AC$87</f>
        <v>5.184444313018207E-6</v>
      </c>
      <c r="E118" s="6">
        <f>'Results - raw data ReCiPe (H)'!AF105*$AC$87</f>
        <v>4.573849456068004E-6</v>
      </c>
      <c r="F118" s="6">
        <f>'Results - raw data ReCiPe (H)'!AG105*$AC$87</f>
        <v>3.9790659179141379E-6</v>
      </c>
      <c r="G118" s="6">
        <f>'Results - raw data ReCiPe (H)'!AH105*$AC$87</f>
        <v>3.3861463555049949E-6</v>
      </c>
      <c r="H118" s="6">
        <f>'Results - raw data ReCiPe (H)'!AI105*$AC$87</f>
        <v>3.3374682082654149E-6</v>
      </c>
      <c r="I118" s="6">
        <f>'Results - raw data ReCiPe (H)'!AJ105*$AC$87</f>
        <v>3.2881570368442091E-6</v>
      </c>
      <c r="J118" s="6">
        <f>'Results - raw data ReCiPe (H)'!AK105*$AC$87</f>
        <v>3.2253656685543869E-6</v>
      </c>
      <c r="K118" s="6">
        <f>'Results - raw data ReCiPe (H)'!AL105*$AC$87</f>
        <v>3.1741680482204189E-6</v>
      </c>
      <c r="L118" s="6">
        <f>'Results - raw data ReCiPe (H)'!AM105*$AC$87</f>
        <v>3.1223148211611095E-6</v>
      </c>
      <c r="M118" s="6">
        <f>'Results - raw data ReCiPe (H)'!AN105*$AC$87</f>
        <v>3.0875438210041065E-6</v>
      </c>
      <c r="N118" s="6">
        <f>'Results - raw data ReCiPe (H)'!AO105*$AC$87</f>
        <v>3.0526438684044575E-6</v>
      </c>
      <c r="O118" s="6">
        <f>'Results - raw data ReCiPe (H)'!AP105*$AC$87</f>
        <v>3.0137586886540927E-6</v>
      </c>
      <c r="P118" s="6">
        <f>'Results - raw data ReCiPe (H)'!AQ105*$AC$87</f>
        <v>2.9777691935766821E-6</v>
      </c>
      <c r="Q118" s="6">
        <f>'Results - raw data ReCiPe (H)'!AR105*$AC$87</f>
        <v>2.9413690235047201E-6</v>
      </c>
      <c r="R118" s="6">
        <f>'Results - raw data ReCiPe (H)'!AS105*$AC$87</f>
        <v>2.8046124052885331E-6</v>
      </c>
      <c r="S118" s="6">
        <f>'Results - raw data ReCiPe (H)'!AT105*$AC$87</f>
        <v>2.668261086883535E-6</v>
      </c>
      <c r="T118" s="6">
        <f>'Results - raw data ReCiPe (H)'!AU105*$AC$87</f>
        <v>2.52927218934321E-6</v>
      </c>
      <c r="U118" s="6">
        <f>'Results - raw data ReCiPe (H)'!AV105*$AC$87</f>
        <v>2.3935320689052198E-6</v>
      </c>
      <c r="V118" s="6">
        <f>'Results - raw data ReCiPe (H)'!AW105*$AC$87</f>
        <v>2.2576695351428628E-6</v>
      </c>
      <c r="W118" s="6">
        <f>'Results - raw data ReCiPe (H)'!AX105*$AC$87</f>
        <v>2.2491397340091358E-6</v>
      </c>
      <c r="X118" s="6">
        <f>'Results - raw data ReCiPe (H)'!AY105*$AC$87</f>
        <v>2.1590820324197839E-6</v>
      </c>
      <c r="Y118" s="6">
        <f>'Results - raw data ReCiPe (H)'!AZ105*$AC$87</f>
        <v>2.0691563580032741E-6</v>
      </c>
      <c r="Z118" s="6">
        <f>'Results - raw data ReCiPe (H)'!BA105*$AC$87</f>
        <v>1.9793448929012829E-6</v>
      </c>
    </row>
    <row r="119" spans="1:31" outlineLevel="1" x14ac:dyDescent="0.35">
      <c r="A119" s="6" t="s">
        <v>759</v>
      </c>
      <c r="B119" s="6">
        <f>'Results - raw data ReCiPe (H)'!AC106</f>
        <v>2.0736000294618859E-7</v>
      </c>
      <c r="C119" s="6">
        <f>'Results - raw data ReCiPe (H)'!AD106</f>
        <v>2.0736000294618859E-7</v>
      </c>
      <c r="D119" s="6">
        <f>'Results - raw data ReCiPe (H)'!AE106</f>
        <v>2.0736000294618859E-7</v>
      </c>
      <c r="E119" s="6">
        <f>'Results - raw data ReCiPe (H)'!AF106</f>
        <v>2.0736000294618859E-7</v>
      </c>
      <c r="F119" s="6">
        <f>'Results - raw data ReCiPe (H)'!AG106</f>
        <v>2.0736000294618859E-7</v>
      </c>
      <c r="G119" s="6">
        <f>'Results - raw data ReCiPe (H)'!AH106</f>
        <v>2.0736000294618859E-7</v>
      </c>
      <c r="H119" s="6">
        <f>'Results - raw data ReCiPe (H)'!AI106</f>
        <v>2.0736000294618859E-7</v>
      </c>
      <c r="I119" s="6">
        <f>'Results - raw data ReCiPe (H)'!AJ106</f>
        <v>2.0736000294618859E-7</v>
      </c>
      <c r="J119" s="6">
        <f>'Results - raw data ReCiPe (H)'!AK106</f>
        <v>2.0736000294618859E-7</v>
      </c>
      <c r="K119" s="6">
        <f>'Results - raw data ReCiPe (H)'!AL106</f>
        <v>2.0736000294618859E-7</v>
      </c>
      <c r="L119" s="6">
        <f>'Results - raw data ReCiPe (H)'!AM106</f>
        <v>2.0736000294618859E-7</v>
      </c>
      <c r="M119" s="6">
        <f>'Results - raw data ReCiPe (H)'!AN106</f>
        <v>2.0736000294618859E-7</v>
      </c>
      <c r="N119" s="6">
        <f>'Results - raw data ReCiPe (H)'!AO106</f>
        <v>2.0736000294618859E-7</v>
      </c>
      <c r="O119" s="6">
        <f>'Results - raw data ReCiPe (H)'!AP106</f>
        <v>2.0736000294618859E-7</v>
      </c>
      <c r="P119" s="6">
        <f>'Results - raw data ReCiPe (H)'!AQ106</f>
        <v>2.0736000294618859E-7</v>
      </c>
      <c r="Q119" s="6">
        <f>'Results - raw data ReCiPe (H)'!AR106</f>
        <v>2.0736000294618859E-7</v>
      </c>
      <c r="R119" s="6">
        <f>'Results - raw data ReCiPe (H)'!AS106</f>
        <v>2.0736000294618859E-7</v>
      </c>
      <c r="S119" s="6">
        <f>'Results - raw data ReCiPe (H)'!AT106</f>
        <v>2.0736000294618859E-7</v>
      </c>
      <c r="T119" s="6">
        <f>'Results - raw data ReCiPe (H)'!AU106</f>
        <v>2.0736000294618859E-7</v>
      </c>
      <c r="U119" s="6">
        <f>'Results - raw data ReCiPe (H)'!AV106</f>
        <v>2.0736000294618859E-7</v>
      </c>
      <c r="V119" s="6">
        <f>'Results - raw data ReCiPe (H)'!AW106</f>
        <v>2.0736000294618859E-7</v>
      </c>
      <c r="W119" s="6">
        <f>'Results - raw data ReCiPe (H)'!AX106</f>
        <v>2.0736000294618859E-7</v>
      </c>
      <c r="X119" s="6">
        <f>'Results - raw data ReCiPe (H)'!AY106</f>
        <v>2.0736000294618859E-7</v>
      </c>
      <c r="Y119" s="6">
        <f>'Results - raw data ReCiPe (H)'!AZ106</f>
        <v>2.0736000294618859E-7</v>
      </c>
      <c r="Z119" s="6">
        <f>'Results - raw data ReCiPe (H)'!BA106</f>
        <v>2.0736000294618859E-7</v>
      </c>
    </row>
    <row r="120" spans="1:31" outlineLevel="1" x14ac:dyDescent="0.35">
      <c r="A120" s="6" t="s">
        <v>760</v>
      </c>
      <c r="B120" s="6">
        <f>'Results - raw data ReCiPe (H)'!AC107</f>
        <v>6.3509968793366904E-5</v>
      </c>
      <c r="C120" s="6">
        <f>'Results - raw data ReCiPe (H)'!AD107</f>
        <v>5.5857509256486682E-5</v>
      </c>
      <c r="D120" s="6">
        <f>'Results - raw data ReCiPe (H)'!AE107</f>
        <v>4.818050519954759E-5</v>
      </c>
      <c r="E120" s="6">
        <f>'Results - raw data ReCiPe (H)'!AF107</f>
        <v>4.0310398271994078E-5</v>
      </c>
      <c r="F120" s="6">
        <f>'Results - raw data ReCiPe (H)'!AG107</f>
        <v>3.2573028553421158E-5</v>
      </c>
      <c r="G120" s="6">
        <f>'Results - raw data ReCiPe (H)'!AH107</f>
        <v>2.4811226500041819E-5</v>
      </c>
      <c r="H120" s="6">
        <f>'Results - raw data ReCiPe (H)'!AI107</f>
        <v>2.4190424670700651E-5</v>
      </c>
      <c r="I120" s="6">
        <f>'Results - raw data ReCiPe (H)'!AJ107</f>
        <v>2.355928448542852E-5</v>
      </c>
      <c r="J120" s="6">
        <f>'Results - raw data ReCiPe (H)'!AK107</f>
        <v>2.2761537959844939E-5</v>
      </c>
      <c r="K120" s="6">
        <f>'Results - raw data ReCiPe (H)'!AL107</f>
        <v>2.210070824666595E-5</v>
      </c>
      <c r="L120" s="6">
        <f>'Results - raw data ReCiPe (H)'!AM107</f>
        <v>2.142888833495259E-5</v>
      </c>
      <c r="M120" s="6">
        <f>'Results - raw data ReCiPe (H)'!AN107</f>
        <v>2.0979391504634738E-5</v>
      </c>
      <c r="N120" s="6">
        <f>'Results - raw data ReCiPe (H)'!AO107</f>
        <v>2.0528367729510539E-5</v>
      </c>
      <c r="O120" s="6">
        <f>'Results - raw data ReCiPe (H)'!AP107</f>
        <v>2.002969275276763E-5</v>
      </c>
      <c r="P120" s="6">
        <f>'Results - raw data ReCiPe (H)'!AQ107</f>
        <v>1.9564523674133141E-5</v>
      </c>
      <c r="Q120" s="6">
        <f>'Results - raw data ReCiPe (H)'!AR107</f>
        <v>1.9094152071919961E-5</v>
      </c>
      <c r="R120" s="6">
        <f>'Results - raw data ReCiPe (H)'!AS107</f>
        <v>1.7302449749929181E-5</v>
      </c>
      <c r="S120" s="6">
        <f>'Results - raw data ReCiPe (H)'!AT107</f>
        <v>1.5532047132205741E-5</v>
      </c>
      <c r="T120" s="6">
        <f>'Results - raw data ReCiPe (H)'!AU107</f>
        <v>1.374704852947048E-5</v>
      </c>
      <c r="U120" s="6">
        <f>'Results - raw data ReCiPe (H)'!AV107</f>
        <v>1.201594909699404E-5</v>
      </c>
      <c r="V120" s="6">
        <f>'Results - raw data ReCiPe (H)'!AW107</f>
        <v>1.029867641968966E-5</v>
      </c>
      <c r="W120" s="6">
        <f>'Results - raw data ReCiPe (H)'!AX107</f>
        <v>1.003863943482165E-5</v>
      </c>
      <c r="X120" s="6">
        <f>'Results - raw data ReCiPe (H)'!AY107</f>
        <v>8.833697207699614E-6</v>
      </c>
      <c r="Y120" s="6">
        <f>'Results - raw data ReCiPe (H)'!AZ107</f>
        <v>7.6269304677722343E-6</v>
      </c>
      <c r="Z120" s="6">
        <f>'Results - raw data ReCiPe (H)'!BA107</f>
        <v>6.4181360535742619E-6</v>
      </c>
    </row>
    <row r="121" spans="1:31" outlineLevel="1" x14ac:dyDescent="0.35">
      <c r="A121" s="23" t="s">
        <v>125</v>
      </c>
      <c r="B121" s="17">
        <f t="shared" ref="B121:Z121" si="14">SUM(B90:B120)</f>
        <v>2.358705129329352E-4</v>
      </c>
      <c r="C121" s="17">
        <f t="shared" si="14"/>
        <v>6.5501000340981998E-5</v>
      </c>
      <c r="D121" s="17">
        <f t="shared" si="14"/>
        <v>5.7163009738371671E-5</v>
      </c>
      <c r="E121" s="17">
        <f t="shared" si="14"/>
        <v>4.8592966772536637E-5</v>
      </c>
      <c r="F121" s="17">
        <f t="shared" si="14"/>
        <v>4.0194553247480301E-5</v>
      </c>
      <c r="G121" s="17">
        <f t="shared" si="14"/>
        <v>3.177195369562378E-5</v>
      </c>
      <c r="H121" s="17">
        <f t="shared" si="14"/>
        <v>3.1094878856135237E-5</v>
      </c>
      <c r="I121" s="17">
        <f t="shared" si="14"/>
        <v>3.040658213390741E-5</v>
      </c>
      <c r="J121" s="17">
        <f t="shared" si="14"/>
        <v>2.9524742569648272E-5</v>
      </c>
      <c r="K121" s="17">
        <f t="shared" si="14"/>
        <v>2.8804440568285227E-5</v>
      </c>
      <c r="L121" s="17">
        <f t="shared" si="14"/>
        <v>2.8072321278963318E-5</v>
      </c>
      <c r="M121" s="17">
        <f t="shared" si="14"/>
        <v>2.7586078927882371E-5</v>
      </c>
      <c r="N121" s="17">
        <f t="shared" si="14"/>
        <v>2.7098180698734642E-5</v>
      </c>
      <c r="O121" s="17">
        <f t="shared" si="14"/>
        <v>2.6553564627574182E-5</v>
      </c>
      <c r="P121" s="17">
        <f t="shared" si="14"/>
        <v>2.6050397209304632E-5</v>
      </c>
      <c r="Q121" s="17">
        <f t="shared" si="14"/>
        <v>2.5541593093855947E-5</v>
      </c>
      <c r="R121" s="17">
        <f t="shared" si="14"/>
        <v>2.3607952434822212E-5</v>
      </c>
      <c r="S121" s="17">
        <f t="shared" si="14"/>
        <v>2.1696060761778317E-5</v>
      </c>
      <c r="T121" s="17">
        <f t="shared" si="14"/>
        <v>1.9762576860301875E-5</v>
      </c>
      <c r="U121" s="17">
        <f t="shared" si="14"/>
        <v>1.7890689756779379E-5</v>
      </c>
      <c r="V121" s="17">
        <f t="shared" si="14"/>
        <v>1.6032455474009917E-5</v>
      </c>
      <c r="W121" s="17">
        <f t="shared" si="14"/>
        <v>1.5778026197396747E-5</v>
      </c>
      <c r="X121" s="17">
        <f t="shared" si="14"/>
        <v>1.4481383888894806E-5</v>
      </c>
      <c r="Y121" s="17">
        <f t="shared" si="14"/>
        <v>1.3183044291749565E-5</v>
      </c>
      <c r="Z121" s="17">
        <f t="shared" si="14"/>
        <v>1.4470055156309062E-5</v>
      </c>
    </row>
    <row r="122" spans="1:31" s="26" customFormat="1" outlineLevel="1" x14ac:dyDescent="0.35"/>
    <row r="123" spans="1:31" s="221" customFormat="1" ht="21" x14ac:dyDescent="0.5">
      <c r="A123" s="229" t="s">
        <v>850</v>
      </c>
    </row>
    <row r="124" spans="1:31" s="18" customFormat="1" ht="21" x14ac:dyDescent="0.5">
      <c r="A124" s="18" t="s">
        <v>72</v>
      </c>
    </row>
    <row r="125" spans="1:31" s="20" customFormat="1" outlineLevel="1" x14ac:dyDescent="0.35">
      <c r="A125" s="19" t="s">
        <v>766</v>
      </c>
    </row>
    <row r="126" spans="1:31" s="16" customFormat="1" outlineLevel="1" x14ac:dyDescent="0.35">
      <c r="A126" s="21"/>
      <c r="AB126" s="15" t="s">
        <v>143</v>
      </c>
      <c r="AC126" s="16">
        <f>0.0000000028+0.0000000000000765</f>
        <v>2.8000764999999998E-9</v>
      </c>
      <c r="AD126" s="16" t="s">
        <v>916</v>
      </c>
      <c r="AE126" s="15" t="s">
        <v>714</v>
      </c>
    </row>
    <row r="127" spans="1:31" s="16" customFormat="1" outlineLevel="1" x14ac:dyDescent="0.35">
      <c r="A127" s="22" t="s">
        <v>917</v>
      </c>
      <c r="AC127" s="16">
        <f>AC126*1000</f>
        <v>2.8000765E-6</v>
      </c>
      <c r="AD127" s="16" t="s">
        <v>918</v>
      </c>
    </row>
    <row r="128" spans="1:31" s="16" customFormat="1" outlineLevel="1" x14ac:dyDescent="0.35">
      <c r="A128" s="22"/>
      <c r="AB128" s="16" t="s">
        <v>127</v>
      </c>
      <c r="AC128" s="16">
        <v>100</v>
      </c>
      <c r="AD128" s="16" t="s">
        <v>128</v>
      </c>
    </row>
    <row r="129" spans="1:53" s="16" customFormat="1" outlineLevel="1" x14ac:dyDescent="0.35">
      <c r="A129" s="230" t="s">
        <v>768</v>
      </c>
      <c r="AB129" s="16" t="s">
        <v>20</v>
      </c>
      <c r="AC129" s="16">
        <v>0.23</v>
      </c>
      <c r="AD129" s="16" t="s">
        <v>715</v>
      </c>
    </row>
    <row r="130" spans="1:53" s="16" customFormat="1" outlineLevel="1" x14ac:dyDescent="0.35">
      <c r="A130" s="22"/>
      <c r="AB130" s="16" t="s">
        <v>129</v>
      </c>
      <c r="AC130" s="16">
        <v>25</v>
      </c>
      <c r="AD130" s="16" t="s">
        <v>130</v>
      </c>
    </row>
    <row r="131" spans="1:53" outlineLevel="1" x14ac:dyDescent="0.35">
      <c r="B131" s="25">
        <v>2030</v>
      </c>
      <c r="C131" s="25">
        <v>2031</v>
      </c>
      <c r="D131" s="25">
        <v>2032</v>
      </c>
      <c r="E131" s="25">
        <v>2033</v>
      </c>
      <c r="F131" s="25">
        <v>2034</v>
      </c>
      <c r="G131" s="25">
        <v>2035</v>
      </c>
      <c r="H131" s="25">
        <v>2036</v>
      </c>
      <c r="I131" s="25">
        <v>2037</v>
      </c>
      <c r="J131" s="25">
        <v>2038</v>
      </c>
      <c r="K131" s="25">
        <v>2039</v>
      </c>
      <c r="L131" s="25">
        <v>2040</v>
      </c>
      <c r="M131" s="25">
        <v>2041</v>
      </c>
      <c r="N131" s="25">
        <v>2042</v>
      </c>
      <c r="O131" s="25">
        <v>2043</v>
      </c>
      <c r="P131" s="25">
        <v>2044</v>
      </c>
      <c r="Q131" s="25">
        <v>2045</v>
      </c>
      <c r="R131" s="25">
        <v>2046</v>
      </c>
      <c r="S131" s="25">
        <v>2047</v>
      </c>
      <c r="T131" s="25">
        <v>2048</v>
      </c>
      <c r="U131" s="25">
        <v>2049</v>
      </c>
      <c r="V131" s="25">
        <v>2050</v>
      </c>
      <c r="W131" s="25">
        <v>2051</v>
      </c>
      <c r="X131" s="25">
        <v>2052</v>
      </c>
      <c r="Y131" s="25">
        <v>2053</v>
      </c>
      <c r="Z131" s="25">
        <v>2054</v>
      </c>
      <c r="AC131" s="25">
        <v>2030</v>
      </c>
      <c r="AD131" s="25">
        <v>2031</v>
      </c>
      <c r="AE131" s="25">
        <v>2032</v>
      </c>
      <c r="AF131" s="25">
        <v>2033</v>
      </c>
      <c r="AG131" s="25">
        <v>2034</v>
      </c>
      <c r="AH131" s="25">
        <v>2035</v>
      </c>
      <c r="AI131" s="25">
        <v>2036</v>
      </c>
      <c r="AJ131" s="25">
        <v>2037</v>
      </c>
      <c r="AK131" s="25">
        <v>2038</v>
      </c>
      <c r="AL131" s="25">
        <v>2039</v>
      </c>
      <c r="AM131" s="25">
        <v>2040</v>
      </c>
      <c r="AN131" s="25">
        <v>2041</v>
      </c>
      <c r="AO131" s="25">
        <v>2042</v>
      </c>
      <c r="AP131" s="25">
        <v>2043</v>
      </c>
      <c r="AQ131" s="25">
        <v>2044</v>
      </c>
      <c r="AR131" s="25">
        <v>2045</v>
      </c>
      <c r="AS131" s="25">
        <v>2046</v>
      </c>
      <c r="AT131" s="25">
        <v>2047</v>
      </c>
      <c r="AU131" s="25">
        <v>2048</v>
      </c>
      <c r="AV131" s="25">
        <v>2049</v>
      </c>
      <c r="AW131" s="25">
        <v>2050</v>
      </c>
      <c r="AX131" s="25">
        <v>2051</v>
      </c>
      <c r="AY131" s="25">
        <v>2052</v>
      </c>
      <c r="AZ131" s="25">
        <v>2053</v>
      </c>
      <c r="BA131" s="25">
        <v>2054</v>
      </c>
    </row>
    <row r="132" spans="1:53" outlineLevel="1" x14ac:dyDescent="0.35">
      <c r="A132" s="6" t="s">
        <v>21</v>
      </c>
      <c r="B132" s="6">
        <f>'Results - raw data ReCiPe (H)'!AC5</f>
        <v>3.4065629385513331E-6</v>
      </c>
      <c r="AB132" s="6" t="s">
        <v>117</v>
      </c>
      <c r="AC132" s="6">
        <f>SUM(B132:B143)+B145</f>
        <v>1.9467533260507852E-4</v>
      </c>
    </row>
    <row r="133" spans="1:53" outlineLevel="1" x14ac:dyDescent="0.35">
      <c r="A133" s="6" t="s">
        <v>23</v>
      </c>
      <c r="B133" s="6">
        <f>'Results - raw data ReCiPe (H)'!AC6</f>
        <v>5.9775544476410673E-6</v>
      </c>
      <c r="AB133" s="6" t="s">
        <v>118</v>
      </c>
      <c r="AC133" s="6">
        <f>B144</f>
        <v>1.1362073373089257E-5</v>
      </c>
    </row>
    <row r="134" spans="1:53" outlineLevel="1" x14ac:dyDescent="0.35">
      <c r="A134" s="6" t="s">
        <v>26</v>
      </c>
      <c r="B134" s="6">
        <f>'Results - raw data ReCiPe (H)'!AC7</f>
        <v>1.5280120239729288E-5</v>
      </c>
      <c r="AB134" s="6" t="s">
        <v>119</v>
      </c>
      <c r="BA134" s="6">
        <f>SUM(Z146:Z157)</f>
        <v>2.8327516247168551E-6</v>
      </c>
    </row>
    <row r="135" spans="1:53" outlineLevel="1" x14ac:dyDescent="0.35">
      <c r="A135" s="6" t="s">
        <v>28</v>
      </c>
      <c r="B135" s="6">
        <f>'Results - raw data ReCiPe (H)'!AC8</f>
        <v>1.237356434915746E-5</v>
      </c>
      <c r="AB135" s="6" t="s">
        <v>120</v>
      </c>
      <c r="BA135" s="6">
        <f>Z158</f>
        <v>9.2615556283479631E-8</v>
      </c>
    </row>
    <row r="136" spans="1:53" outlineLevel="1" x14ac:dyDescent="0.35">
      <c r="A136" s="6" t="s">
        <v>29</v>
      </c>
      <c r="B136" s="6">
        <f>'Results - raw data ReCiPe (H)'!AC9</f>
        <v>9.6467851095061977E-6</v>
      </c>
      <c r="AB136" s="6" t="s">
        <v>121</v>
      </c>
      <c r="AC136" s="6">
        <f>B159</f>
        <v>4.5446143489064019E-6</v>
      </c>
      <c r="AF136" s="6">
        <f>E159</f>
        <v>4.4990771841472508E-6</v>
      </c>
      <c r="AI136" s="6">
        <f>H159</f>
        <v>4.4904228129143327E-6</v>
      </c>
      <c r="AL136" s="6">
        <f>K159</f>
        <v>4.4944994140002021E-6</v>
      </c>
      <c r="AO136" s="6">
        <f>N159</f>
        <v>4.5214378334785092E-6</v>
      </c>
      <c r="AR136" s="6">
        <f>Q159</f>
        <v>4.5497134383595956E-6</v>
      </c>
      <c r="AU136" s="6">
        <f>T159</f>
        <v>4.4955793454683717E-6</v>
      </c>
      <c r="AX136" s="6">
        <f>W159</f>
        <v>4.4518098931988601E-6</v>
      </c>
      <c r="BA136" s="6">
        <f>Z159</f>
        <v>4.3615476020125354E-6</v>
      </c>
    </row>
    <row r="137" spans="1:53" outlineLevel="1" x14ac:dyDescent="0.35">
      <c r="A137" s="6" t="s">
        <v>31</v>
      </c>
      <c r="B137" s="6">
        <f>'Results - raw data ReCiPe (H)'!AC10</f>
        <v>7.490794425870649E-6</v>
      </c>
      <c r="AB137" s="6" t="s">
        <v>122</v>
      </c>
      <c r="AC137" s="6">
        <f>B162+B161</f>
        <v>1.2609712408111751E-4</v>
      </c>
      <c r="AD137" s="6">
        <f t="shared" ref="AD137:BA137" si="15">C162+C161</f>
        <v>1.2561981054232138E-4</v>
      </c>
      <c r="AE137" s="6">
        <f t="shared" si="15"/>
        <v>1.2514152768895251E-4</v>
      </c>
      <c r="AF137" s="6">
        <f t="shared" si="15"/>
        <v>1.2453918917903461E-4</v>
      </c>
      <c r="AG137" s="6">
        <f t="shared" si="15"/>
        <v>1.240576804340914E-4</v>
      </c>
      <c r="AH137" s="6">
        <f t="shared" si="15"/>
        <v>1.2357469085938648E-4</v>
      </c>
      <c r="AI137" s="6">
        <f t="shared" si="15"/>
        <v>1.3204048212213683E-4</v>
      </c>
      <c r="AJ137" s="6">
        <f t="shared" si="15"/>
        <v>1.4049514393957337E-4</v>
      </c>
      <c r="AK137" s="6">
        <f t="shared" si="15"/>
        <v>1.4886759273517822E-4</v>
      </c>
      <c r="AL137" s="6">
        <f t="shared" si="15"/>
        <v>1.5730945561294408E-4</v>
      </c>
      <c r="AM137" s="6">
        <f t="shared" si="15"/>
        <v>1.6573576125827191E-4</v>
      </c>
      <c r="AN137" s="6">
        <f t="shared" si="15"/>
        <v>1.8163286251103754E-4</v>
      </c>
      <c r="AO137" s="6">
        <f t="shared" si="15"/>
        <v>1.9757185748234539E-4</v>
      </c>
      <c r="AP137" s="6">
        <f t="shared" si="15"/>
        <v>2.1353857022540711E-4</v>
      </c>
      <c r="AQ137" s="6">
        <f t="shared" si="15"/>
        <v>2.2956863122547394E-4</v>
      </c>
      <c r="AR137" s="6">
        <f t="shared" si="15"/>
        <v>2.4564852111216183E-4</v>
      </c>
      <c r="AS137" s="6">
        <f t="shared" si="15"/>
        <v>2.4736407694702907E-4</v>
      </c>
      <c r="AT137" s="6">
        <f t="shared" si="15"/>
        <v>2.4909873898929565E-4</v>
      </c>
      <c r="AU137" s="6">
        <f t="shared" si="15"/>
        <v>2.5083414466368513E-4</v>
      </c>
      <c r="AV137" s="6">
        <f t="shared" si="15"/>
        <v>2.5260133405196787E-4</v>
      </c>
      <c r="AW137" s="6">
        <f t="shared" si="15"/>
        <v>2.5438215810291237E-4</v>
      </c>
      <c r="AX137" s="6">
        <f t="shared" si="15"/>
        <v>2.5111953062878484E-4</v>
      </c>
      <c r="AY137" s="6">
        <f t="shared" si="15"/>
        <v>2.4411536205559085E-4</v>
      </c>
      <c r="AZ137" s="6">
        <f t="shared" si="15"/>
        <v>2.3708664520123195E-4</v>
      </c>
      <c r="BA137" s="6">
        <f t="shared" si="15"/>
        <v>2.3003317125281871E-4</v>
      </c>
    </row>
    <row r="138" spans="1:53" outlineLevel="1" x14ac:dyDescent="0.35">
      <c r="A138" s="6" t="s">
        <v>34</v>
      </c>
      <c r="B138" s="6">
        <f>'Results - raw data ReCiPe (H)'!AC11</f>
        <v>5.3054904136133011E-6</v>
      </c>
      <c r="AB138" s="6" t="s">
        <v>123</v>
      </c>
      <c r="AC138" s="6">
        <f t="shared" ref="AC138:BA138" si="16">B160</f>
        <v>3.1797782165420871E-8</v>
      </c>
      <c r="AD138" s="6">
        <f t="shared" si="16"/>
        <v>3.1647776711233046E-8</v>
      </c>
      <c r="AE138" s="6">
        <f t="shared" si="16"/>
        <v>3.1497799919814247E-8</v>
      </c>
      <c r="AF138" s="6">
        <f t="shared" si="16"/>
        <v>3.1320606945209962E-8</v>
      </c>
      <c r="AG138" s="6">
        <f t="shared" si="16"/>
        <v>3.1170361776363029E-8</v>
      </c>
      <c r="AH138" s="6">
        <f t="shared" si="16"/>
        <v>3.1020039626438309E-8</v>
      </c>
      <c r="AI138" s="6">
        <f t="shared" si="16"/>
        <v>3.2921428895861715E-8</v>
      </c>
      <c r="AJ138" s="6">
        <f t="shared" si="16"/>
        <v>3.4814695927821755E-8</v>
      </c>
      <c r="AK138" s="6">
        <f t="shared" si="16"/>
        <v>3.668395296908396E-8</v>
      </c>
      <c r="AL138" s="6">
        <f t="shared" si="16"/>
        <v>3.8563227374546007E-8</v>
      </c>
      <c r="AM138" s="6">
        <f t="shared" si="16"/>
        <v>4.0433446077921769E-8</v>
      </c>
      <c r="AN138" s="6">
        <f t="shared" si="16"/>
        <v>4.4001481949962163E-8</v>
      </c>
      <c r="AO138" s="6">
        <f t="shared" si="16"/>
        <v>4.7570731004208979E-8</v>
      </c>
      <c r="AP138" s="6">
        <f t="shared" si="16"/>
        <v>5.1137989123168719E-8</v>
      </c>
      <c r="AQ138" s="6">
        <f t="shared" si="16"/>
        <v>5.4711279888426196E-8</v>
      </c>
      <c r="AR138" s="6">
        <f t="shared" si="16"/>
        <v>5.8287442359928426E-8</v>
      </c>
      <c r="AS138" s="6">
        <f t="shared" si="16"/>
        <v>5.8621825995075434E-8</v>
      </c>
      <c r="AT138" s="6">
        <f t="shared" si="16"/>
        <v>5.8959706246248795E-8</v>
      </c>
      <c r="AU138" s="6">
        <f t="shared" si="16"/>
        <v>5.9296970563941409E-8</v>
      </c>
      <c r="AV138" s="6">
        <f t="shared" si="16"/>
        <v>5.964056138211613E-8</v>
      </c>
      <c r="AW138" s="6">
        <f t="shared" si="16"/>
        <v>5.9986401055279095E-8</v>
      </c>
      <c r="AX138" s="6">
        <f t="shared" si="16"/>
        <v>5.9164854113411895E-8</v>
      </c>
      <c r="AY138" s="6">
        <f t="shared" si="16"/>
        <v>5.7490675274398223E-8</v>
      </c>
      <c r="AZ138" s="6">
        <f t="shared" si="16"/>
        <v>5.5817244483627902E-8</v>
      </c>
      <c r="BA138" s="6">
        <f t="shared" si="16"/>
        <v>5.4144530449848056E-8</v>
      </c>
    </row>
    <row r="139" spans="1:53" outlineLevel="1" x14ac:dyDescent="0.35">
      <c r="A139" s="6" t="s">
        <v>36</v>
      </c>
      <c r="B139" s="6">
        <f>'Results - raw data ReCiPe (H)'!AC12</f>
        <v>4.5452790891056938E-6</v>
      </c>
      <c r="AB139" s="6" t="s">
        <v>124</v>
      </c>
      <c r="AC139" s="6">
        <f>-$AC$6*$AC$7</f>
        <v>-2.8000764999999998E-4</v>
      </c>
      <c r="AD139" s="6">
        <f t="shared" ref="AD139:BA139" si="17">-$AC$6*$AC$7</f>
        <v>-2.8000764999999998E-4</v>
      </c>
      <c r="AE139" s="6">
        <f t="shared" si="17"/>
        <v>-2.8000764999999998E-4</v>
      </c>
      <c r="AF139" s="6">
        <f t="shared" si="17"/>
        <v>-2.8000764999999998E-4</v>
      </c>
      <c r="AG139" s="6">
        <f t="shared" si="17"/>
        <v>-2.8000764999999998E-4</v>
      </c>
      <c r="AH139" s="6">
        <f t="shared" si="17"/>
        <v>-2.8000764999999998E-4</v>
      </c>
      <c r="AI139" s="6">
        <f t="shared" si="17"/>
        <v>-2.8000764999999998E-4</v>
      </c>
      <c r="AJ139" s="6">
        <f t="shared" si="17"/>
        <v>-2.8000764999999998E-4</v>
      </c>
      <c r="AK139" s="6">
        <f t="shared" si="17"/>
        <v>-2.8000764999999998E-4</v>
      </c>
      <c r="AL139" s="6">
        <f t="shared" si="17"/>
        <v>-2.8000764999999998E-4</v>
      </c>
      <c r="AM139" s="6">
        <f t="shared" si="17"/>
        <v>-2.8000764999999998E-4</v>
      </c>
      <c r="AN139" s="6">
        <f t="shared" si="17"/>
        <v>-2.8000764999999998E-4</v>
      </c>
      <c r="AO139" s="6">
        <f t="shared" si="17"/>
        <v>-2.8000764999999998E-4</v>
      </c>
      <c r="AP139" s="6">
        <f t="shared" si="17"/>
        <v>-2.8000764999999998E-4</v>
      </c>
      <c r="AQ139" s="6">
        <f t="shared" si="17"/>
        <v>-2.8000764999999998E-4</v>
      </c>
      <c r="AR139" s="6">
        <f t="shared" si="17"/>
        <v>-2.8000764999999998E-4</v>
      </c>
      <c r="AS139" s="6">
        <f t="shared" si="17"/>
        <v>-2.8000764999999998E-4</v>
      </c>
      <c r="AT139" s="6">
        <f t="shared" si="17"/>
        <v>-2.8000764999999998E-4</v>
      </c>
      <c r="AU139" s="6">
        <f t="shared" si="17"/>
        <v>-2.8000764999999998E-4</v>
      </c>
      <c r="AV139" s="6">
        <f t="shared" si="17"/>
        <v>-2.8000764999999998E-4</v>
      </c>
      <c r="AW139" s="6">
        <f t="shared" si="17"/>
        <v>-2.8000764999999998E-4</v>
      </c>
      <c r="AX139" s="6">
        <f t="shared" si="17"/>
        <v>-2.8000764999999998E-4</v>
      </c>
      <c r="AY139" s="6">
        <f t="shared" si="17"/>
        <v>-2.8000764999999998E-4</v>
      </c>
      <c r="AZ139" s="6">
        <f t="shared" si="17"/>
        <v>-2.8000764999999998E-4</v>
      </c>
      <c r="BA139" s="6">
        <f t="shared" si="17"/>
        <v>-2.8000764999999998E-4</v>
      </c>
    </row>
    <row r="140" spans="1:53" outlineLevel="1" x14ac:dyDescent="0.35">
      <c r="A140" s="6" t="s">
        <v>38</v>
      </c>
      <c r="B140" s="6">
        <f>'Results - raw data ReCiPe (H)'!AC13</f>
        <v>2.519681743962088E-5</v>
      </c>
      <c r="AB140" s="23" t="s">
        <v>125</v>
      </c>
      <c r="AC140" s="17">
        <f t="shared" ref="AC140:BA140" si="18">SUM(AC132:AC139)</f>
        <v>5.6703292190357104E-5</v>
      </c>
      <c r="AD140" s="17">
        <f t="shared" si="18"/>
        <v>-1.5435619168096737E-4</v>
      </c>
      <c r="AE140" s="17">
        <f t="shared" si="18"/>
        <v>-1.5483462451112767E-4</v>
      </c>
      <c r="AF140" s="17">
        <f t="shared" si="18"/>
        <v>-1.5093806302987292E-4</v>
      </c>
      <c r="AG140" s="17">
        <f t="shared" si="18"/>
        <v>-1.5591879920413222E-4</v>
      </c>
      <c r="AH140" s="17">
        <f t="shared" si="18"/>
        <v>-1.5640193910098707E-4</v>
      </c>
      <c r="AI140" s="17">
        <f t="shared" si="18"/>
        <v>-1.4344382363605296E-4</v>
      </c>
      <c r="AJ140" s="17">
        <f t="shared" si="18"/>
        <v>-1.3947769136449879E-4</v>
      </c>
      <c r="AK140" s="17">
        <f t="shared" si="18"/>
        <v>-1.3110337331185268E-4</v>
      </c>
      <c r="AL140" s="17">
        <f t="shared" si="18"/>
        <v>-1.1816513174568114E-4</v>
      </c>
      <c r="AM140" s="17">
        <f t="shared" si="18"/>
        <v>-1.1423145529565015E-4</v>
      </c>
      <c r="AN140" s="17">
        <f t="shared" si="18"/>
        <v>-9.8330786007012476E-5</v>
      </c>
      <c r="AO140" s="17">
        <f t="shared" si="18"/>
        <v>-7.7866783953171859E-5</v>
      </c>
      <c r="AP140" s="17">
        <f t="shared" si="18"/>
        <v>-6.6417941785469717E-5</v>
      </c>
      <c r="AQ140" s="17">
        <f t="shared" si="18"/>
        <v>-5.0384307494637606E-5</v>
      </c>
      <c r="AR140" s="17">
        <f t="shared" si="18"/>
        <v>-2.9751128007118584E-5</v>
      </c>
      <c r="AS140" s="17">
        <f t="shared" si="18"/>
        <v>-3.2584951226975821E-5</v>
      </c>
      <c r="AT140" s="17">
        <f t="shared" si="18"/>
        <v>-3.0849951304458062E-5</v>
      </c>
      <c r="AU140" s="17">
        <f t="shared" si="18"/>
        <v>-2.4618629020282544E-5</v>
      </c>
      <c r="AV140" s="17">
        <f t="shared" si="18"/>
        <v>-2.7346675386650014E-5</v>
      </c>
      <c r="AW140" s="17">
        <f t="shared" si="18"/>
        <v>-2.5565505496032311E-5</v>
      </c>
      <c r="AX140" s="17">
        <f t="shared" si="18"/>
        <v>-2.4377144623902874E-5</v>
      </c>
      <c r="AY140" s="17">
        <f t="shared" si="18"/>
        <v>-3.5834797269134713E-5</v>
      </c>
      <c r="AZ140" s="17">
        <f t="shared" si="18"/>
        <v>-4.2865187554284417E-5</v>
      </c>
      <c r="BA140" s="17">
        <f t="shared" si="18"/>
        <v>-4.2633419433718561E-5</v>
      </c>
    </row>
    <row r="141" spans="1:53" outlineLevel="1" x14ac:dyDescent="0.35">
      <c r="A141" s="6" t="s">
        <v>39</v>
      </c>
      <c r="B141" s="6">
        <f>'Results - raw data ReCiPe (H)'!AC14</f>
        <v>7.3235179910091571E-5</v>
      </c>
    </row>
    <row r="142" spans="1:53" outlineLevel="1" x14ac:dyDescent="0.35">
      <c r="A142" s="6" t="s">
        <v>41</v>
      </c>
      <c r="B142" s="6">
        <f>'Results - raw data ReCiPe (H)'!AC15</f>
        <v>7.5090323051228674E-7</v>
      </c>
    </row>
    <row r="143" spans="1:53" outlineLevel="1" x14ac:dyDescent="0.35">
      <c r="A143" s="6" t="s">
        <v>43</v>
      </c>
      <c r="B143" s="6">
        <f>'Results - raw data ReCiPe (H)'!AC16</f>
        <v>2.0497787420389352E-6</v>
      </c>
      <c r="AB143" s="219"/>
      <c r="AC143" s="219"/>
      <c r="AD143" s="219"/>
      <c r="AE143" s="219"/>
      <c r="AF143" s="219"/>
      <c r="AG143" s="219"/>
      <c r="AH143" s="219"/>
      <c r="AI143" s="219"/>
      <c r="AJ143" s="219"/>
      <c r="AK143" s="219"/>
      <c r="AL143" s="219"/>
      <c r="AM143" s="219"/>
      <c r="AN143" s="219"/>
      <c r="AO143" s="219"/>
      <c r="AP143" s="219"/>
      <c r="AQ143" s="219"/>
      <c r="AR143" s="219"/>
      <c r="AS143" s="219"/>
      <c r="AT143" s="219"/>
      <c r="AU143" s="219"/>
      <c r="AV143" s="219"/>
      <c r="AW143" s="219"/>
      <c r="AX143" s="219"/>
      <c r="AY143" s="219"/>
      <c r="AZ143" s="219"/>
      <c r="BA143" s="219"/>
    </row>
    <row r="144" spans="1:53" outlineLevel="1" x14ac:dyDescent="0.35">
      <c r="A144" s="6" t="s">
        <v>44</v>
      </c>
      <c r="B144" s="6">
        <f>'Results - raw data ReCiPe (H)'!AC17*AC128*AC130</f>
        <v>1.1362073373089257E-5</v>
      </c>
      <c r="AB144" s="219"/>
      <c r="AC144" s="219"/>
      <c r="AD144" s="219"/>
      <c r="AE144" s="219"/>
      <c r="AF144" s="219"/>
      <c r="AG144" s="219"/>
      <c r="AH144" s="219"/>
      <c r="AI144" s="219"/>
      <c r="AJ144" s="219"/>
      <c r="AK144" s="219"/>
      <c r="AL144" s="219"/>
      <c r="AM144" s="219"/>
      <c r="AN144" s="219"/>
      <c r="AO144" s="219"/>
      <c r="AP144" s="219"/>
      <c r="AQ144" s="219"/>
      <c r="AR144" s="219"/>
      <c r="AS144" s="219"/>
      <c r="AT144" s="219"/>
      <c r="AU144" s="219"/>
      <c r="AV144" s="219"/>
      <c r="AW144" s="219"/>
      <c r="AX144" s="219"/>
      <c r="AY144" s="219"/>
      <c r="AZ144" s="219"/>
      <c r="BA144" s="219"/>
    </row>
    <row r="145" spans="1:53" outlineLevel="1" x14ac:dyDescent="0.35">
      <c r="A145" s="6" t="s">
        <v>757</v>
      </c>
      <c r="B145" s="6">
        <f>'Results - raw data ReCiPe (H)'!AC18*AC128*AC130</f>
        <v>2.9416502269639851E-5</v>
      </c>
      <c r="AB145" s="219"/>
      <c r="AC145" s="219"/>
      <c r="AD145" s="219"/>
      <c r="AE145" s="219"/>
      <c r="AF145" s="219"/>
      <c r="AG145" s="219"/>
      <c r="AH145" s="219"/>
      <c r="AI145" s="219"/>
      <c r="AJ145" s="219"/>
      <c r="AK145" s="219"/>
      <c r="AL145" s="219"/>
      <c r="AM145" s="219"/>
      <c r="AN145" s="219"/>
      <c r="AO145" s="219"/>
      <c r="AP145" s="219"/>
      <c r="AQ145" s="219"/>
      <c r="AR145" s="219"/>
      <c r="AS145" s="219"/>
      <c r="AT145" s="219"/>
      <c r="AU145" s="219"/>
      <c r="AV145" s="219"/>
      <c r="AW145" s="219"/>
      <c r="AX145" s="219"/>
      <c r="AY145" s="219"/>
      <c r="AZ145" s="219"/>
      <c r="BA145" s="219"/>
    </row>
    <row r="146" spans="1:53" outlineLevel="1" x14ac:dyDescent="0.35">
      <c r="A146" s="6" t="s">
        <v>22</v>
      </c>
      <c r="Z146" s="6">
        <f>'Results - raw data ReCiPe (H)'!BA19</f>
        <v>6.2658793463083337E-8</v>
      </c>
      <c r="AB146" s="219"/>
      <c r="AC146" s="219"/>
      <c r="AD146" s="219"/>
      <c r="AE146" s="219"/>
      <c r="AF146" s="219"/>
      <c r="AG146" s="219"/>
      <c r="AH146" s="219"/>
      <c r="AI146" s="219"/>
      <c r="AJ146" s="219"/>
      <c r="AK146" s="219"/>
      <c r="AL146" s="219"/>
      <c r="AM146" s="219"/>
      <c r="AN146" s="219"/>
      <c r="AO146" s="219"/>
      <c r="AP146" s="219"/>
      <c r="AQ146" s="219"/>
      <c r="AR146" s="219"/>
      <c r="AS146" s="219"/>
      <c r="AT146" s="219"/>
      <c r="AU146" s="219"/>
      <c r="AV146" s="219"/>
      <c r="AW146" s="219"/>
      <c r="AX146" s="219"/>
      <c r="AY146" s="219"/>
      <c r="AZ146" s="219"/>
      <c r="BA146" s="219"/>
    </row>
    <row r="147" spans="1:53" outlineLevel="1" x14ac:dyDescent="0.35">
      <c r="A147" s="6" t="s">
        <v>24</v>
      </c>
      <c r="Z147" s="6">
        <f>'Results - raw data ReCiPe (H)'!BA20</f>
        <v>3.0939913639353121E-8</v>
      </c>
      <c r="AB147" s="219"/>
      <c r="AC147" s="219"/>
      <c r="AD147" s="219"/>
      <c r="AE147" s="219"/>
      <c r="AF147" s="219"/>
      <c r="AG147" s="219"/>
      <c r="AH147" s="219"/>
      <c r="AI147" s="219"/>
      <c r="AJ147" s="219"/>
      <c r="AK147" s="219"/>
      <c r="AL147" s="219"/>
      <c r="AM147" s="219"/>
      <c r="AN147" s="219"/>
      <c r="AO147" s="219"/>
      <c r="AP147" s="219"/>
      <c r="AQ147" s="219"/>
      <c r="AR147" s="219"/>
      <c r="AS147" s="219"/>
      <c r="AT147" s="219"/>
      <c r="AU147" s="219"/>
      <c r="AV147" s="219"/>
      <c r="AW147" s="219"/>
      <c r="AX147" s="219"/>
      <c r="AY147" s="219"/>
      <c r="AZ147" s="219"/>
      <c r="BA147" s="219"/>
    </row>
    <row r="148" spans="1:53" outlineLevel="1" x14ac:dyDescent="0.35">
      <c r="A148" s="6" t="s">
        <v>25</v>
      </c>
      <c r="Z148" s="6">
        <f>'Results - raw data ReCiPe (H)'!BA21</f>
        <v>1.3113107499561001E-7</v>
      </c>
      <c r="AB148" s="219"/>
      <c r="AC148" s="219"/>
      <c r="AD148" s="219"/>
      <c r="AE148" s="219"/>
      <c r="AF148" s="219"/>
      <c r="AG148" s="219"/>
      <c r="AH148" s="219"/>
      <c r="AI148" s="219"/>
      <c r="AJ148" s="219"/>
      <c r="AK148" s="219"/>
      <c r="AL148" s="219"/>
      <c r="AM148" s="219"/>
      <c r="AN148" s="219"/>
      <c r="AO148" s="219"/>
      <c r="AP148" s="219"/>
      <c r="AQ148" s="219"/>
      <c r="AR148" s="219"/>
      <c r="AS148" s="219"/>
      <c r="AT148" s="219"/>
      <c r="AU148" s="219"/>
      <c r="AV148" s="219"/>
      <c r="AW148" s="219"/>
      <c r="AX148" s="219"/>
      <c r="AY148" s="219"/>
      <c r="AZ148" s="219"/>
      <c r="BA148" s="219"/>
    </row>
    <row r="149" spans="1:53" outlineLevel="1" x14ac:dyDescent="0.35">
      <c r="A149" s="6" t="s">
        <v>27</v>
      </c>
      <c r="Z149" s="6">
        <f>'Results - raw data ReCiPe (H)'!BA22</f>
        <v>4.6156121953184779E-8</v>
      </c>
      <c r="AB149" s="219"/>
      <c r="AC149" s="219"/>
      <c r="AD149" s="219"/>
      <c r="AE149" s="219"/>
      <c r="AF149" s="219"/>
      <c r="AG149" s="219"/>
      <c r="AH149" s="219"/>
      <c r="AI149" s="219"/>
      <c r="AJ149" s="219"/>
      <c r="AK149" s="219"/>
      <c r="AL149" s="219"/>
      <c r="AM149" s="219"/>
      <c r="AN149" s="219"/>
      <c r="AO149" s="219"/>
      <c r="AP149" s="219"/>
      <c r="AQ149" s="219"/>
      <c r="AR149" s="219"/>
      <c r="AS149" s="219"/>
      <c r="AT149" s="219"/>
      <c r="AU149" s="219"/>
      <c r="AV149" s="219"/>
      <c r="AW149" s="219"/>
      <c r="AX149" s="219"/>
      <c r="AY149" s="219"/>
      <c r="AZ149" s="219"/>
      <c r="BA149" s="219"/>
    </row>
    <row r="150" spans="1:53" outlineLevel="1" x14ac:dyDescent="0.35">
      <c r="A150" s="6" t="s">
        <v>30</v>
      </c>
      <c r="Z150" s="6">
        <f>'Results - raw data ReCiPe (H)'!BA23</f>
        <v>8.2652845953532874E-8</v>
      </c>
      <c r="AB150" s="219"/>
      <c r="AC150" s="219"/>
      <c r="AD150" s="219"/>
      <c r="AE150" s="219"/>
      <c r="AF150" s="219"/>
      <c r="AG150" s="219"/>
      <c r="AH150" s="219"/>
      <c r="AI150" s="219"/>
      <c r="AJ150" s="219"/>
      <c r="AK150" s="219"/>
      <c r="AL150" s="219"/>
      <c r="AM150" s="219"/>
      <c r="AN150" s="219"/>
      <c r="AO150" s="219"/>
      <c r="AP150" s="219"/>
      <c r="AQ150" s="219"/>
      <c r="AR150" s="219"/>
      <c r="AS150" s="219"/>
      <c r="AT150" s="219"/>
      <c r="AU150" s="219"/>
      <c r="AV150" s="219"/>
      <c r="AW150" s="219"/>
      <c r="AX150" s="219"/>
      <c r="AY150" s="219"/>
      <c r="AZ150" s="219"/>
      <c r="BA150" s="219"/>
    </row>
    <row r="151" spans="1:53" outlineLevel="1" x14ac:dyDescent="0.35">
      <c r="A151" s="6" t="s">
        <v>32</v>
      </c>
      <c r="Z151" s="6">
        <f>'Results - raw data ReCiPe (H)'!BA24</f>
        <v>7.097868543756944E-9</v>
      </c>
      <c r="AB151" s="219"/>
      <c r="AC151" s="219"/>
      <c r="AD151" s="219"/>
      <c r="AE151" s="219"/>
      <c r="AF151" s="219"/>
      <c r="AG151" s="219"/>
      <c r="AH151" s="219"/>
      <c r="AI151" s="219"/>
      <c r="AJ151" s="219"/>
      <c r="AK151" s="219"/>
      <c r="AL151" s="219"/>
      <c r="AM151" s="219"/>
      <c r="AN151" s="219"/>
      <c r="AO151" s="219"/>
      <c r="AP151" s="219"/>
      <c r="AQ151" s="219"/>
      <c r="AR151" s="219"/>
      <c r="AS151" s="219"/>
      <c r="AT151" s="219"/>
      <c r="AU151" s="219"/>
      <c r="AV151" s="219"/>
      <c r="AW151" s="219"/>
      <c r="AX151" s="219"/>
      <c r="AY151" s="219"/>
      <c r="AZ151" s="219"/>
      <c r="BA151" s="219"/>
    </row>
    <row r="152" spans="1:53" outlineLevel="1" x14ac:dyDescent="0.35">
      <c r="A152" s="6" t="s">
        <v>33</v>
      </c>
      <c r="Z152" s="6">
        <f>'Results - raw data ReCiPe (H)'!BA25</f>
        <v>2.110830182896093E-8</v>
      </c>
      <c r="AB152" s="219"/>
      <c r="AC152" s="219"/>
      <c r="AD152" s="219"/>
      <c r="AE152" s="219"/>
      <c r="AF152" s="219"/>
      <c r="AG152" s="219"/>
      <c r="AH152" s="219"/>
      <c r="AI152" s="219"/>
      <c r="AJ152" s="219"/>
      <c r="AK152" s="219"/>
      <c r="AL152" s="219"/>
      <c r="AM152" s="219"/>
      <c r="AN152" s="219"/>
      <c r="AO152" s="219"/>
      <c r="AP152" s="219"/>
      <c r="AQ152" s="219"/>
      <c r="AR152" s="219"/>
      <c r="AS152" s="219"/>
      <c r="AT152" s="219"/>
      <c r="AU152" s="219"/>
      <c r="AV152" s="219"/>
      <c r="AW152" s="219"/>
      <c r="AX152" s="219"/>
      <c r="AY152" s="219"/>
      <c r="AZ152" s="219"/>
      <c r="BA152" s="219"/>
    </row>
    <row r="153" spans="1:53" outlineLevel="1" x14ac:dyDescent="0.35">
      <c r="A153" s="6" t="s">
        <v>35</v>
      </c>
      <c r="Z153" s="6">
        <f>'Results - raw data ReCiPe (H)'!BA26</f>
        <v>4.2216603657921873E-8</v>
      </c>
      <c r="AB153" s="219"/>
      <c r="AC153" s="219"/>
      <c r="AD153" s="219"/>
      <c r="AE153" s="219"/>
      <c r="AF153" s="219"/>
      <c r="AG153" s="219"/>
      <c r="AH153" s="219"/>
      <c r="AI153" s="219"/>
      <c r="AJ153" s="219"/>
      <c r="AK153" s="219"/>
      <c r="AL153" s="219"/>
      <c r="AM153" s="219"/>
      <c r="AN153" s="219"/>
      <c r="AO153" s="219"/>
      <c r="AP153" s="219"/>
      <c r="AQ153" s="219"/>
      <c r="AR153" s="219"/>
      <c r="AS153" s="219"/>
      <c r="AT153" s="219"/>
      <c r="AU153" s="219"/>
      <c r="AV153" s="219"/>
      <c r="AW153" s="219"/>
      <c r="AX153" s="219"/>
      <c r="AY153" s="219"/>
      <c r="AZ153" s="219"/>
      <c r="BA153" s="219"/>
    </row>
    <row r="154" spans="1:53" outlineLevel="1" x14ac:dyDescent="0.35">
      <c r="A154" s="6" t="s">
        <v>37</v>
      </c>
      <c r="Z154" s="6">
        <f>'Results - raw data ReCiPe (H)'!BA27</f>
        <v>1.160130193626278E-7</v>
      </c>
      <c r="AB154" s="219"/>
      <c r="AC154" s="219"/>
      <c r="AD154" s="219"/>
      <c r="AE154" s="219"/>
      <c r="AF154" s="219"/>
      <c r="AG154" s="219"/>
      <c r="AH154" s="219"/>
      <c r="AI154" s="219"/>
      <c r="AJ154" s="219"/>
      <c r="AK154" s="219"/>
      <c r="AL154" s="219"/>
      <c r="AM154" s="219"/>
      <c r="AN154" s="219"/>
      <c r="AO154" s="219"/>
      <c r="AP154" s="219"/>
      <c r="AQ154" s="219"/>
      <c r="AR154" s="219"/>
      <c r="AS154" s="219"/>
      <c r="AT154" s="219"/>
      <c r="AU154" s="219"/>
      <c r="AV154" s="219"/>
      <c r="AW154" s="219"/>
      <c r="AX154" s="219"/>
      <c r="AY154" s="219"/>
      <c r="AZ154" s="219"/>
      <c r="BA154" s="219"/>
    </row>
    <row r="155" spans="1:53" outlineLevel="1" x14ac:dyDescent="0.35">
      <c r="A155" s="6" t="s">
        <v>40</v>
      </c>
      <c r="Z155" s="6">
        <f>'Results - raw data ReCiPe (H)'!BA28</f>
        <v>9.5709423987073597E-7</v>
      </c>
    </row>
    <row r="156" spans="1:53" outlineLevel="1" x14ac:dyDescent="0.35">
      <c r="A156" s="6" t="s">
        <v>42</v>
      </c>
      <c r="Z156" s="6">
        <f>'Results - raw data ReCiPe (H)'!BA29</f>
        <v>1.7656694459384321E-7</v>
      </c>
    </row>
    <row r="157" spans="1:53" outlineLevel="1" x14ac:dyDescent="0.35">
      <c r="A157" s="6" t="s">
        <v>115</v>
      </c>
      <c r="Z157" s="6">
        <f>'Results - raw data ReCiPe (H)'!BA30</f>
        <v>1.1591158968542441E-6</v>
      </c>
    </row>
    <row r="158" spans="1:53" outlineLevel="1" x14ac:dyDescent="0.35">
      <c r="A158" s="6" t="s">
        <v>45</v>
      </c>
      <c r="Z158" s="6">
        <f>'Results - raw data ReCiPe (H)'!BA31*AC128*AC130</f>
        <v>9.2615556283479631E-8</v>
      </c>
    </row>
    <row r="159" spans="1:53" outlineLevel="1" x14ac:dyDescent="0.35">
      <c r="A159" s="6" t="s">
        <v>116</v>
      </c>
      <c r="B159" s="6">
        <f>'Results - raw data ReCiPe (H)'!AC32</f>
        <v>4.5446143489064019E-6</v>
      </c>
      <c r="C159" s="6">
        <f>'Results - raw data ReCiPe (H)'!AD32</f>
        <v>4.5375318532980086E-6</v>
      </c>
      <c r="D159" s="6">
        <f>'Results - raw data ReCiPe (H)'!AE32</f>
        <v>4.5304734340900244E-6</v>
      </c>
      <c r="E159" s="6">
        <f>'Results - raw data ReCiPe (H)'!AF32</f>
        <v>4.4990771841472508E-6</v>
      </c>
      <c r="F159" s="6">
        <f>'Results - raw data ReCiPe (H)'!AG32</f>
        <v>4.4919915866917474E-6</v>
      </c>
      <c r="G159" s="6">
        <f>'Results - raw data ReCiPe (H)'!AH32</f>
        <v>4.4849171952101174E-6</v>
      </c>
      <c r="H159" s="6">
        <f>'Results - raw data ReCiPe (H)'!AI32</f>
        <v>4.4904228129143327E-6</v>
      </c>
      <c r="I159" s="6">
        <f>'Results - raw data ReCiPe (H)'!AJ32</f>
        <v>4.4959352490022174E-6</v>
      </c>
      <c r="J159" s="6">
        <f>'Results - raw data ReCiPe (H)'!AK32</f>
        <v>4.4889268251604726E-6</v>
      </c>
      <c r="K159" s="6">
        <f>'Results - raw data ReCiPe (H)'!AL32</f>
        <v>4.4944994140002021E-6</v>
      </c>
      <c r="L159" s="6">
        <f>'Results - raw data ReCiPe (H)'!AM32</f>
        <v>4.5000640197401953E-6</v>
      </c>
      <c r="M159" s="6">
        <f>'Results - raw data ReCiPe (H)'!AN32</f>
        <v>4.5107792253624839E-6</v>
      </c>
      <c r="N159" s="6">
        <f>'Results - raw data ReCiPe (H)'!AO32</f>
        <v>4.5214378334785092E-6</v>
      </c>
      <c r="O159" s="6">
        <f>'Results - raw data ReCiPe (H)'!AP32</f>
        <v>4.5283096521643754E-6</v>
      </c>
      <c r="P159" s="6">
        <f>'Results - raw data ReCiPe (H)'!AQ32</f>
        <v>4.5390097879665774E-6</v>
      </c>
      <c r="Q159" s="6">
        <f>'Results - raw data ReCiPe (H)'!AR32</f>
        <v>4.5497134383595956E-6</v>
      </c>
      <c r="R159" s="6">
        <f>'Results - raw data ReCiPe (H)'!AS32</f>
        <v>4.5331460721649742E-6</v>
      </c>
      <c r="S159" s="6">
        <f>'Results - raw data ReCiPe (H)'!AT32</f>
        <v>4.5163606296090708E-6</v>
      </c>
      <c r="T159" s="6">
        <f>'Results - raw data ReCiPe (H)'!AU32</f>
        <v>4.4955793454683717E-6</v>
      </c>
      <c r="U159" s="6">
        <f>'Results - raw data ReCiPe (H)'!AV32</f>
        <v>4.4784778933645077E-6</v>
      </c>
      <c r="V159" s="6">
        <f>'Results - raw data ReCiPe (H)'!AW32</f>
        <v>4.4612376012212993E-6</v>
      </c>
      <c r="W159" s="6">
        <f>'Results - raw data ReCiPe (H)'!AX32</f>
        <v>4.4518098931988601E-6</v>
      </c>
      <c r="X159" s="6">
        <f>'Results - raw data ReCiPe (H)'!AY32</f>
        <v>4.4218886582910254E-6</v>
      </c>
      <c r="Y159" s="6">
        <f>'Results - raw data ReCiPe (H)'!AZ32</f>
        <v>4.3918023831125164E-6</v>
      </c>
      <c r="Z159" s="6">
        <f>'Results - raw data ReCiPe (H)'!BA32</f>
        <v>4.3615476020125354E-6</v>
      </c>
    </row>
    <row r="160" spans="1:53" outlineLevel="1" x14ac:dyDescent="0.35">
      <c r="A160" s="6" t="s">
        <v>758</v>
      </c>
      <c r="B160" s="6">
        <f>'Results - raw data ReCiPe (H)'!AC33*$AC$129</f>
        <v>3.1797782165420871E-8</v>
      </c>
      <c r="C160" s="6">
        <f>'Results - raw data ReCiPe (H)'!AD33*$AC$129</f>
        <v>3.1647776711233046E-8</v>
      </c>
      <c r="D160" s="6">
        <f>'Results - raw data ReCiPe (H)'!AE33*$AC$129</f>
        <v>3.1497799919814247E-8</v>
      </c>
      <c r="E160" s="6">
        <f>'Results - raw data ReCiPe (H)'!AF33*$AC$129</f>
        <v>3.1320606945209962E-8</v>
      </c>
      <c r="F160" s="6">
        <f>'Results - raw data ReCiPe (H)'!AG33*$AC$129</f>
        <v>3.1170361776363029E-8</v>
      </c>
      <c r="G160" s="6">
        <f>'Results - raw data ReCiPe (H)'!AH33*$AC$129</f>
        <v>3.1020039626438309E-8</v>
      </c>
      <c r="H160" s="6">
        <f>'Results - raw data ReCiPe (H)'!AI33*$AC$129</f>
        <v>3.2921428895861715E-8</v>
      </c>
      <c r="I160" s="6">
        <f>'Results - raw data ReCiPe (H)'!AJ33*$AC$129</f>
        <v>3.4814695927821755E-8</v>
      </c>
      <c r="J160" s="6">
        <f>'Results - raw data ReCiPe (H)'!AK33*$AC$129</f>
        <v>3.668395296908396E-8</v>
      </c>
      <c r="K160" s="6">
        <f>'Results - raw data ReCiPe (H)'!AL33*$AC$129</f>
        <v>3.8563227374546007E-8</v>
      </c>
      <c r="L160" s="6">
        <f>'Results - raw data ReCiPe (H)'!AM33*$AC$129</f>
        <v>4.0433446077921769E-8</v>
      </c>
      <c r="M160" s="6">
        <f>'Results - raw data ReCiPe (H)'!AN33*$AC$129</f>
        <v>4.4001481949962163E-8</v>
      </c>
      <c r="N160" s="6">
        <f>'Results - raw data ReCiPe (H)'!AO33*$AC$129</f>
        <v>4.7570731004208979E-8</v>
      </c>
      <c r="O160" s="6">
        <f>'Results - raw data ReCiPe (H)'!AP33*$AC$129</f>
        <v>5.1137989123168719E-8</v>
      </c>
      <c r="P160" s="6">
        <f>'Results - raw data ReCiPe (H)'!AQ33*$AC$129</f>
        <v>5.4711279888426196E-8</v>
      </c>
      <c r="Q160" s="6">
        <f>'Results - raw data ReCiPe (H)'!AR33*$AC$129</f>
        <v>5.8287442359928426E-8</v>
      </c>
      <c r="R160" s="6">
        <f>'Results - raw data ReCiPe (H)'!AS33*$AC$129</f>
        <v>5.8621825995075434E-8</v>
      </c>
      <c r="S160" s="6">
        <f>'Results - raw data ReCiPe (H)'!AT33*$AC$129</f>
        <v>5.8959706246248795E-8</v>
      </c>
      <c r="T160" s="6">
        <f>'Results - raw data ReCiPe (H)'!AU33*$AC$129</f>
        <v>5.9296970563941409E-8</v>
      </c>
      <c r="U160" s="6">
        <f>'Results - raw data ReCiPe (H)'!AV33*$AC$129</f>
        <v>5.964056138211613E-8</v>
      </c>
      <c r="V160" s="6">
        <f>'Results - raw data ReCiPe (H)'!AW33*$AC$129</f>
        <v>5.9986401055279095E-8</v>
      </c>
      <c r="W160" s="6">
        <f>'Results - raw data ReCiPe (H)'!AX33*$AC$129</f>
        <v>5.9164854113411895E-8</v>
      </c>
      <c r="X160" s="6">
        <f>'Results - raw data ReCiPe (H)'!AY33*$AC$129</f>
        <v>5.7490675274398223E-8</v>
      </c>
      <c r="Y160" s="6">
        <f>'Results - raw data ReCiPe (H)'!AZ33*$AC$129</f>
        <v>5.5817244483627902E-8</v>
      </c>
      <c r="Z160" s="6">
        <f>'Results - raw data ReCiPe (H)'!BA33*$AC$129</f>
        <v>5.4144530449848056E-8</v>
      </c>
    </row>
    <row r="161" spans="1:53" outlineLevel="1" x14ac:dyDescent="0.35">
      <c r="A161" s="6" t="s">
        <v>759</v>
      </c>
      <c r="B161" s="6">
        <f>'Results - raw data ReCiPe (H)'!AC34</f>
        <v>2.0736000294618859E-7</v>
      </c>
      <c r="C161" s="6">
        <f>'Results - raw data ReCiPe (H)'!AD34</f>
        <v>2.0736000294618859E-7</v>
      </c>
      <c r="D161" s="6">
        <f>'Results - raw data ReCiPe (H)'!AE34</f>
        <v>2.0736000294618859E-7</v>
      </c>
      <c r="E161" s="6">
        <f>'Results - raw data ReCiPe (H)'!AF34</f>
        <v>2.0736000294618859E-7</v>
      </c>
      <c r="F161" s="6">
        <f>'Results - raw data ReCiPe (H)'!AG34</f>
        <v>2.0736000294618859E-7</v>
      </c>
      <c r="G161" s="6">
        <f>'Results - raw data ReCiPe (H)'!AH34</f>
        <v>2.0736000294618859E-7</v>
      </c>
      <c r="H161" s="6">
        <f>'Results - raw data ReCiPe (H)'!AI34</f>
        <v>2.0736000294618859E-7</v>
      </c>
      <c r="I161" s="6">
        <f>'Results - raw data ReCiPe (H)'!AJ34</f>
        <v>2.0736000294618859E-7</v>
      </c>
      <c r="J161" s="6">
        <f>'Results - raw data ReCiPe (H)'!AK34</f>
        <v>2.0736000294618859E-7</v>
      </c>
      <c r="K161" s="6">
        <f>'Results - raw data ReCiPe (H)'!AL34</f>
        <v>2.0736000294618859E-7</v>
      </c>
      <c r="L161" s="6">
        <f>'Results - raw data ReCiPe (H)'!AM34</f>
        <v>2.0736000294618859E-7</v>
      </c>
      <c r="M161" s="6">
        <f>'Results - raw data ReCiPe (H)'!AN34</f>
        <v>2.0736000294618859E-7</v>
      </c>
      <c r="N161" s="6">
        <f>'Results - raw data ReCiPe (H)'!AO34</f>
        <v>2.0736000294618859E-7</v>
      </c>
      <c r="O161" s="6">
        <f>'Results - raw data ReCiPe (H)'!AP34</f>
        <v>2.0736000294618859E-7</v>
      </c>
      <c r="P161" s="6">
        <f>'Results - raw data ReCiPe (H)'!AQ34</f>
        <v>2.0736000294618859E-7</v>
      </c>
      <c r="Q161" s="6">
        <f>'Results - raw data ReCiPe (H)'!AR34</f>
        <v>2.0736000294618859E-7</v>
      </c>
      <c r="R161" s="6">
        <f>'Results - raw data ReCiPe (H)'!AS34</f>
        <v>2.0736000294618859E-7</v>
      </c>
      <c r="S161" s="6">
        <f>'Results - raw data ReCiPe (H)'!AT34</f>
        <v>2.0736000294618859E-7</v>
      </c>
      <c r="T161" s="6">
        <f>'Results - raw data ReCiPe (H)'!AU34</f>
        <v>2.0736000294618859E-7</v>
      </c>
      <c r="U161" s="6">
        <f>'Results - raw data ReCiPe (H)'!AV34</f>
        <v>2.0736000294618859E-7</v>
      </c>
      <c r="V161" s="6">
        <f>'Results - raw data ReCiPe (H)'!AW34</f>
        <v>2.0736000294618859E-7</v>
      </c>
      <c r="W161" s="6">
        <f>'Results - raw data ReCiPe (H)'!AX34</f>
        <v>2.0736000294618859E-7</v>
      </c>
      <c r="X161" s="6">
        <f>'Results - raw data ReCiPe (H)'!AY34</f>
        <v>2.0736000294618859E-7</v>
      </c>
      <c r="Y161" s="6">
        <f>'Results - raw data ReCiPe (H)'!AZ34</f>
        <v>2.0736000294618859E-7</v>
      </c>
      <c r="Z161" s="6">
        <f>'Results - raw data ReCiPe (H)'!BA34</f>
        <v>2.0736000294618859E-7</v>
      </c>
    </row>
    <row r="162" spans="1:53" outlineLevel="1" x14ac:dyDescent="0.35">
      <c r="A162" s="6" t="s">
        <v>760</v>
      </c>
      <c r="B162" s="6">
        <f>150000*($AC$129*'Results - raw data ReCiPe (H)'!AC114+(1-'Results ReCiPe (H) - HHD'!$AC$129)*'Results - raw data ReCiPe (H)'!AC115)</f>
        <v>1.2588976407817133E-4</v>
      </c>
      <c r="C162" s="6">
        <f>150000*($AC$129*'Results - raw data ReCiPe (H)'!AD114+(1-'Results ReCiPe (H) - HHD'!$AC$129)*'Results - raw data ReCiPe (H)'!AD115)</f>
        <v>1.2541245053937519E-4</v>
      </c>
      <c r="D162" s="6">
        <f>150000*($AC$129*'Results - raw data ReCiPe (H)'!AE114+(1-'Results ReCiPe (H) - HHD'!$AC$129)*'Results - raw data ReCiPe (H)'!AE115)</f>
        <v>1.2493416768600632E-4</v>
      </c>
      <c r="E162" s="6">
        <f>150000*($AC$129*'Results - raw data ReCiPe (H)'!AF114+(1-'Results ReCiPe (H) - HHD'!$AC$129)*'Results - raw data ReCiPe (H)'!AF115)</f>
        <v>1.2433182917608843E-4</v>
      </c>
      <c r="F162" s="6">
        <f>150000*($AC$129*'Results - raw data ReCiPe (H)'!AG114+(1-'Results ReCiPe (H) - HHD'!$AC$129)*'Results - raw data ReCiPe (H)'!AG115)</f>
        <v>1.2385032043114522E-4</v>
      </c>
      <c r="G162" s="6">
        <f>150000*($AC$129*'Results - raw data ReCiPe (H)'!AH114+(1-'Results ReCiPe (H) - HHD'!$AC$129)*'Results - raw data ReCiPe (H)'!AH115)</f>
        <v>1.2336733085644029E-4</v>
      </c>
      <c r="H162" s="6">
        <f>150000*($AC$129*'Results - raw data ReCiPe (H)'!AI114+(1-'Results ReCiPe (H) - HHD'!$AC$129)*'Results - raw data ReCiPe (H)'!AI115)</f>
        <v>1.3183312211919064E-4</v>
      </c>
      <c r="I162" s="6">
        <f>150000*($AC$129*'Results - raw data ReCiPe (H)'!AJ114+(1-'Results ReCiPe (H) - HHD'!$AC$129)*'Results - raw data ReCiPe (H)'!AJ115)</f>
        <v>1.4028778393662718E-4</v>
      </c>
      <c r="J162" s="6">
        <f>150000*($AC$129*'Results - raw data ReCiPe (H)'!AK114+(1-'Results ReCiPe (H) - HHD'!$AC$129)*'Results - raw data ReCiPe (H)'!AK115)</f>
        <v>1.4866023273223204E-4</v>
      </c>
      <c r="K162" s="6">
        <f>150000*($AC$129*'Results - raw data ReCiPe (H)'!AL114+(1-'Results ReCiPe (H) - HHD'!$AC$129)*'Results - raw data ReCiPe (H)'!AL115)</f>
        <v>1.5710209560999789E-4</v>
      </c>
      <c r="L162" s="6">
        <f>150000*($AC$129*'Results - raw data ReCiPe (H)'!AM114+(1-'Results ReCiPe (H) - HHD'!$AC$129)*'Results - raw data ReCiPe (H)'!AM115)</f>
        <v>1.6552840125532572E-4</v>
      </c>
      <c r="M162" s="6">
        <f>150000*($AC$129*'Results - raw data ReCiPe (H)'!AN114+(1-'Results ReCiPe (H) - HHD'!$AC$129)*'Results - raw data ReCiPe (H)'!AN115)</f>
        <v>1.8142550250809135E-4</v>
      </c>
      <c r="N162" s="6">
        <f>150000*($AC$129*'Results - raw data ReCiPe (H)'!AO114+(1-'Results ReCiPe (H) - HHD'!$AC$129)*'Results - raw data ReCiPe (H)'!AO115)</f>
        <v>1.973644974793992E-4</v>
      </c>
      <c r="O162" s="6">
        <f>150000*($AC$129*'Results - raw data ReCiPe (H)'!AP114+(1-'Results ReCiPe (H) - HHD'!$AC$129)*'Results - raw data ReCiPe (H)'!AP115)</f>
        <v>2.1333121022246092E-4</v>
      </c>
      <c r="P162" s="6">
        <f>150000*($AC$129*'Results - raw data ReCiPe (H)'!AQ114+(1-'Results ReCiPe (H) - HHD'!$AC$129)*'Results - raw data ReCiPe (H)'!AQ115)</f>
        <v>2.2936127122252776E-4</v>
      </c>
      <c r="Q162" s="6">
        <f>150000*($AC$129*'Results - raw data ReCiPe (H)'!AR114+(1-'Results ReCiPe (H) - HHD'!$AC$129)*'Results - raw data ReCiPe (H)'!AR115)</f>
        <v>2.4544116110921565E-4</v>
      </c>
      <c r="R162" s="6">
        <f>150000*($AC$129*'Results - raw data ReCiPe (H)'!AS114+(1-'Results ReCiPe (H) - HHD'!$AC$129)*'Results - raw data ReCiPe (H)'!AS115)</f>
        <v>2.4715671694408288E-4</v>
      </c>
      <c r="S162" s="6">
        <f>150000*($AC$129*'Results - raw data ReCiPe (H)'!AT114+(1-'Results ReCiPe (H) - HHD'!$AC$129)*'Results - raw data ReCiPe (H)'!AT115)</f>
        <v>2.4889137898634946E-4</v>
      </c>
      <c r="T162" s="6">
        <f>150000*($AC$129*'Results - raw data ReCiPe (H)'!AU114+(1-'Results ReCiPe (H) - HHD'!$AC$129)*'Results - raw data ReCiPe (H)'!AU115)</f>
        <v>2.5062678466073894E-4</v>
      </c>
      <c r="U162" s="6">
        <f>150000*($AC$129*'Results - raw data ReCiPe (H)'!AV114+(1-'Results ReCiPe (H) - HHD'!$AC$129)*'Results - raw data ReCiPe (H)'!AV115)</f>
        <v>2.5239397404902168E-4</v>
      </c>
      <c r="V162" s="6">
        <f>150000*($AC$129*'Results - raw data ReCiPe (H)'!AW114+(1-'Results ReCiPe (H) - HHD'!$AC$129)*'Results - raw data ReCiPe (H)'!AW115)</f>
        <v>2.5417479809996618E-4</v>
      </c>
      <c r="W162" s="6">
        <f>150000*($AC$129*'Results - raw data ReCiPe (H)'!AX114+(1-'Results ReCiPe (H) - HHD'!$AC$129)*'Results - raw data ReCiPe (H)'!AX115)</f>
        <v>2.5091217062583865E-4</v>
      </c>
      <c r="X162" s="6">
        <f>150000*($AC$129*'Results - raw data ReCiPe (H)'!AY114+(1-'Results ReCiPe (H) - HHD'!$AC$129)*'Results - raw data ReCiPe (H)'!AY115)</f>
        <v>2.4390800205264466E-4</v>
      </c>
      <c r="Y162" s="6">
        <f>150000*($AC$129*'Results - raw data ReCiPe (H)'!AZ114+(1-'Results ReCiPe (H) - HHD'!$AC$129)*'Results - raw data ReCiPe (H)'!AZ115)</f>
        <v>2.3687928519828576E-4</v>
      </c>
      <c r="Z162" s="6">
        <f>150000*($AC$129*'Results - raw data ReCiPe (H)'!BA114+(1-'Results ReCiPe (H) - HHD'!$AC$129)*'Results - raw data ReCiPe (H)'!BA115)</f>
        <v>2.2982581124987253E-4</v>
      </c>
    </row>
    <row r="163" spans="1:53" outlineLevel="1" x14ac:dyDescent="0.35">
      <c r="A163" s="23" t="s">
        <v>125</v>
      </c>
      <c r="B163" s="17">
        <f t="shared" ref="B163:Z163" si="19">SUM(B132:B162)</f>
        <v>3.3671094219035714E-4</v>
      </c>
      <c r="C163" s="17">
        <f t="shared" si="19"/>
        <v>1.3018899017233062E-4</v>
      </c>
      <c r="D163" s="17">
        <f t="shared" si="19"/>
        <v>1.2970349892296235E-4</v>
      </c>
      <c r="E163" s="17">
        <f t="shared" si="19"/>
        <v>1.2906958697012707E-4</v>
      </c>
      <c r="F163" s="17">
        <f t="shared" si="19"/>
        <v>1.2858084238255951E-4</v>
      </c>
      <c r="G163" s="17">
        <f t="shared" si="19"/>
        <v>1.2809062809422304E-4</v>
      </c>
      <c r="H163" s="17">
        <f t="shared" si="19"/>
        <v>1.3656382636394702E-4</v>
      </c>
      <c r="I163" s="17">
        <f t="shared" si="19"/>
        <v>1.4502589388450341E-4</v>
      </c>
      <c r="J163" s="17">
        <f t="shared" si="19"/>
        <v>1.5339320351330778E-4</v>
      </c>
      <c r="K163" s="17">
        <f t="shared" si="19"/>
        <v>1.6184251825431884E-4</v>
      </c>
      <c r="L163" s="17">
        <f t="shared" si="19"/>
        <v>1.7027625872409002E-4</v>
      </c>
      <c r="M163" s="17">
        <f t="shared" si="19"/>
        <v>1.8618764321834999E-4</v>
      </c>
      <c r="N163" s="17">
        <f t="shared" si="19"/>
        <v>2.0214086604682812E-4</v>
      </c>
      <c r="O163" s="17">
        <f t="shared" si="19"/>
        <v>2.1811801786669464E-4</v>
      </c>
      <c r="P163" s="17">
        <f t="shared" si="19"/>
        <v>2.3416235229332895E-4</v>
      </c>
      <c r="Q163" s="17">
        <f t="shared" si="19"/>
        <v>2.5025652199288134E-4</v>
      </c>
      <c r="R163" s="17">
        <f t="shared" si="19"/>
        <v>2.5195584484518914E-4</v>
      </c>
      <c r="S163" s="17">
        <f t="shared" si="19"/>
        <v>2.5367405932515098E-4</v>
      </c>
      <c r="T163" s="17">
        <f t="shared" si="19"/>
        <v>2.5538902097971744E-4</v>
      </c>
      <c r="U163" s="17">
        <f t="shared" si="19"/>
        <v>2.5713945250671448E-4</v>
      </c>
      <c r="V163" s="17">
        <f t="shared" si="19"/>
        <v>2.5890338210518896E-4</v>
      </c>
      <c r="W163" s="17">
        <f t="shared" si="19"/>
        <v>2.5563050537609711E-4</v>
      </c>
      <c r="X163" s="17">
        <f t="shared" si="19"/>
        <v>2.4859474138915627E-4</v>
      </c>
      <c r="Y163" s="17">
        <f t="shared" si="19"/>
        <v>2.4153426482882809E-4</v>
      </c>
      <c r="Z163" s="17">
        <f t="shared" si="19"/>
        <v>2.3737423056628142E-4</v>
      </c>
    </row>
    <row r="164" spans="1:53" outlineLevel="1" x14ac:dyDescent="0.35"/>
    <row r="165" spans="1:53" s="18" customFormat="1" ht="21" x14ac:dyDescent="0.5">
      <c r="A165" s="18" t="s">
        <v>73</v>
      </c>
    </row>
    <row r="166" spans="1:53" s="20" customFormat="1" outlineLevel="1" x14ac:dyDescent="0.35">
      <c r="A166" s="19" t="s">
        <v>766</v>
      </c>
    </row>
    <row r="167" spans="1:53" s="16" customFormat="1" outlineLevel="1" x14ac:dyDescent="0.35">
      <c r="A167" s="21"/>
      <c r="AB167" s="15" t="s">
        <v>143</v>
      </c>
      <c r="AC167" s="16">
        <f>0.0000000028+0.0000000000000765</f>
        <v>2.8000764999999998E-9</v>
      </c>
      <c r="AD167" s="16" t="s">
        <v>916</v>
      </c>
      <c r="AE167" s="15" t="s">
        <v>714</v>
      </c>
    </row>
    <row r="168" spans="1:53" s="16" customFormat="1" outlineLevel="1" x14ac:dyDescent="0.35">
      <c r="A168" s="22" t="s">
        <v>917</v>
      </c>
      <c r="AC168" s="16">
        <f>AC167*1000</f>
        <v>2.8000765E-6</v>
      </c>
      <c r="AD168" s="16" t="s">
        <v>918</v>
      </c>
    </row>
    <row r="169" spans="1:53" s="16" customFormat="1" outlineLevel="1" x14ac:dyDescent="0.35">
      <c r="A169" s="22"/>
      <c r="AB169" s="16" t="s">
        <v>127</v>
      </c>
      <c r="AC169" s="16">
        <v>100</v>
      </c>
      <c r="AD169" s="16" t="s">
        <v>128</v>
      </c>
    </row>
    <row r="170" spans="1:53" s="16" customFormat="1" outlineLevel="1" x14ac:dyDescent="0.35">
      <c r="A170" s="230" t="s">
        <v>768</v>
      </c>
      <c r="AB170" s="16" t="s">
        <v>20</v>
      </c>
      <c r="AC170" s="16">
        <v>0.23</v>
      </c>
      <c r="AD170" s="16" t="s">
        <v>715</v>
      </c>
    </row>
    <row r="171" spans="1:53" s="16" customFormat="1" outlineLevel="1" x14ac:dyDescent="0.35">
      <c r="A171" s="22"/>
      <c r="AB171" s="16" t="s">
        <v>129</v>
      </c>
      <c r="AC171" s="16">
        <v>25</v>
      </c>
      <c r="AD171" s="16" t="s">
        <v>130</v>
      </c>
    </row>
    <row r="172" spans="1:53" outlineLevel="1" x14ac:dyDescent="0.35">
      <c r="B172" s="25">
        <v>2030</v>
      </c>
      <c r="C172" s="25">
        <v>2031</v>
      </c>
      <c r="D172" s="25">
        <v>2032</v>
      </c>
      <c r="E172" s="25">
        <v>2033</v>
      </c>
      <c r="F172" s="25">
        <v>2034</v>
      </c>
      <c r="G172" s="25">
        <v>2035</v>
      </c>
      <c r="H172" s="25">
        <v>2036</v>
      </c>
      <c r="I172" s="25">
        <v>2037</v>
      </c>
      <c r="J172" s="25">
        <v>2038</v>
      </c>
      <c r="K172" s="25">
        <v>2039</v>
      </c>
      <c r="L172" s="25">
        <v>2040</v>
      </c>
      <c r="M172" s="25">
        <v>2041</v>
      </c>
      <c r="N172" s="25">
        <v>2042</v>
      </c>
      <c r="O172" s="25">
        <v>2043</v>
      </c>
      <c r="P172" s="25">
        <v>2044</v>
      </c>
      <c r="Q172" s="25">
        <v>2045</v>
      </c>
      <c r="R172" s="25">
        <v>2046</v>
      </c>
      <c r="S172" s="25">
        <v>2047</v>
      </c>
      <c r="T172" s="25">
        <v>2048</v>
      </c>
      <c r="U172" s="25">
        <v>2049</v>
      </c>
      <c r="V172" s="25">
        <v>2050</v>
      </c>
      <c r="W172" s="25">
        <v>2051</v>
      </c>
      <c r="X172" s="25">
        <v>2052</v>
      </c>
      <c r="Y172" s="25">
        <v>2053</v>
      </c>
      <c r="Z172" s="25">
        <v>2054</v>
      </c>
      <c r="AC172" s="25">
        <v>2030</v>
      </c>
      <c r="AD172" s="25">
        <v>2031</v>
      </c>
      <c r="AE172" s="25">
        <v>2032</v>
      </c>
      <c r="AF172" s="25">
        <v>2033</v>
      </c>
      <c r="AG172" s="25">
        <v>2034</v>
      </c>
      <c r="AH172" s="25">
        <v>2035</v>
      </c>
      <c r="AI172" s="25">
        <v>2036</v>
      </c>
      <c r="AJ172" s="25">
        <v>2037</v>
      </c>
      <c r="AK172" s="25">
        <v>2038</v>
      </c>
      <c r="AL172" s="25">
        <v>2039</v>
      </c>
      <c r="AM172" s="25">
        <v>2040</v>
      </c>
      <c r="AN172" s="25">
        <v>2041</v>
      </c>
      <c r="AO172" s="25">
        <v>2042</v>
      </c>
      <c r="AP172" s="25">
        <v>2043</v>
      </c>
      <c r="AQ172" s="25">
        <v>2044</v>
      </c>
      <c r="AR172" s="25">
        <v>2045</v>
      </c>
      <c r="AS172" s="25">
        <v>2046</v>
      </c>
      <c r="AT172" s="25">
        <v>2047</v>
      </c>
      <c r="AU172" s="25">
        <v>2048</v>
      </c>
      <c r="AV172" s="25">
        <v>2049</v>
      </c>
      <c r="AW172" s="25">
        <v>2050</v>
      </c>
      <c r="AX172" s="25">
        <v>2051</v>
      </c>
      <c r="AY172" s="25">
        <v>2052</v>
      </c>
      <c r="AZ172" s="25">
        <v>2053</v>
      </c>
      <c r="BA172" s="25">
        <v>2054</v>
      </c>
    </row>
    <row r="173" spans="1:53" outlineLevel="1" x14ac:dyDescent="0.35">
      <c r="A173" s="6" t="s">
        <v>21</v>
      </c>
      <c r="B173" s="6">
        <f>'Results - raw data ReCiPe (H)'!AC41</f>
        <v>3.1244393966085418E-6</v>
      </c>
      <c r="AB173" s="6" t="s">
        <v>117</v>
      </c>
      <c r="AC173" s="6">
        <f>SUM(B173:B184)+B186</f>
        <v>1.8346526921509307E-4</v>
      </c>
    </row>
    <row r="174" spans="1:53" outlineLevel="1" x14ac:dyDescent="0.35">
      <c r="A174" s="6" t="s">
        <v>23</v>
      </c>
      <c r="B174" s="6">
        <f>'Results - raw data ReCiPe (H)'!AC42</f>
        <v>5.6429582916055214E-6</v>
      </c>
      <c r="AB174" s="6" t="s">
        <v>118</v>
      </c>
      <c r="AC174" s="6">
        <f>B185</f>
        <v>1.0765797689579158E-5</v>
      </c>
    </row>
    <row r="175" spans="1:53" outlineLevel="1" x14ac:dyDescent="0.35">
      <c r="A175" s="6" t="s">
        <v>26</v>
      </c>
      <c r="B175" s="6">
        <f>'Results - raw data ReCiPe (H)'!AC43</f>
        <v>1.418628247834127E-5</v>
      </c>
      <c r="AB175" s="6" t="s">
        <v>119</v>
      </c>
      <c r="BA175" s="6">
        <f>SUM(Z187:Z198)</f>
        <v>2.5814369390254752E-6</v>
      </c>
    </row>
    <row r="176" spans="1:53" outlineLevel="1" x14ac:dyDescent="0.35">
      <c r="A176" s="6" t="s">
        <v>28</v>
      </c>
      <c r="B176" s="6">
        <f>'Results - raw data ReCiPe (H)'!AC44</f>
        <v>1.150422510297097E-5</v>
      </c>
      <c r="AB176" s="6" t="s">
        <v>120</v>
      </c>
      <c r="BA176" s="6">
        <f>Z199</f>
        <v>8.9177657234606268E-8</v>
      </c>
    </row>
    <row r="177" spans="1:53" outlineLevel="1" x14ac:dyDescent="0.35">
      <c r="A177" s="6" t="s">
        <v>29</v>
      </c>
      <c r="B177" s="6">
        <f>'Results - raw data ReCiPe (H)'!AC45</f>
        <v>9.1719333838261594E-6</v>
      </c>
      <c r="AB177" s="6" t="s">
        <v>121</v>
      </c>
      <c r="AC177" s="6">
        <f>B200</f>
        <v>4.3941155135361717E-6</v>
      </c>
      <c r="AF177" s="6">
        <f>E200</f>
        <v>4.2507924568478764E-6</v>
      </c>
      <c r="AI177" s="6">
        <f>H200</f>
        <v>4.1207843305059888E-6</v>
      </c>
      <c r="AL177" s="6">
        <f>K200</f>
        <v>3.961479922998473E-6</v>
      </c>
      <c r="AO177" s="6">
        <f>N200</f>
        <v>3.782659921523485E-6</v>
      </c>
      <c r="AR177" s="6">
        <f>Q200</f>
        <v>3.5852486401048028E-6</v>
      </c>
      <c r="AU177" s="6">
        <f>T200</f>
        <v>3.4498744880293848E-6</v>
      </c>
      <c r="AX177" s="6">
        <f>W200</f>
        <v>3.372986237475297E-6</v>
      </c>
      <c r="BA177" s="6">
        <f>Z200</f>
        <v>3.3539861692443772E-6</v>
      </c>
    </row>
    <row r="178" spans="1:53" outlineLevel="1" x14ac:dyDescent="0.35">
      <c r="A178" s="6" t="s">
        <v>31</v>
      </c>
      <c r="B178" s="6">
        <f>'Results - raw data ReCiPe (H)'!AC46</f>
        <v>7.2421411651487134E-6</v>
      </c>
      <c r="AB178" s="6" t="s">
        <v>122</v>
      </c>
      <c r="AC178" s="6">
        <f>B203+B202</f>
        <v>1.0631386695713137E-4</v>
      </c>
      <c r="AD178" s="6">
        <f t="shared" ref="AD178:AV178" si="20">C203+C202</f>
        <v>9.9195492323323346E-5</v>
      </c>
      <c r="AE178" s="6">
        <f t="shared" si="20"/>
        <v>9.2071055427469641E-5</v>
      </c>
      <c r="AF178" s="6">
        <f t="shared" si="20"/>
        <v>8.480967982117366E-5</v>
      </c>
      <c r="AG178" s="6">
        <f t="shared" si="20"/>
        <v>7.7671362794186723E-5</v>
      </c>
      <c r="AH178" s="6">
        <f t="shared" si="20"/>
        <v>7.0526797329012271E-5</v>
      </c>
      <c r="AI178" s="6">
        <f t="shared" si="20"/>
        <v>6.6021432869089867E-5</v>
      </c>
      <c r="AJ178" s="6">
        <f t="shared" si="20"/>
        <v>6.1518250126262004E-5</v>
      </c>
      <c r="AK178" s="6">
        <f t="shared" si="20"/>
        <v>5.6915220684311279E-5</v>
      </c>
      <c r="AL178" s="6">
        <f t="shared" si="20"/>
        <v>5.2397405095628239E-5</v>
      </c>
      <c r="AM178" s="6">
        <f t="shared" si="20"/>
        <v>4.787080628765045E-5</v>
      </c>
      <c r="AN178" s="6">
        <f t="shared" si="20"/>
        <v>4.4823461488432227E-5</v>
      </c>
      <c r="AO178" s="6">
        <f t="shared" si="20"/>
        <v>4.1761576383950526E-5</v>
      </c>
      <c r="AP178" s="6">
        <f t="shared" si="20"/>
        <v>3.865316298722266E-5</v>
      </c>
      <c r="AQ178" s="6">
        <f t="shared" si="20"/>
        <v>3.5556269763647242E-5</v>
      </c>
      <c r="AR178" s="6">
        <f t="shared" si="20"/>
        <v>3.2445173908467337E-5</v>
      </c>
      <c r="AS178" s="6">
        <f t="shared" si="20"/>
        <v>3.1057485592137793E-5</v>
      </c>
      <c r="AT178" s="6">
        <f t="shared" si="20"/>
        <v>2.967422560339777E-5</v>
      </c>
      <c r="AU178" s="6">
        <f t="shared" si="20"/>
        <v>2.8268104320533644E-5</v>
      </c>
      <c r="AV178" s="6">
        <f t="shared" si="20"/>
        <v>2.6892810437179852E-5</v>
      </c>
      <c r="AW178" s="6">
        <f>V203</f>
        <v>2.5316103019982918E-5</v>
      </c>
      <c r="AX178" s="6">
        <f>W203</f>
        <v>2.5353384783025232E-5</v>
      </c>
      <c r="AY178" s="6">
        <f>X203</f>
        <v>2.4706877807295189E-5</v>
      </c>
      <c r="AZ178" s="6">
        <f>Y203</f>
        <v>2.405735843545893E-5</v>
      </c>
      <c r="BA178" s="6">
        <f>Z203</f>
        <v>2.340475868104593E-5</v>
      </c>
    </row>
    <row r="179" spans="1:53" outlineLevel="1" x14ac:dyDescent="0.35">
      <c r="A179" s="6" t="s">
        <v>34</v>
      </c>
      <c r="B179" s="6">
        <f>'Results - raw data ReCiPe (H)'!AC47</f>
        <v>5.0838586316427567E-6</v>
      </c>
      <c r="AB179" s="6" t="s">
        <v>123</v>
      </c>
      <c r="AC179" s="6">
        <f t="shared" ref="AC179:BA179" si="21">B201</f>
        <v>2.7148136611198738E-8</v>
      </c>
      <c r="AD179" s="6">
        <f t="shared" si="21"/>
        <v>2.546825848109242E-8</v>
      </c>
      <c r="AE179" s="6">
        <f t="shared" si="21"/>
        <v>2.3794443559640535E-8</v>
      </c>
      <c r="AF179" s="6">
        <f t="shared" si="21"/>
        <v>2.2097648995380839E-8</v>
      </c>
      <c r="AG179" s="6">
        <f t="shared" si="21"/>
        <v>2.043556304860846E-8</v>
      </c>
      <c r="AH179" s="6">
        <f t="shared" si="21"/>
        <v>1.8779495671654271E-8</v>
      </c>
      <c r="AI179" s="6">
        <f t="shared" si="21"/>
        <v>1.7738645483685198E-8</v>
      </c>
      <c r="AJ179" s="6">
        <f t="shared" si="21"/>
        <v>1.6699401048933684E-8</v>
      </c>
      <c r="AK179" s="6">
        <f t="shared" si="21"/>
        <v>1.5639345232595664E-8</v>
      </c>
      <c r="AL179" s="6">
        <f t="shared" si="21"/>
        <v>1.4600449454182411E-8</v>
      </c>
      <c r="AM179" s="6">
        <f t="shared" si="21"/>
        <v>1.3561644547151368E-8</v>
      </c>
      <c r="AN179" s="6">
        <f t="shared" si="21"/>
        <v>1.2860827180258062E-8</v>
      </c>
      <c r="AO179" s="6">
        <f t="shared" si="21"/>
        <v>1.2156895349869529E-8</v>
      </c>
      <c r="AP179" s="6">
        <f t="shared" si="21"/>
        <v>1.1442685567027167E-8</v>
      </c>
      <c r="AQ179" s="6">
        <f t="shared" si="21"/>
        <v>1.0731127486874594E-8</v>
      </c>
      <c r="AR179" s="6">
        <f t="shared" si="21"/>
        <v>1.0016442799030954E-8</v>
      </c>
      <c r="AS179" s="6">
        <f t="shared" si="21"/>
        <v>9.6965617355981594E-9</v>
      </c>
      <c r="AT179" s="6">
        <f t="shared" si="21"/>
        <v>9.3768349441888888E-9</v>
      </c>
      <c r="AU179" s="6">
        <f t="shared" si="21"/>
        <v>9.0511779091148139E-9</v>
      </c>
      <c r="AV179" s="6">
        <f t="shared" si="21"/>
        <v>8.7314126347114447E-9</v>
      </c>
      <c r="AW179" s="6">
        <f t="shared" si="21"/>
        <v>8.4118378455451377E-9</v>
      </c>
      <c r="AX179" s="6">
        <f t="shared" si="21"/>
        <v>8.4362155285598362E-9</v>
      </c>
      <c r="AY179" s="6">
        <f t="shared" si="21"/>
        <v>8.2868632416206325E-9</v>
      </c>
      <c r="AZ179" s="6">
        <f t="shared" si="21"/>
        <v>8.1372672241856571E-9</v>
      </c>
      <c r="BA179" s="6">
        <f t="shared" si="21"/>
        <v>7.9874059113008565E-9</v>
      </c>
    </row>
    <row r="180" spans="1:53" outlineLevel="1" x14ac:dyDescent="0.35">
      <c r="A180" s="6" t="s">
        <v>36</v>
      </c>
      <c r="B180" s="6">
        <f>'Results - raw data ReCiPe (H)'!AC48</f>
        <v>4.2855500853218693E-6</v>
      </c>
      <c r="AB180" s="6" t="s">
        <v>124</v>
      </c>
      <c r="AC180" s="6">
        <f>-$AC$6*$AC$7</f>
        <v>-2.8000764999999998E-4</v>
      </c>
      <c r="AD180" s="6">
        <f t="shared" ref="AD180:BA180" si="22">-$AC$6*$AC$7</f>
        <v>-2.8000764999999998E-4</v>
      </c>
      <c r="AE180" s="6">
        <f t="shared" si="22"/>
        <v>-2.8000764999999998E-4</v>
      </c>
      <c r="AF180" s="6">
        <f t="shared" si="22"/>
        <v>-2.8000764999999998E-4</v>
      </c>
      <c r="AG180" s="6">
        <f t="shared" si="22"/>
        <v>-2.8000764999999998E-4</v>
      </c>
      <c r="AH180" s="6">
        <f t="shared" si="22"/>
        <v>-2.8000764999999998E-4</v>
      </c>
      <c r="AI180" s="6">
        <f t="shared" si="22"/>
        <v>-2.8000764999999998E-4</v>
      </c>
      <c r="AJ180" s="6">
        <f t="shared" si="22"/>
        <v>-2.8000764999999998E-4</v>
      </c>
      <c r="AK180" s="6">
        <f t="shared" si="22"/>
        <v>-2.8000764999999998E-4</v>
      </c>
      <c r="AL180" s="6">
        <f t="shared" si="22"/>
        <v>-2.8000764999999998E-4</v>
      </c>
      <c r="AM180" s="6">
        <f t="shared" si="22"/>
        <v>-2.8000764999999998E-4</v>
      </c>
      <c r="AN180" s="6">
        <f t="shared" si="22"/>
        <v>-2.8000764999999998E-4</v>
      </c>
      <c r="AO180" s="6">
        <f t="shared" si="22"/>
        <v>-2.8000764999999998E-4</v>
      </c>
      <c r="AP180" s="6">
        <f t="shared" si="22"/>
        <v>-2.8000764999999998E-4</v>
      </c>
      <c r="AQ180" s="6">
        <f t="shared" si="22"/>
        <v>-2.8000764999999998E-4</v>
      </c>
      <c r="AR180" s="6">
        <f t="shared" si="22"/>
        <v>-2.8000764999999998E-4</v>
      </c>
      <c r="AS180" s="6">
        <f t="shared" si="22"/>
        <v>-2.8000764999999998E-4</v>
      </c>
      <c r="AT180" s="6">
        <f t="shared" si="22"/>
        <v>-2.8000764999999998E-4</v>
      </c>
      <c r="AU180" s="6">
        <f t="shared" si="22"/>
        <v>-2.8000764999999998E-4</v>
      </c>
      <c r="AV180" s="6">
        <f t="shared" si="22"/>
        <v>-2.8000764999999998E-4</v>
      </c>
      <c r="AW180" s="6">
        <f t="shared" si="22"/>
        <v>-2.8000764999999998E-4</v>
      </c>
      <c r="AX180" s="6">
        <f t="shared" si="22"/>
        <v>-2.8000764999999998E-4</v>
      </c>
      <c r="AY180" s="6">
        <f t="shared" si="22"/>
        <v>-2.8000764999999998E-4</v>
      </c>
      <c r="AZ180" s="6">
        <f t="shared" si="22"/>
        <v>-2.8000764999999998E-4</v>
      </c>
      <c r="BA180" s="6">
        <f t="shared" si="22"/>
        <v>-2.8000764999999998E-4</v>
      </c>
    </row>
    <row r="181" spans="1:53" outlineLevel="1" x14ac:dyDescent="0.35">
      <c r="A181" s="6" t="s">
        <v>38</v>
      </c>
      <c r="B181" s="6">
        <f>'Results - raw data ReCiPe (H)'!AC49</f>
        <v>2.291638491689332E-5</v>
      </c>
      <c r="AB181" s="23" t="s">
        <v>125</v>
      </c>
      <c r="AC181" s="17">
        <f>SUM(AC173:AC180)</f>
        <v>2.4958547511950979E-5</v>
      </c>
      <c r="AD181" s="17">
        <f t="shared" ref="AD181:BA181" si="23">SUM(AD173:AD180)</f>
        <v>-1.8078668941819555E-4</v>
      </c>
      <c r="AE181" s="17">
        <f t="shared" si="23"/>
        <v>-1.8791280012897071E-4</v>
      </c>
      <c r="AF181" s="17">
        <f t="shared" si="23"/>
        <v>-1.9092508007298307E-4</v>
      </c>
      <c r="AG181" s="17">
        <f t="shared" si="23"/>
        <v>-2.0231585164276467E-4</v>
      </c>
      <c r="AH181" s="17">
        <f t="shared" si="23"/>
        <v>-2.0946207317531606E-4</v>
      </c>
      <c r="AI181" s="17">
        <f t="shared" si="23"/>
        <v>-2.0984769415492043E-4</v>
      </c>
      <c r="AJ181" s="17">
        <f t="shared" si="23"/>
        <v>-2.1847270047268904E-4</v>
      </c>
      <c r="AK181" s="17">
        <f t="shared" si="23"/>
        <v>-2.2307678997045611E-4</v>
      </c>
      <c r="AL181" s="17">
        <f t="shared" si="23"/>
        <v>-2.2363416453191908E-4</v>
      </c>
      <c r="AM181" s="17">
        <f t="shared" si="23"/>
        <v>-2.3212328206780237E-4</v>
      </c>
      <c r="AN181" s="17">
        <f t="shared" si="23"/>
        <v>-2.3517132768438749E-4</v>
      </c>
      <c r="AO181" s="17">
        <f t="shared" si="23"/>
        <v>-2.344512567991761E-4</v>
      </c>
      <c r="AP181" s="17">
        <f t="shared" si="23"/>
        <v>-2.4134304432721029E-4</v>
      </c>
      <c r="AQ181" s="17">
        <f t="shared" si="23"/>
        <v>-2.4444064910886584E-4</v>
      </c>
      <c r="AR181" s="17">
        <f t="shared" si="23"/>
        <v>-2.439672110086288E-4</v>
      </c>
      <c r="AS181" s="17">
        <f t="shared" si="23"/>
        <v>-2.489404678461266E-4</v>
      </c>
      <c r="AT181" s="17">
        <f t="shared" si="23"/>
        <v>-2.5032404756165802E-4</v>
      </c>
      <c r="AU181" s="17">
        <f t="shared" si="23"/>
        <v>-2.4828062001352785E-4</v>
      </c>
      <c r="AV181" s="17">
        <f t="shared" si="23"/>
        <v>-2.5310610815018543E-4</v>
      </c>
      <c r="AW181" s="17">
        <f t="shared" si="23"/>
        <v>-2.546831351421715E-4</v>
      </c>
      <c r="AX181" s="17">
        <f t="shared" si="23"/>
        <v>-2.5127284276397089E-4</v>
      </c>
      <c r="AY181" s="17">
        <f t="shared" si="23"/>
        <v>-2.5529248532946315E-4</v>
      </c>
      <c r="AZ181" s="17">
        <f t="shared" si="23"/>
        <v>-2.5594215429731689E-4</v>
      </c>
      <c r="BA181" s="17">
        <f t="shared" si="23"/>
        <v>-2.505703031475383E-4</v>
      </c>
    </row>
    <row r="182" spans="1:53" outlineLevel="1" x14ac:dyDescent="0.35">
      <c r="A182" s="6" t="s">
        <v>39</v>
      </c>
      <c r="B182" s="6">
        <f>'Results - raw data ReCiPe (H)'!AC50</f>
        <v>6.8369970539627651E-5</v>
      </c>
    </row>
    <row r="183" spans="1:53" outlineLevel="1" x14ac:dyDescent="0.35">
      <c r="A183" s="6" t="s">
        <v>41</v>
      </c>
      <c r="B183" s="6">
        <f>'Results - raw data ReCiPe (H)'!AC51</f>
        <v>7.1745132553752663E-7</v>
      </c>
    </row>
    <row r="184" spans="1:53" outlineLevel="1" x14ac:dyDescent="0.35">
      <c r="A184" s="6" t="s">
        <v>43</v>
      </c>
      <c r="B184" s="6">
        <f>'Results - raw data ReCiPe (H)'!AC52</f>
        <v>2.0194466025799359E-6</v>
      </c>
      <c r="AB184" s="219"/>
      <c r="AC184" s="219"/>
      <c r="AD184" s="219"/>
      <c r="AE184" s="219"/>
      <c r="AF184" s="219"/>
      <c r="AG184" s="219"/>
      <c r="AH184" s="219"/>
      <c r="AI184" s="219"/>
      <c r="AJ184" s="219"/>
      <c r="AK184" s="219"/>
      <c r="AL184" s="219"/>
      <c r="AM184" s="219"/>
      <c r="AN184" s="219"/>
      <c r="AO184" s="219"/>
      <c r="AP184" s="219"/>
      <c r="AQ184" s="219"/>
      <c r="AR184" s="219"/>
      <c r="AS184" s="219"/>
      <c r="AT184" s="219"/>
      <c r="AU184" s="219"/>
      <c r="AV184" s="219"/>
      <c r="AW184" s="219"/>
      <c r="AX184" s="219"/>
      <c r="AY184" s="219"/>
      <c r="AZ184" s="219"/>
      <c r="BA184" s="219"/>
    </row>
    <row r="185" spans="1:53" outlineLevel="1" x14ac:dyDescent="0.35">
      <c r="A185" s="6" t="s">
        <v>44</v>
      </c>
      <c r="B185" s="6">
        <f>'Results - raw data ReCiPe (H)'!AC53*AC169*AC171</f>
        <v>1.0765797689579158E-5</v>
      </c>
      <c r="AB185" s="219"/>
      <c r="AC185" s="219"/>
      <c r="AD185" s="219"/>
      <c r="AE185" s="219"/>
      <c r="AF185" s="219"/>
      <c r="AG185" s="219"/>
      <c r="AH185" s="219"/>
      <c r="AI185" s="219"/>
      <c r="AJ185" s="219"/>
      <c r="AK185" s="219"/>
      <c r="AL185" s="219"/>
      <c r="AM185" s="219"/>
      <c r="AN185" s="219"/>
      <c r="AO185" s="219"/>
      <c r="AP185" s="219"/>
      <c r="AQ185" s="219"/>
      <c r="AR185" s="219"/>
      <c r="AS185" s="219"/>
      <c r="AT185" s="219"/>
      <c r="AU185" s="219"/>
      <c r="AV185" s="219"/>
      <c r="AW185" s="219"/>
      <c r="AX185" s="219"/>
      <c r="AY185" s="219"/>
      <c r="AZ185" s="219"/>
      <c r="BA185" s="219"/>
    </row>
    <row r="186" spans="1:53" outlineLevel="1" x14ac:dyDescent="0.35">
      <c r="A186" s="6" t="s">
        <v>757</v>
      </c>
      <c r="B186" s="6">
        <f>'Results - raw data ReCiPe (H)'!AC54*AC169*AC171</f>
        <v>2.9200627294988823E-5</v>
      </c>
      <c r="AB186" s="219"/>
      <c r="AC186" s="219"/>
      <c r="AD186" s="219"/>
      <c r="AE186" s="219"/>
      <c r="AF186" s="219"/>
      <c r="AG186" s="219"/>
      <c r="AH186" s="219"/>
      <c r="AI186" s="219"/>
      <c r="AJ186" s="219"/>
      <c r="AK186" s="219"/>
      <c r="AL186" s="219"/>
      <c r="AM186" s="219"/>
      <c r="AN186" s="219"/>
      <c r="AO186" s="219"/>
      <c r="AP186" s="219"/>
      <c r="AQ186" s="219"/>
      <c r="AR186" s="219"/>
      <c r="AS186" s="219"/>
      <c r="AT186" s="219"/>
      <c r="AU186" s="219"/>
      <c r="AV186" s="219"/>
      <c r="AW186" s="219"/>
      <c r="AX186" s="219"/>
      <c r="AY186" s="219"/>
      <c r="AZ186" s="219"/>
      <c r="BA186" s="219"/>
    </row>
    <row r="187" spans="1:53" outlineLevel="1" x14ac:dyDescent="0.35">
      <c r="A187" s="6" t="s">
        <v>22</v>
      </c>
      <c r="Z187" s="6">
        <f>'Results - raw data ReCiPe (H)'!BA55</f>
        <v>6.1478607554612128E-8</v>
      </c>
      <c r="AB187" s="219"/>
      <c r="AC187" s="219"/>
      <c r="AD187" s="219"/>
      <c r="AE187" s="219"/>
      <c r="AF187" s="219"/>
      <c r="AG187" s="219"/>
      <c r="AH187" s="219"/>
      <c r="AI187" s="219"/>
      <c r="AJ187" s="219"/>
      <c r="AK187" s="219"/>
      <c r="AL187" s="219"/>
      <c r="AM187" s="219"/>
      <c r="AN187" s="219"/>
      <c r="AO187" s="219"/>
      <c r="AP187" s="219"/>
      <c r="AQ187" s="219"/>
      <c r="AR187" s="219"/>
      <c r="AS187" s="219"/>
      <c r="AT187" s="219"/>
      <c r="AU187" s="219"/>
      <c r="AV187" s="219"/>
      <c r="AW187" s="219"/>
      <c r="AX187" s="219"/>
      <c r="AY187" s="219"/>
      <c r="AZ187" s="219"/>
      <c r="BA187" s="219"/>
    </row>
    <row r="188" spans="1:53" outlineLevel="1" x14ac:dyDescent="0.35">
      <c r="A188" s="6" t="s">
        <v>24</v>
      </c>
      <c r="Z188" s="6">
        <f>'Results - raw data ReCiPe (H)'!BA56</f>
        <v>2.976482971528415E-8</v>
      </c>
      <c r="AB188" s="219"/>
      <c r="AC188" s="219"/>
      <c r="AD188" s="219"/>
      <c r="AE188" s="219"/>
      <c r="AF188" s="219"/>
      <c r="AG188" s="219"/>
      <c r="AH188" s="219"/>
      <c r="AI188" s="219"/>
      <c r="AJ188" s="219"/>
      <c r="AK188" s="219"/>
      <c r="AL188" s="219"/>
      <c r="AM188" s="219"/>
      <c r="AN188" s="219"/>
      <c r="AO188" s="219"/>
      <c r="AP188" s="219"/>
      <c r="AQ188" s="219"/>
      <c r="AR188" s="219"/>
      <c r="AS188" s="219"/>
      <c r="AT188" s="219"/>
      <c r="AU188" s="219"/>
      <c r="AV188" s="219"/>
      <c r="AW188" s="219"/>
      <c r="AX188" s="219"/>
      <c r="AY188" s="219"/>
      <c r="AZ188" s="219"/>
      <c r="BA188" s="219"/>
    </row>
    <row r="189" spans="1:53" outlineLevel="1" x14ac:dyDescent="0.35">
      <c r="A189" s="6" t="s">
        <v>25</v>
      </c>
      <c r="Z189" s="6">
        <f>'Results - raw data ReCiPe (H)'!BA57</f>
        <v>1.171837262399769E-7</v>
      </c>
      <c r="AB189" s="219"/>
      <c r="AC189" s="219"/>
      <c r="AD189" s="219"/>
      <c r="AE189" s="219"/>
      <c r="AF189" s="219"/>
      <c r="AG189" s="219"/>
      <c r="AH189" s="219"/>
      <c r="AI189" s="219"/>
      <c r="AJ189" s="219"/>
      <c r="AK189" s="219"/>
      <c r="AL189" s="219"/>
      <c r="AM189" s="219"/>
      <c r="AN189" s="219"/>
      <c r="AO189" s="219"/>
      <c r="AP189" s="219"/>
      <c r="AQ189" s="219"/>
      <c r="AR189" s="219"/>
      <c r="AS189" s="219"/>
      <c r="AT189" s="219"/>
      <c r="AU189" s="219"/>
      <c r="AV189" s="219"/>
      <c r="AW189" s="219"/>
      <c r="AX189" s="219"/>
      <c r="AY189" s="219"/>
      <c r="AZ189" s="219"/>
      <c r="BA189" s="219"/>
    </row>
    <row r="190" spans="1:53" outlineLevel="1" x14ac:dyDescent="0.35">
      <c r="A190" s="6" t="s">
        <v>27</v>
      </c>
      <c r="Z190" s="6">
        <f>'Results - raw data ReCiPe (H)'!BA58</f>
        <v>4.3609799371464648E-8</v>
      </c>
      <c r="AB190" s="219"/>
      <c r="AC190" s="219"/>
      <c r="AD190" s="219"/>
      <c r="AE190" s="219"/>
      <c r="AF190" s="219"/>
      <c r="AG190" s="219"/>
      <c r="AH190" s="219"/>
      <c r="AI190" s="219"/>
      <c r="AJ190" s="219"/>
      <c r="AK190" s="219"/>
      <c r="AL190" s="219"/>
      <c r="AM190" s="219"/>
      <c r="AN190" s="219"/>
      <c r="AO190" s="219"/>
      <c r="AP190" s="219"/>
      <c r="AQ190" s="219"/>
      <c r="AR190" s="219"/>
      <c r="AS190" s="219"/>
      <c r="AT190" s="219"/>
      <c r="AU190" s="219"/>
      <c r="AV190" s="219"/>
      <c r="AW190" s="219"/>
      <c r="AX190" s="219"/>
      <c r="AY190" s="219"/>
      <c r="AZ190" s="219"/>
      <c r="BA190" s="219"/>
    </row>
    <row r="191" spans="1:53" outlineLevel="1" x14ac:dyDescent="0.35">
      <c r="A191" s="6" t="s">
        <v>30</v>
      </c>
      <c r="Z191" s="6">
        <f>'Results - raw data ReCiPe (H)'!BA59</f>
        <v>8.1026310749086041E-8</v>
      </c>
      <c r="AB191" s="219"/>
      <c r="AC191" s="219"/>
      <c r="AD191" s="219"/>
      <c r="AE191" s="219"/>
      <c r="AF191" s="219"/>
      <c r="AG191" s="219"/>
      <c r="AH191" s="219"/>
      <c r="AI191" s="219"/>
      <c r="AJ191" s="219"/>
      <c r="AK191" s="219"/>
      <c r="AL191" s="219"/>
      <c r="AM191" s="219"/>
      <c r="AN191" s="219"/>
      <c r="AO191" s="219"/>
      <c r="AP191" s="219"/>
      <c r="AQ191" s="219"/>
      <c r="AR191" s="219"/>
      <c r="AS191" s="219"/>
      <c r="AT191" s="219"/>
      <c r="AU191" s="219"/>
      <c r="AV191" s="219"/>
      <c r="AW191" s="219"/>
      <c r="AX191" s="219"/>
      <c r="AY191" s="219"/>
      <c r="AZ191" s="219"/>
      <c r="BA191" s="219"/>
    </row>
    <row r="192" spans="1:53" outlineLevel="1" x14ac:dyDescent="0.35">
      <c r="A192" s="6" t="s">
        <v>32</v>
      </c>
      <c r="Z192" s="6">
        <f>'Results - raw data ReCiPe (H)'!BA60</f>
        <v>6.462583175159231E-9</v>
      </c>
      <c r="AB192" s="219"/>
      <c r="AC192" s="219"/>
      <c r="AD192" s="219"/>
      <c r="AE192" s="219"/>
      <c r="AF192" s="219"/>
      <c r="AG192" s="219"/>
      <c r="AH192" s="219"/>
      <c r="AI192" s="219"/>
      <c r="AJ192" s="219"/>
      <c r="AK192" s="219"/>
      <c r="AL192" s="219"/>
      <c r="AM192" s="219"/>
      <c r="AN192" s="219"/>
      <c r="AO192" s="219"/>
      <c r="AP192" s="219"/>
      <c r="AQ192" s="219"/>
      <c r="AR192" s="219"/>
      <c r="AS192" s="219"/>
      <c r="AT192" s="219"/>
      <c r="AU192" s="219"/>
      <c r="AV192" s="219"/>
      <c r="AW192" s="219"/>
      <c r="AX192" s="219"/>
      <c r="AY192" s="219"/>
      <c r="AZ192" s="219"/>
      <c r="BA192" s="219"/>
    </row>
    <row r="193" spans="1:53" outlineLevel="1" x14ac:dyDescent="0.35">
      <c r="A193" s="6" t="s">
        <v>33</v>
      </c>
      <c r="Z193" s="6">
        <f>'Results - raw data ReCiPe (H)'!BA61</f>
        <v>2.0587769966053419E-8</v>
      </c>
      <c r="AB193" s="219"/>
      <c r="AC193" s="219"/>
      <c r="AD193" s="219"/>
      <c r="AE193" s="219"/>
      <c r="AF193" s="219"/>
      <c r="AG193" s="219"/>
      <c r="AH193" s="219"/>
      <c r="AI193" s="219"/>
      <c r="AJ193" s="219"/>
      <c r="AK193" s="219"/>
      <c r="AL193" s="219"/>
      <c r="AM193" s="219"/>
      <c r="AN193" s="219"/>
      <c r="AO193" s="219"/>
      <c r="AP193" s="219"/>
      <c r="AQ193" s="219"/>
      <c r="AR193" s="219"/>
      <c r="AS193" s="219"/>
      <c r="AT193" s="219"/>
      <c r="AU193" s="219"/>
      <c r="AV193" s="219"/>
      <c r="AW193" s="219"/>
      <c r="AX193" s="219"/>
      <c r="AY193" s="219"/>
      <c r="AZ193" s="219"/>
      <c r="BA193" s="219"/>
    </row>
    <row r="194" spans="1:53" outlineLevel="1" x14ac:dyDescent="0.35">
      <c r="A194" s="6" t="s">
        <v>35</v>
      </c>
      <c r="Z194" s="6">
        <f>'Results - raw data ReCiPe (H)'!BA62</f>
        <v>4.1175539932106838E-8</v>
      </c>
      <c r="AB194" s="219"/>
      <c r="AC194" s="219"/>
      <c r="AD194" s="219"/>
      <c r="AE194" s="219"/>
      <c r="AF194" s="219"/>
      <c r="AG194" s="219"/>
      <c r="AH194" s="219"/>
      <c r="AI194" s="219"/>
      <c r="AJ194" s="219"/>
      <c r="AK194" s="219"/>
      <c r="AL194" s="219"/>
      <c r="AM194" s="219"/>
      <c r="AN194" s="219"/>
      <c r="AO194" s="219"/>
      <c r="AP194" s="219"/>
      <c r="AQ194" s="219"/>
      <c r="AR194" s="219"/>
      <c r="AS194" s="219"/>
      <c r="AT194" s="219"/>
      <c r="AU194" s="219"/>
      <c r="AV194" s="219"/>
      <c r="AW194" s="219"/>
      <c r="AX194" s="219"/>
      <c r="AY194" s="219"/>
      <c r="AZ194" s="219"/>
      <c r="BA194" s="219"/>
    </row>
    <row r="195" spans="1:53" outlineLevel="1" x14ac:dyDescent="0.35">
      <c r="A195" s="6" t="s">
        <v>37</v>
      </c>
      <c r="Z195" s="6">
        <f>'Results - raw data ReCiPe (H)'!BA63</f>
        <v>1.082893050409224E-7</v>
      </c>
      <c r="AB195" s="219"/>
      <c r="AC195" s="219"/>
      <c r="AD195" s="219"/>
      <c r="AE195" s="219"/>
      <c r="AF195" s="219"/>
      <c r="AG195" s="219"/>
      <c r="AH195" s="219"/>
      <c r="AI195" s="219"/>
      <c r="AJ195" s="219"/>
      <c r="AK195" s="219"/>
      <c r="AL195" s="219"/>
      <c r="AM195" s="219"/>
      <c r="AN195" s="219"/>
      <c r="AO195" s="219"/>
      <c r="AP195" s="219"/>
      <c r="AQ195" s="219"/>
      <c r="AR195" s="219"/>
      <c r="AS195" s="219"/>
      <c r="AT195" s="219"/>
      <c r="AU195" s="219"/>
      <c r="AV195" s="219"/>
      <c r="AW195" s="219"/>
      <c r="AX195" s="219"/>
      <c r="AY195" s="219"/>
      <c r="AZ195" s="219"/>
      <c r="BA195" s="219"/>
    </row>
    <row r="196" spans="1:53" outlineLevel="1" x14ac:dyDescent="0.35">
      <c r="A196" s="6" t="s">
        <v>40</v>
      </c>
      <c r="Z196" s="6">
        <f>'Results - raw data ReCiPe (H)'!BA64</f>
        <v>9.3290002951854711E-7</v>
      </c>
    </row>
    <row r="197" spans="1:53" outlineLevel="1" x14ac:dyDescent="0.35">
      <c r="A197" s="6" t="s">
        <v>42</v>
      </c>
      <c r="Z197" s="6">
        <f>'Results - raw data ReCiPe (H)'!BA65</f>
        <v>1.6127658943828059E-7</v>
      </c>
    </row>
    <row r="198" spans="1:53" outlineLevel="1" x14ac:dyDescent="0.35">
      <c r="A198" s="6" t="s">
        <v>115</v>
      </c>
      <c r="Z198" s="6">
        <f>'Results - raw data ReCiPe (H)'!BA66</f>
        <v>9.7768184832398183E-7</v>
      </c>
    </row>
    <row r="199" spans="1:53" outlineLevel="1" x14ac:dyDescent="0.35">
      <c r="A199" s="6" t="s">
        <v>45</v>
      </c>
      <c r="Z199" s="6">
        <f>'Results - raw data ReCiPe (H)'!BA67*AC169*AC171</f>
        <v>8.9177657234606268E-8</v>
      </c>
    </row>
    <row r="200" spans="1:53" outlineLevel="1" x14ac:dyDescent="0.35">
      <c r="A200" s="6" t="s">
        <v>116</v>
      </c>
      <c r="B200" s="6">
        <f>'Results - raw data ReCiPe (H)'!AC68</f>
        <v>4.3941155135361717E-6</v>
      </c>
      <c r="C200" s="6">
        <f>'Results - raw data ReCiPe (H)'!AD68</f>
        <v>4.3551339936524957E-6</v>
      </c>
      <c r="D200" s="6">
        <f>'Results - raw data ReCiPe (H)'!AE68</f>
        <v>4.3155764585668393E-6</v>
      </c>
      <c r="E200" s="6">
        <f>'Results - raw data ReCiPe (H)'!AF68</f>
        <v>4.2507924568478764E-6</v>
      </c>
      <c r="F200" s="6">
        <f>'Results - raw data ReCiPe (H)'!AG68</f>
        <v>4.2100362106520597E-6</v>
      </c>
      <c r="G200" s="6">
        <f>'Results - raw data ReCiPe (H)'!AH68</f>
        <v>4.1687095630562638E-6</v>
      </c>
      <c r="H200" s="6">
        <f>'Results - raw data ReCiPe (H)'!AI68</f>
        <v>4.1207843305059888E-6</v>
      </c>
      <c r="I200" s="6">
        <f>'Results - raw data ReCiPe (H)'!AJ68</f>
        <v>4.0725727703376247E-6</v>
      </c>
      <c r="J200" s="6">
        <f>'Results - raw data ReCiPe (H)'!AK68</f>
        <v>4.01062457106556E-6</v>
      </c>
      <c r="K200" s="6">
        <f>'Results - raw data ReCiPe (H)'!AL68</f>
        <v>3.961479922998473E-6</v>
      </c>
      <c r="L200" s="6">
        <f>'Results - raw data ReCiPe (H)'!AM68</f>
        <v>3.9118591966726191E-6</v>
      </c>
      <c r="M200" s="6">
        <f>'Results - raw data ReCiPe (H)'!AN68</f>
        <v>3.8471478244737326E-6</v>
      </c>
      <c r="N200" s="6">
        <f>'Results - raw data ReCiPe (H)'!AO68</f>
        <v>3.782659921523485E-6</v>
      </c>
      <c r="O200" s="6">
        <f>'Results - raw data ReCiPe (H)'!AP68</f>
        <v>3.713272756861E-6</v>
      </c>
      <c r="P200" s="6">
        <f>'Results - raw data ReCiPe (H)'!AQ68</f>
        <v>3.6491625076252609E-6</v>
      </c>
      <c r="Q200" s="6">
        <f>'Results - raw data ReCiPe (H)'!AR68</f>
        <v>3.5852486401048028E-6</v>
      </c>
      <c r="R200" s="6">
        <f>'Results - raw data ReCiPe (H)'!AS68</f>
        <v>3.541524251276272E-6</v>
      </c>
      <c r="S200" s="6">
        <f>'Results - raw data ReCiPe (H)'!AT68</f>
        <v>3.497920157316386E-6</v>
      </c>
      <c r="T200" s="6">
        <f>'Results - raw data ReCiPe (H)'!AU68</f>
        <v>3.4498744880293848E-6</v>
      </c>
      <c r="U200" s="6">
        <f>'Results - raw data ReCiPe (H)'!AV68</f>
        <v>3.40659234526044E-6</v>
      </c>
      <c r="V200" s="6">
        <f>'Results - raw data ReCiPe (H)'!AW68</f>
        <v>3.3635236817237319E-6</v>
      </c>
      <c r="W200" s="6">
        <f>'Results - raw data ReCiPe (H)'!AX68</f>
        <v>3.372986237475297E-6</v>
      </c>
      <c r="X200" s="6">
        <f>'Results - raw data ReCiPe (H)'!AY68</f>
        <v>3.366594014311087E-6</v>
      </c>
      <c r="Y200" s="6">
        <f>'Results - raw data ReCiPe (H)'!AZ68</f>
        <v>3.3602610921714248E-6</v>
      </c>
      <c r="Z200" s="6">
        <f>'Results - raw data ReCiPe (H)'!BA68</f>
        <v>3.3539861692443772E-6</v>
      </c>
    </row>
    <row r="201" spans="1:53" outlineLevel="1" x14ac:dyDescent="0.35">
      <c r="A201" s="6" t="s">
        <v>758</v>
      </c>
      <c r="B201" s="6">
        <f>'Results - raw data ReCiPe (H)'!AC69*$AC$170</f>
        <v>2.7148136611198738E-8</v>
      </c>
      <c r="C201" s="6">
        <f>'Results - raw data ReCiPe (H)'!AD69*$AC$170</f>
        <v>2.546825848109242E-8</v>
      </c>
      <c r="D201" s="6">
        <f>'Results - raw data ReCiPe (H)'!AE69*$AC$170</f>
        <v>2.3794443559640535E-8</v>
      </c>
      <c r="E201" s="6">
        <f>'Results - raw data ReCiPe (H)'!AF69*$AC$170</f>
        <v>2.2097648995380839E-8</v>
      </c>
      <c r="F201" s="6">
        <f>'Results - raw data ReCiPe (H)'!AG69*$AC$170</f>
        <v>2.043556304860846E-8</v>
      </c>
      <c r="G201" s="6">
        <f>'Results - raw data ReCiPe (H)'!AH69*$AC$170</f>
        <v>1.8779495671654271E-8</v>
      </c>
      <c r="H201" s="6">
        <f>'Results - raw data ReCiPe (H)'!AI69*$AC$170</f>
        <v>1.7738645483685198E-8</v>
      </c>
      <c r="I201" s="6">
        <f>'Results - raw data ReCiPe (H)'!AJ69*$AC$170</f>
        <v>1.6699401048933684E-8</v>
      </c>
      <c r="J201" s="6">
        <f>'Results - raw data ReCiPe (H)'!AK69*$AC$170</f>
        <v>1.5639345232595664E-8</v>
      </c>
      <c r="K201" s="6">
        <f>'Results - raw data ReCiPe (H)'!AL69*$AC$170</f>
        <v>1.4600449454182411E-8</v>
      </c>
      <c r="L201" s="6">
        <f>'Results - raw data ReCiPe (H)'!AM69*$AC$170</f>
        <v>1.3561644547151368E-8</v>
      </c>
      <c r="M201" s="6">
        <f>'Results - raw data ReCiPe (H)'!AN69*$AC$170</f>
        <v>1.2860827180258062E-8</v>
      </c>
      <c r="N201" s="6">
        <f>'Results - raw data ReCiPe (H)'!AO69*$AC$170</f>
        <v>1.2156895349869529E-8</v>
      </c>
      <c r="O201" s="6">
        <f>'Results - raw data ReCiPe (H)'!AP69*$AC$170</f>
        <v>1.1442685567027167E-8</v>
      </c>
      <c r="P201" s="6">
        <f>'Results - raw data ReCiPe (H)'!AQ69*$AC$170</f>
        <v>1.0731127486874594E-8</v>
      </c>
      <c r="Q201" s="6">
        <f>'Results - raw data ReCiPe (H)'!AR69*$AC$170</f>
        <v>1.0016442799030954E-8</v>
      </c>
      <c r="R201" s="6">
        <f>'Results - raw data ReCiPe (H)'!AS69*$AC$170</f>
        <v>9.6965617355981594E-9</v>
      </c>
      <c r="S201" s="6">
        <f>'Results - raw data ReCiPe (H)'!AT69*$AC$170</f>
        <v>9.3768349441888888E-9</v>
      </c>
      <c r="T201" s="6">
        <f>'Results - raw data ReCiPe (H)'!AU69*$AC$170</f>
        <v>9.0511779091148139E-9</v>
      </c>
      <c r="U201" s="6">
        <f>'Results - raw data ReCiPe (H)'!AV69*$AC$170</f>
        <v>8.7314126347114447E-9</v>
      </c>
      <c r="V201" s="6">
        <f>'Results - raw data ReCiPe (H)'!AW69*$AC$170</f>
        <v>8.4118378455451377E-9</v>
      </c>
      <c r="W201" s="6">
        <f>'Results - raw data ReCiPe (H)'!AX69*$AC$170</f>
        <v>8.4362155285598362E-9</v>
      </c>
      <c r="X201" s="6">
        <f>'Results - raw data ReCiPe (H)'!AY69*$AC$170</f>
        <v>8.2868632416206325E-9</v>
      </c>
      <c r="Y201" s="6">
        <f>'Results - raw data ReCiPe (H)'!AZ69*$AC$170</f>
        <v>8.1372672241856571E-9</v>
      </c>
      <c r="Z201" s="6">
        <f>'Results - raw data ReCiPe (H)'!BA69*$AC$170</f>
        <v>7.9874059113008565E-9</v>
      </c>
    </row>
    <row r="202" spans="1:53" outlineLevel="1" x14ac:dyDescent="0.35">
      <c r="A202" s="6" t="s">
        <v>759</v>
      </c>
      <c r="B202" s="6">
        <f>'Results - raw data ReCiPe (H)'!AC70</f>
        <v>2.0736000294618859E-7</v>
      </c>
      <c r="C202" s="6">
        <f>'Results - raw data ReCiPe (H)'!AD70</f>
        <v>2.0736000294618859E-7</v>
      </c>
      <c r="D202" s="6">
        <f>'Results - raw data ReCiPe (H)'!AE70</f>
        <v>2.0736000294618859E-7</v>
      </c>
      <c r="E202" s="6">
        <f>'Results - raw data ReCiPe (H)'!AF70</f>
        <v>2.0736000294618859E-7</v>
      </c>
      <c r="F202" s="6">
        <f>'Results - raw data ReCiPe (H)'!AG70</f>
        <v>2.0736000294618859E-7</v>
      </c>
      <c r="G202" s="6">
        <f>'Results - raw data ReCiPe (H)'!AH70</f>
        <v>2.0736000294618859E-7</v>
      </c>
      <c r="H202" s="6">
        <f>'Results - raw data ReCiPe (H)'!AI70</f>
        <v>2.0736000294618859E-7</v>
      </c>
      <c r="I202" s="6">
        <f>'Results - raw data ReCiPe (H)'!AJ70</f>
        <v>2.0736000294618859E-7</v>
      </c>
      <c r="J202" s="6">
        <f>'Results - raw data ReCiPe (H)'!AK70</f>
        <v>2.0736000294618859E-7</v>
      </c>
      <c r="K202" s="6">
        <f>'Results - raw data ReCiPe (H)'!AL70</f>
        <v>2.0736000294618859E-7</v>
      </c>
      <c r="L202" s="6">
        <f>'Results - raw data ReCiPe (H)'!AM70</f>
        <v>2.0736000294618859E-7</v>
      </c>
      <c r="M202" s="6">
        <f>'Results - raw data ReCiPe (H)'!AN70</f>
        <v>2.0736000294618859E-7</v>
      </c>
      <c r="N202" s="6">
        <f>'Results - raw data ReCiPe (H)'!AO70</f>
        <v>2.0736000294618859E-7</v>
      </c>
      <c r="O202" s="6">
        <f>'Results - raw data ReCiPe (H)'!AP70</f>
        <v>2.0736000294618859E-7</v>
      </c>
      <c r="P202" s="6">
        <f>'Results - raw data ReCiPe (H)'!AQ70</f>
        <v>2.0736000294618859E-7</v>
      </c>
      <c r="Q202" s="6">
        <f>'Results - raw data ReCiPe (H)'!AR70</f>
        <v>2.0736000294618859E-7</v>
      </c>
      <c r="R202" s="6">
        <f>'Results - raw data ReCiPe (H)'!AS70</f>
        <v>2.0736000294618859E-7</v>
      </c>
      <c r="S202" s="6">
        <f>'Results - raw data ReCiPe (H)'!AT70</f>
        <v>2.0736000294618859E-7</v>
      </c>
      <c r="T202" s="6">
        <f>'Results - raw data ReCiPe (H)'!AU70</f>
        <v>2.0736000294618859E-7</v>
      </c>
      <c r="U202" s="6">
        <f>'Results - raw data ReCiPe (H)'!AV70</f>
        <v>2.0736000294618859E-7</v>
      </c>
      <c r="V202" s="6">
        <f>'Results - raw data ReCiPe (H)'!AW70</f>
        <v>2.0736000294618859E-7</v>
      </c>
      <c r="W202" s="6">
        <f>'Results - raw data ReCiPe (H)'!AX70</f>
        <v>2.0736000294618859E-7</v>
      </c>
      <c r="X202" s="6">
        <f>'Results - raw data ReCiPe (H)'!AY70</f>
        <v>2.0736000294618859E-7</v>
      </c>
      <c r="Y202" s="6">
        <f>'Results - raw data ReCiPe (H)'!AZ70</f>
        <v>2.0736000294618859E-7</v>
      </c>
      <c r="Z202" s="6">
        <f>'Results - raw data ReCiPe (H)'!BA70</f>
        <v>2.0736000294618859E-7</v>
      </c>
    </row>
    <row r="203" spans="1:53" outlineLevel="1" x14ac:dyDescent="0.35">
      <c r="A203" s="6" t="s">
        <v>760</v>
      </c>
      <c r="B203" s="6">
        <f>150000*($AC$170*'Results - raw data ReCiPe (H)'!AC121+(1-'Results ReCiPe (H) - HHD'!$AC$170)*'Results - raw data ReCiPe (H)'!AC122)</f>
        <v>1.0610650695418518E-4</v>
      </c>
      <c r="C203" s="6">
        <f>150000*($AC$170*'Results - raw data ReCiPe (H)'!AD121+(1-'Results ReCiPe (H) - HHD'!$AC$170)*'Results - raw data ReCiPe (H)'!AD122)</f>
        <v>9.8988132320377157E-5</v>
      </c>
      <c r="D203" s="6">
        <f>150000*($AC$170*'Results - raw data ReCiPe (H)'!AE121+(1-'Results ReCiPe (H) - HHD'!$AC$170)*'Results - raw data ReCiPe (H)'!AE122)</f>
        <v>9.1863695424523453E-5</v>
      </c>
      <c r="E203" s="6">
        <f>150000*($AC$170*'Results - raw data ReCiPe (H)'!AF121+(1-'Results ReCiPe (H) - HHD'!$AC$170)*'Results - raw data ReCiPe (H)'!AF122)</f>
        <v>8.4602319818227471E-5</v>
      </c>
      <c r="F203" s="6">
        <f>150000*($AC$170*'Results - raw data ReCiPe (H)'!AG121+(1-'Results ReCiPe (H) - HHD'!$AC$170)*'Results - raw data ReCiPe (H)'!AG122)</f>
        <v>7.7464002791240535E-5</v>
      </c>
      <c r="G203" s="6">
        <f>150000*($AC$170*'Results - raw data ReCiPe (H)'!AH121+(1-'Results ReCiPe (H) - HHD'!$AC$170)*'Results - raw data ReCiPe (H)'!AH122)</f>
        <v>7.0319437326066083E-5</v>
      </c>
      <c r="H203" s="6">
        <f>150000*($AC$170*'Results - raw data ReCiPe (H)'!AI121+(1-'Results ReCiPe (H) - HHD'!$AC$170)*'Results - raw data ReCiPe (H)'!AI122)</f>
        <v>6.5814072866143678E-5</v>
      </c>
      <c r="I203" s="6">
        <f>150000*($AC$170*'Results - raw data ReCiPe (H)'!AJ121+(1-'Results ReCiPe (H) - HHD'!$AC$170)*'Results - raw data ReCiPe (H)'!AJ122)</f>
        <v>6.1310890123315816E-5</v>
      </c>
      <c r="J203" s="6">
        <f>150000*($AC$170*'Results - raw data ReCiPe (H)'!AK121+(1-'Results ReCiPe (H) - HHD'!$AC$170)*'Results - raw data ReCiPe (H)'!AK122)</f>
        <v>5.670786068136509E-5</v>
      </c>
      <c r="K203" s="6">
        <f>150000*($AC$170*'Results - raw data ReCiPe (H)'!AL121+(1-'Results ReCiPe (H) - HHD'!$AC$170)*'Results - raw data ReCiPe (H)'!AL122)</f>
        <v>5.219004509268205E-5</v>
      </c>
      <c r="L203" s="6">
        <f>150000*($AC$170*'Results - raw data ReCiPe (H)'!AM121+(1-'Results ReCiPe (H) - HHD'!$AC$170)*'Results - raw data ReCiPe (H)'!AM122)</f>
        <v>4.7663446284704261E-5</v>
      </c>
      <c r="M203" s="6">
        <f>150000*($AC$170*'Results - raw data ReCiPe (H)'!AN121+(1-'Results ReCiPe (H) - HHD'!$AC$170)*'Results - raw data ReCiPe (H)'!AN122)</f>
        <v>4.4616101485486038E-5</v>
      </c>
      <c r="N203" s="6">
        <f>150000*($AC$170*'Results - raw data ReCiPe (H)'!AO121+(1-'Results ReCiPe (H) - HHD'!$AC$170)*'Results - raw data ReCiPe (H)'!AO122)</f>
        <v>4.1554216381004337E-5</v>
      </c>
      <c r="O203" s="6">
        <f>150000*($AC$170*'Results - raw data ReCiPe (H)'!AP121+(1-'Results ReCiPe (H) - HHD'!$AC$170)*'Results - raw data ReCiPe (H)'!AP122)</f>
        <v>3.8445802984276472E-5</v>
      </c>
      <c r="P203" s="6">
        <f>150000*($AC$170*'Results - raw data ReCiPe (H)'!AQ121+(1-'Results ReCiPe (H) - HHD'!$AC$170)*'Results - raw data ReCiPe (H)'!AQ122)</f>
        <v>3.5348909760701053E-5</v>
      </c>
      <c r="Q203" s="6">
        <f>150000*($AC$170*'Results - raw data ReCiPe (H)'!AR121+(1-'Results ReCiPe (H) - HHD'!$AC$170)*'Results - raw data ReCiPe (H)'!AR122)</f>
        <v>3.2237813905521149E-5</v>
      </c>
      <c r="R203" s="6">
        <f>150000*($AC$170*'Results - raw data ReCiPe (H)'!AS121+(1-'Results ReCiPe (H) - HHD'!$AC$170)*'Results - raw data ReCiPe (H)'!AS122)</f>
        <v>3.0850125589191605E-5</v>
      </c>
      <c r="S203" s="6">
        <f>150000*($AC$170*'Results - raw data ReCiPe (H)'!AT121+(1-'Results ReCiPe (H) - HHD'!$AC$170)*'Results - raw data ReCiPe (H)'!AT122)</f>
        <v>2.9466865600451582E-5</v>
      </c>
      <c r="T203" s="6">
        <f>150000*($AC$170*'Results - raw data ReCiPe (H)'!AU121+(1-'Results ReCiPe (H) - HHD'!$AC$170)*'Results - raw data ReCiPe (H)'!AU122)</f>
        <v>2.8060744317587456E-5</v>
      </c>
      <c r="U203" s="6">
        <f>150000*($AC$170*'Results - raw data ReCiPe (H)'!AV121+(1-'Results ReCiPe (H) - HHD'!$AC$170)*'Results - raw data ReCiPe (H)'!AV122)</f>
        <v>2.6685450434233663E-5</v>
      </c>
      <c r="V203" s="6">
        <f>150000*($AC$170*'Results - raw data ReCiPe (H)'!AW121+(1-'Results ReCiPe (H) - HHD'!$AC$170)*'Results - raw data ReCiPe (H)'!AW122)</f>
        <v>2.5316103019982918E-5</v>
      </c>
      <c r="W203" s="6">
        <f>150000*($AC$170*'Results - raw data ReCiPe (H)'!AX121+(1-'Results ReCiPe (H) - HHD'!$AC$170)*'Results - raw data ReCiPe (H)'!AX122)</f>
        <v>2.5353384783025232E-5</v>
      </c>
      <c r="X203" s="6">
        <f>150000*($AC$170*'Results - raw data ReCiPe (H)'!AY121+(1-'Results ReCiPe (H) - HHD'!$AC$170)*'Results - raw data ReCiPe (H)'!AY122)</f>
        <v>2.4706877807295189E-5</v>
      </c>
      <c r="Y203" s="6">
        <f>150000*($AC$170*'Results - raw data ReCiPe (H)'!AZ121+(1-'Results ReCiPe (H) - HHD'!$AC$170)*'Results - raw data ReCiPe (H)'!AZ122)</f>
        <v>2.405735843545893E-5</v>
      </c>
      <c r="Z203" s="6">
        <f>150000*($AC$170*'Results - raw data ReCiPe (H)'!BA121+(1-'Results ReCiPe (H) - HHD'!$AC$170)*'Results - raw data ReCiPe (H)'!BA122)</f>
        <v>2.340475868104593E-5</v>
      </c>
    </row>
    <row r="204" spans="1:53" outlineLevel="1" x14ac:dyDescent="0.35">
      <c r="A204" s="23" t="s">
        <v>125</v>
      </c>
      <c r="B204" s="17">
        <f>SUM(B173:B203)</f>
        <v>3.0496619751195096E-4</v>
      </c>
      <c r="C204" s="17">
        <f t="shared" ref="C204:Z204" si="24">SUM(C173:C203)</f>
        <v>1.0357609457545693E-4</v>
      </c>
      <c r="D204" s="17">
        <f t="shared" si="24"/>
        <v>9.6410426329596118E-5</v>
      </c>
      <c r="E204" s="17">
        <f t="shared" si="24"/>
        <v>8.9082569927016915E-5</v>
      </c>
      <c r="F204" s="17">
        <f t="shared" si="24"/>
        <v>8.1901834567887387E-5</v>
      </c>
      <c r="G204" s="17">
        <f t="shared" si="24"/>
        <v>7.4714286387740186E-5</v>
      </c>
      <c r="H204" s="17">
        <f t="shared" si="24"/>
        <v>7.0159955845079536E-5</v>
      </c>
      <c r="I204" s="17">
        <f t="shared" si="24"/>
        <v>6.5607522297648569E-5</v>
      </c>
      <c r="J204" s="17">
        <f t="shared" si="24"/>
        <v>6.0941484600609435E-5</v>
      </c>
      <c r="K204" s="17">
        <f t="shared" si="24"/>
        <v>5.6373485468080893E-5</v>
      </c>
      <c r="L204" s="17">
        <f t="shared" si="24"/>
        <v>5.1796227128870219E-5</v>
      </c>
      <c r="M204" s="17">
        <f t="shared" si="24"/>
        <v>4.8683470140086219E-5</v>
      </c>
      <c r="N204" s="17">
        <f t="shared" si="24"/>
        <v>4.5556393200823879E-5</v>
      </c>
      <c r="O204" s="17">
        <f t="shared" si="24"/>
        <v>4.2377878429650686E-5</v>
      </c>
      <c r="P204" s="17">
        <f t="shared" si="24"/>
        <v>3.9216163398759379E-5</v>
      </c>
      <c r="Q204" s="17">
        <f t="shared" si="24"/>
        <v>3.6040438991371168E-5</v>
      </c>
      <c r="R204" s="17">
        <f t="shared" si="24"/>
        <v>3.4608706405149665E-5</v>
      </c>
      <c r="S204" s="17">
        <f t="shared" si="24"/>
        <v>3.3181522595658343E-5</v>
      </c>
      <c r="T204" s="17">
        <f t="shared" si="24"/>
        <v>3.1727029986472144E-5</v>
      </c>
      <c r="U204" s="17">
        <f t="shared" si="24"/>
        <v>3.0308134195075003E-5</v>
      </c>
      <c r="V204" s="17">
        <f t="shared" si="24"/>
        <v>2.8895398542498384E-5</v>
      </c>
      <c r="W204" s="17">
        <f t="shared" si="24"/>
        <v>2.8942167238975278E-5</v>
      </c>
      <c r="X204" s="17">
        <f t="shared" si="24"/>
        <v>2.8289118687794086E-5</v>
      </c>
      <c r="Y204" s="17">
        <f t="shared" si="24"/>
        <v>2.7633116797800728E-5</v>
      </c>
      <c r="Z204" s="17">
        <f t="shared" si="24"/>
        <v>2.9644706855407878E-5</v>
      </c>
    </row>
    <row r="205" spans="1:53" outlineLevel="1" x14ac:dyDescent="0.35"/>
    <row r="206" spans="1:53" s="18" customFormat="1" ht="21" x14ac:dyDescent="0.5">
      <c r="A206" s="18" t="s">
        <v>94</v>
      </c>
    </row>
    <row r="207" spans="1:53" s="20" customFormat="1" outlineLevel="1" x14ac:dyDescent="0.35">
      <c r="A207" s="19" t="s">
        <v>766</v>
      </c>
    </row>
    <row r="208" spans="1:53" s="16" customFormat="1" outlineLevel="1" x14ac:dyDescent="0.35">
      <c r="A208" s="21"/>
      <c r="AB208" s="15" t="s">
        <v>143</v>
      </c>
      <c r="AC208" s="16">
        <f>0.0000000028+0.0000000000000765</f>
        <v>2.8000764999999998E-9</v>
      </c>
      <c r="AD208" s="16" t="s">
        <v>916</v>
      </c>
      <c r="AE208" s="15" t="s">
        <v>714</v>
      </c>
    </row>
    <row r="209" spans="1:53" s="16" customFormat="1" outlineLevel="1" x14ac:dyDescent="0.35">
      <c r="A209" s="22" t="s">
        <v>917</v>
      </c>
      <c r="AC209" s="16">
        <f>AC208*1000</f>
        <v>2.8000765E-6</v>
      </c>
      <c r="AD209" s="16" t="s">
        <v>918</v>
      </c>
    </row>
    <row r="210" spans="1:53" s="16" customFormat="1" outlineLevel="1" x14ac:dyDescent="0.35">
      <c r="A210" s="22"/>
      <c r="AB210" s="16" t="s">
        <v>127</v>
      </c>
      <c r="AC210" s="16">
        <v>100</v>
      </c>
      <c r="AD210" s="16" t="s">
        <v>128</v>
      </c>
    </row>
    <row r="211" spans="1:53" s="16" customFormat="1" outlineLevel="1" x14ac:dyDescent="0.35">
      <c r="A211" s="230" t="s">
        <v>768</v>
      </c>
      <c r="AB211" s="16" t="s">
        <v>20</v>
      </c>
      <c r="AC211" s="16">
        <v>0.23</v>
      </c>
      <c r="AD211" s="16" t="s">
        <v>715</v>
      </c>
    </row>
    <row r="212" spans="1:53" s="16" customFormat="1" outlineLevel="1" x14ac:dyDescent="0.35">
      <c r="A212" s="22"/>
      <c r="AB212" s="16" t="s">
        <v>129</v>
      </c>
      <c r="AC212" s="16">
        <v>25</v>
      </c>
      <c r="AD212" s="16" t="s">
        <v>130</v>
      </c>
    </row>
    <row r="213" spans="1:53" outlineLevel="1" x14ac:dyDescent="0.35">
      <c r="B213" s="25">
        <v>2030</v>
      </c>
      <c r="C213" s="25">
        <v>2031</v>
      </c>
      <c r="D213" s="25">
        <v>2032</v>
      </c>
      <c r="E213" s="25">
        <v>2033</v>
      </c>
      <c r="F213" s="25">
        <v>2034</v>
      </c>
      <c r="G213" s="25">
        <v>2035</v>
      </c>
      <c r="H213" s="25">
        <v>2036</v>
      </c>
      <c r="I213" s="25">
        <v>2037</v>
      </c>
      <c r="J213" s="25">
        <v>2038</v>
      </c>
      <c r="K213" s="25">
        <v>2039</v>
      </c>
      <c r="L213" s="25">
        <v>2040</v>
      </c>
      <c r="M213" s="25">
        <v>2041</v>
      </c>
      <c r="N213" s="25">
        <v>2042</v>
      </c>
      <c r="O213" s="25">
        <v>2043</v>
      </c>
      <c r="P213" s="25">
        <v>2044</v>
      </c>
      <c r="Q213" s="25">
        <v>2045</v>
      </c>
      <c r="R213" s="25">
        <v>2046</v>
      </c>
      <c r="S213" s="25">
        <v>2047</v>
      </c>
      <c r="T213" s="25">
        <v>2048</v>
      </c>
      <c r="U213" s="25">
        <v>2049</v>
      </c>
      <c r="V213" s="25">
        <v>2050</v>
      </c>
      <c r="W213" s="25">
        <v>2051</v>
      </c>
      <c r="X213" s="25">
        <v>2052</v>
      </c>
      <c r="Y213" s="25">
        <v>2053</v>
      </c>
      <c r="Z213" s="25">
        <v>2054</v>
      </c>
      <c r="AC213" s="25">
        <v>2030</v>
      </c>
      <c r="AD213" s="25">
        <v>2031</v>
      </c>
      <c r="AE213" s="25">
        <v>2032</v>
      </c>
      <c r="AF213" s="25">
        <v>2033</v>
      </c>
      <c r="AG213" s="25">
        <v>2034</v>
      </c>
      <c r="AH213" s="25">
        <v>2035</v>
      </c>
      <c r="AI213" s="25">
        <v>2036</v>
      </c>
      <c r="AJ213" s="25">
        <v>2037</v>
      </c>
      <c r="AK213" s="25">
        <v>2038</v>
      </c>
      <c r="AL213" s="25">
        <v>2039</v>
      </c>
      <c r="AM213" s="25">
        <v>2040</v>
      </c>
      <c r="AN213" s="25">
        <v>2041</v>
      </c>
      <c r="AO213" s="25">
        <v>2042</v>
      </c>
      <c r="AP213" s="25">
        <v>2043</v>
      </c>
      <c r="AQ213" s="25">
        <v>2044</v>
      </c>
      <c r="AR213" s="25">
        <v>2045</v>
      </c>
      <c r="AS213" s="25">
        <v>2046</v>
      </c>
      <c r="AT213" s="25">
        <v>2047</v>
      </c>
      <c r="AU213" s="25">
        <v>2048</v>
      </c>
      <c r="AV213" s="25">
        <v>2049</v>
      </c>
      <c r="AW213" s="25">
        <v>2050</v>
      </c>
      <c r="AX213" s="25">
        <v>2051</v>
      </c>
      <c r="AY213" s="25">
        <v>2052</v>
      </c>
      <c r="AZ213" s="25">
        <v>2053</v>
      </c>
      <c r="BA213" s="25">
        <v>2054</v>
      </c>
    </row>
    <row r="214" spans="1:53" outlineLevel="1" x14ac:dyDescent="0.35">
      <c r="A214" s="6" t="s">
        <v>21</v>
      </c>
      <c r="B214" s="6">
        <f>'Results - raw data ReCiPe (H)'!AC77</f>
        <v>2.5730574523951919E-6</v>
      </c>
      <c r="AB214" s="6" t="s">
        <v>117</v>
      </c>
      <c r="AC214" s="6">
        <f>SUM(B214:B225)+B227</f>
        <v>1.5226911141711527E-4</v>
      </c>
    </row>
    <row r="215" spans="1:53" outlineLevel="1" x14ac:dyDescent="0.35">
      <c r="A215" s="6" t="s">
        <v>23</v>
      </c>
      <c r="B215" s="6">
        <f>'Results - raw data ReCiPe (H)'!AC78</f>
        <v>4.8920761983372821E-6</v>
      </c>
      <c r="AB215" s="6" t="s">
        <v>118</v>
      </c>
      <c r="AC215" s="6">
        <f>B226</f>
        <v>9.7865963272845992E-6</v>
      </c>
    </row>
    <row r="216" spans="1:53" outlineLevel="1" x14ac:dyDescent="0.35">
      <c r="A216" s="6" t="s">
        <v>26</v>
      </c>
      <c r="B216" s="6">
        <f>'Results - raw data ReCiPe (H)'!AC79</f>
        <v>1.2592987091342301E-5</v>
      </c>
      <c r="AB216" s="6" t="s">
        <v>119</v>
      </c>
      <c r="BA216" s="6">
        <f>SUM(Z228:Z239)</f>
        <v>2.4979772832792044E-6</v>
      </c>
    </row>
    <row r="217" spans="1:53" outlineLevel="1" x14ac:dyDescent="0.35">
      <c r="A217" s="6" t="s">
        <v>28</v>
      </c>
      <c r="B217" s="6">
        <f>'Results - raw data ReCiPe (H)'!AC80</f>
        <v>9.5688269134472151E-6</v>
      </c>
      <c r="AB217" s="6" t="s">
        <v>120</v>
      </c>
      <c r="BA217" s="6">
        <f>Z240</f>
        <v>8.9291412421487725E-8</v>
      </c>
    </row>
    <row r="218" spans="1:53" outlineLevel="1" x14ac:dyDescent="0.35">
      <c r="A218" s="6" t="s">
        <v>29</v>
      </c>
      <c r="B218" s="6">
        <f>'Results - raw data ReCiPe (H)'!AC81</f>
        <v>7.5789098247603887E-6</v>
      </c>
      <c r="AB218" s="6" t="s">
        <v>121</v>
      </c>
      <c r="AC218" s="6">
        <f>B241</f>
        <v>3.715731652454359E-6</v>
      </c>
      <c r="AF218" s="6">
        <f>E241</f>
        <v>3.5013590415283682E-6</v>
      </c>
      <c r="AI218" s="6">
        <f>H241</f>
        <v>3.359625974222981E-6</v>
      </c>
      <c r="AL218" s="6">
        <f>K241</f>
        <v>3.3222042704526711E-6</v>
      </c>
      <c r="AO218" s="6">
        <f>N241</f>
        <v>3.3098090978734569E-6</v>
      </c>
      <c r="AR218" s="6">
        <f>Q241</f>
        <v>3.2987119954850761E-6</v>
      </c>
      <c r="AU218" s="6">
        <f>T241</f>
        <v>3.278896138541998E-6</v>
      </c>
      <c r="AX218" s="6">
        <f>W241</f>
        <v>3.2828870256197742E-6</v>
      </c>
      <c r="BA218" s="6">
        <f>Z241</f>
        <v>3.2779455111866361E-6</v>
      </c>
    </row>
    <row r="219" spans="1:53" outlineLevel="1" x14ac:dyDescent="0.35">
      <c r="A219" s="6" t="s">
        <v>31</v>
      </c>
      <c r="B219" s="6">
        <f>'Results - raw data ReCiPe (H)'!AC82</f>
        <v>6.5339554735163091E-6</v>
      </c>
      <c r="AB219" s="6" t="s">
        <v>122</v>
      </c>
      <c r="AC219" s="6">
        <f>B244+B243</f>
        <v>5.2485260841158965E-5</v>
      </c>
      <c r="AD219" s="6">
        <f t="shared" ref="AD219:BA219" si="25">C244+C243</f>
        <v>4.6583975863190444E-5</v>
      </c>
      <c r="AE219" s="6">
        <f t="shared" si="25"/>
        <v>4.0663143243011243E-5</v>
      </c>
      <c r="AF219" s="6">
        <f t="shared" si="25"/>
        <v>3.4569009498929191E-5</v>
      </c>
      <c r="AG219" s="6">
        <f t="shared" si="25"/>
        <v>2.8598997412621645E-5</v>
      </c>
      <c r="AH219" s="6">
        <f t="shared" si="25"/>
        <v>2.2609504784310214E-5</v>
      </c>
      <c r="AI219" s="6">
        <f t="shared" si="25"/>
        <v>2.2122737058492591E-5</v>
      </c>
      <c r="AJ219" s="6">
        <f t="shared" si="25"/>
        <v>2.1628060529237967E-5</v>
      </c>
      <c r="AK219" s="6">
        <f t="shared" si="25"/>
        <v>2.09927647023118E-5</v>
      </c>
      <c r="AL219" s="6">
        <f t="shared" si="25"/>
        <v>2.0475342199917643E-5</v>
      </c>
      <c r="AM219" s="6">
        <f t="shared" si="25"/>
        <v>1.9949701852944732E-5</v>
      </c>
      <c r="AN219" s="6">
        <f t="shared" si="25"/>
        <v>1.9601621350894765E-5</v>
      </c>
      <c r="AO219" s="6">
        <f t="shared" si="25"/>
        <v>1.9252652744242143E-5</v>
      </c>
      <c r="AP219" s="6">
        <f t="shared" si="25"/>
        <v>1.8862663357652828E-5</v>
      </c>
      <c r="AQ219" s="6">
        <f t="shared" si="25"/>
        <v>1.850290418822944E-5</v>
      </c>
      <c r="AR219" s="6">
        <f t="shared" si="25"/>
        <v>1.8138975887903136E-5</v>
      </c>
      <c r="AS219" s="6">
        <f t="shared" si="25"/>
        <v>1.6766178772234577E-5</v>
      </c>
      <c r="AT219" s="6">
        <f t="shared" si="25"/>
        <v>1.5409740495097621E-5</v>
      </c>
      <c r="AU219" s="6">
        <f t="shared" si="25"/>
        <v>1.4037994594488492E-5</v>
      </c>
      <c r="AV219" s="6">
        <f t="shared" si="25"/>
        <v>1.2711488092123848E-5</v>
      </c>
      <c r="AW219" s="6">
        <f t="shared" si="25"/>
        <v>1.139266720179935E-5</v>
      </c>
      <c r="AX219" s="6">
        <f t="shared" si="25"/>
        <v>1.1217420733954137E-5</v>
      </c>
      <c r="AY219" s="6">
        <f t="shared" si="25"/>
        <v>1.0297012768990355E-5</v>
      </c>
      <c r="AZ219" s="6">
        <f t="shared" si="25"/>
        <v>9.3752170203539572E-6</v>
      </c>
      <c r="BA219" s="6">
        <f t="shared" si="25"/>
        <v>8.4518779018362923E-6</v>
      </c>
    </row>
    <row r="220" spans="1:53" outlineLevel="1" x14ac:dyDescent="0.35">
      <c r="A220" s="6" t="s">
        <v>34</v>
      </c>
      <c r="B220" s="6">
        <f>'Results - raw data ReCiPe (H)'!AC83</f>
        <v>4.3369769417194421E-6</v>
      </c>
      <c r="AB220" s="6" t="s">
        <v>123</v>
      </c>
      <c r="AC220" s="6">
        <f>B242</f>
        <v>1.4678012901466101E-8</v>
      </c>
      <c r="AD220" s="6">
        <f t="shared" ref="AD220:BA220" si="26">C242</f>
        <v>1.3298966379161942E-8</v>
      </c>
      <c r="AE220" s="6">
        <f t="shared" si="26"/>
        <v>1.1924221919941876E-8</v>
      </c>
      <c r="AF220" s="6">
        <f t="shared" si="26"/>
        <v>1.0519853748956411E-8</v>
      </c>
      <c r="AG220" s="6">
        <f t="shared" si="26"/>
        <v>9.1518516112025191E-9</v>
      </c>
      <c r="AH220" s="6">
        <f t="shared" si="26"/>
        <v>7.7881366176614895E-9</v>
      </c>
      <c r="AI220" s="6">
        <f t="shared" si="26"/>
        <v>7.6761768790104546E-9</v>
      </c>
      <c r="AJ220" s="6">
        <f t="shared" si="26"/>
        <v>7.5627611847416821E-9</v>
      </c>
      <c r="AK220" s="6">
        <f t="shared" si="26"/>
        <v>7.4183410376750901E-9</v>
      </c>
      <c r="AL220" s="6">
        <f t="shared" si="26"/>
        <v>7.3005865109069637E-9</v>
      </c>
      <c r="AM220" s="6">
        <f t="shared" si="26"/>
        <v>7.181324088670552E-9</v>
      </c>
      <c r="AN220" s="6">
        <f t="shared" si="26"/>
        <v>7.101350788309446E-9</v>
      </c>
      <c r="AO220" s="6">
        <f t="shared" si="26"/>
        <v>7.0210808973302529E-9</v>
      </c>
      <c r="AP220" s="6">
        <f t="shared" si="26"/>
        <v>6.9316449839044142E-9</v>
      </c>
      <c r="AQ220" s="6">
        <f t="shared" si="26"/>
        <v>6.8488691452263691E-9</v>
      </c>
      <c r="AR220" s="6">
        <f t="shared" si="26"/>
        <v>6.7651487540608562E-9</v>
      </c>
      <c r="AS220" s="6">
        <f t="shared" si="26"/>
        <v>6.4506085321636263E-9</v>
      </c>
      <c r="AT220" s="6">
        <f t="shared" si="26"/>
        <v>6.1370004998321311E-9</v>
      </c>
      <c r="AU220" s="6">
        <f t="shared" si="26"/>
        <v>5.8173260354893832E-9</v>
      </c>
      <c r="AV220" s="6">
        <f t="shared" si="26"/>
        <v>5.505123758482006E-9</v>
      </c>
      <c r="AW220" s="6">
        <f t="shared" si="26"/>
        <v>5.1926399308285846E-9</v>
      </c>
      <c r="AX220" s="6">
        <f t="shared" si="26"/>
        <v>5.173021388221013E-9</v>
      </c>
      <c r="AY220" s="6">
        <f t="shared" si="26"/>
        <v>4.9658886745655036E-9</v>
      </c>
      <c r="AZ220" s="6">
        <f t="shared" si="26"/>
        <v>4.7590596234075303E-9</v>
      </c>
      <c r="BA220" s="6">
        <f t="shared" si="26"/>
        <v>4.5524932536729508E-9</v>
      </c>
    </row>
    <row r="221" spans="1:53" outlineLevel="1" x14ac:dyDescent="0.35">
      <c r="A221" s="6" t="s">
        <v>36</v>
      </c>
      <c r="B221" s="6">
        <f>'Results - raw data ReCiPe (H)'!AC84</f>
        <v>3.5786050973205839E-6</v>
      </c>
      <c r="AB221" s="6" t="s">
        <v>124</v>
      </c>
      <c r="AC221" s="6">
        <f>-$AC$6*$AC$7</f>
        <v>-2.8000764999999998E-4</v>
      </c>
      <c r="AD221" s="6">
        <f t="shared" ref="AD221:BA221" si="27">-$AC$6*$AC$7</f>
        <v>-2.8000764999999998E-4</v>
      </c>
      <c r="AE221" s="6">
        <f t="shared" si="27"/>
        <v>-2.8000764999999998E-4</v>
      </c>
      <c r="AF221" s="6">
        <f t="shared" si="27"/>
        <v>-2.8000764999999998E-4</v>
      </c>
      <c r="AG221" s="6">
        <f t="shared" si="27"/>
        <v>-2.8000764999999998E-4</v>
      </c>
      <c r="AH221" s="6">
        <f t="shared" si="27"/>
        <v>-2.8000764999999998E-4</v>
      </c>
      <c r="AI221" s="6">
        <f t="shared" si="27"/>
        <v>-2.8000764999999998E-4</v>
      </c>
      <c r="AJ221" s="6">
        <f t="shared" si="27"/>
        <v>-2.8000764999999998E-4</v>
      </c>
      <c r="AK221" s="6">
        <f t="shared" si="27"/>
        <v>-2.8000764999999998E-4</v>
      </c>
      <c r="AL221" s="6">
        <f t="shared" si="27"/>
        <v>-2.8000764999999998E-4</v>
      </c>
      <c r="AM221" s="6">
        <f t="shared" si="27"/>
        <v>-2.8000764999999998E-4</v>
      </c>
      <c r="AN221" s="6">
        <f t="shared" si="27"/>
        <v>-2.8000764999999998E-4</v>
      </c>
      <c r="AO221" s="6">
        <f t="shared" si="27"/>
        <v>-2.8000764999999998E-4</v>
      </c>
      <c r="AP221" s="6">
        <f t="shared" si="27"/>
        <v>-2.8000764999999998E-4</v>
      </c>
      <c r="AQ221" s="6">
        <f t="shared" si="27"/>
        <v>-2.8000764999999998E-4</v>
      </c>
      <c r="AR221" s="6">
        <f t="shared" si="27"/>
        <v>-2.8000764999999998E-4</v>
      </c>
      <c r="AS221" s="6">
        <f t="shared" si="27"/>
        <v>-2.8000764999999998E-4</v>
      </c>
      <c r="AT221" s="6">
        <f t="shared" si="27"/>
        <v>-2.8000764999999998E-4</v>
      </c>
      <c r="AU221" s="6">
        <f t="shared" si="27"/>
        <v>-2.8000764999999998E-4</v>
      </c>
      <c r="AV221" s="6">
        <f t="shared" si="27"/>
        <v>-2.8000764999999998E-4</v>
      </c>
      <c r="AW221" s="6">
        <f t="shared" si="27"/>
        <v>-2.8000764999999998E-4</v>
      </c>
      <c r="AX221" s="6">
        <f t="shared" si="27"/>
        <v>-2.8000764999999998E-4</v>
      </c>
      <c r="AY221" s="6">
        <f t="shared" si="27"/>
        <v>-2.8000764999999998E-4</v>
      </c>
      <c r="AZ221" s="6">
        <f t="shared" si="27"/>
        <v>-2.8000764999999998E-4</v>
      </c>
      <c r="BA221" s="6">
        <f t="shared" si="27"/>
        <v>-2.8000764999999998E-4</v>
      </c>
    </row>
    <row r="222" spans="1:53" outlineLevel="1" x14ac:dyDescent="0.35">
      <c r="A222" s="6" t="s">
        <v>38</v>
      </c>
      <c r="B222" s="6">
        <f>'Results - raw data ReCiPe (H)'!AC85</f>
        <v>1.9755647666104199E-5</v>
      </c>
      <c r="AB222" s="23" t="s">
        <v>125</v>
      </c>
      <c r="AC222" s="17">
        <f>SUM(AC214:AC221)</f>
        <v>-6.1736271749085318E-5</v>
      </c>
      <c r="AD222" s="17">
        <f t="shared" ref="AD222:BA222" si="28">SUM(AD214:AD221)</f>
        <v>-2.3341037517043037E-4</v>
      </c>
      <c r="AE222" s="17">
        <f t="shared" si="28"/>
        <v>-2.393325825350688E-4</v>
      </c>
      <c r="AF222" s="17">
        <f t="shared" si="28"/>
        <v>-2.4192676160579346E-4</v>
      </c>
      <c r="AG222" s="17">
        <f t="shared" si="28"/>
        <v>-2.5139950073576711E-4</v>
      </c>
      <c r="AH222" s="17">
        <f t="shared" si="28"/>
        <v>-2.5739035707907212E-4</v>
      </c>
      <c r="AI222" s="17">
        <f t="shared" si="28"/>
        <v>-2.545176107904054E-4</v>
      </c>
      <c r="AJ222" s="17">
        <f t="shared" si="28"/>
        <v>-2.583720267095773E-4</v>
      </c>
      <c r="AK222" s="17">
        <f t="shared" si="28"/>
        <v>-2.5900746695665049E-4</v>
      </c>
      <c r="AL222" s="17">
        <f t="shared" si="28"/>
        <v>-2.5620280294311876E-4</v>
      </c>
      <c r="AM222" s="17">
        <f t="shared" si="28"/>
        <v>-2.6005076682296657E-4</v>
      </c>
      <c r="AN222" s="17">
        <f t="shared" si="28"/>
        <v>-2.6039892729831692E-4</v>
      </c>
      <c r="AO222" s="17">
        <f t="shared" si="28"/>
        <v>-2.5743816707698704E-4</v>
      </c>
      <c r="AP222" s="17">
        <f t="shared" si="28"/>
        <v>-2.6113805499736328E-4</v>
      </c>
      <c r="AQ222" s="17">
        <f t="shared" si="28"/>
        <v>-2.6149789694262534E-4</v>
      </c>
      <c r="AR222" s="17">
        <f t="shared" si="28"/>
        <v>-2.5856319696785773E-4</v>
      </c>
      <c r="AS222" s="17">
        <f t="shared" si="28"/>
        <v>-2.6323502061923322E-4</v>
      </c>
      <c r="AT222" s="17">
        <f t="shared" si="28"/>
        <v>-2.6459177250440252E-4</v>
      </c>
      <c r="AU222" s="17">
        <f t="shared" si="28"/>
        <v>-2.6268494194093401E-4</v>
      </c>
      <c r="AV222" s="17">
        <f t="shared" si="28"/>
        <v>-2.6729065678411765E-4</v>
      </c>
      <c r="AW222" s="17">
        <f t="shared" si="28"/>
        <v>-2.6860979015826982E-4</v>
      </c>
      <c r="AX222" s="17">
        <f t="shared" si="28"/>
        <v>-2.6550216921903785E-4</v>
      </c>
      <c r="AY222" s="17">
        <f t="shared" si="28"/>
        <v>-2.6970567134233504E-4</v>
      </c>
      <c r="AZ222" s="17">
        <f t="shared" si="28"/>
        <v>-2.7062767392002261E-4</v>
      </c>
      <c r="BA222" s="17">
        <f t="shared" si="28"/>
        <v>-2.6568600539802269E-4</v>
      </c>
    </row>
    <row r="223" spans="1:53" outlineLevel="1" x14ac:dyDescent="0.35">
      <c r="A223" s="6" t="s">
        <v>39</v>
      </c>
      <c r="B223" s="6">
        <f>'Results - raw data ReCiPe (H)'!AC86</f>
        <v>4.9672540671057758E-5</v>
      </c>
    </row>
    <row r="224" spans="1:53" outlineLevel="1" x14ac:dyDescent="0.35">
      <c r="A224" s="6" t="s">
        <v>41</v>
      </c>
      <c r="B224" s="6">
        <f>'Results - raw data ReCiPe (H)'!AC87</f>
        <v>6.7173966351855849E-7</v>
      </c>
    </row>
    <row r="225" spans="1:53" outlineLevel="1" x14ac:dyDescent="0.35">
      <c r="A225" s="6" t="s">
        <v>43</v>
      </c>
      <c r="B225" s="6">
        <f>'Results - raw data ReCiPe (H)'!AC88</f>
        <v>1.9363285429090501E-6</v>
      </c>
      <c r="AB225" s="219"/>
      <c r="AC225" s="219"/>
      <c r="AD225" s="219"/>
      <c r="AE225" s="219"/>
      <c r="AF225" s="219"/>
      <c r="AG225" s="219"/>
      <c r="AH225" s="219"/>
      <c r="AI225" s="219"/>
      <c r="AJ225" s="219"/>
      <c r="AK225" s="219"/>
      <c r="AL225" s="219"/>
      <c r="AM225" s="219"/>
      <c r="AN225" s="219"/>
      <c r="AO225" s="219"/>
      <c r="AP225" s="219"/>
      <c r="AQ225" s="219"/>
      <c r="AR225" s="219"/>
      <c r="AS225" s="219"/>
      <c r="AT225" s="219"/>
      <c r="AU225" s="219"/>
      <c r="AV225" s="219"/>
      <c r="AW225" s="219"/>
      <c r="AX225" s="219"/>
      <c r="AY225" s="219"/>
      <c r="AZ225" s="219"/>
      <c r="BA225" s="219"/>
    </row>
    <row r="226" spans="1:53" outlineLevel="1" x14ac:dyDescent="0.35">
      <c r="A226" s="6" t="s">
        <v>44</v>
      </c>
      <c r="B226" s="6">
        <f>'Results - raw data ReCiPe (H)'!AC89*AC210*AC212</f>
        <v>9.7865963272845992E-6</v>
      </c>
      <c r="AB226" s="219"/>
      <c r="AC226" s="219"/>
      <c r="AD226" s="219"/>
      <c r="AE226" s="219"/>
      <c r="AF226" s="219"/>
      <c r="AG226" s="219"/>
      <c r="AH226" s="219"/>
      <c r="AI226" s="219"/>
      <c r="AJ226" s="219"/>
      <c r="AK226" s="219"/>
      <c r="AL226" s="219"/>
      <c r="AM226" s="219"/>
      <c r="AN226" s="219"/>
      <c r="AO226" s="219"/>
      <c r="AP226" s="219"/>
      <c r="AQ226" s="219"/>
      <c r="AR226" s="219"/>
      <c r="AS226" s="219"/>
      <c r="AT226" s="219"/>
      <c r="AU226" s="219"/>
      <c r="AV226" s="219"/>
      <c r="AW226" s="219"/>
      <c r="AX226" s="219"/>
      <c r="AY226" s="219"/>
      <c r="AZ226" s="219"/>
      <c r="BA226" s="219"/>
    </row>
    <row r="227" spans="1:53" outlineLevel="1" x14ac:dyDescent="0.35">
      <c r="A227" s="6" t="s">
        <v>757</v>
      </c>
      <c r="B227" s="6">
        <f>'Results - raw data ReCiPe (H)'!AC90*AC210*AC212</f>
        <v>2.8577459880686999E-5</v>
      </c>
      <c r="AB227" s="219"/>
      <c r="AC227" s="219"/>
      <c r="AD227" s="219"/>
      <c r="AE227" s="219"/>
      <c r="AF227" s="219"/>
      <c r="AG227" s="219"/>
      <c r="AH227" s="219"/>
      <c r="AI227" s="219"/>
      <c r="AJ227" s="219"/>
      <c r="AK227" s="219"/>
      <c r="AL227" s="219"/>
      <c r="AM227" s="219"/>
      <c r="AN227" s="219"/>
      <c r="AO227" s="219"/>
      <c r="AP227" s="219"/>
      <c r="AQ227" s="219"/>
      <c r="AR227" s="219"/>
      <c r="AS227" s="219"/>
      <c r="AT227" s="219"/>
      <c r="AU227" s="219"/>
      <c r="AV227" s="219"/>
      <c r="AW227" s="219"/>
      <c r="AX227" s="219"/>
      <c r="AY227" s="219"/>
      <c r="AZ227" s="219"/>
      <c r="BA227" s="219"/>
    </row>
    <row r="228" spans="1:53" outlineLevel="1" x14ac:dyDescent="0.35">
      <c r="A228" s="6" t="s">
        <v>22</v>
      </c>
      <c r="Z228" s="6">
        <f>'Results - raw data ReCiPe (H)'!BA91</f>
        <v>6.1463287504351536E-8</v>
      </c>
      <c r="AB228" s="219"/>
      <c r="AC228" s="219"/>
      <c r="AD228" s="219"/>
      <c r="AE228" s="219"/>
      <c r="AF228" s="219"/>
      <c r="AG228" s="219"/>
      <c r="AH228" s="219"/>
      <c r="AI228" s="219"/>
      <c r="AJ228" s="219"/>
      <c r="AK228" s="219"/>
      <c r="AL228" s="219"/>
      <c r="AM228" s="219"/>
      <c r="AN228" s="219"/>
      <c r="AO228" s="219"/>
      <c r="AP228" s="219"/>
      <c r="AQ228" s="219"/>
      <c r="AR228" s="219"/>
      <c r="AS228" s="219"/>
      <c r="AT228" s="219"/>
      <c r="AU228" s="219"/>
      <c r="AV228" s="219"/>
      <c r="AW228" s="219"/>
      <c r="AX228" s="219"/>
      <c r="AY228" s="219"/>
      <c r="AZ228" s="219"/>
      <c r="BA228" s="219"/>
    </row>
    <row r="229" spans="1:53" outlineLevel="1" x14ac:dyDescent="0.35">
      <c r="A229" s="6" t="s">
        <v>24</v>
      </c>
      <c r="Z229" s="6">
        <f>'Results - raw data ReCiPe (H)'!BA92</f>
        <v>2.9780930154979231E-8</v>
      </c>
      <c r="AB229" s="219"/>
      <c r="AC229" s="219"/>
      <c r="AD229" s="219"/>
      <c r="AE229" s="219"/>
      <c r="AF229" s="219"/>
      <c r="AG229" s="219"/>
      <c r="AH229" s="219"/>
      <c r="AI229" s="219"/>
      <c r="AJ229" s="219"/>
      <c r="AK229" s="219"/>
      <c r="AL229" s="219"/>
      <c r="AM229" s="219"/>
      <c r="AN229" s="219"/>
      <c r="AO229" s="219"/>
      <c r="AP229" s="219"/>
      <c r="AQ229" s="219"/>
      <c r="AR229" s="219"/>
      <c r="AS229" s="219"/>
      <c r="AT229" s="219"/>
      <c r="AU229" s="219"/>
      <c r="AV229" s="219"/>
      <c r="AW229" s="219"/>
      <c r="AX229" s="219"/>
      <c r="AY229" s="219"/>
      <c r="AZ229" s="219"/>
      <c r="BA229" s="219"/>
    </row>
    <row r="230" spans="1:53" outlineLevel="1" x14ac:dyDescent="0.35">
      <c r="A230" s="6" t="s">
        <v>25</v>
      </c>
      <c r="Z230" s="6">
        <f>'Results - raw data ReCiPe (H)'!BA93</f>
        <v>1.1656149191787559E-7</v>
      </c>
      <c r="AB230" s="219"/>
      <c r="AC230" s="219"/>
      <c r="AD230" s="219"/>
      <c r="AE230" s="219"/>
      <c r="AF230" s="219"/>
      <c r="AG230" s="219"/>
      <c r="AH230" s="219"/>
      <c r="AI230" s="219"/>
      <c r="AJ230" s="219"/>
      <c r="AK230" s="219"/>
      <c r="AL230" s="219"/>
      <c r="AM230" s="219"/>
      <c r="AN230" s="219"/>
      <c r="AO230" s="219"/>
      <c r="AP230" s="219"/>
      <c r="AQ230" s="219"/>
      <c r="AR230" s="219"/>
      <c r="AS230" s="219"/>
      <c r="AT230" s="219"/>
      <c r="AU230" s="219"/>
      <c r="AV230" s="219"/>
      <c r="AW230" s="219"/>
      <c r="AX230" s="219"/>
      <c r="AY230" s="219"/>
      <c r="AZ230" s="219"/>
      <c r="BA230" s="219"/>
    </row>
    <row r="231" spans="1:53" outlineLevel="1" x14ac:dyDescent="0.35">
      <c r="A231" s="6" t="s">
        <v>27</v>
      </c>
      <c r="Z231" s="6">
        <f>'Results - raw data ReCiPe (H)'!BA94</f>
        <v>4.3717870155312199E-8</v>
      </c>
      <c r="AB231" s="219"/>
      <c r="AC231" s="219"/>
      <c r="AD231" s="219"/>
      <c r="AE231" s="219"/>
      <c r="AF231" s="219"/>
      <c r="AG231" s="219"/>
      <c r="AH231" s="219"/>
      <c r="AI231" s="219"/>
      <c r="AJ231" s="219"/>
      <c r="AK231" s="219"/>
      <c r="AL231" s="219"/>
      <c r="AM231" s="219"/>
      <c r="AN231" s="219"/>
      <c r="AO231" s="219"/>
      <c r="AP231" s="219"/>
      <c r="AQ231" s="219"/>
      <c r="AR231" s="219"/>
      <c r="AS231" s="219"/>
      <c r="AT231" s="219"/>
      <c r="AU231" s="219"/>
      <c r="AV231" s="219"/>
      <c r="AW231" s="219"/>
      <c r="AX231" s="219"/>
      <c r="AY231" s="219"/>
      <c r="AZ231" s="219"/>
      <c r="BA231" s="219"/>
    </row>
    <row r="232" spans="1:53" outlineLevel="1" x14ac:dyDescent="0.35">
      <c r="A232" s="6" t="s">
        <v>30</v>
      </c>
      <c r="Z232" s="6">
        <f>'Results - raw data ReCiPe (H)'!BA95</f>
        <v>8.0994806426941983E-8</v>
      </c>
      <c r="AB232" s="219"/>
      <c r="AC232" s="219"/>
      <c r="AD232" s="219"/>
      <c r="AE232" s="219"/>
      <c r="AF232" s="219"/>
      <c r="AG232" s="219"/>
      <c r="AH232" s="219"/>
      <c r="AI232" s="219"/>
      <c r="AJ232" s="219"/>
      <c r="AK232" s="219"/>
      <c r="AL232" s="219"/>
      <c r="AM232" s="219"/>
      <c r="AN232" s="219"/>
      <c r="AO232" s="219"/>
      <c r="AP232" s="219"/>
      <c r="AQ232" s="219"/>
      <c r="AR232" s="219"/>
      <c r="AS232" s="219"/>
      <c r="AT232" s="219"/>
      <c r="AU232" s="219"/>
      <c r="AV232" s="219"/>
      <c r="AW232" s="219"/>
      <c r="AX232" s="219"/>
      <c r="AY232" s="219"/>
      <c r="AZ232" s="219"/>
      <c r="BA232" s="219"/>
    </row>
    <row r="233" spans="1:53" outlineLevel="1" x14ac:dyDescent="0.35">
      <c r="A233" s="6" t="s">
        <v>32</v>
      </c>
      <c r="Z233" s="6">
        <f>'Results - raw data ReCiPe (H)'!BA96</f>
        <v>6.377197675436085E-9</v>
      </c>
      <c r="AB233" s="219"/>
      <c r="AC233" s="219"/>
      <c r="AD233" s="219"/>
      <c r="AE233" s="219"/>
      <c r="AF233" s="219"/>
      <c r="AG233" s="219"/>
      <c r="AH233" s="219"/>
      <c r="AI233" s="219"/>
      <c r="AJ233" s="219"/>
      <c r="AK233" s="219"/>
      <c r="AL233" s="219"/>
      <c r="AM233" s="219"/>
      <c r="AN233" s="219"/>
      <c r="AO233" s="219"/>
      <c r="AP233" s="219"/>
      <c r="AQ233" s="219"/>
      <c r="AR233" s="219"/>
      <c r="AS233" s="219"/>
      <c r="AT233" s="219"/>
      <c r="AU233" s="219"/>
      <c r="AV233" s="219"/>
      <c r="AW233" s="219"/>
      <c r="AX233" s="219"/>
      <c r="AY233" s="219"/>
      <c r="AZ233" s="219"/>
      <c r="BA233" s="219"/>
    </row>
    <row r="234" spans="1:53" outlineLevel="1" x14ac:dyDescent="0.35">
      <c r="A234" s="6" t="s">
        <v>33</v>
      </c>
      <c r="Z234" s="6">
        <f>'Results - raw data ReCiPe (H)'!BA97</f>
        <v>2.0574872161815658E-8</v>
      </c>
      <c r="AB234" s="219"/>
      <c r="AC234" s="219"/>
      <c r="AD234" s="219"/>
      <c r="AE234" s="219"/>
      <c r="AF234" s="219"/>
      <c r="AG234" s="219"/>
      <c r="AH234" s="219"/>
      <c r="AI234" s="219"/>
      <c r="AJ234" s="219"/>
      <c r="AK234" s="219"/>
      <c r="AL234" s="219"/>
      <c r="AM234" s="219"/>
      <c r="AN234" s="219"/>
      <c r="AO234" s="219"/>
      <c r="AP234" s="219"/>
      <c r="AQ234" s="219"/>
      <c r="AR234" s="219"/>
      <c r="AS234" s="219"/>
      <c r="AT234" s="219"/>
      <c r="AU234" s="219"/>
      <c r="AV234" s="219"/>
      <c r="AW234" s="219"/>
      <c r="AX234" s="219"/>
      <c r="AY234" s="219"/>
      <c r="AZ234" s="219"/>
      <c r="BA234" s="219"/>
    </row>
    <row r="235" spans="1:53" outlineLevel="1" x14ac:dyDescent="0.35">
      <c r="A235" s="6" t="s">
        <v>35</v>
      </c>
      <c r="Z235" s="6">
        <f>'Results - raw data ReCiPe (H)'!BA98</f>
        <v>4.114974432363133E-8</v>
      </c>
      <c r="AB235" s="219"/>
      <c r="AC235" s="219"/>
      <c r="AD235" s="219"/>
      <c r="AE235" s="219"/>
      <c r="AF235" s="219"/>
      <c r="AG235" s="219"/>
      <c r="AH235" s="219"/>
      <c r="AI235" s="219"/>
      <c r="AJ235" s="219"/>
      <c r="AK235" s="219"/>
      <c r="AL235" s="219"/>
      <c r="AM235" s="219"/>
      <c r="AN235" s="219"/>
      <c r="AO235" s="219"/>
      <c r="AP235" s="219"/>
      <c r="AQ235" s="219"/>
      <c r="AR235" s="219"/>
      <c r="AS235" s="219"/>
      <c r="AT235" s="219"/>
      <c r="AU235" s="219"/>
      <c r="AV235" s="219"/>
      <c r="AW235" s="219"/>
      <c r="AX235" s="219"/>
      <c r="AY235" s="219"/>
      <c r="AZ235" s="219"/>
      <c r="BA235" s="219"/>
    </row>
    <row r="236" spans="1:53" outlineLevel="1" x14ac:dyDescent="0.35">
      <c r="A236" s="6" t="s">
        <v>37</v>
      </c>
      <c r="Z236" s="6">
        <f>'Results - raw data ReCiPe (H)'!BA99</f>
        <v>1.0863148431932961E-7</v>
      </c>
      <c r="AB236" s="219"/>
      <c r="AC236" s="219"/>
      <c r="AD236" s="219"/>
      <c r="AE236" s="219"/>
      <c r="AF236" s="219"/>
      <c r="AG236" s="219"/>
      <c r="AH236" s="219"/>
      <c r="AI236" s="219"/>
      <c r="AJ236" s="219"/>
      <c r="AK236" s="219"/>
      <c r="AL236" s="219"/>
      <c r="AM236" s="219"/>
      <c r="AN236" s="219"/>
      <c r="AO236" s="219"/>
      <c r="AP236" s="219"/>
      <c r="AQ236" s="219"/>
      <c r="AR236" s="219"/>
      <c r="AS236" s="219"/>
      <c r="AT236" s="219"/>
      <c r="AU236" s="219"/>
      <c r="AV236" s="219"/>
      <c r="AW236" s="219"/>
      <c r="AX236" s="219"/>
      <c r="AY236" s="219"/>
      <c r="AZ236" s="219"/>
      <c r="BA236" s="219"/>
    </row>
    <row r="237" spans="1:53" outlineLevel="1" x14ac:dyDescent="0.35">
      <c r="A237" s="6" t="s">
        <v>40</v>
      </c>
      <c r="Z237" s="6">
        <f>'Results - raw data ReCiPe (H)'!BA100</f>
        <v>9.3099600369301554E-7</v>
      </c>
    </row>
    <row r="238" spans="1:53" outlineLevel="1" x14ac:dyDescent="0.35">
      <c r="A238" s="6" t="s">
        <v>42</v>
      </c>
      <c r="Z238" s="6">
        <f>'Results - raw data ReCiPe (H)'!BA101</f>
        <v>1.5771509757995021E-7</v>
      </c>
    </row>
    <row r="239" spans="1:53" outlineLevel="1" x14ac:dyDescent="0.35">
      <c r="A239" s="6" t="s">
        <v>115</v>
      </c>
      <c r="Z239" s="6">
        <f>'Results - raw data ReCiPe (H)'!BA102</f>
        <v>9.0001449736656561E-7</v>
      </c>
    </row>
    <row r="240" spans="1:53" outlineLevel="1" x14ac:dyDescent="0.35">
      <c r="A240" s="6" t="s">
        <v>45</v>
      </c>
      <c r="Z240" s="6">
        <f>'Results - raw data ReCiPe (H)'!BA103*AC210*AC212</f>
        <v>8.9291412421487725E-8</v>
      </c>
    </row>
    <row r="241" spans="1:26" outlineLevel="1" x14ac:dyDescent="0.35">
      <c r="A241" s="6" t="s">
        <v>116</v>
      </c>
      <c r="B241" s="6">
        <f>'Results - raw data ReCiPe (H)'!AC104</f>
        <v>3.715731652454359E-6</v>
      </c>
      <c r="C241" s="6">
        <f>'Results - raw data ReCiPe (H)'!AD104</f>
        <v>3.653971786261327E-6</v>
      </c>
      <c r="D241" s="6">
        <f>'Results - raw data ReCiPe (H)'!AE104</f>
        <v>3.590700222859685E-6</v>
      </c>
      <c r="E241" s="6">
        <f>'Results - raw data ReCiPe (H)'!AF104</f>
        <v>3.5013590415283682E-6</v>
      </c>
      <c r="F241" s="6">
        <f>'Results - raw data ReCiPe (H)'!AG104</f>
        <v>3.4350987731988199E-6</v>
      </c>
      <c r="G241" s="6">
        <f>'Results - raw data ReCiPe (H)'!AH104</f>
        <v>3.3672208371307779E-6</v>
      </c>
      <c r="H241" s="6">
        <f>'Results - raw data ReCiPe (H)'!AI104</f>
        <v>3.359625974222981E-6</v>
      </c>
      <c r="I241" s="6">
        <f>'Results - raw data ReCiPe (H)'!AJ104</f>
        <v>3.3517806086884919E-6</v>
      </c>
      <c r="J241" s="6">
        <f>'Results - raw data ReCiPe (H)'!AK104</f>
        <v>3.330478938302756E-6</v>
      </c>
      <c r="K241" s="6">
        <f>'Results - raw data ReCiPe (H)'!AL104</f>
        <v>3.3222042704526711E-6</v>
      </c>
      <c r="L241" s="6">
        <f>'Results - raw data ReCiPe (H)'!AM104</f>
        <v>3.3137581199034298E-6</v>
      </c>
      <c r="M241" s="6">
        <f>'Results - raw data ReCiPe (H)'!AN104</f>
        <v>3.3117835992973371E-6</v>
      </c>
      <c r="N241" s="6">
        <f>'Results - raw data ReCiPe (H)'!AO104</f>
        <v>3.3098090978734569E-6</v>
      </c>
      <c r="O241" s="6">
        <f>'Results - raw data ReCiPe (H)'!AP104</f>
        <v>3.3027531832062708E-6</v>
      </c>
      <c r="P241" s="6">
        <f>'Results - raw data ReCiPe (H)'!AQ104</f>
        <v>3.300744338648619E-6</v>
      </c>
      <c r="Q241" s="6">
        <f>'Results - raw data ReCiPe (H)'!AR104</f>
        <v>3.2987119954850761E-6</v>
      </c>
      <c r="R241" s="6">
        <f>'Results - raw data ReCiPe (H)'!AS104</f>
        <v>3.2935302766583081E-6</v>
      </c>
      <c r="S241" s="6">
        <f>'Results - raw data ReCiPe (H)'!AT104</f>
        <v>3.288392539742852E-6</v>
      </c>
      <c r="T241" s="6">
        <f>'Results - raw data ReCiPe (H)'!AU104</f>
        <v>3.278896138541998E-6</v>
      </c>
      <c r="U241" s="6">
        <f>'Results - raw data ReCiPe (H)'!AV104</f>
        <v>3.273848587933931E-6</v>
      </c>
      <c r="V241" s="6">
        <f>'Results - raw data ReCiPe (H)'!AW104</f>
        <v>3.268749516231205E-6</v>
      </c>
      <c r="W241" s="6">
        <f>'Results - raw data ReCiPe (H)'!AX104</f>
        <v>3.2828870256197742E-6</v>
      </c>
      <c r="X241" s="6">
        <f>'Results - raw data ReCiPe (H)'!AY104</f>
        <v>3.2812446458292191E-6</v>
      </c>
      <c r="Y241" s="6">
        <f>'Results - raw data ReCiPe (H)'!AZ104</f>
        <v>3.2795974630278679E-6</v>
      </c>
      <c r="Z241" s="6">
        <f>'Results - raw data ReCiPe (H)'!BA104</f>
        <v>3.2779455111866361E-6</v>
      </c>
    </row>
    <row r="242" spans="1:26" outlineLevel="1" x14ac:dyDescent="0.35">
      <c r="A242" s="6" t="s">
        <v>758</v>
      </c>
      <c r="B242" s="6">
        <f>'Results - raw data ReCiPe (H)'!AC105*$AC$211</f>
        <v>1.4678012901466101E-8</v>
      </c>
      <c r="C242" s="6">
        <f>'Results - raw data ReCiPe (H)'!AD105*$AC$211</f>
        <v>1.3298966379161942E-8</v>
      </c>
      <c r="D242" s="6">
        <f>'Results - raw data ReCiPe (H)'!AE105*$AC$211</f>
        <v>1.1924221919941876E-8</v>
      </c>
      <c r="E242" s="6">
        <f>'Results - raw data ReCiPe (H)'!AF105*$AC$211</f>
        <v>1.0519853748956411E-8</v>
      </c>
      <c r="F242" s="6">
        <f>'Results - raw data ReCiPe (H)'!AG105*$AC$211</f>
        <v>9.1518516112025191E-9</v>
      </c>
      <c r="G242" s="6">
        <f>'Results - raw data ReCiPe (H)'!AH105*$AC$211</f>
        <v>7.7881366176614895E-9</v>
      </c>
      <c r="H242" s="6">
        <f>'Results - raw data ReCiPe (H)'!AI105*$AC$211</f>
        <v>7.6761768790104546E-9</v>
      </c>
      <c r="I242" s="6">
        <f>'Results - raw data ReCiPe (H)'!AJ105*$AC$211</f>
        <v>7.5627611847416821E-9</v>
      </c>
      <c r="J242" s="6">
        <f>'Results - raw data ReCiPe (H)'!AK105*$AC$211</f>
        <v>7.4183410376750901E-9</v>
      </c>
      <c r="K242" s="6">
        <f>'Results - raw data ReCiPe (H)'!AL105*$AC$211</f>
        <v>7.3005865109069637E-9</v>
      </c>
      <c r="L242" s="6">
        <f>'Results - raw data ReCiPe (H)'!AM105*$AC$211</f>
        <v>7.181324088670552E-9</v>
      </c>
      <c r="M242" s="6">
        <f>'Results - raw data ReCiPe (H)'!AN105*$AC$211</f>
        <v>7.101350788309446E-9</v>
      </c>
      <c r="N242" s="6">
        <f>'Results - raw data ReCiPe (H)'!AO105*$AC$211</f>
        <v>7.0210808973302529E-9</v>
      </c>
      <c r="O242" s="6">
        <f>'Results - raw data ReCiPe (H)'!AP105*$AC$211</f>
        <v>6.9316449839044142E-9</v>
      </c>
      <c r="P242" s="6">
        <f>'Results - raw data ReCiPe (H)'!AQ105*$AC$211</f>
        <v>6.8488691452263691E-9</v>
      </c>
      <c r="Q242" s="6">
        <f>'Results - raw data ReCiPe (H)'!AR105*$AC$211</f>
        <v>6.7651487540608562E-9</v>
      </c>
      <c r="R242" s="6">
        <f>'Results - raw data ReCiPe (H)'!AS105*$AC$211</f>
        <v>6.4506085321636263E-9</v>
      </c>
      <c r="S242" s="6">
        <f>'Results - raw data ReCiPe (H)'!AT105*$AC$211</f>
        <v>6.1370004998321311E-9</v>
      </c>
      <c r="T242" s="6">
        <f>'Results - raw data ReCiPe (H)'!AU105*$AC$211</f>
        <v>5.8173260354893832E-9</v>
      </c>
      <c r="U242" s="6">
        <f>'Results - raw data ReCiPe (H)'!AV105*$AC$211</f>
        <v>5.505123758482006E-9</v>
      </c>
      <c r="V242" s="6">
        <f>'Results - raw data ReCiPe (H)'!AW105*$AC$211</f>
        <v>5.1926399308285846E-9</v>
      </c>
      <c r="W242" s="6">
        <f>'Results - raw data ReCiPe (H)'!AX105*$AC$211</f>
        <v>5.173021388221013E-9</v>
      </c>
      <c r="X242" s="6">
        <f>'Results - raw data ReCiPe (H)'!AY105*$AC$211</f>
        <v>4.9658886745655036E-9</v>
      </c>
      <c r="Y242" s="6">
        <f>'Results - raw data ReCiPe (H)'!AZ105*$AC$211</f>
        <v>4.7590596234075303E-9</v>
      </c>
      <c r="Z242" s="6">
        <f>'Results - raw data ReCiPe (H)'!BA105*$AC$211</f>
        <v>4.5524932536729508E-9</v>
      </c>
    </row>
    <row r="243" spans="1:26" outlineLevel="1" x14ac:dyDescent="0.35">
      <c r="A243" s="6" t="s">
        <v>759</v>
      </c>
      <c r="B243" s="6">
        <f>'Results - raw data ReCiPe (H)'!AC106</f>
        <v>2.0736000294618859E-7</v>
      </c>
      <c r="C243" s="6">
        <f>'Results - raw data ReCiPe (H)'!AD106</f>
        <v>2.0736000294618859E-7</v>
      </c>
      <c r="D243" s="6">
        <f>'Results - raw data ReCiPe (H)'!AE106</f>
        <v>2.0736000294618859E-7</v>
      </c>
      <c r="E243" s="6">
        <f>'Results - raw data ReCiPe (H)'!AF106</f>
        <v>2.0736000294618859E-7</v>
      </c>
      <c r="F243" s="6">
        <f>'Results - raw data ReCiPe (H)'!AG106</f>
        <v>2.0736000294618859E-7</v>
      </c>
      <c r="G243" s="6">
        <f>'Results - raw data ReCiPe (H)'!AH106</f>
        <v>2.0736000294618859E-7</v>
      </c>
      <c r="H243" s="6">
        <f>'Results - raw data ReCiPe (H)'!AI106</f>
        <v>2.0736000294618859E-7</v>
      </c>
      <c r="I243" s="6">
        <f>'Results - raw data ReCiPe (H)'!AJ106</f>
        <v>2.0736000294618859E-7</v>
      </c>
      <c r="J243" s="6">
        <f>'Results - raw data ReCiPe (H)'!AK106</f>
        <v>2.0736000294618859E-7</v>
      </c>
      <c r="K243" s="6">
        <f>'Results - raw data ReCiPe (H)'!AL106</f>
        <v>2.0736000294618859E-7</v>
      </c>
      <c r="L243" s="6">
        <f>'Results - raw data ReCiPe (H)'!AM106</f>
        <v>2.0736000294618859E-7</v>
      </c>
      <c r="M243" s="6">
        <f>'Results - raw data ReCiPe (H)'!AN106</f>
        <v>2.0736000294618859E-7</v>
      </c>
      <c r="N243" s="6">
        <f>'Results - raw data ReCiPe (H)'!AO106</f>
        <v>2.0736000294618859E-7</v>
      </c>
      <c r="O243" s="6">
        <f>'Results - raw data ReCiPe (H)'!AP106</f>
        <v>2.0736000294618859E-7</v>
      </c>
      <c r="P243" s="6">
        <f>'Results - raw data ReCiPe (H)'!AQ106</f>
        <v>2.0736000294618859E-7</v>
      </c>
      <c r="Q243" s="6">
        <f>'Results - raw data ReCiPe (H)'!AR106</f>
        <v>2.0736000294618859E-7</v>
      </c>
      <c r="R243" s="6">
        <f>'Results - raw data ReCiPe (H)'!AS106</f>
        <v>2.0736000294618859E-7</v>
      </c>
      <c r="S243" s="6">
        <f>'Results - raw data ReCiPe (H)'!AT106</f>
        <v>2.0736000294618859E-7</v>
      </c>
      <c r="T243" s="6">
        <f>'Results - raw data ReCiPe (H)'!AU106</f>
        <v>2.0736000294618859E-7</v>
      </c>
      <c r="U243" s="6">
        <f>'Results - raw data ReCiPe (H)'!AV106</f>
        <v>2.0736000294618859E-7</v>
      </c>
      <c r="V243" s="6">
        <f>'Results - raw data ReCiPe (H)'!AW106</f>
        <v>2.0736000294618859E-7</v>
      </c>
      <c r="W243" s="6">
        <f>'Results - raw data ReCiPe (H)'!AX106</f>
        <v>2.0736000294618859E-7</v>
      </c>
      <c r="X243" s="6">
        <f>'Results - raw data ReCiPe (H)'!AY106</f>
        <v>2.0736000294618859E-7</v>
      </c>
      <c r="Y243" s="6">
        <f>'Results - raw data ReCiPe (H)'!AZ106</f>
        <v>2.0736000294618859E-7</v>
      </c>
      <c r="Z243" s="6">
        <f>'Results - raw data ReCiPe (H)'!BA106</f>
        <v>2.0736000294618859E-7</v>
      </c>
    </row>
    <row r="244" spans="1:26" outlineLevel="1" x14ac:dyDescent="0.35">
      <c r="A244" s="6" t="s">
        <v>760</v>
      </c>
      <c r="B244" s="6">
        <f>150000*($AC$211*'Results - raw data ReCiPe (H)'!AC128+(1-$AC$211)*'Results - raw data ReCiPe (H)'!AC129)</f>
        <v>5.2277900838212776E-5</v>
      </c>
      <c r="C244" s="6">
        <f>150000*($AC$211*'Results - raw data ReCiPe (H)'!AD128+(1-$AC$211)*'Results - raw data ReCiPe (H)'!AD129)</f>
        <v>4.6376615860244256E-5</v>
      </c>
      <c r="D244" s="6">
        <f>150000*($AC$211*'Results - raw data ReCiPe (H)'!AE128+(1-$AC$211)*'Results - raw data ReCiPe (H)'!AE129)</f>
        <v>4.0455783240065055E-5</v>
      </c>
      <c r="E244" s="6">
        <f>150000*($AC$211*'Results - raw data ReCiPe (H)'!AF128+(1-$AC$211)*'Results - raw data ReCiPe (H)'!AF129)</f>
        <v>3.4361649495983002E-5</v>
      </c>
      <c r="F244" s="6">
        <f>150000*($AC$211*'Results - raw data ReCiPe (H)'!AG128+(1-$AC$211)*'Results - raw data ReCiPe (H)'!AG129)</f>
        <v>2.8391637409675456E-5</v>
      </c>
      <c r="G244" s="6">
        <f>150000*($AC$211*'Results - raw data ReCiPe (H)'!AH128+(1-$AC$211)*'Results - raw data ReCiPe (H)'!AH129)</f>
        <v>2.2402144781364025E-5</v>
      </c>
      <c r="H244" s="6">
        <f>150000*($AC$211*'Results - raw data ReCiPe (H)'!AI128+(1-$AC$211)*'Results - raw data ReCiPe (H)'!AI129)</f>
        <v>2.1915377055546402E-5</v>
      </c>
      <c r="I244" s="6">
        <f>150000*($AC$211*'Results - raw data ReCiPe (H)'!AJ128+(1-$AC$211)*'Results - raw data ReCiPe (H)'!AJ129)</f>
        <v>2.1420700526291778E-5</v>
      </c>
      <c r="J244" s="6">
        <f>150000*($AC$211*'Results - raw data ReCiPe (H)'!AK128+(1-$AC$211)*'Results - raw data ReCiPe (H)'!AK129)</f>
        <v>2.0785404699365611E-5</v>
      </c>
      <c r="K244" s="6">
        <f>150000*($AC$211*'Results - raw data ReCiPe (H)'!AL128+(1-$AC$211)*'Results - raw data ReCiPe (H)'!AL129)</f>
        <v>2.0267982196971454E-5</v>
      </c>
      <c r="L244" s="6">
        <f>150000*($AC$211*'Results - raw data ReCiPe (H)'!AM128+(1-$AC$211)*'Results - raw data ReCiPe (H)'!AM129)</f>
        <v>1.9742341849998543E-5</v>
      </c>
      <c r="M244" s="6">
        <f>150000*($AC$211*'Results - raw data ReCiPe (H)'!AN128+(1-$AC$211)*'Results - raw data ReCiPe (H)'!AN129)</f>
        <v>1.9394261347948577E-5</v>
      </c>
      <c r="N244" s="6">
        <f>150000*($AC$211*'Results - raw data ReCiPe (H)'!AO128+(1-$AC$211)*'Results - raw data ReCiPe (H)'!AO129)</f>
        <v>1.9045292741295954E-5</v>
      </c>
      <c r="O244" s="6">
        <f>150000*($AC$211*'Results - raw data ReCiPe (H)'!AP128+(1-$AC$211)*'Results - raw data ReCiPe (H)'!AP129)</f>
        <v>1.865530335470664E-5</v>
      </c>
      <c r="P244" s="6">
        <f>150000*($AC$211*'Results - raw data ReCiPe (H)'!AQ128+(1-$AC$211)*'Results - raw data ReCiPe (H)'!AQ129)</f>
        <v>1.8295544185283251E-5</v>
      </c>
      <c r="Q244" s="6">
        <f>150000*($AC$211*'Results - raw data ReCiPe (H)'!AR128+(1-$AC$211)*'Results - raw data ReCiPe (H)'!AR129)</f>
        <v>1.7931615884956947E-5</v>
      </c>
      <c r="R244" s="6">
        <f>150000*($AC$211*'Results - raw data ReCiPe (H)'!AS128+(1-$AC$211)*'Results - raw data ReCiPe (H)'!AS129)</f>
        <v>1.6558818769288388E-5</v>
      </c>
      <c r="S244" s="6">
        <f>150000*($AC$211*'Results - raw data ReCiPe (H)'!AT128+(1-$AC$211)*'Results - raw data ReCiPe (H)'!AT129)</f>
        <v>1.5202380492151432E-5</v>
      </c>
      <c r="T244" s="6">
        <f>150000*($AC$211*'Results - raw data ReCiPe (H)'!AU128+(1-$AC$211)*'Results - raw data ReCiPe (H)'!AU129)</f>
        <v>1.3830634591542304E-5</v>
      </c>
      <c r="U244" s="6">
        <f>150000*($AC$211*'Results - raw data ReCiPe (H)'!AV128+(1-$AC$211)*'Results - raw data ReCiPe (H)'!AV129)</f>
        <v>1.2504128089177659E-5</v>
      </c>
      <c r="V244" s="6">
        <f>150000*($AC$211*'Results - raw data ReCiPe (H)'!AW128+(1-$AC$211)*'Results - raw data ReCiPe (H)'!AW129)</f>
        <v>1.1185307198853162E-5</v>
      </c>
      <c r="W244" s="6">
        <f>150000*($AC$211*'Results - raw data ReCiPe (H)'!AX128+(1-$AC$211)*'Results - raw data ReCiPe (H)'!AX129)</f>
        <v>1.1010060731007948E-5</v>
      </c>
      <c r="X244" s="6">
        <f>150000*($AC$211*'Results - raw data ReCiPe (H)'!AY128+(1-$AC$211)*'Results - raw data ReCiPe (H)'!AY129)</f>
        <v>1.0089652766044166E-5</v>
      </c>
      <c r="Y244" s="6">
        <f>150000*($AC$211*'Results - raw data ReCiPe (H)'!AZ128+(1-$AC$211)*'Results - raw data ReCiPe (H)'!AZ129)</f>
        <v>9.1678570174077686E-6</v>
      </c>
      <c r="Z244" s="6">
        <f>150000*($AC$211*'Results - raw data ReCiPe (H)'!BA128+(1-$AC$211)*'Results - raw data ReCiPe (H)'!BA129)</f>
        <v>8.2445178988901036E-6</v>
      </c>
    </row>
    <row r="245" spans="1:26" outlineLevel="1" x14ac:dyDescent="0.35">
      <c r="A245" s="23" t="s">
        <v>125</v>
      </c>
      <c r="B245" s="17">
        <f>SUM(B214:B244)</f>
        <v>2.1827137825091466E-4</v>
      </c>
      <c r="C245" s="17">
        <f t="shared" ref="C245:Z245" si="29">SUM(C214:C244)</f>
        <v>5.025124661583093E-5</v>
      </c>
      <c r="D245" s="17">
        <f t="shared" si="29"/>
        <v>4.426576768779087E-5</v>
      </c>
      <c r="E245" s="17">
        <f t="shared" si="29"/>
        <v>3.8080888394206515E-5</v>
      </c>
      <c r="F245" s="17">
        <f t="shared" si="29"/>
        <v>3.204324803743167E-5</v>
      </c>
      <c r="G245" s="17">
        <f t="shared" si="29"/>
        <v>2.5984513758058652E-5</v>
      </c>
      <c r="H245" s="17">
        <f t="shared" si="29"/>
        <v>2.5490039209594581E-5</v>
      </c>
      <c r="I245" s="17">
        <f t="shared" si="29"/>
        <v>2.4987403899111202E-5</v>
      </c>
      <c r="J245" s="17">
        <f t="shared" si="29"/>
        <v>2.433066198165223E-5</v>
      </c>
      <c r="K245" s="17">
        <f t="shared" si="29"/>
        <v>2.3804847056881222E-5</v>
      </c>
      <c r="L245" s="17">
        <f t="shared" si="29"/>
        <v>2.3270641296936831E-5</v>
      </c>
      <c r="M245" s="17">
        <f t="shared" si="29"/>
        <v>2.2920506300980413E-5</v>
      </c>
      <c r="N245" s="17">
        <f t="shared" si="29"/>
        <v>2.256948292301293E-5</v>
      </c>
      <c r="O245" s="17">
        <f t="shared" si="29"/>
        <v>2.2172348185843002E-5</v>
      </c>
      <c r="P245" s="17">
        <f t="shared" si="29"/>
        <v>2.1810497396023284E-5</v>
      </c>
      <c r="Q245" s="17">
        <f t="shared" si="29"/>
        <v>2.1444453032142274E-5</v>
      </c>
      <c r="R245" s="17">
        <f t="shared" si="29"/>
        <v>2.0066159657425048E-5</v>
      </c>
      <c r="S245" s="17">
        <f t="shared" si="29"/>
        <v>1.8704270035340306E-5</v>
      </c>
      <c r="T245" s="17">
        <f t="shared" si="29"/>
        <v>1.732270805906598E-5</v>
      </c>
      <c r="U245" s="17">
        <f t="shared" si="29"/>
        <v>1.5990841803816261E-5</v>
      </c>
      <c r="V245" s="17">
        <f t="shared" si="29"/>
        <v>1.4666609357961384E-5</v>
      </c>
      <c r="W245" s="17">
        <f t="shared" si="29"/>
        <v>1.4505480780962132E-5</v>
      </c>
      <c r="X245" s="17">
        <f t="shared" si="29"/>
        <v>1.358322330349414E-5</v>
      </c>
      <c r="Y245" s="17">
        <f t="shared" si="29"/>
        <v>1.2659573543005232E-5</v>
      </c>
      <c r="Z245" s="17">
        <f t="shared" si="29"/>
        <v>1.4321644601977294E-5</v>
      </c>
    </row>
    <row r="246" spans="1:26" s="26" customFormat="1" outlineLevel="1" x14ac:dyDescent="0.35">
      <c r="A246" s="233"/>
    </row>
    <row r="247" spans="1:26" s="221" customFormat="1" ht="21" x14ac:dyDescent="0.5">
      <c r="A247" s="229" t="s">
        <v>851</v>
      </c>
    </row>
    <row r="248" spans="1:26" s="18" customFormat="1" ht="21" x14ac:dyDescent="0.5">
      <c r="A248" s="18" t="s">
        <v>72</v>
      </c>
    </row>
    <row r="249" spans="1:26" s="20" customFormat="1" outlineLevel="1" x14ac:dyDescent="0.35">
      <c r="A249" s="19" t="s">
        <v>788</v>
      </c>
    </row>
    <row r="250" spans="1:26" s="20" customFormat="1" outlineLevel="1" x14ac:dyDescent="0.35">
      <c r="A250" s="273" t="s">
        <v>775</v>
      </c>
      <c r="B250" s="20">
        <v>1</v>
      </c>
      <c r="C250" s="274" t="s">
        <v>787</v>
      </c>
    </row>
    <row r="251" spans="1:26" s="20" customFormat="1" outlineLevel="1" x14ac:dyDescent="0.35">
      <c r="A251" s="273" t="s">
        <v>781</v>
      </c>
      <c r="B251" s="20">
        <v>100000</v>
      </c>
      <c r="C251" s="20" t="s">
        <v>782</v>
      </c>
      <c r="E251" s="274"/>
    </row>
    <row r="252" spans="1:26" s="20" customFormat="1" outlineLevel="1" x14ac:dyDescent="0.35">
      <c r="A252" s="273" t="s">
        <v>783</v>
      </c>
      <c r="B252" s="20">
        <v>1500</v>
      </c>
      <c r="C252" s="20" t="s">
        <v>592</v>
      </c>
    </row>
    <row r="253" spans="1:26" s="20" customFormat="1" outlineLevel="1" x14ac:dyDescent="0.35">
      <c r="A253" s="273" t="s">
        <v>784</v>
      </c>
      <c r="B253" s="20">
        <v>8760</v>
      </c>
      <c r="C253" s="20" t="s">
        <v>785</v>
      </c>
    </row>
    <row r="254" spans="1:26" s="20" customFormat="1" outlineLevel="1" x14ac:dyDescent="0.35">
      <c r="A254" s="273"/>
    </row>
    <row r="255" spans="1:26" s="20" customFormat="1" outlineLevel="1" x14ac:dyDescent="0.35">
      <c r="A255" s="275" t="s">
        <v>786</v>
      </c>
      <c r="B255" s="275">
        <f>(B251*B252)/(B253*B250)</f>
        <v>17123.287671232876</v>
      </c>
      <c r="C255" s="275" t="s">
        <v>749</v>
      </c>
    </row>
    <row r="256" spans="1:26" s="20" customFormat="1" outlineLevel="1" x14ac:dyDescent="0.35">
      <c r="A256" s="19"/>
    </row>
    <row r="257" spans="1:31" s="20" customFormat="1" outlineLevel="1" x14ac:dyDescent="0.35">
      <c r="A257" s="19" t="s">
        <v>793</v>
      </c>
    </row>
    <row r="258" spans="1:31" s="20" customFormat="1" outlineLevel="1" x14ac:dyDescent="0.35">
      <c r="A258" s="273" t="s">
        <v>789</v>
      </c>
      <c r="B258" s="20">
        <f>SUM('Results - raw data ReCiPe (H)'!AC136:AC137)+'Results - raw data ReCiPe (H)'!AC140+SUM('Results - raw data ReCiPe (H)'!AC138:AC139)*AC267</f>
        <v>8.2721334200090866E-6</v>
      </c>
      <c r="C258" s="20" t="s">
        <v>878</v>
      </c>
    </row>
    <row r="259" spans="1:31" s="20" customFormat="1" outlineLevel="1" x14ac:dyDescent="0.35">
      <c r="A259" s="20" t="s">
        <v>792</v>
      </c>
      <c r="B259" s="20">
        <f>B251*AC265</f>
        <v>50000</v>
      </c>
      <c r="C259" s="274" t="s">
        <v>795</v>
      </c>
    </row>
    <row r="260" spans="1:31" s="20" customFormat="1" outlineLevel="1" x14ac:dyDescent="0.35">
      <c r="A260" s="20" t="s">
        <v>791</v>
      </c>
      <c r="B260" s="20">
        <f>(B258*AC267*B255)/(B259*AC266)*(AC266/AC268)</f>
        <v>8.4987672123381026E-7</v>
      </c>
      <c r="C260" s="20" t="s">
        <v>879</v>
      </c>
      <c r="E260" s="274" t="s">
        <v>796</v>
      </c>
    </row>
    <row r="261" spans="1:31" s="20" customFormat="1" outlineLevel="1" x14ac:dyDescent="0.35">
      <c r="A261" s="19"/>
    </row>
    <row r="262" spans="1:31" s="16" customFormat="1" outlineLevel="1" x14ac:dyDescent="0.35">
      <c r="A262" s="21"/>
      <c r="AB262" s="15" t="s">
        <v>143</v>
      </c>
      <c r="AC262" s="16">
        <f>0.0000000028+0.0000000000000765</f>
        <v>2.8000764999999998E-9</v>
      </c>
      <c r="AD262" s="16" t="s">
        <v>916</v>
      </c>
      <c r="AE262" s="15" t="s">
        <v>714</v>
      </c>
    </row>
    <row r="263" spans="1:31" s="16" customFormat="1" outlineLevel="1" x14ac:dyDescent="0.35">
      <c r="A263" s="22" t="s">
        <v>871</v>
      </c>
      <c r="AC263" s="16">
        <f>AC262*1000</f>
        <v>2.8000765E-6</v>
      </c>
      <c r="AD263" s="16" t="s">
        <v>918</v>
      </c>
    </row>
    <row r="264" spans="1:31" s="16" customFormat="1" outlineLevel="1" x14ac:dyDescent="0.35">
      <c r="A264" s="22"/>
      <c r="AB264" s="16" t="s">
        <v>127</v>
      </c>
      <c r="AC264" s="276">
        <f>100*AC265</f>
        <v>50</v>
      </c>
      <c r="AD264" s="16" t="s">
        <v>128</v>
      </c>
    </row>
    <row r="265" spans="1:31" s="16" customFormat="1" outlineLevel="1" x14ac:dyDescent="0.35">
      <c r="A265" s="230"/>
      <c r="AB265" s="16" t="s">
        <v>776</v>
      </c>
      <c r="AC265" s="276">
        <v>0.5</v>
      </c>
    </row>
    <row r="266" spans="1:31" s="16" customFormat="1" outlineLevel="1" x14ac:dyDescent="0.35">
      <c r="A266" s="230"/>
      <c r="AB266" s="16" t="s">
        <v>129</v>
      </c>
      <c r="AC266" s="276">
        <v>25</v>
      </c>
      <c r="AD266" s="16" t="s">
        <v>130</v>
      </c>
    </row>
    <row r="267" spans="1:31" s="16" customFormat="1" outlineLevel="1" x14ac:dyDescent="0.35">
      <c r="A267" s="230"/>
      <c r="AB267" s="16" t="s">
        <v>777</v>
      </c>
      <c r="AC267" s="276">
        <v>6</v>
      </c>
      <c r="AD267" s="16" t="s">
        <v>779</v>
      </c>
    </row>
    <row r="268" spans="1:31" s="16" customFormat="1" outlineLevel="1" x14ac:dyDescent="0.35">
      <c r="A268" s="22"/>
      <c r="AB268" s="16" t="s">
        <v>778</v>
      </c>
      <c r="AC268" s="276">
        <v>20</v>
      </c>
      <c r="AD268" s="16" t="s">
        <v>130</v>
      </c>
    </row>
    <row r="269" spans="1:31" s="16" customFormat="1" outlineLevel="1" x14ac:dyDescent="0.35">
      <c r="A269" s="22"/>
      <c r="AB269" s="16" t="s">
        <v>780</v>
      </c>
      <c r="AC269" s="276">
        <f>B255</f>
        <v>17123.287671232876</v>
      </c>
      <c r="AD269" s="16" t="s">
        <v>749</v>
      </c>
    </row>
    <row r="270" spans="1:31" s="16" customFormat="1" outlineLevel="1" x14ac:dyDescent="0.35">
      <c r="A270" s="22"/>
      <c r="AB270" s="16" t="s">
        <v>820</v>
      </c>
      <c r="AC270" s="16">
        <v>0.5</v>
      </c>
    </row>
    <row r="271" spans="1:31" s="16" customFormat="1" outlineLevel="1" x14ac:dyDescent="0.35">
      <c r="A271" s="22"/>
      <c r="AB271" s="16" t="s">
        <v>798</v>
      </c>
      <c r="AC271" s="16">
        <v>0.25</v>
      </c>
    </row>
    <row r="272" spans="1:31" s="16" customFormat="1" outlineLevel="1" x14ac:dyDescent="0.35">
      <c r="A272" s="22"/>
      <c r="AB272" s="16" t="s">
        <v>799</v>
      </c>
      <c r="AC272" s="16">
        <v>0.9</v>
      </c>
    </row>
    <row r="273" spans="1:53" outlineLevel="1" x14ac:dyDescent="0.35">
      <c r="B273" s="25">
        <v>2030</v>
      </c>
      <c r="C273" s="25">
        <v>2031</v>
      </c>
      <c r="D273" s="25">
        <v>2032</v>
      </c>
      <c r="E273" s="25">
        <v>2033</v>
      </c>
      <c r="F273" s="25">
        <v>2034</v>
      </c>
      <c r="G273" s="25">
        <v>2035</v>
      </c>
      <c r="H273" s="25">
        <v>2036</v>
      </c>
      <c r="I273" s="25">
        <v>2037</v>
      </c>
      <c r="J273" s="25">
        <v>2038</v>
      </c>
      <c r="K273" s="25">
        <v>2039</v>
      </c>
      <c r="L273" s="25">
        <v>2040</v>
      </c>
      <c r="M273" s="25">
        <v>2041</v>
      </c>
      <c r="N273" s="25">
        <v>2042</v>
      </c>
      <c r="O273" s="25">
        <v>2043</v>
      </c>
      <c r="P273" s="25">
        <v>2044</v>
      </c>
      <c r="Q273" s="25">
        <v>2045</v>
      </c>
      <c r="R273" s="25">
        <v>2046</v>
      </c>
      <c r="S273" s="25">
        <v>2047</v>
      </c>
      <c r="T273" s="25">
        <v>2048</v>
      </c>
      <c r="U273" s="25">
        <v>2049</v>
      </c>
      <c r="V273" s="25">
        <v>2050</v>
      </c>
      <c r="W273" s="25">
        <v>2051</v>
      </c>
      <c r="X273" s="25">
        <v>2052</v>
      </c>
      <c r="Y273" s="25">
        <v>2053</v>
      </c>
      <c r="Z273" s="25">
        <v>2054</v>
      </c>
      <c r="AC273" s="25">
        <v>2030</v>
      </c>
      <c r="AD273" s="25">
        <v>2031</v>
      </c>
      <c r="AE273" s="25">
        <v>2032</v>
      </c>
      <c r="AF273" s="25">
        <v>2033</v>
      </c>
      <c r="AG273" s="25">
        <v>2034</v>
      </c>
      <c r="AH273" s="25">
        <v>2035</v>
      </c>
      <c r="AI273" s="25">
        <v>2036</v>
      </c>
      <c r="AJ273" s="25">
        <v>2037</v>
      </c>
      <c r="AK273" s="25">
        <v>2038</v>
      </c>
      <c r="AL273" s="25">
        <v>2039</v>
      </c>
      <c r="AM273" s="25">
        <v>2040</v>
      </c>
      <c r="AN273" s="25">
        <v>2041</v>
      </c>
      <c r="AO273" s="25">
        <v>2042</v>
      </c>
      <c r="AP273" s="25">
        <v>2043</v>
      </c>
      <c r="AQ273" s="25">
        <v>2044</v>
      </c>
      <c r="AR273" s="25">
        <v>2045</v>
      </c>
      <c r="AS273" s="25">
        <v>2046</v>
      </c>
      <c r="AT273" s="25">
        <v>2047</v>
      </c>
      <c r="AU273" s="25">
        <v>2048</v>
      </c>
      <c r="AV273" s="25">
        <v>2049</v>
      </c>
      <c r="AW273" s="25">
        <v>2050</v>
      </c>
      <c r="AX273" s="25">
        <v>2051</v>
      </c>
      <c r="AY273" s="25">
        <v>2052</v>
      </c>
      <c r="AZ273" s="25">
        <v>2053</v>
      </c>
      <c r="BA273" s="25">
        <v>2054</v>
      </c>
    </row>
    <row r="274" spans="1:53" outlineLevel="1" x14ac:dyDescent="0.35">
      <c r="A274" s="6" t="s">
        <v>21</v>
      </c>
      <c r="B274" s="6">
        <f t="shared" ref="B274:B285" si="30">B10</f>
        <v>3.4065629385513331E-6</v>
      </c>
      <c r="AB274" s="6" t="s">
        <v>117</v>
      </c>
      <c r="AC274" s="6">
        <f>SUM(B274:B285)+B287</f>
        <v>1.7996708147025861E-4</v>
      </c>
    </row>
    <row r="275" spans="1:53" outlineLevel="1" x14ac:dyDescent="0.35">
      <c r="A275" s="6" t="s">
        <v>23</v>
      </c>
      <c r="B275" s="6">
        <f t="shared" si="30"/>
        <v>5.9775544476410673E-6</v>
      </c>
      <c r="AB275" s="6" t="s">
        <v>118</v>
      </c>
      <c r="AC275" s="6">
        <f>B286</f>
        <v>5.6810366865446284E-6</v>
      </c>
    </row>
    <row r="276" spans="1:53" outlineLevel="1" x14ac:dyDescent="0.35">
      <c r="A276" s="6" t="s">
        <v>26</v>
      </c>
      <c r="B276" s="6">
        <f t="shared" si="30"/>
        <v>1.5280120239729288E-5</v>
      </c>
      <c r="AB276" s="6" t="s">
        <v>119</v>
      </c>
      <c r="BA276" s="6">
        <f>SUM(Z288:Z299)</f>
        <v>2.8327516247168551E-6</v>
      </c>
    </row>
    <row r="277" spans="1:53" outlineLevel="1" x14ac:dyDescent="0.35">
      <c r="A277" s="6" t="s">
        <v>28</v>
      </c>
      <c r="B277" s="6">
        <f t="shared" si="30"/>
        <v>1.237356434915746E-5</v>
      </c>
      <c r="AB277" s="6" t="s">
        <v>120</v>
      </c>
      <c r="BA277" s="6">
        <f>Z300</f>
        <v>4.6307778141739816E-8</v>
      </c>
    </row>
    <row r="278" spans="1:53" outlineLevel="1" x14ac:dyDescent="0.35">
      <c r="A278" s="6" t="s">
        <v>29</v>
      </c>
      <c r="B278" s="6">
        <f t="shared" si="30"/>
        <v>9.6467851095061977E-6</v>
      </c>
      <c r="AB278" s="6" t="s">
        <v>121</v>
      </c>
      <c r="AC278" s="6">
        <f>B301</f>
        <v>4.5446143489064019E-6</v>
      </c>
      <c r="AF278" s="6">
        <f>E301</f>
        <v>4.4990771841472508E-6</v>
      </c>
      <c r="AI278" s="6">
        <f>H301</f>
        <v>4.4904228129143327E-6</v>
      </c>
      <c r="AL278" s="6">
        <f>K301</f>
        <v>4.4944994140002021E-6</v>
      </c>
      <c r="AO278" s="6">
        <f>N301</f>
        <v>4.5214378334785092E-6</v>
      </c>
      <c r="AR278" s="6">
        <f>Q301</f>
        <v>4.5497134383595956E-6</v>
      </c>
      <c r="AU278" s="6">
        <f>T301</f>
        <v>4.4955793454683717E-6</v>
      </c>
      <c r="AX278" s="6">
        <f>W301</f>
        <v>4.4518098931988601E-6</v>
      </c>
      <c r="BA278" s="6">
        <f>Z301</f>
        <v>4.3615476020125354E-6</v>
      </c>
    </row>
    <row r="279" spans="1:53" outlineLevel="1" x14ac:dyDescent="0.35">
      <c r="A279" s="6" t="s">
        <v>31</v>
      </c>
      <c r="B279" s="6">
        <f t="shared" si="30"/>
        <v>7.490794425870649E-6</v>
      </c>
      <c r="AB279" s="6" t="s">
        <v>797</v>
      </c>
      <c r="AC279" s="6">
        <f>B305</f>
        <v>4.2493836061690516E-5</v>
      </c>
      <c r="AD279" s="6">
        <f t="shared" ref="AD279:BA279" si="31">C305</f>
        <v>4.2493836061690516E-5</v>
      </c>
      <c r="AE279" s="6">
        <f t="shared" si="31"/>
        <v>4.2493836061690516E-5</v>
      </c>
      <c r="AF279" s="6">
        <f t="shared" si="31"/>
        <v>4.2493836061690516E-5</v>
      </c>
      <c r="AG279" s="6">
        <f t="shared" si="31"/>
        <v>4.2493836061690516E-5</v>
      </c>
      <c r="AH279" s="6">
        <f t="shared" si="31"/>
        <v>4.2493836061690516E-5</v>
      </c>
      <c r="AI279" s="6">
        <f t="shared" si="31"/>
        <v>4.2493836061690516E-5</v>
      </c>
      <c r="AJ279" s="6">
        <f t="shared" si="31"/>
        <v>4.2493836061690516E-5</v>
      </c>
      <c r="AK279" s="6">
        <f t="shared" si="31"/>
        <v>4.2493836061690516E-5</v>
      </c>
      <c r="AL279" s="6">
        <f t="shared" si="31"/>
        <v>4.2493836061690516E-5</v>
      </c>
      <c r="AM279" s="6">
        <f t="shared" si="31"/>
        <v>4.2493836061690516E-5</v>
      </c>
      <c r="AN279" s="6">
        <f t="shared" si="31"/>
        <v>4.2493836061690516E-5</v>
      </c>
      <c r="AO279" s="6">
        <f t="shared" si="31"/>
        <v>4.2493836061690516E-5</v>
      </c>
      <c r="AP279" s="6">
        <f t="shared" si="31"/>
        <v>4.2493836061690516E-5</v>
      </c>
      <c r="AQ279" s="6">
        <f t="shared" si="31"/>
        <v>4.2493836061690516E-5</v>
      </c>
      <c r="AR279" s="6">
        <f t="shared" si="31"/>
        <v>4.2493836061690516E-5</v>
      </c>
      <c r="AS279" s="6">
        <f t="shared" si="31"/>
        <v>4.2493836061690516E-5</v>
      </c>
      <c r="AT279" s="6">
        <f t="shared" si="31"/>
        <v>4.2493836061690516E-5</v>
      </c>
      <c r="AU279" s="6">
        <f t="shared" si="31"/>
        <v>4.2493836061690516E-5</v>
      </c>
      <c r="AV279" s="6">
        <f t="shared" si="31"/>
        <v>4.2493836061690516E-5</v>
      </c>
      <c r="AW279" s="6">
        <f t="shared" si="31"/>
        <v>4.2493836061690516E-5</v>
      </c>
      <c r="AX279" s="6">
        <f t="shared" si="31"/>
        <v>4.2493836061690516E-5</v>
      </c>
      <c r="AY279" s="6">
        <f t="shared" si="31"/>
        <v>4.2493836061690516E-5</v>
      </c>
      <c r="AZ279" s="6">
        <f t="shared" si="31"/>
        <v>4.2493836061690516E-5</v>
      </c>
      <c r="BA279" s="6">
        <f t="shared" si="31"/>
        <v>4.2493836061690516E-5</v>
      </c>
    </row>
    <row r="280" spans="1:53" outlineLevel="1" x14ac:dyDescent="0.35">
      <c r="A280" s="6" t="s">
        <v>34</v>
      </c>
      <c r="B280" s="6">
        <f t="shared" si="30"/>
        <v>5.3054904136133011E-6</v>
      </c>
      <c r="AB280" s="6" t="s">
        <v>122</v>
      </c>
      <c r="AC280" s="6">
        <f t="shared" ref="AC280:BA280" si="32">B304+B303</f>
        <v>3.184798946166635E-5</v>
      </c>
      <c r="AD280" s="6">
        <f t="shared" si="32"/>
        <v>3.1806032877991928E-5</v>
      </c>
      <c r="AE280" s="6">
        <f t="shared" si="32"/>
        <v>3.1765312078523924E-5</v>
      </c>
      <c r="AF280" s="6">
        <f t="shared" si="32"/>
        <v>3.1606481672953891E-5</v>
      </c>
      <c r="AG280" s="6">
        <f t="shared" si="32"/>
        <v>3.1568126153756075E-5</v>
      </c>
      <c r="AH280" s="6">
        <f t="shared" si="32"/>
        <v>3.1530486474513787E-5</v>
      </c>
      <c r="AI280" s="6">
        <f t="shared" si="32"/>
        <v>3.1511761031868211E-5</v>
      </c>
      <c r="AJ280" s="6">
        <f t="shared" si="32"/>
        <v>3.1496425567667984E-5</v>
      </c>
      <c r="AK280" s="6">
        <f t="shared" si="32"/>
        <v>3.1420825663209868E-5</v>
      </c>
      <c r="AL280" s="6">
        <f t="shared" si="32"/>
        <v>3.1411240204703013E-5</v>
      </c>
      <c r="AM280" s="6">
        <f t="shared" si="32"/>
        <v>3.1403903493023348E-5</v>
      </c>
      <c r="AN280" s="6">
        <f t="shared" si="32"/>
        <v>3.1425309713637459E-5</v>
      </c>
      <c r="AO280" s="6">
        <f t="shared" si="32"/>
        <v>3.1448944412737935E-5</v>
      </c>
      <c r="AP280" s="6">
        <f t="shared" si="32"/>
        <v>3.145791964250943E-5</v>
      </c>
      <c r="AQ280" s="6">
        <f t="shared" si="32"/>
        <v>3.1486039859722046E-5</v>
      </c>
      <c r="AR280" s="6">
        <f t="shared" si="32"/>
        <v>3.1517756957661743E-5</v>
      </c>
      <c r="AS280" s="6">
        <f t="shared" si="32"/>
        <v>3.1463245411885644E-5</v>
      </c>
      <c r="AT280" s="6">
        <f t="shared" si="32"/>
        <v>3.1407925977443708E-5</v>
      </c>
      <c r="AU280" s="6">
        <f t="shared" si="32"/>
        <v>3.1334348442988149E-5</v>
      </c>
      <c r="AV280" s="6">
        <f t="shared" si="32"/>
        <v>3.1277501431985654E-5</v>
      </c>
      <c r="AW280" s="6">
        <f t="shared" si="32"/>
        <v>3.1219928460264509E-5</v>
      </c>
      <c r="AX280" s="6">
        <f t="shared" si="32"/>
        <v>3.128880014268202E-5</v>
      </c>
      <c r="AY280" s="6">
        <f t="shared" si="32"/>
        <v>3.1187723593284688E-5</v>
      </c>
      <c r="AZ280" s="6">
        <f t="shared" si="32"/>
        <v>3.1085884766006009E-5</v>
      </c>
      <c r="BA280" s="6">
        <f t="shared" si="32"/>
        <v>3.0983268037809624E-5</v>
      </c>
    </row>
    <row r="281" spans="1:53" outlineLevel="1" x14ac:dyDescent="0.35">
      <c r="A281" s="6" t="s">
        <v>36</v>
      </c>
      <c r="B281" s="6">
        <f t="shared" si="30"/>
        <v>4.5452790891056938E-6</v>
      </c>
      <c r="AB281" s="6" t="s">
        <v>123</v>
      </c>
      <c r="AC281" s="6">
        <f t="shared" ref="AC281:BA281" si="33">B302</f>
        <v>6.9125613403088854E-6</v>
      </c>
      <c r="AD281" s="6">
        <f t="shared" si="33"/>
        <v>6.8799514589637059E-6</v>
      </c>
      <c r="AE281" s="6">
        <f t="shared" si="33"/>
        <v>6.8473478086552709E-6</v>
      </c>
      <c r="AF281" s="6">
        <f t="shared" si="33"/>
        <v>6.808827596784774E-6</v>
      </c>
      <c r="AG281" s="6">
        <f t="shared" si="33"/>
        <v>6.7761656035571803E-6</v>
      </c>
      <c r="AH281" s="6">
        <f t="shared" si="33"/>
        <v>6.7434868753126753E-6</v>
      </c>
      <c r="AI281" s="6">
        <f t="shared" si="33"/>
        <v>7.1568323686655904E-6</v>
      </c>
      <c r="AJ281" s="6">
        <f t="shared" si="33"/>
        <v>7.5684121582221205E-6</v>
      </c>
      <c r="AK281" s="6">
        <f t="shared" si="33"/>
        <v>7.9747723845834702E-6</v>
      </c>
      <c r="AL281" s="6">
        <f t="shared" si="33"/>
        <v>8.3833102988143491E-6</v>
      </c>
      <c r="AM281" s="6">
        <f t="shared" si="33"/>
        <v>8.7898795821569062E-6</v>
      </c>
      <c r="AN281" s="6">
        <f t="shared" si="33"/>
        <v>9.5655395543395995E-6</v>
      </c>
      <c r="AO281" s="6">
        <f t="shared" si="33"/>
        <v>1.034146326178456E-5</v>
      </c>
      <c r="AP281" s="6">
        <f t="shared" si="33"/>
        <v>1.111695415721059E-5</v>
      </c>
      <c r="AQ281" s="6">
        <f t="shared" si="33"/>
        <v>1.1893756497483955E-5</v>
      </c>
      <c r="AR281" s="6">
        <f t="shared" si="33"/>
        <v>1.2671183121723571E-5</v>
      </c>
      <c r="AS281" s="6">
        <f t="shared" si="33"/>
        <v>1.2743875216320746E-5</v>
      </c>
      <c r="AT281" s="6">
        <f t="shared" si="33"/>
        <v>1.2817327444836695E-5</v>
      </c>
      <c r="AU281" s="6">
        <f t="shared" si="33"/>
        <v>1.2890645774769871E-5</v>
      </c>
      <c r="AV281" s="6">
        <f t="shared" si="33"/>
        <v>1.2965339430894809E-5</v>
      </c>
      <c r="AW281" s="6">
        <f t="shared" si="33"/>
        <v>1.3040521968538935E-5</v>
      </c>
      <c r="AX281" s="6">
        <f t="shared" si="33"/>
        <v>1.2861924807263455E-5</v>
      </c>
      <c r="AY281" s="6">
        <f t="shared" si="33"/>
        <v>1.2497972885738744E-5</v>
      </c>
      <c r="AZ281" s="6">
        <f t="shared" si="33"/>
        <v>1.2134183583397369E-5</v>
      </c>
      <c r="BA281" s="6">
        <f t="shared" si="33"/>
        <v>1.1770550097793056E-5</v>
      </c>
    </row>
    <row r="282" spans="1:53" outlineLevel="1" x14ac:dyDescent="0.35">
      <c r="A282" s="6" t="s">
        <v>38</v>
      </c>
      <c r="B282" s="6">
        <f t="shared" si="30"/>
        <v>2.519681743962088E-5</v>
      </c>
      <c r="AB282" s="6" t="s">
        <v>124</v>
      </c>
      <c r="AC282" s="6">
        <f>-$AC$264*$AC$263</f>
        <v>-1.4000382499999999E-4</v>
      </c>
      <c r="AD282" s="6">
        <f t="shared" ref="AD282:BA282" si="34">-$AC$264*$AC$263</f>
        <v>-1.4000382499999999E-4</v>
      </c>
      <c r="AE282" s="6">
        <f t="shared" si="34"/>
        <v>-1.4000382499999999E-4</v>
      </c>
      <c r="AF282" s="6">
        <f t="shared" si="34"/>
        <v>-1.4000382499999999E-4</v>
      </c>
      <c r="AG282" s="6">
        <f t="shared" si="34"/>
        <v>-1.4000382499999999E-4</v>
      </c>
      <c r="AH282" s="6">
        <f t="shared" si="34"/>
        <v>-1.4000382499999999E-4</v>
      </c>
      <c r="AI282" s="6">
        <f t="shared" si="34"/>
        <v>-1.4000382499999999E-4</v>
      </c>
      <c r="AJ282" s="6">
        <f t="shared" si="34"/>
        <v>-1.4000382499999999E-4</v>
      </c>
      <c r="AK282" s="6">
        <f t="shared" si="34"/>
        <v>-1.4000382499999999E-4</v>
      </c>
      <c r="AL282" s="6">
        <f t="shared" si="34"/>
        <v>-1.4000382499999999E-4</v>
      </c>
      <c r="AM282" s="6">
        <f t="shared" si="34"/>
        <v>-1.4000382499999999E-4</v>
      </c>
      <c r="AN282" s="6">
        <f t="shared" si="34"/>
        <v>-1.4000382499999999E-4</v>
      </c>
      <c r="AO282" s="6">
        <f t="shared" si="34"/>
        <v>-1.4000382499999999E-4</v>
      </c>
      <c r="AP282" s="6">
        <f t="shared" si="34"/>
        <v>-1.4000382499999999E-4</v>
      </c>
      <c r="AQ282" s="6">
        <f t="shared" si="34"/>
        <v>-1.4000382499999999E-4</v>
      </c>
      <c r="AR282" s="6">
        <f t="shared" si="34"/>
        <v>-1.4000382499999999E-4</v>
      </c>
      <c r="AS282" s="6">
        <f t="shared" si="34"/>
        <v>-1.4000382499999999E-4</v>
      </c>
      <c r="AT282" s="6">
        <f t="shared" si="34"/>
        <v>-1.4000382499999999E-4</v>
      </c>
      <c r="AU282" s="6">
        <f t="shared" si="34"/>
        <v>-1.4000382499999999E-4</v>
      </c>
      <c r="AV282" s="6">
        <f t="shared" si="34"/>
        <v>-1.4000382499999999E-4</v>
      </c>
      <c r="AW282" s="6">
        <f t="shared" si="34"/>
        <v>-1.4000382499999999E-4</v>
      </c>
      <c r="AX282" s="6">
        <f t="shared" si="34"/>
        <v>-1.4000382499999999E-4</v>
      </c>
      <c r="AY282" s="6">
        <f t="shared" si="34"/>
        <v>-1.4000382499999999E-4</v>
      </c>
      <c r="AZ282" s="6">
        <f t="shared" si="34"/>
        <v>-1.4000382499999999E-4</v>
      </c>
      <c r="BA282" s="6">
        <f t="shared" si="34"/>
        <v>-1.4000382499999999E-4</v>
      </c>
    </row>
    <row r="283" spans="1:53" outlineLevel="1" x14ac:dyDescent="0.35">
      <c r="A283" s="6" t="s">
        <v>39</v>
      </c>
      <c r="B283" s="6">
        <f t="shared" si="30"/>
        <v>7.3235179910091571E-5</v>
      </c>
      <c r="AB283" s="23" t="s">
        <v>125</v>
      </c>
      <c r="AC283" s="17">
        <f t="shared" ref="AC283:BA283" si="35">SUM(AC274:AC282)</f>
        <v>1.3144329436937541E-4</v>
      </c>
      <c r="AD283" s="17">
        <f t="shared" si="35"/>
        <v>-5.8824004601353848E-5</v>
      </c>
      <c r="AE283" s="17">
        <f t="shared" si="35"/>
        <v>-5.8897329051130272E-5</v>
      </c>
      <c r="AF283" s="17">
        <f t="shared" si="35"/>
        <v>-5.4595602484423572E-5</v>
      </c>
      <c r="AG283" s="17">
        <f t="shared" si="35"/>
        <v>-5.9165697180996223E-5</v>
      </c>
      <c r="AH283" s="17">
        <f t="shared" si="35"/>
        <v>-5.9236015588483019E-5</v>
      </c>
      <c r="AI283" s="17">
        <f t="shared" si="35"/>
        <v>-5.4350972724861332E-5</v>
      </c>
      <c r="AJ283" s="17">
        <f t="shared" si="35"/>
        <v>-5.8445151212419377E-5</v>
      </c>
      <c r="AK283" s="17">
        <f t="shared" si="35"/>
        <v>-5.8114390890516129E-5</v>
      </c>
      <c r="AL283" s="17">
        <f t="shared" si="35"/>
        <v>-5.3220939020791919E-5</v>
      </c>
      <c r="AM283" s="17">
        <f t="shared" si="35"/>
        <v>-5.7316205863129215E-5</v>
      </c>
      <c r="AN283" s="17">
        <f t="shared" si="35"/>
        <v>-5.6519139670332421E-5</v>
      </c>
      <c r="AO283" s="17">
        <f t="shared" si="35"/>
        <v>-5.1198143430308476E-5</v>
      </c>
      <c r="AP283" s="17">
        <f t="shared" si="35"/>
        <v>-5.4935115138589447E-5</v>
      </c>
      <c r="AQ283" s="17">
        <f t="shared" si="35"/>
        <v>-5.4130192581103488E-5</v>
      </c>
      <c r="AR283" s="17">
        <f t="shared" si="35"/>
        <v>-4.8771335420564571E-5</v>
      </c>
      <c r="AS283" s="17">
        <f t="shared" si="35"/>
        <v>-5.3302868310103085E-5</v>
      </c>
      <c r="AT283" s="17">
        <f t="shared" si="35"/>
        <v>-5.3284735516029077E-5</v>
      </c>
      <c r="AU283" s="17">
        <f t="shared" si="35"/>
        <v>-4.8789415375083081E-5</v>
      </c>
      <c r="AV283" s="17">
        <f t="shared" si="35"/>
        <v>-5.3267148075429024E-5</v>
      </c>
      <c r="AW283" s="17">
        <f t="shared" si="35"/>
        <v>-5.3249538509506035E-5</v>
      </c>
      <c r="AX283" s="17">
        <f t="shared" si="35"/>
        <v>-4.8907454095165141E-5</v>
      </c>
      <c r="AY283" s="17">
        <f t="shared" si="35"/>
        <v>-5.3824292459286055E-5</v>
      </c>
      <c r="AZ283" s="17">
        <f t="shared" si="35"/>
        <v>-5.4289920588906099E-5</v>
      </c>
      <c r="BA283" s="17">
        <f t="shared" si="35"/>
        <v>-4.7515563797835656E-5</v>
      </c>
    </row>
    <row r="284" spans="1:53" outlineLevel="1" x14ac:dyDescent="0.35">
      <c r="A284" s="6" t="s">
        <v>41</v>
      </c>
      <c r="B284" s="6">
        <f t="shared" si="30"/>
        <v>7.5090323051228674E-7</v>
      </c>
    </row>
    <row r="285" spans="1:53" outlineLevel="1" x14ac:dyDescent="0.35">
      <c r="A285" s="6" t="s">
        <v>43</v>
      </c>
      <c r="B285" s="6">
        <f t="shared" si="30"/>
        <v>2.0497787420389352E-6</v>
      </c>
      <c r="AB285" s="272"/>
      <c r="AC285" s="272"/>
      <c r="AD285" s="272"/>
      <c r="AE285" s="272"/>
      <c r="AF285" s="272"/>
      <c r="AG285" s="272"/>
      <c r="AH285" s="272"/>
      <c r="AI285" s="272"/>
      <c r="AJ285" s="272"/>
      <c r="AK285" s="272"/>
      <c r="AL285" s="272"/>
      <c r="AM285" s="272"/>
      <c r="AN285" s="272"/>
      <c r="AO285" s="272"/>
      <c r="AP285" s="272"/>
      <c r="AQ285" s="272"/>
      <c r="AR285" s="272"/>
      <c r="AS285" s="272"/>
      <c r="AT285" s="272"/>
      <c r="AU285" s="272"/>
      <c r="AV285" s="272"/>
      <c r="AW285" s="272"/>
      <c r="AX285" s="272"/>
      <c r="AY285" s="272"/>
      <c r="AZ285" s="272"/>
      <c r="BA285" s="272"/>
    </row>
    <row r="286" spans="1:53" outlineLevel="1" x14ac:dyDescent="0.35">
      <c r="A286" s="6" t="s">
        <v>44</v>
      </c>
      <c r="B286" s="6">
        <f>B22*AC265</f>
        <v>5.6810366865446284E-6</v>
      </c>
      <c r="AB286" s="272"/>
      <c r="AC286" s="272"/>
      <c r="AD286" s="272"/>
      <c r="AE286" s="272"/>
      <c r="AF286" s="272"/>
      <c r="AG286" s="272"/>
      <c r="AH286" s="272"/>
      <c r="AI286" s="272"/>
      <c r="AJ286" s="272"/>
      <c r="AK286" s="272"/>
      <c r="AL286" s="272"/>
      <c r="AM286" s="272"/>
      <c r="AN286" s="272"/>
      <c r="AO286" s="272"/>
      <c r="AP286" s="272"/>
      <c r="AQ286" s="272"/>
      <c r="AR286" s="272"/>
      <c r="AS286" s="272"/>
      <c r="AT286" s="272"/>
      <c r="AU286" s="272"/>
      <c r="AV286" s="272"/>
      <c r="AW286" s="272"/>
      <c r="AX286" s="272"/>
      <c r="AY286" s="272"/>
      <c r="AZ286" s="272"/>
      <c r="BA286" s="272"/>
    </row>
    <row r="287" spans="1:53" outlineLevel="1" x14ac:dyDescent="0.35">
      <c r="A287" s="6" t="s">
        <v>757</v>
      </c>
      <c r="B287" s="6">
        <f>B23*AC265</f>
        <v>1.4708251134819926E-5</v>
      </c>
      <c r="AB287" s="272"/>
      <c r="AC287" s="272"/>
      <c r="AD287" s="272"/>
      <c r="AE287" s="272"/>
      <c r="AF287" s="272"/>
      <c r="AG287" s="272"/>
      <c r="AH287" s="272"/>
      <c r="AI287" s="272"/>
      <c r="AJ287" s="272"/>
      <c r="AK287" s="272"/>
      <c r="AL287" s="272"/>
      <c r="AM287" s="272"/>
      <c r="AN287" s="272"/>
      <c r="AO287" s="272"/>
      <c r="AP287" s="272"/>
      <c r="AQ287" s="272"/>
      <c r="AR287" s="272"/>
      <c r="AS287" s="272"/>
      <c r="AT287" s="272"/>
      <c r="AU287" s="272"/>
      <c r="AV287" s="272"/>
      <c r="AW287" s="272"/>
      <c r="AX287" s="272"/>
      <c r="AY287" s="272"/>
      <c r="AZ287" s="272"/>
      <c r="BA287" s="272"/>
    </row>
    <row r="288" spans="1:53" outlineLevel="1" x14ac:dyDescent="0.35">
      <c r="A288" s="6" t="s">
        <v>22</v>
      </c>
      <c r="Z288" s="6">
        <f t="shared" ref="Z288:Z299" si="36">Z24</f>
        <v>6.2658793463083337E-8</v>
      </c>
      <c r="AB288" s="272"/>
      <c r="AC288" s="272"/>
      <c r="AD288" s="272"/>
      <c r="AE288" s="272"/>
      <c r="AF288" s="272"/>
      <c r="AG288" s="272"/>
      <c r="AH288" s="272"/>
      <c r="AI288" s="272"/>
      <c r="AJ288" s="272"/>
      <c r="AK288" s="272"/>
      <c r="AL288" s="272"/>
      <c r="AM288" s="272"/>
      <c r="AN288" s="272"/>
      <c r="AO288" s="272"/>
      <c r="AP288" s="272"/>
      <c r="AQ288" s="272"/>
      <c r="AR288" s="272"/>
      <c r="AS288" s="272"/>
      <c r="AT288" s="272"/>
      <c r="AU288" s="272"/>
      <c r="AV288" s="272"/>
      <c r="AW288" s="272"/>
      <c r="AX288" s="272"/>
      <c r="AY288" s="272"/>
      <c r="AZ288" s="272"/>
      <c r="BA288" s="272"/>
    </row>
    <row r="289" spans="1:53" outlineLevel="1" x14ac:dyDescent="0.35">
      <c r="A289" s="6" t="s">
        <v>24</v>
      </c>
      <c r="Z289" s="6">
        <f t="shared" si="36"/>
        <v>3.0939913639353121E-8</v>
      </c>
      <c r="AB289" s="272"/>
      <c r="AC289" s="272"/>
      <c r="AD289" s="272"/>
      <c r="AE289" s="272"/>
      <c r="AF289" s="272"/>
      <c r="AG289" s="272"/>
      <c r="AH289" s="272"/>
      <c r="AI289" s="272"/>
      <c r="AJ289" s="272"/>
      <c r="AK289" s="272"/>
      <c r="AL289" s="272"/>
      <c r="AM289" s="272"/>
      <c r="AN289" s="272"/>
      <c r="AO289" s="272"/>
      <c r="AP289" s="272"/>
      <c r="AQ289" s="272"/>
      <c r="AR289" s="272"/>
      <c r="AS289" s="272"/>
      <c r="AT289" s="272"/>
      <c r="AU289" s="272"/>
      <c r="AV289" s="272"/>
      <c r="AW289" s="272"/>
      <c r="AX289" s="272"/>
      <c r="AY289" s="272"/>
      <c r="AZ289" s="272"/>
      <c r="BA289" s="272"/>
    </row>
    <row r="290" spans="1:53" outlineLevel="1" x14ac:dyDescent="0.35">
      <c r="A290" s="6" t="s">
        <v>25</v>
      </c>
      <c r="Z290" s="6">
        <f t="shared" si="36"/>
        <v>1.3113107499561001E-7</v>
      </c>
      <c r="AB290" s="272"/>
      <c r="AC290" s="272"/>
      <c r="AD290" s="272"/>
      <c r="AE290" s="272"/>
      <c r="AF290" s="272"/>
      <c r="AG290" s="272"/>
      <c r="AH290" s="272"/>
      <c r="AI290" s="272"/>
      <c r="AJ290" s="272"/>
      <c r="AK290" s="272"/>
      <c r="AL290" s="272"/>
      <c r="AM290" s="272"/>
      <c r="AN290" s="272"/>
      <c r="AO290" s="272"/>
      <c r="AP290" s="272"/>
      <c r="AQ290" s="272"/>
      <c r="AR290" s="272"/>
      <c r="AS290" s="272"/>
      <c r="AT290" s="272"/>
      <c r="AU290" s="272"/>
      <c r="AV290" s="272"/>
      <c r="AW290" s="272"/>
      <c r="AX290" s="272"/>
      <c r="AY290" s="272"/>
      <c r="AZ290" s="272"/>
      <c r="BA290" s="272"/>
    </row>
    <row r="291" spans="1:53" outlineLevel="1" x14ac:dyDescent="0.35">
      <c r="A291" s="6" t="s">
        <v>27</v>
      </c>
      <c r="Z291" s="6">
        <f t="shared" si="36"/>
        <v>4.6156121953184779E-8</v>
      </c>
      <c r="AB291" s="272"/>
      <c r="AC291" s="272"/>
      <c r="AD291" s="272"/>
      <c r="AE291" s="272"/>
      <c r="AF291" s="272"/>
      <c r="AG291" s="272"/>
      <c r="AH291" s="272"/>
      <c r="AI291" s="272"/>
      <c r="AJ291" s="272"/>
      <c r="AK291" s="272"/>
      <c r="AL291" s="272"/>
      <c r="AM291" s="272"/>
      <c r="AN291" s="272"/>
      <c r="AO291" s="272"/>
      <c r="AP291" s="272"/>
      <c r="AQ291" s="272"/>
      <c r="AR291" s="272"/>
      <c r="AS291" s="272"/>
      <c r="AT291" s="272"/>
      <c r="AU291" s="272"/>
      <c r="AV291" s="272"/>
      <c r="AW291" s="272"/>
      <c r="AX291" s="272"/>
      <c r="AY291" s="272"/>
      <c r="AZ291" s="272"/>
      <c r="BA291" s="272"/>
    </row>
    <row r="292" spans="1:53" outlineLevel="1" x14ac:dyDescent="0.35">
      <c r="A292" s="6" t="s">
        <v>30</v>
      </c>
      <c r="Z292" s="6">
        <f t="shared" si="36"/>
        <v>8.2652845953532874E-8</v>
      </c>
      <c r="AB292" s="272"/>
      <c r="AC292" s="272"/>
      <c r="AD292" s="272"/>
      <c r="AE292" s="272"/>
      <c r="AF292" s="272"/>
      <c r="AG292" s="272"/>
      <c r="AH292" s="272"/>
      <c r="AI292" s="272"/>
      <c r="AJ292" s="272"/>
      <c r="AK292" s="272"/>
      <c r="AL292" s="272"/>
      <c r="AM292" s="272"/>
      <c r="AN292" s="272"/>
      <c r="AO292" s="272"/>
      <c r="AP292" s="272"/>
      <c r="AQ292" s="272"/>
      <c r="AR292" s="272"/>
      <c r="AS292" s="272"/>
      <c r="AT292" s="272"/>
      <c r="AU292" s="272"/>
      <c r="AV292" s="272"/>
      <c r="AW292" s="272"/>
      <c r="AX292" s="272"/>
      <c r="AY292" s="272"/>
      <c r="AZ292" s="272"/>
      <c r="BA292" s="272"/>
    </row>
    <row r="293" spans="1:53" outlineLevel="1" x14ac:dyDescent="0.35">
      <c r="A293" s="6" t="s">
        <v>32</v>
      </c>
      <c r="Z293" s="6">
        <f t="shared" si="36"/>
        <v>7.097868543756944E-9</v>
      </c>
      <c r="AB293" s="272"/>
      <c r="AC293" s="272"/>
      <c r="AD293" s="272"/>
      <c r="AE293" s="272"/>
      <c r="AF293" s="272"/>
      <c r="AG293" s="272"/>
      <c r="AH293" s="272"/>
      <c r="AI293" s="272"/>
      <c r="AJ293" s="272"/>
      <c r="AK293" s="272"/>
      <c r="AL293" s="272"/>
      <c r="AM293" s="272"/>
      <c r="AN293" s="272"/>
      <c r="AO293" s="272"/>
      <c r="AP293" s="272"/>
      <c r="AQ293" s="272"/>
      <c r="AR293" s="272"/>
      <c r="AS293" s="272"/>
      <c r="AT293" s="272"/>
      <c r="AU293" s="272"/>
      <c r="AV293" s="272"/>
      <c r="AW293" s="272"/>
      <c r="AX293" s="272"/>
      <c r="AY293" s="272"/>
      <c r="AZ293" s="272"/>
      <c r="BA293" s="272"/>
    </row>
    <row r="294" spans="1:53" outlineLevel="1" x14ac:dyDescent="0.35">
      <c r="A294" s="6" t="s">
        <v>33</v>
      </c>
      <c r="Z294" s="6">
        <f t="shared" si="36"/>
        <v>2.110830182896093E-8</v>
      </c>
      <c r="AB294" s="272"/>
      <c r="AC294" s="272"/>
      <c r="AD294" s="272"/>
      <c r="AE294" s="272"/>
      <c r="AF294" s="272"/>
      <c r="AG294" s="272"/>
      <c r="AH294" s="272"/>
      <c r="AI294" s="272"/>
      <c r="AJ294" s="272"/>
      <c r="AK294" s="272"/>
      <c r="AL294" s="272"/>
      <c r="AM294" s="272"/>
      <c r="AN294" s="272"/>
      <c r="AO294" s="272"/>
      <c r="AP294" s="272"/>
      <c r="AQ294" s="272"/>
      <c r="AR294" s="272"/>
      <c r="AS294" s="272"/>
      <c r="AT294" s="272"/>
      <c r="AU294" s="272"/>
      <c r="AV294" s="272"/>
      <c r="AW294" s="272"/>
      <c r="AX294" s="272"/>
      <c r="AY294" s="272"/>
      <c r="AZ294" s="272"/>
      <c r="BA294" s="272"/>
    </row>
    <row r="295" spans="1:53" outlineLevel="1" x14ac:dyDescent="0.35">
      <c r="A295" s="6" t="s">
        <v>35</v>
      </c>
      <c r="Z295" s="6">
        <f t="shared" si="36"/>
        <v>4.2216603657921873E-8</v>
      </c>
      <c r="AB295" s="272"/>
      <c r="AC295" s="272"/>
      <c r="AD295" s="272"/>
      <c r="AE295" s="272"/>
      <c r="AF295" s="272"/>
      <c r="AG295" s="272"/>
      <c r="AH295" s="272"/>
      <c r="AI295" s="272"/>
      <c r="AJ295" s="272"/>
      <c r="AK295" s="272"/>
      <c r="AL295" s="272"/>
      <c r="AM295" s="272"/>
      <c r="AN295" s="272"/>
      <c r="AO295" s="272"/>
      <c r="AP295" s="272"/>
      <c r="AQ295" s="272"/>
      <c r="AR295" s="272"/>
      <c r="AS295" s="272"/>
      <c r="AT295" s="272"/>
      <c r="AU295" s="272"/>
      <c r="AV295" s="272"/>
      <c r="AW295" s="272"/>
      <c r="AX295" s="272"/>
      <c r="AY295" s="272"/>
      <c r="AZ295" s="272"/>
      <c r="BA295" s="272"/>
    </row>
    <row r="296" spans="1:53" outlineLevel="1" x14ac:dyDescent="0.35">
      <c r="A296" s="6" t="s">
        <v>37</v>
      </c>
      <c r="Z296" s="6">
        <f t="shared" si="36"/>
        <v>1.160130193626278E-7</v>
      </c>
      <c r="AB296" s="272"/>
      <c r="AC296" s="272"/>
      <c r="AD296" s="272"/>
      <c r="AE296" s="272"/>
      <c r="AF296" s="272"/>
      <c r="AG296" s="272"/>
      <c r="AH296" s="272"/>
      <c r="AI296" s="272"/>
      <c r="AJ296" s="272"/>
      <c r="AK296" s="272"/>
      <c r="AL296" s="272"/>
      <c r="AM296" s="272"/>
      <c r="AN296" s="272"/>
      <c r="AO296" s="272"/>
      <c r="AP296" s="272"/>
      <c r="AQ296" s="272"/>
      <c r="AR296" s="272"/>
      <c r="AS296" s="272"/>
      <c r="AT296" s="272"/>
      <c r="AU296" s="272"/>
      <c r="AV296" s="272"/>
      <c r="AW296" s="272"/>
      <c r="AX296" s="272"/>
      <c r="AY296" s="272"/>
      <c r="AZ296" s="272"/>
      <c r="BA296" s="272"/>
    </row>
    <row r="297" spans="1:53" outlineLevel="1" x14ac:dyDescent="0.35">
      <c r="A297" s="6" t="s">
        <v>40</v>
      </c>
      <c r="Z297" s="6">
        <f t="shared" si="36"/>
        <v>9.5709423987073597E-7</v>
      </c>
    </row>
    <row r="298" spans="1:53" outlineLevel="1" x14ac:dyDescent="0.35">
      <c r="A298" s="6" t="s">
        <v>42</v>
      </c>
      <c r="Z298" s="6">
        <f t="shared" si="36"/>
        <v>1.7656694459384321E-7</v>
      </c>
    </row>
    <row r="299" spans="1:53" outlineLevel="1" x14ac:dyDescent="0.35">
      <c r="A299" s="6" t="s">
        <v>115</v>
      </c>
      <c r="Z299" s="6">
        <f t="shared" si="36"/>
        <v>1.1591158968542441E-6</v>
      </c>
    </row>
    <row r="300" spans="1:53" outlineLevel="1" x14ac:dyDescent="0.35">
      <c r="A300" s="6" t="s">
        <v>45</v>
      </c>
      <c r="Z300" s="6">
        <f>Z36*AC265</f>
        <v>4.6307778141739816E-8</v>
      </c>
    </row>
    <row r="301" spans="1:53" outlineLevel="1" x14ac:dyDescent="0.35">
      <c r="A301" s="6" t="s">
        <v>116</v>
      </c>
      <c r="B301" s="6">
        <f>B37</f>
        <v>4.5446143489064019E-6</v>
      </c>
      <c r="C301" s="6">
        <f t="shared" ref="C301:Z301" si="37">C37</f>
        <v>4.5375318532980086E-6</v>
      </c>
      <c r="D301" s="6">
        <f t="shared" si="37"/>
        <v>4.5304734340900244E-6</v>
      </c>
      <c r="E301" s="6">
        <f t="shared" si="37"/>
        <v>4.4990771841472508E-6</v>
      </c>
      <c r="F301" s="6">
        <f t="shared" si="37"/>
        <v>4.4919915866917474E-6</v>
      </c>
      <c r="G301" s="6">
        <f t="shared" si="37"/>
        <v>4.4849171952101174E-6</v>
      </c>
      <c r="H301" s="6">
        <f t="shared" si="37"/>
        <v>4.4904228129143327E-6</v>
      </c>
      <c r="I301" s="6">
        <f t="shared" si="37"/>
        <v>4.4959352490022174E-6</v>
      </c>
      <c r="J301" s="6">
        <f t="shared" si="37"/>
        <v>4.4889268251604726E-6</v>
      </c>
      <c r="K301" s="6">
        <f t="shared" si="37"/>
        <v>4.4944994140002021E-6</v>
      </c>
      <c r="L301" s="6">
        <f t="shared" si="37"/>
        <v>4.5000640197401953E-6</v>
      </c>
      <c r="M301" s="6">
        <f t="shared" si="37"/>
        <v>4.5107792253624839E-6</v>
      </c>
      <c r="N301" s="6">
        <f t="shared" si="37"/>
        <v>4.5214378334785092E-6</v>
      </c>
      <c r="O301" s="6">
        <f t="shared" si="37"/>
        <v>4.5283096521643754E-6</v>
      </c>
      <c r="P301" s="6">
        <f t="shared" si="37"/>
        <v>4.5390097879665774E-6</v>
      </c>
      <c r="Q301" s="6">
        <f t="shared" si="37"/>
        <v>4.5497134383595956E-6</v>
      </c>
      <c r="R301" s="6">
        <f t="shared" si="37"/>
        <v>4.5331460721649742E-6</v>
      </c>
      <c r="S301" s="6">
        <f t="shared" si="37"/>
        <v>4.5163606296090708E-6</v>
      </c>
      <c r="T301" s="6">
        <f t="shared" si="37"/>
        <v>4.4955793454683717E-6</v>
      </c>
      <c r="U301" s="6">
        <f t="shared" si="37"/>
        <v>4.4784778933645077E-6</v>
      </c>
      <c r="V301" s="6">
        <f t="shared" si="37"/>
        <v>4.4612376012212993E-6</v>
      </c>
      <c r="W301" s="6">
        <f t="shared" si="37"/>
        <v>4.4518098931988601E-6</v>
      </c>
      <c r="X301" s="6">
        <f t="shared" si="37"/>
        <v>4.4218886582910254E-6</v>
      </c>
      <c r="Y301" s="6">
        <f t="shared" si="37"/>
        <v>4.3918023831125164E-6</v>
      </c>
      <c r="Z301" s="6">
        <f t="shared" si="37"/>
        <v>4.3615476020125354E-6</v>
      </c>
    </row>
    <row r="302" spans="1:53" outlineLevel="1" x14ac:dyDescent="0.35">
      <c r="A302" s="6" t="s">
        <v>758</v>
      </c>
      <c r="B302" s="6">
        <f>B38*$AC$265</f>
        <v>6.9125613403088854E-6</v>
      </c>
      <c r="C302" s="6">
        <f t="shared" ref="C302:Z303" si="38">C38*$AC$265</f>
        <v>6.8799514589637059E-6</v>
      </c>
      <c r="D302" s="6">
        <f t="shared" si="38"/>
        <v>6.8473478086552709E-6</v>
      </c>
      <c r="E302" s="6">
        <f t="shared" si="38"/>
        <v>6.808827596784774E-6</v>
      </c>
      <c r="F302" s="6">
        <f t="shared" si="38"/>
        <v>6.7761656035571803E-6</v>
      </c>
      <c r="G302" s="6">
        <f t="shared" si="38"/>
        <v>6.7434868753126753E-6</v>
      </c>
      <c r="H302" s="6">
        <f t="shared" si="38"/>
        <v>7.1568323686655904E-6</v>
      </c>
      <c r="I302" s="6">
        <f t="shared" si="38"/>
        <v>7.5684121582221205E-6</v>
      </c>
      <c r="J302" s="6">
        <f t="shared" si="38"/>
        <v>7.9747723845834702E-6</v>
      </c>
      <c r="K302" s="6">
        <f t="shared" si="38"/>
        <v>8.3833102988143491E-6</v>
      </c>
      <c r="L302" s="6">
        <f t="shared" si="38"/>
        <v>8.7898795821569062E-6</v>
      </c>
      <c r="M302" s="6">
        <f t="shared" si="38"/>
        <v>9.5655395543395995E-6</v>
      </c>
      <c r="N302" s="6">
        <f t="shared" si="38"/>
        <v>1.034146326178456E-5</v>
      </c>
      <c r="O302" s="6">
        <f t="shared" si="38"/>
        <v>1.111695415721059E-5</v>
      </c>
      <c r="P302" s="6">
        <f t="shared" si="38"/>
        <v>1.1893756497483955E-5</v>
      </c>
      <c r="Q302" s="6">
        <f t="shared" si="38"/>
        <v>1.2671183121723571E-5</v>
      </c>
      <c r="R302" s="6">
        <f t="shared" si="38"/>
        <v>1.2743875216320746E-5</v>
      </c>
      <c r="S302" s="6">
        <f t="shared" si="38"/>
        <v>1.2817327444836695E-5</v>
      </c>
      <c r="T302" s="6">
        <f t="shared" si="38"/>
        <v>1.2890645774769871E-5</v>
      </c>
      <c r="U302" s="6">
        <f t="shared" si="38"/>
        <v>1.2965339430894809E-5</v>
      </c>
      <c r="V302" s="6">
        <f t="shared" si="38"/>
        <v>1.3040521968538935E-5</v>
      </c>
      <c r="W302" s="6">
        <f t="shared" si="38"/>
        <v>1.2861924807263455E-5</v>
      </c>
      <c r="X302" s="6">
        <f t="shared" si="38"/>
        <v>1.2497972885738744E-5</v>
      </c>
      <c r="Y302" s="6">
        <f t="shared" si="38"/>
        <v>1.2134183583397369E-5</v>
      </c>
      <c r="Z302" s="6">
        <f t="shared" si="38"/>
        <v>1.1770550097793056E-5</v>
      </c>
    </row>
    <row r="303" spans="1:53" outlineLevel="1" x14ac:dyDescent="0.35">
      <c r="A303" s="6" t="s">
        <v>759</v>
      </c>
      <c r="B303" s="6">
        <f>B39*$AC$265</f>
        <v>1.0368000147309429E-7</v>
      </c>
      <c r="C303" s="6">
        <f t="shared" si="38"/>
        <v>1.0368000147309429E-7</v>
      </c>
      <c r="D303" s="6">
        <f t="shared" si="38"/>
        <v>1.0368000147309429E-7</v>
      </c>
      <c r="E303" s="6">
        <f t="shared" si="38"/>
        <v>1.0368000147309429E-7</v>
      </c>
      <c r="F303" s="6">
        <f t="shared" si="38"/>
        <v>1.0368000147309429E-7</v>
      </c>
      <c r="G303" s="6">
        <f t="shared" si="38"/>
        <v>1.0368000147309429E-7</v>
      </c>
      <c r="H303" s="6">
        <f t="shared" si="38"/>
        <v>1.0368000147309429E-7</v>
      </c>
      <c r="I303" s="6">
        <f t="shared" si="38"/>
        <v>1.0368000147309429E-7</v>
      </c>
      <c r="J303" s="6">
        <f t="shared" si="38"/>
        <v>1.0368000147309429E-7</v>
      </c>
      <c r="K303" s="6">
        <f t="shared" si="38"/>
        <v>1.0368000147309429E-7</v>
      </c>
      <c r="L303" s="6">
        <f t="shared" si="38"/>
        <v>1.0368000147309429E-7</v>
      </c>
      <c r="M303" s="6">
        <f t="shared" si="38"/>
        <v>1.0368000147309429E-7</v>
      </c>
      <c r="N303" s="6">
        <f t="shared" si="38"/>
        <v>1.0368000147309429E-7</v>
      </c>
      <c r="O303" s="6">
        <f t="shared" si="38"/>
        <v>1.0368000147309429E-7</v>
      </c>
      <c r="P303" s="6">
        <f t="shared" si="38"/>
        <v>1.0368000147309429E-7</v>
      </c>
      <c r="Q303" s="6">
        <f t="shared" si="38"/>
        <v>1.0368000147309429E-7</v>
      </c>
      <c r="R303" s="6">
        <f t="shared" si="38"/>
        <v>1.0368000147309429E-7</v>
      </c>
      <c r="S303" s="6">
        <f t="shared" si="38"/>
        <v>1.0368000147309429E-7</v>
      </c>
      <c r="T303" s="6">
        <f t="shared" si="38"/>
        <v>1.0368000147309429E-7</v>
      </c>
      <c r="U303" s="6">
        <f t="shared" si="38"/>
        <v>1.0368000147309429E-7</v>
      </c>
      <c r="V303" s="6">
        <f t="shared" si="38"/>
        <v>1.0368000147309429E-7</v>
      </c>
      <c r="W303" s="6">
        <f t="shared" si="38"/>
        <v>1.0368000147309429E-7</v>
      </c>
      <c r="X303" s="6">
        <f t="shared" si="38"/>
        <v>1.0368000147309429E-7</v>
      </c>
      <c r="Y303" s="6">
        <f t="shared" si="38"/>
        <v>1.0368000147309429E-7</v>
      </c>
      <c r="Z303" s="6">
        <f t="shared" si="38"/>
        <v>1.0368000147309429E-7</v>
      </c>
    </row>
    <row r="304" spans="1:53" outlineLevel="1" x14ac:dyDescent="0.35">
      <c r="A304" s="6" t="s">
        <v>760</v>
      </c>
      <c r="B304" s="6">
        <f>$B$252*$AC$264*'Results - raw data ReCiPe (H)'!AC114/(1-$AC$270)*(1+'Results ReCiPe (H) - HHD'!$AC$271/'Results ReCiPe (H) - HHD'!$AC$272-'Results ReCiPe (H) - HHD'!$AC$271)</f>
        <v>3.1744309460193256E-5</v>
      </c>
      <c r="C304" s="6">
        <f>$B$252*$AC$264*'Results - raw data ReCiPe (H)'!AD114/(1-$AC$270)*(1+'Results ReCiPe (H) - HHD'!$AC$271/'Results ReCiPe (H) - HHD'!$AC$272-'Results ReCiPe (H) - HHD'!$AC$271)</f>
        <v>3.1702352876518834E-5</v>
      </c>
      <c r="D304" s="6">
        <f>$B$252*$AC$264*'Results - raw data ReCiPe (H)'!AE114/(1-$AC$270)*(1+'Results ReCiPe (H) - HHD'!$AC$271/'Results ReCiPe (H) - HHD'!$AC$272-'Results ReCiPe (H) - HHD'!$AC$271)</f>
        <v>3.1661632077050829E-5</v>
      </c>
      <c r="E304" s="6">
        <f>$B$252*$AC$264*'Results - raw data ReCiPe (H)'!AF114/(1-$AC$270)*(1+'Results ReCiPe (H) - HHD'!$AC$271/'Results ReCiPe (H) - HHD'!$AC$272-'Results ReCiPe (H) - HHD'!$AC$271)</f>
        <v>3.1502801671480797E-5</v>
      </c>
      <c r="F304" s="6">
        <f>$B$252*$AC$264*'Results - raw data ReCiPe (H)'!AG114/(1-$AC$270)*(1+'Results ReCiPe (H) - HHD'!$AC$271/'Results ReCiPe (H) - HHD'!$AC$272-'Results ReCiPe (H) - HHD'!$AC$271)</f>
        <v>3.1464446152282981E-5</v>
      </c>
      <c r="G304" s="6">
        <f>$B$252*$AC$264*'Results - raw data ReCiPe (H)'!AH114/(1-$AC$270)*(1+'Results ReCiPe (H) - HHD'!$AC$271/'Results ReCiPe (H) - HHD'!$AC$272-'Results ReCiPe (H) - HHD'!$AC$271)</f>
        <v>3.1426806473040693E-5</v>
      </c>
      <c r="H304" s="6">
        <f>$B$252*$AC$264*'Results - raw data ReCiPe (H)'!AI114/(1-$AC$270)*(1+'Results ReCiPe (H) - HHD'!$AC$271/'Results ReCiPe (H) - HHD'!$AC$272-'Results ReCiPe (H) - HHD'!$AC$271)</f>
        <v>3.1408081030395116E-5</v>
      </c>
      <c r="I304" s="6">
        <f>$B$252*$AC$264*'Results - raw data ReCiPe (H)'!AJ114/(1-$AC$270)*(1+'Results ReCiPe (H) - HHD'!$AC$271/'Results ReCiPe (H) - HHD'!$AC$272-'Results ReCiPe (H) - HHD'!$AC$271)</f>
        <v>3.1392745566194889E-5</v>
      </c>
      <c r="J304" s="6">
        <f>$B$252*$AC$264*'Results - raw data ReCiPe (H)'!AK114/(1-$AC$270)*(1+'Results ReCiPe (H) - HHD'!$AC$271/'Results ReCiPe (H) - HHD'!$AC$272-'Results ReCiPe (H) - HHD'!$AC$271)</f>
        <v>3.1317145661736774E-5</v>
      </c>
      <c r="K304" s="6">
        <f>$B$252*$AC$264*'Results - raw data ReCiPe (H)'!AL114/(1-$AC$270)*(1+'Results ReCiPe (H) - HHD'!$AC$271/'Results ReCiPe (H) - HHD'!$AC$272-'Results ReCiPe (H) - HHD'!$AC$271)</f>
        <v>3.1307560203229918E-5</v>
      </c>
      <c r="L304" s="6">
        <f>$B$252*$AC$264*'Results - raw data ReCiPe (H)'!AM114/(1-$AC$270)*(1+'Results ReCiPe (H) - HHD'!$AC$271/'Results ReCiPe (H) - HHD'!$AC$272-'Results ReCiPe (H) - HHD'!$AC$271)</f>
        <v>3.1300223491550253E-5</v>
      </c>
      <c r="M304" s="6">
        <f>$B$252*$AC$264*'Results - raw data ReCiPe (H)'!AN114/(1-$AC$270)*(1+'Results ReCiPe (H) - HHD'!$AC$271/'Results ReCiPe (H) - HHD'!$AC$272-'Results ReCiPe (H) - HHD'!$AC$271)</f>
        <v>3.1321629712164365E-5</v>
      </c>
      <c r="N304" s="6">
        <f>$B$252*$AC$264*'Results - raw data ReCiPe (H)'!AO114/(1-$AC$270)*(1+'Results ReCiPe (H) - HHD'!$AC$271/'Results ReCiPe (H) - HHD'!$AC$272-'Results ReCiPe (H) - HHD'!$AC$271)</f>
        <v>3.1345264411264841E-5</v>
      </c>
      <c r="O304" s="6">
        <f>$B$252*$AC$264*'Results - raw data ReCiPe (H)'!AP114/(1-$AC$270)*(1+'Results ReCiPe (H) - HHD'!$AC$271/'Results ReCiPe (H) - HHD'!$AC$272-'Results ReCiPe (H) - HHD'!$AC$271)</f>
        <v>3.1354239641036336E-5</v>
      </c>
      <c r="P304" s="6">
        <f>$B$252*$AC$264*'Results - raw data ReCiPe (H)'!AQ114/(1-$AC$270)*(1+'Results ReCiPe (H) - HHD'!$AC$271/'Results ReCiPe (H) - HHD'!$AC$272-'Results ReCiPe (H) - HHD'!$AC$271)</f>
        <v>3.1382359858248952E-5</v>
      </c>
      <c r="Q304" s="6">
        <f>$B$252*$AC$264*'Results - raw data ReCiPe (H)'!AR114/(1-$AC$270)*(1+'Results ReCiPe (H) - HHD'!$AC$271/'Results ReCiPe (H) - HHD'!$AC$272-'Results ReCiPe (H) - HHD'!$AC$271)</f>
        <v>3.1414076956188649E-5</v>
      </c>
      <c r="R304" s="6">
        <f>$B$252*$AC$264*'Results - raw data ReCiPe (H)'!AS114/(1-$AC$270)*(1+'Results ReCiPe (H) - HHD'!$AC$271/'Results ReCiPe (H) - HHD'!$AC$272-'Results ReCiPe (H) - HHD'!$AC$271)</f>
        <v>3.135956541041255E-5</v>
      </c>
      <c r="S304" s="6">
        <f>$B$252*$AC$264*'Results - raw data ReCiPe (H)'!AT114/(1-$AC$270)*(1+'Results ReCiPe (H) - HHD'!$AC$271/'Results ReCiPe (H) - HHD'!$AC$272-'Results ReCiPe (H) - HHD'!$AC$271)</f>
        <v>3.1304245975970614E-5</v>
      </c>
      <c r="T304" s="6">
        <f>$B$252*$AC$264*'Results - raw data ReCiPe (H)'!AU114/(1-$AC$270)*(1+'Results ReCiPe (H) - HHD'!$AC$271/'Results ReCiPe (H) - HHD'!$AC$272-'Results ReCiPe (H) - HHD'!$AC$271)</f>
        <v>3.1230668441515055E-5</v>
      </c>
      <c r="U304" s="6">
        <f>$B$252*$AC$264*'Results - raw data ReCiPe (H)'!AV114/(1-$AC$270)*(1+'Results ReCiPe (H) - HHD'!$AC$271/'Results ReCiPe (H) - HHD'!$AC$272-'Results ReCiPe (H) - HHD'!$AC$271)</f>
        <v>3.117382143051256E-5</v>
      </c>
      <c r="V304" s="6">
        <f>$B$252*$AC$264*'Results - raw data ReCiPe (H)'!AW114/(1-$AC$270)*(1+'Results ReCiPe (H) - HHD'!$AC$271/'Results ReCiPe (H) - HHD'!$AC$272-'Results ReCiPe (H) - HHD'!$AC$271)</f>
        <v>3.1116248458791415E-5</v>
      </c>
      <c r="W304" s="6">
        <f>$B$252*$AC$264*'Results - raw data ReCiPe (H)'!AX114/(1-$AC$270)*(1+'Results ReCiPe (H) - HHD'!$AC$271/'Results ReCiPe (H) - HHD'!$AC$272-'Results ReCiPe (H) - HHD'!$AC$271)</f>
        <v>3.1185120141208926E-5</v>
      </c>
      <c r="X304" s="6">
        <f>$B$252*$AC$264*'Results - raw data ReCiPe (H)'!AY114/(1-$AC$270)*(1+'Results ReCiPe (H) - HHD'!$AC$271/'Results ReCiPe (H) - HHD'!$AC$272-'Results ReCiPe (H) - HHD'!$AC$271)</f>
        <v>3.1084043591811593E-5</v>
      </c>
      <c r="Y304" s="6">
        <f>$B$252*$AC$264*'Results - raw data ReCiPe (H)'!AZ114/(1-$AC$270)*(1+'Results ReCiPe (H) - HHD'!$AC$271/'Results ReCiPe (H) - HHD'!$AC$272-'Results ReCiPe (H) - HHD'!$AC$271)</f>
        <v>3.0982204764532915E-5</v>
      </c>
      <c r="Z304" s="6">
        <f>$B$252*$AC$264*'Results - raw data ReCiPe (H)'!BA114/(1-$AC$270)*(1+'Results ReCiPe (H) - HHD'!$AC$271/'Results ReCiPe (H) - HHD'!$AC$272-'Results ReCiPe (H) - HHD'!$AC$271)</f>
        <v>3.087958803633653E-5</v>
      </c>
    </row>
    <row r="305" spans="1:26" outlineLevel="1" x14ac:dyDescent="0.35">
      <c r="A305" s="6" t="s">
        <v>797</v>
      </c>
      <c r="B305" s="6">
        <f>$B$260*$AC$264</f>
        <v>4.2493836061690516E-5</v>
      </c>
      <c r="C305" s="6">
        <f t="shared" ref="C305:Z305" si="39">$B$260*$AC$264</f>
        <v>4.2493836061690516E-5</v>
      </c>
      <c r="D305" s="6">
        <f t="shared" si="39"/>
        <v>4.2493836061690516E-5</v>
      </c>
      <c r="E305" s="6">
        <f t="shared" si="39"/>
        <v>4.2493836061690516E-5</v>
      </c>
      <c r="F305" s="6">
        <f t="shared" si="39"/>
        <v>4.2493836061690516E-5</v>
      </c>
      <c r="G305" s="6">
        <f t="shared" si="39"/>
        <v>4.2493836061690516E-5</v>
      </c>
      <c r="H305" s="6">
        <f t="shared" si="39"/>
        <v>4.2493836061690516E-5</v>
      </c>
      <c r="I305" s="6">
        <f t="shared" si="39"/>
        <v>4.2493836061690516E-5</v>
      </c>
      <c r="J305" s="6">
        <f t="shared" si="39"/>
        <v>4.2493836061690516E-5</v>
      </c>
      <c r="K305" s="6">
        <f t="shared" si="39"/>
        <v>4.2493836061690516E-5</v>
      </c>
      <c r="L305" s="6">
        <f t="shared" si="39"/>
        <v>4.2493836061690516E-5</v>
      </c>
      <c r="M305" s="6">
        <f t="shared" si="39"/>
        <v>4.2493836061690516E-5</v>
      </c>
      <c r="N305" s="6">
        <f t="shared" si="39"/>
        <v>4.2493836061690516E-5</v>
      </c>
      <c r="O305" s="6">
        <f t="shared" si="39"/>
        <v>4.2493836061690516E-5</v>
      </c>
      <c r="P305" s="6">
        <f t="shared" si="39"/>
        <v>4.2493836061690516E-5</v>
      </c>
      <c r="Q305" s="6">
        <f t="shared" si="39"/>
        <v>4.2493836061690516E-5</v>
      </c>
      <c r="R305" s="6">
        <f t="shared" si="39"/>
        <v>4.2493836061690516E-5</v>
      </c>
      <c r="S305" s="6">
        <f t="shared" si="39"/>
        <v>4.2493836061690516E-5</v>
      </c>
      <c r="T305" s="6">
        <f t="shared" si="39"/>
        <v>4.2493836061690516E-5</v>
      </c>
      <c r="U305" s="6">
        <f t="shared" si="39"/>
        <v>4.2493836061690516E-5</v>
      </c>
      <c r="V305" s="6">
        <f t="shared" si="39"/>
        <v>4.2493836061690516E-5</v>
      </c>
      <c r="W305" s="6">
        <f t="shared" si="39"/>
        <v>4.2493836061690516E-5</v>
      </c>
      <c r="X305" s="6">
        <f t="shared" si="39"/>
        <v>4.2493836061690516E-5</v>
      </c>
      <c r="Y305" s="6">
        <f t="shared" si="39"/>
        <v>4.2493836061690516E-5</v>
      </c>
      <c r="Z305" s="6">
        <f t="shared" si="39"/>
        <v>4.2493836061690516E-5</v>
      </c>
    </row>
    <row r="306" spans="1:26" outlineLevel="1" x14ac:dyDescent="0.35">
      <c r="A306" s="23" t="s">
        <v>125</v>
      </c>
      <c r="B306" s="17">
        <f t="shared" ref="B306:Z306" si="40">SUM(B274:B304)</f>
        <v>2.2895328330768482E-4</v>
      </c>
      <c r="C306" s="17">
        <f t="shared" si="40"/>
        <v>4.3223516190253643E-5</v>
      </c>
      <c r="D306" s="17">
        <f t="shared" si="40"/>
        <v>4.3143133321269216E-5</v>
      </c>
      <c r="E306" s="17">
        <f t="shared" si="40"/>
        <v>4.2914386453885917E-5</v>
      </c>
      <c r="F306" s="17">
        <f t="shared" si="40"/>
        <v>4.2836283344005005E-5</v>
      </c>
      <c r="G306" s="17">
        <f t="shared" si="40"/>
        <v>4.2758890545036578E-5</v>
      </c>
      <c r="H306" s="17">
        <f t="shared" si="40"/>
        <v>4.315901621344813E-5</v>
      </c>
      <c r="I306" s="17">
        <f t="shared" si="40"/>
        <v>4.3560772974892321E-5</v>
      </c>
      <c r="J306" s="17">
        <f t="shared" si="40"/>
        <v>4.3884524872953811E-5</v>
      </c>
      <c r="K306" s="17">
        <f t="shared" si="40"/>
        <v>4.4289049917517564E-5</v>
      </c>
      <c r="L306" s="17">
        <f t="shared" si="40"/>
        <v>4.4693847094920448E-5</v>
      </c>
      <c r="M306" s="17">
        <f t="shared" si="40"/>
        <v>4.5501628493339542E-5</v>
      </c>
      <c r="N306" s="17">
        <f t="shared" si="40"/>
        <v>4.6311845508001006E-5</v>
      </c>
      <c r="O306" s="17">
        <f t="shared" si="40"/>
        <v>4.7103183451884393E-5</v>
      </c>
      <c r="P306" s="17">
        <f t="shared" si="40"/>
        <v>4.791880614517258E-5</v>
      </c>
      <c r="Q306" s="17">
        <f t="shared" si="40"/>
        <v>4.8738653517744911E-5</v>
      </c>
      <c r="R306" s="17">
        <f t="shared" si="40"/>
        <v>4.8740266700371366E-5</v>
      </c>
      <c r="S306" s="17">
        <f t="shared" si="40"/>
        <v>4.8741614051889475E-5</v>
      </c>
      <c r="T306" s="17">
        <f t="shared" si="40"/>
        <v>4.8720573563226395E-5</v>
      </c>
      <c r="U306" s="17">
        <f t="shared" si="40"/>
        <v>4.8721318756244974E-5</v>
      </c>
      <c r="V306" s="17">
        <f t="shared" si="40"/>
        <v>4.8721688030024742E-5</v>
      </c>
      <c r="W306" s="17">
        <f t="shared" si="40"/>
        <v>4.8602534843144335E-5</v>
      </c>
      <c r="X306" s="17">
        <f t="shared" si="40"/>
        <v>4.8107585137314462E-5</v>
      </c>
      <c r="Y306" s="17">
        <f t="shared" si="40"/>
        <v>4.761187073251589E-5</v>
      </c>
      <c r="Z306" s="17">
        <f t="shared" si="40"/>
        <v>4.9994425140473806E-5</v>
      </c>
    </row>
    <row r="307" spans="1:26" outlineLevel="1" x14ac:dyDescent="0.35"/>
    <row r="308" spans="1:26" s="18" customFormat="1" ht="21" x14ac:dyDescent="0.5">
      <c r="A308" s="18" t="s">
        <v>73</v>
      </c>
    </row>
    <row r="309" spans="1:26" s="20" customFormat="1" outlineLevel="1" x14ac:dyDescent="0.35">
      <c r="A309" s="19" t="s">
        <v>788</v>
      </c>
    </row>
    <row r="310" spans="1:26" s="20" customFormat="1" outlineLevel="1" x14ac:dyDescent="0.35">
      <c r="A310" s="273" t="s">
        <v>775</v>
      </c>
      <c r="B310" s="20">
        <v>1</v>
      </c>
      <c r="C310" s="274" t="s">
        <v>787</v>
      </c>
    </row>
    <row r="311" spans="1:26" s="20" customFormat="1" outlineLevel="1" x14ac:dyDescent="0.35">
      <c r="A311" s="273" t="s">
        <v>781</v>
      </c>
      <c r="B311" s="20">
        <v>100000</v>
      </c>
      <c r="C311" s="20" t="s">
        <v>782</v>
      </c>
      <c r="E311" s="274"/>
    </row>
    <row r="312" spans="1:26" s="20" customFormat="1" outlineLevel="1" x14ac:dyDescent="0.35">
      <c r="A312" s="273" t="s">
        <v>783</v>
      </c>
      <c r="B312" s="20">
        <v>1500</v>
      </c>
      <c r="C312" s="20" t="s">
        <v>592</v>
      </c>
    </row>
    <row r="313" spans="1:26" s="20" customFormat="1" outlineLevel="1" x14ac:dyDescent="0.35">
      <c r="A313" s="273" t="s">
        <v>784</v>
      </c>
      <c r="B313" s="20">
        <v>8760</v>
      </c>
      <c r="C313" s="20" t="s">
        <v>785</v>
      </c>
    </row>
    <row r="314" spans="1:26" s="20" customFormat="1" outlineLevel="1" x14ac:dyDescent="0.35">
      <c r="A314" s="273"/>
    </row>
    <row r="315" spans="1:26" s="20" customFormat="1" outlineLevel="1" x14ac:dyDescent="0.35">
      <c r="A315" s="275" t="s">
        <v>786</v>
      </c>
      <c r="B315" s="275">
        <f>(B311*B312)/(B313*B310)</f>
        <v>17123.287671232876</v>
      </c>
      <c r="C315" s="275" t="s">
        <v>749</v>
      </c>
    </row>
    <row r="316" spans="1:26" s="20" customFormat="1" outlineLevel="1" x14ac:dyDescent="0.35">
      <c r="A316" s="19"/>
    </row>
    <row r="317" spans="1:26" s="20" customFormat="1" outlineLevel="1" x14ac:dyDescent="0.35">
      <c r="A317" s="19" t="s">
        <v>793</v>
      </c>
    </row>
    <row r="318" spans="1:26" s="20" customFormat="1" outlineLevel="1" x14ac:dyDescent="0.35">
      <c r="A318" s="273" t="s">
        <v>789</v>
      </c>
      <c r="B318" s="20">
        <f>SUM('Results - raw data ReCiPe (H)'!AC146:AC147)+'Results - raw data ReCiPe (H)'!AC150+SUM('Results - raw data ReCiPe (H)'!AC148:AC149)*AC267</f>
        <v>7.9563695882550822E-6</v>
      </c>
      <c r="C318" s="20" t="s">
        <v>878</v>
      </c>
    </row>
    <row r="319" spans="1:26" s="20" customFormat="1" outlineLevel="1" x14ac:dyDescent="0.35">
      <c r="A319" s="20" t="s">
        <v>792</v>
      </c>
      <c r="B319" s="20">
        <f>B311*AC325</f>
        <v>50000</v>
      </c>
      <c r="C319" s="274" t="s">
        <v>795</v>
      </c>
    </row>
    <row r="320" spans="1:26" s="20" customFormat="1" outlineLevel="1" x14ac:dyDescent="0.35">
      <c r="A320" s="20" t="s">
        <v>791</v>
      </c>
      <c r="B320" s="20">
        <f>(B318*AC327*B315)/(B319*AC326)*(AC326/AC328)</f>
        <v>8.1743523167004256E-7</v>
      </c>
      <c r="C320" s="20" t="s">
        <v>879</v>
      </c>
      <c r="E320" s="274" t="s">
        <v>796</v>
      </c>
    </row>
    <row r="321" spans="1:53" s="20" customFormat="1" outlineLevel="1" x14ac:dyDescent="0.35">
      <c r="A321" s="19"/>
    </row>
    <row r="322" spans="1:53" s="16" customFormat="1" outlineLevel="1" x14ac:dyDescent="0.35">
      <c r="A322" s="21"/>
      <c r="AB322" s="15" t="s">
        <v>143</v>
      </c>
      <c r="AC322" s="16">
        <f>0.0000000028+0.0000000000000765</f>
        <v>2.8000764999999998E-9</v>
      </c>
      <c r="AD322" s="16" t="s">
        <v>916</v>
      </c>
      <c r="AE322" s="15" t="s">
        <v>714</v>
      </c>
    </row>
    <row r="323" spans="1:53" s="16" customFormat="1" outlineLevel="1" x14ac:dyDescent="0.35">
      <c r="A323" s="22" t="s">
        <v>871</v>
      </c>
      <c r="AC323" s="16">
        <f>AC322*1000</f>
        <v>2.8000765E-6</v>
      </c>
      <c r="AD323" s="16" t="s">
        <v>918</v>
      </c>
    </row>
    <row r="324" spans="1:53" s="16" customFormat="1" outlineLevel="1" x14ac:dyDescent="0.35">
      <c r="A324" s="22"/>
      <c r="AB324" s="16" t="s">
        <v>127</v>
      </c>
      <c r="AC324" s="16">
        <f>100*AC325</f>
        <v>50</v>
      </c>
      <c r="AD324" s="16" t="s">
        <v>128</v>
      </c>
    </row>
    <row r="325" spans="1:53" s="16" customFormat="1" outlineLevel="1" x14ac:dyDescent="0.35">
      <c r="A325" s="230"/>
      <c r="AB325" s="16" t="s">
        <v>776</v>
      </c>
      <c r="AC325" s="16">
        <v>0.5</v>
      </c>
    </row>
    <row r="326" spans="1:53" s="16" customFormat="1" outlineLevel="1" x14ac:dyDescent="0.35">
      <c r="A326" s="21"/>
      <c r="AB326" s="16" t="s">
        <v>129</v>
      </c>
      <c r="AC326" s="16">
        <v>25</v>
      </c>
      <c r="AD326" s="16" t="s">
        <v>130</v>
      </c>
    </row>
    <row r="327" spans="1:53" s="16" customFormat="1" outlineLevel="1" x14ac:dyDescent="0.35">
      <c r="A327" s="21"/>
      <c r="AB327" s="16" t="s">
        <v>777</v>
      </c>
      <c r="AC327" s="16">
        <v>6</v>
      </c>
      <c r="AD327" s="16" t="s">
        <v>779</v>
      </c>
    </row>
    <row r="328" spans="1:53" s="16" customFormat="1" outlineLevel="1" x14ac:dyDescent="0.35">
      <c r="A328" s="21"/>
      <c r="AB328" s="16" t="s">
        <v>778</v>
      </c>
      <c r="AC328" s="16">
        <v>20</v>
      </c>
      <c r="AD328" s="16" t="s">
        <v>130</v>
      </c>
    </row>
    <row r="329" spans="1:53" s="16" customFormat="1" outlineLevel="1" x14ac:dyDescent="0.35">
      <c r="AB329" s="16" t="s">
        <v>780</v>
      </c>
      <c r="AC329" s="16">
        <f>B315</f>
        <v>17123.287671232876</v>
      </c>
      <c r="AD329" s="16" t="s">
        <v>749</v>
      </c>
    </row>
    <row r="330" spans="1:53" s="16" customFormat="1" outlineLevel="1" x14ac:dyDescent="0.35">
      <c r="AB330" s="16" t="s">
        <v>820</v>
      </c>
      <c r="AC330" s="16">
        <v>0.5</v>
      </c>
    </row>
    <row r="331" spans="1:53" s="16" customFormat="1" outlineLevel="1" x14ac:dyDescent="0.35">
      <c r="AB331" s="16" t="s">
        <v>798</v>
      </c>
      <c r="AC331" s="16">
        <v>0.25</v>
      </c>
    </row>
    <row r="332" spans="1:53" s="16" customFormat="1" outlineLevel="1" x14ac:dyDescent="0.35">
      <c r="A332" s="22"/>
      <c r="AB332" s="16" t="s">
        <v>799</v>
      </c>
      <c r="AC332" s="16">
        <v>0.9</v>
      </c>
    </row>
    <row r="333" spans="1:53" outlineLevel="1" x14ac:dyDescent="0.35">
      <c r="B333" s="25">
        <v>2030</v>
      </c>
      <c r="C333" s="25">
        <v>2031</v>
      </c>
      <c r="D333" s="25">
        <v>2032</v>
      </c>
      <c r="E333" s="25">
        <v>2033</v>
      </c>
      <c r="F333" s="25">
        <v>2034</v>
      </c>
      <c r="G333" s="25">
        <v>2035</v>
      </c>
      <c r="H333" s="25">
        <v>2036</v>
      </c>
      <c r="I333" s="25">
        <v>2037</v>
      </c>
      <c r="J333" s="25">
        <v>2038</v>
      </c>
      <c r="K333" s="25">
        <v>2039</v>
      </c>
      <c r="L333" s="25">
        <v>2040</v>
      </c>
      <c r="M333" s="25">
        <v>2041</v>
      </c>
      <c r="N333" s="25">
        <v>2042</v>
      </c>
      <c r="O333" s="25">
        <v>2043</v>
      </c>
      <c r="P333" s="25">
        <v>2044</v>
      </c>
      <c r="Q333" s="25">
        <v>2045</v>
      </c>
      <c r="R333" s="25">
        <v>2046</v>
      </c>
      <c r="S333" s="25">
        <v>2047</v>
      </c>
      <c r="T333" s="25">
        <v>2048</v>
      </c>
      <c r="U333" s="25">
        <v>2049</v>
      </c>
      <c r="V333" s="25">
        <v>2050</v>
      </c>
      <c r="W333" s="25">
        <v>2051</v>
      </c>
      <c r="X333" s="25">
        <v>2052</v>
      </c>
      <c r="Y333" s="25">
        <v>2053</v>
      </c>
      <c r="Z333" s="25">
        <v>2054</v>
      </c>
      <c r="AC333" s="25">
        <v>2030</v>
      </c>
      <c r="AD333" s="25">
        <v>2031</v>
      </c>
      <c r="AE333" s="25">
        <v>2032</v>
      </c>
      <c r="AF333" s="25">
        <v>2033</v>
      </c>
      <c r="AG333" s="25">
        <v>2034</v>
      </c>
      <c r="AH333" s="25">
        <v>2035</v>
      </c>
      <c r="AI333" s="25">
        <v>2036</v>
      </c>
      <c r="AJ333" s="25">
        <v>2037</v>
      </c>
      <c r="AK333" s="25">
        <v>2038</v>
      </c>
      <c r="AL333" s="25">
        <v>2039</v>
      </c>
      <c r="AM333" s="25">
        <v>2040</v>
      </c>
      <c r="AN333" s="25">
        <v>2041</v>
      </c>
      <c r="AO333" s="25">
        <v>2042</v>
      </c>
      <c r="AP333" s="25">
        <v>2043</v>
      </c>
      <c r="AQ333" s="25">
        <v>2044</v>
      </c>
      <c r="AR333" s="25">
        <v>2045</v>
      </c>
      <c r="AS333" s="25">
        <v>2046</v>
      </c>
      <c r="AT333" s="25">
        <v>2047</v>
      </c>
      <c r="AU333" s="25">
        <v>2048</v>
      </c>
      <c r="AV333" s="25">
        <v>2049</v>
      </c>
      <c r="AW333" s="25">
        <v>2050</v>
      </c>
      <c r="AX333" s="25">
        <v>2051</v>
      </c>
      <c r="AY333" s="25">
        <v>2052</v>
      </c>
      <c r="AZ333" s="25">
        <v>2053</v>
      </c>
      <c r="BA333" s="25">
        <v>2054</v>
      </c>
    </row>
    <row r="334" spans="1:53" outlineLevel="1" x14ac:dyDescent="0.35">
      <c r="A334" s="6" t="s">
        <v>21</v>
      </c>
      <c r="B334" s="6">
        <f>B50</f>
        <v>3.1244393966085418E-6</v>
      </c>
      <c r="AB334" s="6" t="s">
        <v>117</v>
      </c>
      <c r="AC334" s="6">
        <f>SUM(B334:B345)+B347</f>
        <v>1.6886495556759864E-4</v>
      </c>
    </row>
    <row r="335" spans="1:53" outlineLevel="1" x14ac:dyDescent="0.35">
      <c r="A335" s="6" t="s">
        <v>23</v>
      </c>
      <c r="B335" s="6">
        <f t="shared" ref="B335:B345" si="41">B51</f>
        <v>5.6429582916055214E-6</v>
      </c>
      <c r="AB335" s="6" t="s">
        <v>118</v>
      </c>
      <c r="AC335" s="6">
        <f>B346</f>
        <v>5.3828988447895789E-6</v>
      </c>
    </row>
    <row r="336" spans="1:53" outlineLevel="1" x14ac:dyDescent="0.35">
      <c r="A336" s="6" t="s">
        <v>26</v>
      </c>
      <c r="B336" s="6">
        <f t="shared" si="41"/>
        <v>1.418628247834127E-5</v>
      </c>
      <c r="AB336" s="6" t="s">
        <v>119</v>
      </c>
      <c r="BA336" s="6">
        <f>SUM(Z348:Z359)</f>
        <v>2.5814369390254752E-6</v>
      </c>
    </row>
    <row r="337" spans="1:53" outlineLevel="1" x14ac:dyDescent="0.35">
      <c r="A337" s="6" t="s">
        <v>28</v>
      </c>
      <c r="B337" s="6">
        <f t="shared" si="41"/>
        <v>1.150422510297097E-5</v>
      </c>
      <c r="AB337" s="6" t="s">
        <v>120</v>
      </c>
      <c r="BA337" s="6">
        <f>Z360</f>
        <v>4.4588828617303134E-8</v>
      </c>
    </row>
    <row r="338" spans="1:53" outlineLevel="1" x14ac:dyDescent="0.35">
      <c r="A338" s="6" t="s">
        <v>29</v>
      </c>
      <c r="B338" s="6">
        <f t="shared" si="41"/>
        <v>9.1719333838261594E-6</v>
      </c>
      <c r="AB338" s="6" t="s">
        <v>121</v>
      </c>
      <c r="AC338" s="6">
        <f>B361</f>
        <v>4.3941155135361717E-6</v>
      </c>
      <c r="AF338" s="6">
        <f>E361</f>
        <v>4.2507924568478764E-6</v>
      </c>
      <c r="AI338" s="6">
        <f>H361</f>
        <v>4.1207843305059888E-6</v>
      </c>
      <c r="AL338" s="6">
        <f>K361</f>
        <v>3.961479922998473E-6</v>
      </c>
      <c r="AO338" s="6">
        <f>N361</f>
        <v>3.782659921523485E-6</v>
      </c>
      <c r="AR338" s="6">
        <f>Q361</f>
        <v>3.5852486401048028E-6</v>
      </c>
      <c r="AU338" s="6">
        <f>T361</f>
        <v>3.4498744880293848E-6</v>
      </c>
      <c r="AX338" s="6">
        <f>W361</f>
        <v>3.372986237475297E-6</v>
      </c>
      <c r="BA338" s="6">
        <f>Z361</f>
        <v>3.3539861692443772E-6</v>
      </c>
    </row>
    <row r="339" spans="1:53" outlineLevel="1" x14ac:dyDescent="0.35">
      <c r="A339" s="6" t="s">
        <v>31</v>
      </c>
      <c r="B339" s="6">
        <f t="shared" si="41"/>
        <v>7.2421411651487134E-6</v>
      </c>
      <c r="AB339" s="6" t="s">
        <v>797</v>
      </c>
      <c r="AC339" s="6">
        <f>B365</f>
        <v>4.0871761583502129E-5</v>
      </c>
      <c r="AD339" s="6">
        <f t="shared" ref="AD339:BA339" si="42">C365</f>
        <v>4.0871761583502129E-5</v>
      </c>
      <c r="AE339" s="6">
        <f t="shared" si="42"/>
        <v>4.0871761583502129E-5</v>
      </c>
      <c r="AF339" s="6">
        <f t="shared" si="42"/>
        <v>4.0871761583502129E-5</v>
      </c>
      <c r="AG339" s="6">
        <f t="shared" si="42"/>
        <v>4.0871761583502129E-5</v>
      </c>
      <c r="AH339" s="6">
        <f t="shared" si="42"/>
        <v>4.0871761583502129E-5</v>
      </c>
      <c r="AI339" s="6">
        <f t="shared" si="42"/>
        <v>4.0871761583502129E-5</v>
      </c>
      <c r="AJ339" s="6">
        <f t="shared" si="42"/>
        <v>4.0871761583502129E-5</v>
      </c>
      <c r="AK339" s="6">
        <f t="shared" si="42"/>
        <v>4.0871761583502129E-5</v>
      </c>
      <c r="AL339" s="6">
        <f t="shared" si="42"/>
        <v>4.0871761583502129E-5</v>
      </c>
      <c r="AM339" s="6">
        <f t="shared" si="42"/>
        <v>4.0871761583502129E-5</v>
      </c>
      <c r="AN339" s="6">
        <f t="shared" si="42"/>
        <v>4.0871761583502129E-5</v>
      </c>
      <c r="AO339" s="6">
        <f t="shared" si="42"/>
        <v>4.0871761583502129E-5</v>
      </c>
      <c r="AP339" s="6">
        <f t="shared" si="42"/>
        <v>4.0871761583502129E-5</v>
      </c>
      <c r="AQ339" s="6">
        <f t="shared" si="42"/>
        <v>4.0871761583502129E-5</v>
      </c>
      <c r="AR339" s="6">
        <f t="shared" si="42"/>
        <v>4.0871761583502129E-5</v>
      </c>
      <c r="AS339" s="6">
        <f t="shared" si="42"/>
        <v>4.0871761583502129E-5</v>
      </c>
      <c r="AT339" s="6">
        <f t="shared" si="42"/>
        <v>4.0871761583502129E-5</v>
      </c>
      <c r="AU339" s="6">
        <f t="shared" si="42"/>
        <v>4.0871761583502129E-5</v>
      </c>
      <c r="AV339" s="6">
        <f t="shared" si="42"/>
        <v>4.0871761583502129E-5</v>
      </c>
      <c r="AW339" s="6">
        <f t="shared" si="42"/>
        <v>4.0871761583502129E-5</v>
      </c>
      <c r="AX339" s="6">
        <f t="shared" si="42"/>
        <v>4.0871761583502129E-5</v>
      </c>
      <c r="AY339" s="6">
        <f t="shared" si="42"/>
        <v>4.0871761583502129E-5</v>
      </c>
      <c r="AZ339" s="6">
        <f t="shared" si="42"/>
        <v>4.0871761583502129E-5</v>
      </c>
      <c r="BA339" s="6">
        <f t="shared" si="42"/>
        <v>4.0871761583502129E-5</v>
      </c>
    </row>
    <row r="340" spans="1:53" outlineLevel="1" x14ac:dyDescent="0.35">
      <c r="A340" s="6" t="s">
        <v>34</v>
      </c>
      <c r="B340" s="6">
        <f t="shared" si="41"/>
        <v>5.0838586316427567E-6</v>
      </c>
      <c r="AB340" s="6" t="s">
        <v>122</v>
      </c>
      <c r="AC340" s="6">
        <f t="shared" ref="AC340:AV340" si="43">B364+B363</f>
        <v>3.0579456005944634E-5</v>
      </c>
      <c r="AD340" s="6">
        <f t="shared" si="43"/>
        <v>3.0315643832565207E-5</v>
      </c>
      <c r="AE340" s="6">
        <f t="shared" si="43"/>
        <v>3.0046365533739365E-5</v>
      </c>
      <c r="AF340" s="6">
        <f t="shared" si="43"/>
        <v>2.9653165190446102E-5</v>
      </c>
      <c r="AG340" s="6">
        <f t="shared" si="43"/>
        <v>2.9373937522208305E-5</v>
      </c>
      <c r="AH340" s="6">
        <f t="shared" si="43"/>
        <v>2.9089544483119878E-5</v>
      </c>
      <c r="AI340" s="6">
        <f t="shared" si="43"/>
        <v>2.8840085357698996E-5</v>
      </c>
      <c r="AJ340" s="6">
        <f t="shared" si="43"/>
        <v>2.8608301239059106E-5</v>
      </c>
      <c r="AK340" s="6">
        <f t="shared" si="43"/>
        <v>2.831758934022452E-5</v>
      </c>
      <c r="AL340" s="6">
        <f t="shared" si="43"/>
        <v>2.8090522022836749E-5</v>
      </c>
      <c r="AM340" s="6">
        <f t="shared" si="43"/>
        <v>2.7860475996081412E-5</v>
      </c>
      <c r="AN340" s="6">
        <f t="shared" si="43"/>
        <v>2.766695455824348E-5</v>
      </c>
      <c r="AO340" s="6">
        <f t="shared" si="43"/>
        <v>2.7475377909819686E-5</v>
      </c>
      <c r="AP340" s="6">
        <f t="shared" si="43"/>
        <v>2.7262409843764254E-5</v>
      </c>
      <c r="AQ340" s="6">
        <f t="shared" si="43"/>
        <v>2.7074838495933675E-5</v>
      </c>
      <c r="AR340" s="6">
        <f t="shared" si="43"/>
        <v>2.6890005070460946E-5</v>
      </c>
      <c r="AS340" s="6">
        <f t="shared" si="43"/>
        <v>2.6770678435611011E-5</v>
      </c>
      <c r="AT340" s="6">
        <f t="shared" si="43"/>
        <v>2.665474441709669E-5</v>
      </c>
      <c r="AU340" s="6">
        <f t="shared" si="43"/>
        <v>2.652096826349867E-5</v>
      </c>
      <c r="AV340" s="6">
        <f t="shared" si="43"/>
        <v>2.6414375250292009E-5</v>
      </c>
      <c r="AW340" s="6">
        <f>V364</f>
        <v>2.6213526345897014E-5</v>
      </c>
      <c r="AX340" s="6">
        <f>W364</f>
        <v>2.6339167912679071E-5</v>
      </c>
      <c r="AY340" s="6">
        <f>X364</f>
        <v>2.6313040975251445E-5</v>
      </c>
      <c r="AZ340" s="6">
        <f>Y364</f>
        <v>2.6287217030870466E-5</v>
      </c>
      <c r="BA340" s="6">
        <f>Z364</f>
        <v>2.6261726102380168E-5</v>
      </c>
    </row>
    <row r="341" spans="1:53" outlineLevel="1" x14ac:dyDescent="0.35">
      <c r="A341" s="6" t="s">
        <v>36</v>
      </c>
      <c r="B341" s="6">
        <f t="shared" si="41"/>
        <v>4.2855500853218693E-6</v>
      </c>
      <c r="AB341" s="6" t="s">
        <v>123</v>
      </c>
      <c r="AC341" s="6">
        <f t="shared" ref="AC341:BA341" si="44">B362</f>
        <v>5.9017688285214648E-6</v>
      </c>
      <c r="AD341" s="6">
        <f t="shared" si="44"/>
        <v>5.5365779306722645E-6</v>
      </c>
      <c r="AE341" s="6">
        <f t="shared" si="44"/>
        <v>5.1727051216609854E-6</v>
      </c>
      <c r="AF341" s="6">
        <f t="shared" si="44"/>
        <v>4.8038367381262686E-6</v>
      </c>
      <c r="AG341" s="6">
        <f t="shared" si="44"/>
        <v>4.4425137062192297E-6</v>
      </c>
      <c r="AH341" s="6">
        <f t="shared" si="44"/>
        <v>4.0824990590552761E-6</v>
      </c>
      <c r="AI341" s="6">
        <f t="shared" si="44"/>
        <v>3.8562272790619994E-6</v>
      </c>
      <c r="AJ341" s="6">
        <f t="shared" si="44"/>
        <v>3.6303045758551483E-6</v>
      </c>
      <c r="AK341" s="6">
        <f t="shared" si="44"/>
        <v>3.3998576592599265E-6</v>
      </c>
      <c r="AL341" s="6">
        <f t="shared" si="44"/>
        <v>3.1740107509092194E-6</v>
      </c>
      <c r="AM341" s="6">
        <f t="shared" si="44"/>
        <v>2.9481835972068193E-6</v>
      </c>
      <c r="AN341" s="6">
        <f t="shared" si="44"/>
        <v>2.7958319957082742E-6</v>
      </c>
      <c r="AO341" s="6">
        <f t="shared" si="44"/>
        <v>2.6428033369281585E-6</v>
      </c>
      <c r="AP341" s="6">
        <f t="shared" si="44"/>
        <v>2.4875403406580795E-6</v>
      </c>
      <c r="AQ341" s="6">
        <f t="shared" si="44"/>
        <v>2.3328538014944768E-6</v>
      </c>
      <c r="AR341" s="6">
        <f t="shared" si="44"/>
        <v>2.1774875650067288E-6</v>
      </c>
      <c r="AS341" s="6">
        <f t="shared" si="44"/>
        <v>2.1079482033909038E-6</v>
      </c>
      <c r="AT341" s="6">
        <f t="shared" si="44"/>
        <v>2.0384423791714974E-6</v>
      </c>
      <c r="AU341" s="6">
        <f t="shared" si="44"/>
        <v>1.9676473715466984E-6</v>
      </c>
      <c r="AV341" s="6">
        <f t="shared" si="44"/>
        <v>1.8981331814590096E-6</v>
      </c>
      <c r="AW341" s="6">
        <f t="shared" si="44"/>
        <v>1.8286604012054646E-6</v>
      </c>
      <c r="AX341" s="6">
        <f t="shared" si="44"/>
        <v>1.8339598975130079E-6</v>
      </c>
      <c r="AY341" s="6">
        <f t="shared" si="44"/>
        <v>1.8014920090479636E-6</v>
      </c>
      <c r="AZ341" s="6">
        <f t="shared" si="44"/>
        <v>1.7689711356925339E-6</v>
      </c>
      <c r="BA341" s="6">
        <f t="shared" si="44"/>
        <v>1.7363925894132296E-6</v>
      </c>
    </row>
    <row r="342" spans="1:53" outlineLevel="1" x14ac:dyDescent="0.35">
      <c r="A342" s="6" t="s">
        <v>38</v>
      </c>
      <c r="B342" s="6">
        <f t="shared" si="41"/>
        <v>2.291638491689332E-5</v>
      </c>
      <c r="AB342" s="6" t="s">
        <v>124</v>
      </c>
      <c r="AC342" s="6">
        <f>-$AC$323*$AC$324</f>
        <v>-1.4000382499999999E-4</v>
      </c>
      <c r="AD342" s="6">
        <f t="shared" ref="AD342:BA342" si="45">-$AC$323*$AC$324</f>
        <v>-1.4000382499999999E-4</v>
      </c>
      <c r="AE342" s="6">
        <f t="shared" si="45"/>
        <v>-1.4000382499999999E-4</v>
      </c>
      <c r="AF342" s="6">
        <f t="shared" si="45"/>
        <v>-1.4000382499999999E-4</v>
      </c>
      <c r="AG342" s="6">
        <f t="shared" si="45"/>
        <v>-1.4000382499999999E-4</v>
      </c>
      <c r="AH342" s="6">
        <f t="shared" si="45"/>
        <v>-1.4000382499999999E-4</v>
      </c>
      <c r="AI342" s="6">
        <f t="shared" si="45"/>
        <v>-1.4000382499999999E-4</v>
      </c>
      <c r="AJ342" s="6">
        <f t="shared" si="45"/>
        <v>-1.4000382499999999E-4</v>
      </c>
      <c r="AK342" s="6">
        <f t="shared" si="45"/>
        <v>-1.4000382499999999E-4</v>
      </c>
      <c r="AL342" s="6">
        <f t="shared" si="45"/>
        <v>-1.4000382499999999E-4</v>
      </c>
      <c r="AM342" s="6">
        <f t="shared" si="45"/>
        <v>-1.4000382499999999E-4</v>
      </c>
      <c r="AN342" s="6">
        <f t="shared" si="45"/>
        <v>-1.4000382499999999E-4</v>
      </c>
      <c r="AO342" s="6">
        <f t="shared" si="45"/>
        <v>-1.4000382499999999E-4</v>
      </c>
      <c r="AP342" s="6">
        <f t="shared" si="45"/>
        <v>-1.4000382499999999E-4</v>
      </c>
      <c r="AQ342" s="6">
        <f t="shared" si="45"/>
        <v>-1.4000382499999999E-4</v>
      </c>
      <c r="AR342" s="6">
        <f t="shared" si="45"/>
        <v>-1.4000382499999999E-4</v>
      </c>
      <c r="AS342" s="6">
        <f t="shared" si="45"/>
        <v>-1.4000382499999999E-4</v>
      </c>
      <c r="AT342" s="6">
        <f t="shared" si="45"/>
        <v>-1.4000382499999999E-4</v>
      </c>
      <c r="AU342" s="6">
        <f t="shared" si="45"/>
        <v>-1.4000382499999999E-4</v>
      </c>
      <c r="AV342" s="6">
        <f t="shared" si="45"/>
        <v>-1.4000382499999999E-4</v>
      </c>
      <c r="AW342" s="6">
        <f t="shared" si="45"/>
        <v>-1.4000382499999999E-4</v>
      </c>
      <c r="AX342" s="6">
        <f t="shared" si="45"/>
        <v>-1.4000382499999999E-4</v>
      </c>
      <c r="AY342" s="6">
        <f t="shared" si="45"/>
        <v>-1.4000382499999999E-4</v>
      </c>
      <c r="AZ342" s="6">
        <f t="shared" si="45"/>
        <v>-1.4000382499999999E-4</v>
      </c>
      <c r="BA342" s="6">
        <f t="shared" si="45"/>
        <v>-1.4000382499999999E-4</v>
      </c>
    </row>
    <row r="343" spans="1:53" outlineLevel="1" x14ac:dyDescent="0.35">
      <c r="A343" s="6" t="s">
        <v>39</v>
      </c>
      <c r="B343" s="6">
        <f t="shared" si="41"/>
        <v>6.8369970539627651E-5</v>
      </c>
      <c r="AB343" s="23" t="s">
        <v>125</v>
      </c>
      <c r="AC343" s="17">
        <f t="shared" ref="AC343:BA343" si="46">SUM(AC334:AC342)</f>
        <v>1.159911313438926E-4</v>
      </c>
      <c r="AD343" s="17">
        <f t="shared" si="46"/>
        <v>-6.327984165326038E-5</v>
      </c>
      <c r="AE343" s="17">
        <f t="shared" si="46"/>
        <v>-6.3912992761097512E-5</v>
      </c>
      <c r="AF343" s="17">
        <f t="shared" si="46"/>
        <v>-6.042426903107761E-5</v>
      </c>
      <c r="AG343" s="17">
        <f t="shared" si="46"/>
        <v>-6.5315612188070332E-5</v>
      </c>
      <c r="AH343" s="17">
        <f t="shared" si="46"/>
        <v>-6.5960019874322713E-5</v>
      </c>
      <c r="AI343" s="17">
        <f t="shared" si="46"/>
        <v>-6.2314966449230879E-5</v>
      </c>
      <c r="AJ343" s="17">
        <f t="shared" si="46"/>
        <v>-6.6893457601583604E-5</v>
      </c>
      <c r="AK343" s="17">
        <f t="shared" si="46"/>
        <v>-6.7414616417013423E-5</v>
      </c>
      <c r="AL343" s="17">
        <f t="shared" si="46"/>
        <v>-6.3906050719753424E-5</v>
      </c>
      <c r="AM343" s="17">
        <f t="shared" si="46"/>
        <v>-6.8323403823209643E-5</v>
      </c>
      <c r="AN343" s="17">
        <f t="shared" si="46"/>
        <v>-6.8669276862546103E-5</v>
      </c>
      <c r="AO343" s="17">
        <f t="shared" si="46"/>
        <v>-6.5231222248226536E-5</v>
      </c>
      <c r="AP343" s="17">
        <f t="shared" si="46"/>
        <v>-6.9382113232075538E-5</v>
      </c>
      <c r="AQ343" s="17">
        <f t="shared" si="46"/>
        <v>-6.9724371119069705E-5</v>
      </c>
      <c r="AR343" s="17">
        <f t="shared" si="46"/>
        <v>-6.6479322140925384E-5</v>
      </c>
      <c r="AS343" s="17">
        <f t="shared" si="46"/>
        <v>-7.0253436777495959E-5</v>
      </c>
      <c r="AT343" s="17">
        <f t="shared" si="46"/>
        <v>-7.0438876620229672E-5</v>
      </c>
      <c r="AU343" s="17">
        <f t="shared" si="46"/>
        <v>-6.7193573293423102E-5</v>
      </c>
      <c r="AV343" s="17">
        <f t="shared" si="46"/>
        <v>-7.081955498474684E-5</v>
      </c>
      <c r="AW343" s="17">
        <f t="shared" si="46"/>
        <v>-7.1089876669395386E-5</v>
      </c>
      <c r="AX343" s="17">
        <f t="shared" si="46"/>
        <v>-6.7585949368830482E-5</v>
      </c>
      <c r="AY343" s="17">
        <f t="shared" si="46"/>
        <v>-7.1017530432198451E-5</v>
      </c>
      <c r="AZ343" s="17">
        <f t="shared" si="46"/>
        <v>-7.1075875249934859E-5</v>
      </c>
      <c r="BA343" s="17">
        <f t="shared" si="46"/>
        <v>-6.5153932787817301E-5</v>
      </c>
    </row>
    <row r="344" spans="1:53" outlineLevel="1" x14ac:dyDescent="0.35">
      <c r="A344" s="6" t="s">
        <v>41</v>
      </c>
      <c r="B344" s="6">
        <f t="shared" si="41"/>
        <v>7.1745132553752663E-7</v>
      </c>
    </row>
    <row r="345" spans="1:53" outlineLevel="1" x14ac:dyDescent="0.35">
      <c r="A345" s="6" t="s">
        <v>43</v>
      </c>
      <c r="B345" s="6">
        <f t="shared" si="41"/>
        <v>2.0194466025799359E-6</v>
      </c>
      <c r="AB345" s="272"/>
      <c r="AC345" s="272"/>
      <c r="AD345" s="272"/>
      <c r="AE345" s="272"/>
      <c r="AF345" s="272"/>
      <c r="AG345" s="272"/>
      <c r="AH345" s="272"/>
      <c r="AI345" s="272"/>
      <c r="AJ345" s="272"/>
      <c r="AK345" s="272"/>
      <c r="AL345" s="272"/>
      <c r="AM345" s="272"/>
      <c r="AN345" s="272"/>
      <c r="AO345" s="272"/>
      <c r="AP345" s="272"/>
      <c r="AQ345" s="272"/>
      <c r="AR345" s="272"/>
      <c r="AS345" s="272"/>
      <c r="AT345" s="272"/>
      <c r="AU345" s="272"/>
      <c r="AV345" s="272"/>
      <c r="AW345" s="272"/>
      <c r="AX345" s="272"/>
      <c r="AY345" s="272"/>
      <c r="AZ345" s="272"/>
      <c r="BA345" s="272"/>
    </row>
    <row r="346" spans="1:53" outlineLevel="1" x14ac:dyDescent="0.35">
      <c r="A346" s="6" t="s">
        <v>44</v>
      </c>
      <c r="B346" s="6">
        <f>B62*AC325</f>
        <v>5.3828988447895789E-6</v>
      </c>
      <c r="AB346" s="272"/>
      <c r="AC346" s="272"/>
      <c r="AD346" s="272"/>
      <c r="AE346" s="272"/>
      <c r="AF346" s="272"/>
      <c r="AG346" s="272"/>
      <c r="AH346" s="272"/>
      <c r="AI346" s="272"/>
      <c r="AJ346" s="272"/>
      <c r="AK346" s="272"/>
      <c r="AL346" s="272"/>
      <c r="AM346" s="272"/>
      <c r="AN346" s="272"/>
      <c r="AO346" s="272"/>
      <c r="AP346" s="272"/>
      <c r="AQ346" s="272"/>
      <c r="AR346" s="272"/>
      <c r="AS346" s="272"/>
      <c r="AT346" s="272"/>
      <c r="AU346" s="272"/>
      <c r="AV346" s="272"/>
      <c r="AW346" s="272"/>
      <c r="AX346" s="272"/>
      <c r="AY346" s="272"/>
      <c r="AZ346" s="272"/>
      <c r="BA346" s="272"/>
    </row>
    <row r="347" spans="1:53" outlineLevel="1" x14ac:dyDescent="0.35">
      <c r="A347" s="6" t="s">
        <v>757</v>
      </c>
      <c r="B347" s="6">
        <f>B63*AC325</f>
        <v>1.4600313647494411E-5</v>
      </c>
      <c r="AB347" s="272"/>
      <c r="AC347" s="272"/>
      <c r="AD347" s="272"/>
      <c r="AE347" s="272"/>
      <c r="AF347" s="272"/>
      <c r="AG347" s="272"/>
      <c r="AH347" s="272"/>
      <c r="AI347" s="272"/>
      <c r="AJ347" s="272"/>
      <c r="AK347" s="272"/>
      <c r="AL347" s="272"/>
      <c r="AM347" s="272"/>
      <c r="AN347" s="272"/>
      <c r="AO347" s="272"/>
      <c r="AP347" s="272"/>
      <c r="AQ347" s="272"/>
      <c r="AR347" s="272"/>
      <c r="AS347" s="272"/>
      <c r="AT347" s="272"/>
      <c r="AU347" s="272"/>
      <c r="AV347" s="272"/>
      <c r="AW347" s="272"/>
      <c r="AX347" s="272"/>
      <c r="AY347" s="272"/>
      <c r="AZ347" s="272"/>
      <c r="BA347" s="272"/>
    </row>
    <row r="348" spans="1:53" outlineLevel="1" x14ac:dyDescent="0.35">
      <c r="A348" s="6" t="s">
        <v>22</v>
      </c>
      <c r="Z348" s="6">
        <f>Z64</f>
        <v>6.1478607554612128E-8</v>
      </c>
      <c r="AB348" s="272"/>
      <c r="AC348" s="272"/>
      <c r="AD348" s="272"/>
      <c r="AE348" s="272"/>
      <c r="AF348" s="272"/>
      <c r="AG348" s="272"/>
      <c r="AH348" s="272"/>
      <c r="AI348" s="272"/>
      <c r="AJ348" s="272"/>
      <c r="AK348" s="272"/>
      <c r="AL348" s="272"/>
      <c r="AM348" s="272"/>
      <c r="AN348" s="272"/>
      <c r="AO348" s="272"/>
      <c r="AP348" s="272"/>
      <c r="AQ348" s="272"/>
      <c r="AR348" s="272"/>
      <c r="AS348" s="272"/>
      <c r="AT348" s="272"/>
      <c r="AU348" s="272"/>
      <c r="AV348" s="272"/>
      <c r="AW348" s="272"/>
      <c r="AX348" s="272"/>
      <c r="AY348" s="272"/>
      <c r="AZ348" s="272"/>
      <c r="BA348" s="272"/>
    </row>
    <row r="349" spans="1:53" outlineLevel="1" x14ac:dyDescent="0.35">
      <c r="A349" s="6" t="s">
        <v>24</v>
      </c>
      <c r="Z349" s="6">
        <f t="shared" ref="Z349:Z359" si="47">Z65</f>
        <v>2.976482971528415E-8</v>
      </c>
      <c r="AB349" s="272"/>
      <c r="AC349" s="272"/>
      <c r="AD349" s="272"/>
      <c r="AE349" s="272"/>
      <c r="AF349" s="272"/>
      <c r="AG349" s="272"/>
      <c r="AH349" s="272"/>
      <c r="AI349" s="272"/>
      <c r="AJ349" s="272"/>
      <c r="AK349" s="272"/>
      <c r="AL349" s="272"/>
      <c r="AM349" s="272"/>
      <c r="AN349" s="272"/>
      <c r="AO349" s="272"/>
      <c r="AP349" s="272"/>
      <c r="AQ349" s="272"/>
      <c r="AR349" s="272"/>
      <c r="AS349" s="272"/>
      <c r="AT349" s="272"/>
      <c r="AU349" s="272"/>
      <c r="AV349" s="272"/>
      <c r="AW349" s="272"/>
      <c r="AX349" s="272"/>
      <c r="AY349" s="272"/>
      <c r="AZ349" s="272"/>
      <c r="BA349" s="272"/>
    </row>
    <row r="350" spans="1:53" outlineLevel="1" x14ac:dyDescent="0.35">
      <c r="A350" s="6" t="s">
        <v>25</v>
      </c>
      <c r="Z350" s="6">
        <f t="shared" si="47"/>
        <v>1.171837262399769E-7</v>
      </c>
      <c r="AB350" s="272"/>
      <c r="AC350" s="272"/>
      <c r="AD350" s="272"/>
      <c r="AE350" s="272"/>
      <c r="AF350" s="272"/>
      <c r="AG350" s="272"/>
      <c r="AH350" s="272"/>
      <c r="AI350" s="272"/>
      <c r="AJ350" s="272"/>
      <c r="AK350" s="272"/>
      <c r="AL350" s="272"/>
      <c r="AM350" s="272"/>
      <c r="AN350" s="272"/>
      <c r="AO350" s="272"/>
      <c r="AP350" s="272"/>
      <c r="AQ350" s="272"/>
      <c r="AR350" s="272"/>
      <c r="AS350" s="272"/>
      <c r="AT350" s="272"/>
      <c r="AU350" s="272"/>
      <c r="AV350" s="272"/>
      <c r="AW350" s="272"/>
      <c r="AX350" s="272"/>
      <c r="AY350" s="272"/>
      <c r="AZ350" s="272"/>
      <c r="BA350" s="272"/>
    </row>
    <row r="351" spans="1:53" outlineLevel="1" x14ac:dyDescent="0.35">
      <c r="A351" s="6" t="s">
        <v>27</v>
      </c>
      <c r="Z351" s="6">
        <f t="shared" si="47"/>
        <v>4.3609799371464648E-8</v>
      </c>
      <c r="AB351" s="272"/>
      <c r="AC351" s="272"/>
      <c r="AD351" s="272"/>
      <c r="AE351" s="272"/>
      <c r="AF351" s="272"/>
      <c r="AG351" s="272"/>
      <c r="AH351" s="272"/>
      <c r="AI351" s="272"/>
      <c r="AJ351" s="272"/>
      <c r="AK351" s="272"/>
      <c r="AL351" s="272"/>
      <c r="AM351" s="272"/>
      <c r="AN351" s="272"/>
      <c r="AO351" s="272"/>
      <c r="AP351" s="272"/>
      <c r="AQ351" s="272"/>
      <c r="AR351" s="272"/>
      <c r="AS351" s="272"/>
      <c r="AT351" s="272"/>
      <c r="AU351" s="272"/>
      <c r="AV351" s="272"/>
      <c r="AW351" s="272"/>
      <c r="AX351" s="272"/>
      <c r="AY351" s="272"/>
      <c r="AZ351" s="272"/>
      <c r="BA351" s="272"/>
    </row>
    <row r="352" spans="1:53" outlineLevel="1" x14ac:dyDescent="0.35">
      <c r="A352" s="6" t="s">
        <v>30</v>
      </c>
      <c r="Z352" s="6">
        <f t="shared" si="47"/>
        <v>8.1026310749086041E-8</v>
      </c>
      <c r="AB352" s="272"/>
      <c r="AC352" s="272"/>
      <c r="AD352" s="272"/>
      <c r="AE352" s="272"/>
      <c r="AF352" s="272"/>
      <c r="AG352" s="272"/>
      <c r="AH352" s="272"/>
      <c r="AI352" s="272"/>
      <c r="AJ352" s="272"/>
      <c r="AK352" s="272"/>
      <c r="AL352" s="272"/>
      <c r="AM352" s="272"/>
      <c r="AN352" s="272"/>
      <c r="AO352" s="272"/>
      <c r="AP352" s="272"/>
      <c r="AQ352" s="272"/>
      <c r="AR352" s="272"/>
      <c r="AS352" s="272"/>
      <c r="AT352" s="272"/>
      <c r="AU352" s="272"/>
      <c r="AV352" s="272"/>
      <c r="AW352" s="272"/>
      <c r="AX352" s="272"/>
      <c r="AY352" s="272"/>
      <c r="AZ352" s="272"/>
      <c r="BA352" s="272"/>
    </row>
    <row r="353" spans="1:53" outlineLevel="1" x14ac:dyDescent="0.35">
      <c r="A353" s="6" t="s">
        <v>32</v>
      </c>
      <c r="Z353" s="6">
        <f t="shared" si="47"/>
        <v>6.462583175159231E-9</v>
      </c>
      <c r="AB353" s="272"/>
      <c r="AC353" s="272"/>
      <c r="AD353" s="272"/>
      <c r="AE353" s="272"/>
      <c r="AF353" s="272"/>
      <c r="AG353" s="272"/>
      <c r="AH353" s="272"/>
      <c r="AI353" s="272"/>
      <c r="AJ353" s="272"/>
      <c r="AK353" s="272"/>
      <c r="AL353" s="272"/>
      <c r="AM353" s="272"/>
      <c r="AN353" s="272"/>
      <c r="AO353" s="272"/>
      <c r="AP353" s="272"/>
      <c r="AQ353" s="272"/>
      <c r="AR353" s="272"/>
      <c r="AS353" s="272"/>
      <c r="AT353" s="272"/>
      <c r="AU353" s="272"/>
      <c r="AV353" s="272"/>
      <c r="AW353" s="272"/>
      <c r="AX353" s="272"/>
      <c r="AY353" s="272"/>
      <c r="AZ353" s="272"/>
      <c r="BA353" s="272"/>
    </row>
    <row r="354" spans="1:53" outlineLevel="1" x14ac:dyDescent="0.35">
      <c r="A354" s="6" t="s">
        <v>33</v>
      </c>
      <c r="Z354" s="6">
        <f t="shared" si="47"/>
        <v>2.0587769966053419E-8</v>
      </c>
      <c r="AB354" s="272"/>
      <c r="AC354" s="272"/>
      <c r="AD354" s="272"/>
      <c r="AE354" s="272"/>
      <c r="AF354" s="272"/>
      <c r="AG354" s="272"/>
      <c r="AH354" s="272"/>
      <c r="AI354" s="272"/>
      <c r="AJ354" s="272"/>
      <c r="AK354" s="272"/>
      <c r="AL354" s="272"/>
      <c r="AM354" s="272"/>
      <c r="AN354" s="272"/>
      <c r="AO354" s="272"/>
      <c r="AP354" s="272"/>
      <c r="AQ354" s="272"/>
      <c r="AR354" s="272"/>
      <c r="AS354" s="272"/>
      <c r="AT354" s="272"/>
      <c r="AU354" s="272"/>
      <c r="AV354" s="272"/>
      <c r="AW354" s="272"/>
      <c r="AX354" s="272"/>
      <c r="AY354" s="272"/>
      <c r="AZ354" s="272"/>
      <c r="BA354" s="272"/>
    </row>
    <row r="355" spans="1:53" outlineLevel="1" x14ac:dyDescent="0.35">
      <c r="A355" s="6" t="s">
        <v>35</v>
      </c>
      <c r="Z355" s="6">
        <f t="shared" si="47"/>
        <v>4.1175539932106838E-8</v>
      </c>
      <c r="AB355" s="272"/>
      <c r="AC355" s="272"/>
      <c r="AD355" s="272"/>
      <c r="AE355" s="272"/>
      <c r="AF355" s="272"/>
      <c r="AG355" s="272"/>
      <c r="AH355" s="272"/>
      <c r="AI355" s="272"/>
      <c r="AJ355" s="272"/>
      <c r="AK355" s="272"/>
      <c r="AL355" s="272"/>
      <c r="AM355" s="272"/>
      <c r="AN355" s="272"/>
      <c r="AO355" s="272"/>
      <c r="AP355" s="272"/>
      <c r="AQ355" s="272"/>
      <c r="AR355" s="272"/>
      <c r="AS355" s="272"/>
      <c r="AT355" s="272"/>
      <c r="AU355" s="272"/>
      <c r="AV355" s="272"/>
      <c r="AW355" s="272"/>
      <c r="AX355" s="272"/>
      <c r="AY355" s="272"/>
      <c r="AZ355" s="272"/>
      <c r="BA355" s="272"/>
    </row>
    <row r="356" spans="1:53" outlineLevel="1" x14ac:dyDescent="0.35">
      <c r="A356" s="6" t="s">
        <v>37</v>
      </c>
      <c r="Z356" s="6">
        <f t="shared" si="47"/>
        <v>1.082893050409224E-7</v>
      </c>
      <c r="AB356" s="272"/>
      <c r="AC356" s="272"/>
      <c r="AD356" s="272"/>
      <c r="AE356" s="272"/>
      <c r="AF356" s="272"/>
      <c r="AG356" s="272"/>
      <c r="AH356" s="272"/>
      <c r="AI356" s="272"/>
      <c r="AJ356" s="272"/>
      <c r="AK356" s="272"/>
      <c r="AL356" s="272"/>
      <c r="AM356" s="272"/>
      <c r="AN356" s="272"/>
      <c r="AO356" s="272"/>
      <c r="AP356" s="272"/>
      <c r="AQ356" s="272"/>
      <c r="AR356" s="272"/>
      <c r="AS356" s="272"/>
      <c r="AT356" s="272"/>
      <c r="AU356" s="272"/>
      <c r="AV356" s="272"/>
      <c r="AW356" s="272"/>
      <c r="AX356" s="272"/>
      <c r="AY356" s="272"/>
      <c r="AZ356" s="272"/>
      <c r="BA356" s="272"/>
    </row>
    <row r="357" spans="1:53" outlineLevel="1" x14ac:dyDescent="0.35">
      <c r="A357" s="6" t="s">
        <v>40</v>
      </c>
      <c r="Z357" s="6">
        <f t="shared" si="47"/>
        <v>9.3290002951854711E-7</v>
      </c>
    </row>
    <row r="358" spans="1:53" outlineLevel="1" x14ac:dyDescent="0.35">
      <c r="A358" s="6" t="s">
        <v>42</v>
      </c>
      <c r="Z358" s="6">
        <f t="shared" si="47"/>
        <v>1.6127658943828059E-7</v>
      </c>
    </row>
    <row r="359" spans="1:53" outlineLevel="1" x14ac:dyDescent="0.35">
      <c r="A359" s="6" t="s">
        <v>115</v>
      </c>
      <c r="Z359" s="6">
        <f t="shared" si="47"/>
        <v>9.7768184832398183E-7</v>
      </c>
    </row>
    <row r="360" spans="1:53" outlineLevel="1" x14ac:dyDescent="0.35">
      <c r="A360" s="6" t="s">
        <v>45</v>
      </c>
      <c r="Z360" s="6">
        <f>Z76*AC325</f>
        <v>4.4588828617303134E-8</v>
      </c>
    </row>
    <row r="361" spans="1:53" outlineLevel="1" x14ac:dyDescent="0.35">
      <c r="A361" s="6" t="s">
        <v>116</v>
      </c>
      <c r="B361" s="6">
        <f>B77</f>
        <v>4.3941155135361717E-6</v>
      </c>
      <c r="C361" s="6">
        <f t="shared" ref="C361:Z361" si="48">C77</f>
        <v>4.3551339936524957E-6</v>
      </c>
      <c r="D361" s="6">
        <f t="shared" si="48"/>
        <v>4.3155764585668393E-6</v>
      </c>
      <c r="E361" s="6">
        <f t="shared" si="48"/>
        <v>4.2507924568478764E-6</v>
      </c>
      <c r="F361" s="6">
        <f t="shared" si="48"/>
        <v>4.2100362106520597E-6</v>
      </c>
      <c r="G361" s="6">
        <f t="shared" si="48"/>
        <v>4.1687095630562638E-6</v>
      </c>
      <c r="H361" s="6">
        <f t="shared" si="48"/>
        <v>4.1207843305059888E-6</v>
      </c>
      <c r="I361" s="6">
        <f t="shared" si="48"/>
        <v>4.0725727703376247E-6</v>
      </c>
      <c r="J361" s="6">
        <f t="shared" si="48"/>
        <v>4.01062457106556E-6</v>
      </c>
      <c r="K361" s="6">
        <f t="shared" si="48"/>
        <v>3.961479922998473E-6</v>
      </c>
      <c r="L361" s="6">
        <f t="shared" si="48"/>
        <v>3.9118591966726191E-6</v>
      </c>
      <c r="M361" s="6">
        <f t="shared" si="48"/>
        <v>3.8471478244737326E-6</v>
      </c>
      <c r="N361" s="6">
        <f t="shared" si="48"/>
        <v>3.782659921523485E-6</v>
      </c>
      <c r="O361" s="6">
        <f t="shared" si="48"/>
        <v>3.713272756861E-6</v>
      </c>
      <c r="P361" s="6">
        <f t="shared" si="48"/>
        <v>3.6491625076252609E-6</v>
      </c>
      <c r="Q361" s="6">
        <f t="shared" si="48"/>
        <v>3.5852486401048028E-6</v>
      </c>
      <c r="R361" s="6">
        <f t="shared" si="48"/>
        <v>3.541524251276272E-6</v>
      </c>
      <c r="S361" s="6">
        <f t="shared" si="48"/>
        <v>3.497920157316386E-6</v>
      </c>
      <c r="T361" s="6">
        <f t="shared" si="48"/>
        <v>3.4498744880293848E-6</v>
      </c>
      <c r="U361" s="6">
        <f t="shared" si="48"/>
        <v>3.40659234526044E-6</v>
      </c>
      <c r="V361" s="6">
        <f t="shared" si="48"/>
        <v>3.3635236817237319E-6</v>
      </c>
      <c r="W361" s="6">
        <f t="shared" si="48"/>
        <v>3.372986237475297E-6</v>
      </c>
      <c r="X361" s="6">
        <f t="shared" si="48"/>
        <v>3.366594014311087E-6</v>
      </c>
      <c r="Y361" s="6">
        <f t="shared" si="48"/>
        <v>3.3602610921714248E-6</v>
      </c>
      <c r="Z361" s="6">
        <f t="shared" si="48"/>
        <v>3.3539861692443772E-6</v>
      </c>
    </row>
    <row r="362" spans="1:53" outlineLevel="1" x14ac:dyDescent="0.35">
      <c r="A362" s="6" t="s">
        <v>758</v>
      </c>
      <c r="B362" s="6">
        <f>B78*$AC$325</f>
        <v>5.9017688285214648E-6</v>
      </c>
      <c r="C362" s="6">
        <f t="shared" ref="C362:Z363" si="49">C78*$AC$325</f>
        <v>5.5365779306722645E-6</v>
      </c>
      <c r="D362" s="6">
        <f t="shared" si="49"/>
        <v>5.1727051216609854E-6</v>
      </c>
      <c r="E362" s="6">
        <f t="shared" si="49"/>
        <v>4.8038367381262686E-6</v>
      </c>
      <c r="F362" s="6">
        <f t="shared" si="49"/>
        <v>4.4425137062192297E-6</v>
      </c>
      <c r="G362" s="6">
        <f t="shared" si="49"/>
        <v>4.0824990590552761E-6</v>
      </c>
      <c r="H362" s="6">
        <f t="shared" si="49"/>
        <v>3.8562272790619994E-6</v>
      </c>
      <c r="I362" s="6">
        <f t="shared" si="49"/>
        <v>3.6303045758551483E-6</v>
      </c>
      <c r="J362" s="6">
        <f t="shared" si="49"/>
        <v>3.3998576592599265E-6</v>
      </c>
      <c r="K362" s="6">
        <f t="shared" si="49"/>
        <v>3.1740107509092194E-6</v>
      </c>
      <c r="L362" s="6">
        <f t="shared" si="49"/>
        <v>2.9481835972068193E-6</v>
      </c>
      <c r="M362" s="6">
        <f t="shared" si="49"/>
        <v>2.7958319957082742E-6</v>
      </c>
      <c r="N362" s="6">
        <f t="shared" si="49"/>
        <v>2.6428033369281585E-6</v>
      </c>
      <c r="O362" s="6">
        <f t="shared" si="49"/>
        <v>2.4875403406580795E-6</v>
      </c>
      <c r="P362" s="6">
        <f t="shared" si="49"/>
        <v>2.3328538014944768E-6</v>
      </c>
      <c r="Q362" s="6">
        <f t="shared" si="49"/>
        <v>2.1774875650067288E-6</v>
      </c>
      <c r="R362" s="6">
        <f t="shared" si="49"/>
        <v>2.1079482033909038E-6</v>
      </c>
      <c r="S362" s="6">
        <f t="shared" si="49"/>
        <v>2.0384423791714974E-6</v>
      </c>
      <c r="T362" s="6">
        <f t="shared" si="49"/>
        <v>1.9676473715466984E-6</v>
      </c>
      <c r="U362" s="6">
        <f t="shared" si="49"/>
        <v>1.8981331814590096E-6</v>
      </c>
      <c r="V362" s="6">
        <f t="shared" si="49"/>
        <v>1.8286604012054646E-6</v>
      </c>
      <c r="W362" s="6">
        <f t="shared" si="49"/>
        <v>1.8339598975130079E-6</v>
      </c>
      <c r="X362" s="6">
        <f t="shared" si="49"/>
        <v>1.8014920090479636E-6</v>
      </c>
      <c r="Y362" s="6">
        <f t="shared" si="49"/>
        <v>1.7689711356925339E-6</v>
      </c>
      <c r="Z362" s="6">
        <f t="shared" si="49"/>
        <v>1.7363925894132296E-6</v>
      </c>
    </row>
    <row r="363" spans="1:53" outlineLevel="1" x14ac:dyDescent="0.35">
      <c r="A363" s="6" t="s">
        <v>759</v>
      </c>
      <c r="B363" s="6">
        <f>B79*$AC$325</f>
        <v>1.0368000147309429E-7</v>
      </c>
      <c r="C363" s="6">
        <f t="shared" si="49"/>
        <v>1.0368000147309429E-7</v>
      </c>
      <c r="D363" s="6">
        <f t="shared" si="49"/>
        <v>1.0368000147309429E-7</v>
      </c>
      <c r="E363" s="6">
        <f t="shared" si="49"/>
        <v>1.0368000147309429E-7</v>
      </c>
      <c r="F363" s="6">
        <f t="shared" si="49"/>
        <v>1.0368000147309429E-7</v>
      </c>
      <c r="G363" s="6">
        <f t="shared" si="49"/>
        <v>1.0368000147309429E-7</v>
      </c>
      <c r="H363" s="6">
        <f t="shared" si="49"/>
        <v>1.0368000147309429E-7</v>
      </c>
      <c r="I363" s="6">
        <f t="shared" si="49"/>
        <v>1.0368000147309429E-7</v>
      </c>
      <c r="J363" s="6">
        <f t="shared" si="49"/>
        <v>1.0368000147309429E-7</v>
      </c>
      <c r="K363" s="6">
        <f t="shared" si="49"/>
        <v>1.0368000147309429E-7</v>
      </c>
      <c r="L363" s="6">
        <f t="shared" si="49"/>
        <v>1.0368000147309429E-7</v>
      </c>
      <c r="M363" s="6">
        <f t="shared" si="49"/>
        <v>1.0368000147309429E-7</v>
      </c>
      <c r="N363" s="6">
        <f t="shared" si="49"/>
        <v>1.0368000147309429E-7</v>
      </c>
      <c r="O363" s="6">
        <f t="shared" si="49"/>
        <v>1.0368000147309429E-7</v>
      </c>
      <c r="P363" s="6">
        <f t="shared" si="49"/>
        <v>1.0368000147309429E-7</v>
      </c>
      <c r="Q363" s="6">
        <f t="shared" si="49"/>
        <v>1.0368000147309429E-7</v>
      </c>
      <c r="R363" s="6">
        <f t="shared" si="49"/>
        <v>1.0368000147309429E-7</v>
      </c>
      <c r="S363" s="6">
        <f t="shared" si="49"/>
        <v>1.0368000147309429E-7</v>
      </c>
      <c r="T363" s="6">
        <f t="shared" si="49"/>
        <v>1.0368000147309429E-7</v>
      </c>
      <c r="U363" s="6">
        <f t="shared" si="49"/>
        <v>1.0368000147309429E-7</v>
      </c>
      <c r="V363" s="6">
        <f t="shared" si="49"/>
        <v>1.0368000147309429E-7</v>
      </c>
      <c r="W363" s="6">
        <f t="shared" si="49"/>
        <v>1.0368000147309429E-7</v>
      </c>
      <c r="X363" s="6">
        <f t="shared" si="49"/>
        <v>1.0368000147309429E-7</v>
      </c>
      <c r="Y363" s="6">
        <f t="shared" si="49"/>
        <v>1.0368000147309429E-7</v>
      </c>
      <c r="Z363" s="6">
        <f t="shared" si="49"/>
        <v>1.0368000147309429E-7</v>
      </c>
    </row>
    <row r="364" spans="1:53" outlineLevel="1" x14ac:dyDescent="0.35">
      <c r="A364" s="6" t="s">
        <v>760</v>
      </c>
      <c r="B364" s="6">
        <f>$B$252*$AC$324*'Results - raw data ReCiPe (H)'!AC121/(1-$AC$330)*(1+'Results ReCiPe (H) - HHD'!$AC$271/'Results ReCiPe (H) - HHD'!$AC$272-'Results ReCiPe (H) - HHD'!$AC$271)</f>
        <v>3.0475776004471539E-5</v>
      </c>
      <c r="C364" s="6">
        <f>$B$252*$AC$324*'Results - raw data ReCiPe (H)'!AD121/(1-$AC$330)*(1+'Results ReCiPe (H) - HHD'!$AC$271/'Results ReCiPe (H) - HHD'!$AC$272-'Results ReCiPe (H) - HHD'!$AC$271)</f>
        <v>3.0211963831092113E-5</v>
      </c>
      <c r="D364" s="6">
        <f>$B$252*$AC$324*'Results - raw data ReCiPe (H)'!AE121/(1-$AC$330)*(1+'Results ReCiPe (H) - HHD'!$AC$271/'Results ReCiPe (H) - HHD'!$AC$272-'Results ReCiPe (H) - HHD'!$AC$271)</f>
        <v>2.9942685532266271E-5</v>
      </c>
      <c r="E364" s="6">
        <f>$B$252*$AC$324*'Results - raw data ReCiPe (H)'!AF121/(1-$AC$330)*(1+'Results ReCiPe (H) - HHD'!$AC$271/'Results ReCiPe (H) - HHD'!$AC$272-'Results ReCiPe (H) - HHD'!$AC$271)</f>
        <v>2.9549485188973008E-5</v>
      </c>
      <c r="F364" s="6">
        <f>$B$252*$AC$324*'Results - raw data ReCiPe (H)'!AG121/(1-$AC$330)*(1+'Results ReCiPe (H) - HHD'!$AC$271/'Results ReCiPe (H) - HHD'!$AC$272-'Results ReCiPe (H) - HHD'!$AC$271)</f>
        <v>2.9270257520735211E-5</v>
      </c>
      <c r="G364" s="6">
        <f>$B$252*$AC$324*'Results - raw data ReCiPe (H)'!AH121/(1-$AC$330)*(1+'Results ReCiPe (H) - HHD'!$AC$271/'Results ReCiPe (H) - HHD'!$AC$272-'Results ReCiPe (H) - HHD'!$AC$271)</f>
        <v>2.8985864481646784E-5</v>
      </c>
      <c r="H364" s="6">
        <f>$B$252*$AC$324*'Results - raw data ReCiPe (H)'!AI121/(1-$AC$330)*(1+'Results ReCiPe (H) - HHD'!$AC$271/'Results ReCiPe (H) - HHD'!$AC$272-'Results ReCiPe (H) - HHD'!$AC$271)</f>
        <v>2.8736405356225901E-5</v>
      </c>
      <c r="I364" s="6">
        <f>$B$252*$AC$324*'Results - raw data ReCiPe (H)'!AJ121/(1-$AC$330)*(1+'Results ReCiPe (H) - HHD'!$AC$271/'Results ReCiPe (H) - HHD'!$AC$272-'Results ReCiPe (H) - HHD'!$AC$271)</f>
        <v>2.8504621237586012E-5</v>
      </c>
      <c r="J364" s="6">
        <f>$B$252*$AC$324*'Results - raw data ReCiPe (H)'!AK121/(1-$AC$330)*(1+'Results ReCiPe (H) - HHD'!$AC$271/'Results ReCiPe (H) - HHD'!$AC$272-'Results ReCiPe (H) - HHD'!$AC$271)</f>
        <v>2.8213909338751426E-5</v>
      </c>
      <c r="K364" s="6">
        <f>$B$252*$AC$324*'Results - raw data ReCiPe (H)'!AL121/(1-$AC$330)*(1+'Results ReCiPe (H) - HHD'!$AC$271/'Results ReCiPe (H) - HHD'!$AC$272-'Results ReCiPe (H) - HHD'!$AC$271)</f>
        <v>2.7986842021363654E-5</v>
      </c>
      <c r="L364" s="6">
        <f>$B$252*$AC$324*'Results - raw data ReCiPe (H)'!AM121/(1-$AC$330)*(1+'Results ReCiPe (H) - HHD'!$AC$271/'Results ReCiPe (H) - HHD'!$AC$272-'Results ReCiPe (H) - HHD'!$AC$271)</f>
        <v>2.7756795994608317E-5</v>
      </c>
      <c r="M364" s="6">
        <f>$B$252*$AC$324*'Results - raw data ReCiPe (H)'!AN121/(1-$AC$330)*(1+'Results ReCiPe (H) - HHD'!$AC$271/'Results ReCiPe (H) - HHD'!$AC$272-'Results ReCiPe (H) - HHD'!$AC$271)</f>
        <v>2.7563274556770385E-5</v>
      </c>
      <c r="N364" s="6">
        <f>$B$252*$AC$324*'Results - raw data ReCiPe (H)'!AO121/(1-$AC$330)*(1+'Results ReCiPe (H) - HHD'!$AC$271/'Results ReCiPe (H) - HHD'!$AC$272-'Results ReCiPe (H) - HHD'!$AC$271)</f>
        <v>2.7371697908346592E-5</v>
      </c>
      <c r="O364" s="6">
        <f>$B$252*$AC$324*'Results - raw data ReCiPe (H)'!AP121/(1-$AC$330)*(1+'Results ReCiPe (H) - HHD'!$AC$271/'Results ReCiPe (H) - HHD'!$AC$272-'Results ReCiPe (H) - HHD'!$AC$271)</f>
        <v>2.7158729842291159E-5</v>
      </c>
      <c r="P364" s="6">
        <f>$B$252*$AC$324*'Results - raw data ReCiPe (H)'!AQ121/(1-$AC$330)*(1+'Results ReCiPe (H) - HHD'!$AC$271/'Results ReCiPe (H) - HHD'!$AC$272-'Results ReCiPe (H) - HHD'!$AC$271)</f>
        <v>2.6971158494460581E-5</v>
      </c>
      <c r="Q364" s="6">
        <f>$B$252*$AC$324*'Results - raw data ReCiPe (H)'!AR121/(1-$AC$330)*(1+'Results ReCiPe (H) - HHD'!$AC$271/'Results ReCiPe (H) - HHD'!$AC$272-'Results ReCiPe (H) - HHD'!$AC$271)</f>
        <v>2.6786325068987852E-5</v>
      </c>
      <c r="R364" s="6">
        <f>$B$252*$AC$324*'Results - raw data ReCiPe (H)'!AS121/(1-$AC$330)*(1+'Results ReCiPe (H) - HHD'!$AC$271/'Results ReCiPe (H) - HHD'!$AC$272-'Results ReCiPe (H) - HHD'!$AC$271)</f>
        <v>2.6666998434137916E-5</v>
      </c>
      <c r="S364" s="6">
        <f>$B$252*$AC$324*'Results - raw data ReCiPe (H)'!AT121/(1-$AC$330)*(1+'Results ReCiPe (H) - HHD'!$AC$271/'Results ReCiPe (H) - HHD'!$AC$272-'Results ReCiPe (H) - HHD'!$AC$271)</f>
        <v>2.6551064415623596E-5</v>
      </c>
      <c r="T364" s="6">
        <f>$B$252*$AC$324*'Results - raw data ReCiPe (H)'!AU121/(1-$AC$330)*(1+'Results ReCiPe (H) - HHD'!$AC$271/'Results ReCiPe (H) - HHD'!$AC$272-'Results ReCiPe (H) - HHD'!$AC$271)</f>
        <v>2.6417288262025576E-5</v>
      </c>
      <c r="U364" s="6">
        <f>$B$252*$AC$324*'Results - raw data ReCiPe (H)'!AV121/(1-$AC$330)*(1+'Results ReCiPe (H) - HHD'!$AC$271/'Results ReCiPe (H) - HHD'!$AC$272-'Results ReCiPe (H) - HHD'!$AC$271)</f>
        <v>2.6310695248818915E-5</v>
      </c>
      <c r="V364" s="6">
        <f>$B$252*$AC$324*'Results - raw data ReCiPe (H)'!AW121/(1-$AC$330)*(1+'Results ReCiPe (H) - HHD'!$AC$271/'Results ReCiPe (H) - HHD'!$AC$272-'Results ReCiPe (H) - HHD'!$AC$271)</f>
        <v>2.6213526345897014E-5</v>
      </c>
      <c r="W364" s="6">
        <f>$B$252*$AC$324*'Results - raw data ReCiPe (H)'!AX121/(1-$AC$330)*(1+'Results ReCiPe (H) - HHD'!$AC$271/'Results ReCiPe (H) - HHD'!$AC$272-'Results ReCiPe (H) - HHD'!$AC$271)</f>
        <v>2.6339167912679071E-5</v>
      </c>
      <c r="X364" s="6">
        <f>$B$252*$AC$324*'Results - raw data ReCiPe (H)'!AY121/(1-$AC$330)*(1+'Results ReCiPe (H) - HHD'!$AC$271/'Results ReCiPe (H) - HHD'!$AC$272-'Results ReCiPe (H) - HHD'!$AC$271)</f>
        <v>2.6313040975251445E-5</v>
      </c>
      <c r="Y364" s="6">
        <f>$B$252*$AC$324*'Results - raw data ReCiPe (H)'!AZ121/(1-$AC$330)*(1+'Results ReCiPe (H) - HHD'!$AC$271/'Results ReCiPe (H) - HHD'!$AC$272-'Results ReCiPe (H) - HHD'!$AC$271)</f>
        <v>2.6287217030870466E-5</v>
      </c>
      <c r="Z364" s="6">
        <f>$B$252*$AC$324*'Results - raw data ReCiPe (H)'!BA121/(1-$AC$330)*(1+'Results ReCiPe (H) - HHD'!$AC$271/'Results ReCiPe (H) - HHD'!$AC$272-'Results ReCiPe (H) - HHD'!$AC$271)</f>
        <v>2.6261726102380168E-5</v>
      </c>
    </row>
    <row r="365" spans="1:53" outlineLevel="1" x14ac:dyDescent="0.35">
      <c r="A365" s="6" t="s">
        <v>797</v>
      </c>
      <c r="B365" s="6">
        <f>$B$320*$AC$324</f>
        <v>4.0871761583502129E-5</v>
      </c>
      <c r="C365" s="6">
        <f t="shared" ref="C365:Z365" si="50">$B$320*$AC$324</f>
        <v>4.0871761583502129E-5</v>
      </c>
      <c r="D365" s="6">
        <f t="shared" si="50"/>
        <v>4.0871761583502129E-5</v>
      </c>
      <c r="E365" s="6">
        <f t="shared" si="50"/>
        <v>4.0871761583502129E-5</v>
      </c>
      <c r="F365" s="6">
        <f t="shared" si="50"/>
        <v>4.0871761583502129E-5</v>
      </c>
      <c r="G365" s="6">
        <f t="shared" si="50"/>
        <v>4.0871761583502129E-5</v>
      </c>
      <c r="H365" s="6">
        <f t="shared" si="50"/>
        <v>4.0871761583502129E-5</v>
      </c>
      <c r="I365" s="6">
        <f t="shared" si="50"/>
        <v>4.0871761583502129E-5</v>
      </c>
      <c r="J365" s="6">
        <f t="shared" si="50"/>
        <v>4.0871761583502129E-5</v>
      </c>
      <c r="K365" s="6">
        <f t="shared" si="50"/>
        <v>4.0871761583502129E-5</v>
      </c>
      <c r="L365" s="6">
        <f t="shared" si="50"/>
        <v>4.0871761583502129E-5</v>
      </c>
      <c r="M365" s="6">
        <f t="shared" si="50"/>
        <v>4.0871761583502129E-5</v>
      </c>
      <c r="N365" s="6">
        <f t="shared" si="50"/>
        <v>4.0871761583502129E-5</v>
      </c>
      <c r="O365" s="6">
        <f t="shared" si="50"/>
        <v>4.0871761583502129E-5</v>
      </c>
      <c r="P365" s="6">
        <f t="shared" si="50"/>
        <v>4.0871761583502129E-5</v>
      </c>
      <c r="Q365" s="6">
        <f t="shared" si="50"/>
        <v>4.0871761583502129E-5</v>
      </c>
      <c r="R365" s="6">
        <f t="shared" si="50"/>
        <v>4.0871761583502129E-5</v>
      </c>
      <c r="S365" s="6">
        <f t="shared" si="50"/>
        <v>4.0871761583502129E-5</v>
      </c>
      <c r="T365" s="6">
        <f t="shared" si="50"/>
        <v>4.0871761583502129E-5</v>
      </c>
      <c r="U365" s="6">
        <f t="shared" si="50"/>
        <v>4.0871761583502129E-5</v>
      </c>
      <c r="V365" s="6">
        <f t="shared" si="50"/>
        <v>4.0871761583502129E-5</v>
      </c>
      <c r="W365" s="6">
        <f t="shared" si="50"/>
        <v>4.0871761583502129E-5</v>
      </c>
      <c r="X365" s="6">
        <f t="shared" si="50"/>
        <v>4.0871761583502129E-5</v>
      </c>
      <c r="Y365" s="6">
        <f t="shared" si="50"/>
        <v>4.0871761583502129E-5</v>
      </c>
      <c r="Z365" s="6">
        <f t="shared" si="50"/>
        <v>4.0871761583502129E-5</v>
      </c>
    </row>
    <row r="366" spans="1:53" outlineLevel="1" x14ac:dyDescent="0.35">
      <c r="A366" s="23" t="s">
        <v>125</v>
      </c>
      <c r="B366" s="17">
        <f>SUM(B334:B364)</f>
        <v>2.1512319476039047E-4</v>
      </c>
      <c r="C366" s="17">
        <f t="shared" ref="C366:Z366" si="51">SUM(C334:C364)</f>
        <v>4.0207355756889967E-5</v>
      </c>
      <c r="D366" s="17">
        <f t="shared" si="51"/>
        <v>3.9534647113967193E-5</v>
      </c>
      <c r="E366" s="17">
        <f t="shared" si="51"/>
        <v>3.8707794385420244E-5</v>
      </c>
      <c r="F366" s="17">
        <f t="shared" si="51"/>
        <v>3.8026487439079596E-5</v>
      </c>
      <c r="G366" s="17">
        <f t="shared" si="51"/>
        <v>3.7340753105231421E-5</v>
      </c>
      <c r="H366" s="17">
        <f t="shared" si="51"/>
        <v>3.6817096967266983E-5</v>
      </c>
      <c r="I366" s="17">
        <f t="shared" si="51"/>
        <v>3.6311178585251877E-5</v>
      </c>
      <c r="J366" s="17">
        <f t="shared" si="51"/>
        <v>3.5728071570550004E-5</v>
      </c>
      <c r="K366" s="17">
        <f t="shared" si="51"/>
        <v>3.5226012696744444E-5</v>
      </c>
      <c r="L366" s="17">
        <f t="shared" si="51"/>
        <v>3.4720518789960853E-5</v>
      </c>
      <c r="M366" s="17">
        <f t="shared" si="51"/>
        <v>3.4309934378425489E-5</v>
      </c>
      <c r="N366" s="17">
        <f t="shared" si="51"/>
        <v>3.3900841168271333E-5</v>
      </c>
      <c r="O366" s="17">
        <f t="shared" si="51"/>
        <v>3.3463222941283335E-5</v>
      </c>
      <c r="P366" s="17">
        <f t="shared" si="51"/>
        <v>3.3056854805053411E-5</v>
      </c>
      <c r="Q366" s="17">
        <f t="shared" si="51"/>
        <v>3.2652741275572478E-5</v>
      </c>
      <c r="R366" s="17">
        <f t="shared" si="51"/>
        <v>3.2420150890278189E-5</v>
      </c>
      <c r="S366" s="17">
        <f t="shared" si="51"/>
        <v>3.219110695358457E-5</v>
      </c>
      <c r="T366" s="17">
        <f t="shared" si="51"/>
        <v>3.1938490123074753E-5</v>
      </c>
      <c r="U366" s="17">
        <f t="shared" si="51"/>
        <v>3.1719100777011457E-5</v>
      </c>
      <c r="V366" s="17">
        <f t="shared" si="51"/>
        <v>3.1509390430299303E-5</v>
      </c>
      <c r="W366" s="17">
        <f t="shared" si="51"/>
        <v>3.1649794049140467E-5</v>
      </c>
      <c r="X366" s="17">
        <f t="shared" si="51"/>
        <v>3.1584807000083587E-5</v>
      </c>
      <c r="Y366" s="17">
        <f t="shared" si="51"/>
        <v>3.1520129260207521E-5</v>
      </c>
      <c r="Z366" s="17">
        <f t="shared" si="51"/>
        <v>3.4081810630153648E-5</v>
      </c>
    </row>
    <row r="367" spans="1:53" outlineLevel="1" x14ac:dyDescent="0.35"/>
    <row r="368" spans="1:53" s="18" customFormat="1" ht="21" x14ac:dyDescent="0.5">
      <c r="A368" s="18" t="s">
        <v>94</v>
      </c>
    </row>
    <row r="369" spans="1:31" s="20" customFormat="1" outlineLevel="1" x14ac:dyDescent="0.35">
      <c r="A369" s="19" t="s">
        <v>788</v>
      </c>
    </row>
    <row r="370" spans="1:31" s="20" customFormat="1" outlineLevel="1" x14ac:dyDescent="0.35">
      <c r="A370" s="273" t="s">
        <v>775</v>
      </c>
      <c r="B370" s="20">
        <v>1</v>
      </c>
      <c r="C370" s="274" t="s">
        <v>787</v>
      </c>
    </row>
    <row r="371" spans="1:31" s="20" customFormat="1" outlineLevel="1" x14ac:dyDescent="0.35">
      <c r="A371" s="273" t="s">
        <v>781</v>
      </c>
      <c r="B371" s="20">
        <v>100000</v>
      </c>
      <c r="C371" s="20" t="s">
        <v>782</v>
      </c>
      <c r="E371" s="274"/>
    </row>
    <row r="372" spans="1:31" s="20" customFormat="1" outlineLevel="1" x14ac:dyDescent="0.35">
      <c r="A372" s="273" t="s">
        <v>783</v>
      </c>
      <c r="B372" s="20">
        <v>1500</v>
      </c>
      <c r="C372" s="20" t="s">
        <v>592</v>
      </c>
    </row>
    <row r="373" spans="1:31" s="20" customFormat="1" outlineLevel="1" x14ac:dyDescent="0.35">
      <c r="A373" s="273" t="s">
        <v>784</v>
      </c>
      <c r="B373" s="20">
        <v>8760</v>
      </c>
      <c r="C373" s="20" t="s">
        <v>785</v>
      </c>
    </row>
    <row r="374" spans="1:31" s="20" customFormat="1" outlineLevel="1" x14ac:dyDescent="0.35">
      <c r="A374" s="273"/>
    </row>
    <row r="375" spans="1:31" s="20" customFormat="1" outlineLevel="1" x14ac:dyDescent="0.35">
      <c r="A375" s="275" t="s">
        <v>786</v>
      </c>
      <c r="B375" s="275">
        <f>(B371*B372)/(B373*B370)</f>
        <v>17123.287671232876</v>
      </c>
      <c r="C375" s="275" t="s">
        <v>749</v>
      </c>
    </row>
    <row r="376" spans="1:31" s="20" customFormat="1" outlineLevel="1" x14ac:dyDescent="0.35">
      <c r="A376" s="19"/>
    </row>
    <row r="377" spans="1:31" s="20" customFormat="1" outlineLevel="1" x14ac:dyDescent="0.35">
      <c r="A377" s="19" t="s">
        <v>793</v>
      </c>
    </row>
    <row r="378" spans="1:31" s="20" customFormat="1" outlineLevel="1" x14ac:dyDescent="0.35">
      <c r="A378" s="273" t="s">
        <v>789</v>
      </c>
      <c r="B378" s="20">
        <f>SUM('Results - raw data ReCiPe (H)'!AC156:AC157)+'Results - raw data ReCiPe (H)'!AC160+SUM('Results - raw data ReCiPe (H)'!AC158:AC159)*AC387</f>
        <v>6.889611199566791E-6</v>
      </c>
      <c r="C378" s="20" t="s">
        <v>878</v>
      </c>
    </row>
    <row r="379" spans="1:31" s="20" customFormat="1" outlineLevel="1" x14ac:dyDescent="0.35">
      <c r="A379" s="20" t="s">
        <v>792</v>
      </c>
      <c r="B379" s="20">
        <f>B371*AC385</f>
        <v>50000</v>
      </c>
      <c r="C379" s="274" t="s">
        <v>795</v>
      </c>
    </row>
    <row r="380" spans="1:31" s="20" customFormat="1" outlineLevel="1" x14ac:dyDescent="0.35">
      <c r="A380" s="20" t="s">
        <v>791</v>
      </c>
      <c r="B380" s="20">
        <f>(B378*AC387*B375)/(B379*AC386)*(AC386/AC388)</f>
        <v>7.0783676707877988E-7</v>
      </c>
      <c r="C380" s="20" t="s">
        <v>879</v>
      </c>
      <c r="E380" s="274" t="s">
        <v>796</v>
      </c>
    </row>
    <row r="381" spans="1:31" s="20" customFormat="1" outlineLevel="1" x14ac:dyDescent="0.35">
      <c r="A381" s="19"/>
    </row>
    <row r="382" spans="1:31" s="16" customFormat="1" outlineLevel="1" x14ac:dyDescent="0.35">
      <c r="A382" s="21"/>
      <c r="AB382" s="15" t="s">
        <v>143</v>
      </c>
      <c r="AC382" s="16">
        <f>0.0000000028+0.0000000000000765</f>
        <v>2.8000764999999998E-9</v>
      </c>
      <c r="AD382" s="16" t="s">
        <v>916</v>
      </c>
      <c r="AE382" s="15" t="s">
        <v>714</v>
      </c>
    </row>
    <row r="383" spans="1:31" s="16" customFormat="1" outlineLevel="1" x14ac:dyDescent="0.35">
      <c r="A383" s="22" t="s">
        <v>871</v>
      </c>
      <c r="AC383" s="16">
        <f>AC382*1000</f>
        <v>2.8000765E-6</v>
      </c>
      <c r="AD383" s="16" t="s">
        <v>918</v>
      </c>
    </row>
    <row r="384" spans="1:31" s="16" customFormat="1" outlineLevel="1" x14ac:dyDescent="0.35">
      <c r="A384" s="22"/>
      <c r="AB384" s="16" t="s">
        <v>127</v>
      </c>
      <c r="AC384" s="16">
        <f>100*AC385</f>
        <v>50</v>
      </c>
      <c r="AD384" s="16" t="s">
        <v>128</v>
      </c>
    </row>
    <row r="385" spans="1:53" s="16" customFormat="1" outlineLevel="1" x14ac:dyDescent="0.35">
      <c r="A385" s="230"/>
      <c r="AB385" s="16" t="s">
        <v>776</v>
      </c>
      <c r="AC385" s="16">
        <v>0.5</v>
      </c>
    </row>
    <row r="386" spans="1:53" s="16" customFormat="1" outlineLevel="1" x14ac:dyDescent="0.35">
      <c r="A386" s="21"/>
      <c r="AB386" s="16" t="s">
        <v>129</v>
      </c>
      <c r="AC386" s="16">
        <v>25</v>
      </c>
      <c r="AD386" s="16" t="s">
        <v>130</v>
      </c>
    </row>
    <row r="387" spans="1:53" s="16" customFormat="1" outlineLevel="1" x14ac:dyDescent="0.35">
      <c r="A387" s="21"/>
      <c r="AB387" s="16" t="s">
        <v>777</v>
      </c>
      <c r="AC387" s="16">
        <v>6</v>
      </c>
      <c r="AD387" s="16" t="s">
        <v>779</v>
      </c>
    </row>
    <row r="388" spans="1:53" s="16" customFormat="1" outlineLevel="1" x14ac:dyDescent="0.35">
      <c r="A388" s="21"/>
      <c r="AB388" s="16" t="s">
        <v>778</v>
      </c>
      <c r="AC388" s="16">
        <v>20</v>
      </c>
      <c r="AD388" s="16" t="s">
        <v>130</v>
      </c>
    </row>
    <row r="389" spans="1:53" s="16" customFormat="1" outlineLevel="1" x14ac:dyDescent="0.35">
      <c r="AB389" s="16" t="s">
        <v>780</v>
      </c>
      <c r="AC389" s="16">
        <f>B375</f>
        <v>17123.287671232876</v>
      </c>
      <c r="AD389" s="16" t="s">
        <v>749</v>
      </c>
    </row>
    <row r="390" spans="1:53" s="16" customFormat="1" outlineLevel="1" x14ac:dyDescent="0.35">
      <c r="AB390" s="16" t="s">
        <v>820</v>
      </c>
      <c r="AC390" s="16">
        <v>0.5</v>
      </c>
    </row>
    <row r="391" spans="1:53" s="16" customFormat="1" outlineLevel="1" x14ac:dyDescent="0.35">
      <c r="AB391" s="16" t="s">
        <v>798</v>
      </c>
      <c r="AC391" s="16">
        <v>0.25</v>
      </c>
    </row>
    <row r="392" spans="1:53" s="16" customFormat="1" outlineLevel="1" x14ac:dyDescent="0.35">
      <c r="A392" s="22"/>
      <c r="AB392" s="16" t="s">
        <v>799</v>
      </c>
      <c r="AC392" s="16">
        <v>0.9</v>
      </c>
    </row>
    <row r="393" spans="1:53" s="16" customFormat="1" outlineLevel="1" x14ac:dyDescent="0.35">
      <c r="A393" s="22"/>
    </row>
    <row r="394" spans="1:53" outlineLevel="1" x14ac:dyDescent="0.35">
      <c r="B394" s="25">
        <v>2030</v>
      </c>
      <c r="C394" s="25">
        <v>2031</v>
      </c>
      <c r="D394" s="25">
        <v>2032</v>
      </c>
      <c r="E394" s="25">
        <v>2033</v>
      </c>
      <c r="F394" s="25">
        <v>2034</v>
      </c>
      <c r="G394" s="25">
        <v>2035</v>
      </c>
      <c r="H394" s="25">
        <v>2036</v>
      </c>
      <c r="I394" s="25">
        <v>2037</v>
      </c>
      <c r="J394" s="25">
        <v>2038</v>
      </c>
      <c r="K394" s="25">
        <v>2039</v>
      </c>
      <c r="L394" s="25">
        <v>2040</v>
      </c>
      <c r="M394" s="25">
        <v>2041</v>
      </c>
      <c r="N394" s="25">
        <v>2042</v>
      </c>
      <c r="O394" s="25">
        <v>2043</v>
      </c>
      <c r="P394" s="25">
        <v>2044</v>
      </c>
      <c r="Q394" s="25">
        <v>2045</v>
      </c>
      <c r="R394" s="25">
        <v>2046</v>
      </c>
      <c r="S394" s="25">
        <v>2047</v>
      </c>
      <c r="T394" s="25">
        <v>2048</v>
      </c>
      <c r="U394" s="25">
        <v>2049</v>
      </c>
      <c r="V394" s="25">
        <v>2050</v>
      </c>
      <c r="W394" s="25">
        <v>2051</v>
      </c>
      <c r="X394" s="25">
        <v>2052</v>
      </c>
      <c r="Y394" s="25">
        <v>2053</v>
      </c>
      <c r="Z394" s="25">
        <v>2054</v>
      </c>
      <c r="AC394" s="25">
        <v>2030</v>
      </c>
      <c r="AD394" s="25">
        <v>2031</v>
      </c>
      <c r="AE394" s="25">
        <v>2032</v>
      </c>
      <c r="AF394" s="25">
        <v>2033</v>
      </c>
      <c r="AG394" s="25">
        <v>2034</v>
      </c>
      <c r="AH394" s="25">
        <v>2035</v>
      </c>
      <c r="AI394" s="25">
        <v>2036</v>
      </c>
      <c r="AJ394" s="25">
        <v>2037</v>
      </c>
      <c r="AK394" s="25">
        <v>2038</v>
      </c>
      <c r="AL394" s="25">
        <v>2039</v>
      </c>
      <c r="AM394" s="25">
        <v>2040</v>
      </c>
      <c r="AN394" s="25">
        <v>2041</v>
      </c>
      <c r="AO394" s="25">
        <v>2042</v>
      </c>
      <c r="AP394" s="25">
        <v>2043</v>
      </c>
      <c r="AQ394" s="25">
        <v>2044</v>
      </c>
      <c r="AR394" s="25">
        <v>2045</v>
      </c>
      <c r="AS394" s="25">
        <v>2046</v>
      </c>
      <c r="AT394" s="25">
        <v>2047</v>
      </c>
      <c r="AU394" s="25">
        <v>2048</v>
      </c>
      <c r="AV394" s="25">
        <v>2049</v>
      </c>
      <c r="AW394" s="25">
        <v>2050</v>
      </c>
      <c r="AX394" s="25">
        <v>2051</v>
      </c>
      <c r="AY394" s="25">
        <v>2052</v>
      </c>
      <c r="AZ394" s="25">
        <v>2053</v>
      </c>
      <c r="BA394" s="25">
        <v>2054</v>
      </c>
    </row>
    <row r="395" spans="1:53" outlineLevel="1" x14ac:dyDescent="0.35">
      <c r="A395" s="6" t="s">
        <v>21</v>
      </c>
      <c r="B395" s="6">
        <f>B90</f>
        <v>2.5730574523951919E-6</v>
      </c>
      <c r="AB395" s="6" t="s">
        <v>117</v>
      </c>
      <c r="AC395" s="6">
        <f>SUM(B395:B406)+B408</f>
        <v>1.3798038147677175E-4</v>
      </c>
    </row>
    <row r="396" spans="1:53" outlineLevel="1" x14ac:dyDescent="0.35">
      <c r="A396" s="6" t="s">
        <v>23</v>
      </c>
      <c r="B396" s="6">
        <f t="shared" ref="B396:B406" si="52">B91</f>
        <v>4.8920761983372821E-6</v>
      </c>
      <c r="AB396" s="6" t="s">
        <v>118</v>
      </c>
      <c r="AC396" s="6">
        <f>B407</f>
        <v>4.8932981636422996E-6</v>
      </c>
    </row>
    <row r="397" spans="1:53" outlineLevel="1" x14ac:dyDescent="0.35">
      <c r="A397" s="6" t="s">
        <v>26</v>
      </c>
      <c r="B397" s="6">
        <f t="shared" si="52"/>
        <v>1.2592987091342301E-5</v>
      </c>
      <c r="AB397" s="6" t="s">
        <v>119</v>
      </c>
      <c r="BA397" s="6">
        <f>SUM(Z409:Z420)</f>
        <v>2.4979772832792044E-6</v>
      </c>
    </row>
    <row r="398" spans="1:53" outlineLevel="1" x14ac:dyDescent="0.35">
      <c r="A398" s="6" t="s">
        <v>28</v>
      </c>
      <c r="B398" s="6">
        <f t="shared" si="52"/>
        <v>9.5688269134472151E-6</v>
      </c>
      <c r="AB398" s="6" t="s">
        <v>120</v>
      </c>
      <c r="BA398" s="6">
        <f>Z421</f>
        <v>4.4645706210743862E-8</v>
      </c>
    </row>
    <row r="399" spans="1:53" outlineLevel="1" x14ac:dyDescent="0.35">
      <c r="A399" s="6" t="s">
        <v>29</v>
      </c>
      <c r="B399" s="6">
        <f t="shared" si="52"/>
        <v>7.5789098247603887E-6</v>
      </c>
      <c r="AB399" s="6" t="s">
        <v>121</v>
      </c>
      <c r="AC399" s="6">
        <f>B422</f>
        <v>3.715731652454359E-6</v>
      </c>
      <c r="AF399" s="6">
        <f>E422</f>
        <v>3.5013590415283682E-6</v>
      </c>
      <c r="AI399" s="6">
        <f>H422</f>
        <v>3.359625974222981E-6</v>
      </c>
      <c r="AL399" s="6">
        <f>K422</f>
        <v>3.3222042704526711E-6</v>
      </c>
      <c r="AO399" s="6">
        <f>N422</f>
        <v>3.3098090978734569E-6</v>
      </c>
      <c r="AR399" s="6">
        <f>Q422</f>
        <v>3.2987119954850761E-6</v>
      </c>
      <c r="AU399" s="6">
        <f>T422</f>
        <v>3.278896138541998E-6</v>
      </c>
      <c r="AX399" s="6">
        <f>W422</f>
        <v>3.2828870256197742E-6</v>
      </c>
      <c r="BA399" s="6">
        <f>Z422</f>
        <v>3.2779455111866361E-6</v>
      </c>
    </row>
    <row r="400" spans="1:53" outlineLevel="1" x14ac:dyDescent="0.35">
      <c r="A400" s="6" t="s">
        <v>31</v>
      </c>
      <c r="B400" s="6">
        <f t="shared" si="52"/>
        <v>6.5339554735163091E-6</v>
      </c>
      <c r="AB400" s="6" t="s">
        <v>797</v>
      </c>
      <c r="AC400" s="6">
        <f>B426</f>
        <v>3.5391838353938991E-5</v>
      </c>
      <c r="AD400" s="6">
        <f t="shared" ref="AD400:BA400" si="53">C426</f>
        <v>3.5391838353938991E-5</v>
      </c>
      <c r="AE400" s="6">
        <f t="shared" si="53"/>
        <v>3.5391838353938991E-5</v>
      </c>
      <c r="AF400" s="6">
        <f t="shared" si="53"/>
        <v>3.5391838353938991E-5</v>
      </c>
      <c r="AG400" s="6">
        <f t="shared" si="53"/>
        <v>3.5391838353938991E-5</v>
      </c>
      <c r="AH400" s="6">
        <f t="shared" si="53"/>
        <v>3.5391838353938991E-5</v>
      </c>
      <c r="AI400" s="6">
        <f t="shared" si="53"/>
        <v>3.5391838353938991E-5</v>
      </c>
      <c r="AJ400" s="6">
        <f t="shared" si="53"/>
        <v>3.5391838353938991E-5</v>
      </c>
      <c r="AK400" s="6">
        <f t="shared" si="53"/>
        <v>3.5391838353938991E-5</v>
      </c>
      <c r="AL400" s="6">
        <f t="shared" si="53"/>
        <v>3.5391838353938991E-5</v>
      </c>
      <c r="AM400" s="6">
        <f t="shared" si="53"/>
        <v>3.5391838353938991E-5</v>
      </c>
      <c r="AN400" s="6">
        <f t="shared" si="53"/>
        <v>3.5391838353938991E-5</v>
      </c>
      <c r="AO400" s="6">
        <f t="shared" si="53"/>
        <v>3.5391838353938991E-5</v>
      </c>
      <c r="AP400" s="6">
        <f t="shared" si="53"/>
        <v>3.5391838353938991E-5</v>
      </c>
      <c r="AQ400" s="6">
        <f t="shared" si="53"/>
        <v>3.5391838353938991E-5</v>
      </c>
      <c r="AR400" s="6">
        <f t="shared" si="53"/>
        <v>3.5391838353938991E-5</v>
      </c>
      <c r="AS400" s="6">
        <f t="shared" si="53"/>
        <v>3.5391838353938991E-5</v>
      </c>
      <c r="AT400" s="6">
        <f t="shared" si="53"/>
        <v>3.5391838353938991E-5</v>
      </c>
      <c r="AU400" s="6">
        <f t="shared" si="53"/>
        <v>3.5391838353938991E-5</v>
      </c>
      <c r="AV400" s="6">
        <f t="shared" si="53"/>
        <v>3.5391838353938991E-5</v>
      </c>
      <c r="AW400" s="6">
        <f t="shared" si="53"/>
        <v>3.5391838353938991E-5</v>
      </c>
      <c r="AX400" s="6">
        <f t="shared" si="53"/>
        <v>3.5391838353938991E-5</v>
      </c>
      <c r="AY400" s="6">
        <f t="shared" si="53"/>
        <v>3.5391838353938991E-5</v>
      </c>
      <c r="AZ400" s="6">
        <f t="shared" si="53"/>
        <v>3.5391838353938991E-5</v>
      </c>
      <c r="BA400" s="6">
        <f t="shared" si="53"/>
        <v>3.5391838353938991E-5</v>
      </c>
    </row>
    <row r="401" spans="1:53" outlineLevel="1" x14ac:dyDescent="0.35">
      <c r="A401" s="6" t="s">
        <v>34</v>
      </c>
      <c r="B401" s="6">
        <f t="shared" si="52"/>
        <v>4.3369769417194421E-6</v>
      </c>
      <c r="AB401" s="6" t="s">
        <v>122</v>
      </c>
      <c r="AC401" s="6">
        <f t="shared" ref="AC401:BA401" si="54">B425+B424</f>
        <v>2.799474380680289E-5</v>
      </c>
      <c r="AD401" s="6">
        <f t="shared" si="54"/>
        <v>2.7678158887883355E-5</v>
      </c>
      <c r="AE401" s="6">
        <f t="shared" si="54"/>
        <v>2.7356905758340147E-5</v>
      </c>
      <c r="AF401" s="6">
        <f t="shared" si="54"/>
        <v>2.6908114255842618E-5</v>
      </c>
      <c r="AG401" s="6">
        <f t="shared" si="54"/>
        <v>2.6570793414369379E-5</v>
      </c>
      <c r="AH401" s="6">
        <f t="shared" si="54"/>
        <v>2.6228782386745567E-5</v>
      </c>
      <c r="AI401" s="6">
        <f t="shared" si="54"/>
        <v>2.6162431768583067E-5</v>
      </c>
      <c r="AJ401" s="6">
        <f t="shared" si="54"/>
        <v>2.6095891012387027E-5</v>
      </c>
      <c r="AK401" s="6">
        <f t="shared" si="54"/>
        <v>2.5962917182790027E-5</v>
      </c>
      <c r="AL401" s="6">
        <f t="shared" si="54"/>
        <v>2.5895776925025042E-5</v>
      </c>
      <c r="AM401" s="6">
        <f t="shared" si="54"/>
        <v>2.5829312673375157E-5</v>
      </c>
      <c r="AN401" s="6">
        <f t="shared" si="54"/>
        <v>2.5804262908942239E-5</v>
      </c>
      <c r="AO401" s="6">
        <f t="shared" si="54"/>
        <v>2.5780459778227925E-5</v>
      </c>
      <c r="AP401" s="6">
        <f t="shared" si="54"/>
        <v>2.5733670272860495E-5</v>
      </c>
      <c r="AQ401" s="6">
        <f t="shared" si="54"/>
        <v>2.5709867187306292E-5</v>
      </c>
      <c r="AR401" s="6">
        <f t="shared" si="54"/>
        <v>2.5685162055894327E-5</v>
      </c>
      <c r="AS401" s="6">
        <f t="shared" si="54"/>
        <v>2.5655767215887149E-5</v>
      </c>
      <c r="AT401" s="6">
        <f t="shared" si="54"/>
        <v>2.5626884571953715E-5</v>
      </c>
      <c r="AU401" s="6">
        <f t="shared" si="54"/>
        <v>2.5577541066413494E-5</v>
      </c>
      <c r="AV401" s="6">
        <f t="shared" si="54"/>
        <v>2.5548471842133846E-5</v>
      </c>
      <c r="AW401" s="6">
        <f t="shared" si="54"/>
        <v>2.5506543880165256E-5</v>
      </c>
      <c r="AX401" s="6">
        <f t="shared" si="54"/>
        <v>2.5665889134127306E-5</v>
      </c>
      <c r="AY401" s="6">
        <f t="shared" si="54"/>
        <v>2.5659663863316576E-5</v>
      </c>
      <c r="AZ401" s="6">
        <f t="shared" si="54"/>
        <v>2.5653454404168285E-5</v>
      </c>
      <c r="BA401" s="6">
        <f t="shared" si="54"/>
        <v>2.5647258080522851E-5</v>
      </c>
    </row>
    <row r="402" spans="1:53" outlineLevel="1" x14ac:dyDescent="0.35">
      <c r="A402" s="6" t="s">
        <v>36</v>
      </c>
      <c r="B402" s="6">
        <f t="shared" si="52"/>
        <v>3.5786050973205839E-6</v>
      </c>
      <c r="AB402" s="6" t="s">
        <v>123</v>
      </c>
      <c r="AC402" s="6">
        <f t="shared" ref="AC402:BA402" si="55">B423</f>
        <v>3.1908723698839351E-6</v>
      </c>
      <c r="AD402" s="6">
        <f t="shared" si="55"/>
        <v>2.8910796476439006E-6</v>
      </c>
      <c r="AE402" s="6">
        <f t="shared" si="55"/>
        <v>2.5922221565091035E-6</v>
      </c>
      <c r="AF402" s="6">
        <f t="shared" si="55"/>
        <v>2.286924728034002E-6</v>
      </c>
      <c r="AG402" s="6">
        <f t="shared" si="55"/>
        <v>1.989532958957069E-6</v>
      </c>
      <c r="AH402" s="6">
        <f t="shared" si="55"/>
        <v>1.6930731777524974E-6</v>
      </c>
      <c r="AI402" s="6">
        <f t="shared" si="55"/>
        <v>1.6687341041327075E-6</v>
      </c>
      <c r="AJ402" s="6">
        <f t="shared" si="55"/>
        <v>1.6440785184221045E-6</v>
      </c>
      <c r="AK402" s="6">
        <f t="shared" si="55"/>
        <v>1.6126828342771935E-6</v>
      </c>
      <c r="AL402" s="6">
        <f t="shared" si="55"/>
        <v>1.5870840241102094E-6</v>
      </c>
      <c r="AM402" s="6">
        <f t="shared" si="55"/>
        <v>1.5611574105805548E-6</v>
      </c>
      <c r="AN402" s="6">
        <f t="shared" si="55"/>
        <v>1.5437719105020533E-6</v>
      </c>
      <c r="AO402" s="6">
        <f t="shared" si="55"/>
        <v>1.5263219342022287E-6</v>
      </c>
      <c r="AP402" s="6">
        <f t="shared" si="55"/>
        <v>1.5068793443270464E-6</v>
      </c>
      <c r="AQ402" s="6">
        <f t="shared" si="55"/>
        <v>1.4888845967883411E-6</v>
      </c>
      <c r="AR402" s="6">
        <f t="shared" si="55"/>
        <v>1.4706845117523601E-6</v>
      </c>
      <c r="AS402" s="6">
        <f t="shared" si="55"/>
        <v>1.4023062026442665E-6</v>
      </c>
      <c r="AT402" s="6">
        <f t="shared" si="55"/>
        <v>1.3341305434417675E-6</v>
      </c>
      <c r="AU402" s="6">
        <f t="shared" si="55"/>
        <v>1.264636094671605E-6</v>
      </c>
      <c r="AV402" s="6">
        <f t="shared" si="55"/>
        <v>1.1967660344526099E-6</v>
      </c>
      <c r="AW402" s="6">
        <f t="shared" si="55"/>
        <v>1.1288347675714314E-6</v>
      </c>
      <c r="AX402" s="6">
        <f t="shared" si="55"/>
        <v>1.1245698670045679E-6</v>
      </c>
      <c r="AY402" s="6">
        <f t="shared" si="55"/>
        <v>1.0795410162098919E-6</v>
      </c>
      <c r="AZ402" s="6">
        <f t="shared" si="55"/>
        <v>1.0345781790016371E-6</v>
      </c>
      <c r="BA402" s="6">
        <f t="shared" si="55"/>
        <v>9.8967244645064146E-7</v>
      </c>
    </row>
    <row r="403" spans="1:53" outlineLevel="1" x14ac:dyDescent="0.35">
      <c r="A403" s="6" t="s">
        <v>38</v>
      </c>
      <c r="B403" s="6">
        <f t="shared" si="52"/>
        <v>1.9755647666104199E-5</v>
      </c>
      <c r="AB403" s="6" t="s">
        <v>124</v>
      </c>
      <c r="AC403" s="6">
        <f>-$AC$384*$AC$383</f>
        <v>-1.4000382499999999E-4</v>
      </c>
      <c r="AD403" s="6">
        <f t="shared" ref="AD403:BA403" si="56">-$AC$384*$AC$383</f>
        <v>-1.4000382499999999E-4</v>
      </c>
      <c r="AE403" s="6">
        <f t="shared" si="56"/>
        <v>-1.4000382499999999E-4</v>
      </c>
      <c r="AF403" s="6">
        <f t="shared" si="56"/>
        <v>-1.4000382499999999E-4</v>
      </c>
      <c r="AG403" s="6">
        <f t="shared" si="56"/>
        <v>-1.4000382499999999E-4</v>
      </c>
      <c r="AH403" s="6">
        <f t="shared" si="56"/>
        <v>-1.4000382499999999E-4</v>
      </c>
      <c r="AI403" s="6">
        <f t="shared" si="56"/>
        <v>-1.4000382499999999E-4</v>
      </c>
      <c r="AJ403" s="6">
        <f t="shared" si="56"/>
        <v>-1.4000382499999999E-4</v>
      </c>
      <c r="AK403" s="6">
        <f t="shared" si="56"/>
        <v>-1.4000382499999999E-4</v>
      </c>
      <c r="AL403" s="6">
        <f t="shared" si="56"/>
        <v>-1.4000382499999999E-4</v>
      </c>
      <c r="AM403" s="6">
        <f t="shared" si="56"/>
        <v>-1.4000382499999999E-4</v>
      </c>
      <c r="AN403" s="6">
        <f t="shared" si="56"/>
        <v>-1.4000382499999999E-4</v>
      </c>
      <c r="AO403" s="6">
        <f t="shared" si="56"/>
        <v>-1.4000382499999999E-4</v>
      </c>
      <c r="AP403" s="6">
        <f t="shared" si="56"/>
        <v>-1.4000382499999999E-4</v>
      </c>
      <c r="AQ403" s="6">
        <f t="shared" si="56"/>
        <v>-1.4000382499999999E-4</v>
      </c>
      <c r="AR403" s="6">
        <f t="shared" si="56"/>
        <v>-1.4000382499999999E-4</v>
      </c>
      <c r="AS403" s="6">
        <f t="shared" si="56"/>
        <v>-1.4000382499999999E-4</v>
      </c>
      <c r="AT403" s="6">
        <f t="shared" si="56"/>
        <v>-1.4000382499999999E-4</v>
      </c>
      <c r="AU403" s="6">
        <f t="shared" si="56"/>
        <v>-1.4000382499999999E-4</v>
      </c>
      <c r="AV403" s="6">
        <f t="shared" si="56"/>
        <v>-1.4000382499999999E-4</v>
      </c>
      <c r="AW403" s="6">
        <f t="shared" si="56"/>
        <v>-1.4000382499999999E-4</v>
      </c>
      <c r="AX403" s="6">
        <f t="shared" si="56"/>
        <v>-1.4000382499999999E-4</v>
      </c>
      <c r="AY403" s="6">
        <f t="shared" si="56"/>
        <v>-1.4000382499999999E-4</v>
      </c>
      <c r="AZ403" s="6">
        <f t="shared" si="56"/>
        <v>-1.4000382499999999E-4</v>
      </c>
      <c r="BA403" s="6">
        <f t="shared" si="56"/>
        <v>-1.4000382499999999E-4</v>
      </c>
    </row>
    <row r="404" spans="1:53" outlineLevel="1" x14ac:dyDescent="0.35">
      <c r="A404" s="6" t="s">
        <v>39</v>
      </c>
      <c r="B404" s="6">
        <f t="shared" si="52"/>
        <v>4.9672540671057758E-5</v>
      </c>
      <c r="AB404" s="23" t="s">
        <v>125</v>
      </c>
      <c r="AC404" s="17">
        <f t="shared" ref="AC404:BA404" si="57">SUM(AC395:AC403)</f>
        <v>7.3163040823494247E-5</v>
      </c>
      <c r="AD404" s="17">
        <f t="shared" si="57"/>
        <v>-7.4042748110533747E-5</v>
      </c>
      <c r="AE404" s="17">
        <f t="shared" si="57"/>
        <v>-7.4662858731211747E-5</v>
      </c>
      <c r="AF404" s="17">
        <f t="shared" si="57"/>
        <v>-7.191558862065602E-5</v>
      </c>
      <c r="AG404" s="17">
        <f t="shared" si="57"/>
        <v>-7.6051660272734553E-5</v>
      </c>
      <c r="AH404" s="17">
        <f t="shared" si="57"/>
        <v>-7.6690131081562935E-5</v>
      </c>
      <c r="AI404" s="17">
        <f t="shared" si="57"/>
        <v>-7.3421194799122241E-5</v>
      </c>
      <c r="AJ404" s="17">
        <f t="shared" si="57"/>
        <v>-7.6872017115251862E-5</v>
      </c>
      <c r="AK404" s="17">
        <f t="shared" si="57"/>
        <v>-7.703638662899378E-5</v>
      </c>
      <c r="AL404" s="17">
        <f t="shared" si="57"/>
        <v>-7.380692142647309E-5</v>
      </c>
      <c r="AM404" s="17">
        <f t="shared" si="57"/>
        <v>-7.722151656210529E-5</v>
      </c>
      <c r="AN404" s="17">
        <f t="shared" si="57"/>
        <v>-7.7263951826616706E-5</v>
      </c>
      <c r="AO404" s="17">
        <f t="shared" si="57"/>
        <v>-7.39953958357574E-5</v>
      </c>
      <c r="AP404" s="17">
        <f t="shared" si="57"/>
        <v>-7.737143702887346E-5</v>
      </c>
      <c r="AQ404" s="17">
        <f t="shared" si="57"/>
        <v>-7.7413234861966368E-5</v>
      </c>
      <c r="AR404" s="17">
        <f t="shared" si="57"/>
        <v>-7.4157428082929241E-5</v>
      </c>
      <c r="AS404" s="17">
        <f t="shared" si="57"/>
        <v>-7.7553913227529589E-5</v>
      </c>
      <c r="AT404" s="17">
        <f t="shared" si="57"/>
        <v>-7.7650971530665518E-5</v>
      </c>
      <c r="AU404" s="17">
        <f t="shared" si="57"/>
        <v>-7.4490913346433911E-5</v>
      </c>
      <c r="AV404" s="17">
        <f t="shared" si="57"/>
        <v>-7.786674876947454E-5</v>
      </c>
      <c r="AW404" s="17">
        <f t="shared" si="57"/>
        <v>-7.7976607998324322E-5</v>
      </c>
      <c r="AX404" s="17">
        <f t="shared" si="57"/>
        <v>-7.453864061930936E-5</v>
      </c>
      <c r="AY404" s="17">
        <f t="shared" si="57"/>
        <v>-7.7872781766534526E-5</v>
      </c>
      <c r="AZ404" s="17">
        <f t="shared" si="57"/>
        <v>-7.7923954062891074E-5</v>
      </c>
      <c r="BA404" s="17">
        <f t="shared" si="57"/>
        <v>-7.2154487618410928E-5</v>
      </c>
    </row>
    <row r="405" spans="1:53" outlineLevel="1" x14ac:dyDescent="0.35">
      <c r="A405" s="6" t="s">
        <v>41</v>
      </c>
      <c r="B405" s="6">
        <f t="shared" si="52"/>
        <v>6.7173966351855849E-7</v>
      </c>
    </row>
    <row r="406" spans="1:53" outlineLevel="1" x14ac:dyDescent="0.35">
      <c r="A406" s="6" t="s">
        <v>43</v>
      </c>
      <c r="B406" s="6">
        <f t="shared" si="52"/>
        <v>1.9363285429090501E-6</v>
      </c>
      <c r="AB406" s="272"/>
      <c r="AC406" s="272"/>
      <c r="AD406" s="272"/>
      <c r="AE406" s="272"/>
      <c r="AF406" s="272"/>
      <c r="AG406" s="272"/>
      <c r="AH406" s="272"/>
      <c r="AI406" s="272"/>
      <c r="AJ406" s="272"/>
      <c r="AK406" s="272"/>
      <c r="AL406" s="272"/>
      <c r="AM406" s="272"/>
      <c r="AN406" s="272"/>
      <c r="AO406" s="272"/>
      <c r="AP406" s="272"/>
      <c r="AQ406" s="272"/>
      <c r="AR406" s="272"/>
      <c r="AS406" s="272"/>
      <c r="AT406" s="272"/>
      <c r="AU406" s="272"/>
      <c r="AV406" s="272"/>
      <c r="AW406" s="272"/>
      <c r="AX406" s="272"/>
      <c r="AY406" s="272"/>
      <c r="AZ406" s="272"/>
      <c r="BA406" s="272"/>
    </row>
    <row r="407" spans="1:53" outlineLevel="1" x14ac:dyDescent="0.35">
      <c r="A407" s="6" t="s">
        <v>44</v>
      </c>
      <c r="B407" s="6">
        <f>B102*AC385</f>
        <v>4.8932981636422996E-6</v>
      </c>
      <c r="AB407" s="272"/>
      <c r="AC407" s="272"/>
      <c r="AD407" s="272"/>
      <c r="AE407" s="272"/>
      <c r="AF407" s="272"/>
      <c r="AG407" s="272"/>
      <c r="AH407" s="272"/>
      <c r="AI407" s="272"/>
      <c r="AJ407" s="272"/>
      <c r="AK407" s="272"/>
      <c r="AL407" s="272"/>
      <c r="AM407" s="272"/>
      <c r="AN407" s="272"/>
      <c r="AO407" s="272"/>
      <c r="AP407" s="272"/>
      <c r="AQ407" s="272"/>
      <c r="AR407" s="272"/>
      <c r="AS407" s="272"/>
      <c r="AT407" s="272"/>
      <c r="AU407" s="272"/>
      <c r="AV407" s="272"/>
      <c r="AW407" s="272"/>
      <c r="AX407" s="272"/>
      <c r="AY407" s="272"/>
      <c r="AZ407" s="272"/>
      <c r="BA407" s="272"/>
    </row>
    <row r="408" spans="1:53" outlineLevel="1" x14ac:dyDescent="0.35">
      <c r="A408" s="6" t="s">
        <v>757</v>
      </c>
      <c r="B408" s="6">
        <f>B103*AC385</f>
        <v>1.42887299403435E-5</v>
      </c>
      <c r="AB408" s="272"/>
      <c r="AC408" s="272"/>
      <c r="AD408" s="272"/>
      <c r="AE408" s="272"/>
      <c r="AF408" s="272"/>
      <c r="AG408" s="272"/>
      <c r="AH408" s="272"/>
      <c r="AI408" s="272"/>
      <c r="AJ408" s="272"/>
      <c r="AK408" s="272"/>
      <c r="AL408" s="272"/>
      <c r="AM408" s="272"/>
      <c r="AN408" s="272"/>
      <c r="AO408" s="272"/>
      <c r="AP408" s="272"/>
      <c r="AQ408" s="272"/>
      <c r="AR408" s="272"/>
      <c r="AS408" s="272"/>
      <c r="AT408" s="272"/>
      <c r="AU408" s="272"/>
      <c r="AV408" s="272"/>
      <c r="AW408" s="272"/>
      <c r="AX408" s="272"/>
      <c r="AY408" s="272"/>
      <c r="AZ408" s="272"/>
      <c r="BA408" s="272"/>
    </row>
    <row r="409" spans="1:53" outlineLevel="1" x14ac:dyDescent="0.35">
      <c r="A409" s="6" t="s">
        <v>22</v>
      </c>
      <c r="Z409" s="6">
        <f>Z104</f>
        <v>6.1463287504351536E-8</v>
      </c>
      <c r="AB409" s="272"/>
      <c r="AC409" s="272"/>
      <c r="AD409" s="272"/>
      <c r="AE409" s="272"/>
      <c r="AF409" s="272"/>
      <c r="AG409" s="272"/>
      <c r="AH409" s="272"/>
      <c r="AI409" s="272"/>
      <c r="AJ409" s="272"/>
      <c r="AK409" s="272"/>
      <c r="AL409" s="272"/>
      <c r="AM409" s="272"/>
      <c r="AN409" s="272"/>
      <c r="AO409" s="272"/>
      <c r="AP409" s="272"/>
      <c r="AQ409" s="272"/>
      <c r="AR409" s="272"/>
      <c r="AS409" s="272"/>
      <c r="AT409" s="272"/>
      <c r="AU409" s="272"/>
      <c r="AV409" s="272"/>
      <c r="AW409" s="272"/>
      <c r="AX409" s="272"/>
      <c r="AY409" s="272"/>
      <c r="AZ409" s="272"/>
      <c r="BA409" s="272"/>
    </row>
    <row r="410" spans="1:53" outlineLevel="1" x14ac:dyDescent="0.35">
      <c r="A410" s="6" t="s">
        <v>24</v>
      </c>
      <c r="Z410" s="6">
        <f t="shared" ref="Z410:Z420" si="58">Z105</f>
        <v>2.9780930154979231E-8</v>
      </c>
      <c r="AB410" s="272"/>
      <c r="AC410" s="272"/>
      <c r="AD410" s="272"/>
      <c r="AE410" s="272"/>
      <c r="AF410" s="272"/>
      <c r="AG410" s="272"/>
      <c r="AH410" s="272"/>
      <c r="AI410" s="272"/>
      <c r="AJ410" s="272"/>
      <c r="AK410" s="272"/>
      <c r="AL410" s="272"/>
      <c r="AM410" s="272"/>
      <c r="AN410" s="272"/>
      <c r="AO410" s="272"/>
      <c r="AP410" s="272"/>
      <c r="AQ410" s="272"/>
      <c r="AR410" s="272"/>
      <c r="AS410" s="272"/>
      <c r="AT410" s="272"/>
      <c r="AU410" s="272"/>
      <c r="AV410" s="272"/>
      <c r="AW410" s="272"/>
      <c r="AX410" s="272"/>
      <c r="AY410" s="272"/>
      <c r="AZ410" s="272"/>
      <c r="BA410" s="272"/>
    </row>
    <row r="411" spans="1:53" outlineLevel="1" x14ac:dyDescent="0.35">
      <c r="A411" s="6" t="s">
        <v>25</v>
      </c>
      <c r="Z411" s="6">
        <f t="shared" si="58"/>
        <v>1.1656149191787559E-7</v>
      </c>
      <c r="AB411" s="272"/>
      <c r="AC411" s="272"/>
      <c r="AD411" s="272"/>
      <c r="AE411" s="272"/>
      <c r="AF411" s="272"/>
      <c r="AG411" s="272"/>
      <c r="AH411" s="272"/>
      <c r="AI411" s="272"/>
      <c r="AJ411" s="272"/>
      <c r="AK411" s="272"/>
      <c r="AL411" s="272"/>
      <c r="AM411" s="272"/>
      <c r="AN411" s="272"/>
      <c r="AO411" s="272"/>
      <c r="AP411" s="272"/>
      <c r="AQ411" s="272"/>
      <c r="AR411" s="272"/>
      <c r="AS411" s="272"/>
      <c r="AT411" s="272"/>
      <c r="AU411" s="272"/>
      <c r="AV411" s="272"/>
      <c r="AW411" s="272"/>
      <c r="AX411" s="272"/>
      <c r="AY411" s="272"/>
      <c r="AZ411" s="272"/>
      <c r="BA411" s="272"/>
    </row>
    <row r="412" spans="1:53" outlineLevel="1" x14ac:dyDescent="0.35">
      <c r="A412" s="6" t="s">
        <v>27</v>
      </c>
      <c r="Z412" s="6">
        <f t="shared" si="58"/>
        <v>4.3717870155312199E-8</v>
      </c>
      <c r="AB412" s="272"/>
      <c r="AC412" s="272"/>
      <c r="AD412" s="272"/>
      <c r="AE412" s="272"/>
      <c r="AF412" s="272"/>
      <c r="AG412" s="272"/>
      <c r="AH412" s="272"/>
      <c r="AI412" s="272"/>
      <c r="AJ412" s="272"/>
      <c r="AK412" s="272"/>
      <c r="AL412" s="272"/>
      <c r="AM412" s="272"/>
      <c r="AN412" s="272"/>
      <c r="AO412" s="272"/>
      <c r="AP412" s="272"/>
      <c r="AQ412" s="272"/>
      <c r="AR412" s="272"/>
      <c r="AS412" s="272"/>
      <c r="AT412" s="272"/>
      <c r="AU412" s="272"/>
      <c r="AV412" s="272"/>
      <c r="AW412" s="272"/>
      <c r="AX412" s="272"/>
      <c r="AY412" s="272"/>
      <c r="AZ412" s="272"/>
      <c r="BA412" s="272"/>
    </row>
    <row r="413" spans="1:53" outlineLevel="1" x14ac:dyDescent="0.35">
      <c r="A413" s="6" t="s">
        <v>30</v>
      </c>
      <c r="Z413" s="6">
        <f t="shared" si="58"/>
        <v>8.0994806426941983E-8</v>
      </c>
      <c r="AB413" s="272"/>
      <c r="AC413" s="272"/>
      <c r="AD413" s="272"/>
      <c r="AE413" s="272"/>
      <c r="AF413" s="272"/>
      <c r="AG413" s="272"/>
      <c r="AH413" s="272"/>
      <c r="AI413" s="272"/>
      <c r="AJ413" s="272"/>
      <c r="AK413" s="272"/>
      <c r="AL413" s="272"/>
      <c r="AM413" s="272"/>
      <c r="AN413" s="272"/>
      <c r="AO413" s="272"/>
      <c r="AP413" s="272"/>
      <c r="AQ413" s="272"/>
      <c r="AR413" s="272"/>
      <c r="AS413" s="272"/>
      <c r="AT413" s="272"/>
      <c r="AU413" s="272"/>
      <c r="AV413" s="272"/>
      <c r="AW413" s="272"/>
      <c r="AX413" s="272"/>
      <c r="AY413" s="272"/>
      <c r="AZ413" s="272"/>
      <c r="BA413" s="272"/>
    </row>
    <row r="414" spans="1:53" outlineLevel="1" x14ac:dyDescent="0.35">
      <c r="A414" s="6" t="s">
        <v>32</v>
      </c>
      <c r="Z414" s="6">
        <f t="shared" si="58"/>
        <v>6.377197675436085E-9</v>
      </c>
      <c r="AB414" s="272"/>
      <c r="AC414" s="272"/>
      <c r="AD414" s="272"/>
      <c r="AE414" s="272"/>
      <c r="AF414" s="272"/>
      <c r="AG414" s="272"/>
      <c r="AH414" s="272"/>
      <c r="AI414" s="272"/>
      <c r="AJ414" s="272"/>
      <c r="AK414" s="272"/>
      <c r="AL414" s="272"/>
      <c r="AM414" s="272"/>
      <c r="AN414" s="272"/>
      <c r="AO414" s="272"/>
      <c r="AP414" s="272"/>
      <c r="AQ414" s="272"/>
      <c r="AR414" s="272"/>
      <c r="AS414" s="272"/>
      <c r="AT414" s="272"/>
      <c r="AU414" s="272"/>
      <c r="AV414" s="272"/>
      <c r="AW414" s="272"/>
      <c r="AX414" s="272"/>
      <c r="AY414" s="272"/>
      <c r="AZ414" s="272"/>
      <c r="BA414" s="272"/>
    </row>
    <row r="415" spans="1:53" outlineLevel="1" x14ac:dyDescent="0.35">
      <c r="A415" s="6" t="s">
        <v>33</v>
      </c>
      <c r="Z415" s="6">
        <f t="shared" si="58"/>
        <v>2.0574872161815658E-8</v>
      </c>
      <c r="AB415" s="272"/>
      <c r="AC415" s="272"/>
      <c r="AD415" s="272"/>
      <c r="AE415" s="272"/>
      <c r="AF415" s="272"/>
      <c r="AG415" s="272"/>
      <c r="AH415" s="272"/>
      <c r="AI415" s="272"/>
      <c r="AJ415" s="272"/>
      <c r="AK415" s="272"/>
      <c r="AL415" s="272"/>
      <c r="AM415" s="272"/>
      <c r="AN415" s="272"/>
      <c r="AO415" s="272"/>
      <c r="AP415" s="272"/>
      <c r="AQ415" s="272"/>
      <c r="AR415" s="272"/>
      <c r="AS415" s="272"/>
      <c r="AT415" s="272"/>
      <c r="AU415" s="272"/>
      <c r="AV415" s="272"/>
      <c r="AW415" s="272"/>
      <c r="AX415" s="272"/>
      <c r="AY415" s="272"/>
      <c r="AZ415" s="272"/>
      <c r="BA415" s="272"/>
    </row>
    <row r="416" spans="1:53" outlineLevel="1" x14ac:dyDescent="0.35">
      <c r="A416" s="6" t="s">
        <v>35</v>
      </c>
      <c r="Z416" s="6">
        <f t="shared" si="58"/>
        <v>4.114974432363133E-8</v>
      </c>
      <c r="AB416" s="272"/>
      <c r="AC416" s="272"/>
      <c r="AD416" s="272"/>
      <c r="AE416" s="272"/>
      <c r="AF416" s="272"/>
      <c r="AG416" s="272"/>
      <c r="AH416" s="272"/>
      <c r="AI416" s="272"/>
      <c r="AJ416" s="272"/>
      <c r="AK416" s="272"/>
      <c r="AL416" s="272"/>
      <c r="AM416" s="272"/>
      <c r="AN416" s="272"/>
      <c r="AO416" s="272"/>
      <c r="AP416" s="272"/>
      <c r="AQ416" s="272"/>
      <c r="AR416" s="272"/>
      <c r="AS416" s="272"/>
      <c r="AT416" s="272"/>
      <c r="AU416" s="272"/>
      <c r="AV416" s="272"/>
      <c r="AW416" s="272"/>
      <c r="AX416" s="272"/>
      <c r="AY416" s="272"/>
      <c r="AZ416" s="272"/>
      <c r="BA416" s="272"/>
    </row>
    <row r="417" spans="1:53" outlineLevel="1" x14ac:dyDescent="0.35">
      <c r="A417" s="6" t="s">
        <v>37</v>
      </c>
      <c r="Z417" s="6">
        <f t="shared" si="58"/>
        <v>1.0863148431932961E-7</v>
      </c>
      <c r="AB417" s="272"/>
      <c r="AC417" s="272"/>
      <c r="AD417" s="272"/>
      <c r="AE417" s="272"/>
      <c r="AF417" s="272"/>
      <c r="AG417" s="272"/>
      <c r="AH417" s="272"/>
      <c r="AI417" s="272"/>
      <c r="AJ417" s="272"/>
      <c r="AK417" s="272"/>
      <c r="AL417" s="272"/>
      <c r="AM417" s="272"/>
      <c r="AN417" s="272"/>
      <c r="AO417" s="272"/>
      <c r="AP417" s="272"/>
      <c r="AQ417" s="272"/>
      <c r="AR417" s="272"/>
      <c r="AS417" s="272"/>
      <c r="AT417" s="272"/>
      <c r="AU417" s="272"/>
      <c r="AV417" s="272"/>
      <c r="AW417" s="272"/>
      <c r="AX417" s="272"/>
      <c r="AY417" s="272"/>
      <c r="AZ417" s="272"/>
      <c r="BA417" s="272"/>
    </row>
    <row r="418" spans="1:53" outlineLevel="1" x14ac:dyDescent="0.35">
      <c r="A418" s="6" t="s">
        <v>40</v>
      </c>
      <c r="Z418" s="6">
        <f t="shared" si="58"/>
        <v>9.3099600369301554E-7</v>
      </c>
    </row>
    <row r="419" spans="1:53" outlineLevel="1" x14ac:dyDescent="0.35">
      <c r="A419" s="6" t="s">
        <v>42</v>
      </c>
      <c r="Z419" s="6">
        <f t="shared" si="58"/>
        <v>1.5771509757995021E-7</v>
      </c>
    </row>
    <row r="420" spans="1:53" outlineLevel="1" x14ac:dyDescent="0.35">
      <c r="A420" s="6" t="s">
        <v>115</v>
      </c>
      <c r="Z420" s="6">
        <f t="shared" si="58"/>
        <v>9.0001449736656561E-7</v>
      </c>
    </row>
    <row r="421" spans="1:53" outlineLevel="1" x14ac:dyDescent="0.35">
      <c r="A421" s="6" t="s">
        <v>45</v>
      </c>
      <c r="Z421" s="6">
        <f>Z116*AC385</f>
        <v>4.4645706210743862E-8</v>
      </c>
    </row>
    <row r="422" spans="1:53" outlineLevel="1" x14ac:dyDescent="0.35">
      <c r="A422" s="6" t="s">
        <v>116</v>
      </c>
      <c r="B422" s="6">
        <f>B117</f>
        <v>3.715731652454359E-6</v>
      </c>
      <c r="C422" s="6">
        <f t="shared" ref="C422:Z422" si="59">C117</f>
        <v>3.653971786261327E-6</v>
      </c>
      <c r="D422" s="6">
        <f t="shared" si="59"/>
        <v>3.590700222859685E-6</v>
      </c>
      <c r="E422" s="6">
        <f t="shared" si="59"/>
        <v>3.5013590415283682E-6</v>
      </c>
      <c r="F422" s="6">
        <f t="shared" si="59"/>
        <v>3.4350987731988199E-6</v>
      </c>
      <c r="G422" s="6">
        <f t="shared" si="59"/>
        <v>3.3672208371307779E-6</v>
      </c>
      <c r="H422" s="6">
        <f t="shared" si="59"/>
        <v>3.359625974222981E-6</v>
      </c>
      <c r="I422" s="6">
        <f t="shared" si="59"/>
        <v>3.3517806086884919E-6</v>
      </c>
      <c r="J422" s="6">
        <f t="shared" si="59"/>
        <v>3.330478938302756E-6</v>
      </c>
      <c r="K422" s="6">
        <f t="shared" si="59"/>
        <v>3.3222042704526711E-6</v>
      </c>
      <c r="L422" s="6">
        <f t="shared" si="59"/>
        <v>3.3137581199034298E-6</v>
      </c>
      <c r="M422" s="6">
        <f t="shared" si="59"/>
        <v>3.3117835992973371E-6</v>
      </c>
      <c r="N422" s="6">
        <f t="shared" si="59"/>
        <v>3.3098090978734569E-6</v>
      </c>
      <c r="O422" s="6">
        <f t="shared" si="59"/>
        <v>3.3027531832062708E-6</v>
      </c>
      <c r="P422" s="6">
        <f t="shared" si="59"/>
        <v>3.300744338648619E-6</v>
      </c>
      <c r="Q422" s="6">
        <f t="shared" si="59"/>
        <v>3.2987119954850761E-6</v>
      </c>
      <c r="R422" s="6">
        <f t="shared" si="59"/>
        <v>3.2935302766583081E-6</v>
      </c>
      <c r="S422" s="6">
        <f t="shared" si="59"/>
        <v>3.288392539742852E-6</v>
      </c>
      <c r="T422" s="6">
        <f t="shared" si="59"/>
        <v>3.278896138541998E-6</v>
      </c>
      <c r="U422" s="6">
        <f t="shared" si="59"/>
        <v>3.273848587933931E-6</v>
      </c>
      <c r="V422" s="6">
        <f t="shared" si="59"/>
        <v>3.268749516231205E-6</v>
      </c>
      <c r="W422" s="6">
        <f t="shared" si="59"/>
        <v>3.2828870256197742E-6</v>
      </c>
      <c r="X422" s="6">
        <f t="shared" si="59"/>
        <v>3.2812446458292191E-6</v>
      </c>
      <c r="Y422" s="6">
        <f t="shared" si="59"/>
        <v>3.2795974630278679E-6</v>
      </c>
      <c r="Z422" s="6">
        <f t="shared" si="59"/>
        <v>3.2779455111866361E-6</v>
      </c>
    </row>
    <row r="423" spans="1:53" outlineLevel="1" x14ac:dyDescent="0.35">
      <c r="A423" s="6" t="s">
        <v>758</v>
      </c>
      <c r="B423" s="6">
        <f>B118*$AC$385</f>
        <v>3.1908723698839351E-6</v>
      </c>
      <c r="C423" s="6">
        <f t="shared" ref="C423:Z424" si="60">C118*$AC$385</f>
        <v>2.8910796476439006E-6</v>
      </c>
      <c r="D423" s="6">
        <f t="shared" si="60"/>
        <v>2.5922221565091035E-6</v>
      </c>
      <c r="E423" s="6">
        <f t="shared" si="60"/>
        <v>2.286924728034002E-6</v>
      </c>
      <c r="F423" s="6">
        <f t="shared" si="60"/>
        <v>1.989532958957069E-6</v>
      </c>
      <c r="G423" s="6">
        <f t="shared" si="60"/>
        <v>1.6930731777524974E-6</v>
      </c>
      <c r="H423" s="6">
        <f t="shared" si="60"/>
        <v>1.6687341041327075E-6</v>
      </c>
      <c r="I423" s="6">
        <f t="shared" si="60"/>
        <v>1.6440785184221045E-6</v>
      </c>
      <c r="J423" s="6">
        <f t="shared" si="60"/>
        <v>1.6126828342771935E-6</v>
      </c>
      <c r="K423" s="6">
        <f t="shared" si="60"/>
        <v>1.5870840241102094E-6</v>
      </c>
      <c r="L423" s="6">
        <f t="shared" si="60"/>
        <v>1.5611574105805548E-6</v>
      </c>
      <c r="M423" s="6">
        <f t="shared" si="60"/>
        <v>1.5437719105020533E-6</v>
      </c>
      <c r="N423" s="6">
        <f t="shared" si="60"/>
        <v>1.5263219342022287E-6</v>
      </c>
      <c r="O423" s="6">
        <f t="shared" si="60"/>
        <v>1.5068793443270464E-6</v>
      </c>
      <c r="P423" s="6">
        <f t="shared" si="60"/>
        <v>1.4888845967883411E-6</v>
      </c>
      <c r="Q423" s="6">
        <f t="shared" si="60"/>
        <v>1.4706845117523601E-6</v>
      </c>
      <c r="R423" s="6">
        <f t="shared" si="60"/>
        <v>1.4023062026442665E-6</v>
      </c>
      <c r="S423" s="6">
        <f t="shared" si="60"/>
        <v>1.3341305434417675E-6</v>
      </c>
      <c r="T423" s="6">
        <f t="shared" si="60"/>
        <v>1.264636094671605E-6</v>
      </c>
      <c r="U423" s="6">
        <f t="shared" si="60"/>
        <v>1.1967660344526099E-6</v>
      </c>
      <c r="V423" s="6">
        <f t="shared" si="60"/>
        <v>1.1288347675714314E-6</v>
      </c>
      <c r="W423" s="6">
        <f t="shared" si="60"/>
        <v>1.1245698670045679E-6</v>
      </c>
      <c r="X423" s="6">
        <f t="shared" si="60"/>
        <v>1.0795410162098919E-6</v>
      </c>
      <c r="Y423" s="6">
        <f t="shared" si="60"/>
        <v>1.0345781790016371E-6</v>
      </c>
      <c r="Z423" s="6">
        <f t="shared" si="60"/>
        <v>9.8967244645064146E-7</v>
      </c>
    </row>
    <row r="424" spans="1:53" outlineLevel="1" x14ac:dyDescent="0.35">
      <c r="A424" s="6" t="s">
        <v>759</v>
      </c>
      <c r="B424" s="6">
        <f>B119*$AC$385</f>
        <v>1.0368000147309429E-7</v>
      </c>
      <c r="C424" s="6">
        <f t="shared" si="60"/>
        <v>1.0368000147309429E-7</v>
      </c>
      <c r="D424" s="6">
        <f t="shared" si="60"/>
        <v>1.0368000147309429E-7</v>
      </c>
      <c r="E424" s="6">
        <f t="shared" si="60"/>
        <v>1.0368000147309429E-7</v>
      </c>
      <c r="F424" s="6">
        <f t="shared" si="60"/>
        <v>1.0368000147309429E-7</v>
      </c>
      <c r="G424" s="6">
        <f t="shared" si="60"/>
        <v>1.0368000147309429E-7</v>
      </c>
      <c r="H424" s="6">
        <f t="shared" si="60"/>
        <v>1.0368000147309429E-7</v>
      </c>
      <c r="I424" s="6">
        <f t="shared" si="60"/>
        <v>1.0368000147309429E-7</v>
      </c>
      <c r="J424" s="6">
        <f t="shared" si="60"/>
        <v>1.0368000147309429E-7</v>
      </c>
      <c r="K424" s="6">
        <f t="shared" si="60"/>
        <v>1.0368000147309429E-7</v>
      </c>
      <c r="L424" s="6">
        <f t="shared" si="60"/>
        <v>1.0368000147309429E-7</v>
      </c>
      <c r="M424" s="6">
        <f t="shared" si="60"/>
        <v>1.0368000147309429E-7</v>
      </c>
      <c r="N424" s="6">
        <f t="shared" si="60"/>
        <v>1.0368000147309429E-7</v>
      </c>
      <c r="O424" s="6">
        <f t="shared" si="60"/>
        <v>1.0368000147309429E-7</v>
      </c>
      <c r="P424" s="6">
        <f t="shared" si="60"/>
        <v>1.0368000147309429E-7</v>
      </c>
      <c r="Q424" s="6">
        <f t="shared" si="60"/>
        <v>1.0368000147309429E-7</v>
      </c>
      <c r="R424" s="6">
        <f t="shared" si="60"/>
        <v>1.0368000147309429E-7</v>
      </c>
      <c r="S424" s="6">
        <f t="shared" si="60"/>
        <v>1.0368000147309429E-7</v>
      </c>
      <c r="T424" s="6">
        <f t="shared" si="60"/>
        <v>1.0368000147309429E-7</v>
      </c>
      <c r="U424" s="6">
        <f t="shared" si="60"/>
        <v>1.0368000147309429E-7</v>
      </c>
      <c r="V424" s="6">
        <f t="shared" si="60"/>
        <v>1.0368000147309429E-7</v>
      </c>
      <c r="W424" s="6">
        <f t="shared" si="60"/>
        <v>1.0368000147309429E-7</v>
      </c>
      <c r="X424" s="6">
        <f t="shared" si="60"/>
        <v>1.0368000147309429E-7</v>
      </c>
      <c r="Y424" s="6">
        <f t="shared" si="60"/>
        <v>1.0368000147309429E-7</v>
      </c>
      <c r="Z424" s="6">
        <f t="shared" si="60"/>
        <v>1.0368000147309429E-7</v>
      </c>
    </row>
    <row r="425" spans="1:53" outlineLevel="1" x14ac:dyDescent="0.35">
      <c r="A425" s="6" t="s">
        <v>760</v>
      </c>
      <c r="B425" s="6">
        <f>$B$252*$AC$384*'Results - raw data ReCiPe (H)'!AC128/(1-$AC$390)*(1+'Results ReCiPe (H) - HHD'!$AC$271/'Results ReCiPe (H) - HHD'!$AC$272-'Results ReCiPe (H) - HHD'!$AC$271)</f>
        <v>2.7891063805329795E-5</v>
      </c>
      <c r="C425" s="6">
        <f>$B$252*$AC$384*'Results - raw data ReCiPe (H)'!AD128/(1-$AC$390)*(1+'Results ReCiPe (H) - HHD'!$AC$271/'Results ReCiPe (H) - HHD'!$AC$272-'Results ReCiPe (H) - HHD'!$AC$271)</f>
        <v>2.757447888641026E-5</v>
      </c>
      <c r="D425" s="6">
        <f>$B$252*$AC$384*'Results - raw data ReCiPe (H)'!AE128/(1-$AC$390)*(1+'Results ReCiPe (H) - HHD'!$AC$271/'Results ReCiPe (H) - HHD'!$AC$272-'Results ReCiPe (H) - HHD'!$AC$271)</f>
        <v>2.7253225756867053E-5</v>
      </c>
      <c r="E425" s="6">
        <f>$B$252*$AC$384*'Results - raw data ReCiPe (H)'!AF128/(1-$AC$390)*(1+'Results ReCiPe (H) - HHD'!$AC$271/'Results ReCiPe (H) - HHD'!$AC$272-'Results ReCiPe (H) - HHD'!$AC$271)</f>
        <v>2.6804434254369524E-5</v>
      </c>
      <c r="F425" s="6">
        <f>$B$252*$AC$384*'Results - raw data ReCiPe (H)'!AG128/(1-$AC$390)*(1+'Results ReCiPe (H) - HHD'!$AC$271/'Results ReCiPe (H) - HHD'!$AC$272-'Results ReCiPe (H) - HHD'!$AC$271)</f>
        <v>2.6467113412896285E-5</v>
      </c>
      <c r="G425" s="6">
        <f>$B$252*$AC$384*'Results - raw data ReCiPe (H)'!AH128/(1-$AC$390)*(1+'Results ReCiPe (H) - HHD'!$AC$271/'Results ReCiPe (H) - HHD'!$AC$272-'Results ReCiPe (H) - HHD'!$AC$271)</f>
        <v>2.6125102385272472E-5</v>
      </c>
      <c r="H425" s="6">
        <f>$B$252*$AC$384*'Results - raw data ReCiPe (H)'!AI128/(1-$AC$390)*(1+'Results ReCiPe (H) - HHD'!$AC$271/'Results ReCiPe (H) - HHD'!$AC$272-'Results ReCiPe (H) - HHD'!$AC$271)</f>
        <v>2.6058751767109972E-5</v>
      </c>
      <c r="I425" s="6">
        <f>$B$252*$AC$384*'Results - raw data ReCiPe (H)'!AJ128/(1-$AC$390)*(1+'Results ReCiPe (H) - HHD'!$AC$271/'Results ReCiPe (H) - HHD'!$AC$272-'Results ReCiPe (H) - HHD'!$AC$271)</f>
        <v>2.5992211010913933E-5</v>
      </c>
      <c r="J425" s="6">
        <f>$B$252*$AC$384*'Results - raw data ReCiPe (H)'!AK128/(1-$AC$390)*(1+'Results ReCiPe (H) - HHD'!$AC$271/'Results ReCiPe (H) - HHD'!$AC$272-'Results ReCiPe (H) - HHD'!$AC$271)</f>
        <v>2.5859237181316932E-5</v>
      </c>
      <c r="K425" s="6">
        <f>$B$252*$AC$384*'Results - raw data ReCiPe (H)'!AL128/(1-$AC$390)*(1+'Results ReCiPe (H) - HHD'!$AC$271/'Results ReCiPe (H) - HHD'!$AC$272-'Results ReCiPe (H) - HHD'!$AC$271)</f>
        <v>2.5792096923551948E-5</v>
      </c>
      <c r="L425" s="6">
        <f>$B$252*$AC$384*'Results - raw data ReCiPe (H)'!AM128/(1-$AC$390)*(1+'Results ReCiPe (H) - HHD'!$AC$271/'Results ReCiPe (H) - HHD'!$AC$272-'Results ReCiPe (H) - HHD'!$AC$271)</f>
        <v>2.5725632671902062E-5</v>
      </c>
      <c r="M425" s="6">
        <f>$B$252*$AC$384*'Results - raw data ReCiPe (H)'!AN128/(1-$AC$390)*(1+'Results ReCiPe (H) - HHD'!$AC$271/'Results ReCiPe (H) - HHD'!$AC$272-'Results ReCiPe (H) - HHD'!$AC$271)</f>
        <v>2.5700582907469144E-5</v>
      </c>
      <c r="N425" s="6">
        <f>$B$252*$AC$384*'Results - raw data ReCiPe (H)'!AO128/(1-$AC$390)*(1+'Results ReCiPe (H) - HHD'!$AC$271/'Results ReCiPe (H) - HHD'!$AC$272-'Results ReCiPe (H) - HHD'!$AC$271)</f>
        <v>2.5676779776754831E-5</v>
      </c>
      <c r="O425" s="6">
        <f>$B$252*$AC$384*'Results - raw data ReCiPe (H)'!AP128/(1-$AC$390)*(1+'Results ReCiPe (H) - HHD'!$AC$271/'Results ReCiPe (H) - HHD'!$AC$272-'Results ReCiPe (H) - HHD'!$AC$271)</f>
        <v>2.5629990271387401E-5</v>
      </c>
      <c r="P425" s="6">
        <f>$B$252*$AC$384*'Results - raw data ReCiPe (H)'!AQ128/(1-$AC$390)*(1+'Results ReCiPe (H) - HHD'!$AC$271/'Results ReCiPe (H) - HHD'!$AC$272-'Results ReCiPe (H) - HHD'!$AC$271)</f>
        <v>2.5606187185833198E-5</v>
      </c>
      <c r="Q425" s="6">
        <f>$B$252*$AC$384*'Results - raw data ReCiPe (H)'!AR128/(1-$AC$390)*(1+'Results ReCiPe (H) - HHD'!$AC$271/'Results ReCiPe (H) - HHD'!$AC$272-'Results ReCiPe (H) - HHD'!$AC$271)</f>
        <v>2.5581482054421233E-5</v>
      </c>
      <c r="R425" s="6">
        <f>$B$252*$AC$384*'Results - raw data ReCiPe (H)'!AS128/(1-$AC$390)*(1+'Results ReCiPe (H) - HHD'!$AC$271/'Results ReCiPe (H) - HHD'!$AC$272-'Results ReCiPe (H) - HHD'!$AC$271)</f>
        <v>2.5552087214414054E-5</v>
      </c>
      <c r="S425" s="6">
        <f>$B$252*$AC$384*'Results - raw data ReCiPe (H)'!AT128/(1-$AC$390)*(1+'Results ReCiPe (H) - HHD'!$AC$271/'Results ReCiPe (H) - HHD'!$AC$272-'Results ReCiPe (H) - HHD'!$AC$271)</f>
        <v>2.5523204570480621E-5</v>
      </c>
      <c r="T425" s="6">
        <f>$B$252*$AC$384*'Results - raw data ReCiPe (H)'!AU128/(1-$AC$390)*(1+'Results ReCiPe (H) - HHD'!$AC$271/'Results ReCiPe (H) - HHD'!$AC$272-'Results ReCiPe (H) - HHD'!$AC$271)</f>
        <v>2.54738610649404E-5</v>
      </c>
      <c r="U425" s="6">
        <f>$B$252*$AC$384*'Results - raw data ReCiPe (H)'!AV128/(1-$AC$390)*(1+'Results ReCiPe (H) - HHD'!$AC$271/'Results ReCiPe (H) - HHD'!$AC$272-'Results ReCiPe (H) - HHD'!$AC$271)</f>
        <v>2.5444791840660752E-5</v>
      </c>
      <c r="V425" s="6">
        <f>$B$252*$AC$384*'Results - raw data ReCiPe (H)'!AW128/(1-$AC$390)*(1+'Results ReCiPe (H) - HHD'!$AC$271/'Results ReCiPe (H) - HHD'!$AC$272-'Results ReCiPe (H) - HHD'!$AC$271)</f>
        <v>2.5402863878692161E-5</v>
      </c>
      <c r="W425" s="6">
        <f>$B$252*$AC$384*'Results - raw data ReCiPe (H)'!AX128/(1-$AC$390)*(1+'Results ReCiPe (H) - HHD'!$AC$271/'Results ReCiPe (H) - HHD'!$AC$272-'Results ReCiPe (H) - HHD'!$AC$271)</f>
        <v>2.5562209132654211E-5</v>
      </c>
      <c r="X425" s="6">
        <f>$B$252*$AC$384*'Results - raw data ReCiPe (H)'!AY128/(1-$AC$390)*(1+'Results ReCiPe (H) - HHD'!$AC$271/'Results ReCiPe (H) - HHD'!$AC$272-'Results ReCiPe (H) - HHD'!$AC$271)</f>
        <v>2.5555983861843482E-5</v>
      </c>
      <c r="Y425" s="6">
        <f>$B$252*$AC$384*'Results - raw data ReCiPe (H)'!AZ128/(1-$AC$390)*(1+'Results ReCiPe (H) - HHD'!$AC$271/'Results ReCiPe (H) - HHD'!$AC$272-'Results ReCiPe (H) - HHD'!$AC$271)</f>
        <v>2.554977440269519E-5</v>
      </c>
      <c r="Z425" s="6">
        <f>$B$252*$AC$384*'Results - raw data ReCiPe (H)'!BA128/(1-$AC$390)*(1+'Results ReCiPe (H) - HHD'!$AC$271/'Results ReCiPe (H) - HHD'!$AC$272-'Results ReCiPe (H) - HHD'!$AC$271)</f>
        <v>2.5543578079049757E-5</v>
      </c>
    </row>
    <row r="426" spans="1:53" outlineLevel="1" x14ac:dyDescent="0.35">
      <c r="A426" s="6" t="s">
        <v>797</v>
      </c>
      <c r="B426" s="6">
        <f>$B$380*$AC$384</f>
        <v>3.5391838353938991E-5</v>
      </c>
      <c r="C426" s="6">
        <f t="shared" ref="C426:Z426" si="61">$B$380*$AC$384</f>
        <v>3.5391838353938991E-5</v>
      </c>
      <c r="D426" s="6">
        <f t="shared" si="61"/>
        <v>3.5391838353938991E-5</v>
      </c>
      <c r="E426" s="6">
        <f t="shared" si="61"/>
        <v>3.5391838353938991E-5</v>
      </c>
      <c r="F426" s="6">
        <f t="shared" si="61"/>
        <v>3.5391838353938991E-5</v>
      </c>
      <c r="G426" s="6">
        <f t="shared" si="61"/>
        <v>3.5391838353938991E-5</v>
      </c>
      <c r="H426" s="6">
        <f t="shared" si="61"/>
        <v>3.5391838353938991E-5</v>
      </c>
      <c r="I426" s="6">
        <f t="shared" si="61"/>
        <v>3.5391838353938991E-5</v>
      </c>
      <c r="J426" s="6">
        <f t="shared" si="61"/>
        <v>3.5391838353938991E-5</v>
      </c>
      <c r="K426" s="6">
        <f t="shared" si="61"/>
        <v>3.5391838353938991E-5</v>
      </c>
      <c r="L426" s="6">
        <f t="shared" si="61"/>
        <v>3.5391838353938991E-5</v>
      </c>
      <c r="M426" s="6">
        <f t="shared" si="61"/>
        <v>3.5391838353938991E-5</v>
      </c>
      <c r="N426" s="6">
        <f t="shared" si="61"/>
        <v>3.5391838353938991E-5</v>
      </c>
      <c r="O426" s="6">
        <f t="shared" si="61"/>
        <v>3.5391838353938991E-5</v>
      </c>
      <c r="P426" s="6">
        <f t="shared" si="61"/>
        <v>3.5391838353938991E-5</v>
      </c>
      <c r="Q426" s="6">
        <f t="shared" si="61"/>
        <v>3.5391838353938991E-5</v>
      </c>
      <c r="R426" s="6">
        <f t="shared" si="61"/>
        <v>3.5391838353938991E-5</v>
      </c>
      <c r="S426" s="6">
        <f t="shared" si="61"/>
        <v>3.5391838353938991E-5</v>
      </c>
      <c r="T426" s="6">
        <f t="shared" si="61"/>
        <v>3.5391838353938991E-5</v>
      </c>
      <c r="U426" s="6">
        <f t="shared" si="61"/>
        <v>3.5391838353938991E-5</v>
      </c>
      <c r="V426" s="6">
        <f t="shared" si="61"/>
        <v>3.5391838353938991E-5</v>
      </c>
      <c r="W426" s="6">
        <f t="shared" si="61"/>
        <v>3.5391838353938991E-5</v>
      </c>
      <c r="X426" s="6">
        <f t="shared" si="61"/>
        <v>3.5391838353938991E-5</v>
      </c>
      <c r="Y426" s="6">
        <f t="shared" si="61"/>
        <v>3.5391838353938991E-5</v>
      </c>
      <c r="Z426" s="6">
        <f t="shared" si="61"/>
        <v>3.5391838353938991E-5</v>
      </c>
    </row>
    <row r="427" spans="1:53" outlineLevel="1" x14ac:dyDescent="0.35">
      <c r="A427" s="23" t="s">
        <v>125</v>
      </c>
      <c r="B427" s="17">
        <f>SUM(B395:B425)</f>
        <v>1.7777502746955525E-4</v>
      </c>
      <c r="C427" s="17">
        <f t="shared" ref="C427:Z427" si="62">SUM(C395:C425)</f>
        <v>3.4223210321788584E-5</v>
      </c>
      <c r="D427" s="17">
        <f t="shared" si="62"/>
        <v>3.3539828137708933E-5</v>
      </c>
      <c r="E427" s="17">
        <f t="shared" si="62"/>
        <v>3.2696398025404987E-5</v>
      </c>
      <c r="F427" s="17">
        <f t="shared" si="62"/>
        <v>3.1995425146525265E-5</v>
      </c>
      <c r="G427" s="17">
        <f t="shared" si="62"/>
        <v>3.1289076401628843E-5</v>
      </c>
      <c r="H427" s="17">
        <f t="shared" si="62"/>
        <v>3.1190791846938759E-5</v>
      </c>
      <c r="I427" s="17">
        <f t="shared" si="62"/>
        <v>3.1091750139497622E-5</v>
      </c>
      <c r="J427" s="17">
        <f t="shared" si="62"/>
        <v>3.0906078955369978E-5</v>
      </c>
      <c r="K427" s="17">
        <f t="shared" si="62"/>
        <v>3.0805065219587923E-5</v>
      </c>
      <c r="L427" s="17">
        <f t="shared" si="62"/>
        <v>3.0704228203859139E-5</v>
      </c>
      <c r="M427" s="17">
        <f t="shared" si="62"/>
        <v>3.065981841874163E-5</v>
      </c>
      <c r="N427" s="17">
        <f t="shared" si="62"/>
        <v>3.0616590810303613E-5</v>
      </c>
      <c r="O427" s="17">
        <f t="shared" si="62"/>
        <v>3.054330280039381E-5</v>
      </c>
      <c r="P427" s="17">
        <f t="shared" si="62"/>
        <v>3.049949612274325E-5</v>
      </c>
      <c r="Q427" s="17">
        <f t="shared" si="62"/>
        <v>3.0454558563131766E-5</v>
      </c>
      <c r="R427" s="17">
        <f t="shared" si="62"/>
        <v>3.0351603695189722E-5</v>
      </c>
      <c r="S427" s="17">
        <f t="shared" si="62"/>
        <v>3.0249407655138336E-5</v>
      </c>
      <c r="T427" s="17">
        <f t="shared" si="62"/>
        <v>3.0121073299627098E-5</v>
      </c>
      <c r="U427" s="17">
        <f t="shared" si="62"/>
        <v>3.0019086464520387E-5</v>
      </c>
      <c r="V427" s="17">
        <f t="shared" si="62"/>
        <v>2.9904128163967893E-5</v>
      </c>
      <c r="W427" s="17">
        <f t="shared" si="62"/>
        <v>3.0073346026751646E-5</v>
      </c>
      <c r="X427" s="17">
        <f t="shared" si="62"/>
        <v>3.0020449525355687E-5</v>
      </c>
      <c r="Y427" s="17">
        <f t="shared" si="62"/>
        <v>2.996763004619779E-5</v>
      </c>
      <c r="Z427" s="17">
        <f t="shared" si="62"/>
        <v>3.2457499027650079E-5</v>
      </c>
    </row>
    <row r="428" spans="1:53" s="26" customFormat="1" outlineLevel="1" x14ac:dyDescent="0.35"/>
    <row r="429" spans="1:53" s="236" customFormat="1" ht="21" x14ac:dyDescent="0.5">
      <c r="A429" s="236" t="s">
        <v>136</v>
      </c>
    </row>
    <row r="432" spans="1:53" x14ac:dyDescent="0.35">
      <c r="A432" s="331" t="s">
        <v>131</v>
      </c>
      <c r="B432" s="331"/>
      <c r="C432" s="331"/>
      <c r="D432" s="331"/>
      <c r="E432" s="331"/>
      <c r="F432" s="331"/>
      <c r="G432" s="331"/>
      <c r="H432" s="331"/>
      <c r="I432" s="331"/>
      <c r="J432" s="331"/>
      <c r="K432" s="331"/>
    </row>
    <row r="433" spans="1:11" x14ac:dyDescent="0.35">
      <c r="A433" s="6" t="s">
        <v>880</v>
      </c>
    </row>
    <row r="434" spans="1:11" x14ac:dyDescent="0.35">
      <c r="B434" s="6" t="s">
        <v>889</v>
      </c>
      <c r="C434" s="6" t="s">
        <v>891</v>
      </c>
      <c r="D434" s="6" t="s">
        <v>890</v>
      </c>
      <c r="E434" s="6" t="s">
        <v>892</v>
      </c>
      <c r="F434" s="6" t="s">
        <v>893</v>
      </c>
      <c r="G434" s="6" t="s">
        <v>894</v>
      </c>
      <c r="H434" s="6" t="s">
        <v>896</v>
      </c>
      <c r="I434" s="6" t="s">
        <v>897</v>
      </c>
      <c r="J434" s="6" t="s">
        <v>895</v>
      </c>
    </row>
    <row r="435" spans="1:11" x14ac:dyDescent="0.35">
      <c r="A435" s="6" t="s">
        <v>117</v>
      </c>
      <c r="B435" s="6">
        <f>SUM(AC10:BA10)</f>
        <v>1.9467533260507852E-4</v>
      </c>
      <c r="C435" s="6">
        <f>SUM(AC50:BA50)</f>
        <v>1.8346526921509307E-4</v>
      </c>
      <c r="D435" s="6">
        <f>SUM(AC90:BA90)</f>
        <v>1.5226911141711527E-4</v>
      </c>
      <c r="E435" s="6">
        <f>SUM(AC132:BA132)</f>
        <v>1.9467533260507852E-4</v>
      </c>
      <c r="F435" s="6">
        <f>SUM(AC173:BA173)</f>
        <v>1.8346526921509307E-4</v>
      </c>
      <c r="G435" s="6">
        <f>SUM(AC214:BA214)</f>
        <v>1.5226911141711527E-4</v>
      </c>
      <c r="H435" s="6">
        <f>SUM(AC274:BA274)</f>
        <v>1.7996708147025861E-4</v>
      </c>
      <c r="I435" s="6">
        <f>SUM(AC334:BA334)</f>
        <v>1.6886495556759864E-4</v>
      </c>
      <c r="J435" s="6">
        <f>SUM(AC395:BA395)</f>
        <v>1.3798038147677175E-4</v>
      </c>
    </row>
    <row r="436" spans="1:11" x14ac:dyDescent="0.35">
      <c r="A436" s="6" t="s">
        <v>118</v>
      </c>
      <c r="B436" s="6">
        <f>SUM(AC11:BA11)</f>
        <v>1.1362073373089257E-5</v>
      </c>
      <c r="C436" s="6">
        <f>SUM(AC51:BA51)</f>
        <v>1.0765797689579158E-5</v>
      </c>
      <c r="D436" s="6">
        <f>SUM(AC91:BA91)</f>
        <v>9.7865963272845992E-6</v>
      </c>
      <c r="E436" s="6">
        <f>SUM(AC133:BA133)</f>
        <v>1.1362073373089257E-5</v>
      </c>
      <c r="F436" s="6">
        <f>SUM(AC174:BA174)</f>
        <v>1.0765797689579158E-5</v>
      </c>
      <c r="G436" s="6">
        <f>SUM(AC215:BA215)</f>
        <v>9.7865963272845992E-6</v>
      </c>
      <c r="H436" s="6">
        <f t="shared" ref="H436:H444" si="63">SUM(AC275:BA275)</f>
        <v>5.6810366865446284E-6</v>
      </c>
      <c r="I436" s="6">
        <f t="shared" ref="I436:I444" si="64">SUM(AC335:BA335)</f>
        <v>5.3828988447895789E-6</v>
      </c>
      <c r="J436" s="6">
        <f t="shared" ref="J436:J444" si="65">SUM(AC396:BA396)</f>
        <v>4.8932981636422996E-6</v>
      </c>
    </row>
    <row r="437" spans="1:11" x14ac:dyDescent="0.35">
      <c r="A437" s="6" t="s">
        <v>119</v>
      </c>
      <c r="B437" s="6">
        <f>SUM(AC12:BA12)</f>
        <v>2.8327516247168551E-6</v>
      </c>
      <c r="C437" s="6">
        <f>SUM(AC52:BA52)</f>
        <v>2.5814369390254752E-6</v>
      </c>
      <c r="D437" s="6">
        <f>SUM(AC92:BA92)</f>
        <v>2.4979772832792044E-6</v>
      </c>
      <c r="E437" s="6">
        <f>SUM(AC134:BA134)</f>
        <v>2.8327516247168551E-6</v>
      </c>
      <c r="F437" s="6">
        <f>SUM(AC175:BA175)</f>
        <v>2.5814369390254752E-6</v>
      </c>
      <c r="G437" s="6">
        <f>SUM(AC216:BA216)</f>
        <v>2.4979772832792044E-6</v>
      </c>
      <c r="H437" s="6">
        <f t="shared" si="63"/>
        <v>2.8327516247168551E-6</v>
      </c>
      <c r="I437" s="6">
        <f t="shared" si="64"/>
        <v>2.5814369390254752E-6</v>
      </c>
      <c r="J437" s="6">
        <f t="shared" si="65"/>
        <v>2.4979772832792044E-6</v>
      </c>
    </row>
    <row r="438" spans="1:11" x14ac:dyDescent="0.35">
      <c r="A438" s="6" t="s">
        <v>120</v>
      </c>
      <c r="B438" s="6">
        <f>SUM(AC13:BA13)</f>
        <v>9.2615556283479631E-8</v>
      </c>
      <c r="C438" s="6">
        <f>SUM(AC53:BA53)</f>
        <v>8.9177657234606268E-8</v>
      </c>
      <c r="D438" s="6">
        <f>SUM(AC93:BA93)</f>
        <v>8.9291412421487725E-8</v>
      </c>
      <c r="E438" s="6">
        <f>SUM(AC135:BA135)</f>
        <v>9.2615556283479631E-8</v>
      </c>
      <c r="F438" s="6">
        <f>SUM(AC176:BA176)</f>
        <v>8.9177657234606268E-8</v>
      </c>
      <c r="G438" s="6">
        <f>SUM(AC217:BA217)</f>
        <v>8.9291412421487725E-8</v>
      </c>
      <c r="H438" s="6">
        <f t="shared" si="63"/>
        <v>4.6307778141739816E-8</v>
      </c>
      <c r="I438" s="6">
        <f t="shared" si="64"/>
        <v>4.4588828617303134E-8</v>
      </c>
      <c r="J438" s="6">
        <f t="shared" si="65"/>
        <v>4.4645706210743862E-8</v>
      </c>
    </row>
    <row r="439" spans="1:11" x14ac:dyDescent="0.35">
      <c r="A439" s="6" t="s">
        <v>121</v>
      </c>
      <c r="B439" s="6">
        <f>SUM(AC14:BA14)</f>
        <v>4.0408701872486058E-5</v>
      </c>
      <c r="C439" s="6">
        <f>SUM(AC54:BA54)</f>
        <v>3.4271927680265855E-5</v>
      </c>
      <c r="D439" s="6">
        <f>SUM(AC94:BA94)</f>
        <v>3.0347170707365323E-5</v>
      </c>
      <c r="E439" s="6">
        <f>SUM(AC136:BA136)</f>
        <v>4.0408701872486058E-5</v>
      </c>
      <c r="F439" s="6">
        <f>SUM(AC177:BA177)</f>
        <v>3.4271927680265855E-5</v>
      </c>
      <c r="G439" s="6">
        <f>SUM(AC218:BA218)</f>
        <v>3.0347170707365323E-5</v>
      </c>
      <c r="H439" s="6">
        <f t="shared" si="63"/>
        <v>4.0408701872486058E-5</v>
      </c>
      <c r="I439" s="6">
        <f t="shared" si="64"/>
        <v>3.4271927680265855E-5</v>
      </c>
      <c r="J439" s="6">
        <f t="shared" si="65"/>
        <v>3.0347170707365323E-5</v>
      </c>
    </row>
    <row r="440" spans="1:11" x14ac:dyDescent="0.35">
      <c r="A440" s="6" t="s">
        <v>800</v>
      </c>
      <c r="H440" s="6">
        <f t="shared" si="63"/>
        <v>1.0623459015422626E-3</v>
      </c>
      <c r="I440" s="6">
        <f t="shared" si="64"/>
        <v>1.0217940395875534E-3</v>
      </c>
      <c r="J440" s="6">
        <f t="shared" si="65"/>
        <v>8.8479595884847432E-4</v>
      </c>
    </row>
    <row r="441" spans="1:11" x14ac:dyDescent="0.35">
      <c r="A441" s="6" t="s">
        <v>122</v>
      </c>
      <c r="B441" s="6">
        <f>SUM(AC15:BA15)</f>
        <v>6.1138143586717594E-3</v>
      </c>
      <c r="C441" s="6">
        <f>SUM(AC55:BA55)</f>
        <v>1.5105550858886749E-3</v>
      </c>
      <c r="D441" s="6">
        <f>SUM(AC95:BA95)</f>
        <v>5.8647718217122848E-4</v>
      </c>
      <c r="E441" s="6">
        <f>SUM(AC137:BA137)</f>
        <v>4.7780740629027501E-3</v>
      </c>
      <c r="F441" s="6">
        <f>SUM(AC178:BA178)</f>
        <v>1.2472821229270162E-3</v>
      </c>
      <c r="G441" s="6">
        <f>SUM(AC219:BA219)</f>
        <v>5.3469691309592751E-4</v>
      </c>
      <c r="H441" s="6">
        <f t="shared" si="63"/>
        <v>7.8595318153049706E-4</v>
      </c>
      <c r="I441" s="6">
        <f t="shared" si="64"/>
        <v>6.949201171357228E-4</v>
      </c>
      <c r="J441" s="6">
        <f t="shared" si="65"/>
        <v>6.5193872433406399E-4</v>
      </c>
    </row>
    <row r="442" spans="1:11" x14ac:dyDescent="0.35">
      <c r="A442" s="6" t="s">
        <v>123</v>
      </c>
      <c r="B442" s="6">
        <f>SUM(AC16:BA16)</f>
        <v>5.0030557055624173E-4</v>
      </c>
      <c r="C442" s="6">
        <f>SUM(AC56:BA56)</f>
        <v>1.5273329890956927E-4</v>
      </c>
      <c r="D442" s="6">
        <f>SUM(AC96:BA96)</f>
        <v>8.1618038758647445E-5</v>
      </c>
      <c r="E442" s="6">
        <f>SUM(AC138:BA138)</f>
        <v>1.1507028122793562E-6</v>
      </c>
      <c r="F442" s="6">
        <f>SUM(AC179:BA179)</f>
        <v>3.5128658749200928E-7</v>
      </c>
      <c r="G442" s="6">
        <f>SUM(AC220:BA220)</f>
        <v>1.8772148914488919E-7</v>
      </c>
      <c r="H442" s="6">
        <f t="shared" si="63"/>
        <v>2.5015278527812086E-4</v>
      </c>
      <c r="I442" s="6">
        <f t="shared" si="64"/>
        <v>7.6366649454784636E-5</v>
      </c>
      <c r="J442" s="6">
        <f t="shared" si="65"/>
        <v>4.0809019379323723E-5</v>
      </c>
    </row>
    <row r="443" spans="1:11" x14ac:dyDescent="0.35">
      <c r="A443" s="6" t="s">
        <v>124</v>
      </c>
      <c r="B443" s="6">
        <f>SUM(AC17:BA17)</f>
        <v>-7.0001912499999966E-3</v>
      </c>
      <c r="C443" s="6">
        <f>SUM(AC57:BA57)</f>
        <v>-7.0001912499999966E-3</v>
      </c>
      <c r="D443" s="6">
        <f>SUM(AC97:BA97)</f>
        <v>-7.0001912499999966E-3</v>
      </c>
      <c r="E443" s="6">
        <f>SUM(AC139:BA139)</f>
        <v>-7.0001912499999966E-3</v>
      </c>
      <c r="F443" s="6">
        <f>SUM(AC180:BA180)</f>
        <v>-7.0001912499999966E-3</v>
      </c>
      <c r="G443" s="6">
        <f>SUM(AC221:BA221)</f>
        <v>-7.0001912499999966E-3</v>
      </c>
      <c r="H443" s="6">
        <f t="shared" si="63"/>
        <v>-3.5000956249999983E-3</v>
      </c>
      <c r="I443" s="6">
        <f t="shared" si="64"/>
        <v>-3.5000956249999983E-3</v>
      </c>
      <c r="J443" s="6">
        <f t="shared" si="65"/>
        <v>-3.5000956249999983E-3</v>
      </c>
    </row>
    <row r="444" spans="1:11" x14ac:dyDescent="0.35">
      <c r="A444" s="6" t="s">
        <v>137</v>
      </c>
      <c r="B444" s="6">
        <f>SUM(AC18:BA18)</f>
        <v>-1.3669984574034429E-4</v>
      </c>
      <c r="C444" s="6">
        <f>SUM(AC58:BA58)</f>
        <v>-5.1057292560205579E-3</v>
      </c>
      <c r="D444" s="6">
        <f>SUM(AC98:BA98)</f>
        <v>-6.1371058819226585E-3</v>
      </c>
      <c r="E444" s="6">
        <f>SUM(AC140:BA140)</f>
        <v>-1.9715950092533156E-3</v>
      </c>
      <c r="F444" s="6">
        <f>SUM(AC181:BA181)</f>
        <v>-5.5213842313042933E-3</v>
      </c>
      <c r="G444" s="6">
        <f>SUM(AC222:BA222)</f>
        <v>-6.2703164682674619E-3</v>
      </c>
      <c r="H444" s="6">
        <f t="shared" si="63"/>
        <v>-1.1727078772169708E-3</v>
      </c>
      <c r="I444" s="6">
        <f t="shared" si="64"/>
        <v>-1.4958690109616423E-3</v>
      </c>
      <c r="J444" s="6">
        <f t="shared" si="65"/>
        <v>-1.7467884491008682E-3</v>
      </c>
    </row>
    <row r="446" spans="1:11" x14ac:dyDescent="0.35">
      <c r="A446" s="331" t="s">
        <v>133</v>
      </c>
      <c r="B446" s="331"/>
      <c r="C446" s="331"/>
      <c r="D446" s="331"/>
      <c r="E446" s="331"/>
      <c r="F446" s="331"/>
      <c r="G446" s="331"/>
      <c r="H446" s="331"/>
      <c r="I446" s="331"/>
      <c r="J446" s="331"/>
      <c r="K446" s="331"/>
    </row>
    <row r="447" spans="1:11" x14ac:dyDescent="0.35">
      <c r="A447" s="6" t="s">
        <v>881</v>
      </c>
    </row>
    <row r="448" spans="1:11" x14ac:dyDescent="0.35">
      <c r="B448" s="6" t="s">
        <v>889</v>
      </c>
      <c r="C448" s="6" t="s">
        <v>891</v>
      </c>
      <c r="D448" s="6" t="s">
        <v>890</v>
      </c>
      <c r="E448" s="6" t="s">
        <v>892</v>
      </c>
      <c r="F448" s="6" t="s">
        <v>893</v>
      </c>
      <c r="G448" s="6" t="s">
        <v>894</v>
      </c>
      <c r="H448" s="6" t="s">
        <v>896</v>
      </c>
      <c r="I448" s="6" t="s">
        <v>897</v>
      </c>
      <c r="J448" s="6" t="s">
        <v>895</v>
      </c>
    </row>
    <row r="449" spans="1:11" x14ac:dyDescent="0.35">
      <c r="A449" s="6" t="s">
        <v>117</v>
      </c>
      <c r="B449" s="6">
        <f>B435/25</f>
        <v>7.7870133042031407E-6</v>
      </c>
      <c r="C449" s="6">
        <f t="shared" ref="C449:J449" si="66">C435/25</f>
        <v>7.3386107686037223E-6</v>
      </c>
      <c r="D449" s="6">
        <f t="shared" si="66"/>
        <v>6.090764456684611E-6</v>
      </c>
      <c r="E449" s="6">
        <f t="shared" si="66"/>
        <v>7.7870133042031407E-6</v>
      </c>
      <c r="F449" s="6">
        <f t="shared" si="66"/>
        <v>7.3386107686037223E-6</v>
      </c>
      <c r="G449" s="6">
        <f t="shared" si="66"/>
        <v>6.090764456684611E-6</v>
      </c>
      <c r="H449" s="6">
        <f t="shared" si="66"/>
        <v>7.198683258810344E-6</v>
      </c>
      <c r="I449" s="6">
        <f t="shared" si="66"/>
        <v>6.7545982227039456E-6</v>
      </c>
      <c r="J449" s="6">
        <f t="shared" si="66"/>
        <v>5.5192152590708704E-6</v>
      </c>
    </row>
    <row r="450" spans="1:11" x14ac:dyDescent="0.35">
      <c r="A450" s="6" t="s">
        <v>118</v>
      </c>
      <c r="B450" s="6">
        <f t="shared" ref="B450:J458" si="67">B436/25</f>
        <v>4.5448293492357029E-7</v>
      </c>
      <c r="C450" s="6">
        <f t="shared" si="67"/>
        <v>4.3063190758316632E-7</v>
      </c>
      <c r="D450" s="6">
        <f t="shared" si="67"/>
        <v>3.9146385309138399E-7</v>
      </c>
      <c r="E450" s="6">
        <f t="shared" si="67"/>
        <v>4.5448293492357029E-7</v>
      </c>
      <c r="F450" s="6">
        <f t="shared" si="67"/>
        <v>4.3063190758316632E-7</v>
      </c>
      <c r="G450" s="6">
        <f t="shared" si="67"/>
        <v>3.9146385309138399E-7</v>
      </c>
      <c r="H450" s="6">
        <f t="shared" si="67"/>
        <v>2.2724146746178515E-7</v>
      </c>
      <c r="I450" s="6">
        <f t="shared" si="67"/>
        <v>2.1531595379158316E-7</v>
      </c>
      <c r="J450" s="6">
        <f t="shared" si="67"/>
        <v>1.9573192654569199E-7</v>
      </c>
    </row>
    <row r="451" spans="1:11" x14ac:dyDescent="0.35">
      <c r="A451" s="6" t="s">
        <v>119</v>
      </c>
      <c r="B451" s="6">
        <f t="shared" si="67"/>
        <v>1.133100649886742E-7</v>
      </c>
      <c r="C451" s="6">
        <f t="shared" si="67"/>
        <v>1.03257477561019E-7</v>
      </c>
      <c r="D451" s="6">
        <f t="shared" si="67"/>
        <v>9.9919091331168173E-8</v>
      </c>
      <c r="E451" s="6">
        <f t="shared" si="67"/>
        <v>1.133100649886742E-7</v>
      </c>
      <c r="F451" s="6">
        <f t="shared" si="67"/>
        <v>1.03257477561019E-7</v>
      </c>
      <c r="G451" s="6">
        <f t="shared" si="67"/>
        <v>9.9919091331168173E-8</v>
      </c>
      <c r="H451" s="6">
        <f t="shared" si="67"/>
        <v>1.133100649886742E-7</v>
      </c>
      <c r="I451" s="6">
        <f t="shared" si="67"/>
        <v>1.03257477561019E-7</v>
      </c>
      <c r="J451" s="6">
        <f t="shared" si="67"/>
        <v>9.9919091331168173E-8</v>
      </c>
    </row>
    <row r="452" spans="1:11" x14ac:dyDescent="0.35">
      <c r="A452" s="6" t="s">
        <v>120</v>
      </c>
      <c r="B452" s="6">
        <f t="shared" si="67"/>
        <v>3.7046222513391854E-9</v>
      </c>
      <c r="C452" s="6">
        <f t="shared" si="67"/>
        <v>3.5671062893842508E-9</v>
      </c>
      <c r="D452" s="6">
        <f t="shared" si="67"/>
        <v>3.5716564968595089E-9</v>
      </c>
      <c r="E452" s="6">
        <f t="shared" si="67"/>
        <v>3.7046222513391854E-9</v>
      </c>
      <c r="F452" s="6">
        <f t="shared" si="67"/>
        <v>3.5671062893842508E-9</v>
      </c>
      <c r="G452" s="6">
        <f t="shared" si="67"/>
        <v>3.5716564968595089E-9</v>
      </c>
      <c r="H452" s="6">
        <f t="shared" si="67"/>
        <v>1.8523111256695927E-9</v>
      </c>
      <c r="I452" s="6">
        <f t="shared" si="67"/>
        <v>1.7835531446921254E-9</v>
      </c>
      <c r="J452" s="6">
        <f t="shared" si="67"/>
        <v>1.7858282484297544E-9</v>
      </c>
    </row>
    <row r="453" spans="1:11" x14ac:dyDescent="0.35">
      <c r="A453" s="6" t="s">
        <v>121</v>
      </c>
      <c r="B453" s="6">
        <f t="shared" si="67"/>
        <v>1.6163480748994423E-6</v>
      </c>
      <c r="C453" s="6">
        <f t="shared" si="67"/>
        <v>1.3708771072106342E-6</v>
      </c>
      <c r="D453" s="6">
        <f t="shared" si="67"/>
        <v>1.2138868282946129E-6</v>
      </c>
      <c r="E453" s="6">
        <f t="shared" si="67"/>
        <v>1.6163480748994423E-6</v>
      </c>
      <c r="F453" s="6">
        <f t="shared" si="67"/>
        <v>1.3708771072106342E-6</v>
      </c>
      <c r="G453" s="6">
        <f t="shared" si="67"/>
        <v>1.2138868282946129E-6</v>
      </c>
      <c r="H453" s="6">
        <f t="shared" si="67"/>
        <v>1.6163480748994423E-6</v>
      </c>
      <c r="I453" s="6">
        <f t="shared" si="67"/>
        <v>1.3708771072106342E-6</v>
      </c>
      <c r="J453" s="6">
        <f t="shared" si="67"/>
        <v>1.2138868282946129E-6</v>
      </c>
    </row>
    <row r="454" spans="1:11" x14ac:dyDescent="0.35">
      <c r="A454" s="6" t="s">
        <v>800</v>
      </c>
      <c r="B454" s="6">
        <f t="shared" si="67"/>
        <v>0</v>
      </c>
      <c r="C454" s="6">
        <f t="shared" si="67"/>
        <v>0</v>
      </c>
      <c r="D454" s="6">
        <f t="shared" si="67"/>
        <v>0</v>
      </c>
      <c r="E454" s="6">
        <f t="shared" si="67"/>
        <v>0</v>
      </c>
      <c r="F454" s="6">
        <f t="shared" si="67"/>
        <v>0</v>
      </c>
      <c r="G454" s="6">
        <f t="shared" si="67"/>
        <v>0</v>
      </c>
      <c r="H454" s="6">
        <f t="shared" si="67"/>
        <v>4.2493836061690502E-5</v>
      </c>
      <c r="I454" s="6">
        <f t="shared" si="67"/>
        <v>4.0871761583502136E-5</v>
      </c>
      <c r="J454" s="6">
        <f t="shared" si="67"/>
        <v>3.5391838353938971E-5</v>
      </c>
    </row>
    <row r="455" spans="1:11" x14ac:dyDescent="0.35">
      <c r="A455" s="6" t="s">
        <v>122</v>
      </c>
      <c r="B455" s="6">
        <f t="shared" si="67"/>
        <v>2.445525743468704E-4</v>
      </c>
      <c r="C455" s="6">
        <f t="shared" si="67"/>
        <v>6.0422203435546998E-5</v>
      </c>
      <c r="D455" s="6">
        <f t="shared" si="67"/>
        <v>2.3459087286849139E-5</v>
      </c>
      <c r="E455" s="6">
        <f t="shared" si="67"/>
        <v>1.9112296251611E-4</v>
      </c>
      <c r="F455" s="6">
        <f t="shared" si="67"/>
        <v>4.9891284917080645E-5</v>
      </c>
      <c r="G455" s="6">
        <f t="shared" si="67"/>
        <v>2.1387876523837101E-5</v>
      </c>
      <c r="H455" s="6">
        <f t="shared" si="67"/>
        <v>3.1438127261219879E-5</v>
      </c>
      <c r="I455" s="6">
        <f t="shared" si="67"/>
        <v>2.7796804685428912E-5</v>
      </c>
      <c r="J455" s="6">
        <f t="shared" si="67"/>
        <v>2.6077548973362558E-5</v>
      </c>
    </row>
    <row r="456" spans="1:11" x14ac:dyDescent="0.35">
      <c r="A456" s="6" t="s">
        <v>123</v>
      </c>
      <c r="B456" s="6">
        <f t="shared" si="67"/>
        <v>2.0012222822249669E-5</v>
      </c>
      <c r="C456" s="6">
        <f t="shared" si="67"/>
        <v>6.1093319563827712E-6</v>
      </c>
      <c r="D456" s="6">
        <f t="shared" si="67"/>
        <v>3.2647215503458976E-6</v>
      </c>
      <c r="E456" s="6">
        <f t="shared" si="67"/>
        <v>4.6028112491174246E-8</v>
      </c>
      <c r="F456" s="6">
        <f t="shared" si="67"/>
        <v>1.4051463499680371E-8</v>
      </c>
      <c r="G456" s="6">
        <f t="shared" si="67"/>
        <v>7.5088595657955667E-9</v>
      </c>
      <c r="H456" s="6">
        <f t="shared" si="67"/>
        <v>1.0006111411124835E-5</v>
      </c>
      <c r="I456" s="6">
        <f t="shared" si="67"/>
        <v>3.0546659781913856E-6</v>
      </c>
      <c r="J456" s="6">
        <f t="shared" si="67"/>
        <v>1.6323607751729488E-6</v>
      </c>
    </row>
    <row r="457" spans="1:11" x14ac:dyDescent="0.35">
      <c r="A457" s="6" t="s">
        <v>124</v>
      </c>
      <c r="B457" s="6">
        <f t="shared" si="67"/>
        <v>-2.8000764999999987E-4</v>
      </c>
      <c r="C457" s="6">
        <f t="shared" si="67"/>
        <v>-2.8000764999999987E-4</v>
      </c>
      <c r="D457" s="6">
        <f t="shared" si="67"/>
        <v>-2.8000764999999987E-4</v>
      </c>
      <c r="E457" s="6">
        <f t="shared" si="67"/>
        <v>-2.8000764999999987E-4</v>
      </c>
      <c r="F457" s="6">
        <f t="shared" si="67"/>
        <v>-2.8000764999999987E-4</v>
      </c>
      <c r="G457" s="6">
        <f t="shared" si="67"/>
        <v>-2.8000764999999987E-4</v>
      </c>
      <c r="H457" s="6">
        <f t="shared" si="67"/>
        <v>-1.4000382499999994E-4</v>
      </c>
      <c r="I457" s="6">
        <f t="shared" si="67"/>
        <v>-1.4000382499999994E-4</v>
      </c>
      <c r="J457" s="6">
        <f t="shared" si="67"/>
        <v>-1.4000382499999994E-4</v>
      </c>
    </row>
    <row r="458" spans="1:11" x14ac:dyDescent="0.35">
      <c r="A458" s="6" t="s">
        <v>137</v>
      </c>
      <c r="B458" s="6">
        <f t="shared" si="67"/>
        <v>-5.4679938296137715E-6</v>
      </c>
      <c r="C458" s="6">
        <f t="shared" si="67"/>
        <v>-2.0422917024082231E-4</v>
      </c>
      <c r="D458" s="6">
        <f t="shared" si="67"/>
        <v>-2.4548423527690632E-4</v>
      </c>
      <c r="E458" s="6">
        <f t="shared" si="67"/>
        <v>-7.8863800370132617E-5</v>
      </c>
      <c r="F458" s="6">
        <f t="shared" si="67"/>
        <v>-2.2085536925217173E-4</v>
      </c>
      <c r="G458" s="6">
        <f t="shared" si="67"/>
        <v>-2.5081265873069846E-4</v>
      </c>
      <c r="H458" s="6">
        <f t="shared" si="67"/>
        <v>-4.6908315088678827E-5</v>
      </c>
      <c r="I458" s="6">
        <f t="shared" si="67"/>
        <v>-5.9834760438465693E-5</v>
      </c>
      <c r="J458" s="6">
        <f t="shared" si="67"/>
        <v>-6.9871537964034724E-5</v>
      </c>
    </row>
    <row r="461" spans="1:11" x14ac:dyDescent="0.35">
      <c r="A461" s="331" t="s">
        <v>135</v>
      </c>
      <c r="B461" s="331"/>
      <c r="C461" s="331"/>
      <c r="D461" s="331"/>
      <c r="E461" s="331"/>
      <c r="F461" s="331"/>
      <c r="G461" s="331"/>
      <c r="H461" s="331"/>
      <c r="I461" s="331"/>
      <c r="J461" s="331"/>
      <c r="K461" s="331"/>
    </row>
    <row r="462" spans="1:11" x14ac:dyDescent="0.35">
      <c r="A462" s="6" t="s">
        <v>882</v>
      </c>
    </row>
    <row r="463" spans="1:11" x14ac:dyDescent="0.35">
      <c r="A463" s="6" t="s">
        <v>139</v>
      </c>
      <c r="B463" s="6">
        <v>100</v>
      </c>
      <c r="C463" s="6" t="s">
        <v>128</v>
      </c>
    </row>
    <row r="464" spans="1:11" x14ac:dyDescent="0.35">
      <c r="A464" s="6" t="s">
        <v>140</v>
      </c>
      <c r="B464" s="6">
        <v>50</v>
      </c>
      <c r="C464" s="6" t="s">
        <v>128</v>
      </c>
    </row>
    <row r="466" spans="1:10" x14ac:dyDescent="0.35">
      <c r="B466" s="6" t="s">
        <v>889</v>
      </c>
      <c r="C466" s="6" t="s">
        <v>891</v>
      </c>
      <c r="D466" s="6" t="s">
        <v>890</v>
      </c>
      <c r="E466" s="6" t="s">
        <v>892</v>
      </c>
      <c r="F466" s="6" t="s">
        <v>893</v>
      </c>
      <c r="G466" s="6" t="s">
        <v>894</v>
      </c>
      <c r="H466" s="6" t="s">
        <v>896</v>
      </c>
      <c r="I466" s="6" t="s">
        <v>897</v>
      </c>
      <c r="J466" s="6" t="s">
        <v>895</v>
      </c>
    </row>
    <row r="467" spans="1:10" x14ac:dyDescent="0.35">
      <c r="A467" s="6" t="s">
        <v>117</v>
      </c>
      <c r="B467" s="6">
        <f t="shared" ref="B467:G467" si="68">B449/$B$463</f>
        <v>7.7870133042031404E-8</v>
      </c>
      <c r="C467" s="6">
        <f t="shared" si="68"/>
        <v>7.338610768603722E-8</v>
      </c>
      <c r="D467" s="6">
        <f t="shared" si="68"/>
        <v>6.0907644566846106E-8</v>
      </c>
      <c r="E467" s="6">
        <f t="shared" si="68"/>
        <v>7.7870133042031404E-8</v>
      </c>
      <c r="F467" s="6">
        <f t="shared" si="68"/>
        <v>7.338610768603722E-8</v>
      </c>
      <c r="G467" s="6">
        <f t="shared" si="68"/>
        <v>6.0907644566846106E-8</v>
      </c>
      <c r="H467" s="6">
        <f>H449/$B$464</f>
        <v>1.4397366517620688E-7</v>
      </c>
      <c r="I467" s="6">
        <f>I449/$B$464</f>
        <v>1.3509196445407891E-7</v>
      </c>
      <c r="J467" s="6">
        <f>J449/$B$464</f>
        <v>1.1038430518141741E-7</v>
      </c>
    </row>
    <row r="468" spans="1:10" x14ac:dyDescent="0.35">
      <c r="A468" s="6" t="s">
        <v>118</v>
      </c>
      <c r="B468" s="6">
        <f t="shared" ref="B468:G476" si="69">B450/$B$463</f>
        <v>4.544829349235703E-9</v>
      </c>
      <c r="C468" s="6">
        <f t="shared" si="69"/>
        <v>4.3063190758316633E-9</v>
      </c>
      <c r="D468" s="6">
        <f t="shared" si="69"/>
        <v>3.9146385309138401E-9</v>
      </c>
      <c r="E468" s="6">
        <f t="shared" si="69"/>
        <v>4.544829349235703E-9</v>
      </c>
      <c r="F468" s="6">
        <f t="shared" si="69"/>
        <v>4.3063190758316633E-9</v>
      </c>
      <c r="G468" s="6">
        <f t="shared" si="69"/>
        <v>3.9146385309138401E-9</v>
      </c>
      <c r="H468" s="6">
        <f t="shared" ref="H468:J476" si="70">H450/$B$464</f>
        <v>4.544829349235703E-9</v>
      </c>
      <c r="I468" s="6">
        <f t="shared" si="70"/>
        <v>4.3063190758316633E-9</v>
      </c>
      <c r="J468" s="6">
        <f t="shared" si="70"/>
        <v>3.9146385309138401E-9</v>
      </c>
    </row>
    <row r="469" spans="1:10" x14ac:dyDescent="0.35">
      <c r="A469" s="6" t="s">
        <v>119</v>
      </c>
      <c r="B469" s="6">
        <f t="shared" si="69"/>
        <v>1.133100649886742E-9</v>
      </c>
      <c r="C469" s="6">
        <f t="shared" si="69"/>
        <v>1.03257477561019E-9</v>
      </c>
      <c r="D469" s="6">
        <f t="shared" si="69"/>
        <v>9.9919091331168175E-10</v>
      </c>
      <c r="E469" s="6">
        <f t="shared" si="69"/>
        <v>1.133100649886742E-9</v>
      </c>
      <c r="F469" s="6">
        <f t="shared" si="69"/>
        <v>1.03257477561019E-9</v>
      </c>
      <c r="G469" s="6">
        <f t="shared" si="69"/>
        <v>9.9919091331168175E-10</v>
      </c>
      <c r="H469" s="6">
        <f t="shared" si="70"/>
        <v>2.2662012997734839E-9</v>
      </c>
      <c r="I469" s="6">
        <f t="shared" si="70"/>
        <v>2.06514955122038E-9</v>
      </c>
      <c r="J469" s="6">
        <f t="shared" si="70"/>
        <v>1.9983818266233635E-9</v>
      </c>
    </row>
    <row r="470" spans="1:10" x14ac:dyDescent="0.35">
      <c r="A470" s="6" t="s">
        <v>120</v>
      </c>
      <c r="B470" s="6">
        <f t="shared" si="69"/>
        <v>3.7046222513391852E-11</v>
      </c>
      <c r="C470" s="6">
        <f t="shared" si="69"/>
        <v>3.5671062893842507E-11</v>
      </c>
      <c r="D470" s="6">
        <f t="shared" si="69"/>
        <v>3.5716564968595088E-11</v>
      </c>
      <c r="E470" s="6">
        <f t="shared" si="69"/>
        <v>3.7046222513391852E-11</v>
      </c>
      <c r="F470" s="6">
        <f t="shared" si="69"/>
        <v>3.5671062893842507E-11</v>
      </c>
      <c r="G470" s="6">
        <f t="shared" si="69"/>
        <v>3.5716564968595088E-11</v>
      </c>
      <c r="H470" s="6">
        <f t="shared" si="70"/>
        <v>3.7046222513391852E-11</v>
      </c>
      <c r="I470" s="6">
        <f t="shared" si="70"/>
        <v>3.5671062893842507E-11</v>
      </c>
      <c r="J470" s="6">
        <f t="shared" si="70"/>
        <v>3.5716564968595088E-11</v>
      </c>
    </row>
    <row r="471" spans="1:10" x14ac:dyDescent="0.35">
      <c r="A471" s="6" t="s">
        <v>121</v>
      </c>
      <c r="B471" s="6">
        <f t="shared" si="69"/>
        <v>1.6163480748994424E-8</v>
      </c>
      <c r="C471" s="6">
        <f t="shared" si="69"/>
        <v>1.3708771072106342E-8</v>
      </c>
      <c r="D471" s="6">
        <f t="shared" si="69"/>
        <v>1.213886828294613E-8</v>
      </c>
      <c r="E471" s="6">
        <f t="shared" si="69"/>
        <v>1.6163480748994424E-8</v>
      </c>
      <c r="F471" s="6">
        <f t="shared" si="69"/>
        <v>1.3708771072106342E-8</v>
      </c>
      <c r="G471" s="6">
        <f t="shared" si="69"/>
        <v>1.213886828294613E-8</v>
      </c>
      <c r="H471" s="6">
        <f t="shared" si="70"/>
        <v>3.2326961497988848E-8</v>
      </c>
      <c r="I471" s="6">
        <f t="shared" si="70"/>
        <v>2.7417542144212684E-8</v>
      </c>
      <c r="J471" s="6">
        <f t="shared" si="70"/>
        <v>2.4277736565892259E-8</v>
      </c>
    </row>
    <row r="472" spans="1:10" x14ac:dyDescent="0.35">
      <c r="A472" s="6" t="s">
        <v>800</v>
      </c>
      <c r="B472" s="6">
        <f t="shared" si="69"/>
        <v>0</v>
      </c>
      <c r="C472" s="6">
        <f t="shared" si="69"/>
        <v>0</v>
      </c>
      <c r="D472" s="6">
        <f t="shared" si="69"/>
        <v>0</v>
      </c>
      <c r="E472" s="6">
        <f t="shared" si="69"/>
        <v>0</v>
      </c>
      <c r="F472" s="6">
        <f t="shared" si="69"/>
        <v>0</v>
      </c>
      <c r="G472" s="6">
        <f t="shared" si="69"/>
        <v>0</v>
      </c>
      <c r="H472" s="6">
        <f t="shared" si="70"/>
        <v>8.4987672123381005E-7</v>
      </c>
      <c r="I472" s="6">
        <f t="shared" si="70"/>
        <v>8.1743523167004277E-7</v>
      </c>
      <c r="J472" s="6">
        <f t="shared" si="70"/>
        <v>7.0783676707877945E-7</v>
      </c>
    </row>
    <row r="473" spans="1:10" x14ac:dyDescent="0.35">
      <c r="A473" s="6" t="s">
        <v>122</v>
      </c>
      <c r="B473" s="6">
        <f t="shared" si="69"/>
        <v>2.445525743468704E-6</v>
      </c>
      <c r="C473" s="6">
        <f t="shared" si="69"/>
        <v>6.0422203435546994E-7</v>
      </c>
      <c r="D473" s="6">
        <f t="shared" si="69"/>
        <v>2.3459087286849139E-7</v>
      </c>
      <c r="E473" s="6">
        <f t="shared" si="69"/>
        <v>1.9112296251611E-6</v>
      </c>
      <c r="F473" s="6">
        <f t="shared" si="69"/>
        <v>4.9891284917080644E-7</v>
      </c>
      <c r="G473" s="6">
        <f t="shared" si="69"/>
        <v>2.1387876523837101E-7</v>
      </c>
      <c r="H473" s="6">
        <f t="shared" si="70"/>
        <v>6.2876254522439755E-7</v>
      </c>
      <c r="I473" s="6">
        <f t="shared" si="70"/>
        <v>5.5593609370857821E-7</v>
      </c>
      <c r="J473" s="6">
        <f t="shared" si="70"/>
        <v>5.2155097946725118E-7</v>
      </c>
    </row>
    <row r="474" spans="1:10" x14ac:dyDescent="0.35">
      <c r="A474" s="6" t="s">
        <v>123</v>
      </c>
      <c r="B474" s="6">
        <f t="shared" si="69"/>
        <v>2.0012222822249669E-7</v>
      </c>
      <c r="C474" s="6">
        <f t="shared" si="69"/>
        <v>6.1093319563827715E-8</v>
      </c>
      <c r="D474" s="6">
        <f t="shared" si="69"/>
        <v>3.2647215503458974E-8</v>
      </c>
      <c r="E474" s="6">
        <f t="shared" si="69"/>
        <v>4.6028112491174245E-10</v>
      </c>
      <c r="F474" s="6">
        <f t="shared" si="69"/>
        <v>1.405146349968037E-10</v>
      </c>
      <c r="G474" s="6">
        <f t="shared" si="69"/>
        <v>7.5088595657955673E-11</v>
      </c>
      <c r="H474" s="6">
        <f t="shared" si="70"/>
        <v>2.0012222822249669E-7</v>
      </c>
      <c r="I474" s="6">
        <f t="shared" si="70"/>
        <v>6.1093319563827715E-8</v>
      </c>
      <c r="J474" s="6">
        <f t="shared" si="70"/>
        <v>3.2647215503458974E-8</v>
      </c>
    </row>
    <row r="475" spans="1:10" x14ac:dyDescent="0.35">
      <c r="A475" s="6" t="s">
        <v>124</v>
      </c>
      <c r="B475" s="6">
        <f t="shared" si="69"/>
        <v>-2.8000764999999987E-6</v>
      </c>
      <c r="C475" s="6">
        <f t="shared" si="69"/>
        <v>-2.8000764999999987E-6</v>
      </c>
      <c r="D475" s="6">
        <f t="shared" si="69"/>
        <v>-2.8000764999999987E-6</v>
      </c>
      <c r="E475" s="6">
        <f t="shared" si="69"/>
        <v>-2.8000764999999987E-6</v>
      </c>
      <c r="F475" s="6">
        <f t="shared" si="69"/>
        <v>-2.8000764999999987E-6</v>
      </c>
      <c r="G475" s="6">
        <f t="shared" si="69"/>
        <v>-2.8000764999999987E-6</v>
      </c>
      <c r="H475" s="6">
        <f t="shared" si="70"/>
        <v>-2.8000764999999987E-6</v>
      </c>
      <c r="I475" s="6">
        <f t="shared" si="70"/>
        <v>-2.8000764999999987E-6</v>
      </c>
      <c r="J475" s="6">
        <f t="shared" si="70"/>
        <v>-2.8000764999999987E-6</v>
      </c>
    </row>
    <row r="476" spans="1:10" x14ac:dyDescent="0.35">
      <c r="A476" s="6" t="s">
        <v>137</v>
      </c>
      <c r="B476" s="6">
        <f t="shared" si="69"/>
        <v>-5.4679938296137717E-8</v>
      </c>
      <c r="C476" s="6">
        <f t="shared" si="69"/>
        <v>-2.042291702408223E-6</v>
      </c>
      <c r="D476" s="6">
        <f t="shared" si="69"/>
        <v>-2.4548423527690632E-6</v>
      </c>
      <c r="E476" s="6">
        <f t="shared" si="69"/>
        <v>-7.8863800370132619E-7</v>
      </c>
      <c r="F476" s="6">
        <f>F458/$B$463</f>
        <v>-2.2085536925217173E-6</v>
      </c>
      <c r="G476" s="6">
        <f t="shared" si="69"/>
        <v>-2.5081265873069844E-6</v>
      </c>
      <c r="H476" s="6">
        <f t="shared" si="70"/>
        <v>-9.3816630177357657E-7</v>
      </c>
      <c r="I476" s="6">
        <f t="shared" si="70"/>
        <v>-1.1966952087693138E-6</v>
      </c>
      <c r="J476" s="6">
        <f t="shared" si="70"/>
        <v>-1.3974307592806945E-6</v>
      </c>
    </row>
  </sheetData>
  <mergeCells count="3">
    <mergeCell ref="A432:K432"/>
    <mergeCell ref="A446:K446"/>
    <mergeCell ref="A461:K461"/>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CD4C6-228F-4466-BD9D-3D9106EDA41F}">
  <sheetPr>
    <tabColor theme="5" tint="-0.249977111117893"/>
  </sheetPr>
  <dimension ref="A1:BB476"/>
  <sheetViews>
    <sheetView topLeftCell="H319" zoomScale="60" zoomScaleNormal="60" workbookViewId="0">
      <selection activeCell="J476" sqref="A466:J476"/>
    </sheetView>
  </sheetViews>
  <sheetFormatPr defaultColWidth="8.54296875" defaultRowHeight="14.5" outlineLevelRow="1" x14ac:dyDescent="0.35"/>
  <cols>
    <col min="1" max="1" width="45.08984375" style="6" customWidth="1"/>
    <col min="2" max="2" width="16.453125" style="6" bestFit="1" customWidth="1"/>
    <col min="3" max="14" width="10.54296875" style="6" bestFit="1" customWidth="1"/>
    <col min="15" max="16" width="10.1796875" style="6" bestFit="1" customWidth="1"/>
    <col min="17" max="24" width="10.54296875" style="6" bestFit="1" customWidth="1"/>
    <col min="25" max="25" width="10.1796875" style="6" bestFit="1" customWidth="1"/>
    <col min="26" max="26" width="16.453125" style="6" bestFit="1" customWidth="1"/>
    <col min="27" max="27" width="8.54296875" style="6"/>
    <col min="28" max="28" width="35" style="6" bestFit="1" customWidth="1"/>
    <col min="29" max="29" width="16.453125" style="6" bestFit="1" customWidth="1"/>
    <col min="30" max="30" width="16.54296875" style="6" customWidth="1"/>
    <col min="31" max="53" width="12.81640625" style="6" bestFit="1" customWidth="1"/>
    <col min="54" max="16384" width="8.54296875" style="6"/>
  </cols>
  <sheetData>
    <row r="1" spans="1:53" s="139" customFormat="1" ht="21" x14ac:dyDescent="0.5">
      <c r="A1" s="138" t="s">
        <v>762</v>
      </c>
    </row>
    <row r="2" spans="1:53" s="221" customFormat="1" ht="21" x14ac:dyDescent="0.5">
      <c r="A2" s="229" t="s">
        <v>849</v>
      </c>
    </row>
    <row r="3" spans="1:53" s="18" customFormat="1" ht="21" x14ac:dyDescent="0.5">
      <c r="A3" s="18" t="s">
        <v>72</v>
      </c>
    </row>
    <row r="4" spans="1:53" s="20" customFormat="1" outlineLevel="1" x14ac:dyDescent="0.35">
      <c r="A4" s="19" t="s">
        <v>767</v>
      </c>
    </row>
    <row r="5" spans="1:53" s="16" customFormat="1" outlineLevel="1" x14ac:dyDescent="0.35">
      <c r="A5" s="21"/>
      <c r="AE5" s="15"/>
    </row>
    <row r="6" spans="1:53" s="16" customFormat="1" outlineLevel="1" x14ac:dyDescent="0.35">
      <c r="A6" s="22" t="s">
        <v>761</v>
      </c>
    </row>
    <row r="7" spans="1:53" s="16" customFormat="1" outlineLevel="1" x14ac:dyDescent="0.35">
      <c r="A7" s="22"/>
      <c r="AB7" s="16" t="s">
        <v>127</v>
      </c>
      <c r="AC7" s="16">
        <v>100</v>
      </c>
      <c r="AD7" s="16" t="s">
        <v>128</v>
      </c>
    </row>
    <row r="8" spans="1:53" s="16" customFormat="1" outlineLevel="1" x14ac:dyDescent="0.35">
      <c r="A8" s="22"/>
      <c r="AB8" s="16" t="s">
        <v>129</v>
      </c>
      <c r="AC8" s="16">
        <v>25</v>
      </c>
      <c r="AD8" s="16" t="s">
        <v>130</v>
      </c>
    </row>
    <row r="9" spans="1:53" outlineLevel="1" x14ac:dyDescent="0.35">
      <c r="B9" s="25">
        <v>2030</v>
      </c>
      <c r="C9" s="25">
        <v>2031</v>
      </c>
      <c r="D9" s="25">
        <v>2032</v>
      </c>
      <c r="E9" s="25">
        <v>2033</v>
      </c>
      <c r="F9" s="25">
        <v>2034</v>
      </c>
      <c r="G9" s="25">
        <v>2035</v>
      </c>
      <c r="H9" s="25">
        <v>2036</v>
      </c>
      <c r="I9" s="25">
        <v>2037</v>
      </c>
      <c r="J9" s="25">
        <v>2038</v>
      </c>
      <c r="K9" s="25">
        <v>2039</v>
      </c>
      <c r="L9" s="25">
        <v>2040</v>
      </c>
      <c r="M9" s="25">
        <v>2041</v>
      </c>
      <c r="N9" s="25">
        <v>2042</v>
      </c>
      <c r="O9" s="25">
        <v>2043</v>
      </c>
      <c r="P9" s="25">
        <v>2044</v>
      </c>
      <c r="Q9" s="25">
        <v>2045</v>
      </c>
      <c r="R9" s="25">
        <v>2046</v>
      </c>
      <c r="S9" s="25">
        <v>2047</v>
      </c>
      <c r="T9" s="25">
        <v>2048</v>
      </c>
      <c r="U9" s="25">
        <v>2049</v>
      </c>
      <c r="V9" s="25">
        <v>2050</v>
      </c>
      <c r="W9" s="25">
        <v>2051</v>
      </c>
      <c r="X9" s="25">
        <v>2052</v>
      </c>
      <c r="Y9" s="25">
        <v>2053</v>
      </c>
      <c r="Z9" s="25">
        <v>2054</v>
      </c>
      <c r="AC9" s="25">
        <v>2030</v>
      </c>
      <c r="AD9" s="25">
        <v>2031</v>
      </c>
      <c r="AE9" s="25">
        <v>2032</v>
      </c>
      <c r="AF9" s="25">
        <v>2033</v>
      </c>
      <c r="AG9" s="25">
        <v>2034</v>
      </c>
      <c r="AH9" s="25">
        <v>2035</v>
      </c>
      <c r="AI9" s="25">
        <v>2036</v>
      </c>
      <c r="AJ9" s="25">
        <v>2037</v>
      </c>
      <c r="AK9" s="25">
        <v>2038</v>
      </c>
      <c r="AL9" s="25">
        <v>2039</v>
      </c>
      <c r="AM9" s="25">
        <v>2040</v>
      </c>
      <c r="AN9" s="25">
        <v>2041</v>
      </c>
      <c r="AO9" s="25">
        <v>2042</v>
      </c>
      <c r="AP9" s="25">
        <v>2043</v>
      </c>
      <c r="AQ9" s="25">
        <v>2044</v>
      </c>
      <c r="AR9" s="25">
        <v>2045</v>
      </c>
      <c r="AS9" s="25">
        <v>2046</v>
      </c>
      <c r="AT9" s="25">
        <v>2047</v>
      </c>
      <c r="AU9" s="25">
        <v>2048</v>
      </c>
      <c r="AV9" s="25">
        <v>2049</v>
      </c>
      <c r="AW9" s="25">
        <v>2050</v>
      </c>
      <c r="AX9" s="25">
        <v>2051</v>
      </c>
      <c r="AY9" s="25">
        <v>2052</v>
      </c>
      <c r="AZ9" s="25">
        <v>2053</v>
      </c>
      <c r="BA9" s="25">
        <v>2054</v>
      </c>
    </row>
    <row r="10" spans="1:53" outlineLevel="1" x14ac:dyDescent="0.35">
      <c r="A10" s="6" t="s">
        <v>21</v>
      </c>
      <c r="B10" s="6">
        <f>'Results - raw data ReCiPe (H)'!BC5</f>
        <v>75.900107259729808</v>
      </c>
      <c r="AB10" s="6" t="s">
        <v>117</v>
      </c>
      <c r="AC10" s="6">
        <f>SUM(B10:B21)+B23</f>
        <v>2893.1840673783981</v>
      </c>
    </row>
    <row r="11" spans="1:53" outlineLevel="1" x14ac:dyDescent="0.35">
      <c r="A11" s="6" t="s">
        <v>23</v>
      </c>
      <c r="B11" s="6">
        <f>'Results - raw data ReCiPe (H)'!BC6</f>
        <v>315.32647070950878</v>
      </c>
      <c r="AB11" s="6" t="s">
        <v>118</v>
      </c>
      <c r="AC11" s="6">
        <f>B22</f>
        <v>269.67676540478124</v>
      </c>
    </row>
    <row r="12" spans="1:53" outlineLevel="1" x14ac:dyDescent="0.35">
      <c r="A12" s="6" t="s">
        <v>26</v>
      </c>
      <c r="B12" s="6">
        <f>'Results - raw data ReCiPe (H)'!BC7</f>
        <v>320.06211166534263</v>
      </c>
      <c r="AB12" s="6" t="s">
        <v>119</v>
      </c>
      <c r="BA12" s="6">
        <f>SUM(Z24:Z35)</f>
        <v>45.635874346592793</v>
      </c>
    </row>
    <row r="13" spans="1:53" outlineLevel="1" x14ac:dyDescent="0.35">
      <c r="A13" s="6" t="s">
        <v>28</v>
      </c>
      <c r="B13" s="6">
        <f>'Results - raw data ReCiPe (H)'!BC8</f>
        <v>246.9725509849394</v>
      </c>
      <c r="AB13" s="6" t="s">
        <v>120</v>
      </c>
      <c r="BA13" s="6">
        <f>Z36</f>
        <v>5.3706297748739608E-4</v>
      </c>
    </row>
    <row r="14" spans="1:53" outlineLevel="1" x14ac:dyDescent="0.35">
      <c r="A14" s="6" t="s">
        <v>29</v>
      </c>
      <c r="B14" s="6">
        <f>'Results - raw data ReCiPe (H)'!BC9</f>
        <v>121.9560327138697</v>
      </c>
      <c r="AB14" s="6" t="s">
        <v>121</v>
      </c>
      <c r="AC14" s="6">
        <f>B37</f>
        <v>118.1930543229993</v>
      </c>
      <c r="AF14" s="6">
        <f>E37</f>
        <v>117.3708968791351</v>
      </c>
      <c r="AI14" s="6">
        <f>H37</f>
        <v>117.2479070799383</v>
      </c>
      <c r="AL14" s="6">
        <f>K37</f>
        <v>116.65080958776529</v>
      </c>
      <c r="AO14" s="6">
        <f>N37</f>
        <v>116.5694194979278</v>
      </c>
      <c r="AR14" s="6">
        <f>Q37</f>
        <v>116.3562974875733</v>
      </c>
      <c r="AU14" s="6">
        <f>T37</f>
        <v>116.0610845903859</v>
      </c>
      <c r="AX14" s="6">
        <f>W37</f>
        <v>115.9379738654637</v>
      </c>
      <c r="BA14" s="6">
        <f>Z37</f>
        <v>115.8757111011497</v>
      </c>
    </row>
    <row r="15" spans="1:53" outlineLevel="1" x14ac:dyDescent="0.35">
      <c r="A15" s="6" t="s">
        <v>31</v>
      </c>
      <c r="B15" s="6">
        <f>'Results - raw data ReCiPe (H)'!BC10</f>
        <v>86.300562327748125</v>
      </c>
      <c r="AB15" s="6" t="s">
        <v>122</v>
      </c>
      <c r="AC15" s="6">
        <f>B40+B39</f>
        <v>2322.1156028821961</v>
      </c>
      <c r="AD15" s="6">
        <f t="shared" ref="AD15:BA15" si="0">C40+C39</f>
        <v>2332.8507557548551</v>
      </c>
      <c r="AE15" s="6">
        <f t="shared" si="0"/>
        <v>2343.6747205671109</v>
      </c>
      <c r="AF15" s="6">
        <f t="shared" si="0"/>
        <v>2350.4325473014642</v>
      </c>
      <c r="AG15" s="6">
        <f t="shared" si="0"/>
        <v>2361.4920858946348</v>
      </c>
      <c r="AH15" s="6">
        <f t="shared" si="0"/>
        <v>2372.6374563349809</v>
      </c>
      <c r="AI15" s="6">
        <f t="shared" si="0"/>
        <v>2414.344422470358</v>
      </c>
      <c r="AJ15" s="6">
        <f t="shared" si="0"/>
        <v>2455.9963773549689</v>
      </c>
      <c r="AK15" s="6">
        <f t="shared" si="0"/>
        <v>2494.5087850326322</v>
      </c>
      <c r="AL15" s="6">
        <f t="shared" si="0"/>
        <v>2536.1990872373349</v>
      </c>
      <c r="AM15" s="6">
        <f t="shared" si="0"/>
        <v>2577.858450231492</v>
      </c>
      <c r="AN15" s="6">
        <f t="shared" si="0"/>
        <v>2582.8506304151101</v>
      </c>
      <c r="AO15" s="6">
        <f t="shared" si="0"/>
        <v>2587.7225433079388</v>
      </c>
      <c r="AP15" s="6">
        <f t="shared" si="0"/>
        <v>2591.7642004254149</v>
      </c>
      <c r="AQ15" s="6">
        <f t="shared" si="0"/>
        <v>2596.3863005575281</v>
      </c>
      <c r="AR15" s="6">
        <f t="shared" si="0"/>
        <v>2600.8698419603979</v>
      </c>
      <c r="AS15" s="6">
        <f t="shared" si="0"/>
        <v>2696.0408363239512</v>
      </c>
      <c r="AT15" s="6">
        <f t="shared" si="0"/>
        <v>2791.256276568382</v>
      </c>
      <c r="AU15" s="6">
        <f t="shared" si="0"/>
        <v>2885.9126654099659</v>
      </c>
      <c r="AV15" s="6">
        <f t="shared" si="0"/>
        <v>2981.278530338298</v>
      </c>
      <c r="AW15" s="6">
        <f t="shared" si="0"/>
        <v>3076.7277878244122</v>
      </c>
      <c r="AX15" s="6">
        <f t="shared" si="0"/>
        <v>3096.471757898084</v>
      </c>
      <c r="AY15" s="6">
        <f t="shared" si="0"/>
        <v>3116.3989502358882</v>
      </c>
      <c r="AZ15" s="6">
        <f t="shared" si="0"/>
        <v>3136.458086324692</v>
      </c>
      <c r="BA15" s="6">
        <f t="shared" si="0"/>
        <v>3156.6485629656809</v>
      </c>
    </row>
    <row r="16" spans="1:53" outlineLevel="1" x14ac:dyDescent="0.35">
      <c r="A16" s="6" t="s">
        <v>34</v>
      </c>
      <c r="B16" s="6">
        <f>'Results - raw data ReCiPe (H)'!BC11</f>
        <v>58.252905588334869</v>
      </c>
      <c r="AB16" s="6" t="s">
        <v>123</v>
      </c>
      <c r="AC16" s="6">
        <f>B38</f>
        <v>185.90075000036092</v>
      </c>
      <c r="AD16" s="6">
        <f t="shared" ref="AD16:BA16" si="1">C38</f>
        <v>186.44341735269589</v>
      </c>
      <c r="AE16" s="6">
        <f t="shared" si="1"/>
        <v>186.9896757298913</v>
      </c>
      <c r="AF16" s="6">
        <f t="shared" si="1"/>
        <v>187.16380062399421</v>
      </c>
      <c r="AG16" s="6">
        <f t="shared" si="1"/>
        <v>187.72187690121831</v>
      </c>
      <c r="AH16" s="6">
        <f t="shared" si="1"/>
        <v>188.28311646103978</v>
      </c>
      <c r="AI16" s="6">
        <f t="shared" si="1"/>
        <v>191.1994067536547</v>
      </c>
      <c r="AJ16" s="6">
        <f t="shared" si="1"/>
        <v>194.1025024434831</v>
      </c>
      <c r="AK16" s="6">
        <f t="shared" si="1"/>
        <v>196.7156053866911</v>
      </c>
      <c r="AL16" s="6">
        <f t="shared" si="1"/>
        <v>199.60405009769181</v>
      </c>
      <c r="AM16" s="6">
        <f t="shared" si="1"/>
        <v>202.48112027895232</v>
      </c>
      <c r="AN16" s="6">
        <f t="shared" si="1"/>
        <v>202.65472948507261</v>
      </c>
      <c r="AO16" s="6">
        <f t="shared" si="1"/>
        <v>202.8184607768753</v>
      </c>
      <c r="AP16" s="6">
        <f t="shared" si="1"/>
        <v>202.90630237366008</v>
      </c>
      <c r="AQ16" s="6">
        <f t="shared" si="1"/>
        <v>203.04981229974581</v>
      </c>
      <c r="AR16" s="6">
        <f t="shared" si="1"/>
        <v>203.1821735744829</v>
      </c>
      <c r="AS16" s="6">
        <f t="shared" si="1"/>
        <v>210.11444656444689</v>
      </c>
      <c r="AT16" s="6">
        <f t="shared" si="1"/>
        <v>217.03630147466822</v>
      </c>
      <c r="AU16" s="6">
        <f t="shared" si="1"/>
        <v>223.89040087752917</v>
      </c>
      <c r="AV16" s="6">
        <f t="shared" si="1"/>
        <v>230.79612969701321</v>
      </c>
      <c r="AW16" s="6">
        <f t="shared" si="1"/>
        <v>237.69429769501582</v>
      </c>
      <c r="AX16" s="6">
        <f t="shared" si="1"/>
        <v>238.73233230194808</v>
      </c>
      <c r="AY16" s="6">
        <f t="shared" si="1"/>
        <v>239.78248583214003</v>
      </c>
      <c r="AZ16" s="6">
        <f t="shared" si="1"/>
        <v>240.83638711718072</v>
      </c>
      <c r="BA16" s="6">
        <f t="shared" si="1"/>
        <v>241.89383285728749</v>
      </c>
    </row>
    <row r="17" spans="1:53" outlineLevel="1" x14ac:dyDescent="0.35">
      <c r="A17" s="6" t="s">
        <v>36</v>
      </c>
      <c r="B17" s="6">
        <f>'Results - raw data ReCiPe (H)'!BC12</f>
        <v>61.36907317967863</v>
      </c>
      <c r="AB17" s="6" t="s">
        <v>124</v>
      </c>
      <c r="AC17" s="6">
        <f>-$AC$7*$AC$6</f>
        <v>0</v>
      </c>
      <c r="AD17" s="6">
        <f t="shared" ref="AD17:BA17" si="2">-$AC$7*$AC$6</f>
        <v>0</v>
      </c>
      <c r="AE17" s="6">
        <f t="shared" si="2"/>
        <v>0</v>
      </c>
      <c r="AF17" s="6">
        <f t="shared" si="2"/>
        <v>0</v>
      </c>
      <c r="AG17" s="6">
        <f t="shared" si="2"/>
        <v>0</v>
      </c>
      <c r="AH17" s="6">
        <f t="shared" si="2"/>
        <v>0</v>
      </c>
      <c r="AI17" s="6">
        <f t="shared" si="2"/>
        <v>0</v>
      </c>
      <c r="AJ17" s="6">
        <f t="shared" si="2"/>
        <v>0</v>
      </c>
      <c r="AK17" s="6">
        <f t="shared" si="2"/>
        <v>0</v>
      </c>
      <c r="AL17" s="6">
        <f t="shared" si="2"/>
        <v>0</v>
      </c>
      <c r="AM17" s="6">
        <f t="shared" si="2"/>
        <v>0</v>
      </c>
      <c r="AN17" s="6">
        <f t="shared" si="2"/>
        <v>0</v>
      </c>
      <c r="AO17" s="6">
        <f t="shared" si="2"/>
        <v>0</v>
      </c>
      <c r="AP17" s="6">
        <f t="shared" si="2"/>
        <v>0</v>
      </c>
      <c r="AQ17" s="6">
        <f t="shared" si="2"/>
        <v>0</v>
      </c>
      <c r="AR17" s="6">
        <f t="shared" si="2"/>
        <v>0</v>
      </c>
      <c r="AS17" s="6">
        <f t="shared" si="2"/>
        <v>0</v>
      </c>
      <c r="AT17" s="6">
        <f t="shared" si="2"/>
        <v>0</v>
      </c>
      <c r="AU17" s="6">
        <f t="shared" si="2"/>
        <v>0</v>
      </c>
      <c r="AV17" s="6">
        <f t="shared" si="2"/>
        <v>0</v>
      </c>
      <c r="AW17" s="6">
        <f t="shared" si="2"/>
        <v>0</v>
      </c>
      <c r="AX17" s="6">
        <f t="shared" si="2"/>
        <v>0</v>
      </c>
      <c r="AY17" s="6">
        <f t="shared" si="2"/>
        <v>0</v>
      </c>
      <c r="AZ17" s="6">
        <f t="shared" si="2"/>
        <v>0</v>
      </c>
      <c r="BA17" s="6">
        <f t="shared" si="2"/>
        <v>0</v>
      </c>
    </row>
    <row r="18" spans="1:53" outlineLevel="1" x14ac:dyDescent="0.35">
      <c r="A18" s="6" t="s">
        <v>38</v>
      </c>
      <c r="B18" s="6">
        <f>'Results - raw data ReCiPe (H)'!BC13</f>
        <v>664.60788560352216</v>
      </c>
      <c r="AB18" s="23" t="s">
        <v>125</v>
      </c>
      <c r="AC18" s="17">
        <f>SUM(AC10:AC17)</f>
        <v>5789.0702399887359</v>
      </c>
      <c r="AD18" s="17">
        <f t="shared" ref="AD18:BA18" si="3">SUM(AD10:AD17)</f>
        <v>2519.2941731075512</v>
      </c>
      <c r="AE18" s="17">
        <f t="shared" si="3"/>
        <v>2530.664396297002</v>
      </c>
      <c r="AF18" s="17">
        <f t="shared" si="3"/>
        <v>2654.9672448045935</v>
      </c>
      <c r="AG18" s="17">
        <f t="shared" si="3"/>
        <v>2549.2139627958531</v>
      </c>
      <c r="AH18" s="17">
        <f t="shared" si="3"/>
        <v>2560.9205727960207</v>
      </c>
      <c r="AI18" s="17">
        <f t="shared" si="3"/>
        <v>2722.791736303951</v>
      </c>
      <c r="AJ18" s="17">
        <f t="shared" si="3"/>
        <v>2650.0988797984519</v>
      </c>
      <c r="AK18" s="17">
        <f t="shared" si="3"/>
        <v>2691.2243904193233</v>
      </c>
      <c r="AL18" s="17">
        <f t="shared" si="3"/>
        <v>2852.4539469227921</v>
      </c>
      <c r="AM18" s="17">
        <f t="shared" si="3"/>
        <v>2780.3395705104444</v>
      </c>
      <c r="AN18" s="17">
        <f t="shared" si="3"/>
        <v>2785.5053599001826</v>
      </c>
      <c r="AO18" s="17">
        <f t="shared" si="3"/>
        <v>2907.110423582742</v>
      </c>
      <c r="AP18" s="17">
        <f t="shared" si="3"/>
        <v>2794.6705027990747</v>
      </c>
      <c r="AQ18" s="17">
        <f t="shared" si="3"/>
        <v>2799.4361128572741</v>
      </c>
      <c r="AR18" s="17">
        <f t="shared" si="3"/>
        <v>2920.408313022454</v>
      </c>
      <c r="AS18" s="17">
        <f t="shared" si="3"/>
        <v>2906.1552828883982</v>
      </c>
      <c r="AT18" s="17">
        <f t="shared" si="3"/>
        <v>3008.2925780430501</v>
      </c>
      <c r="AU18" s="17">
        <f t="shared" si="3"/>
        <v>3225.864150877881</v>
      </c>
      <c r="AV18" s="17">
        <f t="shared" si="3"/>
        <v>3212.0746600353114</v>
      </c>
      <c r="AW18" s="17">
        <f t="shared" si="3"/>
        <v>3314.422085519428</v>
      </c>
      <c r="AX18" s="17">
        <f t="shared" si="3"/>
        <v>3451.142064065496</v>
      </c>
      <c r="AY18" s="17">
        <f t="shared" si="3"/>
        <v>3356.1814360680282</v>
      </c>
      <c r="AZ18" s="17">
        <f t="shared" si="3"/>
        <v>3377.2944734418725</v>
      </c>
      <c r="BA18" s="17">
        <f t="shared" si="3"/>
        <v>3560.0545183336885</v>
      </c>
    </row>
    <row r="19" spans="1:53" outlineLevel="1" x14ac:dyDescent="0.35">
      <c r="A19" s="6" t="s">
        <v>39</v>
      </c>
      <c r="B19" s="6">
        <f>'Results - raw data ReCiPe (H)'!BC14</f>
        <v>720.62977688043634</v>
      </c>
    </row>
    <row r="20" spans="1:53" outlineLevel="1" x14ac:dyDescent="0.35">
      <c r="A20" s="6" t="s">
        <v>41</v>
      </c>
      <c r="B20" s="6">
        <f>'Results - raw data ReCiPe (H)'!BC15</f>
        <v>53.333868076658177</v>
      </c>
    </row>
    <row r="21" spans="1:53" outlineLevel="1" x14ac:dyDescent="0.35">
      <c r="A21" s="6" t="s">
        <v>43</v>
      </c>
      <c r="B21" s="6">
        <f>'Results - raw data ReCiPe (H)'!BC16</f>
        <v>73.573799866942238</v>
      </c>
      <c r="AB21" s="219"/>
      <c r="AC21" s="219"/>
      <c r="AD21" s="219"/>
      <c r="AE21" s="219"/>
      <c r="AF21" s="219"/>
      <c r="AG21" s="219"/>
      <c r="AH21" s="219"/>
      <c r="AI21" s="219"/>
      <c r="AJ21" s="219"/>
      <c r="AK21" s="219"/>
      <c r="AL21" s="219"/>
      <c r="AM21" s="219"/>
      <c r="AN21" s="219"/>
      <c r="AO21" s="219"/>
      <c r="AP21" s="219"/>
      <c r="AQ21" s="219"/>
      <c r="AR21" s="219"/>
      <c r="AS21" s="219"/>
      <c r="AT21" s="219"/>
      <c r="AU21" s="219"/>
      <c r="AV21" s="219"/>
      <c r="AW21" s="219"/>
      <c r="AX21" s="219"/>
      <c r="AY21" s="219"/>
      <c r="AZ21" s="219"/>
      <c r="BA21" s="219"/>
    </row>
    <row r="22" spans="1:53" outlineLevel="1" x14ac:dyDescent="0.35">
      <c r="A22" s="6" t="s">
        <v>44</v>
      </c>
      <c r="B22" s="6">
        <f>'Results - raw data ReCiPe (H)'!BC17*AC7*AC8</f>
        <v>269.67676540478124</v>
      </c>
      <c r="AB22" s="219"/>
      <c r="AC22" s="219"/>
      <c r="AD22" s="219"/>
      <c r="AE22" s="219"/>
      <c r="AF22" s="219"/>
      <c r="AG22" s="219"/>
      <c r="AH22" s="219"/>
      <c r="AI22" s="219"/>
      <c r="AJ22" s="219"/>
      <c r="AK22" s="219"/>
      <c r="AL22" s="219"/>
      <c r="AM22" s="219"/>
      <c r="AN22" s="219"/>
      <c r="AO22" s="219"/>
      <c r="AP22" s="219"/>
      <c r="AQ22" s="219"/>
      <c r="AR22" s="219"/>
      <c r="AS22" s="219"/>
      <c r="AT22" s="219"/>
      <c r="AU22" s="219"/>
      <c r="AV22" s="219"/>
      <c r="AW22" s="219"/>
      <c r="AX22" s="219"/>
      <c r="AY22" s="219"/>
      <c r="AZ22" s="219"/>
      <c r="BA22" s="219"/>
    </row>
    <row r="23" spans="1:53" outlineLevel="1" x14ac:dyDescent="0.35">
      <c r="A23" s="6" t="s">
        <v>757</v>
      </c>
      <c r="B23" s="6">
        <f>'Results - raw data ReCiPe (H)'!BC18*AC7*AC8</f>
        <v>94.898922521686899</v>
      </c>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row>
    <row r="24" spans="1:53" outlineLevel="1" x14ac:dyDescent="0.35">
      <c r="A24" s="6" t="s">
        <v>22</v>
      </c>
      <c r="Z24" s="6">
        <f>'Results - raw data ReCiPe (H)'!CA19</f>
        <v>0.33395801233910632</v>
      </c>
      <c r="AB24" s="219"/>
      <c r="AC24" s="219"/>
      <c r="AD24" s="219"/>
      <c r="AE24" s="219"/>
      <c r="AF24" s="219"/>
      <c r="AG24" s="219"/>
      <c r="AH24" s="219"/>
      <c r="AI24" s="219"/>
      <c r="AJ24" s="219"/>
      <c r="AK24" s="219"/>
      <c r="AL24" s="219"/>
      <c r="AM24" s="219"/>
      <c r="AN24" s="219"/>
      <c r="AO24" s="219"/>
      <c r="AP24" s="219"/>
      <c r="AQ24" s="219"/>
      <c r="AR24" s="219"/>
      <c r="AS24" s="219"/>
      <c r="AT24" s="219"/>
      <c r="AU24" s="219"/>
      <c r="AV24" s="219"/>
      <c r="AW24" s="219"/>
      <c r="AX24" s="219"/>
      <c r="AY24" s="219"/>
      <c r="AZ24" s="219"/>
      <c r="BA24" s="219"/>
    </row>
    <row r="25" spans="1:53" outlineLevel="1" x14ac:dyDescent="0.35">
      <c r="A25" s="6" t="s">
        <v>24</v>
      </c>
      <c r="Z25" s="6">
        <f>'Results - raw data ReCiPe (H)'!CA20</f>
        <v>0.37173071983864131</v>
      </c>
      <c r="AB25" s="219"/>
      <c r="AC25" s="219"/>
      <c r="AD25" s="219"/>
      <c r="AE25" s="219"/>
      <c r="AF25" s="219"/>
      <c r="AG25" s="219"/>
      <c r="AH25" s="219"/>
      <c r="AI25" s="219"/>
      <c r="AJ25" s="219"/>
      <c r="AK25" s="219"/>
      <c r="AL25" s="219"/>
      <c r="AM25" s="219"/>
      <c r="AN25" s="219"/>
      <c r="AO25" s="219"/>
      <c r="AP25" s="219"/>
      <c r="AQ25" s="219"/>
      <c r="AR25" s="219"/>
      <c r="AS25" s="219"/>
      <c r="AT25" s="219"/>
      <c r="AU25" s="219"/>
      <c r="AV25" s="219"/>
      <c r="AW25" s="219"/>
      <c r="AX25" s="219"/>
      <c r="AY25" s="219"/>
      <c r="AZ25" s="219"/>
      <c r="BA25" s="219"/>
    </row>
    <row r="26" spans="1:53" outlineLevel="1" x14ac:dyDescent="0.35">
      <c r="A26" s="6" t="s">
        <v>25</v>
      </c>
      <c r="Z26" s="6">
        <f>'Results - raw data ReCiPe (H)'!CA21</f>
        <v>1.714035723002332</v>
      </c>
      <c r="AB26" s="219"/>
      <c r="AC26" s="219"/>
      <c r="AD26" s="219"/>
      <c r="AE26" s="219"/>
      <c r="AF26" s="219"/>
      <c r="AG26" s="219"/>
      <c r="AH26" s="219"/>
      <c r="AI26" s="219"/>
      <c r="AJ26" s="219"/>
      <c r="AK26" s="219"/>
      <c r="AL26" s="219"/>
      <c r="AM26" s="219"/>
      <c r="AN26" s="219"/>
      <c r="AO26" s="219"/>
      <c r="AP26" s="219"/>
      <c r="AQ26" s="219"/>
      <c r="AR26" s="219"/>
      <c r="AS26" s="219"/>
      <c r="AT26" s="219"/>
      <c r="AU26" s="219"/>
      <c r="AV26" s="219"/>
      <c r="AW26" s="219"/>
      <c r="AX26" s="219"/>
      <c r="AY26" s="219"/>
      <c r="AZ26" s="219"/>
      <c r="BA26" s="219"/>
    </row>
    <row r="27" spans="1:53" outlineLevel="1" x14ac:dyDescent="0.35">
      <c r="A27" s="6" t="s">
        <v>27</v>
      </c>
      <c r="Z27" s="6">
        <f>'Results - raw data ReCiPe (H)'!CA22</f>
        <v>1.0332091254007969</v>
      </c>
      <c r="AB27" s="219"/>
      <c r="AC27" s="219"/>
      <c r="AD27" s="219"/>
      <c r="AE27" s="219"/>
      <c r="AF27" s="219"/>
      <c r="AG27" s="219"/>
      <c r="AH27" s="219"/>
      <c r="AI27" s="219"/>
      <c r="AJ27" s="219"/>
      <c r="AK27" s="219"/>
      <c r="AL27" s="219"/>
      <c r="AM27" s="219"/>
      <c r="AN27" s="219"/>
      <c r="AO27" s="219"/>
      <c r="AP27" s="219"/>
      <c r="AQ27" s="219"/>
      <c r="AR27" s="219"/>
      <c r="AS27" s="219"/>
      <c r="AT27" s="219"/>
      <c r="AU27" s="219"/>
      <c r="AV27" s="219"/>
      <c r="AW27" s="219"/>
      <c r="AX27" s="219"/>
      <c r="AY27" s="219"/>
      <c r="AZ27" s="219"/>
      <c r="BA27" s="219"/>
    </row>
    <row r="28" spans="1:53" outlineLevel="1" x14ac:dyDescent="0.35">
      <c r="A28" s="6" t="s">
        <v>30</v>
      </c>
      <c r="Z28" s="6">
        <f>'Results - raw data ReCiPe (H)'!CA23</f>
        <v>0.41012544069368462</v>
      </c>
      <c r="AB28" s="219"/>
      <c r="AC28" s="219"/>
      <c r="AD28" s="219"/>
      <c r="AE28" s="219"/>
      <c r="AF28" s="219"/>
      <c r="AG28" s="219"/>
      <c r="AH28" s="219"/>
      <c r="AI28" s="219"/>
      <c r="AJ28" s="219"/>
      <c r="AK28" s="219"/>
      <c r="AL28" s="219"/>
      <c r="AM28" s="219"/>
      <c r="AN28" s="219"/>
      <c r="AO28" s="219"/>
      <c r="AP28" s="219"/>
      <c r="AQ28" s="219"/>
      <c r="AR28" s="219"/>
      <c r="AS28" s="219"/>
      <c r="AT28" s="219"/>
      <c r="AU28" s="219"/>
      <c r="AV28" s="219"/>
      <c r="AW28" s="219"/>
      <c r="AX28" s="219"/>
      <c r="AY28" s="219"/>
      <c r="AZ28" s="219"/>
      <c r="BA28" s="219"/>
    </row>
    <row r="29" spans="1:53" outlineLevel="1" x14ac:dyDescent="0.35">
      <c r="A29" s="6" t="s">
        <v>32</v>
      </c>
      <c r="Z29" s="6">
        <f>'Results - raw data ReCiPe (H)'!CA24</f>
        <v>0.18408066799283429</v>
      </c>
      <c r="AB29" s="219"/>
      <c r="AC29" s="219"/>
      <c r="AD29" s="219"/>
      <c r="AE29" s="219"/>
      <c r="AF29" s="219"/>
      <c r="AG29" s="219"/>
      <c r="AH29" s="219"/>
      <c r="AI29" s="219"/>
      <c r="AJ29" s="219"/>
      <c r="AK29" s="219"/>
      <c r="AL29" s="219"/>
      <c r="AM29" s="219"/>
      <c r="AN29" s="219"/>
      <c r="AO29" s="219"/>
      <c r="AP29" s="219"/>
      <c r="AQ29" s="219"/>
      <c r="AR29" s="219"/>
      <c r="AS29" s="219"/>
      <c r="AT29" s="219"/>
      <c r="AU29" s="219"/>
      <c r="AV29" s="219"/>
      <c r="AW29" s="219"/>
      <c r="AX29" s="219"/>
      <c r="AY29" s="219"/>
      <c r="AZ29" s="219"/>
      <c r="BA29" s="219"/>
    </row>
    <row r="30" spans="1:53" outlineLevel="1" x14ac:dyDescent="0.35">
      <c r="A30" s="6" t="s">
        <v>33</v>
      </c>
      <c r="Z30" s="6">
        <f>'Results - raw data ReCiPe (H)'!CA25</f>
        <v>0.10625470952361479</v>
      </c>
      <c r="AB30" s="219"/>
      <c r="AC30" s="219"/>
      <c r="AD30" s="219"/>
      <c r="AE30" s="219"/>
      <c r="AF30" s="219"/>
      <c r="AG30" s="219"/>
      <c r="AH30" s="219"/>
      <c r="AI30" s="219"/>
      <c r="AJ30" s="219"/>
      <c r="AK30" s="219"/>
      <c r="AL30" s="219"/>
      <c r="AM30" s="219"/>
      <c r="AN30" s="219"/>
      <c r="AO30" s="219"/>
      <c r="AP30" s="219"/>
      <c r="AQ30" s="219"/>
      <c r="AR30" s="219"/>
      <c r="AS30" s="219"/>
      <c r="AT30" s="219"/>
      <c r="AU30" s="219"/>
      <c r="AV30" s="219"/>
      <c r="AW30" s="219"/>
      <c r="AX30" s="219"/>
      <c r="AY30" s="219"/>
      <c r="AZ30" s="219"/>
      <c r="BA30" s="219"/>
    </row>
    <row r="31" spans="1:53" outlineLevel="1" x14ac:dyDescent="0.35">
      <c r="A31" s="6" t="s">
        <v>35</v>
      </c>
      <c r="Z31" s="6">
        <f>'Results - raw data ReCiPe (H)'!CA26</f>
        <v>0.21250941904722959</v>
      </c>
      <c r="AB31" s="219"/>
      <c r="AC31" s="219"/>
      <c r="AD31" s="219"/>
      <c r="AE31" s="219"/>
      <c r="AF31" s="219"/>
      <c r="AG31" s="219"/>
      <c r="AH31" s="219"/>
      <c r="AI31" s="219"/>
      <c r="AJ31" s="219"/>
      <c r="AK31" s="219"/>
      <c r="AL31" s="219"/>
      <c r="AM31" s="219"/>
      <c r="AN31" s="219"/>
      <c r="AO31" s="219"/>
      <c r="AP31" s="219"/>
      <c r="AQ31" s="219"/>
      <c r="AR31" s="219"/>
      <c r="AS31" s="219"/>
      <c r="AT31" s="219"/>
      <c r="AU31" s="219"/>
      <c r="AV31" s="219"/>
      <c r="AW31" s="219"/>
      <c r="AX31" s="219"/>
      <c r="AY31" s="219"/>
      <c r="AZ31" s="219"/>
      <c r="BA31" s="219"/>
    </row>
    <row r="32" spans="1:53" outlineLevel="1" x14ac:dyDescent="0.35">
      <c r="A32" s="6" t="s">
        <v>37</v>
      </c>
      <c r="Z32" s="6">
        <f>'Results - raw data ReCiPe (H)'!CA27</f>
        <v>3.1326169217173172</v>
      </c>
      <c r="AB32" s="219"/>
      <c r="AC32" s="219"/>
      <c r="AD32" s="219"/>
      <c r="AE32" s="219"/>
      <c r="AF32" s="219"/>
      <c r="AG32" s="219"/>
      <c r="AH32" s="219"/>
      <c r="AI32" s="219"/>
      <c r="AJ32" s="219"/>
      <c r="AK32" s="219"/>
      <c r="AL32" s="219"/>
      <c r="AM32" s="219"/>
      <c r="AN32" s="219"/>
      <c r="AO32" s="219"/>
      <c r="AP32" s="219"/>
      <c r="AQ32" s="219"/>
      <c r="AR32" s="219"/>
      <c r="AS32" s="219"/>
      <c r="AT32" s="219"/>
      <c r="AU32" s="219"/>
      <c r="AV32" s="219"/>
      <c r="AW32" s="219"/>
      <c r="AX32" s="219"/>
      <c r="AY32" s="219"/>
      <c r="AZ32" s="219"/>
      <c r="BA32" s="219"/>
    </row>
    <row r="33" spans="1:53" outlineLevel="1" x14ac:dyDescent="0.35">
      <c r="A33" s="6" t="s">
        <v>40</v>
      </c>
      <c r="Z33" s="6">
        <f>'Results - raw data ReCiPe (H)'!CA28</f>
        <v>1.4887444792608839</v>
      </c>
      <c r="AB33" s="219"/>
      <c r="AC33" s="219"/>
      <c r="AD33" s="219"/>
      <c r="AE33" s="219"/>
      <c r="AF33" s="219"/>
      <c r="AG33" s="219"/>
      <c r="AH33" s="219"/>
      <c r="AI33" s="219"/>
      <c r="AJ33" s="219"/>
      <c r="AK33" s="219"/>
      <c r="AL33" s="219"/>
      <c r="AM33" s="219"/>
      <c r="AN33" s="219"/>
      <c r="AO33" s="219"/>
      <c r="AP33" s="219"/>
      <c r="AQ33" s="219"/>
      <c r="AR33" s="219"/>
      <c r="AS33" s="219"/>
      <c r="AT33" s="219"/>
      <c r="AU33" s="219"/>
      <c r="AV33" s="219"/>
      <c r="AW33" s="219"/>
      <c r="AX33" s="219"/>
      <c r="AY33" s="219"/>
      <c r="AZ33" s="219"/>
      <c r="BA33" s="219"/>
    </row>
    <row r="34" spans="1:53" outlineLevel="1" x14ac:dyDescent="0.35">
      <c r="A34" s="6" t="s">
        <v>42</v>
      </c>
      <c r="Z34" s="6">
        <f>'Results - raw data ReCiPe (H)'!CA29</f>
        <v>3.9196001600090971</v>
      </c>
      <c r="AB34" s="219"/>
      <c r="AC34" s="219"/>
      <c r="AD34" s="219"/>
      <c r="AE34" s="219"/>
      <c r="AF34" s="219"/>
      <c r="AG34" s="219"/>
      <c r="AH34" s="219"/>
      <c r="AI34" s="219"/>
      <c r="AJ34" s="219"/>
      <c r="AK34" s="219"/>
      <c r="AL34" s="219"/>
      <c r="AM34" s="219"/>
      <c r="AN34" s="219"/>
      <c r="AO34" s="219"/>
      <c r="AP34" s="219"/>
      <c r="AQ34" s="219"/>
      <c r="AR34" s="219"/>
      <c r="AS34" s="219"/>
      <c r="AT34" s="219"/>
      <c r="AU34" s="219"/>
      <c r="AV34" s="219"/>
      <c r="AW34" s="219"/>
      <c r="AX34" s="219"/>
      <c r="AY34" s="219"/>
      <c r="AZ34" s="219"/>
      <c r="BA34" s="219"/>
    </row>
    <row r="35" spans="1:53" outlineLevel="1" x14ac:dyDescent="0.35">
      <c r="A35" s="6" t="s">
        <v>115</v>
      </c>
      <c r="Z35" s="6">
        <f>'Results - raw data ReCiPe (H)'!CA30</f>
        <v>32.729008967767257</v>
      </c>
      <c r="AB35" s="219"/>
      <c r="AC35" s="219"/>
      <c r="AD35" s="219"/>
      <c r="AE35" s="219"/>
      <c r="AF35" s="219"/>
      <c r="AG35" s="219"/>
      <c r="AH35" s="219"/>
      <c r="AI35" s="219"/>
      <c r="AJ35" s="219"/>
      <c r="AK35" s="219"/>
      <c r="AL35" s="219"/>
      <c r="AM35" s="219"/>
      <c r="AN35" s="219"/>
      <c r="AO35" s="219"/>
      <c r="AP35" s="219"/>
      <c r="AQ35" s="219"/>
      <c r="AR35" s="219"/>
      <c r="AS35" s="219"/>
      <c r="AT35" s="219"/>
      <c r="AU35" s="219"/>
      <c r="AV35" s="219"/>
      <c r="AW35" s="219"/>
      <c r="AX35" s="219"/>
      <c r="AY35" s="219"/>
      <c r="AZ35" s="219"/>
      <c r="BA35" s="219"/>
    </row>
    <row r="36" spans="1:53" outlineLevel="1" x14ac:dyDescent="0.35">
      <c r="A36" s="6" t="s">
        <v>45</v>
      </c>
      <c r="Z36" s="6">
        <f>'Results - raw data ReCiPe (H)'!CA31</f>
        <v>5.3706297748739608E-4</v>
      </c>
    </row>
    <row r="37" spans="1:53" outlineLevel="1" x14ac:dyDescent="0.35">
      <c r="A37" s="6" t="s">
        <v>116</v>
      </c>
      <c r="B37" s="6">
        <f>'Results - raw data ReCiPe (H)'!BC32</f>
        <v>118.1930543229993</v>
      </c>
      <c r="C37" s="6">
        <f>'Results - raw data ReCiPe (H)'!BD32</f>
        <v>118.1495509706713</v>
      </c>
      <c r="D37" s="6">
        <f>'Results - raw data ReCiPe (H)'!BE32</f>
        <v>118.1066016748573</v>
      </c>
      <c r="E37" s="6">
        <f>'Results - raw data ReCiPe (H)'!BF32</f>
        <v>117.3708968791351</v>
      </c>
      <c r="F37" s="6">
        <f>'Results - raw data ReCiPe (H)'!BG32</f>
        <v>117.330317151248</v>
      </c>
      <c r="G37" s="6">
        <f>'Results - raw data ReCiPe (H)'!BH32</f>
        <v>117.29005129331981</v>
      </c>
      <c r="H37" s="6">
        <f>'Results - raw data ReCiPe (H)'!BI32</f>
        <v>117.2479070799383</v>
      </c>
      <c r="I37" s="6">
        <f>'Results - raw data ReCiPe (H)'!BJ32</f>
        <v>117.20587296292381</v>
      </c>
      <c r="J37" s="6">
        <f>'Results - raw data ReCiPe (H)'!BK32</f>
        <v>116.689582257802</v>
      </c>
      <c r="K37" s="6">
        <f>'Results - raw data ReCiPe (H)'!BL32</f>
        <v>116.65080958776529</v>
      </c>
      <c r="L37" s="6">
        <f>'Results - raw data ReCiPe (H)'!BM32</f>
        <v>116.6120881785565</v>
      </c>
      <c r="M37" s="6">
        <f>'Results - raw data ReCiPe (H)'!BN32</f>
        <v>116.59106485862949</v>
      </c>
      <c r="N37" s="6">
        <f>'Results - raw data ReCiPe (H)'!BO32</f>
        <v>116.5694194979278</v>
      </c>
      <c r="O37" s="6">
        <f>'Results - raw data ReCiPe (H)'!BP32</f>
        <v>116.40036881478591</v>
      </c>
      <c r="P37" s="6">
        <f>'Results - raw data ReCiPe (H)'!BQ32</f>
        <v>116.37866001322909</v>
      </c>
      <c r="Q37" s="6">
        <f>'Results - raw data ReCiPe (H)'!BR32</f>
        <v>116.3562974875733</v>
      </c>
      <c r="R37" s="6">
        <f>'Results - raw data ReCiPe (H)'!BS32</f>
        <v>116.3054484089124</v>
      </c>
      <c r="S37" s="6">
        <f>'Results - raw data ReCiPe (H)'!BT32</f>
        <v>116.25416343781561</v>
      </c>
      <c r="T37" s="6">
        <f>'Results - raw data ReCiPe (H)'!BU32</f>
        <v>116.0610845903859</v>
      </c>
      <c r="U37" s="6">
        <f>'Results - raw data ReCiPe (H)'!BV32</f>
        <v>116.0105572281381</v>
      </c>
      <c r="V37" s="6">
        <f>'Results - raw data ReCiPe (H)'!BW32</f>
        <v>115.959651673077</v>
      </c>
      <c r="W37" s="6">
        <f>'Results - raw data ReCiPe (H)'!BX32</f>
        <v>115.9379738654637</v>
      </c>
      <c r="X37" s="6">
        <f>'Results - raw data ReCiPe (H)'!BY32</f>
        <v>115.91683277888509</v>
      </c>
      <c r="Y37" s="6">
        <f>'Results - raw data ReCiPe (H)'!BZ32</f>
        <v>115.8960785606388</v>
      </c>
      <c r="Z37" s="6">
        <f>'Results - raw data ReCiPe (H)'!CA32</f>
        <v>115.8757111011497</v>
      </c>
    </row>
    <row r="38" spans="1:53" outlineLevel="1" x14ac:dyDescent="0.35">
      <c r="A38" s="6" t="s">
        <v>758</v>
      </c>
      <c r="B38" s="6">
        <f>'Results - raw data ReCiPe (H)'!BC33*$AC$7</f>
        <v>185.90075000036092</v>
      </c>
      <c r="C38" s="6">
        <f>'Results - raw data ReCiPe (H)'!BD33*$AC$7</f>
        <v>186.44341735269589</v>
      </c>
      <c r="D38" s="6">
        <f>'Results - raw data ReCiPe (H)'!BE33*$AC$7</f>
        <v>186.9896757298913</v>
      </c>
      <c r="E38" s="6">
        <f>'Results - raw data ReCiPe (H)'!BF33*$AC$7</f>
        <v>187.16380062399421</v>
      </c>
      <c r="F38" s="6">
        <f>'Results - raw data ReCiPe (H)'!BG33*$AC$7</f>
        <v>187.72187690121831</v>
      </c>
      <c r="G38" s="6">
        <f>'Results - raw data ReCiPe (H)'!BH33*$AC$7</f>
        <v>188.28311646103978</v>
      </c>
      <c r="H38" s="6">
        <f>'Results - raw data ReCiPe (H)'!BI33*$AC$7</f>
        <v>191.1994067536547</v>
      </c>
      <c r="I38" s="6">
        <f>'Results - raw data ReCiPe (H)'!BJ33*$AC$7</f>
        <v>194.1025024434831</v>
      </c>
      <c r="J38" s="6">
        <f>'Results - raw data ReCiPe (H)'!BK33*$AC$7</f>
        <v>196.7156053866911</v>
      </c>
      <c r="K38" s="6">
        <f>'Results - raw data ReCiPe (H)'!BL33*$AC$7</f>
        <v>199.60405009769181</v>
      </c>
      <c r="L38" s="6">
        <f>'Results - raw data ReCiPe (H)'!BM33*$AC$7</f>
        <v>202.48112027895232</v>
      </c>
      <c r="M38" s="6">
        <f>'Results - raw data ReCiPe (H)'!BN33*$AC$7</f>
        <v>202.65472948507261</v>
      </c>
      <c r="N38" s="6">
        <f>'Results - raw data ReCiPe (H)'!BO33*$AC$7</f>
        <v>202.8184607768753</v>
      </c>
      <c r="O38" s="6">
        <f>'Results - raw data ReCiPe (H)'!BP33*$AC$7</f>
        <v>202.90630237366008</v>
      </c>
      <c r="P38" s="6">
        <f>'Results - raw data ReCiPe (H)'!BQ33*$AC$7</f>
        <v>203.04981229974581</v>
      </c>
      <c r="Q38" s="6">
        <f>'Results - raw data ReCiPe (H)'!BR33*$AC$7</f>
        <v>203.1821735744829</v>
      </c>
      <c r="R38" s="6">
        <f>'Results - raw data ReCiPe (H)'!BS33*$AC$7</f>
        <v>210.11444656444689</v>
      </c>
      <c r="S38" s="6">
        <f>'Results - raw data ReCiPe (H)'!BT33*$AC$7</f>
        <v>217.03630147466822</v>
      </c>
      <c r="T38" s="6">
        <f>'Results - raw data ReCiPe (H)'!BU33*$AC$7</f>
        <v>223.89040087752917</v>
      </c>
      <c r="U38" s="6">
        <f>'Results - raw data ReCiPe (H)'!BV33*$AC$7</f>
        <v>230.79612969701321</v>
      </c>
      <c r="V38" s="6">
        <f>'Results - raw data ReCiPe (H)'!BW33*$AC$7</f>
        <v>237.69429769501582</v>
      </c>
      <c r="W38" s="6">
        <f>'Results - raw data ReCiPe (H)'!BX33*$AC$7</f>
        <v>238.73233230194808</v>
      </c>
      <c r="X38" s="6">
        <f>'Results - raw data ReCiPe (H)'!BY33*$AC$7</f>
        <v>239.78248583214003</v>
      </c>
      <c r="Y38" s="6">
        <f>'Results - raw data ReCiPe (H)'!BZ33*$AC$7</f>
        <v>240.83638711718072</v>
      </c>
      <c r="Z38" s="6">
        <f>'Results - raw data ReCiPe (H)'!CA33*$AC$7</f>
        <v>241.89383285728749</v>
      </c>
    </row>
    <row r="39" spans="1:53" outlineLevel="1" x14ac:dyDescent="0.35">
      <c r="A39" s="6" t="s">
        <v>759</v>
      </c>
      <c r="B39" s="6">
        <f>'Results - raw data ReCiPe (H)'!BC34</f>
        <v>0</v>
      </c>
      <c r="C39" s="6">
        <f>'Results - raw data ReCiPe (H)'!BD34</f>
        <v>0</v>
      </c>
      <c r="D39" s="6">
        <f>'Results - raw data ReCiPe (H)'!BE34</f>
        <v>0</v>
      </c>
      <c r="E39" s="6">
        <f>'Results - raw data ReCiPe (H)'!BF34</f>
        <v>0</v>
      </c>
      <c r="F39" s="6">
        <f>'Results - raw data ReCiPe (H)'!BG34</f>
        <v>0</v>
      </c>
      <c r="G39" s="6">
        <f>'Results - raw data ReCiPe (H)'!BH34</f>
        <v>0</v>
      </c>
      <c r="H39" s="6">
        <f>'Results - raw data ReCiPe (H)'!BI34</f>
        <v>0</v>
      </c>
      <c r="I39" s="6">
        <f>'Results - raw data ReCiPe (H)'!BJ34</f>
        <v>0</v>
      </c>
      <c r="J39" s="6">
        <f>'Results - raw data ReCiPe (H)'!BK34</f>
        <v>0</v>
      </c>
      <c r="K39" s="6">
        <f>'Results - raw data ReCiPe (H)'!BL34</f>
        <v>0</v>
      </c>
      <c r="L39" s="6">
        <f>'Results - raw data ReCiPe (H)'!BM34</f>
        <v>0</v>
      </c>
      <c r="M39" s="6">
        <f>'Results - raw data ReCiPe (H)'!BN34</f>
        <v>0</v>
      </c>
      <c r="N39" s="6">
        <f>'Results - raw data ReCiPe (H)'!BO34</f>
        <v>0</v>
      </c>
      <c r="O39" s="6">
        <f>'Results - raw data ReCiPe (H)'!BP34</f>
        <v>0</v>
      </c>
      <c r="P39" s="6">
        <f>'Results - raw data ReCiPe (H)'!BQ34</f>
        <v>0</v>
      </c>
      <c r="Q39" s="6">
        <f>'Results - raw data ReCiPe (H)'!BR34</f>
        <v>0</v>
      </c>
      <c r="R39" s="6">
        <f>'Results - raw data ReCiPe (H)'!BS34</f>
        <v>0</v>
      </c>
      <c r="S39" s="6">
        <f>'Results - raw data ReCiPe (H)'!BT34</f>
        <v>0</v>
      </c>
      <c r="T39" s="6">
        <f>'Results - raw data ReCiPe (H)'!BU34</f>
        <v>0</v>
      </c>
      <c r="U39" s="6">
        <f>'Results - raw data ReCiPe (H)'!BV34</f>
        <v>0</v>
      </c>
      <c r="V39" s="6">
        <f>'Results - raw data ReCiPe (H)'!BW34</f>
        <v>0</v>
      </c>
      <c r="W39" s="6">
        <f>'Results - raw data ReCiPe (H)'!BX34</f>
        <v>0</v>
      </c>
      <c r="X39" s="6">
        <f>'Results - raw data ReCiPe (H)'!BY34</f>
        <v>0</v>
      </c>
      <c r="Y39" s="6">
        <f>'Results - raw data ReCiPe (H)'!BZ34</f>
        <v>0</v>
      </c>
      <c r="Z39" s="6">
        <f>'Results - raw data ReCiPe (H)'!CA34</f>
        <v>0</v>
      </c>
    </row>
    <row r="40" spans="1:53" outlineLevel="1" x14ac:dyDescent="0.35">
      <c r="A40" s="6" t="s">
        <v>760</v>
      </c>
      <c r="B40" s="6">
        <f>'Results - raw data ReCiPe (H)'!BC35</f>
        <v>2322.1156028821961</v>
      </c>
      <c r="C40" s="6">
        <f>'Results - raw data ReCiPe (H)'!BD35</f>
        <v>2332.8507557548551</v>
      </c>
      <c r="D40" s="6">
        <f>'Results - raw data ReCiPe (H)'!BE35</f>
        <v>2343.6747205671109</v>
      </c>
      <c r="E40" s="6">
        <f>'Results - raw data ReCiPe (H)'!BF35</f>
        <v>2350.4325473014642</v>
      </c>
      <c r="F40" s="6">
        <f>'Results - raw data ReCiPe (H)'!BG35</f>
        <v>2361.4920858946348</v>
      </c>
      <c r="G40" s="6">
        <f>'Results - raw data ReCiPe (H)'!BH35</f>
        <v>2372.6374563349809</v>
      </c>
      <c r="H40" s="6">
        <f>'Results - raw data ReCiPe (H)'!BI35</f>
        <v>2414.344422470358</v>
      </c>
      <c r="I40" s="6">
        <f>'Results - raw data ReCiPe (H)'!BJ35</f>
        <v>2455.9963773549689</v>
      </c>
      <c r="J40" s="6">
        <f>'Results - raw data ReCiPe (H)'!BK35</f>
        <v>2494.5087850326322</v>
      </c>
      <c r="K40" s="6">
        <f>'Results - raw data ReCiPe (H)'!BL35</f>
        <v>2536.1990872373349</v>
      </c>
      <c r="L40" s="6">
        <f>'Results - raw data ReCiPe (H)'!BM35</f>
        <v>2577.858450231492</v>
      </c>
      <c r="M40" s="6">
        <f>'Results - raw data ReCiPe (H)'!BN35</f>
        <v>2582.8506304151101</v>
      </c>
      <c r="N40" s="6">
        <f>'Results - raw data ReCiPe (H)'!BO35</f>
        <v>2587.7225433079388</v>
      </c>
      <c r="O40" s="6">
        <f>'Results - raw data ReCiPe (H)'!BP35</f>
        <v>2591.7642004254149</v>
      </c>
      <c r="P40" s="6">
        <f>'Results - raw data ReCiPe (H)'!BQ35</f>
        <v>2596.3863005575281</v>
      </c>
      <c r="Q40" s="6">
        <f>'Results - raw data ReCiPe (H)'!BR35</f>
        <v>2600.8698419603979</v>
      </c>
      <c r="R40" s="6">
        <f>'Results - raw data ReCiPe (H)'!BS35</f>
        <v>2696.0408363239512</v>
      </c>
      <c r="S40" s="6">
        <f>'Results - raw data ReCiPe (H)'!BT35</f>
        <v>2791.256276568382</v>
      </c>
      <c r="T40" s="6">
        <f>'Results - raw data ReCiPe (H)'!BU35</f>
        <v>2885.9126654099659</v>
      </c>
      <c r="U40" s="6">
        <f>'Results - raw data ReCiPe (H)'!BV35</f>
        <v>2981.278530338298</v>
      </c>
      <c r="V40" s="6">
        <f>'Results - raw data ReCiPe (H)'!BW35</f>
        <v>3076.7277878244122</v>
      </c>
      <c r="W40" s="6">
        <f>'Results - raw data ReCiPe (H)'!BX35</f>
        <v>3096.471757898084</v>
      </c>
      <c r="X40" s="6">
        <f>'Results - raw data ReCiPe (H)'!BY35</f>
        <v>3116.3989502358882</v>
      </c>
      <c r="Y40" s="6">
        <f>'Results - raw data ReCiPe (H)'!BZ35</f>
        <v>3136.458086324692</v>
      </c>
      <c r="Z40" s="6">
        <f>'Results - raw data ReCiPe (H)'!CA35</f>
        <v>3156.6485629656809</v>
      </c>
    </row>
    <row r="41" spans="1:53" outlineLevel="1" x14ac:dyDescent="0.35">
      <c r="A41" s="23" t="s">
        <v>125</v>
      </c>
      <c r="B41" s="17">
        <f>SUM(B10:B40)</f>
        <v>5789.0702399887359</v>
      </c>
      <c r="C41" s="17">
        <f>SUM(C10:C40)</f>
        <v>2637.4437240782222</v>
      </c>
      <c r="D41" s="17">
        <f>SUM(D10:D40)</f>
        <v>2648.7709979718593</v>
      </c>
      <c r="E41" s="17">
        <f>SUM(E10:E40)</f>
        <v>2654.9672448045935</v>
      </c>
      <c r="F41" s="17">
        <f>SUM(F10:F40)</f>
        <v>2666.5442799471011</v>
      </c>
      <c r="G41" s="17">
        <f t="shared" ref="G41:Z41" si="4">SUM(G10:G40)</f>
        <v>2678.2106240893404</v>
      </c>
      <c r="H41" s="17">
        <f t="shared" si="4"/>
        <v>2722.791736303951</v>
      </c>
      <c r="I41" s="17">
        <f t="shared" si="4"/>
        <v>2767.3047527613758</v>
      </c>
      <c r="J41" s="17">
        <f t="shared" si="4"/>
        <v>2807.9139726771255</v>
      </c>
      <c r="K41" s="17">
        <f t="shared" si="4"/>
        <v>2852.4539469227921</v>
      </c>
      <c r="L41" s="17">
        <f t="shared" si="4"/>
        <v>2896.9516586890009</v>
      </c>
      <c r="M41" s="17">
        <f t="shared" si="4"/>
        <v>2902.0964247588122</v>
      </c>
      <c r="N41" s="17">
        <f t="shared" si="4"/>
        <v>2907.110423582742</v>
      </c>
      <c r="O41" s="17">
        <f t="shared" si="4"/>
        <v>2911.0708716138606</v>
      </c>
      <c r="P41" s="17">
        <f t="shared" si="4"/>
        <v>2915.814772870503</v>
      </c>
      <c r="Q41" s="17">
        <f t="shared" si="4"/>
        <v>2920.408313022454</v>
      </c>
      <c r="R41" s="17">
        <f t="shared" si="4"/>
        <v>3022.4607312973103</v>
      </c>
      <c r="S41" s="17">
        <f t="shared" si="4"/>
        <v>3124.5467414808659</v>
      </c>
      <c r="T41" s="17">
        <f t="shared" si="4"/>
        <v>3225.864150877881</v>
      </c>
      <c r="U41" s="17">
        <f t="shared" si="4"/>
        <v>3328.0852172634495</v>
      </c>
      <c r="V41" s="17">
        <f t="shared" si="4"/>
        <v>3430.3817371925052</v>
      </c>
      <c r="W41" s="17">
        <f t="shared" si="4"/>
        <v>3451.142064065496</v>
      </c>
      <c r="X41" s="17">
        <f t="shared" si="4"/>
        <v>3472.098268846913</v>
      </c>
      <c r="Y41" s="17">
        <f t="shared" si="4"/>
        <v>3493.1905520025116</v>
      </c>
      <c r="Z41" s="17">
        <f t="shared" si="4"/>
        <v>3560.0545183336885</v>
      </c>
    </row>
    <row r="42" spans="1:53" outlineLevel="1" x14ac:dyDescent="0.35"/>
    <row r="43" spans="1:53" s="18" customFormat="1" ht="21" x14ac:dyDescent="0.5">
      <c r="A43" s="18" t="s">
        <v>73</v>
      </c>
    </row>
    <row r="44" spans="1:53" s="20" customFormat="1" outlineLevel="1" x14ac:dyDescent="0.35">
      <c r="A44" s="19" t="s">
        <v>767</v>
      </c>
    </row>
    <row r="45" spans="1:53" s="16" customFormat="1" outlineLevel="1" x14ac:dyDescent="0.35">
      <c r="A45" s="21"/>
      <c r="AE45" s="15"/>
    </row>
    <row r="46" spans="1:53" s="16" customFormat="1" outlineLevel="1" x14ac:dyDescent="0.35">
      <c r="A46" s="22" t="s">
        <v>761</v>
      </c>
    </row>
    <row r="47" spans="1:53" s="16" customFormat="1" outlineLevel="1" x14ac:dyDescent="0.35">
      <c r="A47" s="22"/>
      <c r="AB47" s="16" t="s">
        <v>127</v>
      </c>
      <c r="AC47" s="16">
        <v>100</v>
      </c>
      <c r="AD47" s="16" t="s">
        <v>128</v>
      </c>
    </row>
    <row r="48" spans="1:53" s="16" customFormat="1" outlineLevel="1" x14ac:dyDescent="0.35">
      <c r="A48" s="22"/>
      <c r="AB48" s="16" t="s">
        <v>129</v>
      </c>
      <c r="AC48" s="16">
        <v>25</v>
      </c>
      <c r="AD48" s="16" t="s">
        <v>130</v>
      </c>
    </row>
    <row r="49" spans="1:54" outlineLevel="1" x14ac:dyDescent="0.35">
      <c r="B49" s="25">
        <v>2030</v>
      </c>
      <c r="C49" s="25">
        <v>2031</v>
      </c>
      <c r="D49" s="25">
        <v>2032</v>
      </c>
      <c r="E49" s="25">
        <v>2033</v>
      </c>
      <c r="F49" s="25">
        <v>2034</v>
      </c>
      <c r="G49" s="25">
        <v>2035</v>
      </c>
      <c r="H49" s="25">
        <v>2036</v>
      </c>
      <c r="I49" s="25">
        <v>2037</v>
      </c>
      <c r="J49" s="25">
        <v>2038</v>
      </c>
      <c r="K49" s="25">
        <v>2039</v>
      </c>
      <c r="L49" s="25">
        <v>2040</v>
      </c>
      <c r="M49" s="25">
        <v>2041</v>
      </c>
      <c r="N49" s="25">
        <v>2042</v>
      </c>
      <c r="O49" s="25">
        <v>2043</v>
      </c>
      <c r="P49" s="25">
        <v>2044</v>
      </c>
      <c r="Q49" s="25">
        <v>2045</v>
      </c>
      <c r="R49" s="25">
        <v>2046</v>
      </c>
      <c r="S49" s="25">
        <v>2047</v>
      </c>
      <c r="T49" s="25">
        <v>2048</v>
      </c>
      <c r="U49" s="25">
        <v>2049</v>
      </c>
      <c r="V49" s="25">
        <v>2050</v>
      </c>
      <c r="W49" s="25">
        <v>2051</v>
      </c>
      <c r="X49" s="25">
        <v>2052</v>
      </c>
      <c r="Y49" s="25">
        <v>2053</v>
      </c>
      <c r="Z49" s="25">
        <v>2054</v>
      </c>
      <c r="AC49" s="25">
        <v>2030</v>
      </c>
      <c r="AD49" s="25">
        <v>2031</v>
      </c>
      <c r="AE49" s="25">
        <v>2032</v>
      </c>
      <c r="AF49" s="25">
        <v>2033</v>
      </c>
      <c r="AG49" s="25">
        <v>2034</v>
      </c>
      <c r="AH49" s="25">
        <v>2035</v>
      </c>
      <c r="AI49" s="25">
        <v>2036</v>
      </c>
      <c r="AJ49" s="25">
        <v>2037</v>
      </c>
      <c r="AK49" s="25">
        <v>2038</v>
      </c>
      <c r="AL49" s="25">
        <v>2039</v>
      </c>
      <c r="AM49" s="25">
        <v>2040</v>
      </c>
      <c r="AN49" s="25">
        <v>2041</v>
      </c>
      <c r="AO49" s="25">
        <v>2042</v>
      </c>
      <c r="AP49" s="25">
        <v>2043</v>
      </c>
      <c r="AQ49" s="25">
        <v>2044</v>
      </c>
      <c r="AR49" s="25">
        <v>2045</v>
      </c>
      <c r="AS49" s="25">
        <v>2046</v>
      </c>
      <c r="AT49" s="25">
        <v>2047</v>
      </c>
      <c r="AU49" s="25">
        <v>2048</v>
      </c>
      <c r="AV49" s="25">
        <v>2049</v>
      </c>
      <c r="AW49" s="25">
        <v>2050</v>
      </c>
      <c r="AX49" s="25">
        <v>2051</v>
      </c>
      <c r="AY49" s="25">
        <v>2052</v>
      </c>
      <c r="AZ49" s="25">
        <v>2053</v>
      </c>
      <c r="BA49" s="25">
        <v>2054</v>
      </c>
    </row>
    <row r="50" spans="1:54" outlineLevel="1" x14ac:dyDescent="0.35">
      <c r="A50" s="6" t="s">
        <v>21</v>
      </c>
      <c r="B50" s="6">
        <f>'Results - raw data ReCiPe (H)'!BC41</f>
        <v>74.575809260309001</v>
      </c>
      <c r="AB50" s="6" t="s">
        <v>117</v>
      </c>
      <c r="AC50" s="6">
        <f>SUM(B50:B61)+B63</f>
        <v>2837.5515154411646</v>
      </c>
    </row>
    <row r="51" spans="1:54" outlineLevel="1" x14ac:dyDescent="0.35">
      <c r="A51" s="6" t="s">
        <v>23</v>
      </c>
      <c r="B51" s="6">
        <f>'Results - raw data ReCiPe (H)'!BC42</f>
        <v>313.82231223638792</v>
      </c>
      <c r="AB51" s="6" t="s">
        <v>118</v>
      </c>
      <c r="AC51" s="6">
        <f>B62</f>
        <v>266.94496473340826</v>
      </c>
    </row>
    <row r="52" spans="1:54" outlineLevel="1" x14ac:dyDescent="0.35">
      <c r="A52" s="6" t="s">
        <v>26</v>
      </c>
      <c r="B52" s="6">
        <f>'Results - raw data ReCiPe (H)'!BC43</f>
        <v>315.02558376823708</v>
      </c>
      <c r="AB52" s="6" t="s">
        <v>119</v>
      </c>
      <c r="BA52" s="6">
        <f>SUM(Z64:Z75)</f>
        <v>41.794125692809452</v>
      </c>
    </row>
    <row r="53" spans="1:54" outlineLevel="1" x14ac:dyDescent="0.35">
      <c r="A53" s="6" t="s">
        <v>28</v>
      </c>
      <c r="B53" s="6">
        <f>'Results - raw data ReCiPe (H)'!BC44</f>
        <v>243.43520206801139</v>
      </c>
      <c r="AB53" s="6" t="s">
        <v>120</v>
      </c>
      <c r="BA53" s="6">
        <f>Z76</f>
        <v>1.2962860497828945</v>
      </c>
    </row>
    <row r="54" spans="1:54" outlineLevel="1" x14ac:dyDescent="0.35">
      <c r="A54" s="6" t="s">
        <v>29</v>
      </c>
      <c r="B54" s="6">
        <f>'Results - raw data ReCiPe (H)'!BC45</f>
        <v>119.8877128712579</v>
      </c>
      <c r="AB54" s="6" t="s">
        <v>121</v>
      </c>
      <c r="AC54" s="6">
        <f>B77</f>
        <v>117.4164153447413</v>
      </c>
      <c r="AF54" s="6">
        <f>E77</f>
        <v>116.14482404943</v>
      </c>
      <c r="AI54" s="6">
        <f>H77</f>
        <v>115.85431461269189</v>
      </c>
      <c r="AL54" s="6">
        <f>K77</f>
        <v>115.7060268138878</v>
      </c>
      <c r="AO54" s="6">
        <f>N77</f>
        <v>115.22430296168601</v>
      </c>
      <c r="AR54" s="6">
        <f>Q77</f>
        <v>114.21787004973891</v>
      </c>
      <c r="AU54" s="6">
        <f>T77</f>
        <v>113.3881732416237</v>
      </c>
      <c r="AX54" s="6">
        <f>W77</f>
        <v>112.8508899058024</v>
      </c>
      <c r="BA54" s="6">
        <f>Z77</f>
        <v>112.6235531268987</v>
      </c>
    </row>
    <row r="55" spans="1:54" outlineLevel="1" x14ac:dyDescent="0.35">
      <c r="A55" s="6" t="s">
        <v>31</v>
      </c>
      <c r="B55" s="6">
        <f>'Results - raw data ReCiPe (H)'!BC46</f>
        <v>85.211147912787794</v>
      </c>
      <c r="AB55" s="6" t="s">
        <v>122</v>
      </c>
      <c r="AC55" s="6">
        <f>B80+B79</f>
        <v>2397.063593199709</v>
      </c>
      <c r="AD55" s="6">
        <f t="shared" ref="AD55:BA55" si="5">C80+C79</f>
        <v>2379.6134774011311</v>
      </c>
      <c r="AE55" s="6">
        <f t="shared" si="5"/>
        <v>2362.188629716703</v>
      </c>
      <c r="AF55" s="6">
        <f t="shared" si="5"/>
        <v>2340.3044915874762</v>
      </c>
      <c r="AG55" s="6">
        <f t="shared" si="5"/>
        <v>2322.9440845460231</v>
      </c>
      <c r="AH55" s="6">
        <f t="shared" si="5"/>
        <v>2305.605553690335</v>
      </c>
      <c r="AI55" s="6">
        <f t="shared" si="5"/>
        <v>2300.808644434393</v>
      </c>
      <c r="AJ55" s="6">
        <f t="shared" si="5"/>
        <v>2295.8854356329139</v>
      </c>
      <c r="AK55" s="6">
        <f t="shared" si="5"/>
        <v>2286.8703410958919</v>
      </c>
      <c r="AL55" s="6">
        <f t="shared" si="5"/>
        <v>2281.515543203242</v>
      </c>
      <c r="AM55" s="6">
        <f t="shared" si="5"/>
        <v>2275.968512933965</v>
      </c>
      <c r="AN55" s="6">
        <f t="shared" si="5"/>
        <v>2261.0406552066361</v>
      </c>
      <c r="AO55" s="6">
        <f t="shared" si="5"/>
        <v>2245.842790154612</v>
      </c>
      <c r="AP55" s="6">
        <f t="shared" si="5"/>
        <v>2229.4525728716731</v>
      </c>
      <c r="AQ55" s="6">
        <f t="shared" si="5"/>
        <v>2213.7291686234798</v>
      </c>
      <c r="AR55" s="6">
        <f t="shared" si="5"/>
        <v>2197.7407664790348</v>
      </c>
      <c r="AS55" s="6">
        <f t="shared" si="5"/>
        <v>2211.2953173476822</v>
      </c>
      <c r="AT55" s="6">
        <f t="shared" si="5"/>
        <v>2224.5851349859472</v>
      </c>
      <c r="AU55" s="6">
        <f t="shared" si="5"/>
        <v>2236.7044559808719</v>
      </c>
      <c r="AV55" s="6">
        <f t="shared" si="5"/>
        <v>2249.4766981934999</v>
      </c>
      <c r="AW55" s="6">
        <f t="shared" si="5"/>
        <v>2261.9944338859809</v>
      </c>
      <c r="AX55" s="6">
        <f t="shared" si="5"/>
        <v>2240.5891057678832</v>
      </c>
      <c r="AY55" s="6">
        <f t="shared" si="5"/>
        <v>2219.186363062181</v>
      </c>
      <c r="AZ55" s="6">
        <f t="shared" si="5"/>
        <v>2197.694707669616</v>
      </c>
      <c r="BA55" s="6">
        <f t="shared" si="5"/>
        <v>2176.1108391783118</v>
      </c>
    </row>
    <row r="56" spans="1:54" outlineLevel="1" x14ac:dyDescent="0.35">
      <c r="A56" s="6" t="s">
        <v>34</v>
      </c>
      <c r="B56" s="6">
        <f>'Results - raw data ReCiPe (H)'!BC47</f>
        <v>57.213045992396857</v>
      </c>
      <c r="AB56" s="6" t="s">
        <v>123</v>
      </c>
      <c r="AC56" s="6">
        <f t="shared" ref="AC56:BA56" si="6">B78</f>
        <v>190.80831926169219</v>
      </c>
      <c r="AD56" s="6">
        <f t="shared" si="6"/>
        <v>189.05559074903729</v>
      </c>
      <c r="AE56" s="6">
        <f t="shared" si="6"/>
        <v>187.3092236952279</v>
      </c>
      <c r="AF56" s="6">
        <f t="shared" si="6"/>
        <v>185.16993614052569</v>
      </c>
      <c r="AG56" s="6">
        <f t="shared" si="6"/>
        <v>183.4380456107173</v>
      </c>
      <c r="AH56" s="6">
        <f t="shared" si="6"/>
        <v>181.71214162802769</v>
      </c>
      <c r="AI56" s="6">
        <f t="shared" si="6"/>
        <v>181.17559912768741</v>
      </c>
      <c r="AJ56" s="6">
        <f t="shared" si="6"/>
        <v>180.63019576564861</v>
      </c>
      <c r="AK56" s="6">
        <f t="shared" si="6"/>
        <v>179.73481702796158</v>
      </c>
      <c r="AL56" s="6">
        <f t="shared" si="6"/>
        <v>179.1588306038729</v>
      </c>
      <c r="AM56" s="6">
        <f t="shared" si="6"/>
        <v>178.56890291118251</v>
      </c>
      <c r="AN56" s="6">
        <f t="shared" si="6"/>
        <v>177.4089420359019</v>
      </c>
      <c r="AO56" s="6">
        <f t="shared" si="6"/>
        <v>176.22960903326171</v>
      </c>
      <c r="AP56" s="6">
        <f t="shared" si="6"/>
        <v>174.9496902502498</v>
      </c>
      <c r="AQ56" s="6">
        <f t="shared" si="6"/>
        <v>173.73281654623028</v>
      </c>
      <c r="AR56" s="6">
        <f t="shared" si="6"/>
        <v>172.4968265332175</v>
      </c>
      <c r="AS56" s="6">
        <f t="shared" si="6"/>
        <v>173.75058357926031</v>
      </c>
      <c r="AT56" s="6">
        <f t="shared" si="6"/>
        <v>174.99066308481841</v>
      </c>
      <c r="AU56" s="6">
        <f t="shared" si="6"/>
        <v>176.13761272032221</v>
      </c>
      <c r="AV56" s="6">
        <f t="shared" si="6"/>
        <v>177.3507746092007</v>
      </c>
      <c r="AW56" s="6">
        <f t="shared" si="6"/>
        <v>178.55047238069631</v>
      </c>
      <c r="AX56" s="6">
        <f t="shared" si="6"/>
        <v>176.68801572539721</v>
      </c>
      <c r="AY56" s="6">
        <f t="shared" si="6"/>
        <v>174.8344594576121</v>
      </c>
      <c r="AZ56" s="6">
        <f t="shared" si="6"/>
        <v>172.97929612138142</v>
      </c>
      <c r="BA56" s="6">
        <f t="shared" si="6"/>
        <v>171.1222224813973</v>
      </c>
    </row>
    <row r="57" spans="1:54" outlineLevel="1" x14ac:dyDescent="0.35">
      <c r="A57" s="6" t="s">
        <v>36</v>
      </c>
      <c r="B57" s="6">
        <f>'Results - raw data ReCiPe (H)'!BC48</f>
        <v>60.149320712686112</v>
      </c>
      <c r="AB57" s="6" t="s">
        <v>124</v>
      </c>
      <c r="AC57" s="6">
        <f>-$AC$7*$AC$6</f>
        <v>0</v>
      </c>
      <c r="AD57" s="6">
        <f t="shared" ref="AD57:BA57" si="7">-$AC$7*$AC$6</f>
        <v>0</v>
      </c>
      <c r="AE57" s="6">
        <f t="shared" si="7"/>
        <v>0</v>
      </c>
      <c r="AF57" s="6">
        <f t="shared" si="7"/>
        <v>0</v>
      </c>
      <c r="AG57" s="6">
        <f t="shared" si="7"/>
        <v>0</v>
      </c>
      <c r="AH57" s="6">
        <f t="shared" si="7"/>
        <v>0</v>
      </c>
      <c r="AI57" s="6">
        <f t="shared" si="7"/>
        <v>0</v>
      </c>
      <c r="AJ57" s="6">
        <f t="shared" si="7"/>
        <v>0</v>
      </c>
      <c r="AK57" s="6">
        <f t="shared" si="7"/>
        <v>0</v>
      </c>
      <c r="AL57" s="6">
        <f t="shared" si="7"/>
        <v>0</v>
      </c>
      <c r="AM57" s="6">
        <f t="shared" si="7"/>
        <v>0</v>
      </c>
      <c r="AN57" s="6">
        <f t="shared" si="7"/>
        <v>0</v>
      </c>
      <c r="AO57" s="6">
        <f t="shared" si="7"/>
        <v>0</v>
      </c>
      <c r="AP57" s="6">
        <f t="shared" si="7"/>
        <v>0</v>
      </c>
      <c r="AQ57" s="6">
        <f t="shared" si="7"/>
        <v>0</v>
      </c>
      <c r="AR57" s="6">
        <f t="shared" si="7"/>
        <v>0</v>
      </c>
      <c r="AS57" s="6">
        <f t="shared" si="7"/>
        <v>0</v>
      </c>
      <c r="AT57" s="6">
        <f t="shared" si="7"/>
        <v>0</v>
      </c>
      <c r="AU57" s="6">
        <f t="shared" si="7"/>
        <v>0</v>
      </c>
      <c r="AV57" s="6">
        <f t="shared" si="7"/>
        <v>0</v>
      </c>
      <c r="AW57" s="6">
        <f t="shared" si="7"/>
        <v>0</v>
      </c>
      <c r="AX57" s="6">
        <f t="shared" si="7"/>
        <v>0</v>
      </c>
      <c r="AY57" s="6">
        <f t="shared" si="7"/>
        <v>0</v>
      </c>
      <c r="AZ57" s="6">
        <f t="shared" si="7"/>
        <v>0</v>
      </c>
      <c r="BA57" s="6">
        <f t="shared" si="7"/>
        <v>0</v>
      </c>
    </row>
    <row r="58" spans="1:54" outlineLevel="1" x14ac:dyDescent="0.35">
      <c r="A58" s="6" t="s">
        <v>38</v>
      </c>
      <c r="B58" s="6">
        <f>'Results - raw data ReCiPe (H)'!BC49</f>
        <v>654.34504301961317</v>
      </c>
      <c r="AB58" s="23" t="s">
        <v>125</v>
      </c>
      <c r="AC58" s="17">
        <f t="shared" ref="AC58:BA58" si="8">SUM(AC50:AC57)</f>
        <v>5809.7848079807154</v>
      </c>
      <c r="AD58" s="17">
        <f t="shared" si="8"/>
        <v>2568.6690681501686</v>
      </c>
      <c r="AE58" s="17">
        <f t="shared" si="8"/>
        <v>2549.4978534119309</v>
      </c>
      <c r="AF58" s="17">
        <f t="shared" si="8"/>
        <v>2641.6192517774321</v>
      </c>
      <c r="AG58" s="17">
        <f t="shared" si="8"/>
        <v>2506.3821301567405</v>
      </c>
      <c r="AH58" s="17">
        <f t="shared" si="8"/>
        <v>2487.3176953183629</v>
      </c>
      <c r="AI58" s="17">
        <f t="shared" si="8"/>
        <v>2597.8385581747721</v>
      </c>
      <c r="AJ58" s="17">
        <f t="shared" si="8"/>
        <v>2476.5156313985626</v>
      </c>
      <c r="AK58" s="17">
        <f t="shared" si="8"/>
        <v>2466.6051581238535</v>
      </c>
      <c r="AL58" s="17">
        <f t="shared" si="8"/>
        <v>2576.380400621003</v>
      </c>
      <c r="AM58" s="17">
        <f t="shared" si="8"/>
        <v>2454.5374158451477</v>
      </c>
      <c r="AN58" s="17">
        <f t="shared" si="8"/>
        <v>2438.4495972425379</v>
      </c>
      <c r="AO58" s="17">
        <f t="shared" si="8"/>
        <v>2537.2967021495597</v>
      </c>
      <c r="AP58" s="17">
        <f t="shared" si="8"/>
        <v>2404.4022631219227</v>
      </c>
      <c r="AQ58" s="17">
        <f t="shared" si="8"/>
        <v>2387.4619851697103</v>
      </c>
      <c r="AR58" s="17">
        <f t="shared" si="8"/>
        <v>2484.4554630619914</v>
      </c>
      <c r="AS58" s="17">
        <f t="shared" si="8"/>
        <v>2385.0459009269425</v>
      </c>
      <c r="AT58" s="17">
        <f t="shared" si="8"/>
        <v>2399.5757980707658</v>
      </c>
      <c r="AU58" s="17">
        <f t="shared" si="8"/>
        <v>2526.2302419428179</v>
      </c>
      <c r="AV58" s="17">
        <f t="shared" si="8"/>
        <v>2426.8274728027009</v>
      </c>
      <c r="AW58" s="17">
        <f t="shared" si="8"/>
        <v>2440.5449062666771</v>
      </c>
      <c r="AX58" s="17">
        <f t="shared" si="8"/>
        <v>2530.1280113990829</v>
      </c>
      <c r="AY58" s="17">
        <f t="shared" si="8"/>
        <v>2394.020822519793</v>
      </c>
      <c r="AZ58" s="17">
        <f t="shared" si="8"/>
        <v>2370.6740037909976</v>
      </c>
      <c r="BA58" s="17">
        <f t="shared" si="8"/>
        <v>2502.9470265292002</v>
      </c>
    </row>
    <row r="59" spans="1:54" outlineLevel="1" x14ac:dyDescent="0.35">
      <c r="A59" s="6" t="s">
        <v>39</v>
      </c>
      <c r="B59" s="6">
        <f>'Results - raw data ReCiPe (H)'!BC50</f>
        <v>693.55879573755169</v>
      </c>
    </row>
    <row r="60" spans="1:54" outlineLevel="1" x14ac:dyDescent="0.35">
      <c r="A60" s="6" t="s">
        <v>41</v>
      </c>
      <c r="B60" s="6">
        <f>'Results - raw data ReCiPe (H)'!BC51</f>
        <v>53.610983579825508</v>
      </c>
    </row>
    <row r="61" spans="1:54" outlineLevel="1" x14ac:dyDescent="0.35">
      <c r="A61" s="6" t="s">
        <v>43</v>
      </c>
      <c r="B61" s="6">
        <f>'Results - raw data ReCiPe (H)'!BC52</f>
        <v>73.167744204374856</v>
      </c>
      <c r="AB61" s="219"/>
      <c r="AC61" s="219"/>
      <c r="AD61" s="219"/>
      <c r="AE61" s="219"/>
      <c r="AF61" s="219"/>
      <c r="AG61" s="219"/>
      <c r="AH61" s="219"/>
      <c r="AI61" s="219"/>
      <c r="AJ61" s="219"/>
      <c r="AK61" s="219"/>
      <c r="AL61" s="219"/>
      <c r="AM61" s="219"/>
      <c r="AN61" s="219"/>
      <c r="AO61" s="219"/>
      <c r="AP61" s="219"/>
      <c r="AQ61" s="219"/>
      <c r="AR61" s="219"/>
      <c r="AS61" s="219"/>
      <c r="AT61" s="219"/>
      <c r="AU61" s="219"/>
      <c r="AV61" s="219"/>
      <c r="AW61" s="219"/>
      <c r="AX61" s="219"/>
      <c r="AY61" s="219"/>
      <c r="AZ61" s="219"/>
      <c r="BA61" s="219"/>
      <c r="BB61" s="219"/>
    </row>
    <row r="62" spans="1:54" outlineLevel="1" x14ac:dyDescent="0.35">
      <c r="A62" s="6" t="s">
        <v>44</v>
      </c>
      <c r="B62" s="6">
        <f>'Results - raw data ReCiPe (H)'!BC53*AC47*AC48</f>
        <v>266.94496473340826</v>
      </c>
      <c r="AB62" s="219"/>
      <c r="AC62" s="219"/>
      <c r="AD62" s="219"/>
      <c r="AE62" s="219"/>
      <c r="AF62" s="219"/>
      <c r="AG62" s="219"/>
      <c r="AH62" s="219"/>
      <c r="AI62" s="219"/>
      <c r="AJ62" s="219"/>
      <c r="AK62" s="219"/>
      <c r="AL62" s="219"/>
      <c r="AM62" s="219"/>
      <c r="AN62" s="219"/>
      <c r="AO62" s="219"/>
      <c r="AP62" s="219"/>
      <c r="AQ62" s="219"/>
      <c r="AR62" s="219"/>
      <c r="AS62" s="219"/>
      <c r="AT62" s="219"/>
      <c r="AU62" s="219"/>
      <c r="AV62" s="219"/>
      <c r="AW62" s="219"/>
      <c r="AX62" s="219"/>
      <c r="AY62" s="219"/>
      <c r="AZ62" s="219"/>
      <c r="BA62" s="219"/>
      <c r="BB62" s="219"/>
    </row>
    <row r="63" spans="1:54" outlineLevel="1" x14ac:dyDescent="0.35">
      <c r="A63" s="6" t="s">
        <v>757</v>
      </c>
      <c r="B63" s="6">
        <f>'Results - raw data ReCiPe (H)'!BC54*AC47*AC48</f>
        <v>93.54881407772514</v>
      </c>
      <c r="AB63" s="219"/>
      <c r="AC63" s="219"/>
      <c r="AD63" s="219"/>
      <c r="AE63" s="219"/>
      <c r="AF63" s="219"/>
      <c r="AG63" s="219"/>
      <c r="AH63" s="219"/>
      <c r="AI63" s="219"/>
      <c r="AJ63" s="219"/>
      <c r="AK63" s="219"/>
      <c r="AL63" s="219"/>
      <c r="AM63" s="219"/>
      <c r="AN63" s="219"/>
      <c r="AO63" s="219"/>
      <c r="AP63" s="219"/>
      <c r="AQ63" s="219"/>
      <c r="AR63" s="219"/>
      <c r="AS63" s="219"/>
      <c r="AT63" s="219"/>
      <c r="AU63" s="219"/>
      <c r="AV63" s="219"/>
      <c r="AW63" s="219"/>
      <c r="AX63" s="219"/>
      <c r="AY63" s="219"/>
      <c r="AZ63" s="219"/>
      <c r="BA63" s="219"/>
      <c r="BB63" s="219"/>
    </row>
    <row r="64" spans="1:54" outlineLevel="1" x14ac:dyDescent="0.35">
      <c r="A64" s="6" t="s">
        <v>22</v>
      </c>
      <c r="Z64" s="6">
        <f>'Results - raw data ReCiPe (H)'!CA55</f>
        <v>0.32233715306889849</v>
      </c>
      <c r="AB64" s="219"/>
      <c r="AC64" s="219"/>
      <c r="AD64" s="219"/>
      <c r="AE64" s="219"/>
      <c r="AF64" s="219"/>
      <c r="AG64" s="219"/>
      <c r="AH64" s="219"/>
      <c r="AI64" s="219"/>
      <c r="AJ64" s="219"/>
      <c r="AK64" s="219"/>
      <c r="AL64" s="219"/>
      <c r="AM64" s="219"/>
      <c r="AN64" s="219"/>
      <c r="AO64" s="219"/>
      <c r="AP64" s="219"/>
      <c r="AQ64" s="219"/>
      <c r="AR64" s="219"/>
      <c r="AS64" s="219"/>
      <c r="AT64" s="219"/>
      <c r="AU64" s="219"/>
      <c r="AV64" s="219"/>
      <c r="AW64" s="219"/>
      <c r="AX64" s="219"/>
      <c r="AY64" s="219"/>
      <c r="AZ64" s="219"/>
      <c r="BA64" s="219"/>
      <c r="BB64" s="219"/>
    </row>
    <row r="65" spans="1:54" outlineLevel="1" x14ac:dyDescent="0.35">
      <c r="A65" s="6" t="s">
        <v>24</v>
      </c>
      <c r="Z65" s="6">
        <f>'Results - raw data ReCiPe (H)'!CA56</f>
        <v>0.35838182732894691</v>
      </c>
      <c r="AB65" s="219"/>
      <c r="AC65" s="219"/>
      <c r="AD65" s="219"/>
      <c r="AE65" s="219"/>
      <c r="AF65" s="219"/>
      <c r="AG65" s="219"/>
      <c r="AH65" s="219"/>
      <c r="AI65" s="219"/>
      <c r="AJ65" s="219"/>
      <c r="AK65" s="219"/>
      <c r="AL65" s="219"/>
      <c r="AM65" s="219"/>
      <c r="AN65" s="219"/>
      <c r="AO65" s="219"/>
      <c r="AP65" s="219"/>
      <c r="AQ65" s="219"/>
      <c r="AR65" s="219"/>
      <c r="AS65" s="219"/>
      <c r="AT65" s="219"/>
      <c r="AU65" s="219"/>
      <c r="AV65" s="219"/>
      <c r="AW65" s="219"/>
      <c r="AX65" s="219"/>
      <c r="AY65" s="219"/>
      <c r="AZ65" s="219"/>
      <c r="BA65" s="219"/>
      <c r="BB65" s="219"/>
    </row>
    <row r="66" spans="1:54" outlineLevel="1" x14ac:dyDescent="0.35">
      <c r="A66" s="6" t="s">
        <v>25</v>
      </c>
      <c r="Z66" s="6">
        <f>'Results - raw data ReCiPe (H)'!CA57</f>
        <v>1.6303359130110771</v>
      </c>
      <c r="AB66" s="219"/>
      <c r="AC66" s="219"/>
      <c r="AD66" s="219"/>
      <c r="AE66" s="219"/>
      <c r="AF66" s="219"/>
      <c r="AG66" s="219"/>
      <c r="AH66" s="219"/>
      <c r="AI66" s="219"/>
      <c r="AJ66" s="219"/>
      <c r="AK66" s="219"/>
      <c r="AL66" s="219"/>
      <c r="AM66" s="219"/>
      <c r="AN66" s="219"/>
      <c r="AO66" s="219"/>
      <c r="AP66" s="219"/>
      <c r="AQ66" s="219"/>
      <c r="AR66" s="219"/>
      <c r="AS66" s="219"/>
      <c r="AT66" s="219"/>
      <c r="AU66" s="219"/>
      <c r="AV66" s="219"/>
      <c r="AW66" s="219"/>
      <c r="AX66" s="219"/>
      <c r="AY66" s="219"/>
      <c r="AZ66" s="219"/>
      <c r="BA66" s="219"/>
      <c r="BB66" s="219"/>
    </row>
    <row r="67" spans="1:54" outlineLevel="1" x14ac:dyDescent="0.35">
      <c r="A67" s="6" t="s">
        <v>27</v>
      </c>
      <c r="Z67" s="6">
        <f>'Results - raw data ReCiPe (H)'!CA58</f>
        <v>0.99750299663896524</v>
      </c>
      <c r="AB67" s="219"/>
      <c r="AC67" s="219"/>
      <c r="AD67" s="219"/>
      <c r="AE67" s="219"/>
      <c r="AF67" s="219"/>
      <c r="AG67" s="219"/>
      <c r="AH67" s="219"/>
      <c r="AI67" s="219"/>
      <c r="AJ67" s="219"/>
      <c r="AK67" s="219"/>
      <c r="AL67" s="219"/>
      <c r="AM67" s="219"/>
      <c r="AN67" s="219"/>
      <c r="AO67" s="219"/>
      <c r="AP67" s="219"/>
      <c r="AQ67" s="219"/>
      <c r="AR67" s="219"/>
      <c r="AS67" s="219"/>
      <c r="AT67" s="219"/>
      <c r="AU67" s="219"/>
      <c r="AV67" s="219"/>
      <c r="AW67" s="219"/>
      <c r="AX67" s="219"/>
      <c r="AY67" s="219"/>
      <c r="AZ67" s="219"/>
      <c r="BA67" s="219"/>
      <c r="BB67" s="219"/>
    </row>
    <row r="68" spans="1:54" outlineLevel="1" x14ac:dyDescent="0.35">
      <c r="A68" s="6" t="s">
        <v>30</v>
      </c>
      <c r="Z68" s="6">
        <f>'Results - raw data ReCiPe (H)'!CA59</f>
        <v>0.39549334266602593</v>
      </c>
      <c r="AB68" s="219"/>
      <c r="AC68" s="219"/>
      <c r="AD68" s="219"/>
      <c r="AE68" s="219"/>
      <c r="AF68" s="219"/>
      <c r="AG68" s="219"/>
      <c r="AH68" s="219"/>
      <c r="AI68" s="219"/>
      <c r="AJ68" s="219"/>
      <c r="AK68" s="219"/>
      <c r="AL68" s="219"/>
      <c r="AM68" s="219"/>
      <c r="AN68" s="219"/>
      <c r="AO68" s="219"/>
      <c r="AP68" s="219"/>
      <c r="AQ68" s="219"/>
      <c r="AR68" s="219"/>
      <c r="AS68" s="219"/>
      <c r="AT68" s="219"/>
      <c r="AU68" s="219"/>
      <c r="AV68" s="219"/>
      <c r="AW68" s="219"/>
      <c r="AX68" s="219"/>
      <c r="AY68" s="219"/>
      <c r="AZ68" s="219"/>
      <c r="BA68" s="219"/>
      <c r="BB68" s="219"/>
    </row>
    <row r="69" spans="1:54" outlineLevel="1" x14ac:dyDescent="0.35">
      <c r="A69" s="6" t="s">
        <v>32</v>
      </c>
      <c r="Z69" s="6">
        <f>'Results - raw data ReCiPe (H)'!CA60</f>
        <v>0.17713632900602139</v>
      </c>
      <c r="AB69" s="219"/>
      <c r="AC69" s="219"/>
      <c r="AD69" s="219"/>
      <c r="AE69" s="219"/>
      <c r="AF69" s="219"/>
      <c r="AG69" s="219"/>
      <c r="AH69" s="219"/>
      <c r="AI69" s="219"/>
      <c r="AJ69" s="219"/>
      <c r="AK69" s="219"/>
      <c r="AL69" s="219"/>
      <c r="AM69" s="219"/>
      <c r="AN69" s="219"/>
      <c r="AO69" s="219"/>
      <c r="AP69" s="219"/>
      <c r="AQ69" s="219"/>
      <c r="AR69" s="219"/>
      <c r="AS69" s="219"/>
      <c r="AT69" s="219"/>
      <c r="AU69" s="219"/>
      <c r="AV69" s="219"/>
      <c r="AW69" s="219"/>
      <c r="AX69" s="219"/>
      <c r="AY69" s="219"/>
      <c r="AZ69" s="219"/>
      <c r="BA69" s="219"/>
      <c r="BB69" s="219"/>
    </row>
    <row r="70" spans="1:54" outlineLevel="1" x14ac:dyDescent="0.35">
      <c r="A70" s="6" t="s">
        <v>33</v>
      </c>
      <c r="Z70" s="6">
        <f>'Results - raw data ReCiPe (H)'!CA61</f>
        <v>0.1021911347554563</v>
      </c>
      <c r="AB70" s="219"/>
      <c r="AC70" s="219"/>
      <c r="AD70" s="219"/>
      <c r="AE70" s="219"/>
      <c r="AF70" s="219"/>
      <c r="AG70" s="219"/>
      <c r="AH70" s="219"/>
      <c r="AI70" s="219"/>
      <c r="AJ70" s="219"/>
      <c r="AK70" s="219"/>
      <c r="AL70" s="219"/>
      <c r="AM70" s="219"/>
      <c r="AN70" s="219"/>
      <c r="AO70" s="219"/>
      <c r="AP70" s="219"/>
      <c r="AQ70" s="219"/>
      <c r="AR70" s="219"/>
      <c r="AS70" s="219"/>
      <c r="AT70" s="219"/>
      <c r="AU70" s="219"/>
      <c r="AV70" s="219"/>
      <c r="AW70" s="219"/>
      <c r="AX70" s="219"/>
      <c r="AY70" s="219"/>
      <c r="AZ70" s="219"/>
      <c r="BA70" s="219"/>
      <c r="BB70" s="219"/>
    </row>
    <row r="71" spans="1:54" outlineLevel="1" x14ac:dyDescent="0.35">
      <c r="A71" s="6" t="s">
        <v>35</v>
      </c>
      <c r="Z71" s="6">
        <f>'Results - raw data ReCiPe (H)'!CA62</f>
        <v>0.20438226951091251</v>
      </c>
      <c r="AB71" s="219"/>
      <c r="AC71" s="219"/>
      <c r="AD71" s="219"/>
      <c r="AE71" s="219"/>
      <c r="AF71" s="219"/>
      <c r="AG71" s="219"/>
      <c r="AH71" s="219"/>
      <c r="AI71" s="219"/>
      <c r="AJ71" s="219"/>
      <c r="AK71" s="219"/>
      <c r="AL71" s="219"/>
      <c r="AM71" s="219"/>
      <c r="AN71" s="219"/>
      <c r="AO71" s="219"/>
      <c r="AP71" s="219"/>
      <c r="AQ71" s="219"/>
      <c r="AR71" s="219"/>
      <c r="AS71" s="219"/>
      <c r="AT71" s="219"/>
      <c r="AU71" s="219"/>
      <c r="AV71" s="219"/>
      <c r="AW71" s="219"/>
      <c r="AX71" s="219"/>
      <c r="AY71" s="219"/>
      <c r="AZ71" s="219"/>
      <c r="BA71" s="219"/>
      <c r="BB71" s="219"/>
    </row>
    <row r="72" spans="1:54" outlineLevel="1" x14ac:dyDescent="0.35">
      <c r="A72" s="6" t="s">
        <v>37</v>
      </c>
      <c r="Z72" s="6">
        <f>'Results - raw data ReCiPe (H)'!CA63</f>
        <v>3.0230501723671872</v>
      </c>
      <c r="AB72" s="219"/>
      <c r="AC72" s="219"/>
      <c r="AD72" s="219"/>
      <c r="AE72" s="219"/>
      <c r="AF72" s="219"/>
      <c r="AG72" s="219"/>
      <c r="AH72" s="219"/>
      <c r="AI72" s="219"/>
      <c r="AJ72" s="219"/>
      <c r="AK72" s="219"/>
      <c r="AL72" s="219"/>
      <c r="AM72" s="219"/>
      <c r="AN72" s="219"/>
      <c r="AO72" s="219"/>
      <c r="AP72" s="219"/>
      <c r="AQ72" s="219"/>
      <c r="AR72" s="219"/>
      <c r="AS72" s="219"/>
      <c r="AT72" s="219"/>
      <c r="AU72" s="219"/>
      <c r="AV72" s="219"/>
      <c r="AW72" s="219"/>
      <c r="AX72" s="219"/>
      <c r="AY72" s="219"/>
      <c r="AZ72" s="219"/>
      <c r="BA72" s="219"/>
      <c r="BB72" s="219"/>
    </row>
    <row r="73" spans="1:54" outlineLevel="1" x14ac:dyDescent="0.35">
      <c r="A73" s="6" t="s">
        <v>40</v>
      </c>
      <c r="Z73" s="6">
        <f>'Results - raw data ReCiPe (H)'!CA64</f>
        <v>1.399154055783115</v>
      </c>
    </row>
    <row r="74" spans="1:54" outlineLevel="1" x14ac:dyDescent="0.35">
      <c r="A74" s="6" t="s">
        <v>42</v>
      </c>
      <c r="Z74" s="6">
        <f>'Results - raw data ReCiPe (H)'!CA65</f>
        <v>3.7454886419278992</v>
      </c>
    </row>
    <row r="75" spans="1:54" outlineLevel="1" x14ac:dyDescent="0.35">
      <c r="A75" s="6" t="s">
        <v>115</v>
      </c>
      <c r="Z75" s="6">
        <f>'Results - raw data ReCiPe (H)'!CA66</f>
        <v>29.43867185674495</v>
      </c>
    </row>
    <row r="76" spans="1:54" outlineLevel="1" x14ac:dyDescent="0.35">
      <c r="A76" s="6" t="s">
        <v>45</v>
      </c>
      <c r="Z76" s="6">
        <f>'Results - raw data ReCiPe (H)'!CA67*AC47*AC48</f>
        <v>1.2962860497828945</v>
      </c>
    </row>
    <row r="77" spans="1:54" outlineLevel="1" x14ac:dyDescent="0.35">
      <c r="A77" s="6" t="s">
        <v>116</v>
      </c>
      <c r="B77" s="6">
        <f>'Results - raw data ReCiPe (H)'!BC68</f>
        <v>117.4164153447413</v>
      </c>
      <c r="C77" s="6">
        <f>'Results - raw data ReCiPe (H)'!BD68</f>
        <v>117.22450567272359</v>
      </c>
      <c r="D77" s="6">
        <f>'Results - raw data ReCiPe (H)'!BE68</f>
        <v>117.0302875893984</v>
      </c>
      <c r="E77" s="6">
        <f>'Results - raw data ReCiPe (H)'!BF68</f>
        <v>116.14482404943</v>
      </c>
      <c r="F77" s="6">
        <f>'Results - raw data ReCiPe (H)'!BG68</f>
        <v>115.9485520514929</v>
      </c>
      <c r="G77" s="6">
        <f>'Results - raw data ReCiPe (H)'!BH68</f>
        <v>115.7497578563647</v>
      </c>
      <c r="H77" s="6">
        <f>'Results - raw data ReCiPe (H)'!BI68</f>
        <v>115.85431461269189</v>
      </c>
      <c r="I77" s="6">
        <f>'Results - raw data ReCiPe (H)'!BJ68</f>
        <v>115.9586781641881</v>
      </c>
      <c r="J77" s="6">
        <f>'Results - raw data ReCiPe (H)'!BK68</f>
        <v>115.5987692292539</v>
      </c>
      <c r="K77" s="6">
        <f>'Results - raw data ReCiPe (H)'!BL68</f>
        <v>115.7060268138878</v>
      </c>
      <c r="L77" s="6">
        <f>'Results - raw data ReCiPe (H)'!BM68</f>
        <v>115.8115094107404</v>
      </c>
      <c r="M77" s="6">
        <f>'Results - raw data ReCiPe (H)'!BN68</f>
        <v>115.5173498619511</v>
      </c>
      <c r="N77" s="6">
        <f>'Results - raw data ReCiPe (H)'!BO68</f>
        <v>115.22430296168601</v>
      </c>
      <c r="O77" s="6">
        <f>'Results - raw data ReCiPe (H)'!BP68</f>
        <v>114.7936526068347</v>
      </c>
      <c r="P77" s="6">
        <f>'Results - raw data ReCiPe (H)'!BQ68</f>
        <v>114.5052775721217</v>
      </c>
      <c r="Q77" s="6">
        <f>'Results - raw data ReCiPe (H)'!BR68</f>
        <v>114.21787004973891</v>
      </c>
      <c r="R77" s="6">
        <f>'Results - raw data ReCiPe (H)'!BS68</f>
        <v>113.9841517876385</v>
      </c>
      <c r="S77" s="6">
        <f>'Results - raw data ReCiPe (H)'!BT68</f>
        <v>113.7508966638362</v>
      </c>
      <c r="T77" s="6">
        <f>'Results - raw data ReCiPe (H)'!BU68</f>
        <v>113.3881732416237</v>
      </c>
      <c r="U77" s="6">
        <f>'Results - raw data ReCiPe (H)'!BV68</f>
        <v>113.15789542976781</v>
      </c>
      <c r="V77" s="6">
        <f>'Results - raw data ReCiPe (H)'!BW68</f>
        <v>112.9279936934194</v>
      </c>
      <c r="W77" s="6">
        <f>'Results - raw data ReCiPe (H)'!BX68</f>
        <v>112.8508899058024</v>
      </c>
      <c r="X77" s="6">
        <f>'Results - raw data ReCiPe (H)'!BY68</f>
        <v>112.7745546080785</v>
      </c>
      <c r="Y77" s="6">
        <f>'Results - raw data ReCiPe (H)'!BZ68</f>
        <v>112.6987835438154</v>
      </c>
      <c r="Z77" s="6">
        <f>'Results - raw data ReCiPe (H)'!CA68</f>
        <v>112.6235531268987</v>
      </c>
    </row>
    <row r="78" spans="1:54" outlineLevel="1" x14ac:dyDescent="0.35">
      <c r="A78" s="6" t="s">
        <v>758</v>
      </c>
      <c r="B78" s="6">
        <f>'Results - raw data ReCiPe (H)'!BC69*$AC$47</f>
        <v>190.80831926169219</v>
      </c>
      <c r="C78" s="6">
        <f>'Results - raw data ReCiPe (H)'!BD69*$AC$47</f>
        <v>189.05559074903729</v>
      </c>
      <c r="D78" s="6">
        <f>'Results - raw data ReCiPe (H)'!BE69*$AC$47</f>
        <v>187.3092236952279</v>
      </c>
      <c r="E78" s="6">
        <f>'Results - raw data ReCiPe (H)'!BF69*$AC$47</f>
        <v>185.16993614052569</v>
      </c>
      <c r="F78" s="6">
        <f>'Results - raw data ReCiPe (H)'!BG69*$AC$47</f>
        <v>183.4380456107173</v>
      </c>
      <c r="G78" s="6">
        <f>'Results - raw data ReCiPe (H)'!BH69*$AC$47</f>
        <v>181.71214162802769</v>
      </c>
      <c r="H78" s="6">
        <f>'Results - raw data ReCiPe (H)'!BI69*$AC$47</f>
        <v>181.17559912768741</v>
      </c>
      <c r="I78" s="6">
        <f>'Results - raw data ReCiPe (H)'!BJ69*$AC$47</f>
        <v>180.63019576564861</v>
      </c>
      <c r="J78" s="6">
        <f>'Results - raw data ReCiPe (H)'!BK69*$AC$47</f>
        <v>179.73481702796158</v>
      </c>
      <c r="K78" s="6">
        <f>'Results - raw data ReCiPe (H)'!BL69*$AC$47</f>
        <v>179.1588306038729</v>
      </c>
      <c r="L78" s="6">
        <f>'Results - raw data ReCiPe (H)'!BM69*$AC$47</f>
        <v>178.56890291118251</v>
      </c>
      <c r="M78" s="6">
        <f>'Results - raw data ReCiPe (H)'!BN69*$AC$47</f>
        <v>177.4089420359019</v>
      </c>
      <c r="N78" s="6">
        <f>'Results - raw data ReCiPe (H)'!BO69*$AC$47</f>
        <v>176.22960903326171</v>
      </c>
      <c r="O78" s="6">
        <f>'Results - raw data ReCiPe (H)'!BP69*$AC$47</f>
        <v>174.9496902502498</v>
      </c>
      <c r="P78" s="6">
        <f>'Results - raw data ReCiPe (H)'!BQ69*$AC$47</f>
        <v>173.73281654623028</v>
      </c>
      <c r="Q78" s="6">
        <f>'Results - raw data ReCiPe (H)'!BR69*$AC$47</f>
        <v>172.4968265332175</v>
      </c>
      <c r="R78" s="6">
        <f>'Results - raw data ReCiPe (H)'!BS69*$AC$47</f>
        <v>173.75058357926031</v>
      </c>
      <c r="S78" s="6">
        <f>'Results - raw data ReCiPe (H)'!BT69*$AC$47</f>
        <v>174.99066308481841</v>
      </c>
      <c r="T78" s="6">
        <f>'Results - raw data ReCiPe (H)'!BU69*$AC$47</f>
        <v>176.13761272032221</v>
      </c>
      <c r="U78" s="6">
        <f>'Results - raw data ReCiPe (H)'!BV69*$AC$47</f>
        <v>177.3507746092007</v>
      </c>
      <c r="V78" s="6">
        <f>'Results - raw data ReCiPe (H)'!BW69*$AC$47</f>
        <v>178.55047238069631</v>
      </c>
      <c r="W78" s="6">
        <f>'Results - raw data ReCiPe (H)'!BX69*$AC$47</f>
        <v>176.68801572539721</v>
      </c>
      <c r="X78" s="6">
        <f>'Results - raw data ReCiPe (H)'!BY69*$AC$47</f>
        <v>174.8344594576121</v>
      </c>
      <c r="Y78" s="6">
        <f>'Results - raw data ReCiPe (H)'!BZ69*$AC$47</f>
        <v>172.97929612138142</v>
      </c>
      <c r="Z78" s="6">
        <f>'Results - raw data ReCiPe (H)'!CA69*$AC$47</f>
        <v>171.1222224813973</v>
      </c>
    </row>
    <row r="79" spans="1:54" outlineLevel="1" x14ac:dyDescent="0.35">
      <c r="A79" s="6" t="s">
        <v>759</v>
      </c>
      <c r="B79" s="6">
        <f>'Results - raw data ReCiPe (H)'!BC70</f>
        <v>0</v>
      </c>
      <c r="C79" s="6">
        <f>'Results - raw data ReCiPe (H)'!BD70</f>
        <v>0</v>
      </c>
      <c r="D79" s="6">
        <f>'Results - raw data ReCiPe (H)'!BE70</f>
        <v>0</v>
      </c>
      <c r="E79" s="6">
        <f>'Results - raw data ReCiPe (H)'!BF70</f>
        <v>0</v>
      </c>
      <c r="F79" s="6">
        <f>'Results - raw data ReCiPe (H)'!BG70</f>
        <v>0</v>
      </c>
      <c r="G79" s="6">
        <f>'Results - raw data ReCiPe (H)'!BH70</f>
        <v>0</v>
      </c>
      <c r="H79" s="6">
        <f>'Results - raw data ReCiPe (H)'!BI70</f>
        <v>0</v>
      </c>
      <c r="I79" s="6">
        <f>'Results - raw data ReCiPe (H)'!BJ70</f>
        <v>0</v>
      </c>
      <c r="J79" s="6">
        <f>'Results - raw data ReCiPe (H)'!BK70</f>
        <v>0</v>
      </c>
      <c r="K79" s="6">
        <f>'Results - raw data ReCiPe (H)'!BL70</f>
        <v>0</v>
      </c>
      <c r="L79" s="6">
        <f>'Results - raw data ReCiPe (H)'!BM70</f>
        <v>0</v>
      </c>
      <c r="M79" s="6">
        <f>'Results - raw data ReCiPe (H)'!BN70</f>
        <v>0</v>
      </c>
      <c r="N79" s="6">
        <f>'Results - raw data ReCiPe (H)'!BO70</f>
        <v>0</v>
      </c>
      <c r="O79" s="6">
        <f>'Results - raw data ReCiPe (H)'!BP70</f>
        <v>0</v>
      </c>
      <c r="P79" s="6">
        <f>'Results - raw data ReCiPe (H)'!BQ70</f>
        <v>0</v>
      </c>
      <c r="Q79" s="6">
        <f>'Results - raw data ReCiPe (H)'!BR70</f>
        <v>0</v>
      </c>
      <c r="R79" s="6">
        <f>'Results - raw data ReCiPe (H)'!BS70</f>
        <v>0</v>
      </c>
      <c r="S79" s="6">
        <f>'Results - raw data ReCiPe (H)'!BT70</f>
        <v>0</v>
      </c>
      <c r="T79" s="6">
        <f>'Results - raw data ReCiPe (H)'!BU70</f>
        <v>0</v>
      </c>
      <c r="U79" s="6">
        <f>'Results - raw data ReCiPe (H)'!BV70</f>
        <v>0</v>
      </c>
      <c r="V79" s="6">
        <f>'Results - raw data ReCiPe (H)'!BW70</f>
        <v>0</v>
      </c>
      <c r="W79" s="6">
        <f>'Results - raw data ReCiPe (H)'!BX70</f>
        <v>0</v>
      </c>
      <c r="X79" s="6">
        <f>'Results - raw data ReCiPe (H)'!BY70</f>
        <v>0</v>
      </c>
      <c r="Y79" s="6">
        <f>'Results - raw data ReCiPe (H)'!BZ70</f>
        <v>0</v>
      </c>
      <c r="Z79" s="6">
        <f>'Results - raw data ReCiPe (H)'!CA70</f>
        <v>0</v>
      </c>
    </row>
    <row r="80" spans="1:54" outlineLevel="1" x14ac:dyDescent="0.35">
      <c r="A80" s="6" t="s">
        <v>760</v>
      </c>
      <c r="B80" s="6">
        <f>'Results - raw data ReCiPe (H)'!BC71</f>
        <v>2397.063593199709</v>
      </c>
      <c r="C80" s="6">
        <f>'Results - raw data ReCiPe (H)'!BD71</f>
        <v>2379.6134774011311</v>
      </c>
      <c r="D80" s="6">
        <f>'Results - raw data ReCiPe (H)'!BE71</f>
        <v>2362.188629716703</v>
      </c>
      <c r="E80" s="6">
        <f>'Results - raw data ReCiPe (H)'!BF71</f>
        <v>2340.3044915874762</v>
      </c>
      <c r="F80" s="6">
        <f>'Results - raw data ReCiPe (H)'!BG71</f>
        <v>2322.9440845460231</v>
      </c>
      <c r="G80" s="6">
        <f>'Results - raw data ReCiPe (H)'!BH71</f>
        <v>2305.605553690335</v>
      </c>
      <c r="H80" s="6">
        <f>'Results - raw data ReCiPe (H)'!BI71</f>
        <v>2300.808644434393</v>
      </c>
      <c r="I80" s="6">
        <f>'Results - raw data ReCiPe (H)'!BJ71</f>
        <v>2295.8854356329139</v>
      </c>
      <c r="J80" s="6">
        <f>'Results - raw data ReCiPe (H)'!BK71</f>
        <v>2286.8703410958919</v>
      </c>
      <c r="K80" s="6">
        <f>'Results - raw data ReCiPe (H)'!BL71</f>
        <v>2281.515543203242</v>
      </c>
      <c r="L80" s="6">
        <f>'Results - raw data ReCiPe (H)'!BM71</f>
        <v>2275.968512933965</v>
      </c>
      <c r="M80" s="6">
        <f>'Results - raw data ReCiPe (H)'!BN71</f>
        <v>2261.0406552066361</v>
      </c>
      <c r="N80" s="6">
        <f>'Results - raw data ReCiPe (H)'!BO71</f>
        <v>2245.842790154612</v>
      </c>
      <c r="O80" s="6">
        <f>'Results - raw data ReCiPe (H)'!BP71</f>
        <v>2229.4525728716731</v>
      </c>
      <c r="P80" s="6">
        <f>'Results - raw data ReCiPe (H)'!BQ71</f>
        <v>2213.7291686234798</v>
      </c>
      <c r="Q80" s="6">
        <f>'Results - raw data ReCiPe (H)'!BR71</f>
        <v>2197.7407664790348</v>
      </c>
      <c r="R80" s="6">
        <f>'Results - raw data ReCiPe (H)'!BS71</f>
        <v>2211.2953173476822</v>
      </c>
      <c r="S80" s="6">
        <f>'Results - raw data ReCiPe (H)'!BT71</f>
        <v>2224.5851349859472</v>
      </c>
      <c r="T80" s="6">
        <f>'Results - raw data ReCiPe (H)'!BU71</f>
        <v>2236.7044559808719</v>
      </c>
      <c r="U80" s="6">
        <f>'Results - raw data ReCiPe (H)'!BV71</f>
        <v>2249.4766981934999</v>
      </c>
      <c r="V80" s="6">
        <f>'Results - raw data ReCiPe (H)'!BW71</f>
        <v>2261.9944338859809</v>
      </c>
      <c r="W80" s="6">
        <f>'Results - raw data ReCiPe (H)'!BX71</f>
        <v>2240.5891057678832</v>
      </c>
      <c r="X80" s="6">
        <f>'Results - raw data ReCiPe (H)'!BY71</f>
        <v>2219.186363062181</v>
      </c>
      <c r="Y80" s="6">
        <f>'Results - raw data ReCiPe (H)'!BZ71</f>
        <v>2197.694707669616</v>
      </c>
      <c r="Z80" s="6">
        <f>'Results - raw data ReCiPe (H)'!CA71</f>
        <v>2176.1108391783118</v>
      </c>
    </row>
    <row r="81" spans="1:53" outlineLevel="1" x14ac:dyDescent="0.35">
      <c r="A81" s="23" t="s">
        <v>125</v>
      </c>
      <c r="B81" s="17">
        <f t="shared" ref="B81:Z81" si="9">SUM(B50:B80)</f>
        <v>5809.7848079807154</v>
      </c>
      <c r="C81" s="17">
        <f t="shared" si="9"/>
        <v>2685.893573822892</v>
      </c>
      <c r="D81" s="17">
        <f t="shared" si="9"/>
        <v>2666.5281410013295</v>
      </c>
      <c r="E81" s="17">
        <f t="shared" si="9"/>
        <v>2641.6192517774316</v>
      </c>
      <c r="F81" s="17">
        <f t="shared" si="9"/>
        <v>2622.3306822082332</v>
      </c>
      <c r="G81" s="17">
        <f t="shared" si="9"/>
        <v>2603.0674531747272</v>
      </c>
      <c r="H81" s="17">
        <f t="shared" si="9"/>
        <v>2597.8385581747725</v>
      </c>
      <c r="I81" s="17">
        <f t="shared" si="9"/>
        <v>2592.4743095627505</v>
      </c>
      <c r="J81" s="17">
        <f t="shared" si="9"/>
        <v>2582.2039273531072</v>
      </c>
      <c r="K81" s="17">
        <f t="shared" si="9"/>
        <v>2576.380400621003</v>
      </c>
      <c r="L81" s="17">
        <f t="shared" si="9"/>
        <v>2570.3489252558879</v>
      </c>
      <c r="M81" s="17">
        <f t="shared" si="9"/>
        <v>2553.966947104489</v>
      </c>
      <c r="N81" s="17">
        <f t="shared" si="9"/>
        <v>2537.2967021495597</v>
      </c>
      <c r="O81" s="17">
        <f t="shared" si="9"/>
        <v>2519.1959157287574</v>
      </c>
      <c r="P81" s="17">
        <f t="shared" si="9"/>
        <v>2501.9672627418317</v>
      </c>
      <c r="Q81" s="17">
        <f t="shared" si="9"/>
        <v>2484.4554630619914</v>
      </c>
      <c r="R81" s="17">
        <f t="shared" si="9"/>
        <v>2499.030052714581</v>
      </c>
      <c r="S81" s="17">
        <f t="shared" si="9"/>
        <v>2513.3266947346019</v>
      </c>
      <c r="T81" s="17">
        <f t="shared" si="9"/>
        <v>2526.2302419428179</v>
      </c>
      <c r="U81" s="17">
        <f t="shared" si="9"/>
        <v>2539.9853682324683</v>
      </c>
      <c r="V81" s="17">
        <f t="shared" si="9"/>
        <v>2553.4728999600966</v>
      </c>
      <c r="W81" s="17">
        <f t="shared" si="9"/>
        <v>2530.1280113990829</v>
      </c>
      <c r="X81" s="17">
        <f t="shared" si="9"/>
        <v>2506.7953771278717</v>
      </c>
      <c r="Y81" s="17">
        <f t="shared" si="9"/>
        <v>2483.372787334813</v>
      </c>
      <c r="Z81" s="17">
        <f t="shared" si="9"/>
        <v>2502.9470265292002</v>
      </c>
    </row>
    <row r="82" spans="1:53" outlineLevel="1" x14ac:dyDescent="0.35"/>
    <row r="83" spans="1:53" s="18" customFormat="1" ht="21" x14ac:dyDescent="0.5">
      <c r="A83" s="18" t="s">
        <v>94</v>
      </c>
    </row>
    <row r="84" spans="1:53" s="20" customFormat="1" outlineLevel="1" x14ac:dyDescent="0.35">
      <c r="A84" s="19" t="s">
        <v>767</v>
      </c>
    </row>
    <row r="85" spans="1:53" s="16" customFormat="1" outlineLevel="1" x14ac:dyDescent="0.35">
      <c r="A85" s="21"/>
      <c r="AE85" s="15"/>
    </row>
    <row r="86" spans="1:53" s="16" customFormat="1" outlineLevel="1" x14ac:dyDescent="0.35">
      <c r="A86" s="22" t="s">
        <v>761</v>
      </c>
    </row>
    <row r="87" spans="1:53" s="16" customFormat="1" outlineLevel="1" x14ac:dyDescent="0.35">
      <c r="A87" s="22"/>
      <c r="AB87" s="16" t="s">
        <v>127</v>
      </c>
      <c r="AC87" s="16">
        <v>100</v>
      </c>
      <c r="AD87" s="16" t="s">
        <v>128</v>
      </c>
    </row>
    <row r="88" spans="1:53" s="16" customFormat="1" outlineLevel="1" x14ac:dyDescent="0.35">
      <c r="A88" s="22"/>
      <c r="AB88" s="16" t="s">
        <v>129</v>
      </c>
      <c r="AC88" s="16">
        <v>25</v>
      </c>
      <c r="AD88" s="16" t="s">
        <v>130</v>
      </c>
    </row>
    <row r="89" spans="1:53" outlineLevel="1" x14ac:dyDescent="0.35">
      <c r="B89" s="25">
        <v>2030</v>
      </c>
      <c r="C89" s="25">
        <v>2031</v>
      </c>
      <c r="D89" s="25">
        <v>2032</v>
      </c>
      <c r="E89" s="25">
        <v>2033</v>
      </c>
      <c r="F89" s="25">
        <v>2034</v>
      </c>
      <c r="G89" s="25">
        <v>2035</v>
      </c>
      <c r="H89" s="25">
        <v>2036</v>
      </c>
      <c r="I89" s="25">
        <v>2037</v>
      </c>
      <c r="J89" s="25">
        <v>2038</v>
      </c>
      <c r="K89" s="25">
        <v>2039</v>
      </c>
      <c r="L89" s="25">
        <v>2040</v>
      </c>
      <c r="M89" s="25">
        <v>2041</v>
      </c>
      <c r="N89" s="25">
        <v>2042</v>
      </c>
      <c r="O89" s="25">
        <v>2043</v>
      </c>
      <c r="P89" s="25">
        <v>2044</v>
      </c>
      <c r="Q89" s="25">
        <v>2045</v>
      </c>
      <c r="R89" s="25">
        <v>2046</v>
      </c>
      <c r="S89" s="25">
        <v>2047</v>
      </c>
      <c r="T89" s="25">
        <v>2048</v>
      </c>
      <c r="U89" s="25">
        <v>2049</v>
      </c>
      <c r="V89" s="25">
        <v>2050</v>
      </c>
      <c r="W89" s="25">
        <v>2051</v>
      </c>
      <c r="X89" s="25">
        <v>2052</v>
      </c>
      <c r="Y89" s="25">
        <v>2053</v>
      </c>
      <c r="Z89" s="25">
        <v>2054</v>
      </c>
      <c r="AC89" s="25">
        <v>2030</v>
      </c>
      <c r="AD89" s="25">
        <v>2031</v>
      </c>
      <c r="AE89" s="25">
        <v>2032</v>
      </c>
      <c r="AF89" s="25">
        <v>2033</v>
      </c>
      <c r="AG89" s="25">
        <v>2034</v>
      </c>
      <c r="AH89" s="25">
        <v>2035</v>
      </c>
      <c r="AI89" s="25">
        <v>2036</v>
      </c>
      <c r="AJ89" s="25">
        <v>2037</v>
      </c>
      <c r="AK89" s="25">
        <v>2038</v>
      </c>
      <c r="AL89" s="25">
        <v>2039</v>
      </c>
      <c r="AM89" s="25">
        <v>2040</v>
      </c>
      <c r="AN89" s="25">
        <v>2041</v>
      </c>
      <c r="AO89" s="25">
        <v>2042</v>
      </c>
      <c r="AP89" s="25">
        <v>2043</v>
      </c>
      <c r="AQ89" s="25">
        <v>2044</v>
      </c>
      <c r="AR89" s="25">
        <v>2045</v>
      </c>
      <c r="AS89" s="25">
        <v>2046</v>
      </c>
      <c r="AT89" s="25">
        <v>2047</v>
      </c>
      <c r="AU89" s="25">
        <v>2048</v>
      </c>
      <c r="AV89" s="25">
        <v>2049</v>
      </c>
      <c r="AW89" s="25">
        <v>2050</v>
      </c>
      <c r="AX89" s="25">
        <v>2051</v>
      </c>
      <c r="AY89" s="25">
        <v>2052</v>
      </c>
      <c r="AZ89" s="25">
        <v>2053</v>
      </c>
      <c r="BA89" s="25">
        <v>2054</v>
      </c>
    </row>
    <row r="90" spans="1:53" outlineLevel="1" x14ac:dyDescent="0.35">
      <c r="A90" s="6" t="s">
        <v>21</v>
      </c>
      <c r="B90" s="6">
        <f>'Results - raw data ReCiPe (H)'!BC77</f>
        <v>71.38267553879804</v>
      </c>
      <c r="AB90" s="6" t="s">
        <v>117</v>
      </c>
      <c r="AC90" s="6">
        <f>SUM(B90:B101)+B103</f>
        <v>2681.9296561792253</v>
      </c>
    </row>
    <row r="91" spans="1:53" outlineLevel="1" x14ac:dyDescent="0.35">
      <c r="A91" s="6" t="s">
        <v>23</v>
      </c>
      <c r="B91" s="6">
        <f>'Results - raw data ReCiPe (H)'!BC78</f>
        <v>309.39379081190958</v>
      </c>
      <c r="AB91" s="6" t="s">
        <v>118</v>
      </c>
      <c r="AC91" s="6">
        <f>B102</f>
        <v>258.88808240632699</v>
      </c>
    </row>
    <row r="92" spans="1:53" outlineLevel="1" x14ac:dyDescent="0.35">
      <c r="A92" s="6" t="s">
        <v>26</v>
      </c>
      <c r="B92" s="6">
        <f>'Results - raw data ReCiPe (H)'!BC79</f>
        <v>304.2681794288975</v>
      </c>
      <c r="AB92" s="6" t="s">
        <v>119</v>
      </c>
      <c r="BA92" s="6">
        <f>SUM(Z104:Z115)</f>
        <v>38.789621318581062</v>
      </c>
    </row>
    <row r="93" spans="1:53" outlineLevel="1" x14ac:dyDescent="0.35">
      <c r="A93" s="6" t="s">
        <v>28</v>
      </c>
      <c r="B93" s="6">
        <f>'Results - raw data ReCiPe (H)'!BC80</f>
        <v>232.33757803762921</v>
      </c>
      <c r="AB93" s="6" t="s">
        <v>120</v>
      </c>
      <c r="BA93" s="6">
        <f>Z116</f>
        <v>1.2288061080708204</v>
      </c>
    </row>
    <row r="94" spans="1:53" outlineLevel="1" x14ac:dyDescent="0.35">
      <c r="A94" s="6" t="s">
        <v>29</v>
      </c>
      <c r="B94" s="6">
        <f>'Results - raw data ReCiPe (H)'!BC81</f>
        <v>112.28629490364889</v>
      </c>
      <c r="AB94" s="6" t="s">
        <v>121</v>
      </c>
      <c r="AC94" s="6">
        <f>B117</f>
        <v>114.06781731957111</v>
      </c>
      <c r="AF94" s="6">
        <f>E117</f>
        <v>112.3911675049322</v>
      </c>
      <c r="AI94" s="6">
        <f>H117</f>
        <v>112.2010947204887</v>
      </c>
      <c r="AL94" s="6">
        <f>K117</f>
        <v>113.21958271568749</v>
      </c>
      <c r="AO94" s="6">
        <f>N117</f>
        <v>113.61473943331841</v>
      </c>
      <c r="AR94" s="6">
        <f>Q117</f>
        <v>113.3787859326078</v>
      </c>
      <c r="AU94" s="6">
        <f>T117</f>
        <v>112.2791950057142</v>
      </c>
      <c r="AX94" s="6">
        <f>W117</f>
        <v>111.5739444092645</v>
      </c>
      <c r="BA94" s="6">
        <f>Z117</f>
        <v>111.3824079888096</v>
      </c>
    </row>
    <row r="95" spans="1:53" outlineLevel="1" x14ac:dyDescent="0.35">
      <c r="A95" s="6" t="s">
        <v>31</v>
      </c>
      <c r="B95" s="6">
        <f>'Results - raw data ReCiPe (H)'!BC82</f>
        <v>81.434527823734626</v>
      </c>
      <c r="AB95" s="6" t="s">
        <v>122</v>
      </c>
      <c r="AC95" s="6">
        <f>B120+B119</f>
        <v>1455.687748477927</v>
      </c>
      <c r="AD95" s="6">
        <f t="shared" ref="AD95:BA95" si="10">C120+C119</f>
        <v>1339.645737547816</v>
      </c>
      <c r="AE95" s="6">
        <f t="shared" si="10"/>
        <v>1222.675011660074</v>
      </c>
      <c r="AF95" s="6">
        <f t="shared" si="10"/>
        <v>1099.534974399809</v>
      </c>
      <c r="AG95" s="6">
        <f t="shared" si="10"/>
        <v>980.47081032114079</v>
      </c>
      <c r="AH95" s="6">
        <f t="shared" si="10"/>
        <v>860.4793665866838</v>
      </c>
      <c r="AI95" s="6">
        <f t="shared" si="10"/>
        <v>1005.289588531566</v>
      </c>
      <c r="AJ95" s="6">
        <f t="shared" si="10"/>
        <v>1149.7418175598309</v>
      </c>
      <c r="AK95" s="6">
        <f t="shared" si="10"/>
        <v>1288.456695966383</v>
      </c>
      <c r="AL95" s="6">
        <f t="shared" si="10"/>
        <v>1431.999072853238</v>
      </c>
      <c r="AM95" s="6">
        <f t="shared" si="10"/>
        <v>1575.21075673582</v>
      </c>
      <c r="AN95" s="6">
        <f t="shared" si="10"/>
        <v>1753.703160579762</v>
      </c>
      <c r="AO95" s="6">
        <f t="shared" si="10"/>
        <v>1931.6196135305711</v>
      </c>
      <c r="AP95" s="6">
        <f t="shared" si="10"/>
        <v>2107.76787666581</v>
      </c>
      <c r="AQ95" s="6">
        <f t="shared" si="10"/>
        <v>2284.5657414806878</v>
      </c>
      <c r="AR95" s="6">
        <f t="shared" si="10"/>
        <v>2460.785537350293</v>
      </c>
      <c r="AS95" s="6">
        <f t="shared" si="10"/>
        <v>2396.8942909969978</v>
      </c>
      <c r="AT95" s="6">
        <f t="shared" si="10"/>
        <v>2333.3347117691819</v>
      </c>
      <c r="AU95" s="6">
        <f t="shared" si="10"/>
        <v>2269.02736425892</v>
      </c>
      <c r="AV95" s="6">
        <f t="shared" si="10"/>
        <v>2206.1493943655678</v>
      </c>
      <c r="AW95" s="6">
        <f t="shared" si="10"/>
        <v>2143.5839547228379</v>
      </c>
      <c r="AX95" s="6">
        <f t="shared" si="10"/>
        <v>2144.336140023961</v>
      </c>
      <c r="AY95" s="6">
        <f t="shared" si="10"/>
        <v>2145.1607906176441</v>
      </c>
      <c r="AZ95" s="6">
        <f t="shared" si="10"/>
        <v>2145.969509880611</v>
      </c>
      <c r="BA95" s="6">
        <f t="shared" si="10"/>
        <v>2146.7604743306729</v>
      </c>
    </row>
    <row r="96" spans="1:53" outlineLevel="1" x14ac:dyDescent="0.35">
      <c r="A96" s="6" t="s">
        <v>34</v>
      </c>
      <c r="B96" s="6">
        <f>'Results - raw data ReCiPe (H)'!BC83</f>
        <v>53.72069534285378</v>
      </c>
      <c r="AB96" s="6" t="s">
        <v>123</v>
      </c>
      <c r="AC96" s="6">
        <f t="shared" ref="AC96:BA96" si="11">B118</f>
        <v>118.7649636998278</v>
      </c>
      <c r="AD96" s="6">
        <f t="shared" si="11"/>
        <v>109.5932384447962</v>
      </c>
      <c r="AE96" s="6">
        <f t="shared" si="11"/>
        <v>100.41460012870719</v>
      </c>
      <c r="AF96" s="6">
        <f t="shared" si="11"/>
        <v>90.777455527861918</v>
      </c>
      <c r="AG96" s="6">
        <f t="shared" si="11"/>
        <v>81.570934765721915</v>
      </c>
      <c r="AH96" s="6">
        <f t="shared" si="11"/>
        <v>72.359798079795141</v>
      </c>
      <c r="AI96" s="6">
        <f t="shared" si="11"/>
        <v>83.090067110340485</v>
      </c>
      <c r="AJ96" s="6">
        <f t="shared" si="11"/>
        <v>93.746280998158767</v>
      </c>
      <c r="AK96" s="6">
        <f t="shared" si="11"/>
        <v>103.88763060054831</v>
      </c>
      <c r="AL96" s="6">
        <f t="shared" si="11"/>
        <v>114.38321113321291</v>
      </c>
      <c r="AM96" s="6">
        <f t="shared" si="11"/>
        <v>124.8073148894706</v>
      </c>
      <c r="AN96" s="6">
        <f t="shared" si="11"/>
        <v>138.0260259358314</v>
      </c>
      <c r="AO96" s="6">
        <f t="shared" si="11"/>
        <v>151.2246892594209</v>
      </c>
      <c r="AP96" s="6">
        <f t="shared" si="11"/>
        <v>164.30326053808798</v>
      </c>
      <c r="AQ96" s="6">
        <f t="shared" si="11"/>
        <v>177.4640980001044</v>
      </c>
      <c r="AR96" s="6">
        <f t="shared" si="11"/>
        <v>190.60431325869141</v>
      </c>
      <c r="AS96" s="6">
        <f t="shared" si="11"/>
        <v>186.55163632819099</v>
      </c>
      <c r="AT96" s="6">
        <f t="shared" si="11"/>
        <v>182.4817186104238</v>
      </c>
      <c r="AU96" s="6">
        <f t="shared" si="11"/>
        <v>178.30313445153249</v>
      </c>
      <c r="AV96" s="6">
        <f t="shared" si="11"/>
        <v>174.20067305803809</v>
      </c>
      <c r="AW96" s="6">
        <f t="shared" si="11"/>
        <v>170.08012725792042</v>
      </c>
      <c r="AX96" s="6">
        <f t="shared" si="11"/>
        <v>169.9149619203435</v>
      </c>
      <c r="AY96" s="6">
        <f t="shared" si="11"/>
        <v>169.75846340264729</v>
      </c>
      <c r="AZ96" s="6">
        <f t="shared" si="11"/>
        <v>169.60054526307579</v>
      </c>
      <c r="BA96" s="6">
        <f t="shared" si="11"/>
        <v>169.44099770029101</v>
      </c>
    </row>
    <row r="97" spans="1:53" outlineLevel="1" x14ac:dyDescent="0.35">
      <c r="A97" s="6" t="s">
        <v>36</v>
      </c>
      <c r="B97" s="6">
        <f>'Results - raw data ReCiPe (H)'!BC84</f>
        <v>56.4741510532414</v>
      </c>
      <c r="AB97" s="6" t="s">
        <v>124</v>
      </c>
      <c r="AC97" s="6">
        <f>-$AC$7*$AC$6</f>
        <v>0</v>
      </c>
      <c r="AD97" s="6">
        <f t="shared" ref="AD97:BA97" si="12">-$AC$7*$AC$6</f>
        <v>0</v>
      </c>
      <c r="AE97" s="6">
        <f t="shared" si="12"/>
        <v>0</v>
      </c>
      <c r="AF97" s="6">
        <f t="shared" si="12"/>
        <v>0</v>
      </c>
      <c r="AG97" s="6">
        <f t="shared" si="12"/>
        <v>0</v>
      </c>
      <c r="AH97" s="6">
        <f t="shared" si="12"/>
        <v>0</v>
      </c>
      <c r="AI97" s="6">
        <f t="shared" si="12"/>
        <v>0</v>
      </c>
      <c r="AJ97" s="6">
        <f t="shared" si="12"/>
        <v>0</v>
      </c>
      <c r="AK97" s="6">
        <f t="shared" si="12"/>
        <v>0</v>
      </c>
      <c r="AL97" s="6">
        <f t="shared" si="12"/>
        <v>0</v>
      </c>
      <c r="AM97" s="6">
        <f t="shared" si="12"/>
        <v>0</v>
      </c>
      <c r="AN97" s="6">
        <f t="shared" si="12"/>
        <v>0</v>
      </c>
      <c r="AO97" s="6">
        <f t="shared" si="12"/>
        <v>0</v>
      </c>
      <c r="AP97" s="6">
        <f t="shared" si="12"/>
        <v>0</v>
      </c>
      <c r="AQ97" s="6">
        <f t="shared" si="12"/>
        <v>0</v>
      </c>
      <c r="AR97" s="6">
        <f t="shared" si="12"/>
        <v>0</v>
      </c>
      <c r="AS97" s="6">
        <f t="shared" si="12"/>
        <v>0</v>
      </c>
      <c r="AT97" s="6">
        <f t="shared" si="12"/>
        <v>0</v>
      </c>
      <c r="AU97" s="6">
        <f t="shared" si="12"/>
        <v>0</v>
      </c>
      <c r="AV97" s="6">
        <f t="shared" si="12"/>
        <v>0</v>
      </c>
      <c r="AW97" s="6">
        <f t="shared" si="12"/>
        <v>0</v>
      </c>
      <c r="AX97" s="6">
        <f t="shared" si="12"/>
        <v>0</v>
      </c>
      <c r="AY97" s="6">
        <f t="shared" si="12"/>
        <v>0</v>
      </c>
      <c r="AZ97" s="6">
        <f t="shared" si="12"/>
        <v>0</v>
      </c>
      <c r="BA97" s="6">
        <f t="shared" si="12"/>
        <v>0</v>
      </c>
    </row>
    <row r="98" spans="1:53" outlineLevel="1" x14ac:dyDescent="0.35">
      <c r="A98" s="6" t="s">
        <v>38</v>
      </c>
      <c r="B98" s="6">
        <f>'Results - raw data ReCiPe (H)'!BC85</f>
        <v>632.20465263923336</v>
      </c>
      <c r="AB98" s="23" t="s">
        <v>125</v>
      </c>
      <c r="AC98" s="17">
        <f t="shared" ref="AC98:BA98" si="13">SUM(AC90:AC97)</f>
        <v>4629.3382680828781</v>
      </c>
      <c r="AD98" s="17">
        <f t="shared" si="13"/>
        <v>1449.2389759926123</v>
      </c>
      <c r="AE98" s="17">
        <f t="shared" si="13"/>
        <v>1323.0896117887812</v>
      </c>
      <c r="AF98" s="17">
        <f t="shared" si="13"/>
        <v>1302.7035974326031</v>
      </c>
      <c r="AG98" s="17">
        <f t="shared" si="13"/>
        <v>1062.0417450868626</v>
      </c>
      <c r="AH98" s="17">
        <f t="shared" si="13"/>
        <v>932.83916466647895</v>
      </c>
      <c r="AI98" s="17">
        <f t="shared" si="13"/>
        <v>1200.5807503623951</v>
      </c>
      <c r="AJ98" s="17">
        <f t="shared" si="13"/>
        <v>1243.4880985579896</v>
      </c>
      <c r="AK98" s="17">
        <f t="shared" si="13"/>
        <v>1392.3443265669314</v>
      </c>
      <c r="AL98" s="17">
        <f t="shared" si="13"/>
        <v>1659.6018667021383</v>
      </c>
      <c r="AM98" s="17">
        <f t="shared" si="13"/>
        <v>1700.0180716252908</v>
      </c>
      <c r="AN98" s="17">
        <f t="shared" si="13"/>
        <v>1891.7291865155935</v>
      </c>
      <c r="AO98" s="17">
        <f t="shared" si="13"/>
        <v>2196.4590422233105</v>
      </c>
      <c r="AP98" s="17">
        <f t="shared" si="13"/>
        <v>2272.0711372038982</v>
      </c>
      <c r="AQ98" s="17">
        <f t="shared" si="13"/>
        <v>2462.0298394807924</v>
      </c>
      <c r="AR98" s="17">
        <f t="shared" si="13"/>
        <v>2764.7686365415925</v>
      </c>
      <c r="AS98" s="17">
        <f t="shared" si="13"/>
        <v>2583.4459273251887</v>
      </c>
      <c r="AT98" s="17">
        <f t="shared" si="13"/>
        <v>2515.8164303796057</v>
      </c>
      <c r="AU98" s="17">
        <f t="shared" si="13"/>
        <v>2559.6096937161669</v>
      </c>
      <c r="AV98" s="17">
        <f t="shared" si="13"/>
        <v>2380.3500674236057</v>
      </c>
      <c r="AW98" s="17">
        <f t="shared" si="13"/>
        <v>2313.6640819807585</v>
      </c>
      <c r="AX98" s="17">
        <f t="shared" si="13"/>
        <v>2425.8250463535692</v>
      </c>
      <c r="AY98" s="17">
        <f t="shared" si="13"/>
        <v>2314.9192540202912</v>
      </c>
      <c r="AZ98" s="17">
        <f t="shared" si="13"/>
        <v>2315.5700551436867</v>
      </c>
      <c r="BA98" s="17">
        <f t="shared" si="13"/>
        <v>2467.6023074464256</v>
      </c>
    </row>
    <row r="99" spans="1:53" outlineLevel="1" x14ac:dyDescent="0.35">
      <c r="A99" s="6" t="s">
        <v>39</v>
      </c>
      <c r="B99" s="6">
        <f>'Results - raw data ReCiPe (H)'!BC86</f>
        <v>613.14460127904488</v>
      </c>
    </row>
    <row r="100" spans="1:53" outlineLevel="1" x14ac:dyDescent="0.35">
      <c r="A100" s="6" t="s">
        <v>41</v>
      </c>
      <c r="B100" s="6">
        <f>'Results - raw data ReCiPe (H)'!BC87</f>
        <v>53.80292885804797</v>
      </c>
      <c r="AB100" s="219"/>
      <c r="AC100" s="219"/>
      <c r="AD100" s="219"/>
      <c r="AE100" s="219"/>
      <c r="AF100" s="219"/>
      <c r="AG100" s="219"/>
      <c r="AH100" s="219"/>
      <c r="AI100" s="219"/>
      <c r="AJ100" s="219"/>
      <c r="AK100" s="219"/>
      <c r="AL100" s="219"/>
      <c r="AM100" s="219"/>
      <c r="AN100" s="219"/>
      <c r="AO100" s="219"/>
      <c r="AP100" s="219"/>
      <c r="AQ100" s="219"/>
      <c r="AR100" s="219"/>
      <c r="AS100" s="219"/>
      <c r="AT100" s="219"/>
      <c r="AU100" s="219"/>
      <c r="AV100" s="219"/>
      <c r="AW100" s="219"/>
      <c r="AX100" s="219"/>
      <c r="AY100" s="219"/>
      <c r="AZ100" s="219"/>
      <c r="BA100" s="219"/>
    </row>
    <row r="101" spans="1:53" outlineLevel="1" x14ac:dyDescent="0.35">
      <c r="A101" s="6" t="s">
        <v>43</v>
      </c>
      <c r="B101" s="6">
        <f>'Results - raw data ReCiPe (H)'!BC88</f>
        <v>70.811968393392803</v>
      </c>
      <c r="AB101" s="219"/>
      <c r="AC101" s="219"/>
      <c r="AD101" s="219"/>
      <c r="AE101" s="219"/>
      <c r="AF101" s="219"/>
      <c r="AG101" s="219"/>
      <c r="AH101" s="219"/>
      <c r="AI101" s="219"/>
      <c r="AJ101" s="219"/>
      <c r="AK101" s="219"/>
      <c r="AL101" s="219"/>
      <c r="AM101" s="219"/>
      <c r="AN101" s="219"/>
      <c r="AO101" s="219"/>
      <c r="AP101" s="219"/>
      <c r="AQ101" s="219"/>
      <c r="AR101" s="219"/>
      <c r="AS101" s="219"/>
      <c r="AT101" s="219"/>
      <c r="AU101" s="219"/>
      <c r="AV101" s="219"/>
      <c r="AW101" s="219"/>
      <c r="AX101" s="219"/>
      <c r="AY101" s="219"/>
      <c r="AZ101" s="219"/>
      <c r="BA101" s="219"/>
    </row>
    <row r="102" spans="1:53" outlineLevel="1" x14ac:dyDescent="0.35">
      <c r="A102" s="6" t="s">
        <v>44</v>
      </c>
      <c r="B102" s="6">
        <f>'Results - raw data ReCiPe (H)'!BC89*AC87*AC88</f>
        <v>258.88808240632699</v>
      </c>
      <c r="AB102" s="219"/>
      <c r="AC102" s="219"/>
      <c r="AD102" s="219"/>
      <c r="AE102" s="219"/>
      <c r="AF102" s="219"/>
      <c r="AG102" s="219"/>
      <c r="AH102" s="219"/>
      <c r="AI102" s="219"/>
      <c r="AJ102" s="219"/>
      <c r="AK102" s="219"/>
      <c r="AL102" s="219"/>
      <c r="AM102" s="219"/>
      <c r="AN102" s="219"/>
      <c r="AO102" s="219"/>
      <c r="AP102" s="219"/>
      <c r="AQ102" s="219"/>
      <c r="AR102" s="219"/>
      <c r="AS102" s="219"/>
      <c r="AT102" s="219"/>
      <c r="AU102" s="219"/>
      <c r="AV102" s="219"/>
      <c r="AW102" s="219"/>
      <c r="AX102" s="219"/>
      <c r="AY102" s="219"/>
      <c r="AZ102" s="219"/>
      <c r="BA102" s="219"/>
    </row>
    <row r="103" spans="1:53" outlineLevel="1" x14ac:dyDescent="0.35">
      <c r="A103" s="6" t="s">
        <v>757</v>
      </c>
      <c r="B103" s="6">
        <f>'Results - raw data ReCiPe (H)'!BC90*AC87*AC88</f>
        <v>90.667612068793431</v>
      </c>
      <c r="AB103" s="219"/>
      <c r="AC103" s="219"/>
      <c r="AD103" s="219"/>
      <c r="AE103" s="219"/>
      <c r="AF103" s="219"/>
      <c r="AG103" s="219"/>
      <c r="AH103" s="219"/>
      <c r="AI103" s="219"/>
      <c r="AJ103" s="219"/>
      <c r="AK103" s="219"/>
      <c r="AL103" s="219"/>
      <c r="AM103" s="219"/>
      <c r="AN103" s="219"/>
      <c r="AO103" s="219"/>
      <c r="AP103" s="219"/>
      <c r="AQ103" s="219"/>
      <c r="AR103" s="219"/>
      <c r="AS103" s="219"/>
      <c r="AT103" s="219"/>
      <c r="AU103" s="219"/>
      <c r="AV103" s="219"/>
      <c r="AW103" s="219"/>
      <c r="AX103" s="219"/>
      <c r="AY103" s="219"/>
      <c r="AZ103" s="219"/>
      <c r="BA103" s="219"/>
    </row>
    <row r="104" spans="1:53" outlineLevel="1" x14ac:dyDescent="0.35">
      <c r="A104" s="6" t="s">
        <v>22</v>
      </c>
      <c r="Z104" s="6">
        <f>'Results - raw data ReCiPe (H)'!CA91</f>
        <v>0.30634226930476899</v>
      </c>
      <c r="AB104" s="219"/>
      <c r="AC104" s="219"/>
      <c r="AD104" s="219"/>
      <c r="AE104" s="219"/>
      <c r="AF104" s="219"/>
      <c r="AG104" s="219"/>
      <c r="AH104" s="219"/>
      <c r="AI104" s="219"/>
      <c r="AJ104" s="219"/>
      <c r="AK104" s="219"/>
      <c r="AL104" s="219"/>
      <c r="AM104" s="219"/>
      <c r="AN104" s="219"/>
      <c r="AO104" s="219"/>
      <c r="AP104" s="219"/>
      <c r="AQ104" s="219"/>
      <c r="AR104" s="219"/>
      <c r="AS104" s="219"/>
      <c r="AT104" s="219"/>
      <c r="AU104" s="219"/>
      <c r="AV104" s="219"/>
      <c r="AW104" s="219"/>
      <c r="AX104" s="219"/>
      <c r="AY104" s="219"/>
      <c r="AZ104" s="219"/>
      <c r="BA104" s="219"/>
    </row>
    <row r="105" spans="1:53" outlineLevel="1" x14ac:dyDescent="0.35">
      <c r="A105" s="6" t="s">
        <v>24</v>
      </c>
      <c r="Z105" s="6">
        <f>'Results - raw data ReCiPe (H)'!CA92</f>
        <v>0.33987786273119752</v>
      </c>
      <c r="AB105" s="219"/>
      <c r="AC105" s="219"/>
      <c r="AD105" s="219"/>
      <c r="AE105" s="219"/>
      <c r="AF105" s="219"/>
      <c r="AG105" s="219"/>
      <c r="AH105" s="219"/>
      <c r="AI105" s="219"/>
      <c r="AJ105" s="219"/>
      <c r="AK105" s="219"/>
      <c r="AL105" s="219"/>
      <c r="AM105" s="219"/>
      <c r="AN105" s="219"/>
      <c r="AO105" s="219"/>
      <c r="AP105" s="219"/>
      <c r="AQ105" s="219"/>
      <c r="AR105" s="219"/>
      <c r="AS105" s="219"/>
      <c r="AT105" s="219"/>
      <c r="AU105" s="219"/>
      <c r="AV105" s="219"/>
      <c r="AW105" s="219"/>
      <c r="AX105" s="219"/>
      <c r="AY105" s="219"/>
      <c r="AZ105" s="219"/>
      <c r="BA105" s="219"/>
    </row>
    <row r="106" spans="1:53" outlineLevel="1" x14ac:dyDescent="0.35">
      <c r="A106" s="6" t="s">
        <v>25</v>
      </c>
      <c r="Z106" s="6">
        <f>'Results - raw data ReCiPe (H)'!CA93</f>
        <v>1.54613057891552</v>
      </c>
      <c r="AB106" s="219"/>
      <c r="AC106" s="219"/>
      <c r="AD106" s="219"/>
      <c r="AE106" s="219"/>
      <c r="AF106" s="219"/>
      <c r="AG106" s="219"/>
      <c r="AH106" s="219"/>
      <c r="AI106" s="219"/>
      <c r="AJ106" s="219"/>
      <c r="AK106" s="219"/>
      <c r="AL106" s="219"/>
      <c r="AM106" s="219"/>
      <c r="AN106" s="219"/>
      <c r="AO106" s="219"/>
      <c r="AP106" s="219"/>
      <c r="AQ106" s="219"/>
      <c r="AR106" s="219"/>
      <c r="AS106" s="219"/>
      <c r="AT106" s="219"/>
      <c r="AU106" s="219"/>
      <c r="AV106" s="219"/>
      <c r="AW106" s="219"/>
      <c r="AX106" s="219"/>
      <c r="AY106" s="219"/>
      <c r="AZ106" s="219"/>
      <c r="BA106" s="219"/>
    </row>
    <row r="107" spans="1:53" outlineLevel="1" x14ac:dyDescent="0.35">
      <c r="A107" s="6" t="s">
        <v>27</v>
      </c>
      <c r="Z107" s="6">
        <f>'Results - raw data ReCiPe (H)'!CA94</f>
        <v>0.94564416196411627</v>
      </c>
      <c r="AB107" s="219"/>
      <c r="AC107" s="219"/>
      <c r="AD107" s="219"/>
      <c r="AE107" s="219"/>
      <c r="AF107" s="219"/>
      <c r="AG107" s="219"/>
      <c r="AH107" s="219"/>
      <c r="AI107" s="219"/>
      <c r="AJ107" s="219"/>
      <c r="AK107" s="219"/>
      <c r="AL107" s="219"/>
      <c r="AM107" s="219"/>
      <c r="AN107" s="219"/>
      <c r="AO107" s="219"/>
      <c r="AP107" s="219"/>
      <c r="AQ107" s="219"/>
      <c r="AR107" s="219"/>
      <c r="AS107" s="219"/>
      <c r="AT107" s="219"/>
      <c r="AU107" s="219"/>
      <c r="AV107" s="219"/>
      <c r="AW107" s="219"/>
      <c r="AX107" s="219"/>
      <c r="AY107" s="219"/>
      <c r="AZ107" s="219"/>
      <c r="BA107" s="219"/>
    </row>
    <row r="108" spans="1:53" outlineLevel="1" x14ac:dyDescent="0.35">
      <c r="A108" s="6" t="s">
        <v>30</v>
      </c>
      <c r="Z108" s="6">
        <f>'Results - raw data ReCiPe (H)'!CA95</f>
        <v>0.37601872100948219</v>
      </c>
      <c r="AB108" s="219"/>
      <c r="AC108" s="219"/>
      <c r="AD108" s="219"/>
      <c r="AE108" s="219"/>
      <c r="AF108" s="219"/>
      <c r="AG108" s="219"/>
      <c r="AH108" s="219"/>
      <c r="AI108" s="219"/>
      <c r="AJ108" s="219"/>
      <c r="AK108" s="219"/>
      <c r="AL108" s="219"/>
      <c r="AM108" s="219"/>
      <c r="AN108" s="219"/>
      <c r="AO108" s="219"/>
      <c r="AP108" s="219"/>
      <c r="AQ108" s="219"/>
      <c r="AR108" s="219"/>
      <c r="AS108" s="219"/>
      <c r="AT108" s="219"/>
      <c r="AU108" s="219"/>
      <c r="AV108" s="219"/>
      <c r="AW108" s="219"/>
      <c r="AX108" s="219"/>
      <c r="AY108" s="219"/>
      <c r="AZ108" s="219"/>
      <c r="BA108" s="219"/>
    </row>
    <row r="109" spans="1:53" outlineLevel="1" x14ac:dyDescent="0.35">
      <c r="A109" s="6" t="s">
        <v>32</v>
      </c>
      <c r="Z109" s="6">
        <f>'Results - raw data ReCiPe (H)'!CA96</f>
        <v>0.1689291870015715</v>
      </c>
      <c r="AB109" s="219"/>
      <c r="AC109" s="219"/>
      <c r="AD109" s="219"/>
      <c r="AE109" s="219"/>
      <c r="AF109" s="219"/>
      <c r="AG109" s="219"/>
      <c r="AH109" s="219"/>
      <c r="AI109" s="219"/>
      <c r="AJ109" s="219"/>
      <c r="AK109" s="219"/>
      <c r="AL109" s="219"/>
      <c r="AM109" s="219"/>
      <c r="AN109" s="219"/>
      <c r="AO109" s="219"/>
      <c r="AP109" s="219"/>
      <c r="AQ109" s="219"/>
      <c r="AR109" s="219"/>
      <c r="AS109" s="219"/>
      <c r="AT109" s="219"/>
      <c r="AU109" s="219"/>
      <c r="AV109" s="219"/>
      <c r="AW109" s="219"/>
      <c r="AX109" s="219"/>
      <c r="AY109" s="219"/>
      <c r="AZ109" s="219"/>
      <c r="BA109" s="219"/>
    </row>
    <row r="110" spans="1:53" outlineLevel="1" x14ac:dyDescent="0.35">
      <c r="A110" s="6" t="s">
        <v>33</v>
      </c>
      <c r="Z110" s="6">
        <f>'Results - raw data ReCiPe (H)'!CA97</f>
        <v>9.7181984563696311E-2</v>
      </c>
      <c r="AB110" s="219"/>
      <c r="AC110" s="219"/>
      <c r="AD110" s="219"/>
      <c r="AE110" s="219"/>
      <c r="AF110" s="219"/>
      <c r="AG110" s="219"/>
      <c r="AH110" s="219"/>
      <c r="AI110" s="219"/>
      <c r="AJ110" s="219"/>
      <c r="AK110" s="219"/>
      <c r="AL110" s="219"/>
      <c r="AM110" s="219"/>
      <c r="AN110" s="219"/>
      <c r="AO110" s="219"/>
      <c r="AP110" s="219"/>
      <c r="AQ110" s="219"/>
      <c r="AR110" s="219"/>
      <c r="AS110" s="219"/>
      <c r="AT110" s="219"/>
      <c r="AU110" s="219"/>
      <c r="AV110" s="219"/>
      <c r="AW110" s="219"/>
      <c r="AX110" s="219"/>
      <c r="AY110" s="219"/>
      <c r="AZ110" s="219"/>
      <c r="BA110" s="219"/>
    </row>
    <row r="111" spans="1:53" outlineLevel="1" x14ac:dyDescent="0.35">
      <c r="A111" s="6" t="s">
        <v>35</v>
      </c>
      <c r="Z111" s="6">
        <f>'Results - raw data ReCiPe (H)'!CA98</f>
        <v>0.19436396912739259</v>
      </c>
      <c r="AB111" s="219"/>
      <c r="AC111" s="219"/>
      <c r="AD111" s="219"/>
      <c r="AE111" s="219"/>
      <c r="AF111" s="219"/>
      <c r="AG111" s="219"/>
      <c r="AH111" s="219"/>
      <c r="AI111" s="219"/>
      <c r="AJ111" s="219"/>
      <c r="AK111" s="219"/>
      <c r="AL111" s="219"/>
      <c r="AM111" s="219"/>
      <c r="AN111" s="219"/>
      <c r="AO111" s="219"/>
      <c r="AP111" s="219"/>
      <c r="AQ111" s="219"/>
      <c r="AR111" s="219"/>
      <c r="AS111" s="219"/>
      <c r="AT111" s="219"/>
      <c r="AU111" s="219"/>
      <c r="AV111" s="219"/>
      <c r="AW111" s="219"/>
      <c r="AX111" s="219"/>
      <c r="AY111" s="219"/>
      <c r="AZ111" s="219"/>
      <c r="BA111" s="219"/>
    </row>
    <row r="112" spans="1:53" outlineLevel="1" x14ac:dyDescent="0.35">
      <c r="A112" s="6" t="s">
        <v>37</v>
      </c>
      <c r="Z112" s="6">
        <f>'Results - raw data ReCiPe (H)'!CA99</f>
        <v>2.8638113623765111</v>
      </c>
      <c r="AB112" s="219"/>
      <c r="AC112" s="219"/>
      <c r="AD112" s="219"/>
      <c r="AE112" s="219"/>
      <c r="AF112" s="219"/>
      <c r="AG112" s="219"/>
      <c r="AH112" s="219"/>
      <c r="AI112" s="219"/>
      <c r="AJ112" s="219"/>
      <c r="AK112" s="219"/>
      <c r="AL112" s="219"/>
      <c r="AM112" s="219"/>
      <c r="AN112" s="219"/>
      <c r="AO112" s="219"/>
      <c r="AP112" s="219"/>
      <c r="AQ112" s="219"/>
      <c r="AR112" s="219"/>
      <c r="AS112" s="219"/>
      <c r="AT112" s="219"/>
      <c r="AU112" s="219"/>
      <c r="AV112" s="219"/>
      <c r="AW112" s="219"/>
      <c r="AX112" s="219"/>
      <c r="AY112" s="219"/>
      <c r="AZ112" s="219"/>
      <c r="BA112" s="219"/>
    </row>
    <row r="113" spans="1:31" outlineLevel="1" x14ac:dyDescent="0.35">
      <c r="A113" s="6" t="s">
        <v>40</v>
      </c>
      <c r="Z113" s="6">
        <f>'Results - raw data ReCiPe (H)'!CA100</f>
        <v>1.3377114098727929</v>
      </c>
    </row>
    <row r="114" spans="1:31" outlineLevel="1" x14ac:dyDescent="0.35">
      <c r="A114" s="6" t="s">
        <v>42</v>
      </c>
      <c r="Z114" s="6">
        <f>'Results - raw data ReCiPe (H)'!CA101</f>
        <v>3.6060080522679621</v>
      </c>
    </row>
    <row r="115" spans="1:31" outlineLevel="1" x14ac:dyDescent="0.35">
      <c r="A115" s="6" t="s">
        <v>115</v>
      </c>
      <c r="Z115" s="6">
        <f>'Results - raw data ReCiPe (H)'!CA102</f>
        <v>27.00760175944605</v>
      </c>
    </row>
    <row r="116" spans="1:31" outlineLevel="1" x14ac:dyDescent="0.35">
      <c r="A116" s="6" t="s">
        <v>45</v>
      </c>
      <c r="Z116" s="6">
        <f>'Results - raw data ReCiPe (H)'!CA103*AC87*AC88</f>
        <v>1.2288061080708204</v>
      </c>
    </row>
    <row r="117" spans="1:31" outlineLevel="1" x14ac:dyDescent="0.35">
      <c r="A117" s="6" t="s">
        <v>116</v>
      </c>
      <c r="B117" s="6">
        <f>'Results - raw data ReCiPe (H)'!BC104</f>
        <v>114.06781731957111</v>
      </c>
      <c r="C117" s="6">
        <f>'Results - raw data ReCiPe (H)'!BD104</f>
        <v>113.7328675530224</v>
      </c>
      <c r="D117" s="6">
        <f>'Results - raw data ReCiPe (H)'!BE104</f>
        <v>113.3929663091527</v>
      </c>
      <c r="E117" s="6">
        <f>'Results - raw data ReCiPe (H)'!BF104</f>
        <v>112.3911675049322</v>
      </c>
      <c r="F117" s="6">
        <f>'Results - raw data ReCiPe (H)'!BG104</f>
        <v>112.0478306078531</v>
      </c>
      <c r="G117" s="6">
        <f>'Results - raw data ReCiPe (H)'!BH104</f>
        <v>111.69872823537609</v>
      </c>
      <c r="H117" s="6">
        <f>'Results - raw data ReCiPe (H)'!BI104</f>
        <v>112.2010947204887</v>
      </c>
      <c r="I117" s="6">
        <f>'Results - raw data ReCiPe (H)'!BJ104</f>
        <v>112.69351643430041</v>
      </c>
      <c r="J117" s="6">
        <f>'Results - raw data ReCiPe (H)'!BK104</f>
        <v>112.74009000216979</v>
      </c>
      <c r="K117" s="6">
        <f>'Results - raw data ReCiPe (H)'!BL104</f>
        <v>113.21958271568749</v>
      </c>
      <c r="L117" s="6">
        <f>'Results - raw data ReCiPe (H)'!BM104</f>
        <v>113.6897765530383</v>
      </c>
      <c r="M117" s="6">
        <f>'Results - raw data ReCiPe (H)'!BN104</f>
        <v>113.65222917100461</v>
      </c>
      <c r="N117" s="6">
        <f>'Results - raw data ReCiPe (H)'!BO104</f>
        <v>113.61473943331841</v>
      </c>
      <c r="O117" s="6">
        <f>'Results - raw data ReCiPe (H)'!BP104</f>
        <v>113.44770784519361</v>
      </c>
      <c r="P117" s="6">
        <f>'Results - raw data ReCiPe (H)'!BQ104</f>
        <v>113.41332719801061</v>
      </c>
      <c r="Q117" s="6">
        <f>'Results - raw data ReCiPe (H)'!BR104</f>
        <v>113.3787859326078</v>
      </c>
      <c r="R117" s="6">
        <f>'Results - raw data ReCiPe (H)'!BS104</f>
        <v>113.0512155274629</v>
      </c>
      <c r="S117" s="6">
        <f>'Results - raw data ReCiPe (H)'!BT104</f>
        <v>112.7253429675897</v>
      </c>
      <c r="T117" s="6">
        <f>'Results - raw data ReCiPe (H)'!BU104</f>
        <v>112.2791950057142</v>
      </c>
      <c r="U117" s="6">
        <f>'Results - raw data ReCiPe (H)'!BV104</f>
        <v>111.9583975303494</v>
      </c>
      <c r="V117" s="6">
        <f>'Results - raw data ReCiPe (H)'!BW104</f>
        <v>111.6387040996559</v>
      </c>
      <c r="W117" s="6">
        <f>'Results - raw data ReCiPe (H)'!BX104</f>
        <v>111.5739444092645</v>
      </c>
      <c r="X117" s="6">
        <f>'Results - raw data ReCiPe (H)'!BY104</f>
        <v>111.50977454615681</v>
      </c>
      <c r="Y117" s="6">
        <f>'Results - raw data ReCiPe (H)'!BZ104</f>
        <v>111.4459321675379</v>
      </c>
      <c r="Z117" s="6">
        <f>'Results - raw data ReCiPe (H)'!CA104</f>
        <v>111.3824079888096</v>
      </c>
    </row>
    <row r="118" spans="1:31" outlineLevel="1" x14ac:dyDescent="0.35">
      <c r="A118" s="6" t="s">
        <v>758</v>
      </c>
      <c r="B118" s="6">
        <f>'Results - raw data ReCiPe (H)'!BC105*$AC$87</f>
        <v>118.7649636998278</v>
      </c>
      <c r="C118" s="6">
        <f>'Results - raw data ReCiPe (H)'!BD105*$AC$87</f>
        <v>109.5932384447962</v>
      </c>
      <c r="D118" s="6">
        <f>'Results - raw data ReCiPe (H)'!BE105*$AC$87</f>
        <v>100.41460012870719</v>
      </c>
      <c r="E118" s="6">
        <f>'Results - raw data ReCiPe (H)'!BF105*$AC$87</f>
        <v>90.777455527861918</v>
      </c>
      <c r="F118" s="6">
        <f>'Results - raw data ReCiPe (H)'!BG105*$AC$87</f>
        <v>81.570934765721915</v>
      </c>
      <c r="G118" s="6">
        <f>'Results - raw data ReCiPe (H)'!BH105*$AC$87</f>
        <v>72.359798079795141</v>
      </c>
      <c r="H118" s="6">
        <f>'Results - raw data ReCiPe (H)'!BI105*$AC$87</f>
        <v>83.090067110340485</v>
      </c>
      <c r="I118" s="6">
        <f>'Results - raw data ReCiPe (H)'!BJ105*$AC$87</f>
        <v>93.746280998158767</v>
      </c>
      <c r="J118" s="6">
        <f>'Results - raw data ReCiPe (H)'!BK105*$AC$87</f>
        <v>103.88763060054831</v>
      </c>
      <c r="K118" s="6">
        <f>'Results - raw data ReCiPe (H)'!BL105*$AC$87</f>
        <v>114.38321113321291</v>
      </c>
      <c r="L118" s="6">
        <f>'Results - raw data ReCiPe (H)'!BM105*$AC$87</f>
        <v>124.8073148894706</v>
      </c>
      <c r="M118" s="6">
        <f>'Results - raw data ReCiPe (H)'!BN105*$AC$87</f>
        <v>138.0260259358314</v>
      </c>
      <c r="N118" s="6">
        <f>'Results - raw data ReCiPe (H)'!BO105*$AC$87</f>
        <v>151.2246892594209</v>
      </c>
      <c r="O118" s="6">
        <f>'Results - raw data ReCiPe (H)'!BP105*$AC$87</f>
        <v>164.30326053808798</v>
      </c>
      <c r="P118" s="6">
        <f>'Results - raw data ReCiPe (H)'!BQ105*$AC$87</f>
        <v>177.4640980001044</v>
      </c>
      <c r="Q118" s="6">
        <f>'Results - raw data ReCiPe (H)'!BR105*$AC$87</f>
        <v>190.60431325869141</v>
      </c>
      <c r="R118" s="6">
        <f>'Results - raw data ReCiPe (H)'!BS105*$AC$87</f>
        <v>186.55163632819099</v>
      </c>
      <c r="S118" s="6">
        <f>'Results - raw data ReCiPe (H)'!BT105*$AC$87</f>
        <v>182.4817186104238</v>
      </c>
      <c r="T118" s="6">
        <f>'Results - raw data ReCiPe (H)'!BU105*$AC$87</f>
        <v>178.30313445153249</v>
      </c>
      <c r="U118" s="6">
        <f>'Results - raw data ReCiPe (H)'!BV105*$AC$87</f>
        <v>174.20067305803809</v>
      </c>
      <c r="V118" s="6">
        <f>'Results - raw data ReCiPe (H)'!BW105*$AC$87</f>
        <v>170.08012725792042</v>
      </c>
      <c r="W118" s="6">
        <f>'Results - raw data ReCiPe (H)'!BX105*$AC$87</f>
        <v>169.9149619203435</v>
      </c>
      <c r="X118" s="6">
        <f>'Results - raw data ReCiPe (H)'!BY105*$AC$87</f>
        <v>169.75846340264729</v>
      </c>
      <c r="Y118" s="6">
        <f>'Results - raw data ReCiPe (H)'!BZ105*$AC$87</f>
        <v>169.60054526307579</v>
      </c>
      <c r="Z118" s="6">
        <f>'Results - raw data ReCiPe (H)'!CA105*$AC$87</f>
        <v>169.44099770029101</v>
      </c>
    </row>
    <row r="119" spans="1:31" outlineLevel="1" x14ac:dyDescent="0.35">
      <c r="A119" s="6" t="s">
        <v>759</v>
      </c>
      <c r="B119" s="6">
        <f>'Results - raw data ReCiPe (H)'!BC106</f>
        <v>0</v>
      </c>
      <c r="C119" s="6">
        <f>'Results - raw data ReCiPe (H)'!BD106</f>
        <v>0</v>
      </c>
      <c r="D119" s="6">
        <f>'Results - raw data ReCiPe (H)'!BE106</f>
        <v>0</v>
      </c>
      <c r="E119" s="6">
        <f>'Results - raw data ReCiPe (H)'!BF106</f>
        <v>0</v>
      </c>
      <c r="F119" s="6">
        <f>'Results - raw data ReCiPe (H)'!BG106</f>
        <v>0</v>
      </c>
      <c r="G119" s="6">
        <f>'Results - raw data ReCiPe (H)'!BH106</f>
        <v>0</v>
      </c>
      <c r="H119" s="6">
        <f>'Results - raw data ReCiPe (H)'!BI106</f>
        <v>0</v>
      </c>
      <c r="I119" s="6">
        <f>'Results - raw data ReCiPe (H)'!BJ106</f>
        <v>0</v>
      </c>
      <c r="J119" s="6">
        <f>'Results - raw data ReCiPe (H)'!BK106</f>
        <v>0</v>
      </c>
      <c r="K119" s="6">
        <f>'Results - raw data ReCiPe (H)'!BL106</f>
        <v>0</v>
      </c>
      <c r="L119" s="6">
        <f>'Results - raw data ReCiPe (H)'!BM106</f>
        <v>0</v>
      </c>
      <c r="M119" s="6">
        <f>'Results - raw data ReCiPe (H)'!BN106</f>
        <v>0</v>
      </c>
      <c r="N119" s="6">
        <f>'Results - raw data ReCiPe (H)'!BO106</f>
        <v>0</v>
      </c>
      <c r="O119" s="6">
        <f>'Results - raw data ReCiPe (H)'!BP106</f>
        <v>0</v>
      </c>
      <c r="P119" s="6">
        <f>'Results - raw data ReCiPe (H)'!BQ106</f>
        <v>0</v>
      </c>
      <c r="Q119" s="6">
        <f>'Results - raw data ReCiPe (H)'!BR106</f>
        <v>0</v>
      </c>
      <c r="R119" s="6">
        <f>'Results - raw data ReCiPe (H)'!BS106</f>
        <v>0</v>
      </c>
      <c r="S119" s="6">
        <f>'Results - raw data ReCiPe (H)'!BT106</f>
        <v>0</v>
      </c>
      <c r="T119" s="6">
        <f>'Results - raw data ReCiPe (H)'!BU106</f>
        <v>0</v>
      </c>
      <c r="U119" s="6">
        <f>'Results - raw data ReCiPe (H)'!BV106</f>
        <v>0</v>
      </c>
      <c r="V119" s="6">
        <f>'Results - raw data ReCiPe (H)'!BW106</f>
        <v>0</v>
      </c>
      <c r="W119" s="6">
        <f>'Results - raw data ReCiPe (H)'!BX106</f>
        <v>0</v>
      </c>
      <c r="X119" s="6">
        <f>'Results - raw data ReCiPe (H)'!BY106</f>
        <v>0</v>
      </c>
      <c r="Y119" s="6">
        <f>'Results - raw data ReCiPe (H)'!BZ106</f>
        <v>0</v>
      </c>
      <c r="Z119" s="6">
        <f>'Results - raw data ReCiPe (H)'!CA106</f>
        <v>0</v>
      </c>
    </row>
    <row r="120" spans="1:31" outlineLevel="1" x14ac:dyDescent="0.35">
      <c r="A120" s="6" t="s">
        <v>760</v>
      </c>
      <c r="B120" s="6">
        <f>'Results - raw data ReCiPe (H)'!BC107</f>
        <v>1455.687748477927</v>
      </c>
      <c r="C120" s="6">
        <f>'Results - raw data ReCiPe (H)'!BD107</f>
        <v>1339.645737547816</v>
      </c>
      <c r="D120" s="6">
        <f>'Results - raw data ReCiPe (H)'!BE107</f>
        <v>1222.675011660074</v>
      </c>
      <c r="E120" s="6">
        <f>'Results - raw data ReCiPe (H)'!BF107</f>
        <v>1099.534974399809</v>
      </c>
      <c r="F120" s="6">
        <f>'Results - raw data ReCiPe (H)'!BG107</f>
        <v>980.47081032114079</v>
      </c>
      <c r="G120" s="6">
        <f>'Results - raw data ReCiPe (H)'!BH107</f>
        <v>860.4793665866838</v>
      </c>
      <c r="H120" s="6">
        <f>'Results - raw data ReCiPe (H)'!BI107</f>
        <v>1005.289588531566</v>
      </c>
      <c r="I120" s="6">
        <f>'Results - raw data ReCiPe (H)'!BJ107</f>
        <v>1149.7418175598309</v>
      </c>
      <c r="J120" s="6">
        <f>'Results - raw data ReCiPe (H)'!BK107</f>
        <v>1288.456695966383</v>
      </c>
      <c r="K120" s="6">
        <f>'Results - raw data ReCiPe (H)'!BL107</f>
        <v>1431.999072853238</v>
      </c>
      <c r="L120" s="6">
        <f>'Results - raw data ReCiPe (H)'!BM107</f>
        <v>1575.21075673582</v>
      </c>
      <c r="M120" s="6">
        <f>'Results - raw data ReCiPe (H)'!BN107</f>
        <v>1753.703160579762</v>
      </c>
      <c r="N120" s="6">
        <f>'Results - raw data ReCiPe (H)'!BO107</f>
        <v>1931.6196135305711</v>
      </c>
      <c r="O120" s="6">
        <f>'Results - raw data ReCiPe (H)'!BP107</f>
        <v>2107.76787666581</v>
      </c>
      <c r="P120" s="6">
        <f>'Results - raw data ReCiPe (H)'!BQ107</f>
        <v>2284.5657414806878</v>
      </c>
      <c r="Q120" s="6">
        <f>'Results - raw data ReCiPe (H)'!BR107</f>
        <v>2460.785537350293</v>
      </c>
      <c r="R120" s="6">
        <f>'Results - raw data ReCiPe (H)'!BS107</f>
        <v>2396.8942909969978</v>
      </c>
      <c r="S120" s="6">
        <f>'Results - raw data ReCiPe (H)'!BT107</f>
        <v>2333.3347117691819</v>
      </c>
      <c r="T120" s="6">
        <f>'Results - raw data ReCiPe (H)'!BU107</f>
        <v>2269.02736425892</v>
      </c>
      <c r="U120" s="6">
        <f>'Results - raw data ReCiPe (H)'!BV107</f>
        <v>2206.1493943655678</v>
      </c>
      <c r="V120" s="6">
        <f>'Results - raw data ReCiPe (H)'!BW107</f>
        <v>2143.5839547228379</v>
      </c>
      <c r="W120" s="6">
        <f>'Results - raw data ReCiPe (H)'!BX107</f>
        <v>2144.336140023961</v>
      </c>
      <c r="X120" s="6">
        <f>'Results - raw data ReCiPe (H)'!BY107</f>
        <v>2145.1607906176441</v>
      </c>
      <c r="Y120" s="6">
        <f>'Results - raw data ReCiPe (H)'!BZ107</f>
        <v>2145.969509880611</v>
      </c>
      <c r="Z120" s="6">
        <f>'Results - raw data ReCiPe (H)'!CA107</f>
        <v>2146.7604743306729</v>
      </c>
    </row>
    <row r="121" spans="1:31" outlineLevel="1" x14ac:dyDescent="0.35">
      <c r="A121" s="23" t="s">
        <v>125</v>
      </c>
      <c r="B121" s="17">
        <f t="shared" ref="B121:Z121" si="14">SUM(B90:B120)</f>
        <v>4629.3382680828781</v>
      </c>
      <c r="C121" s="17">
        <f t="shared" si="14"/>
        <v>1562.9718435456346</v>
      </c>
      <c r="D121" s="17">
        <f t="shared" si="14"/>
        <v>1436.4825780979338</v>
      </c>
      <c r="E121" s="17">
        <f t="shared" si="14"/>
        <v>1302.7035974326031</v>
      </c>
      <c r="F121" s="17">
        <f t="shared" si="14"/>
        <v>1174.0895756947157</v>
      </c>
      <c r="G121" s="17">
        <f t="shared" si="14"/>
        <v>1044.537892901855</v>
      </c>
      <c r="H121" s="17">
        <f t="shared" si="14"/>
        <v>1200.5807503623951</v>
      </c>
      <c r="I121" s="17">
        <f t="shared" si="14"/>
        <v>1356.1816149922902</v>
      </c>
      <c r="J121" s="17">
        <f t="shared" si="14"/>
        <v>1505.084416569101</v>
      </c>
      <c r="K121" s="17">
        <f t="shared" si="14"/>
        <v>1659.6018667021383</v>
      </c>
      <c r="L121" s="17">
        <f t="shared" si="14"/>
        <v>1813.707848178329</v>
      </c>
      <c r="M121" s="17">
        <f t="shared" si="14"/>
        <v>2005.3814156865978</v>
      </c>
      <c r="N121" s="17">
        <f t="shared" si="14"/>
        <v>2196.4590422233105</v>
      </c>
      <c r="O121" s="17">
        <f t="shared" si="14"/>
        <v>2385.5188450490914</v>
      </c>
      <c r="P121" s="17">
        <f t="shared" si="14"/>
        <v>2575.4431666788028</v>
      </c>
      <c r="Q121" s="17">
        <f t="shared" si="14"/>
        <v>2764.7686365415921</v>
      </c>
      <c r="R121" s="17">
        <f t="shared" si="14"/>
        <v>2696.4971428526519</v>
      </c>
      <c r="S121" s="17">
        <f t="shared" si="14"/>
        <v>2628.5417733471954</v>
      </c>
      <c r="T121" s="17">
        <f t="shared" si="14"/>
        <v>2559.6096937161665</v>
      </c>
      <c r="U121" s="17">
        <f t="shared" si="14"/>
        <v>2492.3084649539551</v>
      </c>
      <c r="V121" s="17">
        <f t="shared" si="14"/>
        <v>2425.3027860804141</v>
      </c>
      <c r="W121" s="17">
        <f t="shared" si="14"/>
        <v>2425.8250463535687</v>
      </c>
      <c r="X121" s="17">
        <f t="shared" si="14"/>
        <v>2426.4290285664483</v>
      </c>
      <c r="Y121" s="17">
        <f t="shared" si="14"/>
        <v>2427.0159873112248</v>
      </c>
      <c r="Z121" s="17">
        <f t="shared" si="14"/>
        <v>2467.6023074464256</v>
      </c>
    </row>
    <row r="122" spans="1:31" s="26" customFormat="1" outlineLevel="1" x14ac:dyDescent="0.35"/>
    <row r="123" spans="1:31" s="221" customFormat="1" ht="21" x14ac:dyDescent="0.5">
      <c r="A123" s="229" t="s">
        <v>850</v>
      </c>
    </row>
    <row r="124" spans="1:31" s="18" customFormat="1" ht="21" x14ac:dyDescent="0.5">
      <c r="A124" s="18" t="s">
        <v>72</v>
      </c>
    </row>
    <row r="125" spans="1:31" s="20" customFormat="1" outlineLevel="1" x14ac:dyDescent="0.35">
      <c r="A125" s="19" t="s">
        <v>766</v>
      </c>
    </row>
    <row r="126" spans="1:31" s="16" customFormat="1" outlineLevel="1" x14ac:dyDescent="0.35">
      <c r="A126" s="21"/>
      <c r="AE126" s="15"/>
    </row>
    <row r="127" spans="1:31" s="16" customFormat="1" outlineLevel="1" x14ac:dyDescent="0.35">
      <c r="A127" s="22" t="s">
        <v>761</v>
      </c>
    </row>
    <row r="128" spans="1:31" s="16" customFormat="1" outlineLevel="1" x14ac:dyDescent="0.35">
      <c r="A128" s="22"/>
      <c r="AB128" s="16" t="s">
        <v>127</v>
      </c>
      <c r="AC128" s="16">
        <v>100</v>
      </c>
      <c r="AD128" s="16" t="s">
        <v>128</v>
      </c>
    </row>
    <row r="129" spans="1:53" s="16" customFormat="1" outlineLevel="1" x14ac:dyDescent="0.35">
      <c r="A129" s="230" t="s">
        <v>768</v>
      </c>
      <c r="AB129" s="16" t="s">
        <v>20</v>
      </c>
      <c r="AC129" s="16">
        <v>0.23</v>
      </c>
      <c r="AD129" s="16" t="s">
        <v>715</v>
      </c>
    </row>
    <row r="130" spans="1:53" s="16" customFormat="1" outlineLevel="1" x14ac:dyDescent="0.35">
      <c r="A130" s="22"/>
      <c r="AB130" s="16" t="s">
        <v>129</v>
      </c>
      <c r="AC130" s="16">
        <v>25</v>
      </c>
      <c r="AD130" s="16" t="s">
        <v>130</v>
      </c>
    </row>
    <row r="131" spans="1:53" outlineLevel="1" x14ac:dyDescent="0.35">
      <c r="B131" s="25">
        <v>2030</v>
      </c>
      <c r="C131" s="25">
        <v>2031</v>
      </c>
      <c r="D131" s="25">
        <v>2032</v>
      </c>
      <c r="E131" s="25">
        <v>2033</v>
      </c>
      <c r="F131" s="25">
        <v>2034</v>
      </c>
      <c r="G131" s="25">
        <v>2035</v>
      </c>
      <c r="H131" s="25">
        <v>2036</v>
      </c>
      <c r="I131" s="25">
        <v>2037</v>
      </c>
      <c r="J131" s="25">
        <v>2038</v>
      </c>
      <c r="K131" s="25">
        <v>2039</v>
      </c>
      <c r="L131" s="25">
        <v>2040</v>
      </c>
      <c r="M131" s="25">
        <v>2041</v>
      </c>
      <c r="N131" s="25">
        <v>2042</v>
      </c>
      <c r="O131" s="25">
        <v>2043</v>
      </c>
      <c r="P131" s="25">
        <v>2044</v>
      </c>
      <c r="Q131" s="25">
        <v>2045</v>
      </c>
      <c r="R131" s="25">
        <v>2046</v>
      </c>
      <c r="S131" s="25">
        <v>2047</v>
      </c>
      <c r="T131" s="25">
        <v>2048</v>
      </c>
      <c r="U131" s="25">
        <v>2049</v>
      </c>
      <c r="V131" s="25">
        <v>2050</v>
      </c>
      <c r="W131" s="25">
        <v>2051</v>
      </c>
      <c r="X131" s="25">
        <v>2052</v>
      </c>
      <c r="Y131" s="25">
        <v>2053</v>
      </c>
      <c r="Z131" s="25">
        <v>2054</v>
      </c>
      <c r="AC131" s="25">
        <v>2030</v>
      </c>
      <c r="AD131" s="25">
        <v>2031</v>
      </c>
      <c r="AE131" s="25">
        <v>2032</v>
      </c>
      <c r="AF131" s="25">
        <v>2033</v>
      </c>
      <c r="AG131" s="25">
        <v>2034</v>
      </c>
      <c r="AH131" s="25">
        <v>2035</v>
      </c>
      <c r="AI131" s="25">
        <v>2036</v>
      </c>
      <c r="AJ131" s="25">
        <v>2037</v>
      </c>
      <c r="AK131" s="25">
        <v>2038</v>
      </c>
      <c r="AL131" s="25">
        <v>2039</v>
      </c>
      <c r="AM131" s="25">
        <v>2040</v>
      </c>
      <c r="AN131" s="25">
        <v>2041</v>
      </c>
      <c r="AO131" s="25">
        <v>2042</v>
      </c>
      <c r="AP131" s="25">
        <v>2043</v>
      </c>
      <c r="AQ131" s="25">
        <v>2044</v>
      </c>
      <c r="AR131" s="25">
        <v>2045</v>
      </c>
      <c r="AS131" s="25">
        <v>2046</v>
      </c>
      <c r="AT131" s="25">
        <v>2047</v>
      </c>
      <c r="AU131" s="25">
        <v>2048</v>
      </c>
      <c r="AV131" s="25">
        <v>2049</v>
      </c>
      <c r="AW131" s="25">
        <v>2050</v>
      </c>
      <c r="AX131" s="25">
        <v>2051</v>
      </c>
      <c r="AY131" s="25">
        <v>2052</v>
      </c>
      <c r="AZ131" s="25">
        <v>2053</v>
      </c>
      <c r="BA131" s="25">
        <v>2054</v>
      </c>
    </row>
    <row r="132" spans="1:53" outlineLevel="1" x14ac:dyDescent="0.35">
      <c r="A132" s="6" t="s">
        <v>21</v>
      </c>
      <c r="B132" s="6">
        <f>'Results - raw data ReCiPe (H)'!BC5</f>
        <v>75.900107259729808</v>
      </c>
      <c r="AB132" s="6" t="s">
        <v>117</v>
      </c>
      <c r="AC132" s="6">
        <f>SUM(B132:B143)+B145</f>
        <v>2893.1840673783981</v>
      </c>
    </row>
    <row r="133" spans="1:53" outlineLevel="1" x14ac:dyDescent="0.35">
      <c r="A133" s="6" t="s">
        <v>23</v>
      </c>
      <c r="B133" s="6">
        <f>'Results - raw data ReCiPe (H)'!BC6</f>
        <v>315.32647070950878</v>
      </c>
      <c r="AB133" s="6" t="s">
        <v>118</v>
      </c>
      <c r="AC133" s="6">
        <f>B144</f>
        <v>269.67676540478124</v>
      </c>
    </row>
    <row r="134" spans="1:53" outlineLevel="1" x14ac:dyDescent="0.35">
      <c r="A134" s="6" t="s">
        <v>26</v>
      </c>
      <c r="B134" s="6">
        <f>'Results - raw data ReCiPe (H)'!BC7</f>
        <v>320.06211166534263</v>
      </c>
      <c r="AB134" s="6" t="s">
        <v>119</v>
      </c>
      <c r="BA134" s="6">
        <f>SUM(Z146:Z157)</f>
        <v>45.635874346592793</v>
      </c>
    </row>
    <row r="135" spans="1:53" outlineLevel="1" x14ac:dyDescent="0.35">
      <c r="A135" s="6" t="s">
        <v>28</v>
      </c>
      <c r="B135" s="6">
        <f>'Results - raw data ReCiPe (H)'!BC8</f>
        <v>246.9725509849394</v>
      </c>
      <c r="AB135" s="6" t="s">
        <v>120</v>
      </c>
      <c r="BA135" s="6">
        <f>Z158</f>
        <v>1.3426574437184902</v>
      </c>
    </row>
    <row r="136" spans="1:53" outlineLevel="1" x14ac:dyDescent="0.35">
      <c r="A136" s="6" t="s">
        <v>29</v>
      </c>
      <c r="B136" s="6">
        <f>'Results - raw data ReCiPe (H)'!BC9</f>
        <v>121.9560327138697</v>
      </c>
      <c r="AB136" s="6" t="s">
        <v>121</v>
      </c>
      <c r="AC136" s="6">
        <f>B159</f>
        <v>118.1930543229993</v>
      </c>
      <c r="AF136" s="6">
        <f>E159</f>
        <v>117.3708968791351</v>
      </c>
      <c r="AI136" s="6">
        <f>H159</f>
        <v>117.2479070799383</v>
      </c>
      <c r="AL136" s="6">
        <f>K159</f>
        <v>116.65080958776529</v>
      </c>
      <c r="AO136" s="6">
        <f>N159</f>
        <v>116.5694194979278</v>
      </c>
      <c r="AR136" s="6">
        <f>Q159</f>
        <v>116.3562974875733</v>
      </c>
      <c r="AU136" s="6">
        <f>T159</f>
        <v>116.0610845903859</v>
      </c>
      <c r="AX136" s="6">
        <f>W159</f>
        <v>115.9379738654637</v>
      </c>
      <c r="BA136" s="6">
        <f>Z159</f>
        <v>115.8757111011497</v>
      </c>
    </row>
    <row r="137" spans="1:53" outlineLevel="1" x14ac:dyDescent="0.35">
      <c r="A137" s="6" t="s">
        <v>31</v>
      </c>
      <c r="B137" s="6">
        <f>'Results - raw data ReCiPe (H)'!BC10</f>
        <v>86.300562327748125</v>
      </c>
      <c r="AB137" s="6" t="s">
        <v>122</v>
      </c>
      <c r="AC137" s="6">
        <f>B162+B161</f>
        <v>1839.3449357343477</v>
      </c>
      <c r="AD137" s="6">
        <f t="shared" ref="AD137:BA137" si="15">C162+C161</f>
        <v>1847.3513936994136</v>
      </c>
      <c r="AE137" s="6">
        <f t="shared" si="15"/>
        <v>1855.4295959568169</v>
      </c>
      <c r="AF137" s="6">
        <f t="shared" si="15"/>
        <v>1859.703558427419</v>
      </c>
      <c r="AG137" s="6">
        <f t="shared" si="15"/>
        <v>1867.9709163799405</v>
      </c>
      <c r="AH137" s="6">
        <f t="shared" si="15"/>
        <v>1876.306514134126</v>
      </c>
      <c r="AI137" s="6">
        <f t="shared" si="15"/>
        <v>1907.948299444816</v>
      </c>
      <c r="AJ137" s="6">
        <f t="shared" si="15"/>
        <v>1939.5544371942856</v>
      </c>
      <c r="AK137" s="6">
        <f t="shared" si="15"/>
        <v>1968.282277329135</v>
      </c>
      <c r="AL137" s="6">
        <f t="shared" si="15"/>
        <v>1999.9319314688889</v>
      </c>
      <c r="AM137" s="6">
        <f t="shared" si="15"/>
        <v>2031.5627063350501</v>
      </c>
      <c r="AN137" s="6">
        <f t="shared" si="15"/>
        <v>2035.2554294482479</v>
      </c>
      <c r="AO137" s="6">
        <f t="shared" si="15"/>
        <v>2038.8616388868502</v>
      </c>
      <c r="AP137" s="6">
        <f t="shared" si="15"/>
        <v>2041.6999854561732</v>
      </c>
      <c r="AQ137" s="6">
        <f t="shared" si="15"/>
        <v>2045.1258920077817</v>
      </c>
      <c r="AR137" s="6">
        <f t="shared" si="15"/>
        <v>2048.4529491289159</v>
      </c>
      <c r="AS137" s="6">
        <f t="shared" si="15"/>
        <v>2120.9738547707802</v>
      </c>
      <c r="AT137" s="6">
        <f t="shared" si="15"/>
        <v>2193.5292893363185</v>
      </c>
      <c r="AU137" s="6">
        <f t="shared" si="15"/>
        <v>2265.5241417441844</v>
      </c>
      <c r="AV137" s="6">
        <f t="shared" si="15"/>
        <v>2338.1968350458656</v>
      </c>
      <c r="AW137" s="6">
        <f t="shared" si="15"/>
        <v>2410.9335818739069</v>
      </c>
      <c r="AX137" s="6">
        <f t="shared" si="15"/>
        <v>2425.9539149219522</v>
      </c>
      <c r="AY137" s="6">
        <f t="shared" si="15"/>
        <v>2441.1153330716429</v>
      </c>
      <c r="AZ137" s="6">
        <f t="shared" si="15"/>
        <v>2456.378620962304</v>
      </c>
      <c r="BA137" s="6">
        <f t="shared" si="15"/>
        <v>2471.7432703896347</v>
      </c>
    </row>
    <row r="138" spans="1:53" outlineLevel="1" x14ac:dyDescent="0.35">
      <c r="A138" s="6" t="s">
        <v>34</v>
      </c>
      <c r="B138" s="6">
        <f>'Results - raw data ReCiPe (H)'!BC11</f>
        <v>58.252905588334869</v>
      </c>
      <c r="AB138" s="6" t="s">
        <v>123</v>
      </c>
      <c r="AC138" s="6">
        <f t="shared" ref="AC138:BA138" si="16">B160</f>
        <v>185.90075000036092</v>
      </c>
      <c r="AD138" s="6">
        <f t="shared" si="16"/>
        <v>186.44341735269589</v>
      </c>
      <c r="AE138" s="6">
        <f t="shared" si="16"/>
        <v>186.9896757298913</v>
      </c>
      <c r="AF138" s="6">
        <f t="shared" si="16"/>
        <v>187.16380062399421</v>
      </c>
      <c r="AG138" s="6">
        <f t="shared" si="16"/>
        <v>187.72187690121831</v>
      </c>
      <c r="AH138" s="6">
        <f t="shared" si="16"/>
        <v>188.28311646103978</v>
      </c>
      <c r="AI138" s="6">
        <f t="shared" si="16"/>
        <v>191.1994067536547</v>
      </c>
      <c r="AJ138" s="6">
        <f t="shared" si="16"/>
        <v>194.1025024434831</v>
      </c>
      <c r="AK138" s="6">
        <f t="shared" si="16"/>
        <v>196.7156053866911</v>
      </c>
      <c r="AL138" s="6">
        <f t="shared" si="16"/>
        <v>199.60405009769181</v>
      </c>
      <c r="AM138" s="6">
        <f t="shared" si="16"/>
        <v>202.48112027895232</v>
      </c>
      <c r="AN138" s="6">
        <f t="shared" si="16"/>
        <v>202.65472948507261</v>
      </c>
      <c r="AO138" s="6">
        <f t="shared" si="16"/>
        <v>202.8184607768753</v>
      </c>
      <c r="AP138" s="6">
        <f t="shared" si="16"/>
        <v>202.90630237366008</v>
      </c>
      <c r="AQ138" s="6">
        <f t="shared" si="16"/>
        <v>203.04981229974581</v>
      </c>
      <c r="AR138" s="6">
        <f t="shared" si="16"/>
        <v>203.1821735744829</v>
      </c>
      <c r="AS138" s="6">
        <f t="shared" si="16"/>
        <v>210.11444656444689</v>
      </c>
      <c r="AT138" s="6">
        <f t="shared" si="16"/>
        <v>217.03630147466822</v>
      </c>
      <c r="AU138" s="6">
        <f t="shared" si="16"/>
        <v>223.89040087752917</v>
      </c>
      <c r="AV138" s="6">
        <f t="shared" si="16"/>
        <v>230.79612969701321</v>
      </c>
      <c r="AW138" s="6">
        <f t="shared" si="16"/>
        <v>237.69429769501582</v>
      </c>
      <c r="AX138" s="6">
        <f t="shared" si="16"/>
        <v>238.73233230194808</v>
      </c>
      <c r="AY138" s="6">
        <f t="shared" si="16"/>
        <v>239.78248583214003</v>
      </c>
      <c r="AZ138" s="6">
        <f t="shared" si="16"/>
        <v>240.83638711718072</v>
      </c>
      <c r="BA138" s="6">
        <f t="shared" si="16"/>
        <v>241.89383285728749</v>
      </c>
    </row>
    <row r="139" spans="1:53" outlineLevel="1" x14ac:dyDescent="0.35">
      <c r="A139" s="6" t="s">
        <v>36</v>
      </c>
      <c r="B139" s="6">
        <f>'Results - raw data ReCiPe (H)'!BC12</f>
        <v>61.36907317967863</v>
      </c>
      <c r="AB139" s="6" t="s">
        <v>124</v>
      </c>
    </row>
    <row r="140" spans="1:53" outlineLevel="1" x14ac:dyDescent="0.35">
      <c r="A140" s="6" t="s">
        <v>38</v>
      </c>
      <c r="B140" s="6">
        <f>'Results - raw data ReCiPe (H)'!BC13</f>
        <v>664.60788560352216</v>
      </c>
      <c r="AB140" s="23" t="s">
        <v>125</v>
      </c>
      <c r="AC140" s="17">
        <f t="shared" ref="AC140:BA140" si="17">SUM(AC132:AC139)</f>
        <v>5306.2995728408869</v>
      </c>
      <c r="AD140" s="17">
        <f t="shared" si="17"/>
        <v>2033.7948110521095</v>
      </c>
      <c r="AE140" s="17">
        <f t="shared" si="17"/>
        <v>2042.4192716867083</v>
      </c>
      <c r="AF140" s="17">
        <f t="shared" si="17"/>
        <v>2164.2382559305483</v>
      </c>
      <c r="AG140" s="17">
        <f t="shared" si="17"/>
        <v>2055.6927932811586</v>
      </c>
      <c r="AH140" s="17">
        <f t="shared" si="17"/>
        <v>2064.589630595166</v>
      </c>
      <c r="AI140" s="17">
        <f t="shared" si="17"/>
        <v>2216.3956132784092</v>
      </c>
      <c r="AJ140" s="17">
        <f t="shared" si="17"/>
        <v>2133.6569396377686</v>
      </c>
      <c r="AK140" s="17">
        <f t="shared" si="17"/>
        <v>2164.9978827158261</v>
      </c>
      <c r="AL140" s="17">
        <f t="shared" si="17"/>
        <v>2316.1867911543463</v>
      </c>
      <c r="AM140" s="17">
        <f t="shared" si="17"/>
        <v>2234.0438266140022</v>
      </c>
      <c r="AN140" s="17">
        <f t="shared" si="17"/>
        <v>2237.9101589333204</v>
      </c>
      <c r="AO140" s="17">
        <f t="shared" si="17"/>
        <v>2358.2495191616531</v>
      </c>
      <c r="AP140" s="17">
        <f t="shared" si="17"/>
        <v>2244.6062878298335</v>
      </c>
      <c r="AQ140" s="17">
        <f t="shared" si="17"/>
        <v>2248.1757043075277</v>
      </c>
      <c r="AR140" s="17">
        <f t="shared" si="17"/>
        <v>2367.9914201909719</v>
      </c>
      <c r="AS140" s="17">
        <f t="shared" si="17"/>
        <v>2331.0883013352272</v>
      </c>
      <c r="AT140" s="17">
        <f t="shared" si="17"/>
        <v>2410.5655908109866</v>
      </c>
      <c r="AU140" s="17">
        <f t="shared" si="17"/>
        <v>2605.4756272120994</v>
      </c>
      <c r="AV140" s="17">
        <f t="shared" si="17"/>
        <v>2568.9929647428789</v>
      </c>
      <c r="AW140" s="17">
        <f t="shared" si="17"/>
        <v>2648.6278795689227</v>
      </c>
      <c r="AX140" s="17">
        <f t="shared" si="17"/>
        <v>2780.6242210893643</v>
      </c>
      <c r="AY140" s="17">
        <f t="shared" si="17"/>
        <v>2680.897818903783</v>
      </c>
      <c r="AZ140" s="17">
        <f t="shared" si="17"/>
        <v>2697.2150080794845</v>
      </c>
      <c r="BA140" s="17">
        <f t="shared" si="17"/>
        <v>2876.4913461383835</v>
      </c>
    </row>
    <row r="141" spans="1:53" outlineLevel="1" x14ac:dyDescent="0.35">
      <c r="A141" s="6" t="s">
        <v>39</v>
      </c>
      <c r="B141" s="6">
        <f>'Results - raw data ReCiPe (H)'!BC14</f>
        <v>720.62977688043634</v>
      </c>
    </row>
    <row r="142" spans="1:53" outlineLevel="1" x14ac:dyDescent="0.35">
      <c r="A142" s="6" t="s">
        <v>41</v>
      </c>
      <c r="B142" s="6">
        <f>'Results - raw data ReCiPe (H)'!BC15</f>
        <v>53.333868076658177</v>
      </c>
    </row>
    <row r="143" spans="1:53" outlineLevel="1" x14ac:dyDescent="0.35">
      <c r="A143" s="6" t="s">
        <v>43</v>
      </c>
      <c r="B143" s="6">
        <f>'Results - raw data ReCiPe (H)'!BC16</f>
        <v>73.573799866942238</v>
      </c>
      <c r="AB143" s="219"/>
      <c r="AC143" s="219"/>
      <c r="AD143" s="219"/>
      <c r="AE143" s="219"/>
      <c r="AF143" s="219"/>
      <c r="AG143" s="219"/>
      <c r="AH143" s="219"/>
      <c r="AI143" s="219"/>
      <c r="AJ143" s="219"/>
      <c r="AK143" s="219"/>
      <c r="AL143" s="219"/>
      <c r="AM143" s="219"/>
      <c r="AN143" s="219"/>
      <c r="AO143" s="219"/>
      <c r="AP143" s="219"/>
      <c r="AQ143" s="219"/>
      <c r="AR143" s="219"/>
      <c r="AS143" s="219"/>
      <c r="AT143" s="219"/>
      <c r="AU143" s="219"/>
      <c r="AV143" s="219"/>
      <c r="AW143" s="219"/>
      <c r="AX143" s="219"/>
      <c r="AY143" s="219"/>
      <c r="AZ143" s="219"/>
      <c r="BA143" s="219"/>
    </row>
    <row r="144" spans="1:53" outlineLevel="1" x14ac:dyDescent="0.35">
      <c r="A144" s="6" t="s">
        <v>44</v>
      </c>
      <c r="B144" s="6">
        <f>'Results - raw data ReCiPe (H)'!BC17*AC128*AC130</f>
        <v>269.67676540478124</v>
      </c>
      <c r="AB144" s="219"/>
      <c r="AC144" s="219"/>
      <c r="AD144" s="219"/>
      <c r="AE144" s="219"/>
      <c r="AF144" s="219"/>
      <c r="AG144" s="219"/>
      <c r="AH144" s="219"/>
      <c r="AI144" s="219"/>
      <c r="AJ144" s="219"/>
      <c r="AK144" s="219"/>
      <c r="AL144" s="219"/>
      <c r="AM144" s="219"/>
      <c r="AN144" s="219"/>
      <c r="AO144" s="219"/>
      <c r="AP144" s="219"/>
      <c r="AQ144" s="219"/>
      <c r="AR144" s="219"/>
      <c r="AS144" s="219"/>
      <c r="AT144" s="219"/>
      <c r="AU144" s="219"/>
      <c r="AV144" s="219"/>
      <c r="AW144" s="219"/>
      <c r="AX144" s="219"/>
      <c r="AY144" s="219"/>
      <c r="AZ144" s="219"/>
      <c r="BA144" s="219"/>
    </row>
    <row r="145" spans="1:53" outlineLevel="1" x14ac:dyDescent="0.35">
      <c r="A145" s="6" t="s">
        <v>757</v>
      </c>
      <c r="B145" s="6">
        <f>'Results - raw data ReCiPe (H)'!BC18*AC128*AC130</f>
        <v>94.898922521686899</v>
      </c>
      <c r="AB145" s="219"/>
      <c r="AC145" s="219"/>
      <c r="AD145" s="219"/>
      <c r="AE145" s="219"/>
      <c r="AF145" s="219"/>
      <c r="AG145" s="219"/>
      <c r="AH145" s="219"/>
      <c r="AI145" s="219"/>
      <c r="AJ145" s="219"/>
      <c r="AK145" s="219"/>
      <c r="AL145" s="219"/>
      <c r="AM145" s="219"/>
      <c r="AN145" s="219"/>
      <c r="AO145" s="219"/>
      <c r="AP145" s="219"/>
      <c r="AQ145" s="219"/>
      <c r="AR145" s="219"/>
      <c r="AS145" s="219"/>
      <c r="AT145" s="219"/>
      <c r="AU145" s="219"/>
      <c r="AV145" s="219"/>
      <c r="AW145" s="219"/>
      <c r="AX145" s="219"/>
      <c r="AY145" s="219"/>
      <c r="AZ145" s="219"/>
      <c r="BA145" s="219"/>
    </row>
    <row r="146" spans="1:53" outlineLevel="1" x14ac:dyDescent="0.35">
      <c r="A146" s="6" t="s">
        <v>22</v>
      </c>
      <c r="Z146" s="6">
        <f>'Results - raw data ReCiPe (H)'!CA19</f>
        <v>0.33395801233910632</v>
      </c>
      <c r="AB146" s="219"/>
      <c r="AC146" s="219"/>
      <c r="AD146" s="219"/>
      <c r="AE146" s="219"/>
      <c r="AF146" s="219"/>
      <c r="AG146" s="219"/>
      <c r="AH146" s="219"/>
      <c r="AI146" s="219"/>
      <c r="AJ146" s="219"/>
      <c r="AK146" s="219"/>
      <c r="AL146" s="219"/>
      <c r="AM146" s="219"/>
      <c r="AN146" s="219"/>
      <c r="AO146" s="219"/>
      <c r="AP146" s="219"/>
      <c r="AQ146" s="219"/>
      <c r="AR146" s="219"/>
      <c r="AS146" s="219"/>
      <c r="AT146" s="219"/>
      <c r="AU146" s="219"/>
      <c r="AV146" s="219"/>
      <c r="AW146" s="219"/>
      <c r="AX146" s="219"/>
      <c r="AY146" s="219"/>
      <c r="AZ146" s="219"/>
      <c r="BA146" s="219"/>
    </row>
    <row r="147" spans="1:53" outlineLevel="1" x14ac:dyDescent="0.35">
      <c r="A147" s="6" t="s">
        <v>24</v>
      </c>
      <c r="Z147" s="6">
        <f>'Results - raw data ReCiPe (H)'!CA20</f>
        <v>0.37173071983864131</v>
      </c>
      <c r="AB147" s="219"/>
      <c r="AC147" s="219"/>
      <c r="AD147" s="219"/>
      <c r="AE147" s="219"/>
      <c r="AF147" s="219"/>
      <c r="AG147" s="219"/>
      <c r="AH147" s="219"/>
      <c r="AI147" s="219"/>
      <c r="AJ147" s="219"/>
      <c r="AK147" s="219"/>
      <c r="AL147" s="219"/>
      <c r="AM147" s="219"/>
      <c r="AN147" s="219"/>
      <c r="AO147" s="219"/>
      <c r="AP147" s="219"/>
      <c r="AQ147" s="219"/>
      <c r="AR147" s="219"/>
      <c r="AS147" s="219"/>
      <c r="AT147" s="219"/>
      <c r="AU147" s="219"/>
      <c r="AV147" s="219"/>
      <c r="AW147" s="219"/>
      <c r="AX147" s="219"/>
      <c r="AY147" s="219"/>
      <c r="AZ147" s="219"/>
      <c r="BA147" s="219"/>
    </row>
    <row r="148" spans="1:53" outlineLevel="1" x14ac:dyDescent="0.35">
      <c r="A148" s="6" t="s">
        <v>25</v>
      </c>
      <c r="Z148" s="6">
        <f>'Results - raw data ReCiPe (H)'!CA21</f>
        <v>1.714035723002332</v>
      </c>
      <c r="AB148" s="219"/>
      <c r="AC148" s="219"/>
      <c r="AD148" s="219"/>
      <c r="AE148" s="219"/>
      <c r="AF148" s="219"/>
      <c r="AG148" s="219"/>
      <c r="AH148" s="219"/>
      <c r="AI148" s="219"/>
      <c r="AJ148" s="219"/>
      <c r="AK148" s="219"/>
      <c r="AL148" s="219"/>
      <c r="AM148" s="219"/>
      <c r="AN148" s="219"/>
      <c r="AO148" s="219"/>
      <c r="AP148" s="219"/>
      <c r="AQ148" s="219"/>
      <c r="AR148" s="219"/>
      <c r="AS148" s="219"/>
      <c r="AT148" s="219"/>
      <c r="AU148" s="219"/>
      <c r="AV148" s="219"/>
      <c r="AW148" s="219"/>
      <c r="AX148" s="219"/>
      <c r="AY148" s="219"/>
      <c r="AZ148" s="219"/>
      <c r="BA148" s="219"/>
    </row>
    <row r="149" spans="1:53" outlineLevel="1" x14ac:dyDescent="0.35">
      <c r="A149" s="6" t="s">
        <v>27</v>
      </c>
      <c r="Z149" s="6">
        <f>'Results - raw data ReCiPe (H)'!CA22</f>
        <v>1.0332091254007969</v>
      </c>
      <c r="AB149" s="219"/>
      <c r="AC149" s="219"/>
      <c r="AD149" s="219"/>
      <c r="AE149" s="219"/>
      <c r="AF149" s="219"/>
      <c r="AG149" s="219"/>
      <c r="AH149" s="219"/>
      <c r="AI149" s="219"/>
      <c r="AJ149" s="219"/>
      <c r="AK149" s="219"/>
      <c r="AL149" s="219"/>
      <c r="AM149" s="219"/>
      <c r="AN149" s="219"/>
      <c r="AO149" s="219"/>
      <c r="AP149" s="219"/>
      <c r="AQ149" s="219"/>
      <c r="AR149" s="219"/>
      <c r="AS149" s="219"/>
      <c r="AT149" s="219"/>
      <c r="AU149" s="219"/>
      <c r="AV149" s="219"/>
      <c r="AW149" s="219"/>
      <c r="AX149" s="219"/>
      <c r="AY149" s="219"/>
      <c r="AZ149" s="219"/>
      <c r="BA149" s="219"/>
    </row>
    <row r="150" spans="1:53" outlineLevel="1" x14ac:dyDescent="0.35">
      <c r="A150" s="6" t="s">
        <v>30</v>
      </c>
      <c r="Z150" s="6">
        <f>'Results - raw data ReCiPe (H)'!CA23</f>
        <v>0.41012544069368462</v>
      </c>
      <c r="AB150" s="219"/>
      <c r="AC150" s="219"/>
      <c r="AD150" s="219"/>
      <c r="AE150" s="219"/>
      <c r="AF150" s="219"/>
      <c r="AG150" s="219"/>
      <c r="AH150" s="219"/>
      <c r="AI150" s="219"/>
      <c r="AJ150" s="219"/>
      <c r="AK150" s="219"/>
      <c r="AL150" s="219"/>
      <c r="AM150" s="219"/>
      <c r="AN150" s="219"/>
      <c r="AO150" s="219"/>
      <c r="AP150" s="219"/>
      <c r="AQ150" s="219"/>
      <c r="AR150" s="219"/>
      <c r="AS150" s="219"/>
      <c r="AT150" s="219"/>
      <c r="AU150" s="219"/>
      <c r="AV150" s="219"/>
      <c r="AW150" s="219"/>
      <c r="AX150" s="219"/>
      <c r="AY150" s="219"/>
      <c r="AZ150" s="219"/>
      <c r="BA150" s="219"/>
    </row>
    <row r="151" spans="1:53" outlineLevel="1" x14ac:dyDescent="0.35">
      <c r="A151" s="6" t="s">
        <v>32</v>
      </c>
      <c r="Z151" s="6">
        <f>'Results - raw data ReCiPe (H)'!CA24</f>
        <v>0.18408066799283429</v>
      </c>
      <c r="AB151" s="219"/>
      <c r="AC151" s="219"/>
      <c r="AD151" s="219"/>
      <c r="AE151" s="219"/>
      <c r="AF151" s="219"/>
      <c r="AG151" s="219"/>
      <c r="AH151" s="219"/>
      <c r="AI151" s="219"/>
      <c r="AJ151" s="219"/>
      <c r="AK151" s="219"/>
      <c r="AL151" s="219"/>
      <c r="AM151" s="219"/>
      <c r="AN151" s="219"/>
      <c r="AO151" s="219"/>
      <c r="AP151" s="219"/>
      <c r="AQ151" s="219"/>
      <c r="AR151" s="219"/>
      <c r="AS151" s="219"/>
      <c r="AT151" s="219"/>
      <c r="AU151" s="219"/>
      <c r="AV151" s="219"/>
      <c r="AW151" s="219"/>
      <c r="AX151" s="219"/>
      <c r="AY151" s="219"/>
      <c r="AZ151" s="219"/>
      <c r="BA151" s="219"/>
    </row>
    <row r="152" spans="1:53" outlineLevel="1" x14ac:dyDescent="0.35">
      <c r="A152" s="6" t="s">
        <v>33</v>
      </c>
      <c r="Z152" s="6">
        <f>'Results - raw data ReCiPe (H)'!CA25</f>
        <v>0.10625470952361479</v>
      </c>
      <c r="AB152" s="219"/>
      <c r="AC152" s="219"/>
      <c r="AD152" s="219"/>
      <c r="AE152" s="219"/>
      <c r="AF152" s="219"/>
      <c r="AG152" s="219"/>
      <c r="AH152" s="219"/>
      <c r="AI152" s="219"/>
      <c r="AJ152" s="219"/>
      <c r="AK152" s="219"/>
      <c r="AL152" s="219"/>
      <c r="AM152" s="219"/>
      <c r="AN152" s="219"/>
      <c r="AO152" s="219"/>
      <c r="AP152" s="219"/>
      <c r="AQ152" s="219"/>
      <c r="AR152" s="219"/>
      <c r="AS152" s="219"/>
      <c r="AT152" s="219"/>
      <c r="AU152" s="219"/>
      <c r="AV152" s="219"/>
      <c r="AW152" s="219"/>
      <c r="AX152" s="219"/>
      <c r="AY152" s="219"/>
      <c r="AZ152" s="219"/>
      <c r="BA152" s="219"/>
    </row>
    <row r="153" spans="1:53" outlineLevel="1" x14ac:dyDescent="0.35">
      <c r="A153" s="6" t="s">
        <v>35</v>
      </c>
      <c r="Z153" s="6">
        <f>'Results - raw data ReCiPe (H)'!CA26</f>
        <v>0.21250941904722959</v>
      </c>
      <c r="AB153" s="219"/>
      <c r="AC153" s="219"/>
      <c r="AD153" s="219"/>
      <c r="AE153" s="219"/>
      <c r="AF153" s="219"/>
      <c r="AG153" s="219"/>
      <c r="AH153" s="219"/>
      <c r="AI153" s="219"/>
      <c r="AJ153" s="219"/>
      <c r="AK153" s="219"/>
      <c r="AL153" s="219"/>
      <c r="AM153" s="219"/>
      <c r="AN153" s="219"/>
      <c r="AO153" s="219"/>
      <c r="AP153" s="219"/>
      <c r="AQ153" s="219"/>
      <c r="AR153" s="219"/>
      <c r="AS153" s="219"/>
      <c r="AT153" s="219"/>
      <c r="AU153" s="219"/>
      <c r="AV153" s="219"/>
      <c r="AW153" s="219"/>
      <c r="AX153" s="219"/>
      <c r="AY153" s="219"/>
      <c r="AZ153" s="219"/>
      <c r="BA153" s="219"/>
    </row>
    <row r="154" spans="1:53" outlineLevel="1" x14ac:dyDescent="0.35">
      <c r="A154" s="6" t="s">
        <v>37</v>
      </c>
      <c r="Z154" s="6">
        <f>'Results - raw data ReCiPe (H)'!CA27</f>
        <v>3.1326169217173172</v>
      </c>
      <c r="AB154" s="219"/>
      <c r="AC154" s="219"/>
      <c r="AD154" s="219"/>
      <c r="AE154" s="219"/>
      <c r="AF154" s="219"/>
      <c r="AG154" s="219"/>
      <c r="AH154" s="219"/>
      <c r="AI154" s="219"/>
      <c r="AJ154" s="219"/>
      <c r="AK154" s="219"/>
      <c r="AL154" s="219"/>
      <c r="AM154" s="219"/>
      <c r="AN154" s="219"/>
      <c r="AO154" s="219"/>
      <c r="AP154" s="219"/>
      <c r="AQ154" s="219"/>
      <c r="AR154" s="219"/>
      <c r="AS154" s="219"/>
      <c r="AT154" s="219"/>
      <c r="AU154" s="219"/>
      <c r="AV154" s="219"/>
      <c r="AW154" s="219"/>
      <c r="AX154" s="219"/>
      <c r="AY154" s="219"/>
      <c r="AZ154" s="219"/>
      <c r="BA154" s="219"/>
    </row>
    <row r="155" spans="1:53" outlineLevel="1" x14ac:dyDescent="0.35">
      <c r="A155" s="6" t="s">
        <v>40</v>
      </c>
      <c r="Z155" s="6">
        <f>'Results - raw data ReCiPe (H)'!CA28</f>
        <v>1.4887444792608839</v>
      </c>
    </row>
    <row r="156" spans="1:53" outlineLevel="1" x14ac:dyDescent="0.35">
      <c r="A156" s="6" t="s">
        <v>42</v>
      </c>
      <c r="Z156" s="6">
        <f>'Results - raw data ReCiPe (H)'!CA29</f>
        <v>3.9196001600090971</v>
      </c>
    </row>
    <row r="157" spans="1:53" outlineLevel="1" x14ac:dyDescent="0.35">
      <c r="A157" s="6" t="s">
        <v>115</v>
      </c>
      <c r="Z157" s="6">
        <f>'Results - raw data ReCiPe (H)'!CA30</f>
        <v>32.729008967767257</v>
      </c>
    </row>
    <row r="158" spans="1:53" outlineLevel="1" x14ac:dyDescent="0.35">
      <c r="A158" s="6" t="s">
        <v>45</v>
      </c>
      <c r="Z158" s="6">
        <f>'Results - raw data ReCiPe (H)'!CA31*AC128*AC130</f>
        <v>1.3426574437184902</v>
      </c>
    </row>
    <row r="159" spans="1:53" outlineLevel="1" x14ac:dyDescent="0.35">
      <c r="A159" s="6" t="s">
        <v>116</v>
      </c>
      <c r="B159" s="6">
        <f>'Results - raw data ReCiPe (H)'!BC32</f>
        <v>118.1930543229993</v>
      </c>
      <c r="C159" s="6">
        <f>'Results - raw data ReCiPe (H)'!BD32</f>
        <v>118.1495509706713</v>
      </c>
      <c r="D159" s="6">
        <f>'Results - raw data ReCiPe (H)'!BE32</f>
        <v>118.1066016748573</v>
      </c>
      <c r="E159" s="6">
        <f>'Results - raw data ReCiPe (H)'!BF32</f>
        <v>117.3708968791351</v>
      </c>
      <c r="F159" s="6">
        <f>'Results - raw data ReCiPe (H)'!BG32</f>
        <v>117.330317151248</v>
      </c>
      <c r="G159" s="6">
        <f>'Results - raw data ReCiPe (H)'!BH32</f>
        <v>117.29005129331981</v>
      </c>
      <c r="H159" s="6">
        <f>'Results - raw data ReCiPe (H)'!BI32</f>
        <v>117.2479070799383</v>
      </c>
      <c r="I159" s="6">
        <f>'Results - raw data ReCiPe (H)'!BJ32</f>
        <v>117.20587296292381</v>
      </c>
      <c r="J159" s="6">
        <f>'Results - raw data ReCiPe (H)'!BK32</f>
        <v>116.689582257802</v>
      </c>
      <c r="K159" s="6">
        <f>'Results - raw data ReCiPe (H)'!BL32</f>
        <v>116.65080958776529</v>
      </c>
      <c r="L159" s="6">
        <f>'Results - raw data ReCiPe (H)'!BM32</f>
        <v>116.6120881785565</v>
      </c>
      <c r="M159" s="6">
        <f>'Results - raw data ReCiPe (H)'!BN32</f>
        <v>116.59106485862949</v>
      </c>
      <c r="N159" s="6">
        <f>'Results - raw data ReCiPe (H)'!BO32</f>
        <v>116.5694194979278</v>
      </c>
      <c r="O159" s="6">
        <f>'Results - raw data ReCiPe (H)'!BP32</f>
        <v>116.40036881478591</v>
      </c>
      <c r="P159" s="6">
        <f>'Results - raw data ReCiPe (H)'!BQ32</f>
        <v>116.37866001322909</v>
      </c>
      <c r="Q159" s="6">
        <f>'Results - raw data ReCiPe (H)'!BR32</f>
        <v>116.3562974875733</v>
      </c>
      <c r="R159" s="6">
        <f>'Results - raw data ReCiPe (H)'!BS32</f>
        <v>116.3054484089124</v>
      </c>
      <c r="S159" s="6">
        <f>'Results - raw data ReCiPe (H)'!BT32</f>
        <v>116.25416343781561</v>
      </c>
      <c r="T159" s="6">
        <f>'Results - raw data ReCiPe (H)'!BU32</f>
        <v>116.0610845903859</v>
      </c>
      <c r="U159" s="6">
        <f>'Results - raw data ReCiPe (H)'!BV32</f>
        <v>116.0105572281381</v>
      </c>
      <c r="V159" s="6">
        <f>'Results - raw data ReCiPe (H)'!BW32</f>
        <v>115.959651673077</v>
      </c>
      <c r="W159" s="6">
        <f>'Results - raw data ReCiPe (H)'!BX32</f>
        <v>115.9379738654637</v>
      </c>
      <c r="X159" s="6">
        <f>'Results - raw data ReCiPe (H)'!BY32</f>
        <v>115.91683277888509</v>
      </c>
      <c r="Y159" s="6">
        <f>'Results - raw data ReCiPe (H)'!BZ32</f>
        <v>115.8960785606388</v>
      </c>
      <c r="Z159" s="6">
        <f>'Results - raw data ReCiPe (H)'!CA32</f>
        <v>115.8757111011497</v>
      </c>
    </row>
    <row r="160" spans="1:53" outlineLevel="1" x14ac:dyDescent="0.35">
      <c r="A160" s="6" t="s">
        <v>758</v>
      </c>
      <c r="B160" s="6">
        <f>'Results - raw data ReCiPe (H)'!BC33*$AC$128</f>
        <v>185.90075000036092</v>
      </c>
      <c r="C160" s="6">
        <f>'Results - raw data ReCiPe (H)'!BD33*$AC$128</f>
        <v>186.44341735269589</v>
      </c>
      <c r="D160" s="6">
        <f>'Results - raw data ReCiPe (H)'!BE33*$AC$128</f>
        <v>186.9896757298913</v>
      </c>
      <c r="E160" s="6">
        <f>'Results - raw data ReCiPe (H)'!BF33*$AC$128</f>
        <v>187.16380062399421</v>
      </c>
      <c r="F160" s="6">
        <f>'Results - raw data ReCiPe (H)'!BG33*$AC$128</f>
        <v>187.72187690121831</v>
      </c>
      <c r="G160" s="6">
        <f>'Results - raw data ReCiPe (H)'!BH33*$AC$128</f>
        <v>188.28311646103978</v>
      </c>
      <c r="H160" s="6">
        <f>'Results - raw data ReCiPe (H)'!BI33*$AC$128</f>
        <v>191.1994067536547</v>
      </c>
      <c r="I160" s="6">
        <f>'Results - raw data ReCiPe (H)'!BJ33*$AC$128</f>
        <v>194.1025024434831</v>
      </c>
      <c r="J160" s="6">
        <f>'Results - raw data ReCiPe (H)'!BK33*$AC$128</f>
        <v>196.7156053866911</v>
      </c>
      <c r="K160" s="6">
        <f>'Results - raw data ReCiPe (H)'!BL33*$AC$128</f>
        <v>199.60405009769181</v>
      </c>
      <c r="L160" s="6">
        <f>'Results - raw data ReCiPe (H)'!BM33*$AC$128</f>
        <v>202.48112027895232</v>
      </c>
      <c r="M160" s="6">
        <f>'Results - raw data ReCiPe (H)'!BN33*$AC$128</f>
        <v>202.65472948507261</v>
      </c>
      <c r="N160" s="6">
        <f>'Results - raw data ReCiPe (H)'!BO33*$AC$128</f>
        <v>202.8184607768753</v>
      </c>
      <c r="O160" s="6">
        <f>'Results - raw data ReCiPe (H)'!BP33*$AC$128</f>
        <v>202.90630237366008</v>
      </c>
      <c r="P160" s="6">
        <f>'Results - raw data ReCiPe (H)'!BQ33*$AC$128</f>
        <v>203.04981229974581</v>
      </c>
      <c r="Q160" s="6">
        <f>'Results - raw data ReCiPe (H)'!BR33*$AC$128</f>
        <v>203.1821735744829</v>
      </c>
      <c r="R160" s="6">
        <f>'Results - raw data ReCiPe (H)'!BS33*$AC$128</f>
        <v>210.11444656444689</v>
      </c>
      <c r="S160" s="6">
        <f>'Results - raw data ReCiPe (H)'!BT33*$AC$128</f>
        <v>217.03630147466822</v>
      </c>
      <c r="T160" s="6">
        <f>'Results - raw data ReCiPe (H)'!BU33*$AC$128</f>
        <v>223.89040087752917</v>
      </c>
      <c r="U160" s="6">
        <f>'Results - raw data ReCiPe (H)'!BV33*$AC$128</f>
        <v>230.79612969701321</v>
      </c>
      <c r="V160" s="6">
        <f>'Results - raw data ReCiPe (H)'!BW33*$AC$128</f>
        <v>237.69429769501582</v>
      </c>
      <c r="W160" s="6">
        <f>'Results - raw data ReCiPe (H)'!BX33*$AC$128</f>
        <v>238.73233230194808</v>
      </c>
      <c r="X160" s="6">
        <f>'Results - raw data ReCiPe (H)'!BY33*$AC$128</f>
        <v>239.78248583214003</v>
      </c>
      <c r="Y160" s="6">
        <f>'Results - raw data ReCiPe (H)'!BZ33*$AC$128</f>
        <v>240.83638711718072</v>
      </c>
      <c r="Z160" s="6">
        <f>'Results - raw data ReCiPe (H)'!CA33*$AC$128</f>
        <v>241.89383285728749</v>
      </c>
    </row>
    <row r="161" spans="1:53" outlineLevel="1" x14ac:dyDescent="0.35">
      <c r="A161" s="6" t="s">
        <v>759</v>
      </c>
      <c r="B161" s="6">
        <f>'Results - raw data ReCiPe (H)'!BC34</f>
        <v>0</v>
      </c>
      <c r="C161" s="6">
        <f>'Results - raw data ReCiPe (H)'!BD34</f>
        <v>0</v>
      </c>
      <c r="D161" s="6">
        <f>'Results - raw data ReCiPe (H)'!BE34</f>
        <v>0</v>
      </c>
      <c r="E161" s="6">
        <f>'Results - raw data ReCiPe (H)'!BF34</f>
        <v>0</v>
      </c>
      <c r="F161" s="6">
        <f>'Results - raw data ReCiPe (H)'!BG34</f>
        <v>0</v>
      </c>
      <c r="G161" s="6">
        <f>'Results - raw data ReCiPe (H)'!BH34</f>
        <v>0</v>
      </c>
      <c r="H161" s="6">
        <f>'Results - raw data ReCiPe (H)'!BI34</f>
        <v>0</v>
      </c>
      <c r="I161" s="6">
        <f>'Results - raw data ReCiPe (H)'!BJ34</f>
        <v>0</v>
      </c>
      <c r="J161" s="6">
        <f>'Results - raw data ReCiPe (H)'!BK34</f>
        <v>0</v>
      </c>
      <c r="K161" s="6">
        <f>'Results - raw data ReCiPe (H)'!BL34</f>
        <v>0</v>
      </c>
      <c r="L161" s="6">
        <f>'Results - raw data ReCiPe (H)'!BM34</f>
        <v>0</v>
      </c>
      <c r="M161" s="6">
        <f>'Results - raw data ReCiPe (H)'!BN34</f>
        <v>0</v>
      </c>
      <c r="N161" s="6">
        <f>'Results - raw data ReCiPe (H)'!BO34</f>
        <v>0</v>
      </c>
      <c r="O161" s="6">
        <f>'Results - raw data ReCiPe (H)'!BP34</f>
        <v>0</v>
      </c>
      <c r="P161" s="6">
        <f>'Results - raw data ReCiPe (H)'!BQ34</f>
        <v>0</v>
      </c>
      <c r="Q161" s="6">
        <f>'Results - raw data ReCiPe (H)'!BR34</f>
        <v>0</v>
      </c>
      <c r="R161" s="6">
        <f>'Results - raw data ReCiPe (H)'!BS34</f>
        <v>0</v>
      </c>
      <c r="S161" s="6">
        <f>'Results - raw data ReCiPe (H)'!BT34</f>
        <v>0</v>
      </c>
      <c r="T161" s="6">
        <f>'Results - raw data ReCiPe (H)'!BU34</f>
        <v>0</v>
      </c>
      <c r="U161" s="6">
        <f>'Results - raw data ReCiPe (H)'!BV34</f>
        <v>0</v>
      </c>
      <c r="V161" s="6">
        <f>'Results - raw data ReCiPe (H)'!BW34</f>
        <v>0</v>
      </c>
      <c r="W161" s="6">
        <f>'Results - raw data ReCiPe (H)'!BX34</f>
        <v>0</v>
      </c>
      <c r="X161" s="6">
        <f>'Results - raw data ReCiPe (H)'!BY34</f>
        <v>0</v>
      </c>
      <c r="Y161" s="6">
        <f>'Results - raw data ReCiPe (H)'!BZ34</f>
        <v>0</v>
      </c>
      <c r="Z161" s="6">
        <f>'Results - raw data ReCiPe (H)'!CA34</f>
        <v>0</v>
      </c>
    </row>
    <row r="162" spans="1:53" outlineLevel="1" x14ac:dyDescent="0.35">
      <c r="A162" s="6" t="s">
        <v>760</v>
      </c>
      <c r="B162" s="6">
        <f>150000*($AC$129*'Results - raw data ReCiPe (H)'!BC114+(1-'Results ReCiPe (H) - HHD'!$AC$129)*'Results - raw data ReCiPe (H)'!BC115)</f>
        <v>1839.3449357343477</v>
      </c>
      <c r="C162" s="6">
        <f>150000*($AC$129*'Results - raw data ReCiPe (H)'!BD114+(1-'Results ReCiPe (H) - HHD'!$AC$129)*'Results - raw data ReCiPe (H)'!BD115)</f>
        <v>1847.3513936994136</v>
      </c>
      <c r="D162" s="6">
        <f>150000*($AC$129*'Results - raw data ReCiPe (H)'!BE114+(1-'Results ReCiPe (H) - HHD'!$AC$129)*'Results - raw data ReCiPe (H)'!BE115)</f>
        <v>1855.4295959568169</v>
      </c>
      <c r="E162" s="6">
        <f>150000*($AC$129*'Results - raw data ReCiPe (H)'!BF114+(1-'Results ReCiPe (H) - HHD'!$AC$129)*'Results - raw data ReCiPe (H)'!BF115)</f>
        <v>1859.703558427419</v>
      </c>
      <c r="F162" s="6">
        <f>150000*($AC$129*'Results - raw data ReCiPe (H)'!BG114+(1-'Results ReCiPe (H) - HHD'!$AC$129)*'Results - raw data ReCiPe (H)'!BG115)</f>
        <v>1867.9709163799405</v>
      </c>
      <c r="G162" s="6">
        <f>150000*($AC$129*'Results - raw data ReCiPe (H)'!BH114+(1-'Results ReCiPe (H) - HHD'!$AC$129)*'Results - raw data ReCiPe (H)'!BH115)</f>
        <v>1876.306514134126</v>
      </c>
      <c r="H162" s="6">
        <f>150000*($AC$129*'Results - raw data ReCiPe (H)'!BI114+(1-'Results ReCiPe (H) - HHD'!$AC$129)*'Results - raw data ReCiPe (H)'!BI115)</f>
        <v>1907.948299444816</v>
      </c>
      <c r="I162" s="6">
        <f>150000*($AC$129*'Results - raw data ReCiPe (H)'!BJ114+(1-'Results ReCiPe (H) - HHD'!$AC$129)*'Results - raw data ReCiPe (H)'!BJ115)</f>
        <v>1939.5544371942856</v>
      </c>
      <c r="J162" s="6">
        <f>150000*($AC$129*'Results - raw data ReCiPe (H)'!BK114+(1-'Results ReCiPe (H) - HHD'!$AC$129)*'Results - raw data ReCiPe (H)'!BK115)</f>
        <v>1968.282277329135</v>
      </c>
      <c r="K162" s="6">
        <f>150000*($AC$129*'Results - raw data ReCiPe (H)'!BL114+(1-'Results ReCiPe (H) - HHD'!$AC$129)*'Results - raw data ReCiPe (H)'!BL115)</f>
        <v>1999.9319314688889</v>
      </c>
      <c r="L162" s="6">
        <f>150000*($AC$129*'Results - raw data ReCiPe (H)'!BM114+(1-'Results ReCiPe (H) - HHD'!$AC$129)*'Results - raw data ReCiPe (H)'!BM115)</f>
        <v>2031.5627063350501</v>
      </c>
      <c r="M162" s="6">
        <f>150000*($AC$129*'Results - raw data ReCiPe (H)'!BN114+(1-'Results ReCiPe (H) - HHD'!$AC$129)*'Results - raw data ReCiPe (H)'!BN115)</f>
        <v>2035.2554294482479</v>
      </c>
      <c r="N162" s="6">
        <f>150000*($AC$129*'Results - raw data ReCiPe (H)'!BO114+(1-'Results ReCiPe (H) - HHD'!$AC$129)*'Results - raw data ReCiPe (H)'!BO115)</f>
        <v>2038.8616388868502</v>
      </c>
      <c r="O162" s="6">
        <f>150000*($AC$129*'Results - raw data ReCiPe (H)'!BP114+(1-'Results ReCiPe (H) - HHD'!$AC$129)*'Results - raw data ReCiPe (H)'!BP115)</f>
        <v>2041.6999854561732</v>
      </c>
      <c r="P162" s="6">
        <f>150000*($AC$129*'Results - raw data ReCiPe (H)'!BQ114+(1-'Results ReCiPe (H) - HHD'!$AC$129)*'Results - raw data ReCiPe (H)'!BQ115)</f>
        <v>2045.1258920077817</v>
      </c>
      <c r="Q162" s="6">
        <f>150000*($AC$129*'Results - raw data ReCiPe (H)'!BR114+(1-'Results ReCiPe (H) - HHD'!$AC$129)*'Results - raw data ReCiPe (H)'!BR115)</f>
        <v>2048.4529491289159</v>
      </c>
      <c r="R162" s="6">
        <f>150000*($AC$129*'Results - raw data ReCiPe (H)'!BS114+(1-'Results ReCiPe (H) - HHD'!$AC$129)*'Results - raw data ReCiPe (H)'!BS115)</f>
        <v>2120.9738547707802</v>
      </c>
      <c r="S162" s="6">
        <f>150000*($AC$129*'Results - raw data ReCiPe (H)'!BT114+(1-'Results ReCiPe (H) - HHD'!$AC$129)*'Results - raw data ReCiPe (H)'!BT115)</f>
        <v>2193.5292893363185</v>
      </c>
      <c r="T162" s="6">
        <f>150000*($AC$129*'Results - raw data ReCiPe (H)'!BU114+(1-'Results ReCiPe (H) - HHD'!$AC$129)*'Results - raw data ReCiPe (H)'!BU115)</f>
        <v>2265.5241417441844</v>
      </c>
      <c r="U162" s="6">
        <f>150000*($AC$129*'Results - raw data ReCiPe (H)'!BV114+(1-'Results ReCiPe (H) - HHD'!$AC$129)*'Results - raw data ReCiPe (H)'!BV115)</f>
        <v>2338.1968350458656</v>
      </c>
      <c r="V162" s="6">
        <f>150000*($AC$129*'Results - raw data ReCiPe (H)'!BW114+(1-'Results ReCiPe (H) - HHD'!$AC$129)*'Results - raw data ReCiPe (H)'!BW115)</f>
        <v>2410.9335818739069</v>
      </c>
      <c r="W162" s="6">
        <f>150000*($AC$129*'Results - raw data ReCiPe (H)'!BX114+(1-'Results ReCiPe (H) - HHD'!$AC$129)*'Results - raw data ReCiPe (H)'!BX115)</f>
        <v>2425.9539149219522</v>
      </c>
      <c r="X162" s="6">
        <f>150000*($AC$129*'Results - raw data ReCiPe (H)'!BY114+(1-'Results ReCiPe (H) - HHD'!$AC$129)*'Results - raw data ReCiPe (H)'!BY115)</f>
        <v>2441.1153330716429</v>
      </c>
      <c r="Y162" s="6">
        <f>150000*($AC$129*'Results - raw data ReCiPe (H)'!BZ114+(1-'Results ReCiPe (H) - HHD'!$AC$129)*'Results - raw data ReCiPe (H)'!BZ115)</f>
        <v>2456.378620962304</v>
      </c>
      <c r="Z162" s="6">
        <f>150000*($AC$129*'Results - raw data ReCiPe (H)'!CA114+(1-'Results ReCiPe (H) - HHD'!$AC$129)*'Results - raw data ReCiPe (H)'!CA115)</f>
        <v>2471.7432703896347</v>
      </c>
    </row>
    <row r="163" spans="1:53" outlineLevel="1" x14ac:dyDescent="0.35">
      <c r="A163" s="23" t="s">
        <v>125</v>
      </c>
      <c r="B163" s="17">
        <f t="shared" ref="B163:Z163" si="18">SUM(B132:B162)</f>
        <v>5306.2995728408869</v>
      </c>
      <c r="C163" s="17">
        <f t="shared" si="18"/>
        <v>2151.9443620227808</v>
      </c>
      <c r="D163" s="17">
        <f t="shared" si="18"/>
        <v>2160.5258733615656</v>
      </c>
      <c r="E163" s="17">
        <f t="shared" si="18"/>
        <v>2164.2382559305483</v>
      </c>
      <c r="F163" s="17">
        <f t="shared" si="18"/>
        <v>2173.0231104324066</v>
      </c>
      <c r="G163" s="17">
        <f t="shared" si="18"/>
        <v>2181.8796818884857</v>
      </c>
      <c r="H163" s="17">
        <f t="shared" si="18"/>
        <v>2216.3956132784092</v>
      </c>
      <c r="I163" s="17">
        <f t="shared" si="18"/>
        <v>2250.8628126006925</v>
      </c>
      <c r="J163" s="17">
        <f t="shared" si="18"/>
        <v>2281.6874649736283</v>
      </c>
      <c r="K163" s="17">
        <f t="shared" si="18"/>
        <v>2316.1867911543459</v>
      </c>
      <c r="L163" s="17">
        <f t="shared" si="18"/>
        <v>2350.6559147925591</v>
      </c>
      <c r="M163" s="17">
        <f t="shared" si="18"/>
        <v>2354.50122379195</v>
      </c>
      <c r="N163" s="17">
        <f t="shared" si="18"/>
        <v>2358.2495191616531</v>
      </c>
      <c r="O163" s="17">
        <f t="shared" si="18"/>
        <v>2361.0066566446194</v>
      </c>
      <c r="P163" s="17">
        <f t="shared" si="18"/>
        <v>2364.5543643207566</v>
      </c>
      <c r="Q163" s="17">
        <f t="shared" si="18"/>
        <v>2367.9914201909719</v>
      </c>
      <c r="R163" s="17">
        <f t="shared" si="18"/>
        <v>2447.3937497441393</v>
      </c>
      <c r="S163" s="17">
        <f t="shared" si="18"/>
        <v>2526.8197542488024</v>
      </c>
      <c r="T163" s="17">
        <f t="shared" si="18"/>
        <v>2605.4756272120994</v>
      </c>
      <c r="U163" s="17">
        <f t="shared" si="18"/>
        <v>2685.0035219710171</v>
      </c>
      <c r="V163" s="17">
        <f t="shared" si="18"/>
        <v>2764.5875312419998</v>
      </c>
      <c r="W163" s="17">
        <f t="shared" si="18"/>
        <v>2780.6242210893643</v>
      </c>
      <c r="X163" s="17">
        <f t="shared" si="18"/>
        <v>2796.8146516826682</v>
      </c>
      <c r="Y163" s="17">
        <f t="shared" si="18"/>
        <v>2813.1110866401236</v>
      </c>
      <c r="Z163" s="17">
        <f t="shared" si="18"/>
        <v>2876.4913461383831</v>
      </c>
    </row>
    <row r="164" spans="1:53" outlineLevel="1" x14ac:dyDescent="0.35"/>
    <row r="165" spans="1:53" s="18" customFormat="1" ht="21" x14ac:dyDescent="0.5">
      <c r="A165" s="18" t="s">
        <v>73</v>
      </c>
    </row>
    <row r="166" spans="1:53" s="20" customFormat="1" outlineLevel="1" x14ac:dyDescent="0.35">
      <c r="A166" s="19" t="s">
        <v>766</v>
      </c>
    </row>
    <row r="167" spans="1:53" s="16" customFormat="1" outlineLevel="1" x14ac:dyDescent="0.35">
      <c r="A167" s="21"/>
      <c r="AE167" s="15"/>
    </row>
    <row r="168" spans="1:53" s="16" customFormat="1" outlineLevel="1" x14ac:dyDescent="0.35">
      <c r="A168" s="22" t="s">
        <v>761</v>
      </c>
    </row>
    <row r="169" spans="1:53" s="16" customFormat="1" outlineLevel="1" x14ac:dyDescent="0.35">
      <c r="A169" s="22"/>
      <c r="AB169" s="16" t="s">
        <v>127</v>
      </c>
      <c r="AC169" s="16">
        <v>100</v>
      </c>
      <c r="AD169" s="16" t="s">
        <v>128</v>
      </c>
    </row>
    <row r="170" spans="1:53" s="16" customFormat="1" outlineLevel="1" x14ac:dyDescent="0.35">
      <c r="A170" s="230" t="s">
        <v>768</v>
      </c>
      <c r="AB170" s="16" t="s">
        <v>20</v>
      </c>
      <c r="AC170" s="16">
        <v>0.23</v>
      </c>
      <c r="AD170" s="16" t="s">
        <v>715</v>
      </c>
    </row>
    <row r="171" spans="1:53" s="16" customFormat="1" outlineLevel="1" x14ac:dyDescent="0.35">
      <c r="A171" s="22"/>
      <c r="AB171" s="16" t="s">
        <v>129</v>
      </c>
      <c r="AC171" s="16">
        <v>25</v>
      </c>
      <c r="AD171" s="16" t="s">
        <v>130</v>
      </c>
    </row>
    <row r="172" spans="1:53" outlineLevel="1" x14ac:dyDescent="0.35">
      <c r="B172" s="25">
        <v>2030</v>
      </c>
      <c r="C172" s="25">
        <v>2031</v>
      </c>
      <c r="D172" s="25">
        <v>2032</v>
      </c>
      <c r="E172" s="25">
        <v>2033</v>
      </c>
      <c r="F172" s="25">
        <v>2034</v>
      </c>
      <c r="G172" s="25">
        <v>2035</v>
      </c>
      <c r="H172" s="25">
        <v>2036</v>
      </c>
      <c r="I172" s="25">
        <v>2037</v>
      </c>
      <c r="J172" s="25">
        <v>2038</v>
      </c>
      <c r="K172" s="25">
        <v>2039</v>
      </c>
      <c r="L172" s="25">
        <v>2040</v>
      </c>
      <c r="M172" s="25">
        <v>2041</v>
      </c>
      <c r="N172" s="25">
        <v>2042</v>
      </c>
      <c r="O172" s="25">
        <v>2043</v>
      </c>
      <c r="P172" s="25">
        <v>2044</v>
      </c>
      <c r="Q172" s="25">
        <v>2045</v>
      </c>
      <c r="R172" s="25">
        <v>2046</v>
      </c>
      <c r="S172" s="25">
        <v>2047</v>
      </c>
      <c r="T172" s="25">
        <v>2048</v>
      </c>
      <c r="U172" s="25">
        <v>2049</v>
      </c>
      <c r="V172" s="25">
        <v>2050</v>
      </c>
      <c r="W172" s="25">
        <v>2051</v>
      </c>
      <c r="X172" s="25">
        <v>2052</v>
      </c>
      <c r="Y172" s="25">
        <v>2053</v>
      </c>
      <c r="Z172" s="25">
        <v>2054</v>
      </c>
      <c r="AC172" s="25">
        <v>2030</v>
      </c>
      <c r="AD172" s="25">
        <v>2031</v>
      </c>
      <c r="AE172" s="25">
        <v>2032</v>
      </c>
      <c r="AF172" s="25">
        <v>2033</v>
      </c>
      <c r="AG172" s="25">
        <v>2034</v>
      </c>
      <c r="AH172" s="25">
        <v>2035</v>
      </c>
      <c r="AI172" s="25">
        <v>2036</v>
      </c>
      <c r="AJ172" s="25">
        <v>2037</v>
      </c>
      <c r="AK172" s="25">
        <v>2038</v>
      </c>
      <c r="AL172" s="25">
        <v>2039</v>
      </c>
      <c r="AM172" s="25">
        <v>2040</v>
      </c>
      <c r="AN172" s="25">
        <v>2041</v>
      </c>
      <c r="AO172" s="25">
        <v>2042</v>
      </c>
      <c r="AP172" s="25">
        <v>2043</v>
      </c>
      <c r="AQ172" s="25">
        <v>2044</v>
      </c>
      <c r="AR172" s="25">
        <v>2045</v>
      </c>
      <c r="AS172" s="25">
        <v>2046</v>
      </c>
      <c r="AT172" s="25">
        <v>2047</v>
      </c>
      <c r="AU172" s="25">
        <v>2048</v>
      </c>
      <c r="AV172" s="25">
        <v>2049</v>
      </c>
      <c r="AW172" s="25">
        <v>2050</v>
      </c>
      <c r="AX172" s="25">
        <v>2051</v>
      </c>
      <c r="AY172" s="25">
        <v>2052</v>
      </c>
      <c r="AZ172" s="25">
        <v>2053</v>
      </c>
      <c r="BA172" s="25">
        <v>2054</v>
      </c>
    </row>
    <row r="173" spans="1:53" outlineLevel="1" x14ac:dyDescent="0.35">
      <c r="A173" s="6" t="s">
        <v>21</v>
      </c>
      <c r="B173" s="6">
        <f>'Results - raw data ReCiPe (H)'!BC41</f>
        <v>74.575809260309001</v>
      </c>
      <c r="AB173" s="6" t="s">
        <v>117</v>
      </c>
      <c r="AC173" s="6">
        <f>SUM(B173:B184)+B186</f>
        <v>2837.5515154411646</v>
      </c>
    </row>
    <row r="174" spans="1:53" outlineLevel="1" x14ac:dyDescent="0.35">
      <c r="A174" s="6" t="s">
        <v>23</v>
      </c>
      <c r="B174" s="6">
        <f>'Results - raw data ReCiPe (H)'!BC42</f>
        <v>313.82231223638792</v>
      </c>
      <c r="AB174" s="6" t="s">
        <v>118</v>
      </c>
      <c r="AC174" s="6">
        <f>B185</f>
        <v>266.94496473340826</v>
      </c>
    </row>
    <row r="175" spans="1:53" outlineLevel="1" x14ac:dyDescent="0.35">
      <c r="A175" s="6" t="s">
        <v>26</v>
      </c>
      <c r="B175" s="6">
        <f>'Results - raw data ReCiPe (H)'!BC43</f>
        <v>315.02558376823708</v>
      </c>
      <c r="AB175" s="6" t="s">
        <v>119</v>
      </c>
      <c r="BA175" s="6">
        <f>SUM(Z187:Z198)</f>
        <v>41.794125692809452</v>
      </c>
    </row>
    <row r="176" spans="1:53" outlineLevel="1" x14ac:dyDescent="0.35">
      <c r="A176" s="6" t="s">
        <v>28</v>
      </c>
      <c r="B176" s="6">
        <f>'Results - raw data ReCiPe (H)'!BC44</f>
        <v>243.43520206801139</v>
      </c>
      <c r="AB176" s="6" t="s">
        <v>120</v>
      </c>
      <c r="BA176" s="6">
        <f>Z199</f>
        <v>1.2962860497828945</v>
      </c>
    </row>
    <row r="177" spans="1:53" outlineLevel="1" x14ac:dyDescent="0.35">
      <c r="A177" s="6" t="s">
        <v>29</v>
      </c>
      <c r="B177" s="6">
        <f>'Results - raw data ReCiPe (H)'!BC45</f>
        <v>119.8877128712579</v>
      </c>
      <c r="AB177" s="6" t="s">
        <v>121</v>
      </c>
      <c r="AC177" s="6">
        <f>B200</f>
        <v>117.4164153447413</v>
      </c>
      <c r="AF177" s="6">
        <f>E200</f>
        <v>116.14482404943</v>
      </c>
      <c r="AI177" s="6">
        <f>H200</f>
        <v>115.85431461269189</v>
      </c>
      <c r="AL177" s="6">
        <f>K200</f>
        <v>115.7060268138878</v>
      </c>
      <c r="AO177" s="6">
        <f>N200</f>
        <v>115.22430296168601</v>
      </c>
      <c r="AR177" s="6">
        <f>Q200</f>
        <v>114.21787004973891</v>
      </c>
      <c r="AU177" s="6">
        <f>T200</f>
        <v>113.3881732416237</v>
      </c>
      <c r="AX177" s="6">
        <f>W200</f>
        <v>112.8508899058024</v>
      </c>
      <c r="BA177" s="6">
        <f>Z200</f>
        <v>112.6235531268987</v>
      </c>
    </row>
    <row r="178" spans="1:53" outlineLevel="1" x14ac:dyDescent="0.35">
      <c r="A178" s="6" t="s">
        <v>31</v>
      </c>
      <c r="B178" s="6">
        <f>'Results - raw data ReCiPe (H)'!BC46</f>
        <v>85.211147912787794</v>
      </c>
      <c r="AB178" s="6" t="s">
        <v>122</v>
      </c>
      <c r="AC178" s="6">
        <f>B203+B202</f>
        <v>1896.4731859753776</v>
      </c>
      <c r="AD178" s="6">
        <f t="shared" ref="AD178:AV178" si="19">C203+C202</f>
        <v>1883.0280045309073</v>
      </c>
      <c r="AE178" s="6">
        <f t="shared" si="19"/>
        <v>1869.5947872097088</v>
      </c>
      <c r="AF178" s="6">
        <f t="shared" si="19"/>
        <v>1852.0556255314921</v>
      </c>
      <c r="AG178" s="6">
        <f t="shared" si="19"/>
        <v>1838.6596783462332</v>
      </c>
      <c r="AH178" s="6">
        <f t="shared" si="19"/>
        <v>1825.2704563907971</v>
      </c>
      <c r="AI178" s="6">
        <f t="shared" si="19"/>
        <v>1821.4805795570646</v>
      </c>
      <c r="AJ178" s="6">
        <f t="shared" si="19"/>
        <v>1817.6236908543658</v>
      </c>
      <c r="AK178" s="6">
        <f t="shared" si="19"/>
        <v>1810.183649328512</v>
      </c>
      <c r="AL178" s="6">
        <f t="shared" si="19"/>
        <v>1806.0149675403545</v>
      </c>
      <c r="AM178" s="6">
        <f t="shared" si="19"/>
        <v>1801.6963338431206</v>
      </c>
      <c r="AN178" s="6">
        <f t="shared" si="19"/>
        <v>1790.0305919538512</v>
      </c>
      <c r="AO178" s="6">
        <f t="shared" si="19"/>
        <v>1778.1616071811923</v>
      </c>
      <c r="AP178" s="6">
        <f t="shared" si="19"/>
        <v>1765.2538378409279</v>
      </c>
      <c r="AQ178" s="6">
        <f t="shared" si="19"/>
        <v>1752.9904831156948</v>
      </c>
      <c r="AR178" s="6">
        <f t="shared" si="19"/>
        <v>1740.5260527134133</v>
      </c>
      <c r="AS178" s="6">
        <f t="shared" si="19"/>
        <v>1750.6190305006162</v>
      </c>
      <c r="AT178" s="6">
        <f t="shared" si="19"/>
        <v>1760.5135391731683</v>
      </c>
      <c r="AU178" s="6">
        <f t="shared" si="19"/>
        <v>1769.3936271178084</v>
      </c>
      <c r="AV178" s="6">
        <f t="shared" si="19"/>
        <v>1778.9029692110787</v>
      </c>
      <c r="AW178" s="6">
        <f>V203</f>
        <v>1788.2181978358021</v>
      </c>
      <c r="AX178" s="6">
        <f>W203</f>
        <v>1771.8327195018851</v>
      </c>
      <c r="AY178" s="6">
        <f>X203</f>
        <v>1755.4500545425747</v>
      </c>
      <c r="AZ178" s="6">
        <f>Y203</f>
        <v>1739.0002212587565</v>
      </c>
      <c r="BA178" s="6">
        <f>Z203</f>
        <v>1722.4806429923171</v>
      </c>
    </row>
    <row r="179" spans="1:53" outlineLevel="1" x14ac:dyDescent="0.35">
      <c r="A179" s="6" t="s">
        <v>34</v>
      </c>
      <c r="B179" s="6">
        <f>'Results - raw data ReCiPe (H)'!BC47</f>
        <v>57.213045992396857</v>
      </c>
      <c r="AB179" s="6" t="s">
        <v>123</v>
      </c>
      <c r="AC179" s="6">
        <f t="shared" ref="AC179:BA179" si="20">B201</f>
        <v>190.80831926169219</v>
      </c>
      <c r="AD179" s="6">
        <f t="shared" si="20"/>
        <v>189.05559074903729</v>
      </c>
      <c r="AE179" s="6">
        <f t="shared" si="20"/>
        <v>187.3092236952279</v>
      </c>
      <c r="AF179" s="6">
        <f t="shared" si="20"/>
        <v>185.16993614052569</v>
      </c>
      <c r="AG179" s="6">
        <f t="shared" si="20"/>
        <v>183.4380456107173</v>
      </c>
      <c r="AH179" s="6">
        <f t="shared" si="20"/>
        <v>181.71214162802769</v>
      </c>
      <c r="AI179" s="6">
        <f t="shared" si="20"/>
        <v>181.17559912768741</v>
      </c>
      <c r="AJ179" s="6">
        <f t="shared" si="20"/>
        <v>180.63019576564861</v>
      </c>
      <c r="AK179" s="6">
        <f t="shared" si="20"/>
        <v>179.73481702796158</v>
      </c>
      <c r="AL179" s="6">
        <f t="shared" si="20"/>
        <v>179.1588306038729</v>
      </c>
      <c r="AM179" s="6">
        <f t="shared" si="20"/>
        <v>178.56890291118251</v>
      </c>
      <c r="AN179" s="6">
        <f t="shared" si="20"/>
        <v>177.4089420359019</v>
      </c>
      <c r="AO179" s="6">
        <f t="shared" si="20"/>
        <v>176.22960903326171</v>
      </c>
      <c r="AP179" s="6">
        <f t="shared" si="20"/>
        <v>174.9496902502498</v>
      </c>
      <c r="AQ179" s="6">
        <f t="shared" si="20"/>
        <v>173.73281654623028</v>
      </c>
      <c r="AR179" s="6">
        <f t="shared" si="20"/>
        <v>172.4968265332175</v>
      </c>
      <c r="AS179" s="6">
        <f t="shared" si="20"/>
        <v>173.75058357926031</v>
      </c>
      <c r="AT179" s="6">
        <f t="shared" si="20"/>
        <v>174.99066308481841</v>
      </c>
      <c r="AU179" s="6">
        <f t="shared" si="20"/>
        <v>176.13761272032221</v>
      </c>
      <c r="AV179" s="6">
        <f t="shared" si="20"/>
        <v>177.3507746092007</v>
      </c>
      <c r="AW179" s="6">
        <f t="shared" si="20"/>
        <v>178.55047238069631</v>
      </c>
      <c r="AX179" s="6">
        <f t="shared" si="20"/>
        <v>176.68801572539721</v>
      </c>
      <c r="AY179" s="6">
        <f t="shared" si="20"/>
        <v>174.8344594576121</v>
      </c>
      <c r="AZ179" s="6">
        <f t="shared" si="20"/>
        <v>172.97929612138142</v>
      </c>
      <c r="BA179" s="6">
        <f t="shared" si="20"/>
        <v>171.1222224813973</v>
      </c>
    </row>
    <row r="180" spans="1:53" outlineLevel="1" x14ac:dyDescent="0.35">
      <c r="A180" s="6" t="s">
        <v>36</v>
      </c>
      <c r="B180" s="6">
        <f>'Results - raw data ReCiPe (H)'!BC48</f>
        <v>60.149320712686112</v>
      </c>
      <c r="AB180" s="6" t="s">
        <v>124</v>
      </c>
    </row>
    <row r="181" spans="1:53" outlineLevel="1" x14ac:dyDescent="0.35">
      <c r="A181" s="6" t="s">
        <v>38</v>
      </c>
      <c r="B181" s="6">
        <f>'Results - raw data ReCiPe (H)'!BC49</f>
        <v>654.34504301961317</v>
      </c>
      <c r="AB181" s="23" t="s">
        <v>125</v>
      </c>
      <c r="AC181" s="17">
        <f>SUM(AC173:AC180)</f>
        <v>5309.1944007563843</v>
      </c>
      <c r="AD181" s="17">
        <f t="shared" ref="AD181:BA181" si="21">SUM(AD173:AD180)</f>
        <v>2072.0835952799448</v>
      </c>
      <c r="AE181" s="17">
        <f t="shared" si="21"/>
        <v>2056.9040109049365</v>
      </c>
      <c r="AF181" s="17">
        <f t="shared" si="21"/>
        <v>2153.3703857214477</v>
      </c>
      <c r="AG181" s="17">
        <f t="shared" si="21"/>
        <v>2022.0977239569506</v>
      </c>
      <c r="AH181" s="17">
        <f t="shared" si="21"/>
        <v>2006.9825980188248</v>
      </c>
      <c r="AI181" s="17">
        <f t="shared" si="21"/>
        <v>2118.5104932974441</v>
      </c>
      <c r="AJ181" s="17">
        <f t="shared" si="21"/>
        <v>1998.2538866200143</v>
      </c>
      <c r="AK181" s="17">
        <f t="shared" si="21"/>
        <v>1989.9184663564736</v>
      </c>
      <c r="AL181" s="17">
        <f t="shared" si="21"/>
        <v>2100.879824958115</v>
      </c>
      <c r="AM181" s="17">
        <f t="shared" si="21"/>
        <v>1980.265236754303</v>
      </c>
      <c r="AN181" s="17">
        <f t="shared" si="21"/>
        <v>1967.439533989753</v>
      </c>
      <c r="AO181" s="17">
        <f t="shared" si="21"/>
        <v>2069.61551917614</v>
      </c>
      <c r="AP181" s="17">
        <f t="shared" si="21"/>
        <v>1940.2035280911778</v>
      </c>
      <c r="AQ181" s="17">
        <f t="shared" si="21"/>
        <v>1926.723299661925</v>
      </c>
      <c r="AR181" s="17">
        <f t="shared" si="21"/>
        <v>2027.2407492963696</v>
      </c>
      <c r="AS181" s="17">
        <f t="shared" si="21"/>
        <v>1924.3696140798766</v>
      </c>
      <c r="AT181" s="17">
        <f t="shared" si="21"/>
        <v>1935.5042022579867</v>
      </c>
      <c r="AU181" s="17">
        <f t="shared" si="21"/>
        <v>2058.9194130797541</v>
      </c>
      <c r="AV181" s="17">
        <f t="shared" si="21"/>
        <v>1956.2537438202794</v>
      </c>
      <c r="AW181" s="17">
        <f t="shared" si="21"/>
        <v>1966.7686702164983</v>
      </c>
      <c r="AX181" s="17">
        <f t="shared" si="21"/>
        <v>2061.3716251330848</v>
      </c>
      <c r="AY181" s="17">
        <f t="shared" si="21"/>
        <v>1930.2845140001868</v>
      </c>
      <c r="AZ181" s="17">
        <f t="shared" si="21"/>
        <v>1911.9795173801378</v>
      </c>
      <c r="BA181" s="17">
        <f t="shared" si="21"/>
        <v>2049.3168303432053</v>
      </c>
    </row>
    <row r="182" spans="1:53" outlineLevel="1" x14ac:dyDescent="0.35">
      <c r="A182" s="6" t="s">
        <v>39</v>
      </c>
      <c r="B182" s="6">
        <f>'Results - raw data ReCiPe (H)'!BC50</f>
        <v>693.55879573755169</v>
      </c>
    </row>
    <row r="183" spans="1:53" outlineLevel="1" x14ac:dyDescent="0.35">
      <c r="A183" s="6" t="s">
        <v>41</v>
      </c>
      <c r="B183" s="6">
        <f>'Results - raw data ReCiPe (H)'!BC51</f>
        <v>53.610983579825508</v>
      </c>
    </row>
    <row r="184" spans="1:53" outlineLevel="1" x14ac:dyDescent="0.35">
      <c r="A184" s="6" t="s">
        <v>43</v>
      </c>
      <c r="B184" s="6">
        <f>'Results - raw data ReCiPe (H)'!BC52</f>
        <v>73.167744204374856</v>
      </c>
      <c r="AB184" s="219"/>
      <c r="AC184" s="219"/>
      <c r="AD184" s="219"/>
      <c r="AE184" s="219"/>
      <c r="AF184" s="219"/>
      <c r="AG184" s="219"/>
      <c r="AH184" s="219"/>
      <c r="AI184" s="219"/>
      <c r="AJ184" s="219"/>
      <c r="AK184" s="219"/>
      <c r="AL184" s="219"/>
      <c r="AM184" s="219"/>
      <c r="AN184" s="219"/>
      <c r="AO184" s="219"/>
      <c r="AP184" s="219"/>
      <c r="AQ184" s="219"/>
      <c r="AR184" s="219"/>
      <c r="AS184" s="219"/>
      <c r="AT184" s="219"/>
      <c r="AU184" s="219"/>
      <c r="AV184" s="219"/>
      <c r="AW184" s="219"/>
      <c r="AX184" s="219"/>
      <c r="AY184" s="219"/>
      <c r="AZ184" s="219"/>
      <c r="BA184" s="219"/>
    </row>
    <row r="185" spans="1:53" outlineLevel="1" x14ac:dyDescent="0.35">
      <c r="A185" s="6" t="s">
        <v>44</v>
      </c>
      <c r="B185" s="6">
        <f>'Results - raw data ReCiPe (H)'!BC53*AC169*AC171</f>
        <v>266.94496473340826</v>
      </c>
      <c r="AB185" s="219"/>
      <c r="AC185" s="219"/>
      <c r="AD185" s="219"/>
      <c r="AE185" s="219"/>
      <c r="AF185" s="219"/>
      <c r="AG185" s="219"/>
      <c r="AH185" s="219"/>
      <c r="AI185" s="219"/>
      <c r="AJ185" s="219"/>
      <c r="AK185" s="219"/>
      <c r="AL185" s="219"/>
      <c r="AM185" s="219"/>
      <c r="AN185" s="219"/>
      <c r="AO185" s="219"/>
      <c r="AP185" s="219"/>
      <c r="AQ185" s="219"/>
      <c r="AR185" s="219"/>
      <c r="AS185" s="219"/>
      <c r="AT185" s="219"/>
      <c r="AU185" s="219"/>
      <c r="AV185" s="219"/>
      <c r="AW185" s="219"/>
      <c r="AX185" s="219"/>
      <c r="AY185" s="219"/>
      <c r="AZ185" s="219"/>
      <c r="BA185" s="219"/>
    </row>
    <row r="186" spans="1:53" outlineLevel="1" x14ac:dyDescent="0.35">
      <c r="A186" s="6" t="s">
        <v>757</v>
      </c>
      <c r="B186" s="6">
        <f>'Results - raw data ReCiPe (H)'!BC54*AC169*AC171</f>
        <v>93.54881407772514</v>
      </c>
      <c r="AB186" s="219"/>
      <c r="AC186" s="219"/>
      <c r="AD186" s="219"/>
      <c r="AE186" s="219"/>
      <c r="AF186" s="219"/>
      <c r="AG186" s="219"/>
      <c r="AH186" s="219"/>
      <c r="AI186" s="219"/>
      <c r="AJ186" s="219"/>
      <c r="AK186" s="219"/>
      <c r="AL186" s="219"/>
      <c r="AM186" s="219"/>
      <c r="AN186" s="219"/>
      <c r="AO186" s="219"/>
      <c r="AP186" s="219"/>
      <c r="AQ186" s="219"/>
      <c r="AR186" s="219"/>
      <c r="AS186" s="219"/>
      <c r="AT186" s="219"/>
      <c r="AU186" s="219"/>
      <c r="AV186" s="219"/>
      <c r="AW186" s="219"/>
      <c r="AX186" s="219"/>
      <c r="AY186" s="219"/>
      <c r="AZ186" s="219"/>
      <c r="BA186" s="219"/>
    </row>
    <row r="187" spans="1:53" outlineLevel="1" x14ac:dyDescent="0.35">
      <c r="A187" s="6" t="s">
        <v>22</v>
      </c>
      <c r="Z187" s="6">
        <f>'Results - raw data ReCiPe (H)'!CA55</f>
        <v>0.32233715306889849</v>
      </c>
      <c r="AB187" s="219"/>
      <c r="AC187" s="219"/>
      <c r="AD187" s="219"/>
      <c r="AE187" s="219"/>
      <c r="AF187" s="219"/>
      <c r="AG187" s="219"/>
      <c r="AH187" s="219"/>
      <c r="AI187" s="219"/>
      <c r="AJ187" s="219"/>
      <c r="AK187" s="219"/>
      <c r="AL187" s="219"/>
      <c r="AM187" s="219"/>
      <c r="AN187" s="219"/>
      <c r="AO187" s="219"/>
      <c r="AP187" s="219"/>
      <c r="AQ187" s="219"/>
      <c r="AR187" s="219"/>
      <c r="AS187" s="219"/>
      <c r="AT187" s="219"/>
      <c r="AU187" s="219"/>
      <c r="AV187" s="219"/>
      <c r="AW187" s="219"/>
      <c r="AX187" s="219"/>
      <c r="AY187" s="219"/>
      <c r="AZ187" s="219"/>
      <c r="BA187" s="219"/>
    </row>
    <row r="188" spans="1:53" outlineLevel="1" x14ac:dyDescent="0.35">
      <c r="A188" s="6" t="s">
        <v>24</v>
      </c>
      <c r="Z188" s="6">
        <f>'Results - raw data ReCiPe (H)'!CA56</f>
        <v>0.35838182732894691</v>
      </c>
      <c r="AB188" s="219"/>
      <c r="AC188" s="219"/>
      <c r="AD188" s="219"/>
      <c r="AE188" s="219"/>
      <c r="AF188" s="219"/>
      <c r="AG188" s="219"/>
      <c r="AH188" s="219"/>
      <c r="AI188" s="219"/>
      <c r="AJ188" s="219"/>
      <c r="AK188" s="219"/>
      <c r="AL188" s="219"/>
      <c r="AM188" s="219"/>
      <c r="AN188" s="219"/>
      <c r="AO188" s="219"/>
      <c r="AP188" s="219"/>
      <c r="AQ188" s="219"/>
      <c r="AR188" s="219"/>
      <c r="AS188" s="219"/>
      <c r="AT188" s="219"/>
      <c r="AU188" s="219"/>
      <c r="AV188" s="219"/>
      <c r="AW188" s="219"/>
      <c r="AX188" s="219"/>
      <c r="AY188" s="219"/>
      <c r="AZ188" s="219"/>
      <c r="BA188" s="219"/>
    </row>
    <row r="189" spans="1:53" outlineLevel="1" x14ac:dyDescent="0.35">
      <c r="A189" s="6" t="s">
        <v>25</v>
      </c>
      <c r="Z189" s="6">
        <f>'Results - raw data ReCiPe (H)'!CA57</f>
        <v>1.6303359130110771</v>
      </c>
      <c r="AB189" s="219"/>
      <c r="AC189" s="219"/>
      <c r="AD189" s="219"/>
      <c r="AE189" s="219"/>
      <c r="AF189" s="219"/>
      <c r="AG189" s="219"/>
      <c r="AH189" s="219"/>
      <c r="AI189" s="219"/>
      <c r="AJ189" s="219"/>
      <c r="AK189" s="219"/>
      <c r="AL189" s="219"/>
      <c r="AM189" s="219"/>
      <c r="AN189" s="219"/>
      <c r="AO189" s="219"/>
      <c r="AP189" s="219"/>
      <c r="AQ189" s="219"/>
      <c r="AR189" s="219"/>
      <c r="AS189" s="219"/>
      <c r="AT189" s="219"/>
      <c r="AU189" s="219"/>
      <c r="AV189" s="219"/>
      <c r="AW189" s="219"/>
      <c r="AX189" s="219"/>
      <c r="AY189" s="219"/>
      <c r="AZ189" s="219"/>
      <c r="BA189" s="219"/>
    </row>
    <row r="190" spans="1:53" outlineLevel="1" x14ac:dyDescent="0.35">
      <c r="A190" s="6" t="s">
        <v>27</v>
      </c>
      <c r="Z190" s="6">
        <f>'Results - raw data ReCiPe (H)'!CA58</f>
        <v>0.99750299663896524</v>
      </c>
      <c r="AB190" s="219"/>
      <c r="AC190" s="219"/>
      <c r="AD190" s="219"/>
      <c r="AE190" s="219"/>
      <c r="AF190" s="219"/>
      <c r="AG190" s="219"/>
      <c r="AH190" s="219"/>
      <c r="AI190" s="219"/>
      <c r="AJ190" s="219"/>
      <c r="AK190" s="219"/>
      <c r="AL190" s="219"/>
      <c r="AM190" s="219"/>
      <c r="AN190" s="219"/>
      <c r="AO190" s="219"/>
      <c r="AP190" s="219"/>
      <c r="AQ190" s="219"/>
      <c r="AR190" s="219"/>
      <c r="AS190" s="219"/>
      <c r="AT190" s="219"/>
      <c r="AU190" s="219"/>
      <c r="AV190" s="219"/>
      <c r="AW190" s="219"/>
      <c r="AX190" s="219"/>
      <c r="AY190" s="219"/>
      <c r="AZ190" s="219"/>
      <c r="BA190" s="219"/>
    </row>
    <row r="191" spans="1:53" outlineLevel="1" x14ac:dyDescent="0.35">
      <c r="A191" s="6" t="s">
        <v>30</v>
      </c>
      <c r="Z191" s="6">
        <f>'Results - raw data ReCiPe (H)'!CA59</f>
        <v>0.39549334266602593</v>
      </c>
      <c r="AB191" s="219"/>
      <c r="AC191" s="219"/>
      <c r="AD191" s="219"/>
      <c r="AE191" s="219"/>
      <c r="AF191" s="219"/>
      <c r="AG191" s="219"/>
      <c r="AH191" s="219"/>
      <c r="AI191" s="219"/>
      <c r="AJ191" s="219"/>
      <c r="AK191" s="219"/>
      <c r="AL191" s="219"/>
      <c r="AM191" s="219"/>
      <c r="AN191" s="219"/>
      <c r="AO191" s="219"/>
      <c r="AP191" s="219"/>
      <c r="AQ191" s="219"/>
      <c r="AR191" s="219"/>
      <c r="AS191" s="219"/>
      <c r="AT191" s="219"/>
      <c r="AU191" s="219"/>
      <c r="AV191" s="219"/>
      <c r="AW191" s="219"/>
      <c r="AX191" s="219"/>
      <c r="AY191" s="219"/>
      <c r="AZ191" s="219"/>
      <c r="BA191" s="219"/>
    </row>
    <row r="192" spans="1:53" outlineLevel="1" x14ac:dyDescent="0.35">
      <c r="A192" s="6" t="s">
        <v>32</v>
      </c>
      <c r="Z192" s="6">
        <f>'Results - raw data ReCiPe (H)'!CA60</f>
        <v>0.17713632900602139</v>
      </c>
      <c r="AB192" s="219"/>
      <c r="AC192" s="219"/>
      <c r="AD192" s="219"/>
      <c r="AE192" s="219"/>
      <c r="AF192" s="219"/>
      <c r="AG192" s="219"/>
      <c r="AH192" s="219"/>
      <c r="AI192" s="219"/>
      <c r="AJ192" s="219"/>
      <c r="AK192" s="219"/>
      <c r="AL192" s="219"/>
      <c r="AM192" s="219"/>
      <c r="AN192" s="219"/>
      <c r="AO192" s="219"/>
      <c r="AP192" s="219"/>
      <c r="AQ192" s="219"/>
      <c r="AR192" s="219"/>
      <c r="AS192" s="219"/>
      <c r="AT192" s="219"/>
      <c r="AU192" s="219"/>
      <c r="AV192" s="219"/>
      <c r="AW192" s="219"/>
      <c r="AX192" s="219"/>
      <c r="AY192" s="219"/>
      <c r="AZ192" s="219"/>
      <c r="BA192" s="219"/>
    </row>
    <row r="193" spans="1:53" outlineLevel="1" x14ac:dyDescent="0.35">
      <c r="A193" s="6" t="s">
        <v>33</v>
      </c>
      <c r="Z193" s="6">
        <f>'Results - raw data ReCiPe (H)'!CA61</f>
        <v>0.1021911347554563</v>
      </c>
      <c r="AB193" s="219"/>
      <c r="AC193" s="219"/>
      <c r="AD193" s="219"/>
      <c r="AE193" s="219"/>
      <c r="AF193" s="219"/>
      <c r="AG193" s="219"/>
      <c r="AH193" s="219"/>
      <c r="AI193" s="219"/>
      <c r="AJ193" s="219"/>
      <c r="AK193" s="219"/>
      <c r="AL193" s="219"/>
      <c r="AM193" s="219"/>
      <c r="AN193" s="219"/>
      <c r="AO193" s="219"/>
      <c r="AP193" s="219"/>
      <c r="AQ193" s="219"/>
      <c r="AR193" s="219"/>
      <c r="AS193" s="219"/>
      <c r="AT193" s="219"/>
      <c r="AU193" s="219"/>
      <c r="AV193" s="219"/>
      <c r="AW193" s="219"/>
      <c r="AX193" s="219"/>
      <c r="AY193" s="219"/>
      <c r="AZ193" s="219"/>
      <c r="BA193" s="219"/>
    </row>
    <row r="194" spans="1:53" outlineLevel="1" x14ac:dyDescent="0.35">
      <c r="A194" s="6" t="s">
        <v>35</v>
      </c>
      <c r="Z194" s="6">
        <f>'Results - raw data ReCiPe (H)'!CA62</f>
        <v>0.20438226951091251</v>
      </c>
      <c r="AB194" s="219"/>
      <c r="AC194" s="219"/>
      <c r="AD194" s="219"/>
      <c r="AE194" s="219"/>
      <c r="AF194" s="219"/>
      <c r="AG194" s="219"/>
      <c r="AH194" s="219"/>
      <c r="AI194" s="219"/>
      <c r="AJ194" s="219"/>
      <c r="AK194" s="219"/>
      <c r="AL194" s="219"/>
      <c r="AM194" s="219"/>
      <c r="AN194" s="219"/>
      <c r="AO194" s="219"/>
      <c r="AP194" s="219"/>
      <c r="AQ194" s="219"/>
      <c r="AR194" s="219"/>
      <c r="AS194" s="219"/>
      <c r="AT194" s="219"/>
      <c r="AU194" s="219"/>
      <c r="AV194" s="219"/>
      <c r="AW194" s="219"/>
      <c r="AX194" s="219"/>
      <c r="AY194" s="219"/>
      <c r="AZ194" s="219"/>
      <c r="BA194" s="219"/>
    </row>
    <row r="195" spans="1:53" outlineLevel="1" x14ac:dyDescent="0.35">
      <c r="A195" s="6" t="s">
        <v>37</v>
      </c>
      <c r="Z195" s="6">
        <f>'Results - raw data ReCiPe (H)'!CA63</f>
        <v>3.0230501723671872</v>
      </c>
      <c r="AB195" s="219"/>
      <c r="AC195" s="219"/>
      <c r="AD195" s="219"/>
      <c r="AE195" s="219"/>
      <c r="AF195" s="219"/>
      <c r="AG195" s="219"/>
      <c r="AH195" s="219"/>
      <c r="AI195" s="219"/>
      <c r="AJ195" s="219"/>
      <c r="AK195" s="219"/>
      <c r="AL195" s="219"/>
      <c r="AM195" s="219"/>
      <c r="AN195" s="219"/>
      <c r="AO195" s="219"/>
      <c r="AP195" s="219"/>
      <c r="AQ195" s="219"/>
      <c r="AR195" s="219"/>
      <c r="AS195" s="219"/>
      <c r="AT195" s="219"/>
      <c r="AU195" s="219"/>
      <c r="AV195" s="219"/>
      <c r="AW195" s="219"/>
      <c r="AX195" s="219"/>
      <c r="AY195" s="219"/>
      <c r="AZ195" s="219"/>
      <c r="BA195" s="219"/>
    </row>
    <row r="196" spans="1:53" outlineLevel="1" x14ac:dyDescent="0.35">
      <c r="A196" s="6" t="s">
        <v>40</v>
      </c>
      <c r="Z196" s="6">
        <f>'Results - raw data ReCiPe (H)'!CA64</f>
        <v>1.399154055783115</v>
      </c>
    </row>
    <row r="197" spans="1:53" outlineLevel="1" x14ac:dyDescent="0.35">
      <c r="A197" s="6" t="s">
        <v>42</v>
      </c>
      <c r="Z197" s="6">
        <f>'Results - raw data ReCiPe (H)'!CA65</f>
        <v>3.7454886419278992</v>
      </c>
    </row>
    <row r="198" spans="1:53" outlineLevel="1" x14ac:dyDescent="0.35">
      <c r="A198" s="6" t="s">
        <v>115</v>
      </c>
      <c r="Z198" s="6">
        <f>'Results - raw data ReCiPe (H)'!CA66</f>
        <v>29.43867185674495</v>
      </c>
    </row>
    <row r="199" spans="1:53" outlineLevel="1" x14ac:dyDescent="0.35">
      <c r="A199" s="6" t="s">
        <v>45</v>
      </c>
      <c r="Z199" s="6">
        <f>'Results - raw data ReCiPe (H)'!CA67*AC169*AC171</f>
        <v>1.2962860497828945</v>
      </c>
    </row>
    <row r="200" spans="1:53" outlineLevel="1" x14ac:dyDescent="0.35">
      <c r="A200" s="6" t="s">
        <v>116</v>
      </c>
      <c r="B200" s="6">
        <f>'Results - raw data ReCiPe (H)'!BC68</f>
        <v>117.4164153447413</v>
      </c>
      <c r="C200" s="6">
        <f>'Results - raw data ReCiPe (H)'!BD68</f>
        <v>117.22450567272359</v>
      </c>
      <c r="D200" s="6">
        <f>'Results - raw data ReCiPe (H)'!BE68</f>
        <v>117.0302875893984</v>
      </c>
      <c r="E200" s="6">
        <f>'Results - raw data ReCiPe (H)'!BF68</f>
        <v>116.14482404943</v>
      </c>
      <c r="F200" s="6">
        <f>'Results - raw data ReCiPe (H)'!BG68</f>
        <v>115.9485520514929</v>
      </c>
      <c r="G200" s="6">
        <f>'Results - raw data ReCiPe (H)'!BH68</f>
        <v>115.7497578563647</v>
      </c>
      <c r="H200" s="6">
        <f>'Results - raw data ReCiPe (H)'!BI68</f>
        <v>115.85431461269189</v>
      </c>
      <c r="I200" s="6">
        <f>'Results - raw data ReCiPe (H)'!BJ68</f>
        <v>115.9586781641881</v>
      </c>
      <c r="J200" s="6">
        <f>'Results - raw data ReCiPe (H)'!BK68</f>
        <v>115.5987692292539</v>
      </c>
      <c r="K200" s="6">
        <f>'Results - raw data ReCiPe (H)'!BL68</f>
        <v>115.7060268138878</v>
      </c>
      <c r="L200" s="6">
        <f>'Results - raw data ReCiPe (H)'!BM68</f>
        <v>115.8115094107404</v>
      </c>
      <c r="M200" s="6">
        <f>'Results - raw data ReCiPe (H)'!BN68</f>
        <v>115.5173498619511</v>
      </c>
      <c r="N200" s="6">
        <f>'Results - raw data ReCiPe (H)'!BO68</f>
        <v>115.22430296168601</v>
      </c>
      <c r="O200" s="6">
        <f>'Results - raw data ReCiPe (H)'!BP68</f>
        <v>114.7936526068347</v>
      </c>
      <c r="P200" s="6">
        <f>'Results - raw data ReCiPe (H)'!BQ68</f>
        <v>114.5052775721217</v>
      </c>
      <c r="Q200" s="6">
        <f>'Results - raw data ReCiPe (H)'!BR68</f>
        <v>114.21787004973891</v>
      </c>
      <c r="R200" s="6">
        <f>'Results - raw data ReCiPe (H)'!BS68</f>
        <v>113.9841517876385</v>
      </c>
      <c r="S200" s="6">
        <f>'Results - raw data ReCiPe (H)'!BT68</f>
        <v>113.7508966638362</v>
      </c>
      <c r="T200" s="6">
        <f>'Results - raw data ReCiPe (H)'!BU68</f>
        <v>113.3881732416237</v>
      </c>
      <c r="U200" s="6">
        <f>'Results - raw data ReCiPe (H)'!BV68</f>
        <v>113.15789542976781</v>
      </c>
      <c r="V200" s="6">
        <f>'Results - raw data ReCiPe (H)'!BW68</f>
        <v>112.9279936934194</v>
      </c>
      <c r="W200" s="6">
        <f>'Results - raw data ReCiPe (H)'!BX68</f>
        <v>112.8508899058024</v>
      </c>
      <c r="X200" s="6">
        <f>'Results - raw data ReCiPe (H)'!BY68</f>
        <v>112.7745546080785</v>
      </c>
      <c r="Y200" s="6">
        <f>'Results - raw data ReCiPe (H)'!BZ68</f>
        <v>112.6987835438154</v>
      </c>
      <c r="Z200" s="6">
        <f>'Results - raw data ReCiPe (H)'!CA68</f>
        <v>112.6235531268987</v>
      </c>
    </row>
    <row r="201" spans="1:53" outlineLevel="1" x14ac:dyDescent="0.35">
      <c r="A201" s="6" t="s">
        <v>758</v>
      </c>
      <c r="B201" s="6">
        <f>'Results - raw data ReCiPe (H)'!BC69*$AC$169</f>
        <v>190.80831926169219</v>
      </c>
      <c r="C201" s="6">
        <f>'Results - raw data ReCiPe (H)'!BD69*$AC$169</f>
        <v>189.05559074903729</v>
      </c>
      <c r="D201" s="6">
        <f>'Results - raw data ReCiPe (H)'!BE69*$AC$169</f>
        <v>187.3092236952279</v>
      </c>
      <c r="E201" s="6">
        <f>'Results - raw data ReCiPe (H)'!BF69*$AC$169</f>
        <v>185.16993614052569</v>
      </c>
      <c r="F201" s="6">
        <f>'Results - raw data ReCiPe (H)'!BG69*$AC$169</f>
        <v>183.4380456107173</v>
      </c>
      <c r="G201" s="6">
        <f>'Results - raw data ReCiPe (H)'!BH69*$AC$169</f>
        <v>181.71214162802769</v>
      </c>
      <c r="H201" s="6">
        <f>'Results - raw data ReCiPe (H)'!BI69*$AC$169</f>
        <v>181.17559912768741</v>
      </c>
      <c r="I201" s="6">
        <f>'Results - raw data ReCiPe (H)'!BJ69*$AC$169</f>
        <v>180.63019576564861</v>
      </c>
      <c r="J201" s="6">
        <f>'Results - raw data ReCiPe (H)'!BK69*$AC$169</f>
        <v>179.73481702796158</v>
      </c>
      <c r="K201" s="6">
        <f>'Results - raw data ReCiPe (H)'!BL69*$AC$169</f>
        <v>179.1588306038729</v>
      </c>
      <c r="L201" s="6">
        <f>'Results - raw data ReCiPe (H)'!BM69*$AC$169</f>
        <v>178.56890291118251</v>
      </c>
      <c r="M201" s="6">
        <f>'Results - raw data ReCiPe (H)'!BN69*$AC$169</f>
        <v>177.4089420359019</v>
      </c>
      <c r="N201" s="6">
        <f>'Results - raw data ReCiPe (H)'!BO69*$AC$169</f>
        <v>176.22960903326171</v>
      </c>
      <c r="O201" s="6">
        <f>'Results - raw data ReCiPe (H)'!BP69*$AC$169</f>
        <v>174.9496902502498</v>
      </c>
      <c r="P201" s="6">
        <f>'Results - raw data ReCiPe (H)'!BQ69*$AC$169</f>
        <v>173.73281654623028</v>
      </c>
      <c r="Q201" s="6">
        <f>'Results - raw data ReCiPe (H)'!BR69*$AC$169</f>
        <v>172.4968265332175</v>
      </c>
      <c r="R201" s="6">
        <f>'Results - raw data ReCiPe (H)'!BS69*$AC$169</f>
        <v>173.75058357926031</v>
      </c>
      <c r="S201" s="6">
        <f>'Results - raw data ReCiPe (H)'!BT69*$AC$169</f>
        <v>174.99066308481841</v>
      </c>
      <c r="T201" s="6">
        <f>'Results - raw data ReCiPe (H)'!BU69*$AC$169</f>
        <v>176.13761272032221</v>
      </c>
      <c r="U201" s="6">
        <f>'Results - raw data ReCiPe (H)'!BV69*$AC$169</f>
        <v>177.3507746092007</v>
      </c>
      <c r="V201" s="6">
        <f>'Results - raw data ReCiPe (H)'!BW69*$AC$169</f>
        <v>178.55047238069631</v>
      </c>
      <c r="W201" s="6">
        <f>'Results - raw data ReCiPe (H)'!BX69*$AC$169</f>
        <v>176.68801572539721</v>
      </c>
      <c r="X201" s="6">
        <f>'Results - raw data ReCiPe (H)'!BY69*$AC$169</f>
        <v>174.8344594576121</v>
      </c>
      <c r="Y201" s="6">
        <f>'Results - raw data ReCiPe (H)'!BZ69*$AC$169</f>
        <v>172.97929612138142</v>
      </c>
      <c r="Z201" s="6">
        <f>'Results - raw data ReCiPe (H)'!CA69*$AC$169</f>
        <v>171.1222224813973</v>
      </c>
    </row>
    <row r="202" spans="1:53" outlineLevel="1" x14ac:dyDescent="0.35">
      <c r="A202" s="6" t="s">
        <v>759</v>
      </c>
      <c r="B202" s="6">
        <f>'Results - raw data ReCiPe (H)'!BC70</f>
        <v>0</v>
      </c>
      <c r="C202" s="6">
        <f>'Results - raw data ReCiPe (H)'!BD70</f>
        <v>0</v>
      </c>
      <c r="D202" s="6">
        <f>'Results - raw data ReCiPe (H)'!BE70</f>
        <v>0</v>
      </c>
      <c r="E202" s="6">
        <f>'Results - raw data ReCiPe (H)'!BF70</f>
        <v>0</v>
      </c>
      <c r="F202" s="6">
        <f>'Results - raw data ReCiPe (H)'!BG70</f>
        <v>0</v>
      </c>
      <c r="G202" s="6">
        <f>'Results - raw data ReCiPe (H)'!BH70</f>
        <v>0</v>
      </c>
      <c r="H202" s="6">
        <f>'Results - raw data ReCiPe (H)'!BI70</f>
        <v>0</v>
      </c>
      <c r="I202" s="6">
        <f>'Results - raw data ReCiPe (H)'!BJ70</f>
        <v>0</v>
      </c>
      <c r="J202" s="6">
        <f>'Results - raw data ReCiPe (H)'!BK70</f>
        <v>0</v>
      </c>
      <c r="K202" s="6">
        <f>'Results - raw data ReCiPe (H)'!BL70</f>
        <v>0</v>
      </c>
      <c r="L202" s="6">
        <f>'Results - raw data ReCiPe (H)'!BM70</f>
        <v>0</v>
      </c>
      <c r="M202" s="6">
        <f>'Results - raw data ReCiPe (H)'!BN70</f>
        <v>0</v>
      </c>
      <c r="N202" s="6">
        <f>'Results - raw data ReCiPe (H)'!BO70</f>
        <v>0</v>
      </c>
      <c r="O202" s="6">
        <f>'Results - raw data ReCiPe (H)'!BP70</f>
        <v>0</v>
      </c>
      <c r="P202" s="6">
        <f>'Results - raw data ReCiPe (H)'!BQ70</f>
        <v>0</v>
      </c>
      <c r="Q202" s="6">
        <f>'Results - raw data ReCiPe (H)'!BR70</f>
        <v>0</v>
      </c>
      <c r="R202" s="6">
        <f>'Results - raw data ReCiPe (H)'!BS70</f>
        <v>0</v>
      </c>
      <c r="S202" s="6">
        <f>'Results - raw data ReCiPe (H)'!BT70</f>
        <v>0</v>
      </c>
      <c r="T202" s="6">
        <f>'Results - raw data ReCiPe (H)'!BU70</f>
        <v>0</v>
      </c>
      <c r="U202" s="6">
        <f>'Results - raw data ReCiPe (H)'!BV70</f>
        <v>0</v>
      </c>
      <c r="V202" s="6">
        <f>'Results - raw data ReCiPe (H)'!BW70</f>
        <v>0</v>
      </c>
      <c r="W202" s="6">
        <f>'Results - raw data ReCiPe (H)'!BX70</f>
        <v>0</v>
      </c>
      <c r="X202" s="6">
        <f>'Results - raw data ReCiPe (H)'!BY70</f>
        <v>0</v>
      </c>
      <c r="Y202" s="6">
        <f>'Results - raw data ReCiPe (H)'!BZ70</f>
        <v>0</v>
      </c>
      <c r="Z202" s="6">
        <f>'Results - raw data ReCiPe (H)'!CA70</f>
        <v>0</v>
      </c>
    </row>
    <row r="203" spans="1:53" outlineLevel="1" x14ac:dyDescent="0.35">
      <c r="A203" s="6" t="s">
        <v>760</v>
      </c>
      <c r="B203" s="6">
        <f>150000*($AC$170*'Results - raw data ReCiPe (H)'!BC121+(1-'Results ReCiPe (H) - HHD'!$AC$170)*'Results - raw data ReCiPe (H)'!BC122)</f>
        <v>1896.4731859753776</v>
      </c>
      <c r="C203" s="6">
        <f>150000*($AC$170*'Results - raw data ReCiPe (H)'!BD121+(1-'Results ReCiPe (H) - HHD'!$AC$170)*'Results - raw data ReCiPe (H)'!BD122)</f>
        <v>1883.0280045309073</v>
      </c>
      <c r="D203" s="6">
        <f>150000*($AC$170*'Results - raw data ReCiPe (H)'!BE121+(1-'Results ReCiPe (H) - HHD'!$AC$170)*'Results - raw data ReCiPe (H)'!BE122)</f>
        <v>1869.5947872097088</v>
      </c>
      <c r="E203" s="6">
        <f>150000*($AC$170*'Results - raw data ReCiPe (H)'!BF121+(1-'Results ReCiPe (H) - HHD'!$AC$170)*'Results - raw data ReCiPe (H)'!BF122)</f>
        <v>1852.0556255314921</v>
      </c>
      <c r="F203" s="6">
        <f>150000*($AC$170*'Results - raw data ReCiPe (H)'!BG121+(1-'Results ReCiPe (H) - HHD'!$AC$170)*'Results - raw data ReCiPe (H)'!BG122)</f>
        <v>1838.6596783462332</v>
      </c>
      <c r="G203" s="6">
        <f>150000*($AC$170*'Results - raw data ReCiPe (H)'!BH121+(1-'Results ReCiPe (H) - HHD'!$AC$170)*'Results - raw data ReCiPe (H)'!BH122)</f>
        <v>1825.2704563907971</v>
      </c>
      <c r="H203" s="6">
        <f>150000*($AC$170*'Results - raw data ReCiPe (H)'!BI121+(1-'Results ReCiPe (H) - HHD'!$AC$170)*'Results - raw data ReCiPe (H)'!BI122)</f>
        <v>1821.4805795570646</v>
      </c>
      <c r="I203" s="6">
        <f>150000*($AC$170*'Results - raw data ReCiPe (H)'!BJ121+(1-'Results ReCiPe (H) - HHD'!$AC$170)*'Results - raw data ReCiPe (H)'!BJ122)</f>
        <v>1817.6236908543658</v>
      </c>
      <c r="J203" s="6">
        <f>150000*($AC$170*'Results - raw data ReCiPe (H)'!BK121+(1-'Results ReCiPe (H) - HHD'!$AC$170)*'Results - raw data ReCiPe (H)'!BK122)</f>
        <v>1810.183649328512</v>
      </c>
      <c r="K203" s="6">
        <f>150000*($AC$170*'Results - raw data ReCiPe (H)'!BL121+(1-'Results ReCiPe (H) - HHD'!$AC$170)*'Results - raw data ReCiPe (H)'!BL122)</f>
        <v>1806.0149675403545</v>
      </c>
      <c r="L203" s="6">
        <f>150000*($AC$170*'Results - raw data ReCiPe (H)'!BM121+(1-'Results ReCiPe (H) - HHD'!$AC$170)*'Results - raw data ReCiPe (H)'!BM122)</f>
        <v>1801.6963338431206</v>
      </c>
      <c r="M203" s="6">
        <f>150000*($AC$170*'Results - raw data ReCiPe (H)'!BN121+(1-'Results ReCiPe (H) - HHD'!$AC$170)*'Results - raw data ReCiPe (H)'!BN122)</f>
        <v>1790.0305919538512</v>
      </c>
      <c r="N203" s="6">
        <f>150000*($AC$170*'Results - raw data ReCiPe (H)'!BO121+(1-'Results ReCiPe (H) - HHD'!$AC$170)*'Results - raw data ReCiPe (H)'!BO122)</f>
        <v>1778.1616071811923</v>
      </c>
      <c r="O203" s="6">
        <f>150000*($AC$170*'Results - raw data ReCiPe (H)'!BP121+(1-'Results ReCiPe (H) - HHD'!$AC$170)*'Results - raw data ReCiPe (H)'!BP122)</f>
        <v>1765.2538378409279</v>
      </c>
      <c r="P203" s="6">
        <f>150000*($AC$170*'Results - raw data ReCiPe (H)'!BQ121+(1-'Results ReCiPe (H) - HHD'!$AC$170)*'Results - raw data ReCiPe (H)'!BQ122)</f>
        <v>1752.9904831156948</v>
      </c>
      <c r="Q203" s="6">
        <f>150000*($AC$170*'Results - raw data ReCiPe (H)'!BR121+(1-'Results ReCiPe (H) - HHD'!$AC$170)*'Results - raw data ReCiPe (H)'!BR122)</f>
        <v>1740.5260527134133</v>
      </c>
      <c r="R203" s="6">
        <f>150000*($AC$170*'Results - raw data ReCiPe (H)'!BS121+(1-'Results ReCiPe (H) - HHD'!$AC$170)*'Results - raw data ReCiPe (H)'!BS122)</f>
        <v>1750.6190305006162</v>
      </c>
      <c r="S203" s="6">
        <f>150000*($AC$170*'Results - raw data ReCiPe (H)'!BT121+(1-'Results ReCiPe (H) - HHD'!$AC$170)*'Results - raw data ReCiPe (H)'!BT122)</f>
        <v>1760.5135391731683</v>
      </c>
      <c r="T203" s="6">
        <f>150000*($AC$170*'Results - raw data ReCiPe (H)'!BU121+(1-'Results ReCiPe (H) - HHD'!$AC$170)*'Results - raw data ReCiPe (H)'!BU122)</f>
        <v>1769.3936271178084</v>
      </c>
      <c r="U203" s="6">
        <f>150000*($AC$170*'Results - raw data ReCiPe (H)'!BV121+(1-'Results ReCiPe (H) - HHD'!$AC$170)*'Results - raw data ReCiPe (H)'!BV122)</f>
        <v>1778.9029692110787</v>
      </c>
      <c r="V203" s="6">
        <f>150000*($AC$170*'Results - raw data ReCiPe (H)'!BW121+(1-'Results ReCiPe (H) - HHD'!$AC$170)*'Results - raw data ReCiPe (H)'!BW122)</f>
        <v>1788.2181978358021</v>
      </c>
      <c r="W203" s="6">
        <f>150000*($AC$170*'Results - raw data ReCiPe (H)'!BX121+(1-'Results ReCiPe (H) - HHD'!$AC$170)*'Results - raw data ReCiPe (H)'!BX122)</f>
        <v>1771.8327195018851</v>
      </c>
      <c r="X203" s="6">
        <f>150000*($AC$170*'Results - raw data ReCiPe (H)'!BY121+(1-'Results ReCiPe (H) - HHD'!$AC$170)*'Results - raw data ReCiPe (H)'!BY122)</f>
        <v>1755.4500545425747</v>
      </c>
      <c r="Y203" s="6">
        <f>150000*($AC$170*'Results - raw data ReCiPe (H)'!BZ121+(1-'Results ReCiPe (H) - HHD'!$AC$170)*'Results - raw data ReCiPe (H)'!BZ122)</f>
        <v>1739.0002212587565</v>
      </c>
      <c r="Z203" s="6">
        <f>150000*($AC$170*'Results - raw data ReCiPe (H)'!CA121+(1-'Results ReCiPe (H) - HHD'!$AC$170)*'Results - raw data ReCiPe (H)'!CA122)</f>
        <v>1722.4806429923171</v>
      </c>
    </row>
    <row r="204" spans="1:53" outlineLevel="1" x14ac:dyDescent="0.35">
      <c r="A204" s="23" t="s">
        <v>125</v>
      </c>
      <c r="B204" s="17">
        <f>SUM(B173:B203)</f>
        <v>5309.1944007563843</v>
      </c>
      <c r="C204" s="17">
        <f t="shared" ref="C204:Z204" si="22">SUM(C173:C203)</f>
        <v>2189.3081009526682</v>
      </c>
      <c r="D204" s="17">
        <f t="shared" si="22"/>
        <v>2173.9342984943351</v>
      </c>
      <c r="E204" s="17">
        <f t="shared" si="22"/>
        <v>2153.3703857214477</v>
      </c>
      <c r="F204" s="17">
        <f t="shared" si="22"/>
        <v>2138.0462760084433</v>
      </c>
      <c r="G204" s="17">
        <f t="shared" si="22"/>
        <v>2122.7323558751896</v>
      </c>
      <c r="H204" s="17">
        <f t="shared" si="22"/>
        <v>2118.5104932974441</v>
      </c>
      <c r="I204" s="17">
        <f t="shared" si="22"/>
        <v>2114.2125647842026</v>
      </c>
      <c r="J204" s="17">
        <f t="shared" si="22"/>
        <v>2105.5172355857276</v>
      </c>
      <c r="K204" s="17">
        <f t="shared" si="22"/>
        <v>2100.879824958115</v>
      </c>
      <c r="L204" s="17">
        <f t="shared" si="22"/>
        <v>2096.0767461650435</v>
      </c>
      <c r="M204" s="17">
        <f t="shared" si="22"/>
        <v>2082.9568838517043</v>
      </c>
      <c r="N204" s="17">
        <f t="shared" si="22"/>
        <v>2069.61551917614</v>
      </c>
      <c r="O204" s="17">
        <f t="shared" si="22"/>
        <v>2054.9971806980125</v>
      </c>
      <c r="P204" s="17">
        <f t="shared" si="22"/>
        <v>2041.2285772340467</v>
      </c>
      <c r="Q204" s="17">
        <f t="shared" si="22"/>
        <v>2027.2407492963698</v>
      </c>
      <c r="R204" s="17">
        <f t="shared" si="22"/>
        <v>2038.353765867515</v>
      </c>
      <c r="S204" s="17">
        <f t="shared" si="22"/>
        <v>2049.255098921823</v>
      </c>
      <c r="T204" s="17">
        <f t="shared" si="22"/>
        <v>2058.9194130797541</v>
      </c>
      <c r="U204" s="17">
        <f t="shared" si="22"/>
        <v>2069.4116392500473</v>
      </c>
      <c r="V204" s="17">
        <f t="shared" si="22"/>
        <v>2079.6966639099178</v>
      </c>
      <c r="W204" s="17">
        <f t="shared" si="22"/>
        <v>2061.3716251330848</v>
      </c>
      <c r="X204" s="17">
        <f t="shared" si="22"/>
        <v>2043.0590686082653</v>
      </c>
      <c r="Y204" s="17">
        <f t="shared" si="22"/>
        <v>2024.6783009239534</v>
      </c>
      <c r="Z204" s="17">
        <f t="shared" si="22"/>
        <v>2049.3168303432053</v>
      </c>
    </row>
    <row r="205" spans="1:53" outlineLevel="1" x14ac:dyDescent="0.35"/>
    <row r="206" spans="1:53" s="18" customFormat="1" ht="21" x14ac:dyDescent="0.5">
      <c r="A206" s="18" t="s">
        <v>94</v>
      </c>
    </row>
    <row r="207" spans="1:53" s="20" customFormat="1" outlineLevel="1" x14ac:dyDescent="0.35">
      <c r="A207" s="19" t="s">
        <v>766</v>
      </c>
    </row>
    <row r="208" spans="1:53" s="16" customFormat="1" outlineLevel="1" x14ac:dyDescent="0.35">
      <c r="A208" s="21"/>
      <c r="AE208" s="15"/>
    </row>
    <row r="209" spans="1:53" s="16" customFormat="1" outlineLevel="1" x14ac:dyDescent="0.35">
      <c r="A209" s="22" t="s">
        <v>761</v>
      </c>
    </row>
    <row r="210" spans="1:53" s="16" customFormat="1" outlineLevel="1" x14ac:dyDescent="0.35">
      <c r="A210" s="22"/>
      <c r="AB210" s="16" t="s">
        <v>127</v>
      </c>
      <c r="AC210" s="16">
        <v>100</v>
      </c>
      <c r="AD210" s="16" t="s">
        <v>128</v>
      </c>
    </row>
    <row r="211" spans="1:53" s="16" customFormat="1" outlineLevel="1" x14ac:dyDescent="0.35">
      <c r="A211" s="230" t="s">
        <v>768</v>
      </c>
      <c r="AB211" s="16" t="s">
        <v>20</v>
      </c>
      <c r="AC211" s="16">
        <v>0.23</v>
      </c>
      <c r="AD211" s="16" t="s">
        <v>715</v>
      </c>
    </row>
    <row r="212" spans="1:53" s="16" customFormat="1" outlineLevel="1" x14ac:dyDescent="0.35">
      <c r="A212" s="22"/>
      <c r="AB212" s="16" t="s">
        <v>129</v>
      </c>
      <c r="AC212" s="16">
        <v>25</v>
      </c>
      <c r="AD212" s="16" t="s">
        <v>130</v>
      </c>
    </row>
    <row r="213" spans="1:53" outlineLevel="1" x14ac:dyDescent="0.35">
      <c r="B213" s="25">
        <v>2030</v>
      </c>
      <c r="C213" s="25">
        <v>2031</v>
      </c>
      <c r="D213" s="25">
        <v>2032</v>
      </c>
      <c r="E213" s="25">
        <v>2033</v>
      </c>
      <c r="F213" s="25">
        <v>2034</v>
      </c>
      <c r="G213" s="25">
        <v>2035</v>
      </c>
      <c r="H213" s="25">
        <v>2036</v>
      </c>
      <c r="I213" s="25">
        <v>2037</v>
      </c>
      <c r="J213" s="25">
        <v>2038</v>
      </c>
      <c r="K213" s="25">
        <v>2039</v>
      </c>
      <c r="L213" s="25">
        <v>2040</v>
      </c>
      <c r="M213" s="25">
        <v>2041</v>
      </c>
      <c r="N213" s="25">
        <v>2042</v>
      </c>
      <c r="O213" s="25">
        <v>2043</v>
      </c>
      <c r="P213" s="25">
        <v>2044</v>
      </c>
      <c r="Q213" s="25">
        <v>2045</v>
      </c>
      <c r="R213" s="25">
        <v>2046</v>
      </c>
      <c r="S213" s="25">
        <v>2047</v>
      </c>
      <c r="T213" s="25">
        <v>2048</v>
      </c>
      <c r="U213" s="25">
        <v>2049</v>
      </c>
      <c r="V213" s="25">
        <v>2050</v>
      </c>
      <c r="W213" s="25">
        <v>2051</v>
      </c>
      <c r="X213" s="25">
        <v>2052</v>
      </c>
      <c r="Y213" s="25">
        <v>2053</v>
      </c>
      <c r="Z213" s="25">
        <v>2054</v>
      </c>
      <c r="AC213" s="25">
        <v>2030</v>
      </c>
      <c r="AD213" s="25">
        <v>2031</v>
      </c>
      <c r="AE213" s="25">
        <v>2032</v>
      </c>
      <c r="AF213" s="25">
        <v>2033</v>
      </c>
      <c r="AG213" s="25">
        <v>2034</v>
      </c>
      <c r="AH213" s="25">
        <v>2035</v>
      </c>
      <c r="AI213" s="25">
        <v>2036</v>
      </c>
      <c r="AJ213" s="25">
        <v>2037</v>
      </c>
      <c r="AK213" s="25">
        <v>2038</v>
      </c>
      <c r="AL213" s="25">
        <v>2039</v>
      </c>
      <c r="AM213" s="25">
        <v>2040</v>
      </c>
      <c r="AN213" s="25">
        <v>2041</v>
      </c>
      <c r="AO213" s="25">
        <v>2042</v>
      </c>
      <c r="AP213" s="25">
        <v>2043</v>
      </c>
      <c r="AQ213" s="25">
        <v>2044</v>
      </c>
      <c r="AR213" s="25">
        <v>2045</v>
      </c>
      <c r="AS213" s="25">
        <v>2046</v>
      </c>
      <c r="AT213" s="25">
        <v>2047</v>
      </c>
      <c r="AU213" s="25">
        <v>2048</v>
      </c>
      <c r="AV213" s="25">
        <v>2049</v>
      </c>
      <c r="AW213" s="25">
        <v>2050</v>
      </c>
      <c r="AX213" s="25">
        <v>2051</v>
      </c>
      <c r="AY213" s="25">
        <v>2052</v>
      </c>
      <c r="AZ213" s="25">
        <v>2053</v>
      </c>
      <c r="BA213" s="25">
        <v>2054</v>
      </c>
    </row>
    <row r="214" spans="1:53" outlineLevel="1" x14ac:dyDescent="0.35">
      <c r="A214" s="6" t="s">
        <v>21</v>
      </c>
      <c r="B214" s="6">
        <f>'Results - raw data ReCiPe (H)'!BC77</f>
        <v>71.38267553879804</v>
      </c>
      <c r="AB214" s="6" t="s">
        <v>117</v>
      </c>
      <c r="AC214" s="6">
        <f>SUM(B214:B225)+B227</f>
        <v>2681.9296561792253</v>
      </c>
    </row>
    <row r="215" spans="1:53" outlineLevel="1" x14ac:dyDescent="0.35">
      <c r="A215" s="6" t="s">
        <v>23</v>
      </c>
      <c r="B215" s="6">
        <f>'Results - raw data ReCiPe (H)'!BC78</f>
        <v>309.39379081190958</v>
      </c>
      <c r="AB215" s="6" t="s">
        <v>118</v>
      </c>
      <c r="AC215" s="6">
        <f>B226</f>
        <v>258.88808240632699</v>
      </c>
    </row>
    <row r="216" spans="1:53" outlineLevel="1" x14ac:dyDescent="0.35">
      <c r="A216" s="6" t="s">
        <v>26</v>
      </c>
      <c r="B216" s="6">
        <f>'Results - raw data ReCiPe (H)'!BC79</f>
        <v>304.2681794288975</v>
      </c>
      <c r="AB216" s="6" t="s">
        <v>119</v>
      </c>
      <c r="BA216" s="6">
        <f>SUM(Z228:Z239)</f>
        <v>38.789621318581062</v>
      </c>
    </row>
    <row r="217" spans="1:53" outlineLevel="1" x14ac:dyDescent="0.35">
      <c r="A217" s="6" t="s">
        <v>28</v>
      </c>
      <c r="B217" s="6">
        <f>'Results - raw data ReCiPe (H)'!BC80</f>
        <v>232.33757803762921</v>
      </c>
      <c r="AB217" s="6" t="s">
        <v>120</v>
      </c>
      <c r="BA217" s="6">
        <f>Z240</f>
        <v>1.2288061080708204</v>
      </c>
    </row>
    <row r="218" spans="1:53" outlineLevel="1" x14ac:dyDescent="0.35">
      <c r="A218" s="6" t="s">
        <v>29</v>
      </c>
      <c r="B218" s="6">
        <f>'Results - raw data ReCiPe (H)'!BC81</f>
        <v>112.28629490364889</v>
      </c>
      <c r="AB218" s="6" t="s">
        <v>121</v>
      </c>
      <c r="AC218" s="6">
        <f>B241</f>
        <v>114.06781731957111</v>
      </c>
      <c r="AF218" s="6">
        <f>E241</f>
        <v>112.3911675049322</v>
      </c>
      <c r="AI218" s="6">
        <f>H241</f>
        <v>112.2010947204887</v>
      </c>
      <c r="AL218" s="6">
        <f>K241</f>
        <v>113.21958271568749</v>
      </c>
      <c r="AO218" s="6">
        <f>N241</f>
        <v>113.61473943331841</v>
      </c>
      <c r="AR218" s="6">
        <f>Q241</f>
        <v>113.3787859326078</v>
      </c>
      <c r="AU218" s="6">
        <f>T241</f>
        <v>112.2791950057142</v>
      </c>
      <c r="AX218" s="6">
        <f>W241</f>
        <v>111.5739444092645</v>
      </c>
      <c r="BA218" s="6">
        <f>Z241</f>
        <v>111.3824079888096</v>
      </c>
    </row>
    <row r="219" spans="1:53" outlineLevel="1" x14ac:dyDescent="0.35">
      <c r="A219" s="6" t="s">
        <v>31</v>
      </c>
      <c r="B219" s="6">
        <f>'Results - raw data ReCiPe (H)'!BC82</f>
        <v>81.434527823734626</v>
      </c>
      <c r="AB219" s="6" t="s">
        <v>122</v>
      </c>
      <c r="AC219" s="6">
        <f>B244+B243</f>
        <v>1175.8452241785824</v>
      </c>
      <c r="AD219" s="6">
        <f t="shared" ref="AD219:BA219" si="23">C244+C243</f>
        <v>1087.0891072007541</v>
      </c>
      <c r="AE219" s="6">
        <f t="shared" si="23"/>
        <v>997.62082450104299</v>
      </c>
      <c r="AF219" s="6">
        <f t="shared" si="23"/>
        <v>902.77080385259717</v>
      </c>
      <c r="AG219" s="6">
        <f t="shared" si="23"/>
        <v>811.69338552061743</v>
      </c>
      <c r="AH219" s="6">
        <f t="shared" si="23"/>
        <v>719.90952411155206</v>
      </c>
      <c r="AI219" s="6">
        <f t="shared" si="23"/>
        <v>830.5494196246367</v>
      </c>
      <c r="AJ219" s="6">
        <f t="shared" si="23"/>
        <v>940.90859230346416</v>
      </c>
      <c r="AK219" s="6">
        <f t="shared" si="23"/>
        <v>1046.4356996736349</v>
      </c>
      <c r="AL219" s="6">
        <f t="shared" si="23"/>
        <v>1156.0917592662138</v>
      </c>
      <c r="AM219" s="6">
        <f t="shared" si="23"/>
        <v>1265.4894480400476</v>
      </c>
      <c r="AN219" s="6">
        <f t="shared" si="23"/>
        <v>1401.5236823982696</v>
      </c>
      <c r="AO219" s="6">
        <f t="shared" si="23"/>
        <v>1537.1204937656278</v>
      </c>
      <c r="AP219" s="6">
        <f t="shared" si="23"/>
        <v>1671.2453102185493</v>
      </c>
      <c r="AQ219" s="6">
        <f t="shared" si="23"/>
        <v>1805.9907176359361</v>
      </c>
      <c r="AR219" s="6">
        <f t="shared" si="23"/>
        <v>1940.2936655372544</v>
      </c>
      <c r="AS219" s="6">
        <f t="shared" si="23"/>
        <v>1891.2598128052794</v>
      </c>
      <c r="AT219" s="6">
        <f t="shared" si="23"/>
        <v>1842.4822013892767</v>
      </c>
      <c r="AU219" s="6">
        <f t="shared" si="23"/>
        <v>1793.0190339898018</v>
      </c>
      <c r="AV219" s="6">
        <f t="shared" si="23"/>
        <v>1744.7644437652114</v>
      </c>
      <c r="AW219" s="6">
        <f t="shared" si="23"/>
        <v>1696.7334797357501</v>
      </c>
      <c r="AX219" s="6">
        <f t="shared" si="23"/>
        <v>1697.2356339225128</v>
      </c>
      <c r="AY219" s="6">
        <f t="shared" si="23"/>
        <v>1697.7935834059967</v>
      </c>
      <c r="AZ219" s="6">
        <f t="shared" si="23"/>
        <v>1698.3396815294088</v>
      </c>
      <c r="BA219" s="6">
        <f t="shared" si="23"/>
        <v>1698.8725316497232</v>
      </c>
    </row>
    <row r="220" spans="1:53" outlineLevel="1" x14ac:dyDescent="0.35">
      <c r="A220" s="6" t="s">
        <v>34</v>
      </c>
      <c r="B220" s="6">
        <f>'Results - raw data ReCiPe (H)'!BC83</f>
        <v>53.72069534285378</v>
      </c>
      <c r="AB220" s="6" t="s">
        <v>123</v>
      </c>
      <c r="AC220" s="6">
        <f>B242</f>
        <v>118.7649636998278</v>
      </c>
      <c r="AD220" s="6">
        <f t="shared" ref="AD220:BA220" si="24">C242</f>
        <v>109.5932384447962</v>
      </c>
      <c r="AE220" s="6">
        <f t="shared" si="24"/>
        <v>100.41460012870719</v>
      </c>
      <c r="AF220" s="6">
        <f t="shared" si="24"/>
        <v>90.777455527861918</v>
      </c>
      <c r="AG220" s="6">
        <f t="shared" si="24"/>
        <v>81.570934765721915</v>
      </c>
      <c r="AH220" s="6">
        <f t="shared" si="24"/>
        <v>72.359798079795141</v>
      </c>
      <c r="AI220" s="6">
        <f t="shared" si="24"/>
        <v>83.090067110340485</v>
      </c>
      <c r="AJ220" s="6">
        <f t="shared" si="24"/>
        <v>93.746280998158767</v>
      </c>
      <c r="AK220" s="6">
        <f t="shared" si="24"/>
        <v>103.88763060054831</v>
      </c>
      <c r="AL220" s="6">
        <f t="shared" si="24"/>
        <v>114.38321113321291</v>
      </c>
      <c r="AM220" s="6">
        <f t="shared" si="24"/>
        <v>124.8073148894706</v>
      </c>
      <c r="AN220" s="6">
        <f t="shared" si="24"/>
        <v>138.0260259358314</v>
      </c>
      <c r="AO220" s="6">
        <f t="shared" si="24"/>
        <v>151.2246892594209</v>
      </c>
      <c r="AP220" s="6">
        <f t="shared" si="24"/>
        <v>164.30326053808798</v>
      </c>
      <c r="AQ220" s="6">
        <f t="shared" si="24"/>
        <v>177.4640980001044</v>
      </c>
      <c r="AR220" s="6">
        <f t="shared" si="24"/>
        <v>190.60431325869141</v>
      </c>
      <c r="AS220" s="6">
        <f t="shared" si="24"/>
        <v>186.55163632819099</v>
      </c>
      <c r="AT220" s="6">
        <f t="shared" si="24"/>
        <v>182.4817186104238</v>
      </c>
      <c r="AU220" s="6">
        <f t="shared" si="24"/>
        <v>178.30313445153249</v>
      </c>
      <c r="AV220" s="6">
        <f t="shared" si="24"/>
        <v>174.20067305803809</v>
      </c>
      <c r="AW220" s="6">
        <f t="shared" si="24"/>
        <v>170.08012725792042</v>
      </c>
      <c r="AX220" s="6">
        <f t="shared" si="24"/>
        <v>169.9149619203435</v>
      </c>
      <c r="AY220" s="6">
        <f t="shared" si="24"/>
        <v>169.75846340264729</v>
      </c>
      <c r="AZ220" s="6">
        <f t="shared" si="24"/>
        <v>169.60054526307579</v>
      </c>
      <c r="BA220" s="6">
        <f t="shared" si="24"/>
        <v>169.44099770029101</v>
      </c>
    </row>
    <row r="221" spans="1:53" outlineLevel="1" x14ac:dyDescent="0.35">
      <c r="A221" s="6" t="s">
        <v>36</v>
      </c>
      <c r="B221" s="6">
        <f>'Results - raw data ReCiPe (H)'!BC84</f>
        <v>56.4741510532414</v>
      </c>
      <c r="AB221" s="6" t="s">
        <v>124</v>
      </c>
    </row>
    <row r="222" spans="1:53" outlineLevel="1" x14ac:dyDescent="0.35">
      <c r="A222" s="6" t="s">
        <v>38</v>
      </c>
      <c r="B222" s="6">
        <f>'Results - raw data ReCiPe (H)'!BC85</f>
        <v>632.20465263923336</v>
      </c>
      <c r="AB222" s="23" t="s">
        <v>125</v>
      </c>
      <c r="AC222" s="17">
        <f>SUM(AC214:AC221)</f>
        <v>4349.4957437835337</v>
      </c>
      <c r="AD222" s="17">
        <f t="shared" ref="AD222:BA222" si="25">SUM(AD214:AD221)</f>
        <v>1196.6823456455504</v>
      </c>
      <c r="AE222" s="17">
        <f t="shared" si="25"/>
        <v>1098.0354246297502</v>
      </c>
      <c r="AF222" s="17">
        <f t="shared" si="25"/>
        <v>1105.9394268853914</v>
      </c>
      <c r="AG222" s="17">
        <f t="shared" si="25"/>
        <v>893.2643202863394</v>
      </c>
      <c r="AH222" s="17">
        <f t="shared" si="25"/>
        <v>792.26932219134721</v>
      </c>
      <c r="AI222" s="17">
        <f t="shared" si="25"/>
        <v>1025.8405814554658</v>
      </c>
      <c r="AJ222" s="17">
        <f t="shared" si="25"/>
        <v>1034.654873301623</v>
      </c>
      <c r="AK222" s="17">
        <f t="shared" si="25"/>
        <v>1150.3233302741833</v>
      </c>
      <c r="AL222" s="17">
        <f t="shared" si="25"/>
        <v>1383.6945531151141</v>
      </c>
      <c r="AM222" s="17">
        <f t="shared" si="25"/>
        <v>1390.2967629295181</v>
      </c>
      <c r="AN222" s="17">
        <f t="shared" si="25"/>
        <v>1539.5497083341011</v>
      </c>
      <c r="AO222" s="17">
        <f t="shared" si="25"/>
        <v>1801.9599224583671</v>
      </c>
      <c r="AP222" s="17">
        <f t="shared" si="25"/>
        <v>1835.5485707566372</v>
      </c>
      <c r="AQ222" s="17">
        <f t="shared" si="25"/>
        <v>1983.4548156360406</v>
      </c>
      <c r="AR222" s="17">
        <f t="shared" si="25"/>
        <v>2244.2767647285536</v>
      </c>
      <c r="AS222" s="17">
        <f t="shared" si="25"/>
        <v>2077.8114491334704</v>
      </c>
      <c r="AT222" s="17">
        <f t="shared" si="25"/>
        <v>2024.9639199997005</v>
      </c>
      <c r="AU222" s="17">
        <f t="shared" si="25"/>
        <v>2083.6013634470482</v>
      </c>
      <c r="AV222" s="17">
        <f t="shared" si="25"/>
        <v>1918.9651168232494</v>
      </c>
      <c r="AW222" s="17">
        <f t="shared" si="25"/>
        <v>1866.8136069936704</v>
      </c>
      <c r="AX222" s="17">
        <f t="shared" si="25"/>
        <v>1978.7245402521207</v>
      </c>
      <c r="AY222" s="17">
        <f t="shared" si="25"/>
        <v>1867.552046808644</v>
      </c>
      <c r="AZ222" s="17">
        <f t="shared" si="25"/>
        <v>1867.9402267924847</v>
      </c>
      <c r="BA222" s="17">
        <f t="shared" si="25"/>
        <v>2019.7143647654757</v>
      </c>
    </row>
    <row r="223" spans="1:53" outlineLevel="1" x14ac:dyDescent="0.35">
      <c r="A223" s="6" t="s">
        <v>39</v>
      </c>
      <c r="B223" s="6">
        <f>'Results - raw data ReCiPe (H)'!BC86</f>
        <v>613.14460127904488</v>
      </c>
    </row>
    <row r="224" spans="1:53" outlineLevel="1" x14ac:dyDescent="0.35">
      <c r="A224" s="6" t="s">
        <v>41</v>
      </c>
      <c r="B224" s="6">
        <f>'Results - raw data ReCiPe (H)'!BC87</f>
        <v>53.80292885804797</v>
      </c>
    </row>
    <row r="225" spans="1:53" outlineLevel="1" x14ac:dyDescent="0.35">
      <c r="A225" s="6" t="s">
        <v>43</v>
      </c>
      <c r="B225" s="6">
        <f>'Results - raw data ReCiPe (H)'!BC88</f>
        <v>70.811968393392803</v>
      </c>
      <c r="AB225" s="219"/>
      <c r="AC225" s="219"/>
      <c r="AD225" s="219"/>
      <c r="AE225" s="219"/>
      <c r="AF225" s="219"/>
      <c r="AG225" s="219"/>
      <c r="AH225" s="219"/>
      <c r="AI225" s="219"/>
      <c r="AJ225" s="219"/>
      <c r="AK225" s="219"/>
      <c r="AL225" s="219"/>
      <c r="AM225" s="219"/>
      <c r="AN225" s="219"/>
      <c r="AO225" s="219"/>
      <c r="AP225" s="219"/>
      <c r="AQ225" s="219"/>
      <c r="AR225" s="219"/>
      <c r="AS225" s="219"/>
      <c r="AT225" s="219"/>
      <c r="AU225" s="219"/>
      <c r="AV225" s="219"/>
      <c r="AW225" s="219"/>
      <c r="AX225" s="219"/>
      <c r="AY225" s="219"/>
      <c r="AZ225" s="219"/>
      <c r="BA225" s="219"/>
    </row>
    <row r="226" spans="1:53" outlineLevel="1" x14ac:dyDescent="0.35">
      <c r="A226" s="6" t="s">
        <v>44</v>
      </c>
      <c r="B226" s="6">
        <f>'Results - raw data ReCiPe (H)'!BC89*AC210*AC212</f>
        <v>258.88808240632699</v>
      </c>
      <c r="AB226" s="219"/>
      <c r="AC226" s="219"/>
      <c r="AD226" s="219"/>
      <c r="AE226" s="219"/>
      <c r="AF226" s="219"/>
      <c r="AG226" s="219"/>
      <c r="AH226" s="219"/>
      <c r="AI226" s="219"/>
      <c r="AJ226" s="219"/>
      <c r="AK226" s="219"/>
      <c r="AL226" s="219"/>
      <c r="AM226" s="219"/>
      <c r="AN226" s="219"/>
      <c r="AO226" s="219"/>
      <c r="AP226" s="219"/>
      <c r="AQ226" s="219"/>
      <c r="AR226" s="219"/>
      <c r="AS226" s="219"/>
      <c r="AT226" s="219"/>
      <c r="AU226" s="219"/>
      <c r="AV226" s="219"/>
      <c r="AW226" s="219"/>
      <c r="AX226" s="219"/>
      <c r="AY226" s="219"/>
      <c r="AZ226" s="219"/>
      <c r="BA226" s="219"/>
    </row>
    <row r="227" spans="1:53" outlineLevel="1" x14ac:dyDescent="0.35">
      <c r="A227" s="6" t="s">
        <v>757</v>
      </c>
      <c r="B227" s="6">
        <f>'Results - raw data ReCiPe (H)'!BC90*AC210*AC212</f>
        <v>90.667612068793431</v>
      </c>
      <c r="AB227" s="219"/>
      <c r="AC227" s="219"/>
      <c r="AD227" s="219"/>
      <c r="AE227" s="219"/>
      <c r="AF227" s="219"/>
      <c r="AG227" s="219"/>
      <c r="AH227" s="219"/>
      <c r="AI227" s="219"/>
      <c r="AJ227" s="219"/>
      <c r="AK227" s="219"/>
      <c r="AL227" s="219"/>
      <c r="AM227" s="219"/>
      <c r="AN227" s="219"/>
      <c r="AO227" s="219"/>
      <c r="AP227" s="219"/>
      <c r="AQ227" s="219"/>
      <c r="AR227" s="219"/>
      <c r="AS227" s="219"/>
      <c r="AT227" s="219"/>
      <c r="AU227" s="219"/>
      <c r="AV227" s="219"/>
      <c r="AW227" s="219"/>
      <c r="AX227" s="219"/>
      <c r="AY227" s="219"/>
      <c r="AZ227" s="219"/>
      <c r="BA227" s="219"/>
    </row>
    <row r="228" spans="1:53" outlineLevel="1" x14ac:dyDescent="0.35">
      <c r="A228" s="6" t="s">
        <v>22</v>
      </c>
      <c r="Z228" s="6">
        <f>'Results - raw data ReCiPe (H)'!CA91</f>
        <v>0.30634226930476899</v>
      </c>
      <c r="AB228" s="219"/>
      <c r="AC228" s="219"/>
      <c r="AD228" s="219"/>
      <c r="AE228" s="219"/>
      <c r="AF228" s="219"/>
      <c r="AG228" s="219"/>
      <c r="AH228" s="219"/>
      <c r="AI228" s="219"/>
      <c r="AJ228" s="219"/>
      <c r="AK228" s="219"/>
      <c r="AL228" s="219"/>
      <c r="AM228" s="219"/>
      <c r="AN228" s="219"/>
      <c r="AO228" s="219"/>
      <c r="AP228" s="219"/>
      <c r="AQ228" s="219"/>
      <c r="AR228" s="219"/>
      <c r="AS228" s="219"/>
      <c r="AT228" s="219"/>
      <c r="AU228" s="219"/>
      <c r="AV228" s="219"/>
      <c r="AW228" s="219"/>
      <c r="AX228" s="219"/>
      <c r="AY228" s="219"/>
      <c r="AZ228" s="219"/>
      <c r="BA228" s="219"/>
    </row>
    <row r="229" spans="1:53" outlineLevel="1" x14ac:dyDescent="0.35">
      <c r="A229" s="6" t="s">
        <v>24</v>
      </c>
      <c r="Z229" s="6">
        <f>'Results - raw data ReCiPe (H)'!CA92</f>
        <v>0.33987786273119752</v>
      </c>
      <c r="AB229" s="219"/>
      <c r="AC229" s="219"/>
      <c r="AD229" s="219"/>
      <c r="AE229" s="219"/>
      <c r="AF229" s="219"/>
      <c r="AG229" s="219"/>
      <c r="AH229" s="219"/>
      <c r="AI229" s="219"/>
      <c r="AJ229" s="219"/>
      <c r="AK229" s="219"/>
      <c r="AL229" s="219"/>
      <c r="AM229" s="219"/>
      <c r="AN229" s="219"/>
      <c r="AO229" s="219"/>
      <c r="AP229" s="219"/>
      <c r="AQ229" s="219"/>
      <c r="AR229" s="219"/>
      <c r="AS229" s="219"/>
      <c r="AT229" s="219"/>
      <c r="AU229" s="219"/>
      <c r="AV229" s="219"/>
      <c r="AW229" s="219"/>
      <c r="AX229" s="219"/>
      <c r="AY229" s="219"/>
      <c r="AZ229" s="219"/>
      <c r="BA229" s="219"/>
    </row>
    <row r="230" spans="1:53" outlineLevel="1" x14ac:dyDescent="0.35">
      <c r="A230" s="6" t="s">
        <v>25</v>
      </c>
      <c r="Z230" s="6">
        <f>'Results - raw data ReCiPe (H)'!CA93</f>
        <v>1.54613057891552</v>
      </c>
      <c r="AB230" s="219"/>
      <c r="AC230" s="219"/>
      <c r="AD230" s="219"/>
      <c r="AE230" s="219"/>
      <c r="AF230" s="219"/>
      <c r="AG230" s="219"/>
      <c r="AH230" s="219"/>
      <c r="AI230" s="219"/>
      <c r="AJ230" s="219"/>
      <c r="AK230" s="219"/>
      <c r="AL230" s="219"/>
      <c r="AM230" s="219"/>
      <c r="AN230" s="219"/>
      <c r="AO230" s="219"/>
      <c r="AP230" s="219"/>
      <c r="AQ230" s="219"/>
      <c r="AR230" s="219"/>
      <c r="AS230" s="219"/>
      <c r="AT230" s="219"/>
      <c r="AU230" s="219"/>
      <c r="AV230" s="219"/>
      <c r="AW230" s="219"/>
      <c r="AX230" s="219"/>
      <c r="AY230" s="219"/>
      <c r="AZ230" s="219"/>
      <c r="BA230" s="219"/>
    </row>
    <row r="231" spans="1:53" outlineLevel="1" x14ac:dyDescent="0.35">
      <c r="A231" s="6" t="s">
        <v>27</v>
      </c>
      <c r="Z231" s="6">
        <f>'Results - raw data ReCiPe (H)'!CA94</f>
        <v>0.94564416196411627</v>
      </c>
      <c r="AB231" s="219"/>
      <c r="AC231" s="219"/>
      <c r="AD231" s="219"/>
      <c r="AE231" s="219"/>
      <c r="AF231" s="219"/>
      <c r="AG231" s="219"/>
      <c r="AH231" s="219"/>
      <c r="AI231" s="219"/>
      <c r="AJ231" s="219"/>
      <c r="AK231" s="219"/>
      <c r="AL231" s="219"/>
      <c r="AM231" s="219"/>
      <c r="AN231" s="219"/>
      <c r="AO231" s="219"/>
      <c r="AP231" s="219"/>
      <c r="AQ231" s="219"/>
      <c r="AR231" s="219"/>
      <c r="AS231" s="219"/>
      <c r="AT231" s="219"/>
      <c r="AU231" s="219"/>
      <c r="AV231" s="219"/>
      <c r="AW231" s="219"/>
      <c r="AX231" s="219"/>
      <c r="AY231" s="219"/>
      <c r="AZ231" s="219"/>
      <c r="BA231" s="219"/>
    </row>
    <row r="232" spans="1:53" outlineLevel="1" x14ac:dyDescent="0.35">
      <c r="A232" s="6" t="s">
        <v>30</v>
      </c>
      <c r="Z232" s="6">
        <f>'Results - raw data ReCiPe (H)'!CA95</f>
        <v>0.37601872100948219</v>
      </c>
      <c r="AB232" s="219"/>
      <c r="AC232" s="219"/>
      <c r="AD232" s="219"/>
      <c r="AE232" s="219"/>
      <c r="AF232" s="219"/>
      <c r="AG232" s="219"/>
      <c r="AH232" s="219"/>
      <c r="AI232" s="219"/>
      <c r="AJ232" s="219"/>
      <c r="AK232" s="219"/>
      <c r="AL232" s="219"/>
      <c r="AM232" s="219"/>
      <c r="AN232" s="219"/>
      <c r="AO232" s="219"/>
      <c r="AP232" s="219"/>
      <c r="AQ232" s="219"/>
      <c r="AR232" s="219"/>
      <c r="AS232" s="219"/>
      <c r="AT232" s="219"/>
      <c r="AU232" s="219"/>
      <c r="AV232" s="219"/>
      <c r="AW232" s="219"/>
      <c r="AX232" s="219"/>
      <c r="AY232" s="219"/>
      <c r="AZ232" s="219"/>
      <c r="BA232" s="219"/>
    </row>
    <row r="233" spans="1:53" outlineLevel="1" x14ac:dyDescent="0.35">
      <c r="A233" s="6" t="s">
        <v>32</v>
      </c>
      <c r="Z233" s="6">
        <f>'Results - raw data ReCiPe (H)'!CA96</f>
        <v>0.1689291870015715</v>
      </c>
      <c r="AB233" s="219"/>
      <c r="AC233" s="219"/>
      <c r="AD233" s="219"/>
      <c r="AE233" s="219"/>
      <c r="AF233" s="219"/>
      <c r="AG233" s="219"/>
      <c r="AH233" s="219"/>
      <c r="AI233" s="219"/>
      <c r="AJ233" s="219"/>
      <c r="AK233" s="219"/>
      <c r="AL233" s="219"/>
      <c r="AM233" s="219"/>
      <c r="AN233" s="219"/>
      <c r="AO233" s="219"/>
      <c r="AP233" s="219"/>
      <c r="AQ233" s="219"/>
      <c r="AR233" s="219"/>
      <c r="AS233" s="219"/>
      <c r="AT233" s="219"/>
      <c r="AU233" s="219"/>
      <c r="AV233" s="219"/>
      <c r="AW233" s="219"/>
      <c r="AX233" s="219"/>
      <c r="AY233" s="219"/>
      <c r="AZ233" s="219"/>
      <c r="BA233" s="219"/>
    </row>
    <row r="234" spans="1:53" outlineLevel="1" x14ac:dyDescent="0.35">
      <c r="A234" s="6" t="s">
        <v>33</v>
      </c>
      <c r="Z234" s="6">
        <f>'Results - raw data ReCiPe (H)'!CA97</f>
        <v>9.7181984563696311E-2</v>
      </c>
      <c r="AB234" s="219"/>
      <c r="AC234" s="219"/>
      <c r="AD234" s="219"/>
      <c r="AE234" s="219"/>
      <c r="AF234" s="219"/>
      <c r="AG234" s="219"/>
      <c r="AH234" s="219"/>
      <c r="AI234" s="219"/>
      <c r="AJ234" s="219"/>
      <c r="AK234" s="219"/>
      <c r="AL234" s="219"/>
      <c r="AM234" s="219"/>
      <c r="AN234" s="219"/>
      <c r="AO234" s="219"/>
      <c r="AP234" s="219"/>
      <c r="AQ234" s="219"/>
      <c r="AR234" s="219"/>
      <c r="AS234" s="219"/>
      <c r="AT234" s="219"/>
      <c r="AU234" s="219"/>
      <c r="AV234" s="219"/>
      <c r="AW234" s="219"/>
      <c r="AX234" s="219"/>
      <c r="AY234" s="219"/>
      <c r="AZ234" s="219"/>
      <c r="BA234" s="219"/>
    </row>
    <row r="235" spans="1:53" outlineLevel="1" x14ac:dyDescent="0.35">
      <c r="A235" s="6" t="s">
        <v>35</v>
      </c>
      <c r="Z235" s="6">
        <f>'Results - raw data ReCiPe (H)'!CA98</f>
        <v>0.19436396912739259</v>
      </c>
      <c r="AB235" s="219"/>
      <c r="AC235" s="219"/>
      <c r="AD235" s="219"/>
      <c r="AE235" s="219"/>
      <c r="AF235" s="219"/>
      <c r="AG235" s="219"/>
      <c r="AH235" s="219"/>
      <c r="AI235" s="219"/>
      <c r="AJ235" s="219"/>
      <c r="AK235" s="219"/>
      <c r="AL235" s="219"/>
      <c r="AM235" s="219"/>
      <c r="AN235" s="219"/>
      <c r="AO235" s="219"/>
      <c r="AP235" s="219"/>
      <c r="AQ235" s="219"/>
      <c r="AR235" s="219"/>
      <c r="AS235" s="219"/>
      <c r="AT235" s="219"/>
      <c r="AU235" s="219"/>
      <c r="AV235" s="219"/>
      <c r="AW235" s="219"/>
      <c r="AX235" s="219"/>
      <c r="AY235" s="219"/>
      <c r="AZ235" s="219"/>
      <c r="BA235" s="219"/>
    </row>
    <row r="236" spans="1:53" outlineLevel="1" x14ac:dyDescent="0.35">
      <c r="A236" s="6" t="s">
        <v>37</v>
      </c>
      <c r="Z236" s="6">
        <f>'Results - raw data ReCiPe (H)'!CA99</f>
        <v>2.8638113623765111</v>
      </c>
      <c r="AB236" s="219"/>
      <c r="AC236" s="219"/>
      <c r="AD236" s="219"/>
      <c r="AE236" s="219"/>
      <c r="AF236" s="219"/>
      <c r="AG236" s="219"/>
      <c r="AH236" s="219"/>
      <c r="AI236" s="219"/>
      <c r="AJ236" s="219"/>
      <c r="AK236" s="219"/>
      <c r="AL236" s="219"/>
      <c r="AM236" s="219"/>
      <c r="AN236" s="219"/>
      <c r="AO236" s="219"/>
      <c r="AP236" s="219"/>
      <c r="AQ236" s="219"/>
      <c r="AR236" s="219"/>
      <c r="AS236" s="219"/>
      <c r="AT236" s="219"/>
      <c r="AU236" s="219"/>
      <c r="AV236" s="219"/>
      <c r="AW236" s="219"/>
      <c r="AX236" s="219"/>
      <c r="AY236" s="219"/>
      <c r="AZ236" s="219"/>
      <c r="BA236" s="219"/>
    </row>
    <row r="237" spans="1:53" outlineLevel="1" x14ac:dyDescent="0.35">
      <c r="A237" s="6" t="s">
        <v>40</v>
      </c>
      <c r="Z237" s="6">
        <f>'Results - raw data ReCiPe (H)'!CA100</f>
        <v>1.3377114098727929</v>
      </c>
    </row>
    <row r="238" spans="1:53" outlineLevel="1" x14ac:dyDescent="0.35">
      <c r="A238" s="6" t="s">
        <v>42</v>
      </c>
      <c r="Z238" s="6">
        <f>'Results - raw data ReCiPe (H)'!CA101</f>
        <v>3.6060080522679621</v>
      </c>
    </row>
    <row r="239" spans="1:53" outlineLevel="1" x14ac:dyDescent="0.35">
      <c r="A239" s="6" t="s">
        <v>115</v>
      </c>
      <c r="Z239" s="6">
        <f>'Results - raw data ReCiPe (H)'!CA102</f>
        <v>27.00760175944605</v>
      </c>
    </row>
    <row r="240" spans="1:53" outlineLevel="1" x14ac:dyDescent="0.35">
      <c r="A240" s="6" t="s">
        <v>45</v>
      </c>
      <c r="Z240" s="6">
        <f>'Results - raw data ReCiPe (H)'!CA103*AC210*AC212</f>
        <v>1.2288061080708204</v>
      </c>
    </row>
    <row r="241" spans="1:26" outlineLevel="1" x14ac:dyDescent="0.35">
      <c r="A241" s="6" t="s">
        <v>116</v>
      </c>
      <c r="B241" s="6">
        <f>'Results - raw data ReCiPe (H)'!BC104</f>
        <v>114.06781731957111</v>
      </c>
      <c r="C241" s="6">
        <f>'Results - raw data ReCiPe (H)'!BD104</f>
        <v>113.7328675530224</v>
      </c>
      <c r="D241" s="6">
        <f>'Results - raw data ReCiPe (H)'!BE104</f>
        <v>113.3929663091527</v>
      </c>
      <c r="E241" s="6">
        <f>'Results - raw data ReCiPe (H)'!BF104</f>
        <v>112.3911675049322</v>
      </c>
      <c r="F241" s="6">
        <f>'Results - raw data ReCiPe (H)'!BG104</f>
        <v>112.0478306078531</v>
      </c>
      <c r="G241" s="6">
        <f>'Results - raw data ReCiPe (H)'!BH104</f>
        <v>111.69872823537609</v>
      </c>
      <c r="H241" s="6">
        <f>'Results - raw data ReCiPe (H)'!BI104</f>
        <v>112.2010947204887</v>
      </c>
      <c r="I241" s="6">
        <f>'Results - raw data ReCiPe (H)'!BJ104</f>
        <v>112.69351643430041</v>
      </c>
      <c r="J241" s="6">
        <f>'Results - raw data ReCiPe (H)'!BK104</f>
        <v>112.74009000216979</v>
      </c>
      <c r="K241" s="6">
        <f>'Results - raw data ReCiPe (H)'!BL104</f>
        <v>113.21958271568749</v>
      </c>
      <c r="L241" s="6">
        <f>'Results - raw data ReCiPe (H)'!BM104</f>
        <v>113.6897765530383</v>
      </c>
      <c r="M241" s="6">
        <f>'Results - raw data ReCiPe (H)'!BN104</f>
        <v>113.65222917100461</v>
      </c>
      <c r="N241" s="6">
        <f>'Results - raw data ReCiPe (H)'!BO104</f>
        <v>113.61473943331841</v>
      </c>
      <c r="O241" s="6">
        <f>'Results - raw data ReCiPe (H)'!BP104</f>
        <v>113.44770784519361</v>
      </c>
      <c r="P241" s="6">
        <f>'Results - raw data ReCiPe (H)'!BQ104</f>
        <v>113.41332719801061</v>
      </c>
      <c r="Q241" s="6">
        <f>'Results - raw data ReCiPe (H)'!BR104</f>
        <v>113.3787859326078</v>
      </c>
      <c r="R241" s="6">
        <f>'Results - raw data ReCiPe (H)'!BS104</f>
        <v>113.0512155274629</v>
      </c>
      <c r="S241" s="6">
        <f>'Results - raw data ReCiPe (H)'!BT104</f>
        <v>112.7253429675897</v>
      </c>
      <c r="T241" s="6">
        <f>'Results - raw data ReCiPe (H)'!BU104</f>
        <v>112.2791950057142</v>
      </c>
      <c r="U241" s="6">
        <f>'Results - raw data ReCiPe (H)'!BV104</f>
        <v>111.9583975303494</v>
      </c>
      <c r="V241" s="6">
        <f>'Results - raw data ReCiPe (H)'!BW104</f>
        <v>111.6387040996559</v>
      </c>
      <c r="W241" s="6">
        <f>'Results - raw data ReCiPe (H)'!BX104</f>
        <v>111.5739444092645</v>
      </c>
      <c r="X241" s="6">
        <f>'Results - raw data ReCiPe (H)'!BY104</f>
        <v>111.50977454615681</v>
      </c>
      <c r="Y241" s="6">
        <f>'Results - raw data ReCiPe (H)'!BZ104</f>
        <v>111.4459321675379</v>
      </c>
      <c r="Z241" s="6">
        <f>'Results - raw data ReCiPe (H)'!CA104</f>
        <v>111.3824079888096</v>
      </c>
    </row>
    <row r="242" spans="1:26" outlineLevel="1" x14ac:dyDescent="0.35">
      <c r="A242" s="6" t="s">
        <v>758</v>
      </c>
      <c r="B242" s="6">
        <f>'Results - raw data ReCiPe (H)'!BC105*$AC$210</f>
        <v>118.7649636998278</v>
      </c>
      <c r="C242" s="6">
        <f>'Results - raw data ReCiPe (H)'!BD105*$AC$210</f>
        <v>109.5932384447962</v>
      </c>
      <c r="D242" s="6">
        <f>'Results - raw data ReCiPe (H)'!BE105*$AC$210</f>
        <v>100.41460012870719</v>
      </c>
      <c r="E242" s="6">
        <f>'Results - raw data ReCiPe (H)'!BF105*$AC$210</f>
        <v>90.777455527861918</v>
      </c>
      <c r="F242" s="6">
        <f>'Results - raw data ReCiPe (H)'!BG105*$AC$210</f>
        <v>81.570934765721915</v>
      </c>
      <c r="G242" s="6">
        <f>'Results - raw data ReCiPe (H)'!BH105*$AC$210</f>
        <v>72.359798079795141</v>
      </c>
      <c r="H242" s="6">
        <f>'Results - raw data ReCiPe (H)'!BI105*$AC$210</f>
        <v>83.090067110340485</v>
      </c>
      <c r="I242" s="6">
        <f>'Results - raw data ReCiPe (H)'!BJ105*$AC$210</f>
        <v>93.746280998158767</v>
      </c>
      <c r="J242" s="6">
        <f>'Results - raw data ReCiPe (H)'!BK105*$AC$210</f>
        <v>103.88763060054831</v>
      </c>
      <c r="K242" s="6">
        <f>'Results - raw data ReCiPe (H)'!BL105*$AC$210</f>
        <v>114.38321113321291</v>
      </c>
      <c r="L242" s="6">
        <f>'Results - raw data ReCiPe (H)'!BM105*$AC$210</f>
        <v>124.8073148894706</v>
      </c>
      <c r="M242" s="6">
        <f>'Results - raw data ReCiPe (H)'!BN105*$AC$210</f>
        <v>138.0260259358314</v>
      </c>
      <c r="N242" s="6">
        <f>'Results - raw data ReCiPe (H)'!BO105*$AC$210</f>
        <v>151.2246892594209</v>
      </c>
      <c r="O242" s="6">
        <f>'Results - raw data ReCiPe (H)'!BP105*$AC$210</f>
        <v>164.30326053808798</v>
      </c>
      <c r="P242" s="6">
        <f>'Results - raw data ReCiPe (H)'!BQ105*$AC$210</f>
        <v>177.4640980001044</v>
      </c>
      <c r="Q242" s="6">
        <f>'Results - raw data ReCiPe (H)'!BR105*$AC$210</f>
        <v>190.60431325869141</v>
      </c>
      <c r="R242" s="6">
        <f>'Results - raw data ReCiPe (H)'!BS105*$AC$210</f>
        <v>186.55163632819099</v>
      </c>
      <c r="S242" s="6">
        <f>'Results - raw data ReCiPe (H)'!BT105*$AC$210</f>
        <v>182.4817186104238</v>
      </c>
      <c r="T242" s="6">
        <f>'Results - raw data ReCiPe (H)'!BU105*$AC$210</f>
        <v>178.30313445153249</v>
      </c>
      <c r="U242" s="6">
        <f>'Results - raw data ReCiPe (H)'!BV105*$AC$210</f>
        <v>174.20067305803809</v>
      </c>
      <c r="V242" s="6">
        <f>'Results - raw data ReCiPe (H)'!BW105*$AC$210</f>
        <v>170.08012725792042</v>
      </c>
      <c r="W242" s="6">
        <f>'Results - raw data ReCiPe (H)'!BX105*$AC$210</f>
        <v>169.9149619203435</v>
      </c>
      <c r="X242" s="6">
        <f>'Results - raw data ReCiPe (H)'!BY105*$AC$210</f>
        <v>169.75846340264729</v>
      </c>
      <c r="Y242" s="6">
        <f>'Results - raw data ReCiPe (H)'!BZ105*$AC$210</f>
        <v>169.60054526307579</v>
      </c>
      <c r="Z242" s="6">
        <f>'Results - raw data ReCiPe (H)'!CA105*$AC$210</f>
        <v>169.44099770029101</v>
      </c>
    </row>
    <row r="243" spans="1:26" outlineLevel="1" x14ac:dyDescent="0.35">
      <c r="A243" s="6" t="s">
        <v>759</v>
      </c>
      <c r="B243" s="6">
        <f>'Results - raw data ReCiPe (H)'!BC106</f>
        <v>0</v>
      </c>
      <c r="C243" s="6">
        <f>'Results - raw data ReCiPe (H)'!BD106</f>
        <v>0</v>
      </c>
      <c r="D243" s="6">
        <f>'Results - raw data ReCiPe (H)'!BE106</f>
        <v>0</v>
      </c>
      <c r="E243" s="6">
        <f>'Results - raw data ReCiPe (H)'!BF106</f>
        <v>0</v>
      </c>
      <c r="F243" s="6">
        <f>'Results - raw data ReCiPe (H)'!BG106</f>
        <v>0</v>
      </c>
      <c r="G243" s="6">
        <f>'Results - raw data ReCiPe (H)'!BH106</f>
        <v>0</v>
      </c>
      <c r="H243" s="6">
        <f>'Results - raw data ReCiPe (H)'!BI106</f>
        <v>0</v>
      </c>
      <c r="I243" s="6">
        <f>'Results - raw data ReCiPe (H)'!BJ106</f>
        <v>0</v>
      </c>
      <c r="J243" s="6">
        <f>'Results - raw data ReCiPe (H)'!BK106</f>
        <v>0</v>
      </c>
      <c r="K243" s="6">
        <f>'Results - raw data ReCiPe (H)'!BL106</f>
        <v>0</v>
      </c>
      <c r="L243" s="6">
        <f>'Results - raw data ReCiPe (H)'!BM106</f>
        <v>0</v>
      </c>
      <c r="M243" s="6">
        <f>'Results - raw data ReCiPe (H)'!BN106</f>
        <v>0</v>
      </c>
      <c r="N243" s="6">
        <f>'Results - raw data ReCiPe (H)'!BO106</f>
        <v>0</v>
      </c>
      <c r="O243" s="6">
        <f>'Results - raw data ReCiPe (H)'!BP106</f>
        <v>0</v>
      </c>
      <c r="P243" s="6">
        <f>'Results - raw data ReCiPe (H)'!BQ106</f>
        <v>0</v>
      </c>
      <c r="Q243" s="6">
        <f>'Results - raw data ReCiPe (H)'!BR106</f>
        <v>0</v>
      </c>
      <c r="R243" s="6">
        <f>'Results - raw data ReCiPe (H)'!BS106</f>
        <v>0</v>
      </c>
      <c r="S243" s="6">
        <f>'Results - raw data ReCiPe (H)'!BT106</f>
        <v>0</v>
      </c>
      <c r="T243" s="6">
        <f>'Results - raw data ReCiPe (H)'!BU106</f>
        <v>0</v>
      </c>
      <c r="U243" s="6">
        <f>'Results - raw data ReCiPe (H)'!BV106</f>
        <v>0</v>
      </c>
      <c r="V243" s="6">
        <f>'Results - raw data ReCiPe (H)'!BW106</f>
        <v>0</v>
      </c>
      <c r="W243" s="6">
        <f>'Results - raw data ReCiPe (H)'!BX106</f>
        <v>0</v>
      </c>
      <c r="X243" s="6">
        <f>'Results - raw data ReCiPe (H)'!BY106</f>
        <v>0</v>
      </c>
      <c r="Y243" s="6">
        <f>'Results - raw data ReCiPe (H)'!BZ106</f>
        <v>0</v>
      </c>
      <c r="Z243" s="6">
        <f>'Results - raw data ReCiPe (H)'!CA106</f>
        <v>0</v>
      </c>
    </row>
    <row r="244" spans="1:26" outlineLevel="1" x14ac:dyDescent="0.35">
      <c r="A244" s="6" t="s">
        <v>760</v>
      </c>
      <c r="B244" s="6">
        <f>150000*($AC$211*'Results - raw data ReCiPe (H)'!BC128+(1-$AC$211)*'Results - raw data ReCiPe (H)'!BC129)</f>
        <v>1175.8452241785824</v>
      </c>
      <c r="C244" s="6">
        <f>150000*($AC$211*'Results - raw data ReCiPe (H)'!BD128+(1-$AC$211)*'Results - raw data ReCiPe (H)'!BD129)</f>
        <v>1087.0891072007541</v>
      </c>
      <c r="D244" s="6">
        <f>150000*($AC$211*'Results - raw data ReCiPe (H)'!BE128+(1-$AC$211)*'Results - raw data ReCiPe (H)'!BE129)</f>
        <v>997.62082450104299</v>
      </c>
      <c r="E244" s="6">
        <f>150000*($AC$211*'Results - raw data ReCiPe (H)'!BF128+(1-$AC$211)*'Results - raw data ReCiPe (H)'!BF129)</f>
        <v>902.77080385259717</v>
      </c>
      <c r="F244" s="6">
        <f>150000*($AC$211*'Results - raw data ReCiPe (H)'!BG128+(1-$AC$211)*'Results - raw data ReCiPe (H)'!BG129)</f>
        <v>811.69338552061743</v>
      </c>
      <c r="G244" s="6">
        <f>150000*($AC$211*'Results - raw data ReCiPe (H)'!BH128+(1-$AC$211)*'Results - raw data ReCiPe (H)'!BH129)</f>
        <v>719.90952411155206</v>
      </c>
      <c r="H244" s="6">
        <f>150000*($AC$211*'Results - raw data ReCiPe (H)'!BI128+(1-$AC$211)*'Results - raw data ReCiPe (H)'!BI129)</f>
        <v>830.5494196246367</v>
      </c>
      <c r="I244" s="6">
        <f>150000*($AC$211*'Results - raw data ReCiPe (H)'!BJ128+(1-$AC$211)*'Results - raw data ReCiPe (H)'!BJ129)</f>
        <v>940.90859230346416</v>
      </c>
      <c r="J244" s="6">
        <f>150000*($AC$211*'Results - raw data ReCiPe (H)'!BK128+(1-$AC$211)*'Results - raw data ReCiPe (H)'!BK129)</f>
        <v>1046.4356996736349</v>
      </c>
      <c r="K244" s="6">
        <f>150000*($AC$211*'Results - raw data ReCiPe (H)'!BL128+(1-$AC$211)*'Results - raw data ReCiPe (H)'!BL129)</f>
        <v>1156.0917592662138</v>
      </c>
      <c r="L244" s="6">
        <f>150000*($AC$211*'Results - raw data ReCiPe (H)'!BM128+(1-$AC$211)*'Results - raw data ReCiPe (H)'!BM129)</f>
        <v>1265.4894480400476</v>
      </c>
      <c r="M244" s="6">
        <f>150000*($AC$211*'Results - raw data ReCiPe (H)'!BN128+(1-$AC$211)*'Results - raw data ReCiPe (H)'!BN129)</f>
        <v>1401.5236823982696</v>
      </c>
      <c r="N244" s="6">
        <f>150000*($AC$211*'Results - raw data ReCiPe (H)'!BO128+(1-$AC$211)*'Results - raw data ReCiPe (H)'!BO129)</f>
        <v>1537.1204937656278</v>
      </c>
      <c r="O244" s="6">
        <f>150000*($AC$211*'Results - raw data ReCiPe (H)'!BP128+(1-$AC$211)*'Results - raw data ReCiPe (H)'!BP129)</f>
        <v>1671.2453102185493</v>
      </c>
      <c r="P244" s="6">
        <f>150000*($AC$211*'Results - raw data ReCiPe (H)'!BQ128+(1-$AC$211)*'Results - raw data ReCiPe (H)'!BQ129)</f>
        <v>1805.9907176359361</v>
      </c>
      <c r="Q244" s="6">
        <f>150000*($AC$211*'Results - raw data ReCiPe (H)'!BR128+(1-$AC$211)*'Results - raw data ReCiPe (H)'!BR129)</f>
        <v>1940.2936655372544</v>
      </c>
      <c r="R244" s="6">
        <f>150000*($AC$211*'Results - raw data ReCiPe (H)'!BS128+(1-$AC$211)*'Results - raw data ReCiPe (H)'!BS129)</f>
        <v>1891.2598128052794</v>
      </c>
      <c r="S244" s="6">
        <f>150000*($AC$211*'Results - raw data ReCiPe (H)'!BT128+(1-$AC$211)*'Results - raw data ReCiPe (H)'!BT129)</f>
        <v>1842.4822013892767</v>
      </c>
      <c r="T244" s="6">
        <f>150000*($AC$211*'Results - raw data ReCiPe (H)'!BU128+(1-$AC$211)*'Results - raw data ReCiPe (H)'!BU129)</f>
        <v>1793.0190339898018</v>
      </c>
      <c r="U244" s="6">
        <f>150000*($AC$211*'Results - raw data ReCiPe (H)'!BV128+(1-$AC$211)*'Results - raw data ReCiPe (H)'!BV129)</f>
        <v>1744.7644437652114</v>
      </c>
      <c r="V244" s="6">
        <f>150000*($AC$211*'Results - raw data ReCiPe (H)'!BW128+(1-$AC$211)*'Results - raw data ReCiPe (H)'!BW129)</f>
        <v>1696.7334797357501</v>
      </c>
      <c r="W244" s="6">
        <f>150000*($AC$211*'Results - raw data ReCiPe (H)'!BX128+(1-$AC$211)*'Results - raw data ReCiPe (H)'!BX129)</f>
        <v>1697.2356339225128</v>
      </c>
      <c r="X244" s="6">
        <f>150000*($AC$211*'Results - raw data ReCiPe (H)'!BY128+(1-$AC$211)*'Results - raw data ReCiPe (H)'!BY129)</f>
        <v>1697.7935834059967</v>
      </c>
      <c r="Y244" s="6">
        <f>150000*($AC$211*'Results - raw data ReCiPe (H)'!BZ128+(1-$AC$211)*'Results - raw data ReCiPe (H)'!BZ129)</f>
        <v>1698.3396815294088</v>
      </c>
      <c r="Z244" s="6">
        <f>150000*($AC$211*'Results - raw data ReCiPe (H)'!CA128+(1-$AC$211)*'Results - raw data ReCiPe (H)'!CA129)</f>
        <v>1698.8725316497232</v>
      </c>
    </row>
    <row r="245" spans="1:26" outlineLevel="1" x14ac:dyDescent="0.35">
      <c r="A245" s="23" t="s">
        <v>125</v>
      </c>
      <c r="B245" s="17">
        <f>SUM(B214:B244)</f>
        <v>4349.4957437835337</v>
      </c>
      <c r="C245" s="17">
        <f t="shared" ref="C245:Z245" si="26">SUM(C214:C244)</f>
        <v>1310.4152131985727</v>
      </c>
      <c r="D245" s="17">
        <f t="shared" si="26"/>
        <v>1211.4283909389028</v>
      </c>
      <c r="E245" s="17">
        <f t="shared" si="26"/>
        <v>1105.9394268853912</v>
      </c>
      <c r="F245" s="17">
        <f t="shared" si="26"/>
        <v>1005.3121508941924</v>
      </c>
      <c r="G245" s="17">
        <f t="shared" si="26"/>
        <v>903.96805042672327</v>
      </c>
      <c r="H245" s="17">
        <f t="shared" si="26"/>
        <v>1025.8405814554658</v>
      </c>
      <c r="I245" s="17">
        <f t="shared" si="26"/>
        <v>1147.3483897359233</v>
      </c>
      <c r="J245" s="17">
        <f t="shared" si="26"/>
        <v>1263.0634202763531</v>
      </c>
      <c r="K245" s="17">
        <f t="shared" si="26"/>
        <v>1383.6945531151141</v>
      </c>
      <c r="L245" s="17">
        <f t="shared" si="26"/>
        <v>1503.9865394825565</v>
      </c>
      <c r="M245" s="17">
        <f t="shared" si="26"/>
        <v>1653.2019375051054</v>
      </c>
      <c r="N245" s="17">
        <f t="shared" si="26"/>
        <v>1801.9599224583671</v>
      </c>
      <c r="O245" s="17">
        <f t="shared" si="26"/>
        <v>1948.9962786018309</v>
      </c>
      <c r="P245" s="17">
        <f t="shared" si="26"/>
        <v>2096.868142834051</v>
      </c>
      <c r="Q245" s="17">
        <f t="shared" si="26"/>
        <v>2244.2767647285536</v>
      </c>
      <c r="R245" s="17">
        <f t="shared" si="26"/>
        <v>2190.8626646609332</v>
      </c>
      <c r="S245" s="17">
        <f t="shared" si="26"/>
        <v>2137.6892629672902</v>
      </c>
      <c r="T245" s="17">
        <f t="shared" si="26"/>
        <v>2083.6013634470482</v>
      </c>
      <c r="U245" s="17">
        <f t="shared" si="26"/>
        <v>2030.9235143535989</v>
      </c>
      <c r="V245" s="17">
        <f t="shared" si="26"/>
        <v>1978.4523110933264</v>
      </c>
      <c r="W245" s="17">
        <f t="shared" si="26"/>
        <v>1978.7245402521207</v>
      </c>
      <c r="X245" s="17">
        <f t="shared" si="26"/>
        <v>1979.0618213548009</v>
      </c>
      <c r="Y245" s="17">
        <f t="shared" si="26"/>
        <v>1979.3861589600224</v>
      </c>
      <c r="Z245" s="17">
        <f t="shared" si="26"/>
        <v>2019.7143647654757</v>
      </c>
    </row>
    <row r="246" spans="1:26" s="26" customFormat="1" outlineLevel="1" x14ac:dyDescent="0.35"/>
    <row r="247" spans="1:26" s="221" customFormat="1" ht="21" x14ac:dyDescent="0.5">
      <c r="A247" s="229" t="s">
        <v>851</v>
      </c>
    </row>
    <row r="248" spans="1:26" s="18" customFormat="1" ht="21" x14ac:dyDescent="0.5">
      <c r="A248" s="18" t="s">
        <v>72</v>
      </c>
    </row>
    <row r="249" spans="1:26" s="20" customFormat="1" outlineLevel="1" x14ac:dyDescent="0.35">
      <c r="A249" s="19" t="s">
        <v>788</v>
      </c>
    </row>
    <row r="250" spans="1:26" s="20" customFormat="1" outlineLevel="1" x14ac:dyDescent="0.35">
      <c r="A250" s="273" t="s">
        <v>775</v>
      </c>
      <c r="B250" s="20">
        <v>1</v>
      </c>
      <c r="C250" s="274" t="s">
        <v>787</v>
      </c>
    </row>
    <row r="251" spans="1:26" s="20" customFormat="1" outlineLevel="1" x14ac:dyDescent="0.35">
      <c r="A251" s="273" t="s">
        <v>781</v>
      </c>
      <c r="B251" s="20">
        <v>100000</v>
      </c>
      <c r="C251" s="20" t="s">
        <v>782</v>
      </c>
      <c r="E251" s="274"/>
    </row>
    <row r="252" spans="1:26" s="20" customFormat="1" outlineLevel="1" x14ac:dyDescent="0.35">
      <c r="A252" s="273" t="s">
        <v>783</v>
      </c>
      <c r="B252" s="20">
        <v>1500</v>
      </c>
      <c r="C252" s="20" t="s">
        <v>592</v>
      </c>
    </row>
    <row r="253" spans="1:26" s="20" customFormat="1" outlineLevel="1" x14ac:dyDescent="0.35">
      <c r="A253" s="273" t="s">
        <v>784</v>
      </c>
      <c r="B253" s="20">
        <v>8760</v>
      </c>
      <c r="C253" s="20" t="s">
        <v>785</v>
      </c>
    </row>
    <row r="254" spans="1:26" s="20" customFormat="1" outlineLevel="1" x14ac:dyDescent="0.35">
      <c r="A254" s="273"/>
    </row>
    <row r="255" spans="1:26" s="20" customFormat="1" outlineLevel="1" x14ac:dyDescent="0.35">
      <c r="A255" s="275" t="s">
        <v>786</v>
      </c>
      <c r="B255" s="275">
        <f>(B251*B252)/(B253*B250)</f>
        <v>17123.287671232876</v>
      </c>
      <c r="C255" s="275" t="s">
        <v>749</v>
      </c>
    </row>
    <row r="256" spans="1:26" s="20" customFormat="1" outlineLevel="1" x14ac:dyDescent="0.35">
      <c r="A256" s="19"/>
    </row>
    <row r="257" spans="1:31" s="20" customFormat="1" outlineLevel="1" x14ac:dyDescent="0.35">
      <c r="A257" s="19" t="s">
        <v>793</v>
      </c>
    </row>
    <row r="258" spans="1:31" s="20" customFormat="1" outlineLevel="1" x14ac:dyDescent="0.35">
      <c r="A258" s="273" t="s">
        <v>789</v>
      </c>
      <c r="B258" s="20">
        <f>SUM('Results - raw data ReCiPe (H)'!BC136:BC137)+'Results - raw data ReCiPe (H)'!BC140+SUM('Results - raw data ReCiPe (H)'!BC138:BC139)*AC267</f>
        <v>82.9840217721854</v>
      </c>
      <c r="C258" s="20" t="s">
        <v>902</v>
      </c>
    </row>
    <row r="259" spans="1:31" s="20" customFormat="1" outlineLevel="1" x14ac:dyDescent="0.35">
      <c r="A259" s="20" t="s">
        <v>792</v>
      </c>
      <c r="B259" s="20">
        <f>B251*AC265</f>
        <v>50000</v>
      </c>
      <c r="C259" s="274" t="s">
        <v>795</v>
      </c>
    </row>
    <row r="260" spans="1:31" s="20" customFormat="1" outlineLevel="1" x14ac:dyDescent="0.35">
      <c r="A260" s="20" t="s">
        <v>791</v>
      </c>
      <c r="B260" s="20">
        <f>(B258*AC267*B255)/(B259*AC266)*(AC266/AC268)</f>
        <v>8.5257556615258974</v>
      </c>
      <c r="C260" s="20" t="s">
        <v>903</v>
      </c>
      <c r="E260" s="274" t="s">
        <v>796</v>
      </c>
    </row>
    <row r="261" spans="1:31" s="20" customFormat="1" outlineLevel="1" x14ac:dyDescent="0.35">
      <c r="A261" s="19"/>
    </row>
    <row r="262" spans="1:31" s="16" customFormat="1" outlineLevel="1" x14ac:dyDescent="0.35">
      <c r="A262" s="21"/>
      <c r="AE262" s="15"/>
    </row>
    <row r="263" spans="1:31" s="16" customFormat="1" outlineLevel="1" x14ac:dyDescent="0.35">
      <c r="A263" s="22" t="s">
        <v>761</v>
      </c>
    </row>
    <row r="264" spans="1:31" s="16" customFormat="1" outlineLevel="1" x14ac:dyDescent="0.35">
      <c r="A264" s="22"/>
      <c r="AB264" s="16" t="s">
        <v>127</v>
      </c>
      <c r="AC264" s="276">
        <f>100*AC265</f>
        <v>50</v>
      </c>
      <c r="AD264" s="16" t="s">
        <v>128</v>
      </c>
    </row>
    <row r="265" spans="1:31" s="16" customFormat="1" outlineLevel="1" x14ac:dyDescent="0.35">
      <c r="A265" s="230"/>
      <c r="AB265" s="16" t="s">
        <v>776</v>
      </c>
      <c r="AC265" s="276">
        <v>0.5</v>
      </c>
    </row>
    <row r="266" spans="1:31" s="16" customFormat="1" outlineLevel="1" x14ac:dyDescent="0.35">
      <c r="A266" s="230"/>
      <c r="AB266" s="16" t="s">
        <v>129</v>
      </c>
      <c r="AC266" s="276">
        <v>25</v>
      </c>
      <c r="AD266" s="16" t="s">
        <v>130</v>
      </c>
    </row>
    <row r="267" spans="1:31" s="16" customFormat="1" outlineLevel="1" x14ac:dyDescent="0.35">
      <c r="A267" s="230"/>
      <c r="AB267" s="16" t="s">
        <v>777</v>
      </c>
      <c r="AC267" s="276">
        <v>6</v>
      </c>
      <c r="AD267" s="16" t="s">
        <v>779</v>
      </c>
    </row>
    <row r="268" spans="1:31" s="16" customFormat="1" outlineLevel="1" x14ac:dyDescent="0.35">
      <c r="A268" s="22"/>
      <c r="AB268" s="16" t="s">
        <v>778</v>
      </c>
      <c r="AC268" s="276">
        <v>20</v>
      </c>
      <c r="AD268" s="16" t="s">
        <v>130</v>
      </c>
    </row>
    <row r="269" spans="1:31" s="16" customFormat="1" outlineLevel="1" x14ac:dyDescent="0.35">
      <c r="A269" s="22"/>
      <c r="AB269" s="16" t="s">
        <v>780</v>
      </c>
      <c r="AC269" s="276">
        <f>B255</f>
        <v>17123.287671232876</v>
      </c>
      <c r="AD269" s="16" t="s">
        <v>749</v>
      </c>
    </row>
    <row r="270" spans="1:31" s="16" customFormat="1" outlineLevel="1" x14ac:dyDescent="0.35">
      <c r="A270" s="22"/>
      <c r="AB270" s="16" t="s">
        <v>820</v>
      </c>
      <c r="AC270" s="16">
        <v>0.5</v>
      </c>
    </row>
    <row r="271" spans="1:31" s="16" customFormat="1" outlineLevel="1" x14ac:dyDescent="0.35">
      <c r="A271" s="22"/>
      <c r="AB271" s="16" t="s">
        <v>798</v>
      </c>
      <c r="AC271" s="16">
        <v>0.25</v>
      </c>
    </row>
    <row r="272" spans="1:31" s="16" customFormat="1" outlineLevel="1" x14ac:dyDescent="0.35">
      <c r="A272" s="22"/>
      <c r="AB272" s="16" t="s">
        <v>799</v>
      </c>
      <c r="AC272" s="16">
        <v>0.9</v>
      </c>
    </row>
    <row r="273" spans="1:53" outlineLevel="1" x14ac:dyDescent="0.35">
      <c r="B273" s="25">
        <v>2030</v>
      </c>
      <c r="C273" s="25">
        <v>2031</v>
      </c>
      <c r="D273" s="25">
        <v>2032</v>
      </c>
      <c r="E273" s="25">
        <v>2033</v>
      </c>
      <c r="F273" s="25">
        <v>2034</v>
      </c>
      <c r="G273" s="25">
        <v>2035</v>
      </c>
      <c r="H273" s="25">
        <v>2036</v>
      </c>
      <c r="I273" s="25">
        <v>2037</v>
      </c>
      <c r="J273" s="25">
        <v>2038</v>
      </c>
      <c r="K273" s="25">
        <v>2039</v>
      </c>
      <c r="L273" s="25">
        <v>2040</v>
      </c>
      <c r="M273" s="25">
        <v>2041</v>
      </c>
      <c r="N273" s="25">
        <v>2042</v>
      </c>
      <c r="O273" s="25">
        <v>2043</v>
      </c>
      <c r="P273" s="25">
        <v>2044</v>
      </c>
      <c r="Q273" s="25">
        <v>2045</v>
      </c>
      <c r="R273" s="25">
        <v>2046</v>
      </c>
      <c r="S273" s="25">
        <v>2047</v>
      </c>
      <c r="T273" s="25">
        <v>2048</v>
      </c>
      <c r="U273" s="25">
        <v>2049</v>
      </c>
      <c r="V273" s="25">
        <v>2050</v>
      </c>
      <c r="W273" s="25">
        <v>2051</v>
      </c>
      <c r="X273" s="25">
        <v>2052</v>
      </c>
      <c r="Y273" s="25">
        <v>2053</v>
      </c>
      <c r="Z273" s="25">
        <v>2054</v>
      </c>
      <c r="AC273" s="25">
        <v>2030</v>
      </c>
      <c r="AD273" s="25">
        <v>2031</v>
      </c>
      <c r="AE273" s="25">
        <v>2032</v>
      </c>
      <c r="AF273" s="25">
        <v>2033</v>
      </c>
      <c r="AG273" s="25">
        <v>2034</v>
      </c>
      <c r="AH273" s="25">
        <v>2035</v>
      </c>
      <c r="AI273" s="25">
        <v>2036</v>
      </c>
      <c r="AJ273" s="25">
        <v>2037</v>
      </c>
      <c r="AK273" s="25">
        <v>2038</v>
      </c>
      <c r="AL273" s="25">
        <v>2039</v>
      </c>
      <c r="AM273" s="25">
        <v>2040</v>
      </c>
      <c r="AN273" s="25">
        <v>2041</v>
      </c>
      <c r="AO273" s="25">
        <v>2042</v>
      </c>
      <c r="AP273" s="25">
        <v>2043</v>
      </c>
      <c r="AQ273" s="25">
        <v>2044</v>
      </c>
      <c r="AR273" s="25">
        <v>2045</v>
      </c>
      <c r="AS273" s="25">
        <v>2046</v>
      </c>
      <c r="AT273" s="25">
        <v>2047</v>
      </c>
      <c r="AU273" s="25">
        <v>2048</v>
      </c>
      <c r="AV273" s="25">
        <v>2049</v>
      </c>
      <c r="AW273" s="25">
        <v>2050</v>
      </c>
      <c r="AX273" s="25">
        <v>2051</v>
      </c>
      <c r="AY273" s="25">
        <v>2052</v>
      </c>
      <c r="AZ273" s="25">
        <v>2053</v>
      </c>
      <c r="BA273" s="25">
        <v>2054</v>
      </c>
    </row>
    <row r="274" spans="1:53" outlineLevel="1" x14ac:dyDescent="0.35">
      <c r="A274" s="6" t="s">
        <v>21</v>
      </c>
      <c r="B274" s="6">
        <f t="shared" ref="B274:B285" si="27">B10</f>
        <v>75.900107259729808</v>
      </c>
      <c r="AB274" s="6" t="s">
        <v>117</v>
      </c>
      <c r="AC274" s="6">
        <f>SUM(B274:B285)+B287</f>
        <v>2845.7346061175544</v>
      </c>
    </row>
    <row r="275" spans="1:53" outlineLevel="1" x14ac:dyDescent="0.35">
      <c r="A275" s="6" t="s">
        <v>23</v>
      </c>
      <c r="B275" s="6">
        <f t="shared" si="27"/>
        <v>315.32647070950878</v>
      </c>
      <c r="AB275" s="6" t="s">
        <v>118</v>
      </c>
      <c r="AC275" s="6">
        <f>B286</f>
        <v>134.83838270239062</v>
      </c>
    </row>
    <row r="276" spans="1:53" outlineLevel="1" x14ac:dyDescent="0.35">
      <c r="A276" s="6" t="s">
        <v>26</v>
      </c>
      <c r="B276" s="6">
        <f t="shared" si="27"/>
        <v>320.06211166534263</v>
      </c>
      <c r="AB276" s="6" t="s">
        <v>119</v>
      </c>
      <c r="BA276" s="6">
        <f>SUM(Z288:Z299)</f>
        <v>45.635874346592793</v>
      </c>
    </row>
    <row r="277" spans="1:53" outlineLevel="1" x14ac:dyDescent="0.35">
      <c r="A277" s="6" t="s">
        <v>28</v>
      </c>
      <c r="B277" s="6">
        <f t="shared" si="27"/>
        <v>246.9725509849394</v>
      </c>
      <c r="AB277" s="6" t="s">
        <v>120</v>
      </c>
      <c r="BA277" s="6">
        <f>Z300</f>
        <v>2.6853148874369804E-4</v>
      </c>
    </row>
    <row r="278" spans="1:53" outlineLevel="1" x14ac:dyDescent="0.35">
      <c r="A278" s="6" t="s">
        <v>29</v>
      </c>
      <c r="B278" s="6">
        <f t="shared" si="27"/>
        <v>121.9560327138697</v>
      </c>
      <c r="AB278" s="6" t="s">
        <v>121</v>
      </c>
      <c r="AC278" s="6">
        <f>B301</f>
        <v>118.1930543229993</v>
      </c>
      <c r="AF278" s="6">
        <f>E301</f>
        <v>117.3708968791351</v>
      </c>
      <c r="AI278" s="6">
        <f>H301</f>
        <v>117.2479070799383</v>
      </c>
      <c r="AL278" s="6">
        <f>K301</f>
        <v>116.65080958776529</v>
      </c>
      <c r="AO278" s="6">
        <f>N301</f>
        <v>116.5694194979278</v>
      </c>
      <c r="AR278" s="6">
        <f>Q301</f>
        <v>116.3562974875733</v>
      </c>
      <c r="AU278" s="6">
        <f>T301</f>
        <v>116.0610845903859</v>
      </c>
      <c r="AX278" s="6">
        <f>W301</f>
        <v>115.9379738654637</v>
      </c>
      <c r="BA278" s="6">
        <f>Z301</f>
        <v>115.8757111011497</v>
      </c>
    </row>
    <row r="279" spans="1:53" outlineLevel="1" x14ac:dyDescent="0.35">
      <c r="A279" s="6" t="s">
        <v>31</v>
      </c>
      <c r="B279" s="6">
        <f t="shared" si="27"/>
        <v>86.300562327748125</v>
      </c>
      <c r="AB279" s="6" t="s">
        <v>797</v>
      </c>
      <c r="AC279" s="6">
        <f>B305</f>
        <v>426.28778307629489</v>
      </c>
      <c r="AD279" s="6">
        <f t="shared" ref="AD279:BA279" si="28">C305</f>
        <v>426.28778307629489</v>
      </c>
      <c r="AE279" s="6">
        <f t="shared" si="28"/>
        <v>426.28778307629489</v>
      </c>
      <c r="AF279" s="6">
        <f t="shared" si="28"/>
        <v>426.28778307629489</v>
      </c>
      <c r="AG279" s="6">
        <f t="shared" si="28"/>
        <v>426.28778307629489</v>
      </c>
      <c r="AH279" s="6">
        <f t="shared" si="28"/>
        <v>426.28778307629489</v>
      </c>
      <c r="AI279" s="6">
        <f t="shared" si="28"/>
        <v>426.28778307629489</v>
      </c>
      <c r="AJ279" s="6">
        <f t="shared" si="28"/>
        <v>426.28778307629489</v>
      </c>
      <c r="AK279" s="6">
        <f t="shared" si="28"/>
        <v>426.28778307629489</v>
      </c>
      <c r="AL279" s="6">
        <f t="shared" si="28"/>
        <v>426.28778307629489</v>
      </c>
      <c r="AM279" s="6">
        <f t="shared" si="28"/>
        <v>426.28778307629489</v>
      </c>
      <c r="AN279" s="6">
        <f t="shared" si="28"/>
        <v>426.28778307629489</v>
      </c>
      <c r="AO279" s="6">
        <f t="shared" si="28"/>
        <v>426.28778307629489</v>
      </c>
      <c r="AP279" s="6">
        <f t="shared" si="28"/>
        <v>426.28778307629489</v>
      </c>
      <c r="AQ279" s="6">
        <f t="shared" si="28"/>
        <v>426.28778307629489</v>
      </c>
      <c r="AR279" s="6">
        <f t="shared" si="28"/>
        <v>426.28778307629489</v>
      </c>
      <c r="AS279" s="6">
        <f t="shared" si="28"/>
        <v>426.28778307629489</v>
      </c>
      <c r="AT279" s="6">
        <f t="shared" si="28"/>
        <v>426.28778307629489</v>
      </c>
      <c r="AU279" s="6">
        <f t="shared" si="28"/>
        <v>426.28778307629489</v>
      </c>
      <c r="AV279" s="6">
        <f t="shared" si="28"/>
        <v>426.28778307629489</v>
      </c>
      <c r="AW279" s="6">
        <f t="shared" si="28"/>
        <v>426.28778307629489</v>
      </c>
      <c r="AX279" s="6">
        <f t="shared" si="28"/>
        <v>426.28778307629489</v>
      </c>
      <c r="AY279" s="6">
        <f t="shared" si="28"/>
        <v>426.28778307629489</v>
      </c>
      <c r="AZ279" s="6">
        <f t="shared" si="28"/>
        <v>426.28778307629489</v>
      </c>
      <c r="BA279" s="6">
        <f t="shared" si="28"/>
        <v>426.28778307629489</v>
      </c>
    </row>
    <row r="280" spans="1:53" outlineLevel="1" x14ac:dyDescent="0.35">
      <c r="A280" s="6" t="s">
        <v>34</v>
      </c>
      <c r="B280" s="6">
        <f t="shared" si="27"/>
        <v>58.252905588334869</v>
      </c>
      <c r="AB280" s="6" t="s">
        <v>122</v>
      </c>
      <c r="AC280" s="6">
        <f t="shared" ref="AC280:BA280" si="29">B304+B303</f>
        <v>355.06709500227214</v>
      </c>
      <c r="AD280" s="6">
        <f t="shared" si="29"/>
        <v>354.19660016448358</v>
      </c>
      <c r="AE280" s="6">
        <f t="shared" si="29"/>
        <v>353.34419684002478</v>
      </c>
      <c r="AF280" s="6">
        <f t="shared" si="29"/>
        <v>349.0528051523429</v>
      </c>
      <c r="AG280" s="6">
        <f t="shared" si="29"/>
        <v>348.24279769795908</v>
      </c>
      <c r="AH280" s="6">
        <f t="shared" si="29"/>
        <v>347.44487151081171</v>
      </c>
      <c r="AI280" s="6">
        <f t="shared" si="29"/>
        <v>346.58675503038023</v>
      </c>
      <c r="AJ280" s="6">
        <f t="shared" si="29"/>
        <v>345.75691753661886</v>
      </c>
      <c r="AK280" s="6">
        <f t="shared" si="29"/>
        <v>342.55486383826599</v>
      </c>
      <c r="AL280" s="6">
        <f t="shared" si="29"/>
        <v>341.79004706784241</v>
      </c>
      <c r="AM280" s="6">
        <f t="shared" si="29"/>
        <v>341.04628736630411</v>
      </c>
      <c r="AN280" s="6">
        <f t="shared" si="29"/>
        <v>340.52055802487507</v>
      </c>
      <c r="AO280" s="6">
        <f t="shared" si="29"/>
        <v>340.01830292474386</v>
      </c>
      <c r="AP280" s="6">
        <f t="shared" si="29"/>
        <v>338.85271620991568</v>
      </c>
      <c r="AQ280" s="6">
        <f t="shared" si="29"/>
        <v>338.39703159987977</v>
      </c>
      <c r="AR280" s="6">
        <f t="shared" si="29"/>
        <v>337.97210643680307</v>
      </c>
      <c r="AS280" s="6">
        <f t="shared" si="29"/>
        <v>337.57355636967867</v>
      </c>
      <c r="AT280" s="6">
        <f t="shared" si="29"/>
        <v>337.17758756895904</v>
      </c>
      <c r="AU280" s="6">
        <f t="shared" si="29"/>
        <v>336.12211547093705</v>
      </c>
      <c r="AV280" s="6">
        <f t="shared" si="29"/>
        <v>335.7375865267951</v>
      </c>
      <c r="AW280" s="6">
        <f t="shared" si="29"/>
        <v>335.35481622262466</v>
      </c>
      <c r="AX280" s="6">
        <f t="shared" si="29"/>
        <v>335.15939462535141</v>
      </c>
      <c r="AY280" s="6">
        <f t="shared" si="29"/>
        <v>334.97033942590645</v>
      </c>
      <c r="AZ280" s="6">
        <f t="shared" si="29"/>
        <v>334.78715509001483</v>
      </c>
      <c r="BA280" s="6">
        <f t="shared" si="29"/>
        <v>334.60963094972175</v>
      </c>
    </row>
    <row r="281" spans="1:53" outlineLevel="1" x14ac:dyDescent="0.35">
      <c r="A281" s="6" t="s">
        <v>36</v>
      </c>
      <c r="B281" s="6">
        <f t="shared" si="27"/>
        <v>61.36907317967863</v>
      </c>
      <c r="AB281" s="6" t="s">
        <v>123</v>
      </c>
      <c r="AC281" s="6">
        <f t="shared" ref="AC281:BA281" si="30">B302</f>
        <v>92.950375000180458</v>
      </c>
      <c r="AD281" s="6">
        <f t="shared" si="30"/>
        <v>93.221708676347944</v>
      </c>
      <c r="AE281" s="6">
        <f t="shared" si="30"/>
        <v>93.494837864945652</v>
      </c>
      <c r="AF281" s="6">
        <f t="shared" si="30"/>
        <v>93.581900311997103</v>
      </c>
      <c r="AG281" s="6">
        <f t="shared" si="30"/>
        <v>93.860938450609154</v>
      </c>
      <c r="AH281" s="6">
        <f t="shared" si="30"/>
        <v>94.141558230519891</v>
      </c>
      <c r="AI281" s="6">
        <f t="shared" si="30"/>
        <v>95.59970337682735</v>
      </c>
      <c r="AJ281" s="6">
        <f t="shared" si="30"/>
        <v>97.051251221741552</v>
      </c>
      <c r="AK281" s="6">
        <f t="shared" si="30"/>
        <v>98.357802693345548</v>
      </c>
      <c r="AL281" s="6">
        <f t="shared" si="30"/>
        <v>99.802025048845906</v>
      </c>
      <c r="AM281" s="6">
        <f t="shared" si="30"/>
        <v>101.24056013947616</v>
      </c>
      <c r="AN281" s="6">
        <f t="shared" si="30"/>
        <v>101.3273647425363</v>
      </c>
      <c r="AO281" s="6">
        <f t="shared" si="30"/>
        <v>101.40923038843765</v>
      </c>
      <c r="AP281" s="6">
        <f t="shared" si="30"/>
        <v>101.45315118683004</v>
      </c>
      <c r="AQ281" s="6">
        <f t="shared" si="30"/>
        <v>101.5249061498729</v>
      </c>
      <c r="AR281" s="6">
        <f t="shared" si="30"/>
        <v>101.59108678724145</v>
      </c>
      <c r="AS281" s="6">
        <f t="shared" si="30"/>
        <v>105.05722328222345</v>
      </c>
      <c r="AT281" s="6">
        <f t="shared" si="30"/>
        <v>108.51815073733411</v>
      </c>
      <c r="AU281" s="6">
        <f t="shared" si="30"/>
        <v>111.94520043876459</v>
      </c>
      <c r="AV281" s="6">
        <f t="shared" si="30"/>
        <v>115.39806484850661</v>
      </c>
      <c r="AW281" s="6">
        <f t="shared" si="30"/>
        <v>118.84714884750791</v>
      </c>
      <c r="AX281" s="6">
        <f t="shared" si="30"/>
        <v>119.36616615097404</v>
      </c>
      <c r="AY281" s="6">
        <f t="shared" si="30"/>
        <v>119.89124291607001</v>
      </c>
      <c r="AZ281" s="6">
        <f t="shared" si="30"/>
        <v>120.41819355859036</v>
      </c>
      <c r="BA281" s="6">
        <f t="shared" si="30"/>
        <v>120.94691642864375</v>
      </c>
    </row>
    <row r="282" spans="1:53" outlineLevel="1" x14ac:dyDescent="0.35">
      <c r="A282" s="6" t="s">
        <v>38</v>
      </c>
      <c r="B282" s="6">
        <f t="shared" si="27"/>
        <v>664.60788560352216</v>
      </c>
      <c r="AB282" s="6" t="s">
        <v>124</v>
      </c>
      <c r="AC282" s="6">
        <f>-$AC$264*$AC$263</f>
        <v>0</v>
      </c>
      <c r="AD282" s="6">
        <f t="shared" ref="AD282:BA282" si="31">-$AC$264*$AC$263</f>
        <v>0</v>
      </c>
      <c r="AE282" s="6">
        <f t="shared" si="31"/>
        <v>0</v>
      </c>
      <c r="AF282" s="6">
        <f t="shared" si="31"/>
        <v>0</v>
      </c>
      <c r="AG282" s="6">
        <f t="shared" si="31"/>
        <v>0</v>
      </c>
      <c r="AH282" s="6">
        <f t="shared" si="31"/>
        <v>0</v>
      </c>
      <c r="AI282" s="6">
        <f t="shared" si="31"/>
        <v>0</v>
      </c>
      <c r="AJ282" s="6">
        <f t="shared" si="31"/>
        <v>0</v>
      </c>
      <c r="AK282" s="6">
        <f t="shared" si="31"/>
        <v>0</v>
      </c>
      <c r="AL282" s="6">
        <f t="shared" si="31"/>
        <v>0</v>
      </c>
      <c r="AM282" s="6">
        <f t="shared" si="31"/>
        <v>0</v>
      </c>
      <c r="AN282" s="6">
        <f t="shared" si="31"/>
        <v>0</v>
      </c>
      <c r="AO282" s="6">
        <f t="shared" si="31"/>
        <v>0</v>
      </c>
      <c r="AP282" s="6">
        <f t="shared" si="31"/>
        <v>0</v>
      </c>
      <c r="AQ282" s="6">
        <f t="shared" si="31"/>
        <v>0</v>
      </c>
      <c r="AR282" s="6">
        <f t="shared" si="31"/>
        <v>0</v>
      </c>
      <c r="AS282" s="6">
        <f t="shared" si="31"/>
        <v>0</v>
      </c>
      <c r="AT282" s="6">
        <f t="shared" si="31"/>
        <v>0</v>
      </c>
      <c r="AU282" s="6">
        <f t="shared" si="31"/>
        <v>0</v>
      </c>
      <c r="AV282" s="6">
        <f t="shared" si="31"/>
        <v>0</v>
      </c>
      <c r="AW282" s="6">
        <f t="shared" si="31"/>
        <v>0</v>
      </c>
      <c r="AX282" s="6">
        <f t="shared" si="31"/>
        <v>0</v>
      </c>
      <c r="AY282" s="6">
        <f t="shared" si="31"/>
        <v>0</v>
      </c>
      <c r="AZ282" s="6">
        <f t="shared" si="31"/>
        <v>0</v>
      </c>
      <c r="BA282" s="6">
        <f t="shared" si="31"/>
        <v>0</v>
      </c>
    </row>
    <row r="283" spans="1:53" outlineLevel="1" x14ac:dyDescent="0.35">
      <c r="A283" s="6" t="s">
        <v>39</v>
      </c>
      <c r="B283" s="6">
        <f t="shared" si="27"/>
        <v>720.62977688043634</v>
      </c>
      <c r="AB283" s="23" t="s">
        <v>125</v>
      </c>
      <c r="AC283" s="17">
        <f t="shared" ref="AC283:BA283" si="32">SUM(AC274:AC282)</f>
        <v>3973.0712962216917</v>
      </c>
      <c r="AD283" s="17">
        <f t="shared" si="32"/>
        <v>873.7060919171264</v>
      </c>
      <c r="AE283" s="17">
        <f t="shared" si="32"/>
        <v>873.12681778126534</v>
      </c>
      <c r="AF283" s="17">
        <f t="shared" si="32"/>
        <v>986.29338541976995</v>
      </c>
      <c r="AG283" s="17">
        <f t="shared" si="32"/>
        <v>868.39151922486315</v>
      </c>
      <c r="AH283" s="17">
        <f t="shared" si="32"/>
        <v>867.87421281762647</v>
      </c>
      <c r="AI283" s="17">
        <f t="shared" si="32"/>
        <v>985.72214856344078</v>
      </c>
      <c r="AJ283" s="17">
        <f t="shared" si="32"/>
        <v>869.09595183465535</v>
      </c>
      <c r="AK283" s="17">
        <f t="shared" si="32"/>
        <v>867.20044960790642</v>
      </c>
      <c r="AL283" s="17">
        <f t="shared" si="32"/>
        <v>984.53066478074857</v>
      </c>
      <c r="AM283" s="17">
        <f t="shared" si="32"/>
        <v>868.5746305820752</v>
      </c>
      <c r="AN283" s="17">
        <f t="shared" si="32"/>
        <v>868.13570584370632</v>
      </c>
      <c r="AO283" s="17">
        <f t="shared" si="32"/>
        <v>984.28473588740417</v>
      </c>
      <c r="AP283" s="17">
        <f t="shared" si="32"/>
        <v>866.59365047304061</v>
      </c>
      <c r="AQ283" s="17">
        <f t="shared" si="32"/>
        <v>866.2097208260476</v>
      </c>
      <c r="AR283" s="17">
        <f t="shared" si="32"/>
        <v>982.20727378791275</v>
      </c>
      <c r="AS283" s="17">
        <f t="shared" si="32"/>
        <v>868.918562728197</v>
      </c>
      <c r="AT283" s="17">
        <f t="shared" si="32"/>
        <v>871.98352138258792</v>
      </c>
      <c r="AU283" s="17">
        <f t="shared" si="32"/>
        <v>990.41618357638242</v>
      </c>
      <c r="AV283" s="17">
        <f t="shared" si="32"/>
        <v>877.42343445159656</v>
      </c>
      <c r="AW283" s="17">
        <f t="shared" si="32"/>
        <v>880.48974814642747</v>
      </c>
      <c r="AX283" s="17">
        <f t="shared" si="32"/>
        <v>996.75131771808401</v>
      </c>
      <c r="AY283" s="17">
        <f t="shared" si="32"/>
        <v>881.14936541827137</v>
      </c>
      <c r="AZ283" s="17">
        <f t="shared" si="32"/>
        <v>881.49313172490008</v>
      </c>
      <c r="BA283" s="17">
        <f t="shared" si="32"/>
        <v>1043.3561844338917</v>
      </c>
    </row>
    <row r="284" spans="1:53" outlineLevel="1" x14ac:dyDescent="0.35">
      <c r="A284" s="6" t="s">
        <v>41</v>
      </c>
      <c r="B284" s="6">
        <f t="shared" si="27"/>
        <v>53.333868076658177</v>
      </c>
    </row>
    <row r="285" spans="1:53" outlineLevel="1" x14ac:dyDescent="0.35">
      <c r="A285" s="6" t="s">
        <v>43</v>
      </c>
      <c r="B285" s="6">
        <f t="shared" si="27"/>
        <v>73.573799866942238</v>
      </c>
      <c r="AB285" s="272"/>
      <c r="AC285" s="272"/>
      <c r="AD285" s="272"/>
      <c r="AE285" s="272"/>
      <c r="AF285" s="272"/>
      <c r="AG285" s="272"/>
      <c r="AH285" s="272"/>
      <c r="AI285" s="272"/>
      <c r="AJ285" s="272"/>
      <c r="AK285" s="272"/>
      <c r="AL285" s="272"/>
      <c r="AM285" s="272"/>
      <c r="AN285" s="272"/>
      <c r="AO285" s="272"/>
      <c r="AP285" s="272"/>
      <c r="AQ285" s="272"/>
      <c r="AR285" s="272"/>
      <c r="AS285" s="272"/>
      <c r="AT285" s="272"/>
      <c r="AU285" s="272"/>
      <c r="AV285" s="272"/>
      <c r="AW285" s="272"/>
      <c r="AX285" s="272"/>
      <c r="AY285" s="272"/>
      <c r="AZ285" s="272"/>
      <c r="BA285" s="272"/>
    </row>
    <row r="286" spans="1:53" outlineLevel="1" x14ac:dyDescent="0.35">
      <c r="A286" s="6" t="s">
        <v>44</v>
      </c>
      <c r="B286" s="6">
        <f>B22*AC265</f>
        <v>134.83838270239062</v>
      </c>
      <c r="AB286" s="272"/>
      <c r="AC286" s="272"/>
      <c r="AD286" s="272"/>
      <c r="AE286" s="272"/>
      <c r="AF286" s="272"/>
      <c r="AG286" s="272"/>
      <c r="AH286" s="272"/>
      <c r="AI286" s="272"/>
      <c r="AJ286" s="272"/>
      <c r="AK286" s="272"/>
      <c r="AL286" s="272"/>
      <c r="AM286" s="272"/>
      <c r="AN286" s="272"/>
      <c r="AO286" s="272"/>
      <c r="AP286" s="272"/>
      <c r="AQ286" s="272"/>
      <c r="AR286" s="272"/>
      <c r="AS286" s="272"/>
      <c r="AT286" s="272"/>
      <c r="AU286" s="272"/>
      <c r="AV286" s="272"/>
      <c r="AW286" s="272"/>
      <c r="AX286" s="272"/>
      <c r="AY286" s="272"/>
      <c r="AZ286" s="272"/>
      <c r="BA286" s="272"/>
    </row>
    <row r="287" spans="1:53" outlineLevel="1" x14ac:dyDescent="0.35">
      <c r="A287" s="6" t="s">
        <v>757</v>
      </c>
      <c r="B287" s="6">
        <f>B23*AC265</f>
        <v>47.449461260843449</v>
      </c>
      <c r="AB287" s="272"/>
      <c r="AC287" s="272"/>
      <c r="AD287" s="272"/>
      <c r="AE287" s="272"/>
      <c r="AF287" s="272"/>
      <c r="AG287" s="272"/>
      <c r="AH287" s="272"/>
      <c r="AI287" s="272"/>
      <c r="AJ287" s="272"/>
      <c r="AK287" s="272"/>
      <c r="AL287" s="272"/>
      <c r="AM287" s="272"/>
      <c r="AN287" s="272"/>
      <c r="AO287" s="272"/>
      <c r="AP287" s="272"/>
      <c r="AQ287" s="272"/>
      <c r="AR287" s="272"/>
      <c r="AS287" s="272"/>
      <c r="AT287" s="272"/>
      <c r="AU287" s="272"/>
      <c r="AV287" s="272"/>
      <c r="AW287" s="272"/>
      <c r="AX287" s="272"/>
      <c r="AY287" s="272"/>
      <c r="AZ287" s="272"/>
      <c r="BA287" s="272"/>
    </row>
    <row r="288" spans="1:53" outlineLevel="1" x14ac:dyDescent="0.35">
      <c r="A288" s="6" t="s">
        <v>22</v>
      </c>
      <c r="Z288" s="6">
        <f t="shared" ref="Z288:Z299" si="33">Z24</f>
        <v>0.33395801233910632</v>
      </c>
      <c r="AB288" s="272"/>
      <c r="AC288" s="272"/>
      <c r="AD288" s="272"/>
      <c r="AE288" s="272"/>
      <c r="AF288" s="272"/>
      <c r="AG288" s="272"/>
      <c r="AH288" s="272"/>
      <c r="AI288" s="272"/>
      <c r="AJ288" s="272"/>
      <c r="AK288" s="272"/>
      <c r="AL288" s="272"/>
      <c r="AM288" s="272"/>
      <c r="AN288" s="272"/>
      <c r="AO288" s="272"/>
      <c r="AP288" s="272"/>
      <c r="AQ288" s="272"/>
      <c r="AR288" s="272"/>
      <c r="AS288" s="272"/>
      <c r="AT288" s="272"/>
      <c r="AU288" s="272"/>
      <c r="AV288" s="272"/>
      <c r="AW288" s="272"/>
      <c r="AX288" s="272"/>
      <c r="AY288" s="272"/>
      <c r="AZ288" s="272"/>
      <c r="BA288" s="272"/>
    </row>
    <row r="289" spans="1:53" outlineLevel="1" x14ac:dyDescent="0.35">
      <c r="A289" s="6" t="s">
        <v>24</v>
      </c>
      <c r="Z289" s="6">
        <f t="shared" si="33"/>
        <v>0.37173071983864131</v>
      </c>
      <c r="AB289" s="272"/>
      <c r="AC289" s="272"/>
      <c r="AD289" s="272"/>
      <c r="AE289" s="272"/>
      <c r="AF289" s="272"/>
      <c r="AG289" s="272"/>
      <c r="AH289" s="272"/>
      <c r="AI289" s="272"/>
      <c r="AJ289" s="272"/>
      <c r="AK289" s="272"/>
      <c r="AL289" s="272"/>
      <c r="AM289" s="272"/>
      <c r="AN289" s="272"/>
      <c r="AO289" s="272"/>
      <c r="AP289" s="272"/>
      <c r="AQ289" s="272"/>
      <c r="AR289" s="272"/>
      <c r="AS289" s="272"/>
      <c r="AT289" s="272"/>
      <c r="AU289" s="272"/>
      <c r="AV289" s="272"/>
      <c r="AW289" s="272"/>
      <c r="AX289" s="272"/>
      <c r="AY289" s="272"/>
      <c r="AZ289" s="272"/>
      <c r="BA289" s="272"/>
    </row>
    <row r="290" spans="1:53" outlineLevel="1" x14ac:dyDescent="0.35">
      <c r="A290" s="6" t="s">
        <v>25</v>
      </c>
      <c r="Z290" s="6">
        <f t="shared" si="33"/>
        <v>1.714035723002332</v>
      </c>
      <c r="AB290" s="272"/>
      <c r="AC290" s="272"/>
      <c r="AD290" s="272"/>
      <c r="AE290" s="272"/>
      <c r="AF290" s="272"/>
      <c r="AG290" s="272"/>
      <c r="AH290" s="272"/>
      <c r="AI290" s="272"/>
      <c r="AJ290" s="272"/>
      <c r="AK290" s="272"/>
      <c r="AL290" s="272"/>
      <c r="AM290" s="272"/>
      <c r="AN290" s="272"/>
      <c r="AO290" s="272"/>
      <c r="AP290" s="272"/>
      <c r="AQ290" s="272"/>
      <c r="AR290" s="272"/>
      <c r="AS290" s="272"/>
      <c r="AT290" s="272"/>
      <c r="AU290" s="272"/>
      <c r="AV290" s="272"/>
      <c r="AW290" s="272"/>
      <c r="AX290" s="272"/>
      <c r="AY290" s="272"/>
      <c r="AZ290" s="272"/>
      <c r="BA290" s="272"/>
    </row>
    <row r="291" spans="1:53" outlineLevel="1" x14ac:dyDescent="0.35">
      <c r="A291" s="6" t="s">
        <v>27</v>
      </c>
      <c r="Z291" s="6">
        <f t="shared" si="33"/>
        <v>1.0332091254007969</v>
      </c>
      <c r="AB291" s="272"/>
      <c r="AC291" s="272"/>
      <c r="AD291" s="272"/>
      <c r="AE291" s="272"/>
      <c r="AF291" s="272"/>
      <c r="AG291" s="272"/>
      <c r="AH291" s="272"/>
      <c r="AI291" s="272"/>
      <c r="AJ291" s="272"/>
      <c r="AK291" s="272"/>
      <c r="AL291" s="272"/>
      <c r="AM291" s="272"/>
      <c r="AN291" s="272"/>
      <c r="AO291" s="272"/>
      <c r="AP291" s="272"/>
      <c r="AQ291" s="272"/>
      <c r="AR291" s="272"/>
      <c r="AS291" s="272"/>
      <c r="AT291" s="272"/>
      <c r="AU291" s="272"/>
      <c r="AV291" s="272"/>
      <c r="AW291" s="272"/>
      <c r="AX291" s="272"/>
      <c r="AY291" s="272"/>
      <c r="AZ291" s="272"/>
      <c r="BA291" s="272"/>
    </row>
    <row r="292" spans="1:53" outlineLevel="1" x14ac:dyDescent="0.35">
      <c r="A292" s="6" t="s">
        <v>30</v>
      </c>
      <c r="Z292" s="6">
        <f t="shared" si="33"/>
        <v>0.41012544069368462</v>
      </c>
      <c r="AB292" s="272"/>
      <c r="AC292" s="272"/>
      <c r="AD292" s="272"/>
      <c r="AE292" s="272"/>
      <c r="AF292" s="272"/>
      <c r="AG292" s="272"/>
      <c r="AH292" s="272"/>
      <c r="AI292" s="272"/>
      <c r="AJ292" s="272"/>
      <c r="AK292" s="272"/>
      <c r="AL292" s="272"/>
      <c r="AM292" s="272"/>
      <c r="AN292" s="272"/>
      <c r="AO292" s="272"/>
      <c r="AP292" s="272"/>
      <c r="AQ292" s="272"/>
      <c r="AR292" s="272"/>
      <c r="AS292" s="272"/>
      <c r="AT292" s="272"/>
      <c r="AU292" s="272"/>
      <c r="AV292" s="272"/>
      <c r="AW292" s="272"/>
      <c r="AX292" s="272"/>
      <c r="AY292" s="272"/>
      <c r="AZ292" s="272"/>
      <c r="BA292" s="272"/>
    </row>
    <row r="293" spans="1:53" outlineLevel="1" x14ac:dyDescent="0.35">
      <c r="A293" s="6" t="s">
        <v>32</v>
      </c>
      <c r="Z293" s="6">
        <f t="shared" si="33"/>
        <v>0.18408066799283429</v>
      </c>
      <c r="AB293" s="272"/>
      <c r="AC293" s="272"/>
      <c r="AD293" s="272"/>
      <c r="AE293" s="272"/>
      <c r="AF293" s="272"/>
      <c r="AG293" s="272"/>
      <c r="AH293" s="272"/>
      <c r="AI293" s="272"/>
      <c r="AJ293" s="272"/>
      <c r="AK293" s="272"/>
      <c r="AL293" s="272"/>
      <c r="AM293" s="272"/>
      <c r="AN293" s="272"/>
      <c r="AO293" s="272"/>
      <c r="AP293" s="272"/>
      <c r="AQ293" s="272"/>
      <c r="AR293" s="272"/>
      <c r="AS293" s="272"/>
      <c r="AT293" s="272"/>
      <c r="AU293" s="272"/>
      <c r="AV293" s="272"/>
      <c r="AW293" s="272"/>
      <c r="AX293" s="272"/>
      <c r="AY293" s="272"/>
      <c r="AZ293" s="272"/>
      <c r="BA293" s="272"/>
    </row>
    <row r="294" spans="1:53" outlineLevel="1" x14ac:dyDescent="0.35">
      <c r="A294" s="6" t="s">
        <v>33</v>
      </c>
      <c r="Z294" s="6">
        <f t="shared" si="33"/>
        <v>0.10625470952361479</v>
      </c>
      <c r="AB294" s="272"/>
      <c r="AC294" s="272"/>
      <c r="AD294" s="272"/>
      <c r="AE294" s="272"/>
      <c r="AF294" s="272"/>
      <c r="AG294" s="272"/>
      <c r="AH294" s="272"/>
      <c r="AI294" s="272"/>
      <c r="AJ294" s="272"/>
      <c r="AK294" s="272"/>
      <c r="AL294" s="272"/>
      <c r="AM294" s="272"/>
      <c r="AN294" s="272"/>
      <c r="AO294" s="272"/>
      <c r="AP294" s="272"/>
      <c r="AQ294" s="272"/>
      <c r="AR294" s="272"/>
      <c r="AS294" s="272"/>
      <c r="AT294" s="272"/>
      <c r="AU294" s="272"/>
      <c r="AV294" s="272"/>
      <c r="AW294" s="272"/>
      <c r="AX294" s="272"/>
      <c r="AY294" s="272"/>
      <c r="AZ294" s="272"/>
      <c r="BA294" s="272"/>
    </row>
    <row r="295" spans="1:53" outlineLevel="1" x14ac:dyDescent="0.35">
      <c r="A295" s="6" t="s">
        <v>35</v>
      </c>
      <c r="Z295" s="6">
        <f t="shared" si="33"/>
        <v>0.21250941904722959</v>
      </c>
      <c r="AB295" s="272"/>
      <c r="AC295" s="272"/>
      <c r="AD295" s="272"/>
      <c r="AE295" s="272"/>
      <c r="AF295" s="272"/>
      <c r="AG295" s="272"/>
      <c r="AH295" s="272"/>
      <c r="AI295" s="272"/>
      <c r="AJ295" s="272"/>
      <c r="AK295" s="272"/>
      <c r="AL295" s="272"/>
      <c r="AM295" s="272"/>
      <c r="AN295" s="272"/>
      <c r="AO295" s="272"/>
      <c r="AP295" s="272"/>
      <c r="AQ295" s="272"/>
      <c r="AR295" s="272"/>
      <c r="AS295" s="272"/>
      <c r="AT295" s="272"/>
      <c r="AU295" s="272"/>
      <c r="AV295" s="272"/>
      <c r="AW295" s="272"/>
      <c r="AX295" s="272"/>
      <c r="AY295" s="272"/>
      <c r="AZ295" s="272"/>
      <c r="BA295" s="272"/>
    </row>
    <row r="296" spans="1:53" outlineLevel="1" x14ac:dyDescent="0.35">
      <c r="A296" s="6" t="s">
        <v>37</v>
      </c>
      <c r="Z296" s="6">
        <f t="shared" si="33"/>
        <v>3.1326169217173172</v>
      </c>
      <c r="AB296" s="272"/>
      <c r="AC296" s="272"/>
      <c r="AD296" s="272"/>
      <c r="AE296" s="272"/>
      <c r="AF296" s="272"/>
      <c r="AG296" s="272"/>
      <c r="AH296" s="272"/>
      <c r="AI296" s="272"/>
      <c r="AJ296" s="272"/>
      <c r="AK296" s="272"/>
      <c r="AL296" s="272"/>
      <c r="AM296" s="272"/>
      <c r="AN296" s="272"/>
      <c r="AO296" s="272"/>
      <c r="AP296" s="272"/>
      <c r="AQ296" s="272"/>
      <c r="AR296" s="272"/>
      <c r="AS296" s="272"/>
      <c r="AT296" s="272"/>
      <c r="AU296" s="272"/>
      <c r="AV296" s="272"/>
      <c r="AW296" s="272"/>
      <c r="AX296" s="272"/>
      <c r="AY296" s="272"/>
      <c r="AZ296" s="272"/>
      <c r="BA296" s="272"/>
    </row>
    <row r="297" spans="1:53" outlineLevel="1" x14ac:dyDescent="0.35">
      <c r="A297" s="6" t="s">
        <v>40</v>
      </c>
      <c r="Z297" s="6">
        <f t="shared" si="33"/>
        <v>1.4887444792608839</v>
      </c>
    </row>
    <row r="298" spans="1:53" outlineLevel="1" x14ac:dyDescent="0.35">
      <c r="A298" s="6" t="s">
        <v>42</v>
      </c>
      <c r="Z298" s="6">
        <f t="shared" si="33"/>
        <v>3.9196001600090971</v>
      </c>
    </row>
    <row r="299" spans="1:53" outlineLevel="1" x14ac:dyDescent="0.35">
      <c r="A299" s="6" t="s">
        <v>115</v>
      </c>
      <c r="Z299" s="6">
        <f t="shared" si="33"/>
        <v>32.729008967767257</v>
      </c>
    </row>
    <row r="300" spans="1:53" outlineLevel="1" x14ac:dyDescent="0.35">
      <c r="A300" s="6" t="s">
        <v>45</v>
      </c>
      <c r="Z300" s="6">
        <f>Z36*AC265</f>
        <v>2.6853148874369804E-4</v>
      </c>
    </row>
    <row r="301" spans="1:53" outlineLevel="1" x14ac:dyDescent="0.35">
      <c r="A301" s="6" t="s">
        <v>116</v>
      </c>
      <c r="B301" s="6">
        <f>B37</f>
        <v>118.1930543229993</v>
      </c>
      <c r="C301" s="6">
        <f t="shared" ref="C301:Z301" si="34">C37</f>
        <v>118.1495509706713</v>
      </c>
      <c r="D301" s="6">
        <f t="shared" si="34"/>
        <v>118.1066016748573</v>
      </c>
      <c r="E301" s="6">
        <f t="shared" si="34"/>
        <v>117.3708968791351</v>
      </c>
      <c r="F301" s="6">
        <f t="shared" si="34"/>
        <v>117.330317151248</v>
      </c>
      <c r="G301" s="6">
        <f t="shared" si="34"/>
        <v>117.29005129331981</v>
      </c>
      <c r="H301" s="6">
        <f t="shared" si="34"/>
        <v>117.2479070799383</v>
      </c>
      <c r="I301" s="6">
        <f t="shared" si="34"/>
        <v>117.20587296292381</v>
      </c>
      <c r="J301" s="6">
        <f t="shared" si="34"/>
        <v>116.689582257802</v>
      </c>
      <c r="K301" s="6">
        <f t="shared" si="34"/>
        <v>116.65080958776529</v>
      </c>
      <c r="L301" s="6">
        <f t="shared" si="34"/>
        <v>116.6120881785565</v>
      </c>
      <c r="M301" s="6">
        <f t="shared" si="34"/>
        <v>116.59106485862949</v>
      </c>
      <c r="N301" s="6">
        <f t="shared" si="34"/>
        <v>116.5694194979278</v>
      </c>
      <c r="O301" s="6">
        <f t="shared" si="34"/>
        <v>116.40036881478591</v>
      </c>
      <c r="P301" s="6">
        <f t="shared" si="34"/>
        <v>116.37866001322909</v>
      </c>
      <c r="Q301" s="6">
        <f t="shared" si="34"/>
        <v>116.3562974875733</v>
      </c>
      <c r="R301" s="6">
        <f t="shared" si="34"/>
        <v>116.3054484089124</v>
      </c>
      <c r="S301" s="6">
        <f t="shared" si="34"/>
        <v>116.25416343781561</v>
      </c>
      <c r="T301" s="6">
        <f t="shared" si="34"/>
        <v>116.0610845903859</v>
      </c>
      <c r="U301" s="6">
        <f t="shared" si="34"/>
        <v>116.0105572281381</v>
      </c>
      <c r="V301" s="6">
        <f t="shared" si="34"/>
        <v>115.959651673077</v>
      </c>
      <c r="W301" s="6">
        <f t="shared" si="34"/>
        <v>115.9379738654637</v>
      </c>
      <c r="X301" s="6">
        <f t="shared" si="34"/>
        <v>115.91683277888509</v>
      </c>
      <c r="Y301" s="6">
        <f t="shared" si="34"/>
        <v>115.8960785606388</v>
      </c>
      <c r="Z301" s="6">
        <f t="shared" si="34"/>
        <v>115.8757111011497</v>
      </c>
    </row>
    <row r="302" spans="1:53" outlineLevel="1" x14ac:dyDescent="0.35">
      <c r="A302" s="6" t="s">
        <v>758</v>
      </c>
      <c r="B302" s="6">
        <f>B38*$AC$265</f>
        <v>92.950375000180458</v>
      </c>
      <c r="C302" s="6">
        <f t="shared" ref="C302:Z303" si="35">C38*$AC$265</f>
        <v>93.221708676347944</v>
      </c>
      <c r="D302" s="6">
        <f t="shared" si="35"/>
        <v>93.494837864945652</v>
      </c>
      <c r="E302" s="6">
        <f t="shared" si="35"/>
        <v>93.581900311997103</v>
      </c>
      <c r="F302" s="6">
        <f t="shared" si="35"/>
        <v>93.860938450609154</v>
      </c>
      <c r="G302" s="6">
        <f t="shared" si="35"/>
        <v>94.141558230519891</v>
      </c>
      <c r="H302" s="6">
        <f t="shared" si="35"/>
        <v>95.59970337682735</v>
      </c>
      <c r="I302" s="6">
        <f t="shared" si="35"/>
        <v>97.051251221741552</v>
      </c>
      <c r="J302" s="6">
        <f t="shared" si="35"/>
        <v>98.357802693345548</v>
      </c>
      <c r="K302" s="6">
        <f t="shared" si="35"/>
        <v>99.802025048845906</v>
      </c>
      <c r="L302" s="6">
        <f t="shared" si="35"/>
        <v>101.24056013947616</v>
      </c>
      <c r="M302" s="6">
        <f t="shared" si="35"/>
        <v>101.3273647425363</v>
      </c>
      <c r="N302" s="6">
        <f t="shared" si="35"/>
        <v>101.40923038843765</v>
      </c>
      <c r="O302" s="6">
        <f t="shared" si="35"/>
        <v>101.45315118683004</v>
      </c>
      <c r="P302" s="6">
        <f t="shared" si="35"/>
        <v>101.5249061498729</v>
      </c>
      <c r="Q302" s="6">
        <f t="shared" si="35"/>
        <v>101.59108678724145</v>
      </c>
      <c r="R302" s="6">
        <f t="shared" si="35"/>
        <v>105.05722328222345</v>
      </c>
      <c r="S302" s="6">
        <f t="shared" si="35"/>
        <v>108.51815073733411</v>
      </c>
      <c r="T302" s="6">
        <f t="shared" si="35"/>
        <v>111.94520043876459</v>
      </c>
      <c r="U302" s="6">
        <f t="shared" si="35"/>
        <v>115.39806484850661</v>
      </c>
      <c r="V302" s="6">
        <f t="shared" si="35"/>
        <v>118.84714884750791</v>
      </c>
      <c r="W302" s="6">
        <f t="shared" si="35"/>
        <v>119.36616615097404</v>
      </c>
      <c r="X302" s="6">
        <f t="shared" si="35"/>
        <v>119.89124291607001</v>
      </c>
      <c r="Y302" s="6">
        <f t="shared" si="35"/>
        <v>120.41819355859036</v>
      </c>
      <c r="Z302" s="6">
        <f t="shared" si="35"/>
        <v>120.94691642864375</v>
      </c>
    </row>
    <row r="303" spans="1:53" outlineLevel="1" x14ac:dyDescent="0.35">
      <c r="A303" s="6" t="s">
        <v>759</v>
      </c>
      <c r="B303" s="6">
        <f>B39*$AC$265</f>
        <v>0</v>
      </c>
      <c r="C303" s="6">
        <f t="shared" si="35"/>
        <v>0</v>
      </c>
      <c r="D303" s="6">
        <f t="shared" si="35"/>
        <v>0</v>
      </c>
      <c r="E303" s="6">
        <f t="shared" si="35"/>
        <v>0</v>
      </c>
      <c r="F303" s="6">
        <f t="shared" si="35"/>
        <v>0</v>
      </c>
      <c r="G303" s="6">
        <f t="shared" si="35"/>
        <v>0</v>
      </c>
      <c r="H303" s="6">
        <f t="shared" si="35"/>
        <v>0</v>
      </c>
      <c r="I303" s="6">
        <f t="shared" si="35"/>
        <v>0</v>
      </c>
      <c r="J303" s="6">
        <f t="shared" si="35"/>
        <v>0</v>
      </c>
      <c r="K303" s="6">
        <f t="shared" si="35"/>
        <v>0</v>
      </c>
      <c r="L303" s="6">
        <f t="shared" si="35"/>
        <v>0</v>
      </c>
      <c r="M303" s="6">
        <f t="shared" si="35"/>
        <v>0</v>
      </c>
      <c r="N303" s="6">
        <f t="shared" si="35"/>
        <v>0</v>
      </c>
      <c r="O303" s="6">
        <f t="shared" si="35"/>
        <v>0</v>
      </c>
      <c r="P303" s="6">
        <f t="shared" si="35"/>
        <v>0</v>
      </c>
      <c r="Q303" s="6">
        <f t="shared" si="35"/>
        <v>0</v>
      </c>
      <c r="R303" s="6">
        <f t="shared" si="35"/>
        <v>0</v>
      </c>
      <c r="S303" s="6">
        <f t="shared" si="35"/>
        <v>0</v>
      </c>
      <c r="T303" s="6">
        <f t="shared" si="35"/>
        <v>0</v>
      </c>
      <c r="U303" s="6">
        <f t="shared" si="35"/>
        <v>0</v>
      </c>
      <c r="V303" s="6">
        <f t="shared" si="35"/>
        <v>0</v>
      </c>
      <c r="W303" s="6">
        <f t="shared" si="35"/>
        <v>0</v>
      </c>
      <c r="X303" s="6">
        <f t="shared" si="35"/>
        <v>0</v>
      </c>
      <c r="Y303" s="6">
        <f t="shared" si="35"/>
        <v>0</v>
      </c>
      <c r="Z303" s="6">
        <f t="shared" si="35"/>
        <v>0</v>
      </c>
    </row>
    <row r="304" spans="1:53" outlineLevel="1" x14ac:dyDescent="0.35">
      <c r="A304" s="6" t="s">
        <v>760</v>
      </c>
      <c r="B304" s="6">
        <f>$B$252*50*'Results - raw data ReCiPe (H)'!BC114/(1-$AC$270)*(1+'Results ReCiPe (H) - HHD'!$AC$271/'Results ReCiPe (H) - HHD'!$AC$272-'Results ReCiPe (H) - HHD'!$AC$271)</f>
        <v>355.06709500227214</v>
      </c>
      <c r="C304" s="6">
        <f>$B$252*50*'Results - raw data ReCiPe (H)'!BD114/(1-$AC$270)*(1+'Results ReCiPe (H) - HHD'!$AC$271/'Results ReCiPe (H) - HHD'!$AC$272-'Results ReCiPe (H) - HHD'!$AC$271)</f>
        <v>354.19660016448358</v>
      </c>
      <c r="D304" s="6">
        <f>$B$252*50*'Results - raw data ReCiPe (H)'!BE114/(1-$AC$270)*(1+'Results ReCiPe (H) - HHD'!$AC$271/'Results ReCiPe (H) - HHD'!$AC$272-'Results ReCiPe (H) - HHD'!$AC$271)</f>
        <v>353.34419684002478</v>
      </c>
      <c r="E304" s="6">
        <f>$B$252*50*'Results - raw data ReCiPe (H)'!BF114/(1-$AC$270)*(1+'Results ReCiPe (H) - HHD'!$AC$271/'Results ReCiPe (H) - HHD'!$AC$272-'Results ReCiPe (H) - HHD'!$AC$271)</f>
        <v>349.0528051523429</v>
      </c>
      <c r="F304" s="6">
        <f>$B$252*50*'Results - raw data ReCiPe (H)'!BG114/(1-$AC$270)*(1+'Results ReCiPe (H) - HHD'!$AC$271/'Results ReCiPe (H) - HHD'!$AC$272-'Results ReCiPe (H) - HHD'!$AC$271)</f>
        <v>348.24279769795908</v>
      </c>
      <c r="G304" s="6">
        <f>$B$252*50*'Results - raw data ReCiPe (H)'!BH114/(1-$AC$270)*(1+'Results ReCiPe (H) - HHD'!$AC$271/'Results ReCiPe (H) - HHD'!$AC$272-'Results ReCiPe (H) - HHD'!$AC$271)</f>
        <v>347.44487151081171</v>
      </c>
      <c r="H304" s="6">
        <f>$B$252*50*'Results - raw data ReCiPe (H)'!BI114/(1-$AC$270)*(1+'Results ReCiPe (H) - HHD'!$AC$271/'Results ReCiPe (H) - HHD'!$AC$272-'Results ReCiPe (H) - HHD'!$AC$271)</f>
        <v>346.58675503038023</v>
      </c>
      <c r="I304" s="6">
        <f>$B$252*50*'Results - raw data ReCiPe (H)'!BJ114/(1-$AC$270)*(1+'Results ReCiPe (H) - HHD'!$AC$271/'Results ReCiPe (H) - HHD'!$AC$272-'Results ReCiPe (H) - HHD'!$AC$271)</f>
        <v>345.75691753661886</v>
      </c>
      <c r="J304" s="6">
        <f>$B$252*50*'Results - raw data ReCiPe (H)'!BK114/(1-$AC$270)*(1+'Results ReCiPe (H) - HHD'!$AC$271/'Results ReCiPe (H) - HHD'!$AC$272-'Results ReCiPe (H) - HHD'!$AC$271)</f>
        <v>342.55486383826599</v>
      </c>
      <c r="K304" s="6">
        <f>$B$252*50*'Results - raw data ReCiPe (H)'!BL114/(1-$AC$270)*(1+'Results ReCiPe (H) - HHD'!$AC$271/'Results ReCiPe (H) - HHD'!$AC$272-'Results ReCiPe (H) - HHD'!$AC$271)</f>
        <v>341.79004706784241</v>
      </c>
      <c r="L304" s="6">
        <f>$B$252*50*'Results - raw data ReCiPe (H)'!BM114/(1-$AC$270)*(1+'Results ReCiPe (H) - HHD'!$AC$271/'Results ReCiPe (H) - HHD'!$AC$272-'Results ReCiPe (H) - HHD'!$AC$271)</f>
        <v>341.04628736630411</v>
      </c>
      <c r="M304" s="6">
        <f>$B$252*50*'Results - raw data ReCiPe (H)'!BN114/(1-$AC$270)*(1+'Results ReCiPe (H) - HHD'!$AC$271/'Results ReCiPe (H) - HHD'!$AC$272-'Results ReCiPe (H) - HHD'!$AC$271)</f>
        <v>340.52055802487507</v>
      </c>
      <c r="N304" s="6">
        <f>$B$252*50*'Results - raw data ReCiPe (H)'!BO114/(1-$AC$270)*(1+'Results ReCiPe (H) - HHD'!$AC$271/'Results ReCiPe (H) - HHD'!$AC$272-'Results ReCiPe (H) - HHD'!$AC$271)</f>
        <v>340.01830292474386</v>
      </c>
      <c r="O304" s="6">
        <f>$B$252*50*'Results - raw data ReCiPe (H)'!BP114/(1-$AC$270)*(1+'Results ReCiPe (H) - HHD'!$AC$271/'Results ReCiPe (H) - HHD'!$AC$272-'Results ReCiPe (H) - HHD'!$AC$271)</f>
        <v>338.85271620991568</v>
      </c>
      <c r="P304" s="6">
        <f>$B$252*50*'Results - raw data ReCiPe (H)'!BQ114/(1-$AC$270)*(1+'Results ReCiPe (H) - HHD'!$AC$271/'Results ReCiPe (H) - HHD'!$AC$272-'Results ReCiPe (H) - HHD'!$AC$271)</f>
        <v>338.39703159987977</v>
      </c>
      <c r="Q304" s="6">
        <f>$B$252*50*'Results - raw data ReCiPe (H)'!BR114/(1-$AC$270)*(1+'Results ReCiPe (H) - HHD'!$AC$271/'Results ReCiPe (H) - HHD'!$AC$272-'Results ReCiPe (H) - HHD'!$AC$271)</f>
        <v>337.97210643680307</v>
      </c>
      <c r="R304" s="6">
        <f>$B$252*50*'Results - raw data ReCiPe (H)'!BS114/(1-$AC$270)*(1+'Results ReCiPe (H) - HHD'!$AC$271/'Results ReCiPe (H) - HHD'!$AC$272-'Results ReCiPe (H) - HHD'!$AC$271)</f>
        <v>337.57355636967867</v>
      </c>
      <c r="S304" s="6">
        <f>$B$252*50*'Results - raw data ReCiPe (H)'!BT114/(1-$AC$270)*(1+'Results ReCiPe (H) - HHD'!$AC$271/'Results ReCiPe (H) - HHD'!$AC$272-'Results ReCiPe (H) - HHD'!$AC$271)</f>
        <v>337.17758756895904</v>
      </c>
      <c r="T304" s="6">
        <f>$B$252*50*'Results - raw data ReCiPe (H)'!BU114/(1-$AC$270)*(1+'Results ReCiPe (H) - HHD'!$AC$271/'Results ReCiPe (H) - HHD'!$AC$272-'Results ReCiPe (H) - HHD'!$AC$271)</f>
        <v>336.12211547093705</v>
      </c>
      <c r="U304" s="6">
        <f>$B$252*50*'Results - raw data ReCiPe (H)'!BV114/(1-$AC$270)*(1+'Results ReCiPe (H) - HHD'!$AC$271/'Results ReCiPe (H) - HHD'!$AC$272-'Results ReCiPe (H) - HHD'!$AC$271)</f>
        <v>335.7375865267951</v>
      </c>
      <c r="V304" s="6">
        <f>$B$252*50*'Results - raw data ReCiPe (H)'!BW114/(1-$AC$270)*(1+'Results ReCiPe (H) - HHD'!$AC$271/'Results ReCiPe (H) - HHD'!$AC$272-'Results ReCiPe (H) - HHD'!$AC$271)</f>
        <v>335.35481622262466</v>
      </c>
      <c r="W304" s="6">
        <f>$B$252*50*'Results - raw data ReCiPe (H)'!BX114/(1-$AC$270)*(1+'Results ReCiPe (H) - HHD'!$AC$271/'Results ReCiPe (H) - HHD'!$AC$272-'Results ReCiPe (H) - HHD'!$AC$271)</f>
        <v>335.15939462535141</v>
      </c>
      <c r="X304" s="6">
        <f>$B$252*50*'Results - raw data ReCiPe (H)'!BY114/(1-$AC$270)*(1+'Results ReCiPe (H) - HHD'!$AC$271/'Results ReCiPe (H) - HHD'!$AC$272-'Results ReCiPe (H) - HHD'!$AC$271)</f>
        <v>334.97033942590645</v>
      </c>
      <c r="Y304" s="6">
        <f>$B$252*50*'Results - raw data ReCiPe (H)'!BZ114/(1-$AC$270)*(1+'Results ReCiPe (H) - HHD'!$AC$271/'Results ReCiPe (H) - HHD'!$AC$272-'Results ReCiPe (H) - HHD'!$AC$271)</f>
        <v>334.78715509001483</v>
      </c>
      <c r="Z304" s="6">
        <f>$B$252*50*'Results - raw data ReCiPe (H)'!CA114/(1-$AC$270)*(1+'Results ReCiPe (H) - HHD'!$AC$271/'Results ReCiPe (H) - HHD'!$AC$272-'Results ReCiPe (H) - HHD'!$AC$271)</f>
        <v>334.60963094972175</v>
      </c>
    </row>
    <row r="305" spans="1:26" outlineLevel="1" x14ac:dyDescent="0.35">
      <c r="A305" s="6" t="s">
        <v>797</v>
      </c>
      <c r="B305" s="6">
        <f>$B$260*$AC$264</f>
        <v>426.28778307629489</v>
      </c>
      <c r="C305" s="6">
        <f t="shared" ref="C305:Z305" si="36">$B$260*$AC$264</f>
        <v>426.28778307629489</v>
      </c>
      <c r="D305" s="6">
        <f t="shared" si="36"/>
        <v>426.28778307629489</v>
      </c>
      <c r="E305" s="6">
        <f t="shared" si="36"/>
        <v>426.28778307629489</v>
      </c>
      <c r="F305" s="6">
        <f t="shared" si="36"/>
        <v>426.28778307629489</v>
      </c>
      <c r="G305" s="6">
        <f t="shared" si="36"/>
        <v>426.28778307629489</v>
      </c>
      <c r="H305" s="6">
        <f t="shared" si="36"/>
        <v>426.28778307629489</v>
      </c>
      <c r="I305" s="6">
        <f t="shared" si="36"/>
        <v>426.28778307629489</v>
      </c>
      <c r="J305" s="6">
        <f t="shared" si="36"/>
        <v>426.28778307629489</v>
      </c>
      <c r="K305" s="6">
        <f t="shared" si="36"/>
        <v>426.28778307629489</v>
      </c>
      <c r="L305" s="6">
        <f t="shared" si="36"/>
        <v>426.28778307629489</v>
      </c>
      <c r="M305" s="6">
        <f t="shared" si="36"/>
        <v>426.28778307629489</v>
      </c>
      <c r="N305" s="6">
        <f t="shared" si="36"/>
        <v>426.28778307629489</v>
      </c>
      <c r="O305" s="6">
        <f t="shared" si="36"/>
        <v>426.28778307629489</v>
      </c>
      <c r="P305" s="6">
        <f t="shared" si="36"/>
        <v>426.28778307629489</v>
      </c>
      <c r="Q305" s="6">
        <f t="shared" si="36"/>
        <v>426.28778307629489</v>
      </c>
      <c r="R305" s="6">
        <f t="shared" si="36"/>
        <v>426.28778307629489</v>
      </c>
      <c r="S305" s="6">
        <f t="shared" si="36"/>
        <v>426.28778307629489</v>
      </c>
      <c r="T305" s="6">
        <f t="shared" si="36"/>
        <v>426.28778307629489</v>
      </c>
      <c r="U305" s="6">
        <f t="shared" si="36"/>
        <v>426.28778307629489</v>
      </c>
      <c r="V305" s="6">
        <f t="shared" si="36"/>
        <v>426.28778307629489</v>
      </c>
      <c r="W305" s="6">
        <f t="shared" si="36"/>
        <v>426.28778307629489</v>
      </c>
      <c r="X305" s="6">
        <f t="shared" si="36"/>
        <v>426.28778307629489</v>
      </c>
      <c r="Y305" s="6">
        <f t="shared" si="36"/>
        <v>426.28778307629489</v>
      </c>
      <c r="Z305" s="6">
        <f t="shared" si="36"/>
        <v>426.28778307629489</v>
      </c>
    </row>
    <row r="306" spans="1:26" outlineLevel="1" x14ac:dyDescent="0.35">
      <c r="A306" s="23" t="s">
        <v>125</v>
      </c>
      <c r="B306" s="17">
        <f t="shared" ref="B306:Z306" si="37">SUM(B274:B304)</f>
        <v>3546.7835131453967</v>
      </c>
      <c r="C306" s="17">
        <f t="shared" si="37"/>
        <v>565.56785981150279</v>
      </c>
      <c r="D306" s="17">
        <f t="shared" si="37"/>
        <v>564.94563637982776</v>
      </c>
      <c r="E306" s="17">
        <f t="shared" si="37"/>
        <v>560.00560234347518</v>
      </c>
      <c r="F306" s="17">
        <f t="shared" si="37"/>
        <v>559.43405329981624</v>
      </c>
      <c r="G306" s="17">
        <f t="shared" si="37"/>
        <v>558.87648103465142</v>
      </c>
      <c r="H306" s="17">
        <f t="shared" si="37"/>
        <v>559.4343654871459</v>
      </c>
      <c r="I306" s="17">
        <f t="shared" si="37"/>
        <v>560.01404172128423</v>
      </c>
      <c r="J306" s="17">
        <f t="shared" si="37"/>
        <v>557.60224878941358</v>
      </c>
      <c r="K306" s="17">
        <f t="shared" si="37"/>
        <v>558.24288170445357</v>
      </c>
      <c r="L306" s="17">
        <f t="shared" si="37"/>
        <v>558.89893568433672</v>
      </c>
      <c r="M306" s="17">
        <f t="shared" si="37"/>
        <v>558.4389876260409</v>
      </c>
      <c r="N306" s="17">
        <f t="shared" si="37"/>
        <v>557.99695281110928</v>
      </c>
      <c r="O306" s="17">
        <f t="shared" si="37"/>
        <v>556.70623621153163</v>
      </c>
      <c r="P306" s="17">
        <f t="shared" si="37"/>
        <v>556.30059776298174</v>
      </c>
      <c r="Q306" s="17">
        <f t="shared" si="37"/>
        <v>555.91949071161775</v>
      </c>
      <c r="R306" s="17">
        <f t="shared" si="37"/>
        <v>558.93622806081453</v>
      </c>
      <c r="S306" s="17">
        <f t="shared" si="37"/>
        <v>561.94990174410873</v>
      </c>
      <c r="T306" s="17">
        <f t="shared" si="37"/>
        <v>564.12840050008754</v>
      </c>
      <c r="U306" s="17">
        <f t="shared" si="37"/>
        <v>567.14620860343985</v>
      </c>
      <c r="V306" s="17">
        <f t="shared" si="37"/>
        <v>570.16161674320961</v>
      </c>
      <c r="W306" s="17">
        <f t="shared" si="37"/>
        <v>570.46353464178912</v>
      </c>
      <c r="X306" s="17">
        <f t="shared" si="37"/>
        <v>570.77841512086161</v>
      </c>
      <c r="Y306" s="17">
        <f t="shared" si="37"/>
        <v>571.10142720924398</v>
      </c>
      <c r="Z306" s="17">
        <f t="shared" si="37"/>
        <v>617.06840135759671</v>
      </c>
    </row>
    <row r="307" spans="1:26" outlineLevel="1" x14ac:dyDescent="0.35"/>
    <row r="308" spans="1:26" s="18" customFormat="1" ht="21" x14ac:dyDescent="0.5">
      <c r="A308" s="18" t="s">
        <v>73</v>
      </c>
    </row>
    <row r="309" spans="1:26" s="20" customFormat="1" outlineLevel="1" x14ac:dyDescent="0.35">
      <c r="A309" s="19" t="s">
        <v>788</v>
      </c>
    </row>
    <row r="310" spans="1:26" s="20" customFormat="1" outlineLevel="1" x14ac:dyDescent="0.35">
      <c r="A310" s="273" t="s">
        <v>775</v>
      </c>
      <c r="B310" s="20">
        <v>1</v>
      </c>
      <c r="C310" s="274" t="s">
        <v>787</v>
      </c>
    </row>
    <row r="311" spans="1:26" s="20" customFormat="1" outlineLevel="1" x14ac:dyDescent="0.35">
      <c r="A311" s="273" t="s">
        <v>781</v>
      </c>
      <c r="B311" s="20">
        <v>100000</v>
      </c>
      <c r="C311" s="20" t="s">
        <v>782</v>
      </c>
      <c r="E311" s="274"/>
    </row>
    <row r="312" spans="1:26" s="20" customFormat="1" outlineLevel="1" x14ac:dyDescent="0.35">
      <c r="A312" s="273" t="s">
        <v>783</v>
      </c>
      <c r="B312" s="20">
        <v>1500</v>
      </c>
      <c r="C312" s="20" t="s">
        <v>592</v>
      </c>
    </row>
    <row r="313" spans="1:26" s="20" customFormat="1" outlineLevel="1" x14ac:dyDescent="0.35">
      <c r="A313" s="273" t="s">
        <v>784</v>
      </c>
      <c r="B313" s="20">
        <v>8760</v>
      </c>
      <c r="C313" s="20" t="s">
        <v>785</v>
      </c>
    </row>
    <row r="314" spans="1:26" s="20" customFormat="1" outlineLevel="1" x14ac:dyDescent="0.35">
      <c r="A314" s="273"/>
    </row>
    <row r="315" spans="1:26" s="20" customFormat="1" outlineLevel="1" x14ac:dyDescent="0.35">
      <c r="A315" s="275" t="s">
        <v>786</v>
      </c>
      <c r="B315" s="275">
        <f>(B311*B312)/(B313*B310)</f>
        <v>17123.287671232876</v>
      </c>
      <c r="C315" s="275" t="s">
        <v>749</v>
      </c>
    </row>
    <row r="316" spans="1:26" s="20" customFormat="1" outlineLevel="1" x14ac:dyDescent="0.35">
      <c r="A316" s="19"/>
    </row>
    <row r="317" spans="1:26" s="20" customFormat="1" outlineLevel="1" x14ac:dyDescent="0.35">
      <c r="A317" s="19" t="s">
        <v>793</v>
      </c>
    </row>
    <row r="318" spans="1:26" s="20" customFormat="1" outlineLevel="1" x14ac:dyDescent="0.35">
      <c r="A318" s="273" t="s">
        <v>789</v>
      </c>
      <c r="B318" s="20">
        <f>SUM('Results - raw data ReCiPe (H)'!BC146:BC147)+'Results - raw data ReCiPe (H)'!BC150+SUM('Results - raw data ReCiPe (H)'!BC148:BC149)*AC267</f>
        <v>81.297552268264241</v>
      </c>
      <c r="C318" s="20" t="s">
        <v>902</v>
      </c>
    </row>
    <row r="319" spans="1:26" s="20" customFormat="1" outlineLevel="1" x14ac:dyDescent="0.35">
      <c r="A319" s="20" t="s">
        <v>792</v>
      </c>
      <c r="B319" s="20">
        <f>B311*AC325</f>
        <v>50000</v>
      </c>
      <c r="C319" s="274" t="s">
        <v>795</v>
      </c>
    </row>
    <row r="320" spans="1:26" s="20" customFormat="1" outlineLevel="1" x14ac:dyDescent="0.35">
      <c r="A320" s="20" t="s">
        <v>791</v>
      </c>
      <c r="B320" s="20">
        <f>(B318*AC327*B315)/(B319*AC326)*(AC326/AC328)</f>
        <v>8.3524882467394761</v>
      </c>
      <c r="C320" s="20" t="s">
        <v>903</v>
      </c>
      <c r="E320" s="274" t="s">
        <v>796</v>
      </c>
    </row>
    <row r="321" spans="1:53" s="20" customFormat="1" outlineLevel="1" x14ac:dyDescent="0.35">
      <c r="A321" s="19"/>
    </row>
    <row r="322" spans="1:53" s="16" customFormat="1" outlineLevel="1" x14ac:dyDescent="0.35">
      <c r="A322" s="21"/>
      <c r="AE322" s="15"/>
    </row>
    <row r="323" spans="1:53" s="16" customFormat="1" outlineLevel="1" x14ac:dyDescent="0.35">
      <c r="A323" s="22" t="s">
        <v>761</v>
      </c>
    </row>
    <row r="324" spans="1:53" s="16" customFormat="1" outlineLevel="1" x14ac:dyDescent="0.35">
      <c r="A324" s="22"/>
      <c r="AB324" s="16" t="s">
        <v>127</v>
      </c>
      <c r="AC324" s="16">
        <f>100*AC325</f>
        <v>50</v>
      </c>
      <c r="AD324" s="16" t="s">
        <v>128</v>
      </c>
    </row>
    <row r="325" spans="1:53" s="16" customFormat="1" outlineLevel="1" x14ac:dyDescent="0.35">
      <c r="A325" s="230"/>
      <c r="AB325" s="16" t="s">
        <v>776</v>
      </c>
      <c r="AC325" s="16">
        <v>0.5</v>
      </c>
    </row>
    <row r="326" spans="1:53" s="16" customFormat="1" outlineLevel="1" x14ac:dyDescent="0.35">
      <c r="A326" s="21"/>
      <c r="AB326" s="16" t="s">
        <v>129</v>
      </c>
      <c r="AC326" s="16">
        <v>25</v>
      </c>
      <c r="AD326" s="16" t="s">
        <v>130</v>
      </c>
    </row>
    <row r="327" spans="1:53" s="16" customFormat="1" outlineLevel="1" x14ac:dyDescent="0.35">
      <c r="A327" s="21"/>
      <c r="AB327" s="16" t="s">
        <v>777</v>
      </c>
      <c r="AC327" s="16">
        <v>6</v>
      </c>
      <c r="AD327" s="16" t="s">
        <v>779</v>
      </c>
    </row>
    <row r="328" spans="1:53" s="16" customFormat="1" outlineLevel="1" x14ac:dyDescent="0.35">
      <c r="A328" s="21"/>
      <c r="AB328" s="16" t="s">
        <v>778</v>
      </c>
      <c r="AC328" s="16">
        <v>20</v>
      </c>
      <c r="AD328" s="16" t="s">
        <v>130</v>
      </c>
    </row>
    <row r="329" spans="1:53" s="16" customFormat="1" outlineLevel="1" x14ac:dyDescent="0.35">
      <c r="AB329" s="16" t="s">
        <v>780</v>
      </c>
      <c r="AC329" s="16">
        <f>B315</f>
        <v>17123.287671232876</v>
      </c>
      <c r="AD329" s="16" t="s">
        <v>749</v>
      </c>
    </row>
    <row r="330" spans="1:53" s="16" customFormat="1" outlineLevel="1" x14ac:dyDescent="0.35">
      <c r="AB330" s="16" t="s">
        <v>820</v>
      </c>
      <c r="AC330" s="16">
        <v>0.5</v>
      </c>
    </row>
    <row r="331" spans="1:53" s="16" customFormat="1" outlineLevel="1" x14ac:dyDescent="0.35">
      <c r="AB331" s="16" t="s">
        <v>798</v>
      </c>
      <c r="AC331" s="16">
        <v>0.25</v>
      </c>
    </row>
    <row r="332" spans="1:53" s="16" customFormat="1" outlineLevel="1" x14ac:dyDescent="0.35">
      <c r="A332" s="22"/>
      <c r="AB332" s="16" t="s">
        <v>799</v>
      </c>
      <c r="AC332" s="16">
        <v>0.9</v>
      </c>
    </row>
    <row r="333" spans="1:53" outlineLevel="1" x14ac:dyDescent="0.35">
      <c r="B333" s="25">
        <v>2030</v>
      </c>
      <c r="C333" s="25">
        <v>2031</v>
      </c>
      <c r="D333" s="25">
        <v>2032</v>
      </c>
      <c r="E333" s="25">
        <v>2033</v>
      </c>
      <c r="F333" s="25">
        <v>2034</v>
      </c>
      <c r="G333" s="25">
        <v>2035</v>
      </c>
      <c r="H333" s="25">
        <v>2036</v>
      </c>
      <c r="I333" s="25">
        <v>2037</v>
      </c>
      <c r="J333" s="25">
        <v>2038</v>
      </c>
      <c r="K333" s="25">
        <v>2039</v>
      </c>
      <c r="L333" s="25">
        <v>2040</v>
      </c>
      <c r="M333" s="25">
        <v>2041</v>
      </c>
      <c r="N333" s="25">
        <v>2042</v>
      </c>
      <c r="O333" s="25">
        <v>2043</v>
      </c>
      <c r="P333" s="25">
        <v>2044</v>
      </c>
      <c r="Q333" s="25">
        <v>2045</v>
      </c>
      <c r="R333" s="25">
        <v>2046</v>
      </c>
      <c r="S333" s="25">
        <v>2047</v>
      </c>
      <c r="T333" s="25">
        <v>2048</v>
      </c>
      <c r="U333" s="25">
        <v>2049</v>
      </c>
      <c r="V333" s="25">
        <v>2050</v>
      </c>
      <c r="W333" s="25">
        <v>2051</v>
      </c>
      <c r="X333" s="25">
        <v>2052</v>
      </c>
      <c r="Y333" s="25">
        <v>2053</v>
      </c>
      <c r="Z333" s="25">
        <v>2054</v>
      </c>
      <c r="AC333" s="25">
        <v>2030</v>
      </c>
      <c r="AD333" s="25">
        <v>2031</v>
      </c>
      <c r="AE333" s="25">
        <v>2032</v>
      </c>
      <c r="AF333" s="25">
        <v>2033</v>
      </c>
      <c r="AG333" s="25">
        <v>2034</v>
      </c>
      <c r="AH333" s="25">
        <v>2035</v>
      </c>
      <c r="AI333" s="25">
        <v>2036</v>
      </c>
      <c r="AJ333" s="25">
        <v>2037</v>
      </c>
      <c r="AK333" s="25">
        <v>2038</v>
      </c>
      <c r="AL333" s="25">
        <v>2039</v>
      </c>
      <c r="AM333" s="25">
        <v>2040</v>
      </c>
      <c r="AN333" s="25">
        <v>2041</v>
      </c>
      <c r="AO333" s="25">
        <v>2042</v>
      </c>
      <c r="AP333" s="25">
        <v>2043</v>
      </c>
      <c r="AQ333" s="25">
        <v>2044</v>
      </c>
      <c r="AR333" s="25">
        <v>2045</v>
      </c>
      <c r="AS333" s="25">
        <v>2046</v>
      </c>
      <c r="AT333" s="25">
        <v>2047</v>
      </c>
      <c r="AU333" s="25">
        <v>2048</v>
      </c>
      <c r="AV333" s="25">
        <v>2049</v>
      </c>
      <c r="AW333" s="25">
        <v>2050</v>
      </c>
      <c r="AX333" s="25">
        <v>2051</v>
      </c>
      <c r="AY333" s="25">
        <v>2052</v>
      </c>
      <c r="AZ333" s="25">
        <v>2053</v>
      </c>
      <c r="BA333" s="25">
        <v>2054</v>
      </c>
    </row>
    <row r="334" spans="1:53" outlineLevel="1" x14ac:dyDescent="0.35">
      <c r="A334" s="6" t="s">
        <v>21</v>
      </c>
      <c r="B334" s="6">
        <f>B50</f>
        <v>74.575809260309001</v>
      </c>
      <c r="AB334" s="6" t="s">
        <v>117</v>
      </c>
      <c r="AC334" s="6">
        <f>SUM(B334:B345)+B347</f>
        <v>2790.777108402302</v>
      </c>
    </row>
    <row r="335" spans="1:53" outlineLevel="1" x14ac:dyDescent="0.35">
      <c r="A335" s="6" t="s">
        <v>23</v>
      </c>
      <c r="B335" s="6">
        <f t="shared" ref="B335:B345" si="38">B51</f>
        <v>313.82231223638792</v>
      </c>
      <c r="AB335" s="6" t="s">
        <v>118</v>
      </c>
      <c r="AC335" s="6">
        <f>B346</f>
        <v>133.47248236670413</v>
      </c>
    </row>
    <row r="336" spans="1:53" outlineLevel="1" x14ac:dyDescent="0.35">
      <c r="A336" s="6" t="s">
        <v>26</v>
      </c>
      <c r="B336" s="6">
        <f t="shared" si="38"/>
        <v>315.02558376823708</v>
      </c>
      <c r="AB336" s="6" t="s">
        <v>119</v>
      </c>
      <c r="BA336" s="6">
        <f>SUM(Z348:Z359)</f>
        <v>41.794125692809452</v>
      </c>
    </row>
    <row r="337" spans="1:53" outlineLevel="1" x14ac:dyDescent="0.35">
      <c r="A337" s="6" t="s">
        <v>28</v>
      </c>
      <c r="B337" s="6">
        <f t="shared" si="38"/>
        <v>243.43520206801139</v>
      </c>
      <c r="AB337" s="6" t="s">
        <v>120</v>
      </c>
      <c r="BA337" s="6">
        <f>Z360</f>
        <v>0.64814302489144726</v>
      </c>
    </row>
    <row r="338" spans="1:53" outlineLevel="1" x14ac:dyDescent="0.35">
      <c r="A338" s="6" t="s">
        <v>29</v>
      </c>
      <c r="B338" s="6">
        <f t="shared" si="38"/>
        <v>119.8877128712579</v>
      </c>
      <c r="AB338" s="6" t="s">
        <v>121</v>
      </c>
      <c r="AC338" s="6">
        <f>B361</f>
        <v>117.4164153447413</v>
      </c>
      <c r="AF338" s="6">
        <f>E361</f>
        <v>116.14482404943</v>
      </c>
      <c r="AI338" s="6">
        <f>H361</f>
        <v>115.85431461269189</v>
      </c>
      <c r="AL338" s="6">
        <f>K361</f>
        <v>115.7060268138878</v>
      </c>
      <c r="AO338" s="6">
        <f>N361</f>
        <v>115.22430296168601</v>
      </c>
      <c r="AR338" s="6">
        <f>Q361</f>
        <v>114.21787004973891</v>
      </c>
      <c r="AU338" s="6">
        <f>T361</f>
        <v>113.3881732416237</v>
      </c>
      <c r="AX338" s="6">
        <f>W361</f>
        <v>112.8508899058024</v>
      </c>
      <c r="BA338" s="6">
        <f>Z361</f>
        <v>112.6235531268987</v>
      </c>
    </row>
    <row r="339" spans="1:53" outlineLevel="1" x14ac:dyDescent="0.35">
      <c r="A339" s="6" t="s">
        <v>31</v>
      </c>
      <c r="B339" s="6">
        <f t="shared" si="38"/>
        <v>85.211147912787794</v>
      </c>
      <c r="AB339" s="6" t="s">
        <v>797</v>
      </c>
      <c r="AC339" s="6">
        <f>B365</f>
        <v>417.62441233697382</v>
      </c>
      <c r="AD339" s="6">
        <f t="shared" ref="AD339:BA339" si="39">C365</f>
        <v>417.62441233697382</v>
      </c>
      <c r="AE339" s="6">
        <f t="shared" si="39"/>
        <v>417.62441233697382</v>
      </c>
      <c r="AF339" s="6">
        <f t="shared" si="39"/>
        <v>417.62441233697382</v>
      </c>
      <c r="AG339" s="6">
        <f t="shared" si="39"/>
        <v>417.62441233697382</v>
      </c>
      <c r="AH339" s="6">
        <f t="shared" si="39"/>
        <v>417.62441233697382</v>
      </c>
      <c r="AI339" s="6">
        <f t="shared" si="39"/>
        <v>417.62441233697382</v>
      </c>
      <c r="AJ339" s="6">
        <f t="shared" si="39"/>
        <v>417.62441233697382</v>
      </c>
      <c r="AK339" s="6">
        <f t="shared" si="39"/>
        <v>417.62441233697382</v>
      </c>
      <c r="AL339" s="6">
        <f t="shared" si="39"/>
        <v>417.62441233697382</v>
      </c>
      <c r="AM339" s="6">
        <f t="shared" si="39"/>
        <v>417.62441233697382</v>
      </c>
      <c r="AN339" s="6">
        <f t="shared" si="39"/>
        <v>417.62441233697382</v>
      </c>
      <c r="AO339" s="6">
        <f t="shared" si="39"/>
        <v>417.62441233697382</v>
      </c>
      <c r="AP339" s="6">
        <f t="shared" si="39"/>
        <v>417.62441233697382</v>
      </c>
      <c r="AQ339" s="6">
        <f t="shared" si="39"/>
        <v>417.62441233697382</v>
      </c>
      <c r="AR339" s="6">
        <f t="shared" si="39"/>
        <v>417.62441233697382</v>
      </c>
      <c r="AS339" s="6">
        <f t="shared" si="39"/>
        <v>417.62441233697382</v>
      </c>
      <c r="AT339" s="6">
        <f t="shared" si="39"/>
        <v>417.62441233697382</v>
      </c>
      <c r="AU339" s="6">
        <f t="shared" si="39"/>
        <v>417.62441233697382</v>
      </c>
      <c r="AV339" s="6">
        <f t="shared" si="39"/>
        <v>417.62441233697382</v>
      </c>
      <c r="AW339" s="6">
        <f t="shared" si="39"/>
        <v>417.62441233697382</v>
      </c>
      <c r="AX339" s="6">
        <f t="shared" si="39"/>
        <v>417.62441233697382</v>
      </c>
      <c r="AY339" s="6">
        <f t="shared" si="39"/>
        <v>417.62441233697382</v>
      </c>
      <c r="AZ339" s="6">
        <f t="shared" si="39"/>
        <v>417.62441233697382</v>
      </c>
      <c r="BA339" s="6">
        <f t="shared" si="39"/>
        <v>417.62441233697382</v>
      </c>
    </row>
    <row r="340" spans="1:53" outlineLevel="1" x14ac:dyDescent="0.35">
      <c r="A340" s="6" t="s">
        <v>34</v>
      </c>
      <c r="B340" s="6">
        <f t="shared" si="38"/>
        <v>57.213045992396857</v>
      </c>
      <c r="AB340" s="6" t="s">
        <v>122</v>
      </c>
      <c r="AC340" s="6">
        <f t="shared" ref="AC340:AV340" si="40">B364+B363</f>
        <v>354.4648899632698</v>
      </c>
      <c r="AD340" s="6">
        <f t="shared" si="40"/>
        <v>353.71478819889768</v>
      </c>
      <c r="AE340" s="6">
        <f t="shared" si="40"/>
        <v>352.92922431729039</v>
      </c>
      <c r="AF340" s="6">
        <f t="shared" si="40"/>
        <v>348.6957023841901</v>
      </c>
      <c r="AG340" s="6">
        <f t="shared" si="40"/>
        <v>347.85253593847449</v>
      </c>
      <c r="AH340" s="6">
        <f t="shared" si="40"/>
        <v>346.96180504320296</v>
      </c>
      <c r="AI340" s="6">
        <f t="shared" si="40"/>
        <v>346.33531203737613</v>
      </c>
      <c r="AJ340" s="6">
        <f t="shared" si="40"/>
        <v>345.83961865755384</v>
      </c>
      <c r="AK340" s="6">
        <f t="shared" si="40"/>
        <v>343.07237326169815</v>
      </c>
      <c r="AL340" s="6">
        <f t="shared" si="40"/>
        <v>342.65491840642301</v>
      </c>
      <c r="AM340" s="6">
        <f t="shared" si="40"/>
        <v>342.22122157552343</v>
      </c>
      <c r="AN340" s="6">
        <f t="shared" si="40"/>
        <v>340.86013308007722</v>
      </c>
      <c r="AO340" s="6">
        <f t="shared" si="40"/>
        <v>339.5118108226186</v>
      </c>
      <c r="AP340" s="6">
        <f t="shared" si="40"/>
        <v>337.52762012279896</v>
      </c>
      <c r="AQ340" s="6">
        <f t="shared" si="40"/>
        <v>336.2106341944322</v>
      </c>
      <c r="AR340" s="6">
        <f t="shared" si="40"/>
        <v>334.89894136242748</v>
      </c>
      <c r="AS340" s="6">
        <f t="shared" si="40"/>
        <v>333.69004655307322</v>
      </c>
      <c r="AT340" s="6">
        <f t="shared" si="40"/>
        <v>332.49684890940244</v>
      </c>
      <c r="AU340" s="6">
        <f t="shared" si="40"/>
        <v>330.70547806044175</v>
      </c>
      <c r="AV340" s="6">
        <f t="shared" si="40"/>
        <v>329.55656201289327</v>
      </c>
      <c r="AW340" s="6">
        <f>V364</f>
        <v>328.40784538291626</v>
      </c>
      <c r="AX340" s="6">
        <f>W364</f>
        <v>328.13042559222492</v>
      </c>
      <c r="AY340" s="6">
        <f>X364</f>
        <v>327.85712170631302</v>
      </c>
      <c r="AZ340" s="6">
        <f>Y364</f>
        <v>327.58703535119508</v>
      </c>
      <c r="BA340" s="6">
        <f>Z364</f>
        <v>327.31987314210204</v>
      </c>
    </row>
    <row r="341" spans="1:53" outlineLevel="1" x14ac:dyDescent="0.35">
      <c r="A341" s="6" t="s">
        <v>36</v>
      </c>
      <c r="B341" s="6">
        <f t="shared" si="38"/>
        <v>60.149320712686112</v>
      </c>
      <c r="AB341" s="6" t="s">
        <v>123</v>
      </c>
      <c r="AC341" s="6">
        <f t="shared" ref="AC341:BA341" si="41">B362</f>
        <v>95.404159630846095</v>
      </c>
      <c r="AD341" s="6">
        <f t="shared" si="41"/>
        <v>94.527795374518647</v>
      </c>
      <c r="AE341" s="6">
        <f t="shared" si="41"/>
        <v>93.65461184761395</v>
      </c>
      <c r="AF341" s="6">
        <f t="shared" si="41"/>
        <v>92.584968070262846</v>
      </c>
      <c r="AG341" s="6">
        <f t="shared" si="41"/>
        <v>91.719022805358648</v>
      </c>
      <c r="AH341" s="6">
        <f t="shared" si="41"/>
        <v>90.856070814013847</v>
      </c>
      <c r="AI341" s="6">
        <f t="shared" si="41"/>
        <v>90.587799563843703</v>
      </c>
      <c r="AJ341" s="6">
        <f t="shared" si="41"/>
        <v>90.315097882824304</v>
      </c>
      <c r="AK341" s="6">
        <f t="shared" si="41"/>
        <v>89.867408513980791</v>
      </c>
      <c r="AL341" s="6">
        <f t="shared" si="41"/>
        <v>89.57941530193645</v>
      </c>
      <c r="AM341" s="6">
        <f t="shared" si="41"/>
        <v>89.284451455591253</v>
      </c>
      <c r="AN341" s="6">
        <f t="shared" si="41"/>
        <v>88.704471017950951</v>
      </c>
      <c r="AO341" s="6">
        <f t="shared" si="41"/>
        <v>88.114804516630855</v>
      </c>
      <c r="AP341" s="6">
        <f t="shared" si="41"/>
        <v>87.474845125124901</v>
      </c>
      <c r="AQ341" s="6">
        <f t="shared" si="41"/>
        <v>86.866408273115141</v>
      </c>
      <c r="AR341" s="6">
        <f t="shared" si="41"/>
        <v>86.24841326660875</v>
      </c>
      <c r="AS341" s="6">
        <f t="shared" si="41"/>
        <v>86.875291789630154</v>
      </c>
      <c r="AT341" s="6">
        <f t="shared" si="41"/>
        <v>87.495331542409204</v>
      </c>
      <c r="AU341" s="6">
        <f t="shared" si="41"/>
        <v>88.068806360161105</v>
      </c>
      <c r="AV341" s="6">
        <f t="shared" si="41"/>
        <v>88.675387304600349</v>
      </c>
      <c r="AW341" s="6">
        <f t="shared" si="41"/>
        <v>89.275236190348153</v>
      </c>
      <c r="AX341" s="6">
        <f t="shared" si="41"/>
        <v>88.344007862698604</v>
      </c>
      <c r="AY341" s="6">
        <f t="shared" si="41"/>
        <v>87.417229728806049</v>
      </c>
      <c r="AZ341" s="6">
        <f t="shared" si="41"/>
        <v>86.489648060690712</v>
      </c>
      <c r="BA341" s="6">
        <f t="shared" si="41"/>
        <v>85.561111240698651</v>
      </c>
    </row>
    <row r="342" spans="1:53" outlineLevel="1" x14ac:dyDescent="0.35">
      <c r="A342" s="6" t="s">
        <v>38</v>
      </c>
      <c r="B342" s="6">
        <f t="shared" si="38"/>
        <v>654.34504301961317</v>
      </c>
      <c r="AB342" s="6" t="s">
        <v>124</v>
      </c>
      <c r="AC342" s="6">
        <f>-$AC$323*$AC$324</f>
        <v>0</v>
      </c>
      <c r="AD342" s="6">
        <f t="shared" ref="AD342:BA342" si="42">-$AC$323*$AC$324</f>
        <v>0</v>
      </c>
      <c r="AE342" s="6">
        <f t="shared" si="42"/>
        <v>0</v>
      </c>
      <c r="AF342" s="6">
        <f t="shared" si="42"/>
        <v>0</v>
      </c>
      <c r="AG342" s="6">
        <f t="shared" si="42"/>
        <v>0</v>
      </c>
      <c r="AH342" s="6">
        <f t="shared" si="42"/>
        <v>0</v>
      </c>
      <c r="AI342" s="6">
        <f t="shared" si="42"/>
        <v>0</v>
      </c>
      <c r="AJ342" s="6">
        <f t="shared" si="42"/>
        <v>0</v>
      </c>
      <c r="AK342" s="6">
        <f t="shared" si="42"/>
        <v>0</v>
      </c>
      <c r="AL342" s="6">
        <f t="shared" si="42"/>
        <v>0</v>
      </c>
      <c r="AM342" s="6">
        <f t="shared" si="42"/>
        <v>0</v>
      </c>
      <c r="AN342" s="6">
        <f t="shared" si="42"/>
        <v>0</v>
      </c>
      <c r="AO342" s="6">
        <f t="shared" si="42"/>
        <v>0</v>
      </c>
      <c r="AP342" s="6">
        <f t="shared" si="42"/>
        <v>0</v>
      </c>
      <c r="AQ342" s="6">
        <f t="shared" si="42"/>
        <v>0</v>
      </c>
      <c r="AR342" s="6">
        <f t="shared" si="42"/>
        <v>0</v>
      </c>
      <c r="AS342" s="6">
        <f t="shared" si="42"/>
        <v>0</v>
      </c>
      <c r="AT342" s="6">
        <f t="shared" si="42"/>
        <v>0</v>
      </c>
      <c r="AU342" s="6">
        <f t="shared" si="42"/>
        <v>0</v>
      </c>
      <c r="AV342" s="6">
        <f t="shared" si="42"/>
        <v>0</v>
      </c>
      <c r="AW342" s="6">
        <f t="shared" si="42"/>
        <v>0</v>
      </c>
      <c r="AX342" s="6">
        <f t="shared" si="42"/>
        <v>0</v>
      </c>
      <c r="AY342" s="6">
        <f t="shared" si="42"/>
        <v>0</v>
      </c>
      <c r="AZ342" s="6">
        <f t="shared" si="42"/>
        <v>0</v>
      </c>
      <c r="BA342" s="6">
        <f t="shared" si="42"/>
        <v>0</v>
      </c>
    </row>
    <row r="343" spans="1:53" outlineLevel="1" x14ac:dyDescent="0.35">
      <c r="A343" s="6" t="s">
        <v>39</v>
      </c>
      <c r="B343" s="6">
        <f t="shared" si="38"/>
        <v>693.55879573755169</v>
      </c>
      <c r="AB343" s="23" t="s">
        <v>125</v>
      </c>
      <c r="AC343" s="17">
        <f t="shared" ref="AC343:BA343" si="43">SUM(AC334:AC342)</f>
        <v>3909.1594680448375</v>
      </c>
      <c r="AD343" s="17">
        <f t="shared" si="43"/>
        <v>865.86699591039007</v>
      </c>
      <c r="AE343" s="17">
        <f t="shared" si="43"/>
        <v>864.20824850187819</v>
      </c>
      <c r="AF343" s="17">
        <f t="shared" si="43"/>
        <v>975.04990684085669</v>
      </c>
      <c r="AG343" s="17">
        <f t="shared" si="43"/>
        <v>857.195971080807</v>
      </c>
      <c r="AH343" s="17">
        <f t="shared" si="43"/>
        <v>855.44228819419061</v>
      </c>
      <c r="AI343" s="17">
        <f t="shared" si="43"/>
        <v>970.40183855088549</v>
      </c>
      <c r="AJ343" s="17">
        <f t="shared" si="43"/>
        <v>853.77912887735192</v>
      </c>
      <c r="AK343" s="17">
        <f t="shared" si="43"/>
        <v>850.56419411265279</v>
      </c>
      <c r="AL343" s="17">
        <f t="shared" si="43"/>
        <v>965.56477285922108</v>
      </c>
      <c r="AM343" s="17">
        <f t="shared" si="43"/>
        <v>849.13008536808854</v>
      </c>
      <c r="AN343" s="17">
        <f t="shared" si="43"/>
        <v>847.18901643500203</v>
      </c>
      <c r="AO343" s="17">
        <f t="shared" si="43"/>
        <v>960.47533063790934</v>
      </c>
      <c r="AP343" s="17">
        <f t="shared" si="43"/>
        <v>842.62687758489767</v>
      </c>
      <c r="AQ343" s="17">
        <f t="shared" si="43"/>
        <v>840.70145480452118</v>
      </c>
      <c r="AR343" s="17">
        <f t="shared" si="43"/>
        <v>952.98963701574883</v>
      </c>
      <c r="AS343" s="17">
        <f t="shared" si="43"/>
        <v>838.18975067967722</v>
      </c>
      <c r="AT343" s="17">
        <f t="shared" si="43"/>
        <v>837.6165927887854</v>
      </c>
      <c r="AU343" s="17">
        <f t="shared" si="43"/>
        <v>949.78686999920035</v>
      </c>
      <c r="AV343" s="17">
        <f t="shared" si="43"/>
        <v>835.85636165446738</v>
      </c>
      <c r="AW343" s="17">
        <f t="shared" si="43"/>
        <v>835.30749391023824</v>
      </c>
      <c r="AX343" s="17">
        <f t="shared" si="43"/>
        <v>946.94973569769979</v>
      </c>
      <c r="AY343" s="17">
        <f t="shared" si="43"/>
        <v>832.89876377209293</v>
      </c>
      <c r="AZ343" s="17">
        <f t="shared" si="43"/>
        <v>831.70109574885953</v>
      </c>
      <c r="BA343" s="17">
        <f t="shared" si="43"/>
        <v>985.57121856437425</v>
      </c>
    </row>
    <row r="344" spans="1:53" outlineLevel="1" x14ac:dyDescent="0.35">
      <c r="A344" s="6" t="s">
        <v>41</v>
      </c>
      <c r="B344" s="6">
        <f t="shared" si="38"/>
        <v>53.610983579825508</v>
      </c>
    </row>
    <row r="345" spans="1:53" outlineLevel="1" x14ac:dyDescent="0.35">
      <c r="A345" s="6" t="s">
        <v>43</v>
      </c>
      <c r="B345" s="6">
        <f t="shared" si="38"/>
        <v>73.167744204374856</v>
      </c>
      <c r="AB345" s="272"/>
      <c r="AC345" s="272"/>
      <c r="AD345" s="272"/>
      <c r="AE345" s="272"/>
      <c r="AF345" s="272"/>
      <c r="AG345" s="272"/>
      <c r="AH345" s="272"/>
      <c r="AI345" s="272"/>
      <c r="AJ345" s="272"/>
      <c r="AK345" s="272"/>
      <c r="AL345" s="272"/>
      <c r="AM345" s="272"/>
      <c r="AN345" s="272"/>
      <c r="AO345" s="272"/>
      <c r="AP345" s="272"/>
      <c r="AQ345" s="272"/>
      <c r="AR345" s="272"/>
      <c r="AS345" s="272"/>
      <c r="AT345" s="272"/>
      <c r="AU345" s="272"/>
      <c r="AV345" s="272"/>
      <c r="AW345" s="272"/>
      <c r="AX345" s="272"/>
      <c r="AY345" s="272"/>
      <c r="AZ345" s="272"/>
      <c r="BA345" s="272"/>
    </row>
    <row r="346" spans="1:53" outlineLevel="1" x14ac:dyDescent="0.35">
      <c r="A346" s="6" t="s">
        <v>44</v>
      </c>
      <c r="B346" s="6">
        <f>B62*AC325</f>
        <v>133.47248236670413</v>
      </c>
      <c r="AB346" s="272"/>
      <c r="AC346" s="272"/>
      <c r="AD346" s="272"/>
      <c r="AE346" s="272"/>
      <c r="AF346" s="272"/>
      <c r="AG346" s="272"/>
      <c r="AH346" s="272"/>
      <c r="AI346" s="272"/>
      <c r="AJ346" s="272"/>
      <c r="AK346" s="272"/>
      <c r="AL346" s="272"/>
      <c r="AM346" s="272"/>
      <c r="AN346" s="272"/>
      <c r="AO346" s="272"/>
      <c r="AP346" s="272"/>
      <c r="AQ346" s="272"/>
      <c r="AR346" s="272"/>
      <c r="AS346" s="272"/>
      <c r="AT346" s="272"/>
      <c r="AU346" s="272"/>
      <c r="AV346" s="272"/>
      <c r="AW346" s="272"/>
      <c r="AX346" s="272"/>
      <c r="AY346" s="272"/>
      <c r="AZ346" s="272"/>
      <c r="BA346" s="272"/>
    </row>
    <row r="347" spans="1:53" outlineLevel="1" x14ac:dyDescent="0.35">
      <c r="A347" s="6" t="s">
        <v>757</v>
      </c>
      <c r="B347" s="6">
        <f>B63*AC325</f>
        <v>46.77440703886257</v>
      </c>
      <c r="AB347" s="272"/>
      <c r="AC347" s="272"/>
      <c r="AD347" s="272"/>
      <c r="AE347" s="272"/>
      <c r="AF347" s="272"/>
      <c r="AG347" s="272"/>
      <c r="AH347" s="272"/>
      <c r="AI347" s="272"/>
      <c r="AJ347" s="272"/>
      <c r="AK347" s="272"/>
      <c r="AL347" s="272"/>
      <c r="AM347" s="272"/>
      <c r="AN347" s="272"/>
      <c r="AO347" s="272"/>
      <c r="AP347" s="272"/>
      <c r="AQ347" s="272"/>
      <c r="AR347" s="272"/>
      <c r="AS347" s="272"/>
      <c r="AT347" s="272"/>
      <c r="AU347" s="272"/>
      <c r="AV347" s="272"/>
      <c r="AW347" s="272"/>
      <c r="AX347" s="272"/>
      <c r="AY347" s="272"/>
      <c r="AZ347" s="272"/>
      <c r="BA347" s="272"/>
    </row>
    <row r="348" spans="1:53" outlineLevel="1" x14ac:dyDescent="0.35">
      <c r="A348" s="6" t="s">
        <v>22</v>
      </c>
      <c r="Z348" s="6">
        <f>Z64</f>
        <v>0.32233715306889849</v>
      </c>
      <c r="AB348" s="272"/>
      <c r="AC348" s="272"/>
      <c r="AD348" s="272"/>
      <c r="AE348" s="272"/>
      <c r="AF348" s="272"/>
      <c r="AG348" s="272"/>
      <c r="AH348" s="272"/>
      <c r="AI348" s="272"/>
      <c r="AJ348" s="272"/>
      <c r="AK348" s="272"/>
      <c r="AL348" s="272"/>
      <c r="AM348" s="272"/>
      <c r="AN348" s="272"/>
      <c r="AO348" s="272"/>
      <c r="AP348" s="272"/>
      <c r="AQ348" s="272"/>
      <c r="AR348" s="272"/>
      <c r="AS348" s="272"/>
      <c r="AT348" s="272"/>
      <c r="AU348" s="272"/>
      <c r="AV348" s="272"/>
      <c r="AW348" s="272"/>
      <c r="AX348" s="272"/>
      <c r="AY348" s="272"/>
      <c r="AZ348" s="272"/>
      <c r="BA348" s="272"/>
    </row>
    <row r="349" spans="1:53" outlineLevel="1" x14ac:dyDescent="0.35">
      <c r="A349" s="6" t="s">
        <v>24</v>
      </c>
      <c r="Z349" s="6">
        <f t="shared" ref="Z349:Z359" si="44">Z65</f>
        <v>0.35838182732894691</v>
      </c>
      <c r="AB349" s="272"/>
      <c r="AC349" s="272"/>
      <c r="AD349" s="272"/>
      <c r="AE349" s="272"/>
      <c r="AF349" s="272"/>
      <c r="AG349" s="272"/>
      <c r="AH349" s="272"/>
      <c r="AI349" s="272"/>
      <c r="AJ349" s="272"/>
      <c r="AK349" s="272"/>
      <c r="AL349" s="272"/>
      <c r="AM349" s="272"/>
      <c r="AN349" s="272"/>
      <c r="AO349" s="272"/>
      <c r="AP349" s="272"/>
      <c r="AQ349" s="272"/>
      <c r="AR349" s="272"/>
      <c r="AS349" s="272"/>
      <c r="AT349" s="272"/>
      <c r="AU349" s="272"/>
      <c r="AV349" s="272"/>
      <c r="AW349" s="272"/>
      <c r="AX349" s="272"/>
      <c r="AY349" s="272"/>
      <c r="AZ349" s="272"/>
      <c r="BA349" s="272"/>
    </row>
    <row r="350" spans="1:53" outlineLevel="1" x14ac:dyDescent="0.35">
      <c r="A350" s="6" t="s">
        <v>25</v>
      </c>
      <c r="Z350" s="6">
        <f t="shared" si="44"/>
        <v>1.6303359130110771</v>
      </c>
      <c r="AB350" s="272"/>
      <c r="AC350" s="272"/>
      <c r="AD350" s="272"/>
      <c r="AE350" s="272"/>
      <c r="AF350" s="272"/>
      <c r="AG350" s="272"/>
      <c r="AH350" s="272"/>
      <c r="AI350" s="272"/>
      <c r="AJ350" s="272"/>
      <c r="AK350" s="272"/>
      <c r="AL350" s="272"/>
      <c r="AM350" s="272"/>
      <c r="AN350" s="272"/>
      <c r="AO350" s="272"/>
      <c r="AP350" s="272"/>
      <c r="AQ350" s="272"/>
      <c r="AR350" s="272"/>
      <c r="AS350" s="272"/>
      <c r="AT350" s="272"/>
      <c r="AU350" s="272"/>
      <c r="AV350" s="272"/>
      <c r="AW350" s="272"/>
      <c r="AX350" s="272"/>
      <c r="AY350" s="272"/>
      <c r="AZ350" s="272"/>
      <c r="BA350" s="272"/>
    </row>
    <row r="351" spans="1:53" outlineLevel="1" x14ac:dyDescent="0.35">
      <c r="A351" s="6" t="s">
        <v>27</v>
      </c>
      <c r="Z351" s="6">
        <f t="shared" si="44"/>
        <v>0.99750299663896524</v>
      </c>
      <c r="AB351" s="272"/>
      <c r="AC351" s="272"/>
      <c r="AD351" s="272"/>
      <c r="AE351" s="272"/>
      <c r="AF351" s="272"/>
      <c r="AG351" s="272"/>
      <c r="AH351" s="272"/>
      <c r="AI351" s="272"/>
      <c r="AJ351" s="272"/>
      <c r="AK351" s="272"/>
      <c r="AL351" s="272"/>
      <c r="AM351" s="272"/>
      <c r="AN351" s="272"/>
      <c r="AO351" s="272"/>
      <c r="AP351" s="272"/>
      <c r="AQ351" s="272"/>
      <c r="AR351" s="272"/>
      <c r="AS351" s="272"/>
      <c r="AT351" s="272"/>
      <c r="AU351" s="272"/>
      <c r="AV351" s="272"/>
      <c r="AW351" s="272"/>
      <c r="AX351" s="272"/>
      <c r="AY351" s="272"/>
      <c r="AZ351" s="272"/>
      <c r="BA351" s="272"/>
    </row>
    <row r="352" spans="1:53" outlineLevel="1" x14ac:dyDescent="0.35">
      <c r="A352" s="6" t="s">
        <v>30</v>
      </c>
      <c r="Z352" s="6">
        <f t="shared" si="44"/>
        <v>0.39549334266602593</v>
      </c>
      <c r="AB352" s="272"/>
      <c r="AC352" s="272"/>
      <c r="AD352" s="272"/>
      <c r="AE352" s="272"/>
      <c r="AF352" s="272"/>
      <c r="AG352" s="272"/>
      <c r="AH352" s="272"/>
      <c r="AI352" s="272"/>
      <c r="AJ352" s="272"/>
      <c r="AK352" s="272"/>
      <c r="AL352" s="272"/>
      <c r="AM352" s="272"/>
      <c r="AN352" s="272"/>
      <c r="AO352" s="272"/>
      <c r="AP352" s="272"/>
      <c r="AQ352" s="272"/>
      <c r="AR352" s="272"/>
      <c r="AS352" s="272"/>
      <c r="AT352" s="272"/>
      <c r="AU352" s="272"/>
      <c r="AV352" s="272"/>
      <c r="AW352" s="272"/>
      <c r="AX352" s="272"/>
      <c r="AY352" s="272"/>
      <c r="AZ352" s="272"/>
      <c r="BA352" s="272"/>
    </row>
    <row r="353" spans="1:53" outlineLevel="1" x14ac:dyDescent="0.35">
      <c r="A353" s="6" t="s">
        <v>32</v>
      </c>
      <c r="Z353" s="6">
        <f t="shared" si="44"/>
        <v>0.17713632900602139</v>
      </c>
      <c r="AB353" s="272"/>
      <c r="AC353" s="272"/>
      <c r="AD353" s="272"/>
      <c r="AE353" s="272"/>
      <c r="AF353" s="272"/>
      <c r="AG353" s="272"/>
      <c r="AH353" s="272"/>
      <c r="AI353" s="272"/>
      <c r="AJ353" s="272"/>
      <c r="AK353" s="272"/>
      <c r="AL353" s="272"/>
      <c r="AM353" s="272"/>
      <c r="AN353" s="272"/>
      <c r="AO353" s="272"/>
      <c r="AP353" s="272"/>
      <c r="AQ353" s="272"/>
      <c r="AR353" s="272"/>
      <c r="AS353" s="272"/>
      <c r="AT353" s="272"/>
      <c r="AU353" s="272"/>
      <c r="AV353" s="272"/>
      <c r="AW353" s="272"/>
      <c r="AX353" s="272"/>
      <c r="AY353" s="272"/>
      <c r="AZ353" s="272"/>
      <c r="BA353" s="272"/>
    </row>
    <row r="354" spans="1:53" outlineLevel="1" x14ac:dyDescent="0.35">
      <c r="A354" s="6" t="s">
        <v>33</v>
      </c>
      <c r="Z354" s="6">
        <f t="shared" si="44"/>
        <v>0.1021911347554563</v>
      </c>
      <c r="AB354" s="272"/>
      <c r="AC354" s="272"/>
      <c r="AD354" s="272"/>
      <c r="AE354" s="272"/>
      <c r="AF354" s="272"/>
      <c r="AG354" s="272"/>
      <c r="AH354" s="272"/>
      <c r="AI354" s="272"/>
      <c r="AJ354" s="272"/>
      <c r="AK354" s="272"/>
      <c r="AL354" s="272"/>
      <c r="AM354" s="272"/>
      <c r="AN354" s="272"/>
      <c r="AO354" s="272"/>
      <c r="AP354" s="272"/>
      <c r="AQ354" s="272"/>
      <c r="AR354" s="272"/>
      <c r="AS354" s="272"/>
      <c r="AT354" s="272"/>
      <c r="AU354" s="272"/>
      <c r="AV354" s="272"/>
      <c r="AW354" s="272"/>
      <c r="AX354" s="272"/>
      <c r="AY354" s="272"/>
      <c r="AZ354" s="272"/>
      <c r="BA354" s="272"/>
    </row>
    <row r="355" spans="1:53" outlineLevel="1" x14ac:dyDescent="0.35">
      <c r="A355" s="6" t="s">
        <v>35</v>
      </c>
      <c r="Z355" s="6">
        <f t="shared" si="44"/>
        <v>0.20438226951091251</v>
      </c>
      <c r="AB355" s="272"/>
      <c r="AC355" s="272"/>
      <c r="AD355" s="272"/>
      <c r="AE355" s="272"/>
      <c r="AF355" s="272"/>
      <c r="AG355" s="272"/>
      <c r="AH355" s="272"/>
      <c r="AI355" s="272"/>
      <c r="AJ355" s="272"/>
      <c r="AK355" s="272"/>
      <c r="AL355" s="272"/>
      <c r="AM355" s="272"/>
      <c r="AN355" s="272"/>
      <c r="AO355" s="272"/>
      <c r="AP355" s="272"/>
      <c r="AQ355" s="272"/>
      <c r="AR355" s="272"/>
      <c r="AS355" s="272"/>
      <c r="AT355" s="272"/>
      <c r="AU355" s="272"/>
      <c r="AV355" s="272"/>
      <c r="AW355" s="272"/>
      <c r="AX355" s="272"/>
      <c r="AY355" s="272"/>
      <c r="AZ355" s="272"/>
      <c r="BA355" s="272"/>
    </row>
    <row r="356" spans="1:53" outlineLevel="1" x14ac:dyDescent="0.35">
      <c r="A356" s="6" t="s">
        <v>37</v>
      </c>
      <c r="Z356" s="6">
        <f t="shared" si="44"/>
        <v>3.0230501723671872</v>
      </c>
      <c r="AB356" s="272"/>
      <c r="AC356" s="272"/>
      <c r="AD356" s="272"/>
      <c r="AE356" s="272"/>
      <c r="AF356" s="272"/>
      <c r="AG356" s="272"/>
      <c r="AH356" s="272"/>
      <c r="AI356" s="272"/>
      <c r="AJ356" s="272"/>
      <c r="AK356" s="272"/>
      <c r="AL356" s="272"/>
      <c r="AM356" s="272"/>
      <c r="AN356" s="272"/>
      <c r="AO356" s="272"/>
      <c r="AP356" s="272"/>
      <c r="AQ356" s="272"/>
      <c r="AR356" s="272"/>
      <c r="AS356" s="272"/>
      <c r="AT356" s="272"/>
      <c r="AU356" s="272"/>
      <c r="AV356" s="272"/>
      <c r="AW356" s="272"/>
      <c r="AX356" s="272"/>
      <c r="AY356" s="272"/>
      <c r="AZ356" s="272"/>
      <c r="BA356" s="272"/>
    </row>
    <row r="357" spans="1:53" outlineLevel="1" x14ac:dyDescent="0.35">
      <c r="A357" s="6" t="s">
        <v>40</v>
      </c>
      <c r="Z357" s="6">
        <f t="shared" si="44"/>
        <v>1.399154055783115</v>
      </c>
    </row>
    <row r="358" spans="1:53" outlineLevel="1" x14ac:dyDescent="0.35">
      <c r="A358" s="6" t="s">
        <v>42</v>
      </c>
      <c r="Z358" s="6">
        <f t="shared" si="44"/>
        <v>3.7454886419278992</v>
      </c>
    </row>
    <row r="359" spans="1:53" outlineLevel="1" x14ac:dyDescent="0.35">
      <c r="A359" s="6" t="s">
        <v>115</v>
      </c>
      <c r="Z359" s="6">
        <f t="shared" si="44"/>
        <v>29.43867185674495</v>
      </c>
    </row>
    <row r="360" spans="1:53" outlineLevel="1" x14ac:dyDescent="0.35">
      <c r="A360" s="6" t="s">
        <v>45</v>
      </c>
      <c r="Z360" s="6">
        <f>Z76*AC325</f>
        <v>0.64814302489144726</v>
      </c>
    </row>
    <row r="361" spans="1:53" outlineLevel="1" x14ac:dyDescent="0.35">
      <c r="A361" s="6" t="s">
        <v>116</v>
      </c>
      <c r="B361" s="6">
        <f>B77</f>
        <v>117.4164153447413</v>
      </c>
      <c r="C361" s="6">
        <f t="shared" ref="C361:Z361" si="45">C77</f>
        <v>117.22450567272359</v>
      </c>
      <c r="D361" s="6">
        <f t="shared" si="45"/>
        <v>117.0302875893984</v>
      </c>
      <c r="E361" s="6">
        <f t="shared" si="45"/>
        <v>116.14482404943</v>
      </c>
      <c r="F361" s="6">
        <f t="shared" si="45"/>
        <v>115.9485520514929</v>
      </c>
      <c r="G361" s="6">
        <f t="shared" si="45"/>
        <v>115.7497578563647</v>
      </c>
      <c r="H361" s="6">
        <f t="shared" si="45"/>
        <v>115.85431461269189</v>
      </c>
      <c r="I361" s="6">
        <f t="shared" si="45"/>
        <v>115.9586781641881</v>
      </c>
      <c r="J361" s="6">
        <f t="shared" si="45"/>
        <v>115.5987692292539</v>
      </c>
      <c r="K361" s="6">
        <f t="shared" si="45"/>
        <v>115.7060268138878</v>
      </c>
      <c r="L361" s="6">
        <f t="shared" si="45"/>
        <v>115.8115094107404</v>
      </c>
      <c r="M361" s="6">
        <f t="shared" si="45"/>
        <v>115.5173498619511</v>
      </c>
      <c r="N361" s="6">
        <f t="shared" si="45"/>
        <v>115.22430296168601</v>
      </c>
      <c r="O361" s="6">
        <f t="shared" si="45"/>
        <v>114.7936526068347</v>
      </c>
      <c r="P361" s="6">
        <f t="shared" si="45"/>
        <v>114.5052775721217</v>
      </c>
      <c r="Q361" s="6">
        <f t="shared" si="45"/>
        <v>114.21787004973891</v>
      </c>
      <c r="R361" s="6">
        <f t="shared" si="45"/>
        <v>113.9841517876385</v>
      </c>
      <c r="S361" s="6">
        <f t="shared" si="45"/>
        <v>113.7508966638362</v>
      </c>
      <c r="T361" s="6">
        <f t="shared" si="45"/>
        <v>113.3881732416237</v>
      </c>
      <c r="U361" s="6">
        <f t="shared" si="45"/>
        <v>113.15789542976781</v>
      </c>
      <c r="V361" s="6">
        <f t="shared" si="45"/>
        <v>112.9279936934194</v>
      </c>
      <c r="W361" s="6">
        <f t="shared" si="45"/>
        <v>112.8508899058024</v>
      </c>
      <c r="X361" s="6">
        <f t="shared" si="45"/>
        <v>112.7745546080785</v>
      </c>
      <c r="Y361" s="6">
        <f t="shared" si="45"/>
        <v>112.6987835438154</v>
      </c>
      <c r="Z361" s="6">
        <f t="shared" si="45"/>
        <v>112.6235531268987</v>
      </c>
    </row>
    <row r="362" spans="1:53" outlineLevel="1" x14ac:dyDescent="0.35">
      <c r="A362" s="6" t="s">
        <v>758</v>
      </c>
      <c r="B362" s="6">
        <f>B78*$AC$325</f>
        <v>95.404159630846095</v>
      </c>
      <c r="C362" s="6">
        <f t="shared" ref="C362:Z363" si="46">C78*$AC$325</f>
        <v>94.527795374518647</v>
      </c>
      <c r="D362" s="6">
        <f t="shared" si="46"/>
        <v>93.65461184761395</v>
      </c>
      <c r="E362" s="6">
        <f t="shared" si="46"/>
        <v>92.584968070262846</v>
      </c>
      <c r="F362" s="6">
        <f t="shared" si="46"/>
        <v>91.719022805358648</v>
      </c>
      <c r="G362" s="6">
        <f t="shared" si="46"/>
        <v>90.856070814013847</v>
      </c>
      <c r="H362" s="6">
        <f t="shared" si="46"/>
        <v>90.587799563843703</v>
      </c>
      <c r="I362" s="6">
        <f t="shared" si="46"/>
        <v>90.315097882824304</v>
      </c>
      <c r="J362" s="6">
        <f t="shared" si="46"/>
        <v>89.867408513980791</v>
      </c>
      <c r="K362" s="6">
        <f t="shared" si="46"/>
        <v>89.57941530193645</v>
      </c>
      <c r="L362" s="6">
        <f t="shared" si="46"/>
        <v>89.284451455591253</v>
      </c>
      <c r="M362" s="6">
        <f t="shared" si="46"/>
        <v>88.704471017950951</v>
      </c>
      <c r="N362" s="6">
        <f t="shared" si="46"/>
        <v>88.114804516630855</v>
      </c>
      <c r="O362" s="6">
        <f t="shared" si="46"/>
        <v>87.474845125124901</v>
      </c>
      <c r="P362" s="6">
        <f t="shared" si="46"/>
        <v>86.866408273115141</v>
      </c>
      <c r="Q362" s="6">
        <f t="shared" si="46"/>
        <v>86.24841326660875</v>
      </c>
      <c r="R362" s="6">
        <f t="shared" si="46"/>
        <v>86.875291789630154</v>
      </c>
      <c r="S362" s="6">
        <f t="shared" si="46"/>
        <v>87.495331542409204</v>
      </c>
      <c r="T362" s="6">
        <f t="shared" si="46"/>
        <v>88.068806360161105</v>
      </c>
      <c r="U362" s="6">
        <f t="shared" si="46"/>
        <v>88.675387304600349</v>
      </c>
      <c r="V362" s="6">
        <f t="shared" si="46"/>
        <v>89.275236190348153</v>
      </c>
      <c r="W362" s="6">
        <f t="shared" si="46"/>
        <v>88.344007862698604</v>
      </c>
      <c r="X362" s="6">
        <f t="shared" si="46"/>
        <v>87.417229728806049</v>
      </c>
      <c r="Y362" s="6">
        <f t="shared" si="46"/>
        <v>86.489648060690712</v>
      </c>
      <c r="Z362" s="6">
        <f t="shared" si="46"/>
        <v>85.561111240698651</v>
      </c>
    </row>
    <row r="363" spans="1:53" outlineLevel="1" x14ac:dyDescent="0.35">
      <c r="A363" s="6" t="s">
        <v>759</v>
      </c>
      <c r="B363" s="6">
        <f>B79*$AC$325</f>
        <v>0</v>
      </c>
      <c r="C363" s="6">
        <f t="shared" si="46"/>
        <v>0</v>
      </c>
      <c r="D363" s="6">
        <f t="shared" si="46"/>
        <v>0</v>
      </c>
      <c r="E363" s="6">
        <f t="shared" si="46"/>
        <v>0</v>
      </c>
      <c r="F363" s="6">
        <f t="shared" si="46"/>
        <v>0</v>
      </c>
      <c r="G363" s="6">
        <f t="shared" si="46"/>
        <v>0</v>
      </c>
      <c r="H363" s="6">
        <f t="shared" si="46"/>
        <v>0</v>
      </c>
      <c r="I363" s="6">
        <f t="shared" si="46"/>
        <v>0</v>
      </c>
      <c r="J363" s="6">
        <f t="shared" si="46"/>
        <v>0</v>
      </c>
      <c r="K363" s="6">
        <f t="shared" si="46"/>
        <v>0</v>
      </c>
      <c r="L363" s="6">
        <f t="shared" si="46"/>
        <v>0</v>
      </c>
      <c r="M363" s="6">
        <f t="shared" si="46"/>
        <v>0</v>
      </c>
      <c r="N363" s="6">
        <f t="shared" si="46"/>
        <v>0</v>
      </c>
      <c r="O363" s="6">
        <f t="shared" si="46"/>
        <v>0</v>
      </c>
      <c r="P363" s="6">
        <f t="shared" si="46"/>
        <v>0</v>
      </c>
      <c r="Q363" s="6">
        <f t="shared" si="46"/>
        <v>0</v>
      </c>
      <c r="R363" s="6">
        <f t="shared" si="46"/>
        <v>0</v>
      </c>
      <c r="S363" s="6">
        <f t="shared" si="46"/>
        <v>0</v>
      </c>
      <c r="T363" s="6">
        <f t="shared" si="46"/>
        <v>0</v>
      </c>
      <c r="U363" s="6">
        <f t="shared" si="46"/>
        <v>0</v>
      </c>
      <c r="V363" s="6">
        <f t="shared" si="46"/>
        <v>0</v>
      </c>
      <c r="W363" s="6">
        <f t="shared" si="46"/>
        <v>0</v>
      </c>
      <c r="X363" s="6">
        <f t="shared" si="46"/>
        <v>0</v>
      </c>
      <c r="Y363" s="6">
        <f t="shared" si="46"/>
        <v>0</v>
      </c>
      <c r="Z363" s="6">
        <f t="shared" si="46"/>
        <v>0</v>
      </c>
    </row>
    <row r="364" spans="1:53" outlineLevel="1" x14ac:dyDescent="0.35">
      <c r="A364" s="6" t="s">
        <v>760</v>
      </c>
      <c r="B364" s="6">
        <f>$B$252*50*'Results - raw data ReCiPe (H)'!BC121/(1-$AC$330)*(1+'Results ReCiPe (H) - HHD'!$AC$271/'Results ReCiPe (H) - HHD'!$AC$272-'Results ReCiPe (H) - HHD'!$AC$271)</f>
        <v>354.4648899632698</v>
      </c>
      <c r="C364" s="6">
        <f>$B$252*50*'Results - raw data ReCiPe (H)'!BD121/(1-$AC$330)*(1+'Results ReCiPe (H) - HHD'!$AC$271/'Results ReCiPe (H) - HHD'!$AC$272-'Results ReCiPe (H) - HHD'!$AC$271)</f>
        <v>353.71478819889768</v>
      </c>
      <c r="D364" s="6">
        <f>$B$252*50*'Results - raw data ReCiPe (H)'!BE121/(1-$AC$330)*(1+'Results ReCiPe (H) - HHD'!$AC$271/'Results ReCiPe (H) - HHD'!$AC$272-'Results ReCiPe (H) - HHD'!$AC$271)</f>
        <v>352.92922431729039</v>
      </c>
      <c r="E364" s="6">
        <f>$B$252*50*'Results - raw data ReCiPe (H)'!BF121/(1-$AC$330)*(1+'Results ReCiPe (H) - HHD'!$AC$271/'Results ReCiPe (H) - HHD'!$AC$272-'Results ReCiPe (H) - HHD'!$AC$271)</f>
        <v>348.6957023841901</v>
      </c>
      <c r="F364" s="6">
        <f>$B$252*50*'Results - raw data ReCiPe (H)'!BG121/(1-$AC$330)*(1+'Results ReCiPe (H) - HHD'!$AC$271/'Results ReCiPe (H) - HHD'!$AC$272-'Results ReCiPe (H) - HHD'!$AC$271)</f>
        <v>347.85253593847449</v>
      </c>
      <c r="G364" s="6">
        <f>$B$252*50*'Results - raw data ReCiPe (H)'!BH121/(1-$AC$330)*(1+'Results ReCiPe (H) - HHD'!$AC$271/'Results ReCiPe (H) - HHD'!$AC$272-'Results ReCiPe (H) - HHD'!$AC$271)</f>
        <v>346.96180504320296</v>
      </c>
      <c r="H364" s="6">
        <f>$B$252*50*'Results - raw data ReCiPe (H)'!BI121/(1-$AC$330)*(1+'Results ReCiPe (H) - HHD'!$AC$271/'Results ReCiPe (H) - HHD'!$AC$272-'Results ReCiPe (H) - HHD'!$AC$271)</f>
        <v>346.33531203737613</v>
      </c>
      <c r="I364" s="6">
        <f>$B$252*50*'Results - raw data ReCiPe (H)'!BJ121/(1-$AC$330)*(1+'Results ReCiPe (H) - HHD'!$AC$271/'Results ReCiPe (H) - HHD'!$AC$272-'Results ReCiPe (H) - HHD'!$AC$271)</f>
        <v>345.83961865755384</v>
      </c>
      <c r="J364" s="6">
        <f>$B$252*50*'Results - raw data ReCiPe (H)'!BK121/(1-$AC$330)*(1+'Results ReCiPe (H) - HHD'!$AC$271/'Results ReCiPe (H) - HHD'!$AC$272-'Results ReCiPe (H) - HHD'!$AC$271)</f>
        <v>343.07237326169815</v>
      </c>
      <c r="K364" s="6">
        <f>$B$252*50*'Results - raw data ReCiPe (H)'!BL121/(1-$AC$330)*(1+'Results ReCiPe (H) - HHD'!$AC$271/'Results ReCiPe (H) - HHD'!$AC$272-'Results ReCiPe (H) - HHD'!$AC$271)</f>
        <v>342.65491840642301</v>
      </c>
      <c r="L364" s="6">
        <f>$B$252*50*'Results - raw data ReCiPe (H)'!BM121/(1-$AC$330)*(1+'Results ReCiPe (H) - HHD'!$AC$271/'Results ReCiPe (H) - HHD'!$AC$272-'Results ReCiPe (H) - HHD'!$AC$271)</f>
        <v>342.22122157552343</v>
      </c>
      <c r="M364" s="6">
        <f>$B$252*50*'Results - raw data ReCiPe (H)'!BN121/(1-$AC$330)*(1+'Results ReCiPe (H) - HHD'!$AC$271/'Results ReCiPe (H) - HHD'!$AC$272-'Results ReCiPe (H) - HHD'!$AC$271)</f>
        <v>340.86013308007722</v>
      </c>
      <c r="N364" s="6">
        <f>$B$252*50*'Results - raw data ReCiPe (H)'!BO121/(1-$AC$330)*(1+'Results ReCiPe (H) - HHD'!$AC$271/'Results ReCiPe (H) - HHD'!$AC$272-'Results ReCiPe (H) - HHD'!$AC$271)</f>
        <v>339.5118108226186</v>
      </c>
      <c r="O364" s="6">
        <f>$B$252*50*'Results - raw data ReCiPe (H)'!BP121/(1-$AC$330)*(1+'Results ReCiPe (H) - HHD'!$AC$271/'Results ReCiPe (H) - HHD'!$AC$272-'Results ReCiPe (H) - HHD'!$AC$271)</f>
        <v>337.52762012279896</v>
      </c>
      <c r="P364" s="6">
        <f>$B$252*50*'Results - raw data ReCiPe (H)'!BQ121/(1-$AC$330)*(1+'Results ReCiPe (H) - HHD'!$AC$271/'Results ReCiPe (H) - HHD'!$AC$272-'Results ReCiPe (H) - HHD'!$AC$271)</f>
        <v>336.2106341944322</v>
      </c>
      <c r="Q364" s="6">
        <f>$B$252*50*'Results - raw data ReCiPe (H)'!BR121/(1-$AC$330)*(1+'Results ReCiPe (H) - HHD'!$AC$271/'Results ReCiPe (H) - HHD'!$AC$272-'Results ReCiPe (H) - HHD'!$AC$271)</f>
        <v>334.89894136242748</v>
      </c>
      <c r="R364" s="6">
        <f>$B$252*50*'Results - raw data ReCiPe (H)'!BS121/(1-$AC$330)*(1+'Results ReCiPe (H) - HHD'!$AC$271/'Results ReCiPe (H) - HHD'!$AC$272-'Results ReCiPe (H) - HHD'!$AC$271)</f>
        <v>333.69004655307322</v>
      </c>
      <c r="S364" s="6">
        <f>$B$252*50*'Results - raw data ReCiPe (H)'!BT121/(1-$AC$330)*(1+'Results ReCiPe (H) - HHD'!$AC$271/'Results ReCiPe (H) - HHD'!$AC$272-'Results ReCiPe (H) - HHD'!$AC$271)</f>
        <v>332.49684890940244</v>
      </c>
      <c r="T364" s="6">
        <f>$B$252*50*'Results - raw data ReCiPe (H)'!BU121/(1-$AC$330)*(1+'Results ReCiPe (H) - HHD'!$AC$271/'Results ReCiPe (H) - HHD'!$AC$272-'Results ReCiPe (H) - HHD'!$AC$271)</f>
        <v>330.70547806044175</v>
      </c>
      <c r="U364" s="6">
        <f>$B$252*50*'Results - raw data ReCiPe (H)'!BV121/(1-$AC$330)*(1+'Results ReCiPe (H) - HHD'!$AC$271/'Results ReCiPe (H) - HHD'!$AC$272-'Results ReCiPe (H) - HHD'!$AC$271)</f>
        <v>329.55656201289327</v>
      </c>
      <c r="V364" s="6">
        <f>$B$252*50*'Results - raw data ReCiPe (H)'!BW121/(1-$AC$330)*(1+'Results ReCiPe (H) - HHD'!$AC$271/'Results ReCiPe (H) - HHD'!$AC$272-'Results ReCiPe (H) - HHD'!$AC$271)</f>
        <v>328.40784538291626</v>
      </c>
      <c r="W364" s="6">
        <f>$B$252*50*'Results - raw data ReCiPe (H)'!BX121/(1-$AC$330)*(1+'Results ReCiPe (H) - HHD'!$AC$271/'Results ReCiPe (H) - HHD'!$AC$272-'Results ReCiPe (H) - HHD'!$AC$271)</f>
        <v>328.13042559222492</v>
      </c>
      <c r="X364" s="6">
        <f>$B$252*50*'Results - raw data ReCiPe (H)'!BY121/(1-$AC$330)*(1+'Results ReCiPe (H) - HHD'!$AC$271/'Results ReCiPe (H) - HHD'!$AC$272-'Results ReCiPe (H) - HHD'!$AC$271)</f>
        <v>327.85712170631302</v>
      </c>
      <c r="Y364" s="6">
        <f>$B$252*50*'Results - raw data ReCiPe (H)'!BZ121/(1-$AC$330)*(1+'Results ReCiPe (H) - HHD'!$AC$271/'Results ReCiPe (H) - HHD'!$AC$272-'Results ReCiPe (H) - HHD'!$AC$271)</f>
        <v>327.58703535119508</v>
      </c>
      <c r="Z364" s="6">
        <f>$B$252*50*'Results - raw data ReCiPe (H)'!CA121/(1-$AC$330)*(1+'Results ReCiPe (H) - HHD'!$AC$271/'Results ReCiPe (H) - HHD'!$AC$272-'Results ReCiPe (H) - HHD'!$AC$271)</f>
        <v>327.31987314210204</v>
      </c>
    </row>
    <row r="365" spans="1:53" outlineLevel="1" x14ac:dyDescent="0.35">
      <c r="A365" s="6" t="s">
        <v>797</v>
      </c>
      <c r="B365" s="6">
        <f>$B$320*$AC$324</f>
        <v>417.62441233697382</v>
      </c>
      <c r="C365" s="6">
        <f t="shared" ref="C365:Z365" si="47">$B$320*$AC$324</f>
        <v>417.62441233697382</v>
      </c>
      <c r="D365" s="6">
        <f t="shared" si="47"/>
        <v>417.62441233697382</v>
      </c>
      <c r="E365" s="6">
        <f t="shared" si="47"/>
        <v>417.62441233697382</v>
      </c>
      <c r="F365" s="6">
        <f t="shared" si="47"/>
        <v>417.62441233697382</v>
      </c>
      <c r="G365" s="6">
        <f t="shared" si="47"/>
        <v>417.62441233697382</v>
      </c>
      <c r="H365" s="6">
        <f t="shared" si="47"/>
        <v>417.62441233697382</v>
      </c>
      <c r="I365" s="6">
        <f t="shared" si="47"/>
        <v>417.62441233697382</v>
      </c>
      <c r="J365" s="6">
        <f t="shared" si="47"/>
        <v>417.62441233697382</v>
      </c>
      <c r="K365" s="6">
        <f t="shared" si="47"/>
        <v>417.62441233697382</v>
      </c>
      <c r="L365" s="6">
        <f t="shared" si="47"/>
        <v>417.62441233697382</v>
      </c>
      <c r="M365" s="6">
        <f t="shared" si="47"/>
        <v>417.62441233697382</v>
      </c>
      <c r="N365" s="6">
        <f t="shared" si="47"/>
        <v>417.62441233697382</v>
      </c>
      <c r="O365" s="6">
        <f t="shared" si="47"/>
        <v>417.62441233697382</v>
      </c>
      <c r="P365" s="6">
        <f t="shared" si="47"/>
        <v>417.62441233697382</v>
      </c>
      <c r="Q365" s="6">
        <f t="shared" si="47"/>
        <v>417.62441233697382</v>
      </c>
      <c r="R365" s="6">
        <f t="shared" si="47"/>
        <v>417.62441233697382</v>
      </c>
      <c r="S365" s="6">
        <f t="shared" si="47"/>
        <v>417.62441233697382</v>
      </c>
      <c r="T365" s="6">
        <f t="shared" si="47"/>
        <v>417.62441233697382</v>
      </c>
      <c r="U365" s="6">
        <f t="shared" si="47"/>
        <v>417.62441233697382</v>
      </c>
      <c r="V365" s="6">
        <f t="shared" si="47"/>
        <v>417.62441233697382</v>
      </c>
      <c r="W365" s="6">
        <f t="shared" si="47"/>
        <v>417.62441233697382</v>
      </c>
      <c r="X365" s="6">
        <f t="shared" si="47"/>
        <v>417.62441233697382</v>
      </c>
      <c r="Y365" s="6">
        <f t="shared" si="47"/>
        <v>417.62441233697382</v>
      </c>
      <c r="Z365" s="6">
        <f t="shared" si="47"/>
        <v>417.62441233697382</v>
      </c>
    </row>
    <row r="366" spans="1:53" outlineLevel="1" x14ac:dyDescent="0.35">
      <c r="A366" s="23" t="s">
        <v>125</v>
      </c>
      <c r="B366" s="17">
        <f>SUM(B334:B364)</f>
        <v>3491.5350557078636</v>
      </c>
      <c r="C366" s="17">
        <f t="shared" ref="C366:Z366" si="48">SUM(C334:C364)</f>
        <v>565.46708924613995</v>
      </c>
      <c r="D366" s="17">
        <f t="shared" si="48"/>
        <v>563.61412375430268</v>
      </c>
      <c r="E366" s="17">
        <f t="shared" si="48"/>
        <v>557.42549450388287</v>
      </c>
      <c r="F366" s="17">
        <f t="shared" si="48"/>
        <v>555.52011079532599</v>
      </c>
      <c r="G366" s="17">
        <f t="shared" si="48"/>
        <v>553.56763371358147</v>
      </c>
      <c r="H366" s="17">
        <f t="shared" si="48"/>
        <v>552.77742621391167</v>
      </c>
      <c r="I366" s="17">
        <f t="shared" si="48"/>
        <v>552.11339470456619</v>
      </c>
      <c r="J366" s="17">
        <f t="shared" si="48"/>
        <v>548.53855100493286</v>
      </c>
      <c r="K366" s="17">
        <f t="shared" si="48"/>
        <v>547.94036052224726</v>
      </c>
      <c r="L366" s="17">
        <f t="shared" si="48"/>
        <v>547.31718244185504</v>
      </c>
      <c r="M366" s="17">
        <f t="shared" si="48"/>
        <v>545.08195395997927</v>
      </c>
      <c r="N366" s="17">
        <f t="shared" si="48"/>
        <v>542.85091830093552</v>
      </c>
      <c r="O366" s="17">
        <f t="shared" si="48"/>
        <v>539.79611785475856</v>
      </c>
      <c r="P366" s="17">
        <f t="shared" si="48"/>
        <v>537.58232003966907</v>
      </c>
      <c r="Q366" s="17">
        <f t="shared" si="48"/>
        <v>535.36522467877512</v>
      </c>
      <c r="R366" s="17">
        <f t="shared" si="48"/>
        <v>534.54949013034184</v>
      </c>
      <c r="S366" s="17">
        <f t="shared" si="48"/>
        <v>533.74307711564779</v>
      </c>
      <c r="T366" s="17">
        <f t="shared" si="48"/>
        <v>532.16245766222653</v>
      </c>
      <c r="U366" s="17">
        <f t="shared" si="48"/>
        <v>531.38984474726135</v>
      </c>
      <c r="V366" s="17">
        <f t="shared" si="48"/>
        <v>530.61107526668388</v>
      </c>
      <c r="W366" s="17">
        <f t="shared" si="48"/>
        <v>529.32532336072586</v>
      </c>
      <c r="X366" s="17">
        <f t="shared" si="48"/>
        <v>528.04890604319758</v>
      </c>
      <c r="Y366" s="17">
        <f t="shared" si="48"/>
        <v>526.77546695570118</v>
      </c>
      <c r="Z366" s="17">
        <f t="shared" si="48"/>
        <v>567.94680622740032</v>
      </c>
    </row>
    <row r="367" spans="1:53" outlineLevel="1" x14ac:dyDescent="0.35"/>
    <row r="368" spans="1:53" s="18" customFormat="1" ht="21" x14ac:dyDescent="0.5">
      <c r="A368" s="18" t="s">
        <v>94</v>
      </c>
    </row>
    <row r="369" spans="1:31" s="20" customFormat="1" outlineLevel="1" x14ac:dyDescent="0.35">
      <c r="A369" s="19" t="s">
        <v>788</v>
      </c>
    </row>
    <row r="370" spans="1:31" s="20" customFormat="1" outlineLevel="1" x14ac:dyDescent="0.35">
      <c r="A370" s="273" t="s">
        <v>775</v>
      </c>
      <c r="B370" s="20">
        <v>1</v>
      </c>
      <c r="C370" s="274" t="s">
        <v>787</v>
      </c>
    </row>
    <row r="371" spans="1:31" s="20" customFormat="1" outlineLevel="1" x14ac:dyDescent="0.35">
      <c r="A371" s="273" t="s">
        <v>781</v>
      </c>
      <c r="B371" s="20">
        <v>100000</v>
      </c>
      <c r="C371" s="20" t="s">
        <v>782</v>
      </c>
      <c r="E371" s="274"/>
    </row>
    <row r="372" spans="1:31" s="20" customFormat="1" outlineLevel="1" x14ac:dyDescent="0.35">
      <c r="A372" s="273" t="s">
        <v>783</v>
      </c>
      <c r="B372" s="20">
        <v>1500</v>
      </c>
      <c r="C372" s="20" t="s">
        <v>592</v>
      </c>
    </row>
    <row r="373" spans="1:31" s="20" customFormat="1" outlineLevel="1" x14ac:dyDescent="0.35">
      <c r="A373" s="273" t="s">
        <v>784</v>
      </c>
      <c r="B373" s="20">
        <v>8760</v>
      </c>
      <c r="C373" s="20" t="s">
        <v>785</v>
      </c>
    </row>
    <row r="374" spans="1:31" s="20" customFormat="1" outlineLevel="1" x14ac:dyDescent="0.35">
      <c r="A374" s="273"/>
    </row>
    <row r="375" spans="1:31" s="20" customFormat="1" outlineLevel="1" x14ac:dyDescent="0.35">
      <c r="A375" s="275" t="s">
        <v>786</v>
      </c>
      <c r="B375" s="275">
        <f>(B371*B372)/(B373*B370)</f>
        <v>17123.287671232876</v>
      </c>
      <c r="C375" s="275" t="s">
        <v>749</v>
      </c>
    </row>
    <row r="376" spans="1:31" s="20" customFormat="1" outlineLevel="1" x14ac:dyDescent="0.35">
      <c r="A376" s="19"/>
    </row>
    <row r="377" spans="1:31" s="20" customFormat="1" outlineLevel="1" x14ac:dyDescent="0.35">
      <c r="A377" s="19" t="s">
        <v>793</v>
      </c>
    </row>
    <row r="378" spans="1:31" s="20" customFormat="1" outlineLevel="1" x14ac:dyDescent="0.35">
      <c r="A378" s="273" t="s">
        <v>789</v>
      </c>
      <c r="B378" s="20">
        <f>SUM('Results - raw data ReCiPe (H)'!BC156:BC157)+'Results - raw data ReCiPe (H)'!BC160+SUM('Results - raw data ReCiPe (H)'!BC158:BC159)*AC387</f>
        <v>76.138875957866304</v>
      </c>
      <c r="C378" s="20" t="s">
        <v>902</v>
      </c>
    </row>
    <row r="379" spans="1:31" s="20" customFormat="1" outlineLevel="1" x14ac:dyDescent="0.35">
      <c r="A379" s="20" t="s">
        <v>792</v>
      </c>
      <c r="B379" s="20">
        <f>B371*AC385</f>
        <v>50000</v>
      </c>
      <c r="C379" s="274" t="s">
        <v>795</v>
      </c>
    </row>
    <row r="380" spans="1:31" s="20" customFormat="1" outlineLevel="1" x14ac:dyDescent="0.35">
      <c r="A380" s="20" t="s">
        <v>791</v>
      </c>
      <c r="B380" s="20">
        <f>(B378*AC387*B375)/(B379*AC386)*(AC386/AC388)</f>
        <v>7.8224872559451688</v>
      </c>
      <c r="C380" s="20" t="s">
        <v>903</v>
      </c>
      <c r="E380" s="274" t="s">
        <v>796</v>
      </c>
    </row>
    <row r="381" spans="1:31" s="20" customFormat="1" outlineLevel="1" x14ac:dyDescent="0.35">
      <c r="A381" s="19"/>
    </row>
    <row r="382" spans="1:31" s="16" customFormat="1" outlineLevel="1" x14ac:dyDescent="0.35">
      <c r="A382" s="21"/>
      <c r="AE382" s="15"/>
    </row>
    <row r="383" spans="1:31" s="16" customFormat="1" outlineLevel="1" x14ac:dyDescent="0.35">
      <c r="A383" s="22" t="s">
        <v>761</v>
      </c>
    </row>
    <row r="384" spans="1:31" s="16" customFormat="1" outlineLevel="1" x14ac:dyDescent="0.35">
      <c r="A384" s="22"/>
      <c r="AB384" s="16" t="s">
        <v>127</v>
      </c>
      <c r="AC384" s="16">
        <f>100*AC385</f>
        <v>50</v>
      </c>
      <c r="AD384" s="16" t="s">
        <v>128</v>
      </c>
    </row>
    <row r="385" spans="1:53" s="16" customFormat="1" outlineLevel="1" x14ac:dyDescent="0.35">
      <c r="A385" s="230"/>
      <c r="AB385" s="16" t="s">
        <v>776</v>
      </c>
      <c r="AC385" s="16">
        <v>0.5</v>
      </c>
    </row>
    <row r="386" spans="1:53" s="16" customFormat="1" outlineLevel="1" x14ac:dyDescent="0.35">
      <c r="A386" s="21"/>
      <c r="AB386" s="16" t="s">
        <v>129</v>
      </c>
      <c r="AC386" s="16">
        <v>25</v>
      </c>
      <c r="AD386" s="16" t="s">
        <v>130</v>
      </c>
    </row>
    <row r="387" spans="1:53" s="16" customFormat="1" outlineLevel="1" x14ac:dyDescent="0.35">
      <c r="A387" s="21"/>
      <c r="AB387" s="16" t="s">
        <v>777</v>
      </c>
      <c r="AC387" s="16">
        <v>6</v>
      </c>
      <c r="AD387" s="16" t="s">
        <v>779</v>
      </c>
    </row>
    <row r="388" spans="1:53" s="16" customFormat="1" outlineLevel="1" x14ac:dyDescent="0.35">
      <c r="A388" s="21"/>
      <c r="AB388" s="16" t="s">
        <v>778</v>
      </c>
      <c r="AC388" s="16">
        <v>20</v>
      </c>
      <c r="AD388" s="16" t="s">
        <v>130</v>
      </c>
    </row>
    <row r="389" spans="1:53" s="16" customFormat="1" outlineLevel="1" x14ac:dyDescent="0.35">
      <c r="AB389" s="16" t="s">
        <v>780</v>
      </c>
      <c r="AC389" s="16">
        <f>B375</f>
        <v>17123.287671232876</v>
      </c>
      <c r="AD389" s="16" t="s">
        <v>749</v>
      </c>
    </row>
    <row r="390" spans="1:53" s="16" customFormat="1" outlineLevel="1" x14ac:dyDescent="0.35">
      <c r="AB390" s="16" t="s">
        <v>820</v>
      </c>
      <c r="AC390" s="16">
        <v>0.5</v>
      </c>
    </row>
    <row r="391" spans="1:53" s="16" customFormat="1" outlineLevel="1" x14ac:dyDescent="0.35">
      <c r="AB391" s="16" t="s">
        <v>798</v>
      </c>
      <c r="AC391" s="16">
        <v>0.25</v>
      </c>
    </row>
    <row r="392" spans="1:53" s="16" customFormat="1" outlineLevel="1" x14ac:dyDescent="0.35">
      <c r="A392" s="22"/>
      <c r="AB392" s="16" t="s">
        <v>799</v>
      </c>
      <c r="AC392" s="16">
        <v>0.9</v>
      </c>
    </row>
    <row r="393" spans="1:53" s="16" customFormat="1" outlineLevel="1" x14ac:dyDescent="0.35">
      <c r="A393" s="22"/>
    </row>
    <row r="394" spans="1:53" outlineLevel="1" x14ac:dyDescent="0.35">
      <c r="B394" s="25">
        <v>2030</v>
      </c>
      <c r="C394" s="25">
        <v>2031</v>
      </c>
      <c r="D394" s="25">
        <v>2032</v>
      </c>
      <c r="E394" s="25">
        <v>2033</v>
      </c>
      <c r="F394" s="25">
        <v>2034</v>
      </c>
      <c r="G394" s="25">
        <v>2035</v>
      </c>
      <c r="H394" s="25">
        <v>2036</v>
      </c>
      <c r="I394" s="25">
        <v>2037</v>
      </c>
      <c r="J394" s="25">
        <v>2038</v>
      </c>
      <c r="K394" s="25">
        <v>2039</v>
      </c>
      <c r="L394" s="25">
        <v>2040</v>
      </c>
      <c r="M394" s="25">
        <v>2041</v>
      </c>
      <c r="N394" s="25">
        <v>2042</v>
      </c>
      <c r="O394" s="25">
        <v>2043</v>
      </c>
      <c r="P394" s="25">
        <v>2044</v>
      </c>
      <c r="Q394" s="25">
        <v>2045</v>
      </c>
      <c r="R394" s="25">
        <v>2046</v>
      </c>
      <c r="S394" s="25">
        <v>2047</v>
      </c>
      <c r="T394" s="25">
        <v>2048</v>
      </c>
      <c r="U394" s="25">
        <v>2049</v>
      </c>
      <c r="V394" s="25">
        <v>2050</v>
      </c>
      <c r="W394" s="25">
        <v>2051</v>
      </c>
      <c r="X394" s="25">
        <v>2052</v>
      </c>
      <c r="Y394" s="25">
        <v>2053</v>
      </c>
      <c r="Z394" s="25">
        <v>2054</v>
      </c>
      <c r="AC394" s="25">
        <v>2030</v>
      </c>
      <c r="AD394" s="25">
        <v>2031</v>
      </c>
      <c r="AE394" s="25">
        <v>2032</v>
      </c>
      <c r="AF394" s="25">
        <v>2033</v>
      </c>
      <c r="AG394" s="25">
        <v>2034</v>
      </c>
      <c r="AH394" s="25">
        <v>2035</v>
      </c>
      <c r="AI394" s="25">
        <v>2036</v>
      </c>
      <c r="AJ394" s="25">
        <v>2037</v>
      </c>
      <c r="AK394" s="25">
        <v>2038</v>
      </c>
      <c r="AL394" s="25">
        <v>2039</v>
      </c>
      <c r="AM394" s="25">
        <v>2040</v>
      </c>
      <c r="AN394" s="25">
        <v>2041</v>
      </c>
      <c r="AO394" s="25">
        <v>2042</v>
      </c>
      <c r="AP394" s="25">
        <v>2043</v>
      </c>
      <c r="AQ394" s="25">
        <v>2044</v>
      </c>
      <c r="AR394" s="25">
        <v>2045</v>
      </c>
      <c r="AS394" s="25">
        <v>2046</v>
      </c>
      <c r="AT394" s="25">
        <v>2047</v>
      </c>
      <c r="AU394" s="25">
        <v>2048</v>
      </c>
      <c r="AV394" s="25">
        <v>2049</v>
      </c>
      <c r="AW394" s="25">
        <v>2050</v>
      </c>
      <c r="AX394" s="25">
        <v>2051</v>
      </c>
      <c r="AY394" s="25">
        <v>2052</v>
      </c>
      <c r="AZ394" s="25">
        <v>2053</v>
      </c>
      <c r="BA394" s="25">
        <v>2054</v>
      </c>
    </row>
    <row r="395" spans="1:53" outlineLevel="1" x14ac:dyDescent="0.35">
      <c r="A395" s="6" t="s">
        <v>21</v>
      </c>
      <c r="B395" s="6">
        <f>B90</f>
        <v>71.38267553879804</v>
      </c>
      <c r="AB395" s="6" t="s">
        <v>117</v>
      </c>
      <c r="AC395" s="6">
        <f>SUM(B395:B406)+B408</f>
        <v>2636.5958501448285</v>
      </c>
    </row>
    <row r="396" spans="1:53" outlineLevel="1" x14ac:dyDescent="0.35">
      <c r="A396" s="6" t="s">
        <v>23</v>
      </c>
      <c r="B396" s="6">
        <f t="shared" ref="B396:B406" si="49">B91</f>
        <v>309.39379081190958</v>
      </c>
      <c r="AB396" s="6" t="s">
        <v>118</v>
      </c>
      <c r="AC396" s="6">
        <f>B407</f>
        <v>129.44404120316349</v>
      </c>
    </row>
    <row r="397" spans="1:53" outlineLevel="1" x14ac:dyDescent="0.35">
      <c r="A397" s="6" t="s">
        <v>26</v>
      </c>
      <c r="B397" s="6">
        <f t="shared" si="49"/>
        <v>304.2681794288975</v>
      </c>
      <c r="AB397" s="6" t="s">
        <v>119</v>
      </c>
      <c r="BA397" s="6">
        <f>SUM(Z409:Z420)</f>
        <v>38.789621318581062</v>
      </c>
    </row>
    <row r="398" spans="1:53" outlineLevel="1" x14ac:dyDescent="0.35">
      <c r="A398" s="6" t="s">
        <v>28</v>
      </c>
      <c r="B398" s="6">
        <f t="shared" si="49"/>
        <v>232.33757803762921</v>
      </c>
      <c r="AB398" s="6" t="s">
        <v>120</v>
      </c>
      <c r="BA398" s="6">
        <f>Z421</f>
        <v>0.61440305403541018</v>
      </c>
    </row>
    <row r="399" spans="1:53" outlineLevel="1" x14ac:dyDescent="0.35">
      <c r="A399" s="6" t="s">
        <v>29</v>
      </c>
      <c r="B399" s="6">
        <f t="shared" si="49"/>
        <v>112.28629490364889</v>
      </c>
      <c r="AB399" s="6" t="s">
        <v>121</v>
      </c>
      <c r="AC399" s="6">
        <f>B422</f>
        <v>114.06781731957111</v>
      </c>
      <c r="AF399" s="6">
        <f>E422</f>
        <v>112.3911675049322</v>
      </c>
      <c r="AI399" s="6">
        <f>H422</f>
        <v>112.2010947204887</v>
      </c>
      <c r="AL399" s="6">
        <f>K422</f>
        <v>113.21958271568749</v>
      </c>
      <c r="AO399" s="6">
        <f>N422</f>
        <v>113.61473943331841</v>
      </c>
      <c r="AR399" s="6">
        <f>Q422</f>
        <v>113.3787859326078</v>
      </c>
      <c r="AU399" s="6">
        <f>T422</f>
        <v>112.2791950057142</v>
      </c>
      <c r="AX399" s="6">
        <f>W422</f>
        <v>111.5739444092645</v>
      </c>
      <c r="BA399" s="6">
        <f>Z422</f>
        <v>111.3824079888096</v>
      </c>
    </row>
    <row r="400" spans="1:53" outlineLevel="1" x14ac:dyDescent="0.35">
      <c r="A400" s="6" t="s">
        <v>31</v>
      </c>
      <c r="B400" s="6">
        <f t="shared" si="49"/>
        <v>81.434527823734626</v>
      </c>
      <c r="AB400" s="6" t="s">
        <v>797</v>
      </c>
      <c r="AC400" s="6">
        <f>B426</f>
        <v>391.12436279725841</v>
      </c>
      <c r="AD400" s="6">
        <f t="shared" ref="AD400:BA400" si="50">C426</f>
        <v>391.12436279725841</v>
      </c>
      <c r="AE400" s="6">
        <f t="shared" si="50"/>
        <v>391.12436279725841</v>
      </c>
      <c r="AF400" s="6">
        <f t="shared" si="50"/>
        <v>391.12436279725841</v>
      </c>
      <c r="AG400" s="6">
        <f t="shared" si="50"/>
        <v>391.12436279725841</v>
      </c>
      <c r="AH400" s="6">
        <f t="shared" si="50"/>
        <v>391.12436279725841</v>
      </c>
      <c r="AI400" s="6">
        <f t="shared" si="50"/>
        <v>391.12436279725841</v>
      </c>
      <c r="AJ400" s="6">
        <f t="shared" si="50"/>
        <v>391.12436279725841</v>
      </c>
      <c r="AK400" s="6">
        <f t="shared" si="50"/>
        <v>391.12436279725841</v>
      </c>
      <c r="AL400" s="6">
        <f t="shared" si="50"/>
        <v>391.12436279725841</v>
      </c>
      <c r="AM400" s="6">
        <f t="shared" si="50"/>
        <v>391.12436279725841</v>
      </c>
      <c r="AN400" s="6">
        <f t="shared" si="50"/>
        <v>391.12436279725841</v>
      </c>
      <c r="AO400" s="6">
        <f t="shared" si="50"/>
        <v>391.12436279725841</v>
      </c>
      <c r="AP400" s="6">
        <f t="shared" si="50"/>
        <v>391.12436279725841</v>
      </c>
      <c r="AQ400" s="6">
        <f t="shared" si="50"/>
        <v>391.12436279725841</v>
      </c>
      <c r="AR400" s="6">
        <f t="shared" si="50"/>
        <v>391.12436279725841</v>
      </c>
      <c r="AS400" s="6">
        <f t="shared" si="50"/>
        <v>391.12436279725841</v>
      </c>
      <c r="AT400" s="6">
        <f t="shared" si="50"/>
        <v>391.12436279725841</v>
      </c>
      <c r="AU400" s="6">
        <f t="shared" si="50"/>
        <v>391.12436279725841</v>
      </c>
      <c r="AV400" s="6">
        <f t="shared" si="50"/>
        <v>391.12436279725841</v>
      </c>
      <c r="AW400" s="6">
        <f t="shared" si="50"/>
        <v>391.12436279725841</v>
      </c>
      <c r="AX400" s="6">
        <f t="shared" si="50"/>
        <v>391.12436279725841</v>
      </c>
      <c r="AY400" s="6">
        <f t="shared" si="50"/>
        <v>391.12436279725841</v>
      </c>
      <c r="AZ400" s="6">
        <f t="shared" si="50"/>
        <v>391.12436279725841</v>
      </c>
      <c r="BA400" s="6">
        <f t="shared" si="50"/>
        <v>391.12436279725841</v>
      </c>
    </row>
    <row r="401" spans="1:53" outlineLevel="1" x14ac:dyDescent="0.35">
      <c r="A401" s="6" t="s">
        <v>34</v>
      </c>
      <c r="B401" s="6">
        <f t="shared" si="49"/>
        <v>53.72069534285378</v>
      </c>
      <c r="AB401" s="6" t="s">
        <v>122</v>
      </c>
      <c r="AC401" s="6">
        <f t="shared" ref="AC401:BA401" si="51">B425+B424</f>
        <v>342.06057346102455</v>
      </c>
      <c r="AD401" s="6">
        <f t="shared" si="51"/>
        <v>340.79265489021151</v>
      </c>
      <c r="AE401" s="6">
        <f t="shared" si="51"/>
        <v>339.50338787328121</v>
      </c>
      <c r="AF401" s="6">
        <f t="shared" si="51"/>
        <v>334.90545691545429</v>
      </c>
      <c r="AG401" s="6">
        <f t="shared" si="51"/>
        <v>333.55358695307848</v>
      </c>
      <c r="AH401" s="6">
        <f t="shared" si="51"/>
        <v>332.20269132138816</v>
      </c>
      <c r="AI401" s="6">
        <f t="shared" si="51"/>
        <v>333.06599341828917</v>
      </c>
      <c r="AJ401" s="6">
        <f t="shared" si="51"/>
        <v>333.89092652969049</v>
      </c>
      <c r="AK401" s="6">
        <f t="shared" si="51"/>
        <v>332.48153941788775</v>
      </c>
      <c r="AL401" s="6">
        <f t="shared" si="51"/>
        <v>333.26058787049283</v>
      </c>
      <c r="AM401" s="6">
        <f t="shared" si="51"/>
        <v>334.00835882653439</v>
      </c>
      <c r="AN401" s="6">
        <f t="shared" si="51"/>
        <v>333.38088707198386</v>
      </c>
      <c r="AO401" s="6">
        <f t="shared" si="51"/>
        <v>332.76206358895985</v>
      </c>
      <c r="AP401" s="6">
        <f t="shared" si="51"/>
        <v>331.53763744536172</v>
      </c>
      <c r="AQ401" s="6">
        <f t="shared" si="51"/>
        <v>330.92844736523415</v>
      </c>
      <c r="AR401" s="6">
        <f t="shared" si="51"/>
        <v>330.31248161658857</v>
      </c>
      <c r="AS401" s="6">
        <f t="shared" si="51"/>
        <v>328.83877564617239</v>
      </c>
      <c r="AT401" s="6">
        <f t="shared" si="51"/>
        <v>327.38039608044772</v>
      </c>
      <c r="AU401" s="6">
        <f t="shared" si="51"/>
        <v>325.35638183755327</v>
      </c>
      <c r="AV401" s="6">
        <f t="shared" si="51"/>
        <v>323.9140988352205</v>
      </c>
      <c r="AW401" s="6">
        <f t="shared" si="51"/>
        <v>322.40607780393708</v>
      </c>
      <c r="AX401" s="6">
        <f t="shared" si="51"/>
        <v>322.05583431739825</v>
      </c>
      <c r="AY401" s="6">
        <f t="shared" si="51"/>
        <v>321.70816822842056</v>
      </c>
      <c r="AZ401" s="6">
        <f t="shared" si="51"/>
        <v>321.36199873353911</v>
      </c>
      <c r="BA401" s="6">
        <f t="shared" si="51"/>
        <v>321.01729869105526</v>
      </c>
    </row>
    <row r="402" spans="1:53" outlineLevel="1" x14ac:dyDescent="0.35">
      <c r="A402" s="6" t="s">
        <v>36</v>
      </c>
      <c r="B402" s="6">
        <f t="shared" si="49"/>
        <v>56.4741510532414</v>
      </c>
      <c r="AB402" s="6" t="s">
        <v>123</v>
      </c>
      <c r="AC402" s="6">
        <f t="shared" ref="AC402:BA402" si="52">B423</f>
        <v>59.382481849913901</v>
      </c>
      <c r="AD402" s="6">
        <f t="shared" si="52"/>
        <v>54.7966192223981</v>
      </c>
      <c r="AE402" s="6">
        <f t="shared" si="52"/>
        <v>50.207300064353596</v>
      </c>
      <c r="AF402" s="6">
        <f t="shared" si="52"/>
        <v>45.388727763930959</v>
      </c>
      <c r="AG402" s="6">
        <f t="shared" si="52"/>
        <v>40.785467382860958</v>
      </c>
      <c r="AH402" s="6">
        <f t="shared" si="52"/>
        <v>36.17989903989757</v>
      </c>
      <c r="AI402" s="6">
        <f t="shared" si="52"/>
        <v>41.545033555170242</v>
      </c>
      <c r="AJ402" s="6">
        <f t="shared" si="52"/>
        <v>46.873140499079383</v>
      </c>
      <c r="AK402" s="6">
        <f t="shared" si="52"/>
        <v>51.943815300274153</v>
      </c>
      <c r="AL402" s="6">
        <f t="shared" si="52"/>
        <v>57.191605566606455</v>
      </c>
      <c r="AM402" s="6">
        <f t="shared" si="52"/>
        <v>62.403657444735302</v>
      </c>
      <c r="AN402" s="6">
        <f t="shared" si="52"/>
        <v>69.013012967915699</v>
      </c>
      <c r="AO402" s="6">
        <f t="shared" si="52"/>
        <v>75.612344629710449</v>
      </c>
      <c r="AP402" s="6">
        <f t="shared" si="52"/>
        <v>82.151630269043991</v>
      </c>
      <c r="AQ402" s="6">
        <f t="shared" si="52"/>
        <v>88.7320490000522</v>
      </c>
      <c r="AR402" s="6">
        <f t="shared" si="52"/>
        <v>95.302156629345703</v>
      </c>
      <c r="AS402" s="6">
        <f t="shared" si="52"/>
        <v>93.275818164095497</v>
      </c>
      <c r="AT402" s="6">
        <f t="shared" si="52"/>
        <v>91.240859305211899</v>
      </c>
      <c r="AU402" s="6">
        <f t="shared" si="52"/>
        <v>89.151567225766243</v>
      </c>
      <c r="AV402" s="6">
        <f t="shared" si="52"/>
        <v>87.100336529019046</v>
      </c>
      <c r="AW402" s="6">
        <f t="shared" si="52"/>
        <v>85.040063628960212</v>
      </c>
      <c r="AX402" s="6">
        <f t="shared" si="52"/>
        <v>84.95748096017175</v>
      </c>
      <c r="AY402" s="6">
        <f t="shared" si="52"/>
        <v>84.879231701323647</v>
      </c>
      <c r="AZ402" s="6">
        <f t="shared" si="52"/>
        <v>84.800272631537894</v>
      </c>
      <c r="BA402" s="6">
        <f t="shared" si="52"/>
        <v>84.720498850145503</v>
      </c>
    </row>
    <row r="403" spans="1:53" outlineLevel="1" x14ac:dyDescent="0.35">
      <c r="A403" s="6" t="s">
        <v>38</v>
      </c>
      <c r="B403" s="6">
        <f t="shared" si="49"/>
        <v>632.20465263923336</v>
      </c>
      <c r="AB403" s="6" t="s">
        <v>124</v>
      </c>
      <c r="AC403" s="6">
        <f>-$AC$384*$AC$383</f>
        <v>0</v>
      </c>
      <c r="AD403" s="6">
        <f t="shared" ref="AD403:BA403" si="53">-$AC$384*$AC$383</f>
        <v>0</v>
      </c>
      <c r="AE403" s="6">
        <f t="shared" si="53"/>
        <v>0</v>
      </c>
      <c r="AF403" s="6">
        <f t="shared" si="53"/>
        <v>0</v>
      </c>
      <c r="AG403" s="6">
        <f t="shared" si="53"/>
        <v>0</v>
      </c>
      <c r="AH403" s="6">
        <f t="shared" si="53"/>
        <v>0</v>
      </c>
      <c r="AI403" s="6">
        <f t="shared" si="53"/>
        <v>0</v>
      </c>
      <c r="AJ403" s="6">
        <f t="shared" si="53"/>
        <v>0</v>
      </c>
      <c r="AK403" s="6">
        <f t="shared" si="53"/>
        <v>0</v>
      </c>
      <c r="AL403" s="6">
        <f t="shared" si="53"/>
        <v>0</v>
      </c>
      <c r="AM403" s="6">
        <f t="shared" si="53"/>
        <v>0</v>
      </c>
      <c r="AN403" s="6">
        <f t="shared" si="53"/>
        <v>0</v>
      </c>
      <c r="AO403" s="6">
        <f t="shared" si="53"/>
        <v>0</v>
      </c>
      <c r="AP403" s="6">
        <f t="shared" si="53"/>
        <v>0</v>
      </c>
      <c r="AQ403" s="6">
        <f t="shared" si="53"/>
        <v>0</v>
      </c>
      <c r="AR403" s="6">
        <f t="shared" si="53"/>
        <v>0</v>
      </c>
      <c r="AS403" s="6">
        <f t="shared" si="53"/>
        <v>0</v>
      </c>
      <c r="AT403" s="6">
        <f t="shared" si="53"/>
        <v>0</v>
      </c>
      <c r="AU403" s="6">
        <f t="shared" si="53"/>
        <v>0</v>
      </c>
      <c r="AV403" s="6">
        <f t="shared" si="53"/>
        <v>0</v>
      </c>
      <c r="AW403" s="6">
        <f t="shared" si="53"/>
        <v>0</v>
      </c>
      <c r="AX403" s="6">
        <f t="shared" si="53"/>
        <v>0</v>
      </c>
      <c r="AY403" s="6">
        <f t="shared" si="53"/>
        <v>0</v>
      </c>
      <c r="AZ403" s="6">
        <f t="shared" si="53"/>
        <v>0</v>
      </c>
      <c r="BA403" s="6">
        <f t="shared" si="53"/>
        <v>0</v>
      </c>
    </row>
    <row r="404" spans="1:53" outlineLevel="1" x14ac:dyDescent="0.35">
      <c r="A404" s="6" t="s">
        <v>39</v>
      </c>
      <c r="B404" s="6">
        <f t="shared" si="49"/>
        <v>613.14460127904488</v>
      </c>
      <c r="AB404" s="23" t="s">
        <v>125</v>
      </c>
      <c r="AC404" s="17">
        <f t="shared" ref="AC404:BA404" si="54">SUM(AC395:AC403)</f>
        <v>3672.67512677576</v>
      </c>
      <c r="AD404" s="17">
        <f t="shared" si="54"/>
        <v>786.71363690986811</v>
      </c>
      <c r="AE404" s="17">
        <f t="shared" si="54"/>
        <v>780.83505073489323</v>
      </c>
      <c r="AF404" s="17">
        <f t="shared" si="54"/>
        <v>883.80971498157589</v>
      </c>
      <c r="AG404" s="17">
        <f t="shared" si="54"/>
        <v>765.46341713319782</v>
      </c>
      <c r="AH404" s="17">
        <f t="shared" si="54"/>
        <v>759.50695315854421</v>
      </c>
      <c r="AI404" s="17">
        <f t="shared" si="54"/>
        <v>877.93648449120656</v>
      </c>
      <c r="AJ404" s="17">
        <f t="shared" si="54"/>
        <v>771.8884298260283</v>
      </c>
      <c r="AK404" s="17">
        <f t="shared" si="54"/>
        <v>775.54971751542041</v>
      </c>
      <c r="AL404" s="17">
        <f t="shared" si="54"/>
        <v>894.79613895004513</v>
      </c>
      <c r="AM404" s="17">
        <f t="shared" si="54"/>
        <v>787.53637906852805</v>
      </c>
      <c r="AN404" s="17">
        <f t="shared" si="54"/>
        <v>793.51826283715809</v>
      </c>
      <c r="AO404" s="17">
        <f t="shared" si="54"/>
        <v>913.1135104492472</v>
      </c>
      <c r="AP404" s="17">
        <f t="shared" si="54"/>
        <v>804.81363051166409</v>
      </c>
      <c r="AQ404" s="17">
        <f t="shared" si="54"/>
        <v>810.78485916254476</v>
      </c>
      <c r="AR404" s="17">
        <f t="shared" si="54"/>
        <v>930.11778697580053</v>
      </c>
      <c r="AS404" s="17">
        <f t="shared" si="54"/>
        <v>813.23895660752635</v>
      </c>
      <c r="AT404" s="17">
        <f t="shared" si="54"/>
        <v>809.74561818291795</v>
      </c>
      <c r="AU404" s="17">
        <f t="shared" si="54"/>
        <v>917.91150686629214</v>
      </c>
      <c r="AV404" s="17">
        <f t="shared" si="54"/>
        <v>802.1387981614979</v>
      </c>
      <c r="AW404" s="17">
        <f t="shared" si="54"/>
        <v>798.57050423015573</v>
      </c>
      <c r="AX404" s="17">
        <f t="shared" si="54"/>
        <v>909.71162248409291</v>
      </c>
      <c r="AY404" s="17">
        <f t="shared" si="54"/>
        <v>797.71176272700257</v>
      </c>
      <c r="AZ404" s="17">
        <f t="shared" si="54"/>
        <v>797.2866341623353</v>
      </c>
      <c r="BA404" s="17">
        <f t="shared" si="54"/>
        <v>947.64859269988528</v>
      </c>
    </row>
    <row r="405" spans="1:53" outlineLevel="1" x14ac:dyDescent="0.35">
      <c r="A405" s="6" t="s">
        <v>41</v>
      </c>
      <c r="B405" s="6">
        <f t="shared" si="49"/>
        <v>53.80292885804797</v>
      </c>
    </row>
    <row r="406" spans="1:53" outlineLevel="1" x14ac:dyDescent="0.35">
      <c r="A406" s="6" t="s">
        <v>43</v>
      </c>
      <c r="B406" s="6">
        <f t="shared" si="49"/>
        <v>70.811968393392803</v>
      </c>
      <c r="AB406" s="272"/>
      <c r="AC406" s="272"/>
      <c r="AD406" s="272"/>
      <c r="AE406" s="272"/>
      <c r="AF406" s="272"/>
      <c r="AG406" s="272"/>
      <c r="AH406" s="272"/>
      <c r="AI406" s="272"/>
      <c r="AJ406" s="272"/>
      <c r="AK406" s="272"/>
      <c r="AL406" s="272"/>
      <c r="AM406" s="272"/>
      <c r="AN406" s="272"/>
      <c r="AO406" s="272"/>
      <c r="AP406" s="272"/>
      <c r="AQ406" s="272"/>
      <c r="AR406" s="272"/>
      <c r="AS406" s="272"/>
      <c r="AT406" s="272"/>
      <c r="AU406" s="272"/>
      <c r="AV406" s="272"/>
      <c r="AW406" s="272"/>
      <c r="AX406" s="272"/>
      <c r="AY406" s="272"/>
      <c r="AZ406" s="272"/>
      <c r="BA406" s="272"/>
    </row>
    <row r="407" spans="1:53" outlineLevel="1" x14ac:dyDescent="0.35">
      <c r="A407" s="6" t="s">
        <v>44</v>
      </c>
      <c r="B407" s="6">
        <f>B102*AC385</f>
        <v>129.44404120316349</v>
      </c>
      <c r="AB407" s="272"/>
      <c r="AC407" s="272"/>
      <c r="AD407" s="272"/>
      <c r="AE407" s="272"/>
      <c r="AF407" s="272"/>
      <c r="AG407" s="272"/>
      <c r="AH407" s="272"/>
      <c r="AI407" s="272"/>
      <c r="AJ407" s="272"/>
      <c r="AK407" s="272"/>
      <c r="AL407" s="272"/>
      <c r="AM407" s="272"/>
      <c r="AN407" s="272"/>
      <c r="AO407" s="272"/>
      <c r="AP407" s="272"/>
      <c r="AQ407" s="272"/>
      <c r="AR407" s="272"/>
      <c r="AS407" s="272"/>
      <c r="AT407" s="272"/>
      <c r="AU407" s="272"/>
      <c r="AV407" s="272"/>
      <c r="AW407" s="272"/>
      <c r="AX407" s="272"/>
      <c r="AY407" s="272"/>
      <c r="AZ407" s="272"/>
      <c r="BA407" s="272"/>
    </row>
    <row r="408" spans="1:53" outlineLevel="1" x14ac:dyDescent="0.35">
      <c r="A408" s="6" t="s">
        <v>757</v>
      </c>
      <c r="B408" s="6">
        <f>B103*AC385</f>
        <v>45.333806034396716</v>
      </c>
      <c r="AB408" s="272"/>
      <c r="AC408" s="272"/>
      <c r="AD408" s="272"/>
      <c r="AE408" s="272"/>
      <c r="AF408" s="272"/>
      <c r="AG408" s="272"/>
      <c r="AH408" s="272"/>
      <c r="AI408" s="272"/>
      <c r="AJ408" s="272"/>
      <c r="AK408" s="272"/>
      <c r="AL408" s="272"/>
      <c r="AM408" s="272"/>
      <c r="AN408" s="272"/>
      <c r="AO408" s="272"/>
      <c r="AP408" s="272"/>
      <c r="AQ408" s="272"/>
      <c r="AR408" s="272"/>
      <c r="AS408" s="272"/>
      <c r="AT408" s="272"/>
      <c r="AU408" s="272"/>
      <c r="AV408" s="272"/>
      <c r="AW408" s="272"/>
      <c r="AX408" s="272"/>
      <c r="AY408" s="272"/>
      <c r="AZ408" s="272"/>
      <c r="BA408" s="272"/>
    </row>
    <row r="409" spans="1:53" outlineLevel="1" x14ac:dyDescent="0.35">
      <c r="A409" s="6" t="s">
        <v>22</v>
      </c>
      <c r="Z409" s="6">
        <f>Z104</f>
        <v>0.30634226930476899</v>
      </c>
      <c r="AB409" s="272"/>
      <c r="AC409" s="272"/>
      <c r="AD409" s="272"/>
      <c r="AE409" s="272"/>
      <c r="AF409" s="272"/>
      <c r="AG409" s="272"/>
      <c r="AH409" s="272"/>
      <c r="AI409" s="272"/>
      <c r="AJ409" s="272"/>
      <c r="AK409" s="272"/>
      <c r="AL409" s="272"/>
      <c r="AM409" s="272"/>
      <c r="AN409" s="272"/>
      <c r="AO409" s="272"/>
      <c r="AP409" s="272"/>
      <c r="AQ409" s="272"/>
      <c r="AR409" s="272"/>
      <c r="AS409" s="272"/>
      <c r="AT409" s="272"/>
      <c r="AU409" s="272"/>
      <c r="AV409" s="272"/>
      <c r="AW409" s="272"/>
      <c r="AX409" s="272"/>
      <c r="AY409" s="272"/>
      <c r="AZ409" s="272"/>
      <c r="BA409" s="272"/>
    </row>
    <row r="410" spans="1:53" outlineLevel="1" x14ac:dyDescent="0.35">
      <c r="A410" s="6" t="s">
        <v>24</v>
      </c>
      <c r="Z410" s="6">
        <f t="shared" ref="Z410:Z420" si="55">Z105</f>
        <v>0.33987786273119752</v>
      </c>
      <c r="AB410" s="272"/>
      <c r="AC410" s="272"/>
      <c r="AD410" s="272"/>
      <c r="AE410" s="272"/>
      <c r="AF410" s="272"/>
      <c r="AG410" s="272"/>
      <c r="AH410" s="272"/>
      <c r="AI410" s="272"/>
      <c r="AJ410" s="272"/>
      <c r="AK410" s="272"/>
      <c r="AL410" s="272"/>
      <c r="AM410" s="272"/>
      <c r="AN410" s="272"/>
      <c r="AO410" s="272"/>
      <c r="AP410" s="272"/>
      <c r="AQ410" s="272"/>
      <c r="AR410" s="272"/>
      <c r="AS410" s="272"/>
      <c r="AT410" s="272"/>
      <c r="AU410" s="272"/>
      <c r="AV410" s="272"/>
      <c r="AW410" s="272"/>
      <c r="AX410" s="272"/>
      <c r="AY410" s="272"/>
      <c r="AZ410" s="272"/>
      <c r="BA410" s="272"/>
    </row>
    <row r="411" spans="1:53" outlineLevel="1" x14ac:dyDescent="0.35">
      <c r="A411" s="6" t="s">
        <v>25</v>
      </c>
      <c r="Z411" s="6">
        <f t="shared" si="55"/>
        <v>1.54613057891552</v>
      </c>
      <c r="AB411" s="272"/>
      <c r="AC411" s="272"/>
      <c r="AD411" s="272"/>
      <c r="AE411" s="272"/>
      <c r="AF411" s="272"/>
      <c r="AG411" s="272"/>
      <c r="AH411" s="272"/>
      <c r="AI411" s="272"/>
      <c r="AJ411" s="272"/>
      <c r="AK411" s="272"/>
      <c r="AL411" s="272"/>
      <c r="AM411" s="272"/>
      <c r="AN411" s="272"/>
      <c r="AO411" s="272"/>
      <c r="AP411" s="272"/>
      <c r="AQ411" s="272"/>
      <c r="AR411" s="272"/>
      <c r="AS411" s="272"/>
      <c r="AT411" s="272"/>
      <c r="AU411" s="272"/>
      <c r="AV411" s="272"/>
      <c r="AW411" s="272"/>
      <c r="AX411" s="272"/>
      <c r="AY411" s="272"/>
      <c r="AZ411" s="272"/>
      <c r="BA411" s="272"/>
    </row>
    <row r="412" spans="1:53" outlineLevel="1" x14ac:dyDescent="0.35">
      <c r="A412" s="6" t="s">
        <v>27</v>
      </c>
      <c r="Z412" s="6">
        <f t="shared" si="55"/>
        <v>0.94564416196411627</v>
      </c>
      <c r="AB412" s="272"/>
      <c r="AC412" s="272"/>
      <c r="AD412" s="272"/>
      <c r="AE412" s="272"/>
      <c r="AF412" s="272"/>
      <c r="AG412" s="272"/>
      <c r="AH412" s="272"/>
      <c r="AI412" s="272"/>
      <c r="AJ412" s="272"/>
      <c r="AK412" s="272"/>
      <c r="AL412" s="272"/>
      <c r="AM412" s="272"/>
      <c r="AN412" s="272"/>
      <c r="AO412" s="272"/>
      <c r="AP412" s="272"/>
      <c r="AQ412" s="272"/>
      <c r="AR412" s="272"/>
      <c r="AS412" s="272"/>
      <c r="AT412" s="272"/>
      <c r="AU412" s="272"/>
      <c r="AV412" s="272"/>
      <c r="AW412" s="272"/>
      <c r="AX412" s="272"/>
      <c r="AY412" s="272"/>
      <c r="AZ412" s="272"/>
      <c r="BA412" s="272"/>
    </row>
    <row r="413" spans="1:53" outlineLevel="1" x14ac:dyDescent="0.35">
      <c r="A413" s="6" t="s">
        <v>30</v>
      </c>
      <c r="Z413" s="6">
        <f t="shared" si="55"/>
        <v>0.37601872100948219</v>
      </c>
      <c r="AB413" s="272"/>
      <c r="AC413" s="272"/>
      <c r="AD413" s="272"/>
      <c r="AE413" s="272"/>
      <c r="AF413" s="272"/>
      <c r="AG413" s="272"/>
      <c r="AH413" s="272"/>
      <c r="AI413" s="272"/>
      <c r="AJ413" s="272"/>
      <c r="AK413" s="272"/>
      <c r="AL413" s="272"/>
      <c r="AM413" s="272"/>
      <c r="AN413" s="272"/>
      <c r="AO413" s="272"/>
      <c r="AP413" s="272"/>
      <c r="AQ413" s="272"/>
      <c r="AR413" s="272"/>
      <c r="AS413" s="272"/>
      <c r="AT413" s="272"/>
      <c r="AU413" s="272"/>
      <c r="AV413" s="272"/>
      <c r="AW413" s="272"/>
      <c r="AX413" s="272"/>
      <c r="AY413" s="272"/>
      <c r="AZ413" s="272"/>
      <c r="BA413" s="272"/>
    </row>
    <row r="414" spans="1:53" outlineLevel="1" x14ac:dyDescent="0.35">
      <c r="A414" s="6" t="s">
        <v>32</v>
      </c>
      <c r="Z414" s="6">
        <f t="shared" si="55"/>
        <v>0.1689291870015715</v>
      </c>
      <c r="AB414" s="272"/>
      <c r="AC414" s="272"/>
      <c r="AD414" s="272"/>
      <c r="AE414" s="272"/>
      <c r="AF414" s="272"/>
      <c r="AG414" s="272"/>
      <c r="AH414" s="272"/>
      <c r="AI414" s="272"/>
      <c r="AJ414" s="272"/>
      <c r="AK414" s="272"/>
      <c r="AL414" s="272"/>
      <c r="AM414" s="272"/>
      <c r="AN414" s="272"/>
      <c r="AO414" s="272"/>
      <c r="AP414" s="272"/>
      <c r="AQ414" s="272"/>
      <c r="AR414" s="272"/>
      <c r="AS414" s="272"/>
      <c r="AT414" s="272"/>
      <c r="AU414" s="272"/>
      <c r="AV414" s="272"/>
      <c r="AW414" s="272"/>
      <c r="AX414" s="272"/>
      <c r="AY414" s="272"/>
      <c r="AZ414" s="272"/>
      <c r="BA414" s="272"/>
    </row>
    <row r="415" spans="1:53" outlineLevel="1" x14ac:dyDescent="0.35">
      <c r="A415" s="6" t="s">
        <v>33</v>
      </c>
      <c r="Z415" s="6">
        <f t="shared" si="55"/>
        <v>9.7181984563696311E-2</v>
      </c>
      <c r="AB415" s="272"/>
      <c r="AC415" s="272"/>
      <c r="AD415" s="272"/>
      <c r="AE415" s="272"/>
      <c r="AF415" s="272"/>
      <c r="AG415" s="272"/>
      <c r="AH415" s="272"/>
      <c r="AI415" s="272"/>
      <c r="AJ415" s="272"/>
      <c r="AK415" s="272"/>
      <c r="AL415" s="272"/>
      <c r="AM415" s="272"/>
      <c r="AN415" s="272"/>
      <c r="AO415" s="272"/>
      <c r="AP415" s="272"/>
      <c r="AQ415" s="272"/>
      <c r="AR415" s="272"/>
      <c r="AS415" s="272"/>
      <c r="AT415" s="272"/>
      <c r="AU415" s="272"/>
      <c r="AV415" s="272"/>
      <c r="AW415" s="272"/>
      <c r="AX415" s="272"/>
      <c r="AY415" s="272"/>
      <c r="AZ415" s="272"/>
      <c r="BA415" s="272"/>
    </row>
    <row r="416" spans="1:53" outlineLevel="1" x14ac:dyDescent="0.35">
      <c r="A416" s="6" t="s">
        <v>35</v>
      </c>
      <c r="Z416" s="6">
        <f t="shared" si="55"/>
        <v>0.19436396912739259</v>
      </c>
      <c r="AB416" s="272"/>
      <c r="AC416" s="272"/>
      <c r="AD416" s="272"/>
      <c r="AE416" s="272"/>
      <c r="AF416" s="272"/>
      <c r="AG416" s="272"/>
      <c r="AH416" s="272"/>
      <c r="AI416" s="272"/>
      <c r="AJ416" s="272"/>
      <c r="AK416" s="272"/>
      <c r="AL416" s="272"/>
      <c r="AM416" s="272"/>
      <c r="AN416" s="272"/>
      <c r="AO416" s="272"/>
      <c r="AP416" s="272"/>
      <c r="AQ416" s="272"/>
      <c r="AR416" s="272"/>
      <c r="AS416" s="272"/>
      <c r="AT416" s="272"/>
      <c r="AU416" s="272"/>
      <c r="AV416" s="272"/>
      <c r="AW416" s="272"/>
      <c r="AX416" s="272"/>
      <c r="AY416" s="272"/>
      <c r="AZ416" s="272"/>
      <c r="BA416" s="272"/>
    </row>
    <row r="417" spans="1:53" outlineLevel="1" x14ac:dyDescent="0.35">
      <c r="A417" s="6" t="s">
        <v>37</v>
      </c>
      <c r="Z417" s="6">
        <f t="shared" si="55"/>
        <v>2.8638113623765111</v>
      </c>
      <c r="AB417" s="272"/>
      <c r="AC417" s="272"/>
      <c r="AD417" s="272"/>
      <c r="AE417" s="272"/>
      <c r="AF417" s="272"/>
      <c r="AG417" s="272"/>
      <c r="AH417" s="272"/>
      <c r="AI417" s="272"/>
      <c r="AJ417" s="272"/>
      <c r="AK417" s="272"/>
      <c r="AL417" s="272"/>
      <c r="AM417" s="272"/>
      <c r="AN417" s="272"/>
      <c r="AO417" s="272"/>
      <c r="AP417" s="272"/>
      <c r="AQ417" s="272"/>
      <c r="AR417" s="272"/>
      <c r="AS417" s="272"/>
      <c r="AT417" s="272"/>
      <c r="AU417" s="272"/>
      <c r="AV417" s="272"/>
      <c r="AW417" s="272"/>
      <c r="AX417" s="272"/>
      <c r="AY417" s="272"/>
      <c r="AZ417" s="272"/>
      <c r="BA417" s="272"/>
    </row>
    <row r="418" spans="1:53" outlineLevel="1" x14ac:dyDescent="0.35">
      <c r="A418" s="6" t="s">
        <v>40</v>
      </c>
      <c r="Z418" s="6">
        <f t="shared" si="55"/>
        <v>1.3377114098727929</v>
      </c>
    </row>
    <row r="419" spans="1:53" outlineLevel="1" x14ac:dyDescent="0.35">
      <c r="A419" s="6" t="s">
        <v>42</v>
      </c>
      <c r="Z419" s="6">
        <f t="shared" si="55"/>
        <v>3.6060080522679621</v>
      </c>
    </row>
    <row r="420" spans="1:53" outlineLevel="1" x14ac:dyDescent="0.35">
      <c r="A420" s="6" t="s">
        <v>115</v>
      </c>
      <c r="Z420" s="6">
        <f t="shared" si="55"/>
        <v>27.00760175944605</v>
      </c>
    </row>
    <row r="421" spans="1:53" outlineLevel="1" x14ac:dyDescent="0.35">
      <c r="A421" s="6" t="s">
        <v>45</v>
      </c>
      <c r="Z421" s="6">
        <f>Z116*AC385</f>
        <v>0.61440305403541018</v>
      </c>
    </row>
    <row r="422" spans="1:53" outlineLevel="1" x14ac:dyDescent="0.35">
      <c r="A422" s="6" t="s">
        <v>116</v>
      </c>
      <c r="B422" s="6">
        <f>B117</f>
        <v>114.06781731957111</v>
      </c>
      <c r="C422" s="6">
        <f t="shared" ref="C422:Z422" si="56">C117</f>
        <v>113.7328675530224</v>
      </c>
      <c r="D422" s="6">
        <f t="shared" si="56"/>
        <v>113.3929663091527</v>
      </c>
      <c r="E422" s="6">
        <f t="shared" si="56"/>
        <v>112.3911675049322</v>
      </c>
      <c r="F422" s="6">
        <f t="shared" si="56"/>
        <v>112.0478306078531</v>
      </c>
      <c r="G422" s="6">
        <f t="shared" si="56"/>
        <v>111.69872823537609</v>
      </c>
      <c r="H422" s="6">
        <f t="shared" si="56"/>
        <v>112.2010947204887</v>
      </c>
      <c r="I422" s="6">
        <f t="shared" si="56"/>
        <v>112.69351643430041</v>
      </c>
      <c r="J422" s="6">
        <f t="shared" si="56"/>
        <v>112.74009000216979</v>
      </c>
      <c r="K422" s="6">
        <f t="shared" si="56"/>
        <v>113.21958271568749</v>
      </c>
      <c r="L422" s="6">
        <f t="shared" si="56"/>
        <v>113.6897765530383</v>
      </c>
      <c r="M422" s="6">
        <f t="shared" si="56"/>
        <v>113.65222917100461</v>
      </c>
      <c r="N422" s="6">
        <f t="shared" si="56"/>
        <v>113.61473943331841</v>
      </c>
      <c r="O422" s="6">
        <f t="shared" si="56"/>
        <v>113.44770784519361</v>
      </c>
      <c r="P422" s="6">
        <f t="shared" si="56"/>
        <v>113.41332719801061</v>
      </c>
      <c r="Q422" s="6">
        <f t="shared" si="56"/>
        <v>113.3787859326078</v>
      </c>
      <c r="R422" s="6">
        <f t="shared" si="56"/>
        <v>113.0512155274629</v>
      </c>
      <c r="S422" s="6">
        <f t="shared" si="56"/>
        <v>112.7253429675897</v>
      </c>
      <c r="T422" s="6">
        <f t="shared" si="56"/>
        <v>112.2791950057142</v>
      </c>
      <c r="U422" s="6">
        <f t="shared" si="56"/>
        <v>111.9583975303494</v>
      </c>
      <c r="V422" s="6">
        <f t="shared" si="56"/>
        <v>111.6387040996559</v>
      </c>
      <c r="W422" s="6">
        <f t="shared" si="56"/>
        <v>111.5739444092645</v>
      </c>
      <c r="X422" s="6">
        <f t="shared" si="56"/>
        <v>111.50977454615681</v>
      </c>
      <c r="Y422" s="6">
        <f t="shared" si="56"/>
        <v>111.4459321675379</v>
      </c>
      <c r="Z422" s="6">
        <f t="shared" si="56"/>
        <v>111.3824079888096</v>
      </c>
    </row>
    <row r="423" spans="1:53" outlineLevel="1" x14ac:dyDescent="0.35">
      <c r="A423" s="6" t="s">
        <v>758</v>
      </c>
      <c r="B423" s="6">
        <f>B118*$AC$385</f>
        <v>59.382481849913901</v>
      </c>
      <c r="C423" s="6">
        <f t="shared" ref="C423:Z424" si="57">C118*$AC$385</f>
        <v>54.7966192223981</v>
      </c>
      <c r="D423" s="6">
        <f t="shared" si="57"/>
        <v>50.207300064353596</v>
      </c>
      <c r="E423" s="6">
        <f t="shared" si="57"/>
        <v>45.388727763930959</v>
      </c>
      <c r="F423" s="6">
        <f t="shared" si="57"/>
        <v>40.785467382860958</v>
      </c>
      <c r="G423" s="6">
        <f t="shared" si="57"/>
        <v>36.17989903989757</v>
      </c>
      <c r="H423" s="6">
        <f t="shared" si="57"/>
        <v>41.545033555170242</v>
      </c>
      <c r="I423" s="6">
        <f t="shared" si="57"/>
        <v>46.873140499079383</v>
      </c>
      <c r="J423" s="6">
        <f t="shared" si="57"/>
        <v>51.943815300274153</v>
      </c>
      <c r="K423" s="6">
        <f t="shared" si="57"/>
        <v>57.191605566606455</v>
      </c>
      <c r="L423" s="6">
        <f t="shared" si="57"/>
        <v>62.403657444735302</v>
      </c>
      <c r="M423" s="6">
        <f t="shared" si="57"/>
        <v>69.013012967915699</v>
      </c>
      <c r="N423" s="6">
        <f t="shared" si="57"/>
        <v>75.612344629710449</v>
      </c>
      <c r="O423" s="6">
        <f t="shared" si="57"/>
        <v>82.151630269043991</v>
      </c>
      <c r="P423" s="6">
        <f t="shared" si="57"/>
        <v>88.7320490000522</v>
      </c>
      <c r="Q423" s="6">
        <f t="shared" si="57"/>
        <v>95.302156629345703</v>
      </c>
      <c r="R423" s="6">
        <f t="shared" si="57"/>
        <v>93.275818164095497</v>
      </c>
      <c r="S423" s="6">
        <f t="shared" si="57"/>
        <v>91.240859305211899</v>
      </c>
      <c r="T423" s="6">
        <f t="shared" si="57"/>
        <v>89.151567225766243</v>
      </c>
      <c r="U423" s="6">
        <f t="shared" si="57"/>
        <v>87.100336529019046</v>
      </c>
      <c r="V423" s="6">
        <f t="shared" si="57"/>
        <v>85.040063628960212</v>
      </c>
      <c r="W423" s="6">
        <f t="shared" si="57"/>
        <v>84.95748096017175</v>
      </c>
      <c r="X423" s="6">
        <f t="shared" si="57"/>
        <v>84.879231701323647</v>
      </c>
      <c r="Y423" s="6">
        <f t="shared" si="57"/>
        <v>84.800272631537894</v>
      </c>
      <c r="Z423" s="6">
        <f t="shared" si="57"/>
        <v>84.720498850145503</v>
      </c>
    </row>
    <row r="424" spans="1:53" outlineLevel="1" x14ac:dyDescent="0.35">
      <c r="A424" s="6" t="s">
        <v>759</v>
      </c>
      <c r="B424" s="6">
        <f>B119*$AC$385</f>
        <v>0</v>
      </c>
      <c r="C424" s="6">
        <f t="shared" si="57"/>
        <v>0</v>
      </c>
      <c r="D424" s="6">
        <f t="shared" si="57"/>
        <v>0</v>
      </c>
      <c r="E424" s="6">
        <f t="shared" si="57"/>
        <v>0</v>
      </c>
      <c r="F424" s="6">
        <f t="shared" si="57"/>
        <v>0</v>
      </c>
      <c r="G424" s="6">
        <f t="shared" si="57"/>
        <v>0</v>
      </c>
      <c r="H424" s="6">
        <f t="shared" si="57"/>
        <v>0</v>
      </c>
      <c r="I424" s="6">
        <f t="shared" si="57"/>
        <v>0</v>
      </c>
      <c r="J424" s="6">
        <f t="shared" si="57"/>
        <v>0</v>
      </c>
      <c r="K424" s="6">
        <f t="shared" si="57"/>
        <v>0</v>
      </c>
      <c r="L424" s="6">
        <f t="shared" si="57"/>
        <v>0</v>
      </c>
      <c r="M424" s="6">
        <f t="shared" si="57"/>
        <v>0</v>
      </c>
      <c r="N424" s="6">
        <f t="shared" si="57"/>
        <v>0</v>
      </c>
      <c r="O424" s="6">
        <f t="shared" si="57"/>
        <v>0</v>
      </c>
      <c r="P424" s="6">
        <f t="shared" si="57"/>
        <v>0</v>
      </c>
      <c r="Q424" s="6">
        <f t="shared" si="57"/>
        <v>0</v>
      </c>
      <c r="R424" s="6">
        <f t="shared" si="57"/>
        <v>0</v>
      </c>
      <c r="S424" s="6">
        <f t="shared" si="57"/>
        <v>0</v>
      </c>
      <c r="T424" s="6">
        <f t="shared" si="57"/>
        <v>0</v>
      </c>
      <c r="U424" s="6">
        <f t="shared" si="57"/>
        <v>0</v>
      </c>
      <c r="V424" s="6">
        <f t="shared" si="57"/>
        <v>0</v>
      </c>
      <c r="W424" s="6">
        <f t="shared" si="57"/>
        <v>0</v>
      </c>
      <c r="X424" s="6">
        <f t="shared" si="57"/>
        <v>0</v>
      </c>
      <c r="Y424" s="6">
        <f t="shared" si="57"/>
        <v>0</v>
      </c>
      <c r="Z424" s="6">
        <f t="shared" si="57"/>
        <v>0</v>
      </c>
    </row>
    <row r="425" spans="1:53" outlineLevel="1" x14ac:dyDescent="0.35">
      <c r="A425" s="6" t="s">
        <v>760</v>
      </c>
      <c r="B425" s="6">
        <f>$B$252*50*'Results - raw data ReCiPe (H)'!BC128/(1-$AC$390)*(1+'Results ReCiPe (H) - HHD'!$AC$271/'Results ReCiPe (H) - HHD'!$AC$272-'Results ReCiPe (H) - HHD'!$AC$271)</f>
        <v>342.06057346102455</v>
      </c>
      <c r="C425" s="6">
        <f>$B$252*50*'Results - raw data ReCiPe (H)'!BD128/(1-$AC$390)*(1+'Results ReCiPe (H) - HHD'!$AC$271/'Results ReCiPe (H) - HHD'!$AC$272-'Results ReCiPe (H) - HHD'!$AC$271)</f>
        <v>340.79265489021151</v>
      </c>
      <c r="D425" s="6">
        <f>$B$252*50*'Results - raw data ReCiPe (H)'!BE128/(1-$AC$390)*(1+'Results ReCiPe (H) - HHD'!$AC$271/'Results ReCiPe (H) - HHD'!$AC$272-'Results ReCiPe (H) - HHD'!$AC$271)</f>
        <v>339.50338787328121</v>
      </c>
      <c r="E425" s="6">
        <f>$B$252*50*'Results - raw data ReCiPe (H)'!BF128/(1-$AC$390)*(1+'Results ReCiPe (H) - HHD'!$AC$271/'Results ReCiPe (H) - HHD'!$AC$272-'Results ReCiPe (H) - HHD'!$AC$271)</f>
        <v>334.90545691545429</v>
      </c>
      <c r="F425" s="6">
        <f>$B$252*50*'Results - raw data ReCiPe (H)'!BG128/(1-$AC$390)*(1+'Results ReCiPe (H) - HHD'!$AC$271/'Results ReCiPe (H) - HHD'!$AC$272-'Results ReCiPe (H) - HHD'!$AC$271)</f>
        <v>333.55358695307848</v>
      </c>
      <c r="G425" s="6">
        <f>$B$252*50*'Results - raw data ReCiPe (H)'!BH128/(1-$AC$390)*(1+'Results ReCiPe (H) - HHD'!$AC$271/'Results ReCiPe (H) - HHD'!$AC$272-'Results ReCiPe (H) - HHD'!$AC$271)</f>
        <v>332.20269132138816</v>
      </c>
      <c r="H425" s="6">
        <f>$B$252*50*'Results - raw data ReCiPe (H)'!BI128/(1-$AC$390)*(1+'Results ReCiPe (H) - HHD'!$AC$271/'Results ReCiPe (H) - HHD'!$AC$272-'Results ReCiPe (H) - HHD'!$AC$271)</f>
        <v>333.06599341828917</v>
      </c>
      <c r="I425" s="6">
        <f>$B$252*50*'Results - raw data ReCiPe (H)'!BJ128/(1-$AC$390)*(1+'Results ReCiPe (H) - HHD'!$AC$271/'Results ReCiPe (H) - HHD'!$AC$272-'Results ReCiPe (H) - HHD'!$AC$271)</f>
        <v>333.89092652969049</v>
      </c>
      <c r="J425" s="6">
        <f>$B$252*50*'Results - raw data ReCiPe (H)'!BK128/(1-$AC$390)*(1+'Results ReCiPe (H) - HHD'!$AC$271/'Results ReCiPe (H) - HHD'!$AC$272-'Results ReCiPe (H) - HHD'!$AC$271)</f>
        <v>332.48153941788775</v>
      </c>
      <c r="K425" s="6">
        <f>$B$252*50*'Results - raw data ReCiPe (H)'!BL128/(1-$AC$390)*(1+'Results ReCiPe (H) - HHD'!$AC$271/'Results ReCiPe (H) - HHD'!$AC$272-'Results ReCiPe (H) - HHD'!$AC$271)</f>
        <v>333.26058787049283</v>
      </c>
      <c r="L425" s="6">
        <f>$B$252*50*'Results - raw data ReCiPe (H)'!BM128/(1-$AC$390)*(1+'Results ReCiPe (H) - HHD'!$AC$271/'Results ReCiPe (H) - HHD'!$AC$272-'Results ReCiPe (H) - HHD'!$AC$271)</f>
        <v>334.00835882653439</v>
      </c>
      <c r="M425" s="6">
        <f>$B$252*50*'Results - raw data ReCiPe (H)'!BN128/(1-$AC$390)*(1+'Results ReCiPe (H) - HHD'!$AC$271/'Results ReCiPe (H) - HHD'!$AC$272-'Results ReCiPe (H) - HHD'!$AC$271)</f>
        <v>333.38088707198386</v>
      </c>
      <c r="N425" s="6">
        <f>$B$252*50*'Results - raw data ReCiPe (H)'!BO128/(1-$AC$390)*(1+'Results ReCiPe (H) - HHD'!$AC$271/'Results ReCiPe (H) - HHD'!$AC$272-'Results ReCiPe (H) - HHD'!$AC$271)</f>
        <v>332.76206358895985</v>
      </c>
      <c r="O425" s="6">
        <f>$B$252*50*'Results - raw data ReCiPe (H)'!BP128/(1-$AC$390)*(1+'Results ReCiPe (H) - HHD'!$AC$271/'Results ReCiPe (H) - HHD'!$AC$272-'Results ReCiPe (H) - HHD'!$AC$271)</f>
        <v>331.53763744536172</v>
      </c>
      <c r="P425" s="6">
        <f>$B$252*50*'Results - raw data ReCiPe (H)'!BQ128/(1-$AC$390)*(1+'Results ReCiPe (H) - HHD'!$AC$271/'Results ReCiPe (H) - HHD'!$AC$272-'Results ReCiPe (H) - HHD'!$AC$271)</f>
        <v>330.92844736523415</v>
      </c>
      <c r="Q425" s="6">
        <f>$B$252*50*'Results - raw data ReCiPe (H)'!BR128/(1-$AC$390)*(1+'Results ReCiPe (H) - HHD'!$AC$271/'Results ReCiPe (H) - HHD'!$AC$272-'Results ReCiPe (H) - HHD'!$AC$271)</f>
        <v>330.31248161658857</v>
      </c>
      <c r="R425" s="6">
        <f>$B$252*50*'Results - raw data ReCiPe (H)'!BS128/(1-$AC$390)*(1+'Results ReCiPe (H) - HHD'!$AC$271/'Results ReCiPe (H) - HHD'!$AC$272-'Results ReCiPe (H) - HHD'!$AC$271)</f>
        <v>328.83877564617239</v>
      </c>
      <c r="S425" s="6">
        <f>$B$252*50*'Results - raw data ReCiPe (H)'!BT128/(1-$AC$390)*(1+'Results ReCiPe (H) - HHD'!$AC$271/'Results ReCiPe (H) - HHD'!$AC$272-'Results ReCiPe (H) - HHD'!$AC$271)</f>
        <v>327.38039608044772</v>
      </c>
      <c r="T425" s="6">
        <f>$B$252*50*'Results - raw data ReCiPe (H)'!BU128/(1-$AC$390)*(1+'Results ReCiPe (H) - HHD'!$AC$271/'Results ReCiPe (H) - HHD'!$AC$272-'Results ReCiPe (H) - HHD'!$AC$271)</f>
        <v>325.35638183755327</v>
      </c>
      <c r="U425" s="6">
        <f>$B$252*50*'Results - raw data ReCiPe (H)'!BV128/(1-$AC$390)*(1+'Results ReCiPe (H) - HHD'!$AC$271/'Results ReCiPe (H) - HHD'!$AC$272-'Results ReCiPe (H) - HHD'!$AC$271)</f>
        <v>323.9140988352205</v>
      </c>
      <c r="V425" s="6">
        <f>$B$252*50*'Results - raw data ReCiPe (H)'!BW128/(1-$AC$390)*(1+'Results ReCiPe (H) - HHD'!$AC$271/'Results ReCiPe (H) - HHD'!$AC$272-'Results ReCiPe (H) - HHD'!$AC$271)</f>
        <v>322.40607780393708</v>
      </c>
      <c r="W425" s="6">
        <f>$B$252*50*'Results - raw data ReCiPe (H)'!BX128/(1-$AC$390)*(1+'Results ReCiPe (H) - HHD'!$AC$271/'Results ReCiPe (H) - HHD'!$AC$272-'Results ReCiPe (H) - HHD'!$AC$271)</f>
        <v>322.05583431739825</v>
      </c>
      <c r="X425" s="6">
        <f>$B$252*50*'Results - raw data ReCiPe (H)'!BY128/(1-$AC$390)*(1+'Results ReCiPe (H) - HHD'!$AC$271/'Results ReCiPe (H) - HHD'!$AC$272-'Results ReCiPe (H) - HHD'!$AC$271)</f>
        <v>321.70816822842056</v>
      </c>
      <c r="Y425" s="6">
        <f>$B$252*50*'Results - raw data ReCiPe (H)'!BZ128/(1-$AC$390)*(1+'Results ReCiPe (H) - HHD'!$AC$271/'Results ReCiPe (H) - HHD'!$AC$272-'Results ReCiPe (H) - HHD'!$AC$271)</f>
        <v>321.36199873353911</v>
      </c>
      <c r="Z425" s="6">
        <f>$B$252*50*'Results - raw data ReCiPe (H)'!CA128/(1-$AC$390)*(1+'Results ReCiPe (H) - HHD'!$AC$271/'Results ReCiPe (H) - HHD'!$AC$272-'Results ReCiPe (H) - HHD'!$AC$271)</f>
        <v>321.01729869105526</v>
      </c>
    </row>
    <row r="426" spans="1:53" outlineLevel="1" x14ac:dyDescent="0.35">
      <c r="A426" s="6" t="s">
        <v>797</v>
      </c>
      <c r="B426" s="6">
        <f>$B$380*$AC$384</f>
        <v>391.12436279725841</v>
      </c>
      <c r="C426" s="6">
        <f t="shared" ref="C426:Z426" si="58">$B$380*$AC$384</f>
        <v>391.12436279725841</v>
      </c>
      <c r="D426" s="6">
        <f t="shared" si="58"/>
        <v>391.12436279725841</v>
      </c>
      <c r="E426" s="6">
        <f t="shared" si="58"/>
        <v>391.12436279725841</v>
      </c>
      <c r="F426" s="6">
        <f t="shared" si="58"/>
        <v>391.12436279725841</v>
      </c>
      <c r="G426" s="6">
        <f t="shared" si="58"/>
        <v>391.12436279725841</v>
      </c>
      <c r="H426" s="6">
        <f t="shared" si="58"/>
        <v>391.12436279725841</v>
      </c>
      <c r="I426" s="6">
        <f t="shared" si="58"/>
        <v>391.12436279725841</v>
      </c>
      <c r="J426" s="6">
        <f t="shared" si="58"/>
        <v>391.12436279725841</v>
      </c>
      <c r="K426" s="6">
        <f t="shared" si="58"/>
        <v>391.12436279725841</v>
      </c>
      <c r="L426" s="6">
        <f t="shared" si="58"/>
        <v>391.12436279725841</v>
      </c>
      <c r="M426" s="6">
        <f t="shared" si="58"/>
        <v>391.12436279725841</v>
      </c>
      <c r="N426" s="6">
        <f t="shared" si="58"/>
        <v>391.12436279725841</v>
      </c>
      <c r="O426" s="6">
        <f t="shared" si="58"/>
        <v>391.12436279725841</v>
      </c>
      <c r="P426" s="6">
        <f t="shared" si="58"/>
        <v>391.12436279725841</v>
      </c>
      <c r="Q426" s="6">
        <f t="shared" si="58"/>
        <v>391.12436279725841</v>
      </c>
      <c r="R426" s="6">
        <f t="shared" si="58"/>
        <v>391.12436279725841</v>
      </c>
      <c r="S426" s="6">
        <f t="shared" si="58"/>
        <v>391.12436279725841</v>
      </c>
      <c r="T426" s="6">
        <f t="shared" si="58"/>
        <v>391.12436279725841</v>
      </c>
      <c r="U426" s="6">
        <f t="shared" si="58"/>
        <v>391.12436279725841</v>
      </c>
      <c r="V426" s="6">
        <f t="shared" si="58"/>
        <v>391.12436279725841</v>
      </c>
      <c r="W426" s="6">
        <f t="shared" si="58"/>
        <v>391.12436279725841</v>
      </c>
      <c r="X426" s="6">
        <f t="shared" si="58"/>
        <v>391.12436279725841</v>
      </c>
      <c r="Y426" s="6">
        <f t="shared" si="58"/>
        <v>391.12436279725841</v>
      </c>
      <c r="Z426" s="6">
        <f t="shared" si="58"/>
        <v>391.12436279725841</v>
      </c>
    </row>
    <row r="427" spans="1:53" outlineLevel="1" x14ac:dyDescent="0.35">
      <c r="A427" s="23" t="s">
        <v>125</v>
      </c>
      <c r="B427" s="17">
        <f>SUM(B395:B425)</f>
        <v>3281.5507639785014</v>
      </c>
      <c r="C427" s="17">
        <f t="shared" ref="C427:Z427" si="59">SUM(C395:C425)</f>
        <v>509.32214166563199</v>
      </c>
      <c r="D427" s="17">
        <f t="shared" si="59"/>
        <v>503.10365424678753</v>
      </c>
      <c r="E427" s="17">
        <f t="shared" si="59"/>
        <v>492.68535218431748</v>
      </c>
      <c r="F427" s="17">
        <f t="shared" si="59"/>
        <v>486.38688494379255</v>
      </c>
      <c r="G427" s="17">
        <f t="shared" si="59"/>
        <v>480.08131859666184</v>
      </c>
      <c r="H427" s="17">
        <f t="shared" si="59"/>
        <v>486.81212169394814</v>
      </c>
      <c r="I427" s="17">
        <f t="shared" si="59"/>
        <v>493.45758346307025</v>
      </c>
      <c r="J427" s="17">
        <f t="shared" si="59"/>
        <v>497.16544472033172</v>
      </c>
      <c r="K427" s="17">
        <f t="shared" si="59"/>
        <v>503.67177615278678</v>
      </c>
      <c r="L427" s="17">
        <f t="shared" si="59"/>
        <v>510.10179282430801</v>
      </c>
      <c r="M427" s="17">
        <f t="shared" si="59"/>
        <v>516.04612921090416</v>
      </c>
      <c r="N427" s="17">
        <f t="shared" si="59"/>
        <v>521.98914765198867</v>
      </c>
      <c r="O427" s="17">
        <f t="shared" si="59"/>
        <v>527.13697555959925</v>
      </c>
      <c r="P427" s="17">
        <f t="shared" si="59"/>
        <v>533.07382356329697</v>
      </c>
      <c r="Q427" s="17">
        <f t="shared" si="59"/>
        <v>538.993424178542</v>
      </c>
      <c r="R427" s="17">
        <f t="shared" si="59"/>
        <v>535.16580933773082</v>
      </c>
      <c r="S427" s="17">
        <f t="shared" si="59"/>
        <v>531.34659835324931</v>
      </c>
      <c r="T427" s="17">
        <f t="shared" si="59"/>
        <v>526.78714406903373</v>
      </c>
      <c r="U427" s="17">
        <f t="shared" si="59"/>
        <v>522.97283289458892</v>
      </c>
      <c r="V427" s="17">
        <f t="shared" si="59"/>
        <v>519.08484553255312</v>
      </c>
      <c r="W427" s="17">
        <f t="shared" si="59"/>
        <v>518.5872596868345</v>
      </c>
      <c r="X427" s="17">
        <f t="shared" si="59"/>
        <v>518.09717447590106</v>
      </c>
      <c r="Y427" s="17">
        <f t="shared" si="59"/>
        <v>517.60820353261488</v>
      </c>
      <c r="Z427" s="17">
        <f t="shared" si="59"/>
        <v>556.52422990262687</v>
      </c>
    </row>
    <row r="428" spans="1:53" s="26" customFormat="1" outlineLevel="1" x14ac:dyDescent="0.35"/>
    <row r="429" spans="1:53" s="236" customFormat="1" ht="21" x14ac:dyDescent="0.5">
      <c r="A429" s="236" t="s">
        <v>136</v>
      </c>
    </row>
    <row r="432" spans="1:53" x14ac:dyDescent="0.35">
      <c r="A432" s="331" t="s">
        <v>131</v>
      </c>
      <c r="B432" s="331"/>
      <c r="C432" s="331"/>
      <c r="D432" s="331"/>
      <c r="E432" s="331"/>
      <c r="F432" s="331"/>
      <c r="G432" s="331"/>
      <c r="H432" s="331"/>
      <c r="I432" s="331"/>
      <c r="J432" s="331"/>
      <c r="K432" s="331"/>
    </row>
    <row r="433" spans="1:11" x14ac:dyDescent="0.35">
      <c r="A433" s="6" t="s">
        <v>904</v>
      </c>
    </row>
    <row r="434" spans="1:11" x14ac:dyDescent="0.35">
      <c r="B434" s="6" t="s">
        <v>889</v>
      </c>
      <c r="C434" s="6" t="s">
        <v>891</v>
      </c>
      <c r="D434" s="6" t="s">
        <v>890</v>
      </c>
      <c r="E434" s="6" t="s">
        <v>892</v>
      </c>
      <c r="F434" s="6" t="s">
        <v>893</v>
      </c>
      <c r="G434" s="6" t="s">
        <v>894</v>
      </c>
      <c r="H434" s="6" t="s">
        <v>896</v>
      </c>
      <c r="I434" s="6" t="s">
        <v>897</v>
      </c>
      <c r="J434" s="6" t="s">
        <v>895</v>
      </c>
    </row>
    <row r="435" spans="1:11" x14ac:dyDescent="0.35">
      <c r="A435" s="6" t="s">
        <v>117</v>
      </c>
      <c r="B435" s="6">
        <f>SUM(AC10:BA10)</f>
        <v>2893.1840673783981</v>
      </c>
      <c r="C435" s="6">
        <f>SUM(AC50:BA50)</f>
        <v>2837.5515154411646</v>
      </c>
      <c r="D435" s="6">
        <f>SUM(AC90:BA90)</f>
        <v>2681.9296561792253</v>
      </c>
      <c r="E435" s="6">
        <f>SUM(AC132:BA132)</f>
        <v>2893.1840673783981</v>
      </c>
      <c r="F435" s="6">
        <f>SUM(AC173:BA173)</f>
        <v>2837.5515154411646</v>
      </c>
      <c r="G435" s="6">
        <f>SUM(AC214:BA214)</f>
        <v>2681.9296561792253</v>
      </c>
      <c r="H435" s="6">
        <f>SUM(AC274:BA274)</f>
        <v>2845.7346061175544</v>
      </c>
      <c r="I435" s="6">
        <f>SUM(AC334:BA334)</f>
        <v>2790.777108402302</v>
      </c>
      <c r="J435" s="6">
        <f>SUM(AC395:BA395)</f>
        <v>2636.5958501448285</v>
      </c>
    </row>
    <row r="436" spans="1:11" x14ac:dyDescent="0.35">
      <c r="A436" s="6" t="s">
        <v>118</v>
      </c>
      <c r="B436" s="6">
        <f>SUM(AC11:BA11)</f>
        <v>269.67676540478124</v>
      </c>
      <c r="C436" s="6">
        <f>SUM(AC51:BA51)</f>
        <v>266.94496473340826</v>
      </c>
      <c r="D436" s="6">
        <f>SUM(AC91:BA91)</f>
        <v>258.88808240632699</v>
      </c>
      <c r="E436" s="6">
        <f>SUM(AC133:BA133)</f>
        <v>269.67676540478124</v>
      </c>
      <c r="F436" s="6">
        <f>SUM(AC174:BA174)</f>
        <v>266.94496473340826</v>
      </c>
      <c r="G436" s="6">
        <f>SUM(AC215:BA215)</f>
        <v>258.88808240632699</v>
      </c>
      <c r="H436" s="6">
        <f t="shared" ref="H436:H444" si="60">SUM(AC275:BA275)</f>
        <v>134.83838270239062</v>
      </c>
      <c r="I436" s="6">
        <f t="shared" ref="I436:I444" si="61">SUM(AC335:BA335)</f>
        <v>133.47248236670413</v>
      </c>
      <c r="J436" s="6">
        <f t="shared" ref="J436:J444" si="62">SUM(AC396:BA396)</f>
        <v>129.44404120316349</v>
      </c>
    </row>
    <row r="437" spans="1:11" x14ac:dyDescent="0.35">
      <c r="A437" s="6" t="s">
        <v>119</v>
      </c>
      <c r="B437" s="6">
        <f>SUM(AC12:BA12)</f>
        <v>45.635874346592793</v>
      </c>
      <c r="C437" s="6">
        <f>SUM(AC52:BA52)</f>
        <v>41.794125692809452</v>
      </c>
      <c r="D437" s="6">
        <f>SUM(AC92:BA92)</f>
        <v>38.789621318581062</v>
      </c>
      <c r="E437" s="6">
        <f>SUM(AC134:BA134)</f>
        <v>45.635874346592793</v>
      </c>
      <c r="F437" s="6">
        <f>SUM(AC175:BA175)</f>
        <v>41.794125692809452</v>
      </c>
      <c r="G437" s="6">
        <f>SUM(AC216:BA216)</f>
        <v>38.789621318581062</v>
      </c>
      <c r="H437" s="6">
        <f t="shared" si="60"/>
        <v>45.635874346592793</v>
      </c>
      <c r="I437" s="6">
        <f t="shared" si="61"/>
        <v>41.794125692809452</v>
      </c>
      <c r="J437" s="6">
        <f t="shared" si="62"/>
        <v>38.789621318581062</v>
      </c>
    </row>
    <row r="438" spans="1:11" x14ac:dyDescent="0.35">
      <c r="A438" s="6" t="s">
        <v>120</v>
      </c>
      <c r="B438" s="6">
        <f>SUM(AC13:BA13)</f>
        <v>5.3706297748739608E-4</v>
      </c>
      <c r="C438" s="6">
        <f>SUM(AC53:BA53)</f>
        <v>1.2962860497828945</v>
      </c>
      <c r="D438" s="6">
        <f>SUM(AC93:BA93)</f>
        <v>1.2288061080708204</v>
      </c>
      <c r="E438" s="6">
        <f>SUM(AC135:BA135)</f>
        <v>1.3426574437184902</v>
      </c>
      <c r="F438" s="6">
        <f>SUM(AC176:BA176)</f>
        <v>1.2962860497828945</v>
      </c>
      <c r="G438" s="6">
        <f>SUM(AC217:BA217)</f>
        <v>1.2288061080708204</v>
      </c>
      <c r="H438" s="6">
        <f t="shared" si="60"/>
        <v>2.6853148874369804E-4</v>
      </c>
      <c r="I438" s="6">
        <f t="shared" si="61"/>
        <v>0.64814302489144726</v>
      </c>
      <c r="J438" s="6">
        <f t="shared" si="62"/>
        <v>0.61440305403541018</v>
      </c>
    </row>
    <row r="439" spans="1:11" x14ac:dyDescent="0.35">
      <c r="A439" s="6" t="s">
        <v>121</v>
      </c>
      <c r="B439" s="6">
        <f>SUM(AC14:BA14)</f>
        <v>1050.2631544123385</v>
      </c>
      <c r="C439" s="6">
        <f>SUM(AC54:BA54)</f>
        <v>1033.4263701065008</v>
      </c>
      <c r="D439" s="6">
        <f>SUM(AC94:BA94)</f>
        <v>1014.1087350303941</v>
      </c>
      <c r="E439" s="6">
        <f>SUM(AC136:BA136)</f>
        <v>1050.2631544123385</v>
      </c>
      <c r="F439" s="6">
        <f>SUM(AC177:BA177)</f>
        <v>1033.4263701065008</v>
      </c>
      <c r="G439" s="6">
        <f>SUM(AC218:BA218)</f>
        <v>1014.1087350303941</v>
      </c>
      <c r="H439" s="6">
        <f t="shared" si="60"/>
        <v>1050.2631544123385</v>
      </c>
      <c r="I439" s="6">
        <f t="shared" si="61"/>
        <v>1033.4263701065008</v>
      </c>
      <c r="J439" s="6">
        <f t="shared" si="62"/>
        <v>1014.1087350303941</v>
      </c>
    </row>
    <row r="440" spans="1:11" x14ac:dyDescent="0.35">
      <c r="A440" s="6" t="s">
        <v>800</v>
      </c>
      <c r="H440" s="6">
        <f t="shared" si="60"/>
        <v>10657.194576907372</v>
      </c>
      <c r="I440" s="6">
        <f t="shared" si="61"/>
        <v>10440.610308424351</v>
      </c>
      <c r="J440" s="6">
        <f t="shared" si="62"/>
        <v>9778.1090699314573</v>
      </c>
    </row>
    <row r="441" spans="1:11" x14ac:dyDescent="0.35">
      <c r="A441" s="6" t="s">
        <v>122</v>
      </c>
      <c r="B441" s="6">
        <f>SUM(AC15:BA15)</f>
        <v>66458.897261617778</v>
      </c>
      <c r="C441" s="6">
        <f>SUM(AC55:BA55)</f>
        <v>56714.211316849192</v>
      </c>
      <c r="D441" s="6">
        <f>SUM(AC95:BA95)</f>
        <v>43878.850141213807</v>
      </c>
      <c r="E441" s="6">
        <f>SUM(AC137:BA137)</f>
        <v>52327.131303148788</v>
      </c>
      <c r="F441" s="6">
        <f>SUM(AC178:BA178)</f>
        <v>44885.454534047021</v>
      </c>
      <c r="G441" s="6">
        <f>SUM(AC219:BA219)</f>
        <v>35051.07806002174</v>
      </c>
      <c r="H441" s="6">
        <f t="shared" si="60"/>
        <v>8542.336134653513</v>
      </c>
      <c r="I441" s="6">
        <f t="shared" si="61"/>
        <v>8479.5027660768174</v>
      </c>
      <c r="J441" s="6">
        <f t="shared" si="62"/>
        <v>8262.6863047392053</v>
      </c>
    </row>
    <row r="442" spans="1:11" x14ac:dyDescent="0.35">
      <c r="A442" s="6" t="s">
        <v>123</v>
      </c>
      <c r="B442" s="6">
        <f>SUM(AC16:BA16)</f>
        <v>5201.9934149567398</v>
      </c>
      <c r="C442" s="6">
        <f>SUM(AC56:BA56)</f>
        <v>4467.9835870805282</v>
      </c>
      <c r="D442" s="6">
        <f>SUM(AC96:BA96)</f>
        <v>3485.3501403630407</v>
      </c>
      <c r="E442" s="6">
        <f>SUM(AC138:BA138)</f>
        <v>5201.9934149567398</v>
      </c>
      <c r="F442" s="6">
        <f>SUM(AC179:BA179)</f>
        <v>4467.9835870805282</v>
      </c>
      <c r="G442" s="6">
        <f>SUM(AC220:BA220)</f>
        <v>3485.3501403630407</v>
      </c>
      <c r="H442" s="6">
        <f t="shared" si="60"/>
        <v>2600.9967074783699</v>
      </c>
      <c r="I442" s="6">
        <f t="shared" si="61"/>
        <v>2233.9917935402641</v>
      </c>
      <c r="J442" s="6">
        <f t="shared" si="62"/>
        <v>1742.6750701815204</v>
      </c>
    </row>
    <row r="443" spans="1:11" x14ac:dyDescent="0.35">
      <c r="A443" s="6" t="s">
        <v>124</v>
      </c>
      <c r="B443" s="6">
        <f>SUM(AC17:BA17)</f>
        <v>0</v>
      </c>
      <c r="C443" s="6">
        <f>SUM(AC57:BA57)</f>
        <v>0</v>
      </c>
      <c r="D443" s="6">
        <f>SUM(AC97:BA97)</f>
        <v>0</v>
      </c>
      <c r="E443" s="6">
        <f>SUM(AC139:BA139)</f>
        <v>0</v>
      </c>
      <c r="F443" s="6">
        <f>SUM(AC180:BA180)</f>
        <v>0</v>
      </c>
      <c r="G443" s="6">
        <f>SUM(AC221:BA221)</f>
        <v>0</v>
      </c>
      <c r="H443" s="6">
        <f t="shared" si="60"/>
        <v>0</v>
      </c>
      <c r="I443" s="6">
        <f t="shared" si="61"/>
        <v>0</v>
      </c>
      <c r="J443" s="6">
        <f t="shared" si="62"/>
        <v>0</v>
      </c>
    </row>
    <row r="444" spans="1:11" x14ac:dyDescent="0.35">
      <c r="A444" s="6" t="s">
        <v>137</v>
      </c>
      <c r="B444" s="6">
        <f>SUM(AC18:BA18)</f>
        <v>75919.651075179616</v>
      </c>
      <c r="C444" s="6">
        <f>SUM(AC58:BA58)</f>
        <v>65363.208165953372</v>
      </c>
      <c r="D444" s="6">
        <f>SUM(AC98:BA98)</f>
        <v>51359.145182619439</v>
      </c>
      <c r="E444" s="6">
        <f>SUM(AC140:BA140)</f>
        <v>61789.227237091356</v>
      </c>
      <c r="F444" s="6">
        <f>SUM(AC181:BA181)</f>
        <v>53534.451383151216</v>
      </c>
      <c r="G444" s="6">
        <f>SUM(AC222:BA222)</f>
        <v>42531.37310142738</v>
      </c>
      <c r="H444" s="6">
        <f t="shared" si="60"/>
        <v>25876.999705149618</v>
      </c>
      <c r="I444" s="6">
        <f t="shared" si="61"/>
        <v>25154.223097634636</v>
      </c>
      <c r="J444" s="6">
        <f t="shared" si="62"/>
        <v>23603.023095603188</v>
      </c>
    </row>
    <row r="446" spans="1:11" x14ac:dyDescent="0.35">
      <c r="A446" s="331" t="s">
        <v>133</v>
      </c>
      <c r="B446" s="331"/>
      <c r="C446" s="331"/>
      <c r="D446" s="331"/>
      <c r="E446" s="331"/>
      <c r="F446" s="331"/>
      <c r="G446" s="331"/>
      <c r="H446" s="331"/>
      <c r="I446" s="331"/>
      <c r="J446" s="331"/>
      <c r="K446" s="331"/>
    </row>
    <row r="447" spans="1:11" x14ac:dyDescent="0.35">
      <c r="A447" s="6" t="s">
        <v>905</v>
      </c>
    </row>
    <row r="448" spans="1:11" x14ac:dyDescent="0.35">
      <c r="B448" s="6" t="s">
        <v>889</v>
      </c>
      <c r="C448" s="6" t="s">
        <v>891</v>
      </c>
      <c r="D448" s="6" t="s">
        <v>890</v>
      </c>
      <c r="E448" s="6" t="s">
        <v>892</v>
      </c>
      <c r="F448" s="6" t="s">
        <v>893</v>
      </c>
      <c r="G448" s="6" t="s">
        <v>894</v>
      </c>
      <c r="H448" s="6" t="s">
        <v>896</v>
      </c>
      <c r="I448" s="6" t="s">
        <v>897</v>
      </c>
      <c r="J448" s="6" t="s">
        <v>895</v>
      </c>
    </row>
    <row r="449" spans="1:11" x14ac:dyDescent="0.35">
      <c r="A449" s="6" t="s">
        <v>117</v>
      </c>
      <c r="B449" s="6">
        <f>B435/25</f>
        <v>115.72736269513592</v>
      </c>
      <c r="C449" s="6">
        <f t="shared" ref="C449:J449" si="63">C435/25</f>
        <v>113.50206061764658</v>
      </c>
      <c r="D449" s="6">
        <f t="shared" si="63"/>
        <v>107.27718624716901</v>
      </c>
      <c r="E449" s="6">
        <f t="shared" si="63"/>
        <v>115.72736269513592</v>
      </c>
      <c r="F449" s="6">
        <f t="shared" si="63"/>
        <v>113.50206061764658</v>
      </c>
      <c r="G449" s="6">
        <f t="shared" si="63"/>
        <v>107.27718624716901</v>
      </c>
      <c r="H449" s="6">
        <f t="shared" si="63"/>
        <v>113.82938424470218</v>
      </c>
      <c r="I449" s="6">
        <f t="shared" si="63"/>
        <v>111.63108433609209</v>
      </c>
      <c r="J449" s="6">
        <f t="shared" si="63"/>
        <v>105.46383400579315</v>
      </c>
    </row>
    <row r="450" spans="1:11" x14ac:dyDescent="0.35">
      <c r="A450" s="6" t="s">
        <v>118</v>
      </c>
      <c r="B450" s="6">
        <f t="shared" ref="B450:J458" si="64">B436/25</f>
        <v>10.787070616191249</v>
      </c>
      <c r="C450" s="6">
        <f t="shared" si="64"/>
        <v>10.67779858933633</v>
      </c>
      <c r="D450" s="6">
        <f t="shared" si="64"/>
        <v>10.355523296253079</v>
      </c>
      <c r="E450" s="6">
        <f t="shared" si="64"/>
        <v>10.787070616191249</v>
      </c>
      <c r="F450" s="6">
        <f t="shared" si="64"/>
        <v>10.67779858933633</v>
      </c>
      <c r="G450" s="6">
        <f t="shared" si="64"/>
        <v>10.355523296253079</v>
      </c>
      <c r="H450" s="6">
        <f t="shared" si="64"/>
        <v>5.3935353080956245</v>
      </c>
      <c r="I450" s="6">
        <f t="shared" si="64"/>
        <v>5.338899294668165</v>
      </c>
      <c r="J450" s="6">
        <f t="shared" si="64"/>
        <v>5.1777616481265394</v>
      </c>
    </row>
    <row r="451" spans="1:11" x14ac:dyDescent="0.35">
      <c r="A451" s="6" t="s">
        <v>119</v>
      </c>
      <c r="B451" s="6">
        <f t="shared" si="64"/>
        <v>1.8254349738637117</v>
      </c>
      <c r="C451" s="6">
        <f t="shared" si="64"/>
        <v>1.6717650277123781</v>
      </c>
      <c r="D451" s="6">
        <f t="shared" si="64"/>
        <v>1.5515848527432425</v>
      </c>
      <c r="E451" s="6">
        <f t="shared" si="64"/>
        <v>1.8254349738637117</v>
      </c>
      <c r="F451" s="6">
        <f t="shared" si="64"/>
        <v>1.6717650277123781</v>
      </c>
      <c r="G451" s="6">
        <f t="shared" si="64"/>
        <v>1.5515848527432425</v>
      </c>
      <c r="H451" s="6">
        <f t="shared" si="64"/>
        <v>1.8254349738637117</v>
      </c>
      <c r="I451" s="6">
        <f t="shared" si="64"/>
        <v>1.6717650277123781</v>
      </c>
      <c r="J451" s="6">
        <f t="shared" si="64"/>
        <v>1.5515848527432425</v>
      </c>
    </row>
    <row r="452" spans="1:11" x14ac:dyDescent="0.35">
      <c r="A452" s="6" t="s">
        <v>120</v>
      </c>
      <c r="B452" s="6">
        <f t="shared" si="64"/>
        <v>2.1482519099495843E-5</v>
      </c>
      <c r="C452" s="6">
        <f t="shared" si="64"/>
        <v>5.1851441991315778E-2</v>
      </c>
      <c r="D452" s="6">
        <f t="shared" si="64"/>
        <v>4.9152244322832814E-2</v>
      </c>
      <c r="E452" s="6">
        <f t="shared" si="64"/>
        <v>5.3706297748739605E-2</v>
      </c>
      <c r="F452" s="6">
        <f t="shared" si="64"/>
        <v>5.1851441991315778E-2</v>
      </c>
      <c r="G452" s="6">
        <f t="shared" si="64"/>
        <v>4.9152244322832814E-2</v>
      </c>
      <c r="H452" s="6">
        <f t="shared" si="64"/>
        <v>1.0741259549747921E-5</v>
      </c>
      <c r="I452" s="6">
        <f t="shared" si="64"/>
        <v>2.5925720995657889E-2</v>
      </c>
      <c r="J452" s="6">
        <f t="shared" si="64"/>
        <v>2.4576122161416407E-2</v>
      </c>
    </row>
    <row r="453" spans="1:11" x14ac:dyDescent="0.35">
      <c r="A453" s="6" t="s">
        <v>121</v>
      </c>
      <c r="B453" s="6">
        <f t="shared" si="64"/>
        <v>42.010526176493542</v>
      </c>
      <c r="C453" s="6">
        <f t="shared" si="64"/>
        <v>41.337054804260035</v>
      </c>
      <c r="D453" s="6">
        <f t="shared" si="64"/>
        <v>40.564349401215765</v>
      </c>
      <c r="E453" s="6">
        <f t="shared" si="64"/>
        <v>42.010526176493542</v>
      </c>
      <c r="F453" s="6">
        <f t="shared" si="64"/>
        <v>41.337054804260035</v>
      </c>
      <c r="G453" s="6">
        <f t="shared" si="64"/>
        <v>40.564349401215765</v>
      </c>
      <c r="H453" s="6">
        <f t="shared" si="64"/>
        <v>42.010526176493542</v>
      </c>
      <c r="I453" s="6">
        <f t="shared" si="64"/>
        <v>41.337054804260035</v>
      </c>
      <c r="J453" s="6">
        <f t="shared" si="64"/>
        <v>40.564349401215765</v>
      </c>
    </row>
    <row r="454" spans="1:11" x14ac:dyDescent="0.35">
      <c r="A454" s="6" t="s">
        <v>800</v>
      </c>
      <c r="B454" s="6">
        <f t="shared" si="64"/>
        <v>0</v>
      </c>
      <c r="C454" s="6">
        <f t="shared" si="64"/>
        <v>0</v>
      </c>
      <c r="D454" s="6">
        <f t="shared" si="64"/>
        <v>0</v>
      </c>
      <c r="E454" s="6">
        <f t="shared" si="64"/>
        <v>0</v>
      </c>
      <c r="F454" s="6">
        <f t="shared" si="64"/>
        <v>0</v>
      </c>
      <c r="G454" s="6">
        <f t="shared" si="64"/>
        <v>0</v>
      </c>
      <c r="H454" s="6">
        <f t="shared" si="64"/>
        <v>426.28778307629489</v>
      </c>
      <c r="I454" s="6">
        <f t="shared" si="64"/>
        <v>417.62441233697405</v>
      </c>
      <c r="J454" s="6">
        <f t="shared" si="64"/>
        <v>391.1243627972583</v>
      </c>
    </row>
    <row r="455" spans="1:11" x14ac:dyDescent="0.35">
      <c r="A455" s="6" t="s">
        <v>122</v>
      </c>
      <c r="B455" s="6">
        <f t="shared" si="64"/>
        <v>2658.3558904647111</v>
      </c>
      <c r="C455" s="6">
        <f t="shared" si="64"/>
        <v>2268.5684526739678</v>
      </c>
      <c r="D455" s="6">
        <f t="shared" si="64"/>
        <v>1755.1540056485524</v>
      </c>
      <c r="E455" s="6">
        <f t="shared" si="64"/>
        <v>2093.0852521259517</v>
      </c>
      <c r="F455" s="6">
        <f t="shared" si="64"/>
        <v>1795.4181813618809</v>
      </c>
      <c r="G455" s="6">
        <f t="shared" si="64"/>
        <v>1402.0431224008696</v>
      </c>
      <c r="H455" s="6">
        <f t="shared" si="64"/>
        <v>341.69344538614052</v>
      </c>
      <c r="I455" s="6">
        <f t="shared" si="64"/>
        <v>339.18011064307268</v>
      </c>
      <c r="J455" s="6">
        <f t="shared" si="64"/>
        <v>330.5074521895682</v>
      </c>
    </row>
    <row r="456" spans="1:11" x14ac:dyDescent="0.35">
      <c r="A456" s="6" t="s">
        <v>123</v>
      </c>
      <c r="B456" s="6">
        <f t="shared" si="64"/>
        <v>208.07973659826959</v>
      </c>
      <c r="C456" s="6">
        <f t="shared" si="64"/>
        <v>178.71934348322114</v>
      </c>
      <c r="D456" s="6">
        <f t="shared" si="64"/>
        <v>139.41400561452164</v>
      </c>
      <c r="E456" s="6">
        <f t="shared" si="64"/>
        <v>208.07973659826959</v>
      </c>
      <c r="F456" s="6">
        <f t="shared" si="64"/>
        <v>178.71934348322114</v>
      </c>
      <c r="G456" s="6">
        <f t="shared" si="64"/>
        <v>139.41400561452164</v>
      </c>
      <c r="H456" s="6">
        <f t="shared" si="64"/>
        <v>104.0398682991348</v>
      </c>
      <c r="I456" s="6">
        <f t="shared" si="64"/>
        <v>89.359671741610569</v>
      </c>
      <c r="J456" s="6">
        <f t="shared" si="64"/>
        <v>69.707002807260821</v>
      </c>
    </row>
    <row r="457" spans="1:11" x14ac:dyDescent="0.35">
      <c r="A457" s="6" t="s">
        <v>124</v>
      </c>
      <c r="B457" s="6">
        <f t="shared" si="64"/>
        <v>0</v>
      </c>
      <c r="C457" s="6">
        <f t="shared" si="64"/>
        <v>0</v>
      </c>
      <c r="D457" s="6">
        <f t="shared" si="64"/>
        <v>0</v>
      </c>
      <c r="E457" s="6">
        <f t="shared" si="64"/>
        <v>0</v>
      </c>
      <c r="F457" s="6">
        <f t="shared" si="64"/>
        <v>0</v>
      </c>
      <c r="G457" s="6">
        <f t="shared" si="64"/>
        <v>0</v>
      </c>
      <c r="H457" s="6">
        <f t="shared" si="64"/>
        <v>0</v>
      </c>
      <c r="I457" s="6">
        <f t="shared" si="64"/>
        <v>0</v>
      </c>
      <c r="J457" s="6">
        <f t="shared" si="64"/>
        <v>0</v>
      </c>
    </row>
    <row r="458" spans="1:11" x14ac:dyDescent="0.35">
      <c r="A458" s="6" t="s">
        <v>137</v>
      </c>
      <c r="B458" s="6">
        <f t="shared" si="64"/>
        <v>3036.7860430071846</v>
      </c>
      <c r="C458" s="6">
        <f t="shared" si="64"/>
        <v>2614.5283266381348</v>
      </c>
      <c r="D458" s="6">
        <f t="shared" si="64"/>
        <v>2054.3658073047777</v>
      </c>
      <c r="E458" s="6">
        <f t="shared" si="64"/>
        <v>2471.5690894836544</v>
      </c>
      <c r="F458" s="6">
        <f t="shared" si="64"/>
        <v>2141.3780553260485</v>
      </c>
      <c r="G458" s="6">
        <f t="shared" si="64"/>
        <v>1701.2549240570952</v>
      </c>
      <c r="H458" s="6">
        <f t="shared" si="64"/>
        <v>1035.0799882059846</v>
      </c>
      <c r="I458" s="6">
        <f t="shared" si="64"/>
        <v>1006.1689239053854</v>
      </c>
      <c r="J458" s="6">
        <f t="shared" si="64"/>
        <v>944.12092382412754</v>
      </c>
    </row>
    <row r="461" spans="1:11" x14ac:dyDescent="0.35">
      <c r="A461" s="331" t="s">
        <v>135</v>
      </c>
      <c r="B461" s="331"/>
      <c r="C461" s="331"/>
      <c r="D461" s="331"/>
      <c r="E461" s="331"/>
      <c r="F461" s="331"/>
      <c r="G461" s="331"/>
      <c r="H461" s="331"/>
      <c r="I461" s="331"/>
      <c r="J461" s="331"/>
      <c r="K461" s="331"/>
    </row>
    <row r="462" spans="1:11" x14ac:dyDescent="0.35">
      <c r="A462" s="6" t="s">
        <v>906</v>
      </c>
    </row>
    <row r="463" spans="1:11" x14ac:dyDescent="0.35">
      <c r="A463" s="6" t="s">
        <v>139</v>
      </c>
      <c r="B463" s="6">
        <v>100</v>
      </c>
      <c r="C463" s="6" t="s">
        <v>128</v>
      </c>
    </row>
    <row r="464" spans="1:11" x14ac:dyDescent="0.35">
      <c r="A464" s="6" t="s">
        <v>140</v>
      </c>
      <c r="B464" s="6">
        <v>50</v>
      </c>
      <c r="C464" s="6" t="s">
        <v>128</v>
      </c>
    </row>
    <row r="466" spans="1:12" x14ac:dyDescent="0.35">
      <c r="B466" s="6" t="s">
        <v>889</v>
      </c>
      <c r="C466" s="6" t="s">
        <v>891</v>
      </c>
      <c r="D466" s="6" t="s">
        <v>890</v>
      </c>
      <c r="E466" s="6" t="s">
        <v>892</v>
      </c>
      <c r="F466" s="6" t="s">
        <v>893</v>
      </c>
      <c r="G466" s="6" t="s">
        <v>894</v>
      </c>
      <c r="H466" s="6" t="s">
        <v>896</v>
      </c>
      <c r="I466" s="6" t="s">
        <v>897</v>
      </c>
      <c r="J466" s="6" t="s">
        <v>895</v>
      </c>
    </row>
    <row r="467" spans="1:12" x14ac:dyDescent="0.35">
      <c r="A467" s="6" t="s">
        <v>117</v>
      </c>
      <c r="B467" s="6">
        <f t="shared" ref="B467:G467" si="65">B449/$B$463</f>
        <v>1.1572736269513593</v>
      </c>
      <c r="C467" s="6">
        <f t="shared" si="65"/>
        <v>1.1350206061764658</v>
      </c>
      <c r="D467" s="6">
        <f t="shared" si="65"/>
        <v>1.0727718624716902</v>
      </c>
      <c r="E467" s="6">
        <f t="shared" si="65"/>
        <v>1.1572736269513593</v>
      </c>
      <c r="F467" s="6">
        <f t="shared" si="65"/>
        <v>1.1350206061764658</v>
      </c>
      <c r="G467" s="6">
        <f t="shared" si="65"/>
        <v>1.0727718624716902</v>
      </c>
      <c r="H467" s="6">
        <f>H449/$B$464</f>
        <v>2.2765876848940438</v>
      </c>
      <c r="I467" s="6">
        <f>I449/$B$464</f>
        <v>2.2326216867218416</v>
      </c>
      <c r="J467" s="6">
        <f>J449/$B$464</f>
        <v>2.1092766801158631</v>
      </c>
    </row>
    <row r="468" spans="1:12" x14ac:dyDescent="0.35">
      <c r="A468" s="6" t="s">
        <v>118</v>
      </c>
      <c r="B468" s="6">
        <f t="shared" ref="B468:G476" si="66">B450/$B$463</f>
        <v>0.10787070616191249</v>
      </c>
      <c r="C468" s="6">
        <f t="shared" si="66"/>
        <v>0.10677798589336331</v>
      </c>
      <c r="D468" s="6">
        <f t="shared" si="66"/>
        <v>0.10355523296253079</v>
      </c>
      <c r="E468" s="6">
        <f t="shared" si="66"/>
        <v>0.10787070616191249</v>
      </c>
      <c r="F468" s="6">
        <f t="shared" si="66"/>
        <v>0.10677798589336331</v>
      </c>
      <c r="G468" s="6">
        <f t="shared" si="66"/>
        <v>0.10355523296253079</v>
      </c>
      <c r="H468" s="6">
        <f t="shared" ref="H468:J476" si="67">H450/$B$464</f>
        <v>0.10787070616191249</v>
      </c>
      <c r="I468" s="6">
        <f t="shared" si="67"/>
        <v>0.10677798589336331</v>
      </c>
      <c r="J468" s="6">
        <f t="shared" si="67"/>
        <v>0.10355523296253079</v>
      </c>
    </row>
    <row r="469" spans="1:12" x14ac:dyDescent="0.35">
      <c r="A469" s="6" t="s">
        <v>119</v>
      </c>
      <c r="B469" s="6">
        <f t="shared" si="66"/>
        <v>1.8254349738637116E-2</v>
      </c>
      <c r="C469" s="6">
        <f t="shared" si="66"/>
        <v>1.6717650277123783E-2</v>
      </c>
      <c r="D469" s="6">
        <f t="shared" si="66"/>
        <v>1.5515848527432425E-2</v>
      </c>
      <c r="E469" s="6">
        <f t="shared" si="66"/>
        <v>1.8254349738637116E-2</v>
      </c>
      <c r="F469" s="6">
        <f t="shared" si="66"/>
        <v>1.6717650277123783E-2</v>
      </c>
      <c r="G469" s="6">
        <f t="shared" si="66"/>
        <v>1.5515848527432425E-2</v>
      </c>
      <c r="H469" s="6">
        <f t="shared" si="67"/>
        <v>3.6508699477274233E-2</v>
      </c>
      <c r="I469" s="6">
        <f t="shared" si="67"/>
        <v>3.3435300554247566E-2</v>
      </c>
      <c r="J469" s="6">
        <f t="shared" si="67"/>
        <v>3.1031697054864849E-2</v>
      </c>
    </row>
    <row r="470" spans="1:12" x14ac:dyDescent="0.35">
      <c r="A470" s="6" t="s">
        <v>120</v>
      </c>
      <c r="B470" s="6">
        <f t="shared" si="66"/>
        <v>2.1482519099495843E-7</v>
      </c>
      <c r="C470" s="6">
        <f t="shared" si="66"/>
        <v>5.1851441991315782E-4</v>
      </c>
      <c r="D470" s="6">
        <f t="shared" si="66"/>
        <v>4.9152244322832816E-4</v>
      </c>
      <c r="E470" s="6">
        <f t="shared" si="66"/>
        <v>5.3706297748739608E-4</v>
      </c>
      <c r="F470" s="6">
        <f t="shared" si="66"/>
        <v>5.1851441991315782E-4</v>
      </c>
      <c r="G470" s="6">
        <f t="shared" si="66"/>
        <v>4.9152244322832816E-4</v>
      </c>
      <c r="H470" s="6">
        <f t="shared" si="67"/>
        <v>2.1482519099495843E-7</v>
      </c>
      <c r="I470" s="6">
        <f t="shared" si="67"/>
        <v>5.1851441991315782E-4</v>
      </c>
      <c r="J470" s="6">
        <f t="shared" si="67"/>
        <v>4.9152244322832816E-4</v>
      </c>
    </row>
    <row r="471" spans="1:12" x14ac:dyDescent="0.35">
      <c r="A471" s="6" t="s">
        <v>121</v>
      </c>
      <c r="B471" s="6">
        <f t="shared" si="66"/>
        <v>0.4201052617649354</v>
      </c>
      <c r="C471" s="6">
        <f t="shared" si="66"/>
        <v>0.41337054804260037</v>
      </c>
      <c r="D471" s="6">
        <f t="shared" si="66"/>
        <v>0.40564349401215766</v>
      </c>
      <c r="E471" s="6">
        <f t="shared" si="66"/>
        <v>0.4201052617649354</v>
      </c>
      <c r="F471" s="6">
        <f t="shared" si="66"/>
        <v>0.41337054804260037</v>
      </c>
      <c r="G471" s="6">
        <f t="shared" si="66"/>
        <v>0.40564349401215766</v>
      </c>
      <c r="H471" s="6">
        <f t="shared" si="67"/>
        <v>0.8402105235298708</v>
      </c>
      <c r="I471" s="6">
        <f t="shared" si="67"/>
        <v>0.82674109608520074</v>
      </c>
      <c r="J471" s="6">
        <f t="shared" si="67"/>
        <v>0.81128698802431531</v>
      </c>
    </row>
    <row r="472" spans="1:12" x14ac:dyDescent="0.35">
      <c r="A472" s="6" t="s">
        <v>800</v>
      </c>
      <c r="B472" s="6">
        <f t="shared" si="66"/>
        <v>0</v>
      </c>
      <c r="C472" s="6">
        <f t="shared" si="66"/>
        <v>0</v>
      </c>
      <c r="D472" s="6">
        <f t="shared" si="66"/>
        <v>0</v>
      </c>
      <c r="E472" s="6">
        <f t="shared" si="66"/>
        <v>0</v>
      </c>
      <c r="F472" s="6">
        <f t="shared" si="66"/>
        <v>0</v>
      </c>
      <c r="G472" s="6">
        <f t="shared" si="66"/>
        <v>0</v>
      </c>
      <c r="H472" s="6">
        <f t="shared" si="67"/>
        <v>8.5257556615258974</v>
      </c>
      <c r="I472" s="6">
        <f t="shared" si="67"/>
        <v>8.3524882467394814</v>
      </c>
      <c r="J472" s="6">
        <f t="shared" si="67"/>
        <v>7.8224872559451661</v>
      </c>
    </row>
    <row r="473" spans="1:12" x14ac:dyDescent="0.35">
      <c r="A473" s="6" t="s">
        <v>122</v>
      </c>
      <c r="B473" s="6">
        <f t="shared" si="66"/>
        <v>26.583558904647113</v>
      </c>
      <c r="C473" s="6">
        <f t="shared" si="66"/>
        <v>22.685684526739678</v>
      </c>
      <c r="D473" s="6">
        <f t="shared" si="66"/>
        <v>17.551540056485525</v>
      </c>
      <c r="E473" s="6">
        <f t="shared" si="66"/>
        <v>20.930852521259517</v>
      </c>
      <c r="F473" s="6">
        <f t="shared" si="66"/>
        <v>17.95418181361881</v>
      </c>
      <c r="G473" s="6">
        <f t="shared" si="66"/>
        <v>14.020431224008696</v>
      </c>
      <c r="H473" s="6">
        <f t="shared" si="67"/>
        <v>6.8338689077228105</v>
      </c>
      <c r="I473" s="6">
        <f t="shared" si="67"/>
        <v>6.7836022128614539</v>
      </c>
      <c r="J473" s="6">
        <f t="shared" si="67"/>
        <v>6.6101490437913641</v>
      </c>
      <c r="L473" s="1"/>
    </row>
    <row r="474" spans="1:12" x14ac:dyDescent="0.35">
      <c r="A474" s="6" t="s">
        <v>123</v>
      </c>
      <c r="B474" s="6">
        <f t="shared" si="66"/>
        <v>2.0807973659826957</v>
      </c>
      <c r="C474" s="6">
        <f t="shared" si="66"/>
        <v>1.7871934348322114</v>
      </c>
      <c r="D474" s="6">
        <f t="shared" si="66"/>
        <v>1.3941400561452164</v>
      </c>
      <c r="E474" s="6">
        <f t="shared" si="66"/>
        <v>2.0807973659826957</v>
      </c>
      <c r="F474" s="6">
        <f t="shared" si="66"/>
        <v>1.7871934348322114</v>
      </c>
      <c r="G474" s="6">
        <f t="shared" si="66"/>
        <v>1.3941400561452164</v>
      </c>
      <c r="H474" s="6">
        <f t="shared" si="67"/>
        <v>2.0807973659826957</v>
      </c>
      <c r="I474" s="6">
        <f t="shared" si="67"/>
        <v>1.7871934348322114</v>
      </c>
      <c r="J474" s="6">
        <f t="shared" si="67"/>
        <v>1.3941400561452164</v>
      </c>
    </row>
    <row r="475" spans="1:12" x14ac:dyDescent="0.35">
      <c r="A475" s="6" t="s">
        <v>124</v>
      </c>
      <c r="B475" s="6">
        <f t="shared" si="66"/>
        <v>0</v>
      </c>
      <c r="C475" s="6">
        <f t="shared" si="66"/>
        <v>0</v>
      </c>
      <c r="D475" s="6">
        <f t="shared" si="66"/>
        <v>0</v>
      </c>
      <c r="E475" s="6">
        <f t="shared" si="66"/>
        <v>0</v>
      </c>
      <c r="F475" s="6">
        <f t="shared" si="66"/>
        <v>0</v>
      </c>
      <c r="G475" s="6">
        <f t="shared" si="66"/>
        <v>0</v>
      </c>
      <c r="H475" s="6">
        <f t="shared" si="67"/>
        <v>0</v>
      </c>
      <c r="I475" s="6">
        <f t="shared" si="67"/>
        <v>0</v>
      </c>
      <c r="J475" s="6">
        <f t="shared" si="67"/>
        <v>0</v>
      </c>
    </row>
    <row r="476" spans="1:12" x14ac:dyDescent="0.35">
      <c r="A476" s="6" t="s">
        <v>137</v>
      </c>
      <c r="B476" s="6">
        <f t="shared" si="66"/>
        <v>30.367860430071847</v>
      </c>
      <c r="C476" s="6">
        <f t="shared" si="66"/>
        <v>26.145283266381348</v>
      </c>
      <c r="D476" s="6">
        <f t="shared" si="66"/>
        <v>20.543658073047776</v>
      </c>
      <c r="E476" s="6">
        <f t="shared" si="66"/>
        <v>24.715690894836545</v>
      </c>
      <c r="F476" s="6">
        <f t="shared" si="66"/>
        <v>21.413780553260484</v>
      </c>
      <c r="G476" s="6">
        <f t="shared" si="66"/>
        <v>17.012549240570952</v>
      </c>
      <c r="H476" s="6">
        <f t="shared" si="67"/>
        <v>20.701599764119692</v>
      </c>
      <c r="I476" s="6">
        <f t="shared" si="67"/>
        <v>20.123378478107711</v>
      </c>
      <c r="J476" s="6">
        <f t="shared" si="67"/>
        <v>18.882418476482552</v>
      </c>
    </row>
  </sheetData>
  <mergeCells count="3">
    <mergeCell ref="A461:K461"/>
    <mergeCell ref="A432:K432"/>
    <mergeCell ref="A446:K44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F2596-596C-449D-B60F-1D9646747D93}">
  <sheetPr>
    <tabColor theme="3" tint="0.59999389629810485"/>
  </sheetPr>
  <dimension ref="A1:M441"/>
  <sheetViews>
    <sheetView showGridLines="0" zoomScale="59" zoomScaleNormal="40" workbookViewId="0">
      <selection activeCell="A12" sqref="A12:XFD12"/>
    </sheetView>
  </sheetViews>
  <sheetFormatPr defaultColWidth="8.7265625" defaultRowHeight="14.5" outlineLevelRow="1" x14ac:dyDescent="0.35"/>
  <cols>
    <col min="1" max="1" width="4.54296875" style="28" customWidth="1"/>
    <col min="2" max="2" width="21.54296875" style="28" customWidth="1"/>
    <col min="3" max="3" width="17.81640625" style="28" customWidth="1"/>
    <col min="4" max="4" width="27.453125" style="28" bestFit="1" customWidth="1"/>
    <col min="5" max="5" width="11.81640625" style="28" bestFit="1" customWidth="1"/>
    <col min="6" max="6" width="14.54296875" style="28" bestFit="1" customWidth="1"/>
    <col min="7" max="7" width="11.1796875" style="28" customWidth="1"/>
    <col min="8" max="8" width="13.453125" style="28" bestFit="1" customWidth="1"/>
    <col min="9" max="9" width="8.7265625" style="28"/>
    <col min="10" max="10" width="123.81640625" style="28" bestFit="1" customWidth="1"/>
    <col min="11" max="11" width="4.54296875" style="28" customWidth="1"/>
    <col min="12" max="12" width="58.81640625" style="28" bestFit="1" customWidth="1"/>
    <col min="13" max="16384" width="8.7265625" style="28"/>
  </cols>
  <sheetData>
    <row r="1" spans="1:13" s="42" customFormat="1" ht="28.5" x14ac:dyDescent="0.65">
      <c r="A1" s="42" t="s">
        <v>172</v>
      </c>
    </row>
    <row r="2" spans="1:13" s="44" customFormat="1" ht="16.5" customHeight="1" x14ac:dyDescent="0.5">
      <c r="A2" s="43"/>
    </row>
    <row r="3" spans="1:13" s="44" customFormat="1" ht="16.5" customHeight="1" x14ac:dyDescent="0.35">
      <c r="A3" s="45" t="s">
        <v>173</v>
      </c>
    </row>
    <row r="4" spans="1:13" s="45" customFormat="1" x14ac:dyDescent="0.35">
      <c r="A4" s="45" t="s">
        <v>174</v>
      </c>
    </row>
    <row r="5" spans="1:13" s="45" customFormat="1" x14ac:dyDescent="0.35">
      <c r="A5" s="45" t="s">
        <v>175</v>
      </c>
    </row>
    <row r="6" spans="1:13" s="45" customFormat="1" x14ac:dyDescent="0.35"/>
    <row r="7" spans="1:13" s="45" customFormat="1" ht="15.5" x14ac:dyDescent="0.35">
      <c r="A7" s="136" t="s">
        <v>524</v>
      </c>
      <c r="J7" s="47"/>
    </row>
    <row r="8" spans="1:13" s="45" customFormat="1" x14ac:dyDescent="0.35">
      <c r="A8" s="45" t="s">
        <v>176</v>
      </c>
      <c r="J8" s="47"/>
    </row>
    <row r="9" spans="1:13" s="45" customFormat="1" x14ac:dyDescent="0.35">
      <c r="A9" s="45" t="s">
        <v>177</v>
      </c>
      <c r="J9" s="47"/>
    </row>
    <row r="10" spans="1:13" s="45" customFormat="1" x14ac:dyDescent="0.35"/>
    <row r="11" spans="1:13" s="45" customFormat="1" x14ac:dyDescent="0.35"/>
    <row r="12" spans="1:13" s="50" customFormat="1" ht="23.5" x14ac:dyDescent="0.55000000000000004">
      <c r="A12" s="49" t="s">
        <v>530</v>
      </c>
    </row>
    <row r="13" spans="1:13" s="4" customFormat="1" ht="15.5" x14ac:dyDescent="0.35">
      <c r="B13" s="51" t="s">
        <v>178</v>
      </c>
      <c r="G13" s="52" t="s">
        <v>179</v>
      </c>
      <c r="H13" s="53" t="s">
        <v>180</v>
      </c>
      <c r="I13" s="52"/>
      <c r="J13" s="51" t="s">
        <v>513</v>
      </c>
      <c r="K13" s="51"/>
      <c r="L13" s="51" t="s">
        <v>181</v>
      </c>
      <c r="M13" s="51" t="s">
        <v>182</v>
      </c>
    </row>
    <row r="14" spans="1:13" s="4" customFormat="1" x14ac:dyDescent="0.35">
      <c r="C14" s="54" t="s">
        <v>183</v>
      </c>
      <c r="G14" s="55"/>
      <c r="H14" s="56"/>
      <c r="I14" s="55"/>
      <c r="K14" s="55"/>
    </row>
    <row r="15" spans="1:13" s="4" customFormat="1" x14ac:dyDescent="0.35">
      <c r="D15" s="4" t="s">
        <v>184</v>
      </c>
      <c r="G15" s="57">
        <v>1</v>
      </c>
      <c r="H15" s="4" t="s">
        <v>185</v>
      </c>
      <c r="K15" s="55"/>
    </row>
    <row r="16" spans="1:13" s="4" customFormat="1" x14ac:dyDescent="0.35">
      <c r="K16" s="55"/>
      <c r="L16" s="55"/>
    </row>
    <row r="17" spans="3:12" s="4" customFormat="1" x14ac:dyDescent="0.35">
      <c r="C17" s="54" t="s">
        <v>186</v>
      </c>
      <c r="K17" s="55"/>
      <c r="L17" s="55"/>
    </row>
    <row r="18" spans="3:12" s="4" customFormat="1" x14ac:dyDescent="0.35">
      <c r="C18" s="58">
        <v>1</v>
      </c>
      <c r="D18" s="4" t="s">
        <v>187</v>
      </c>
      <c r="G18" s="59">
        <v>1</v>
      </c>
      <c r="H18" s="4" t="s">
        <v>188</v>
      </c>
      <c r="K18" s="55"/>
      <c r="L18" s="55"/>
    </row>
    <row r="19" spans="3:12" s="4" customFormat="1" x14ac:dyDescent="0.35">
      <c r="C19" s="58">
        <v>2</v>
      </c>
      <c r="D19" s="4" t="s">
        <v>189</v>
      </c>
      <c r="G19" s="59">
        <v>1</v>
      </c>
      <c r="H19" s="4" t="s">
        <v>188</v>
      </c>
      <c r="K19" s="55"/>
      <c r="L19" s="55"/>
    </row>
    <row r="20" spans="3:12" s="4" customFormat="1" x14ac:dyDescent="0.35">
      <c r="C20" s="58">
        <v>3</v>
      </c>
      <c r="D20" s="4" t="s">
        <v>190</v>
      </c>
      <c r="G20" s="59">
        <v>1</v>
      </c>
      <c r="H20" s="4" t="s">
        <v>188</v>
      </c>
      <c r="K20" s="55"/>
      <c r="L20" s="55"/>
    </row>
    <row r="21" spans="3:12" s="4" customFormat="1" x14ac:dyDescent="0.35">
      <c r="C21" s="58">
        <v>4</v>
      </c>
      <c r="D21" s="4" t="s">
        <v>191</v>
      </c>
      <c r="G21" s="59">
        <v>1</v>
      </c>
      <c r="H21" s="4" t="s">
        <v>188</v>
      </c>
      <c r="K21" s="55"/>
      <c r="L21" s="55"/>
    </row>
    <row r="22" spans="3:12" s="4" customFormat="1" x14ac:dyDescent="0.35">
      <c r="C22" s="58">
        <v>5</v>
      </c>
      <c r="D22" s="4" t="s">
        <v>192</v>
      </c>
      <c r="G22" s="59">
        <v>1</v>
      </c>
      <c r="H22" s="4" t="s">
        <v>188</v>
      </c>
      <c r="K22" s="55"/>
      <c r="L22" s="55"/>
    </row>
    <row r="23" spans="3:12" s="4" customFormat="1" x14ac:dyDescent="0.35">
      <c r="C23" s="58">
        <v>6</v>
      </c>
      <c r="D23" s="4" t="s">
        <v>193</v>
      </c>
      <c r="G23" s="59">
        <v>1</v>
      </c>
      <c r="H23" s="4" t="s">
        <v>188</v>
      </c>
      <c r="K23" s="55"/>
      <c r="L23" s="55"/>
    </row>
    <row r="24" spans="3:12" s="4" customFormat="1" x14ac:dyDescent="0.35">
      <c r="C24" s="58">
        <v>7</v>
      </c>
      <c r="D24" s="4" t="s">
        <v>194</v>
      </c>
      <c r="G24" s="59">
        <v>1</v>
      </c>
      <c r="H24" s="4" t="s">
        <v>188</v>
      </c>
      <c r="K24" s="55"/>
      <c r="L24" s="55"/>
    </row>
    <row r="25" spans="3:12" s="4" customFormat="1" x14ac:dyDescent="0.35">
      <c r="C25" s="58">
        <v>8</v>
      </c>
      <c r="D25" s="4" t="s">
        <v>195</v>
      </c>
      <c r="G25" s="59">
        <v>1</v>
      </c>
      <c r="H25" s="4" t="s">
        <v>188</v>
      </c>
      <c r="K25" s="55"/>
      <c r="L25" s="55"/>
    </row>
    <row r="26" spans="3:12" s="4" customFormat="1" x14ac:dyDescent="0.35">
      <c r="C26" s="58">
        <v>9</v>
      </c>
      <c r="D26" s="4" t="s">
        <v>196</v>
      </c>
      <c r="G26" s="59">
        <v>1</v>
      </c>
      <c r="H26" s="4" t="s">
        <v>188</v>
      </c>
      <c r="K26" s="55"/>
      <c r="L26" s="55"/>
    </row>
    <row r="27" spans="3:12" s="4" customFormat="1" x14ac:dyDescent="0.35">
      <c r="C27" s="58">
        <v>10</v>
      </c>
      <c r="D27" s="4" t="s">
        <v>197</v>
      </c>
      <c r="G27" s="59">
        <v>1</v>
      </c>
      <c r="H27" s="4" t="s">
        <v>188</v>
      </c>
      <c r="K27" s="55"/>
      <c r="L27" s="55"/>
    </row>
    <row r="28" spans="3:12" s="4" customFormat="1" x14ac:dyDescent="0.35">
      <c r="C28" s="58">
        <v>11</v>
      </c>
      <c r="D28" s="4" t="s">
        <v>198</v>
      </c>
      <c r="G28" s="59">
        <v>1</v>
      </c>
      <c r="H28" s="4" t="s">
        <v>188</v>
      </c>
      <c r="K28" s="55"/>
      <c r="L28" s="55"/>
    </row>
    <row r="29" spans="3:12" s="4" customFormat="1" x14ac:dyDescent="0.35">
      <c r="C29" s="58"/>
      <c r="K29" s="55"/>
      <c r="L29" s="55"/>
    </row>
    <row r="30" spans="3:12" s="4" customFormat="1" x14ac:dyDescent="0.35">
      <c r="C30" s="58"/>
      <c r="D30" s="60" t="s">
        <v>199</v>
      </c>
      <c r="G30" s="61">
        <f>5*100</f>
        <v>500</v>
      </c>
      <c r="H30" s="4" t="s">
        <v>200</v>
      </c>
      <c r="J30" s="4" t="s">
        <v>201</v>
      </c>
      <c r="K30" s="55"/>
      <c r="L30" s="4" t="s">
        <v>684</v>
      </c>
    </row>
    <row r="31" spans="3:12" s="4" customFormat="1" x14ac:dyDescent="0.35">
      <c r="C31" s="58"/>
      <c r="D31" s="60" t="s">
        <v>199</v>
      </c>
      <c r="G31" s="61">
        <f>5*100</f>
        <v>500</v>
      </c>
      <c r="H31" s="4" t="s">
        <v>200</v>
      </c>
      <c r="J31" s="4" t="s">
        <v>201</v>
      </c>
      <c r="K31" s="55"/>
      <c r="L31" s="4" t="s">
        <v>525</v>
      </c>
    </row>
    <row r="32" spans="3:12" s="4" customFormat="1" x14ac:dyDescent="0.35">
      <c r="D32" s="62"/>
      <c r="K32" s="55"/>
      <c r="L32" s="55"/>
    </row>
    <row r="33" spans="1:12" s="4" customFormat="1" x14ac:dyDescent="0.35">
      <c r="C33" s="54" t="s">
        <v>186</v>
      </c>
      <c r="K33" s="55"/>
      <c r="L33" s="55"/>
    </row>
    <row r="34" spans="1:12" s="4" customFormat="1" x14ac:dyDescent="0.35">
      <c r="D34" s="4" t="s">
        <v>202</v>
      </c>
      <c r="G34" s="63">
        <v>24</v>
      </c>
      <c r="H34" s="4" t="s">
        <v>203</v>
      </c>
      <c r="J34" s="4" t="s">
        <v>204</v>
      </c>
      <c r="K34" s="55"/>
      <c r="L34" s="55"/>
    </row>
    <row r="35" spans="1:12" s="4" customFormat="1" x14ac:dyDescent="0.35">
      <c r="K35" s="55"/>
      <c r="L35" s="55"/>
    </row>
    <row r="36" spans="1:12" s="4" customFormat="1" x14ac:dyDescent="0.35">
      <c r="K36" s="55"/>
      <c r="L36" s="55"/>
    </row>
    <row r="37" spans="1:12" s="50" customFormat="1" ht="23.5" x14ac:dyDescent="0.55000000000000004">
      <c r="A37" s="49" t="s">
        <v>531</v>
      </c>
    </row>
    <row r="38" spans="1:12" s="4" customFormat="1" ht="15.5" x14ac:dyDescent="0.35">
      <c r="B38" s="51" t="s">
        <v>178</v>
      </c>
      <c r="G38" s="55" t="s">
        <v>179</v>
      </c>
      <c r="H38" s="64" t="s">
        <v>180</v>
      </c>
      <c r="I38" s="55"/>
      <c r="K38" s="55"/>
    </row>
    <row r="39" spans="1:12" s="4" customFormat="1" x14ac:dyDescent="0.35">
      <c r="C39" s="54" t="s">
        <v>183</v>
      </c>
      <c r="G39" s="55"/>
      <c r="H39" s="56"/>
      <c r="I39" s="55"/>
      <c r="K39" s="55"/>
    </row>
    <row r="40" spans="1:12" s="4" customFormat="1" x14ac:dyDescent="0.35">
      <c r="D40" s="4" t="s">
        <v>205</v>
      </c>
      <c r="G40" s="57">
        <v>1</v>
      </c>
      <c r="H40" s="4" t="s">
        <v>185</v>
      </c>
      <c r="K40" s="55"/>
    </row>
    <row r="41" spans="1:12" s="4" customFormat="1" x14ac:dyDescent="0.35">
      <c r="K41" s="55"/>
      <c r="L41" s="55"/>
    </row>
    <row r="42" spans="1:12" s="4" customFormat="1" x14ac:dyDescent="0.35">
      <c r="C42" s="54" t="s">
        <v>186</v>
      </c>
      <c r="K42" s="55"/>
      <c r="L42" s="55"/>
    </row>
    <row r="43" spans="1:12" s="4" customFormat="1" x14ac:dyDescent="0.35">
      <c r="C43" s="58"/>
      <c r="D43" s="60" t="s">
        <v>199</v>
      </c>
      <c r="G43" s="61">
        <f>5*100</f>
        <v>500</v>
      </c>
      <c r="H43" s="4" t="s">
        <v>200</v>
      </c>
      <c r="J43" s="4" t="s">
        <v>201</v>
      </c>
      <c r="K43" s="55"/>
      <c r="L43" s="4" t="s">
        <v>525</v>
      </c>
    </row>
    <row r="44" spans="1:12" s="4" customFormat="1" x14ac:dyDescent="0.35">
      <c r="D44" s="62"/>
      <c r="K44" s="55"/>
      <c r="L44" s="55"/>
    </row>
    <row r="45" spans="1:12" s="4" customFormat="1" x14ac:dyDescent="0.35">
      <c r="C45" s="54" t="s">
        <v>186</v>
      </c>
      <c r="K45" s="55"/>
      <c r="L45" s="55"/>
    </row>
    <row r="46" spans="1:12" s="4" customFormat="1" x14ac:dyDescent="0.35">
      <c r="D46" s="4" t="s">
        <v>206</v>
      </c>
      <c r="G46" s="63">
        <v>24</v>
      </c>
      <c r="H46" s="4" t="s">
        <v>203</v>
      </c>
      <c r="J46" s="4" t="s">
        <v>204</v>
      </c>
      <c r="K46" s="55"/>
      <c r="L46" s="55"/>
    </row>
    <row r="47" spans="1:12" s="4" customFormat="1" x14ac:dyDescent="0.35">
      <c r="K47" s="55"/>
      <c r="L47" s="55"/>
    </row>
    <row r="48" spans="1:12" s="45" customFormat="1" x14ac:dyDescent="0.35">
      <c r="K48" s="135"/>
      <c r="L48" s="135"/>
    </row>
    <row r="49" spans="1:13" s="45" customFormat="1" x14ac:dyDescent="0.35">
      <c r="K49" s="135"/>
      <c r="L49" s="135"/>
    </row>
    <row r="50" spans="1:13" s="50" customFormat="1" ht="23.5" x14ac:dyDescent="0.55000000000000004">
      <c r="A50" s="49" t="s">
        <v>532</v>
      </c>
    </row>
    <row r="51" spans="1:13" s="65" customFormat="1" x14ac:dyDescent="0.35">
      <c r="A51" s="65" t="s">
        <v>207</v>
      </c>
      <c r="B51" s="65" t="s">
        <v>187</v>
      </c>
    </row>
    <row r="52" spans="1:13" s="67" customFormat="1" hidden="1" outlineLevel="1" x14ac:dyDescent="0.35">
      <c r="A52" s="66" t="s">
        <v>208</v>
      </c>
      <c r="B52" s="66"/>
      <c r="C52" s="66"/>
    </row>
    <row r="53" spans="1:13" s="70" customFormat="1" hidden="1" outlineLevel="1" x14ac:dyDescent="0.35">
      <c r="A53" s="68"/>
      <c r="B53" s="69"/>
      <c r="C53" s="69"/>
    </row>
    <row r="54" spans="1:13" s="70" customFormat="1" ht="43.5" hidden="1" outlineLevel="1" x14ac:dyDescent="0.35">
      <c r="B54" s="71" t="s">
        <v>209</v>
      </c>
      <c r="C54" s="72" t="s">
        <v>210</v>
      </c>
      <c r="D54" s="72" t="s">
        <v>211</v>
      </c>
      <c r="E54" s="72" t="s">
        <v>212</v>
      </c>
      <c r="F54" s="72" t="s">
        <v>213</v>
      </c>
      <c r="G54" s="73"/>
      <c r="H54" s="73"/>
      <c r="J54" s="74"/>
      <c r="K54" s="74"/>
    </row>
    <row r="55" spans="1:13" s="70" customFormat="1" ht="29" hidden="1" outlineLevel="1" x14ac:dyDescent="0.35">
      <c r="B55" s="75" t="s">
        <v>214</v>
      </c>
      <c r="C55" s="76" t="s">
        <v>215</v>
      </c>
      <c r="D55" s="76" t="s">
        <v>216</v>
      </c>
      <c r="E55" s="75" t="s">
        <v>217</v>
      </c>
      <c r="F55" s="75" t="s">
        <v>218</v>
      </c>
      <c r="G55" s="77"/>
      <c r="H55" s="78"/>
      <c r="J55" s="74"/>
      <c r="K55" s="74"/>
    </row>
    <row r="56" spans="1:13" s="70" customFormat="1" hidden="1" outlineLevel="1" x14ac:dyDescent="0.35">
      <c r="B56" s="79" t="s">
        <v>219</v>
      </c>
      <c r="C56" s="79"/>
      <c r="D56" s="80" t="s">
        <v>220</v>
      </c>
      <c r="E56" s="80">
        <v>5</v>
      </c>
      <c r="F56" s="79">
        <v>25</v>
      </c>
      <c r="G56" s="81"/>
      <c r="H56" s="81"/>
      <c r="J56" s="74"/>
      <c r="K56" s="74"/>
    </row>
    <row r="57" spans="1:13" s="70" customFormat="1" hidden="1" outlineLevel="1" x14ac:dyDescent="0.35">
      <c r="B57" s="79" t="s">
        <v>221</v>
      </c>
      <c r="C57" s="79" t="s">
        <v>222</v>
      </c>
      <c r="D57" s="79" t="s">
        <v>223</v>
      </c>
      <c r="E57" s="79">
        <v>100</v>
      </c>
      <c r="F57" s="79">
        <v>25</v>
      </c>
      <c r="G57" s="81"/>
      <c r="H57" s="81"/>
      <c r="J57" s="74"/>
      <c r="K57" s="74"/>
    </row>
    <row r="58" spans="1:13" s="70" customFormat="1" hidden="1" outlineLevel="1" x14ac:dyDescent="0.35">
      <c r="B58" s="79" t="s">
        <v>224</v>
      </c>
      <c r="C58" s="79" t="s">
        <v>222</v>
      </c>
      <c r="D58" s="79" t="s">
        <v>223</v>
      </c>
      <c r="E58" s="79">
        <v>67</v>
      </c>
      <c r="F58" s="79">
        <v>25</v>
      </c>
      <c r="G58" s="82"/>
      <c r="H58" s="81"/>
      <c r="J58" s="74"/>
      <c r="K58" s="74"/>
    </row>
    <row r="59" spans="1:13" s="70" customFormat="1" hidden="1" outlineLevel="1" x14ac:dyDescent="0.35">
      <c r="B59" s="79" t="s">
        <v>225</v>
      </c>
      <c r="C59" s="79"/>
      <c r="D59" s="79" t="s">
        <v>226</v>
      </c>
      <c r="E59" s="79" t="s">
        <v>227</v>
      </c>
      <c r="F59" s="79">
        <v>25</v>
      </c>
      <c r="G59" s="82"/>
      <c r="H59" s="81"/>
      <c r="J59" s="74"/>
      <c r="K59" s="74"/>
    </row>
    <row r="60" spans="1:13" s="70" customFormat="1" hidden="1" outlineLevel="1" x14ac:dyDescent="0.35">
      <c r="B60" s="81"/>
      <c r="C60" s="81"/>
      <c r="D60" s="81"/>
      <c r="E60" s="81"/>
      <c r="F60" s="81"/>
      <c r="G60" s="82"/>
      <c r="H60" s="81"/>
      <c r="J60" s="74"/>
      <c r="K60" s="74"/>
    </row>
    <row r="61" spans="1:13" s="67" customFormat="1" hidden="1" outlineLevel="1" x14ac:dyDescent="0.35">
      <c r="A61" s="66" t="s">
        <v>228</v>
      </c>
      <c r="B61" s="66"/>
      <c r="C61" s="66"/>
    </row>
    <row r="62" spans="1:13" s="83" customFormat="1" hidden="1" outlineLevel="1" x14ac:dyDescent="0.35"/>
    <row r="63" spans="1:13" s="83" customFormat="1" hidden="1" outlineLevel="1" x14ac:dyDescent="0.35">
      <c r="A63" s="84"/>
    </row>
    <row r="64" spans="1:13" s="5" customFormat="1" ht="15.5" hidden="1" outlineLevel="1" x14ac:dyDescent="0.35">
      <c r="B64" s="85" t="s">
        <v>229</v>
      </c>
      <c r="G64" s="85" t="s">
        <v>179</v>
      </c>
      <c r="H64" s="85" t="s">
        <v>180</v>
      </c>
      <c r="I64" s="85"/>
      <c r="J64" s="85" t="s">
        <v>513</v>
      </c>
      <c r="K64" s="85"/>
      <c r="L64" s="85" t="s">
        <v>181</v>
      </c>
      <c r="M64" s="85" t="s">
        <v>182</v>
      </c>
    </row>
    <row r="65" spans="3:13" s="5" customFormat="1" hidden="1" outlineLevel="1" x14ac:dyDescent="0.35">
      <c r="C65" s="84" t="s">
        <v>183</v>
      </c>
      <c r="G65" s="86"/>
      <c r="H65" s="87"/>
      <c r="I65" s="86"/>
      <c r="J65" s="88"/>
      <c r="K65" s="86"/>
      <c r="L65" s="86"/>
    </row>
    <row r="66" spans="3:13" s="5" customFormat="1" hidden="1" outlineLevel="1" x14ac:dyDescent="0.35">
      <c r="D66" s="5" t="s">
        <v>230</v>
      </c>
      <c r="G66" s="57">
        <v>1</v>
      </c>
      <c r="H66" s="5" t="s">
        <v>185</v>
      </c>
      <c r="K66" s="86"/>
      <c r="L66" s="86"/>
    </row>
    <row r="67" spans="3:13" s="5" customFormat="1" hidden="1" outlineLevel="1" x14ac:dyDescent="0.35">
      <c r="K67" s="86"/>
      <c r="L67" s="86"/>
    </row>
    <row r="68" spans="3:13" s="5" customFormat="1" hidden="1" outlineLevel="1" x14ac:dyDescent="0.35">
      <c r="C68" s="84" t="s">
        <v>186</v>
      </c>
      <c r="K68" s="86"/>
      <c r="L68" s="86"/>
    </row>
    <row r="69" spans="3:13" s="5" customFormat="1" hidden="1" outlineLevel="1" x14ac:dyDescent="0.35">
      <c r="C69" s="84"/>
      <c r="D69" s="84" t="s">
        <v>231</v>
      </c>
      <c r="E69" s="84" t="s">
        <v>232</v>
      </c>
      <c r="F69" s="84" t="s">
        <v>233</v>
      </c>
      <c r="K69" s="86"/>
      <c r="L69" s="86"/>
    </row>
    <row r="70" spans="3:13" s="5" customFormat="1" hidden="1" outlineLevel="1" x14ac:dyDescent="0.35">
      <c r="C70" s="84"/>
      <c r="D70" s="5" t="s">
        <v>234</v>
      </c>
      <c r="E70" s="5" t="s">
        <v>235</v>
      </c>
      <c r="G70" s="61">
        <f>0.5*5</f>
        <v>2.5</v>
      </c>
      <c r="H70" s="5" t="s">
        <v>236</v>
      </c>
      <c r="J70" s="5" t="s">
        <v>237</v>
      </c>
      <c r="K70" s="86"/>
      <c r="L70" s="86" t="s">
        <v>238</v>
      </c>
    </row>
    <row r="71" spans="3:13" s="5" customFormat="1" hidden="1" outlineLevel="1" x14ac:dyDescent="0.35">
      <c r="C71" s="84"/>
      <c r="D71" s="5" t="s">
        <v>234</v>
      </c>
      <c r="E71" s="5" t="s">
        <v>239</v>
      </c>
      <c r="G71" s="61">
        <f>0.5*5</f>
        <v>2.5</v>
      </c>
      <c r="H71" s="5" t="s">
        <v>236</v>
      </c>
      <c r="J71" s="5" t="s">
        <v>240</v>
      </c>
      <c r="K71" s="86"/>
      <c r="L71" s="86" t="s">
        <v>238</v>
      </c>
    </row>
    <row r="72" spans="3:13" s="5" customFormat="1" hidden="1" outlineLevel="1" x14ac:dyDescent="0.35">
      <c r="C72" s="84"/>
      <c r="K72" s="86"/>
      <c r="L72" s="86"/>
    </row>
    <row r="73" spans="3:13" s="5" customFormat="1" hidden="1" outlineLevel="1" x14ac:dyDescent="0.35">
      <c r="C73" s="84"/>
      <c r="D73" s="5" t="s">
        <v>221</v>
      </c>
      <c r="E73" s="5" t="s">
        <v>223</v>
      </c>
      <c r="G73" s="89">
        <v>100</v>
      </c>
      <c r="H73" s="5" t="s">
        <v>236</v>
      </c>
      <c r="J73" s="5" t="s">
        <v>241</v>
      </c>
      <c r="K73" s="86"/>
      <c r="L73" s="86" t="s">
        <v>643</v>
      </c>
    </row>
    <row r="74" spans="3:13" s="5" customFormat="1" hidden="1" outlineLevel="1" x14ac:dyDescent="0.35">
      <c r="C74" s="84"/>
      <c r="D74" s="5" t="s">
        <v>242</v>
      </c>
      <c r="E74" s="5" t="s">
        <v>227</v>
      </c>
      <c r="F74" s="5" t="s">
        <v>222</v>
      </c>
      <c r="G74" s="61">
        <f>G73/23.6</f>
        <v>4.2372881355932197</v>
      </c>
      <c r="H74" s="5" t="s">
        <v>243</v>
      </c>
      <c r="J74" s="5" t="s">
        <v>244</v>
      </c>
      <c r="K74" s="86"/>
      <c r="L74" s="86" t="s">
        <v>645</v>
      </c>
      <c r="M74" s="90" t="s">
        <v>245</v>
      </c>
    </row>
    <row r="75" spans="3:13" s="5" customFormat="1" hidden="1" outlineLevel="1" x14ac:dyDescent="0.35">
      <c r="C75" s="84"/>
      <c r="D75" s="5" t="s">
        <v>242</v>
      </c>
      <c r="E75" s="5" t="s">
        <v>227</v>
      </c>
      <c r="F75" s="5" t="s">
        <v>246</v>
      </c>
      <c r="G75" s="91">
        <v>100</v>
      </c>
      <c r="H75" s="5" t="s">
        <v>236</v>
      </c>
      <c r="J75" s="5" t="s">
        <v>681</v>
      </c>
      <c r="K75" s="86"/>
      <c r="L75" s="86"/>
    </row>
    <row r="76" spans="3:13" s="5" customFormat="1" hidden="1" outlineLevel="1" x14ac:dyDescent="0.35">
      <c r="C76" s="84"/>
      <c r="K76" s="86"/>
      <c r="L76" s="86"/>
    </row>
    <row r="77" spans="3:13" s="5" customFormat="1" hidden="1" outlineLevel="1" x14ac:dyDescent="0.35">
      <c r="C77" s="84"/>
      <c r="D77" s="5" t="s">
        <v>248</v>
      </c>
      <c r="E77" s="5" t="s">
        <v>223</v>
      </c>
      <c r="G77" s="89">
        <v>67</v>
      </c>
      <c r="H77" s="5" t="s">
        <v>236</v>
      </c>
      <c r="J77" s="5" t="s">
        <v>241</v>
      </c>
      <c r="K77" s="86"/>
      <c r="L77" s="86" t="s">
        <v>643</v>
      </c>
    </row>
    <row r="78" spans="3:13" s="5" customFormat="1" hidden="1" outlineLevel="1" x14ac:dyDescent="0.35">
      <c r="C78" s="84"/>
      <c r="E78" s="5" t="s">
        <v>227</v>
      </c>
      <c r="F78" s="5" t="s">
        <v>222</v>
      </c>
      <c r="G78" s="61">
        <f>G77/23.6</f>
        <v>2.8389830508474576</v>
      </c>
      <c r="H78" s="5" t="s">
        <v>243</v>
      </c>
      <c r="J78" s="5" t="s">
        <v>244</v>
      </c>
      <c r="K78" s="86"/>
      <c r="L78" s="86" t="s">
        <v>645</v>
      </c>
      <c r="M78" s="90" t="s">
        <v>245</v>
      </c>
    </row>
    <row r="79" spans="3:13" s="5" customFormat="1" hidden="1" outlineLevel="1" x14ac:dyDescent="0.35">
      <c r="E79" s="5" t="s">
        <v>227</v>
      </c>
      <c r="F79" s="5" t="s">
        <v>246</v>
      </c>
      <c r="G79" s="91">
        <v>67</v>
      </c>
      <c r="H79" s="5" t="s">
        <v>236</v>
      </c>
      <c r="J79" s="5" t="s">
        <v>681</v>
      </c>
      <c r="K79" s="86"/>
      <c r="L79" s="86"/>
    </row>
    <row r="80" spans="3:13" s="5" customFormat="1" hidden="1" outlineLevel="1" x14ac:dyDescent="0.35">
      <c r="K80" s="86"/>
      <c r="L80" s="86"/>
    </row>
    <row r="81" spans="1:12" s="5" customFormat="1" hidden="1" outlineLevel="1" x14ac:dyDescent="0.35">
      <c r="D81" s="5" t="s">
        <v>225</v>
      </c>
      <c r="E81" s="5" t="s">
        <v>226</v>
      </c>
      <c r="G81" s="59">
        <v>5</v>
      </c>
      <c r="H81" s="5" t="s">
        <v>236</v>
      </c>
      <c r="J81" s="5" t="s">
        <v>249</v>
      </c>
      <c r="K81" s="86"/>
      <c r="L81" s="86" t="s">
        <v>250</v>
      </c>
    </row>
    <row r="82" spans="1:12" s="5" customFormat="1" hidden="1" outlineLevel="1" x14ac:dyDescent="0.35">
      <c r="K82" s="86"/>
      <c r="L82" s="86"/>
    </row>
    <row r="83" spans="1:12" s="5" customFormat="1" hidden="1" outlineLevel="1" x14ac:dyDescent="0.35">
      <c r="C83" s="84" t="s">
        <v>251</v>
      </c>
      <c r="K83" s="86"/>
      <c r="L83" s="86"/>
    </row>
    <row r="84" spans="1:12" s="5" customFormat="1" hidden="1" outlineLevel="1" x14ac:dyDescent="0.35">
      <c r="C84" s="84"/>
      <c r="D84" s="5" t="s">
        <v>642</v>
      </c>
      <c r="G84" s="61">
        <f>-G70-G71</f>
        <v>-5</v>
      </c>
      <c r="H84" s="5" t="s">
        <v>236</v>
      </c>
      <c r="J84" s="5" t="s">
        <v>252</v>
      </c>
      <c r="K84" s="86"/>
      <c r="L84" s="86"/>
    </row>
    <row r="85" spans="1:12" s="5" customFormat="1" hidden="1" outlineLevel="1" x14ac:dyDescent="0.35">
      <c r="C85" s="84"/>
      <c r="D85" s="5" t="s">
        <v>253</v>
      </c>
      <c r="G85" s="61">
        <f>-(G73+G77)</f>
        <v>-167</v>
      </c>
      <c r="H85" s="5" t="s">
        <v>236</v>
      </c>
      <c r="J85" s="5" t="s">
        <v>254</v>
      </c>
      <c r="K85" s="86"/>
      <c r="L85" s="86"/>
    </row>
    <row r="86" spans="1:12" s="5" customFormat="1" hidden="1" outlineLevel="1" x14ac:dyDescent="0.35">
      <c r="C86" s="84"/>
      <c r="D86" s="5" t="s">
        <v>255</v>
      </c>
      <c r="G86" s="61">
        <f>-G81</f>
        <v>-5</v>
      </c>
      <c r="H86" s="5" t="s">
        <v>236</v>
      </c>
      <c r="J86" s="5" t="s">
        <v>256</v>
      </c>
      <c r="K86" s="86"/>
      <c r="L86" s="86" t="s">
        <v>257</v>
      </c>
    </row>
    <row r="87" spans="1:12" s="5" customFormat="1" hidden="1" outlineLevel="1" x14ac:dyDescent="0.35">
      <c r="K87" s="86"/>
      <c r="L87" s="86"/>
    </row>
    <row r="88" spans="1:12" s="65" customFormat="1" collapsed="1" x14ac:dyDescent="0.35">
      <c r="A88" s="65" t="s">
        <v>258</v>
      </c>
      <c r="B88" s="65" t="s">
        <v>189</v>
      </c>
    </row>
    <row r="89" spans="1:12" s="67" customFormat="1" hidden="1" outlineLevel="1" x14ac:dyDescent="0.35">
      <c r="A89" s="66" t="s">
        <v>208</v>
      </c>
      <c r="B89" s="66"/>
      <c r="C89" s="66"/>
    </row>
    <row r="90" spans="1:12" s="70" customFormat="1" hidden="1" outlineLevel="1" x14ac:dyDescent="0.35">
      <c r="A90" s="69"/>
      <c r="B90" s="69"/>
      <c r="C90" s="69"/>
    </row>
    <row r="91" spans="1:12" s="70" customFormat="1" ht="43.5" hidden="1" outlineLevel="1" x14ac:dyDescent="0.35">
      <c r="B91" s="71" t="s">
        <v>209</v>
      </c>
      <c r="C91" s="72" t="s">
        <v>210</v>
      </c>
      <c r="D91" s="72" t="s">
        <v>211</v>
      </c>
      <c r="E91" s="72" t="s">
        <v>212</v>
      </c>
      <c r="F91" s="72" t="s">
        <v>213</v>
      </c>
      <c r="G91" s="73"/>
      <c r="H91" s="73"/>
      <c r="J91" s="74"/>
      <c r="K91" s="74"/>
    </row>
    <row r="92" spans="1:12" s="70" customFormat="1" ht="29" hidden="1" outlineLevel="1" x14ac:dyDescent="0.35">
      <c r="B92" s="75" t="s">
        <v>214</v>
      </c>
      <c r="C92" s="76" t="s">
        <v>215</v>
      </c>
      <c r="D92" s="76" t="s">
        <v>216</v>
      </c>
      <c r="E92" s="75" t="s">
        <v>217</v>
      </c>
      <c r="F92" s="75" t="s">
        <v>218</v>
      </c>
      <c r="G92" s="77"/>
      <c r="H92" s="78"/>
      <c r="J92" s="74"/>
      <c r="K92" s="74"/>
    </row>
    <row r="93" spans="1:12" s="70" customFormat="1" hidden="1" outlineLevel="1" x14ac:dyDescent="0.35">
      <c r="B93" s="79" t="s">
        <v>259</v>
      </c>
      <c r="C93" s="79" t="s">
        <v>222</v>
      </c>
      <c r="D93" s="79" t="s">
        <v>260</v>
      </c>
      <c r="E93" s="79">
        <v>150</v>
      </c>
      <c r="F93" s="79">
        <v>25</v>
      </c>
      <c r="G93" s="81"/>
      <c r="H93" s="81"/>
      <c r="J93" s="74"/>
      <c r="K93" s="74"/>
    </row>
    <row r="94" spans="1:12" s="70" customFormat="1" hidden="1" outlineLevel="1" x14ac:dyDescent="0.35">
      <c r="B94" s="79" t="s">
        <v>261</v>
      </c>
      <c r="C94" s="79" t="s">
        <v>222</v>
      </c>
      <c r="D94" s="79" t="s">
        <v>223</v>
      </c>
      <c r="E94" s="79">
        <v>50</v>
      </c>
      <c r="F94" s="79">
        <v>25</v>
      </c>
      <c r="G94" s="82"/>
      <c r="H94" s="81"/>
      <c r="J94" s="74"/>
      <c r="K94" s="74"/>
    </row>
    <row r="95" spans="1:12" s="70" customFormat="1" hidden="1" outlineLevel="1" x14ac:dyDescent="0.35">
      <c r="B95" s="79" t="s">
        <v>262</v>
      </c>
      <c r="C95" s="79"/>
      <c r="D95" s="79" t="s">
        <v>226</v>
      </c>
      <c r="E95" s="79" t="s">
        <v>227</v>
      </c>
      <c r="F95" s="79">
        <v>25</v>
      </c>
      <c r="G95" s="82"/>
      <c r="H95" s="81"/>
      <c r="J95" s="74"/>
      <c r="K95" s="74"/>
    </row>
    <row r="96" spans="1:12" s="70" customFormat="1" hidden="1" outlineLevel="1" x14ac:dyDescent="0.35">
      <c r="B96" s="81"/>
      <c r="C96" s="81"/>
      <c r="D96" s="81"/>
      <c r="E96" s="81"/>
      <c r="F96" s="81"/>
      <c r="G96" s="82"/>
      <c r="H96" s="81"/>
      <c r="J96" s="74"/>
      <c r="K96" s="74"/>
    </row>
    <row r="97" spans="1:13" s="67" customFormat="1" hidden="1" outlineLevel="1" x14ac:dyDescent="0.35">
      <c r="A97" s="66" t="s">
        <v>228</v>
      </c>
      <c r="B97" s="66"/>
      <c r="C97" s="66"/>
    </row>
    <row r="98" spans="1:13" s="83" customFormat="1" hidden="1" outlineLevel="1" x14ac:dyDescent="0.35"/>
    <row r="99" spans="1:13" s="83" customFormat="1" hidden="1" outlineLevel="1" x14ac:dyDescent="0.35">
      <c r="A99" s="84"/>
    </row>
    <row r="100" spans="1:13" s="5" customFormat="1" ht="15.5" hidden="1" outlineLevel="1" x14ac:dyDescent="0.35">
      <c r="B100" s="85" t="s">
        <v>263</v>
      </c>
      <c r="G100" s="85" t="s">
        <v>179</v>
      </c>
      <c r="H100" s="85" t="s">
        <v>180</v>
      </c>
      <c r="I100" s="85"/>
      <c r="J100" s="85" t="s">
        <v>513</v>
      </c>
      <c r="K100" s="85"/>
      <c r="L100" s="85" t="s">
        <v>181</v>
      </c>
      <c r="M100" s="85" t="s">
        <v>182</v>
      </c>
    </row>
    <row r="101" spans="1:13" s="5" customFormat="1" hidden="1" outlineLevel="1" x14ac:dyDescent="0.35">
      <c r="C101" s="84" t="s">
        <v>183</v>
      </c>
      <c r="G101" s="86"/>
      <c r="H101" s="87"/>
      <c r="I101" s="86"/>
      <c r="J101" s="88"/>
      <c r="K101" s="86"/>
      <c r="L101" s="86"/>
    </row>
    <row r="102" spans="1:13" s="5" customFormat="1" hidden="1" outlineLevel="1" x14ac:dyDescent="0.35">
      <c r="D102" s="5" t="s">
        <v>189</v>
      </c>
      <c r="G102" s="57">
        <v>1</v>
      </c>
      <c r="H102" s="5" t="s">
        <v>185</v>
      </c>
      <c r="K102" s="86"/>
      <c r="L102" s="86"/>
    </row>
    <row r="103" spans="1:13" s="5" customFormat="1" hidden="1" outlineLevel="1" x14ac:dyDescent="0.35">
      <c r="K103" s="86"/>
      <c r="L103" s="86"/>
    </row>
    <row r="104" spans="1:13" s="5" customFormat="1" hidden="1" outlineLevel="1" x14ac:dyDescent="0.35">
      <c r="C104" s="84" t="s">
        <v>186</v>
      </c>
      <c r="K104" s="86"/>
      <c r="L104" s="86"/>
    </row>
    <row r="105" spans="1:13" s="5" customFormat="1" hidden="1" outlineLevel="1" x14ac:dyDescent="0.35">
      <c r="C105" s="84"/>
      <c r="D105" s="84" t="s">
        <v>231</v>
      </c>
      <c r="E105" s="84" t="s">
        <v>232</v>
      </c>
      <c r="F105" s="84" t="s">
        <v>233</v>
      </c>
      <c r="K105" s="86"/>
      <c r="L105" s="86"/>
    </row>
    <row r="106" spans="1:13" s="5" customFormat="1" hidden="1" outlineLevel="1" x14ac:dyDescent="0.35">
      <c r="C106" s="84"/>
      <c r="D106" s="5" t="s">
        <v>259</v>
      </c>
      <c r="E106" s="5" t="s">
        <v>260</v>
      </c>
      <c r="G106" s="61">
        <f>E93-G109</f>
        <v>135</v>
      </c>
      <c r="H106" s="5" t="s">
        <v>236</v>
      </c>
      <c r="J106" s="5" t="s">
        <v>264</v>
      </c>
      <c r="K106" s="86"/>
      <c r="L106" s="86" t="s">
        <v>644</v>
      </c>
    </row>
    <row r="107" spans="1:13" s="5" customFormat="1" hidden="1" outlineLevel="1" x14ac:dyDescent="0.35">
      <c r="C107" s="84"/>
      <c r="D107" s="5" t="s">
        <v>259</v>
      </c>
      <c r="E107" s="5" t="s">
        <v>227</v>
      </c>
      <c r="F107" s="5" t="s">
        <v>222</v>
      </c>
      <c r="G107" s="61">
        <f>G106/23.6</f>
        <v>5.7203389830508469</v>
      </c>
      <c r="H107" s="5" t="s">
        <v>243</v>
      </c>
      <c r="J107" s="5" t="s">
        <v>244</v>
      </c>
      <c r="K107" s="86"/>
      <c r="L107" s="86" t="s">
        <v>645</v>
      </c>
      <c r="M107" s="90" t="s">
        <v>245</v>
      </c>
    </row>
    <row r="108" spans="1:13" s="5" customFormat="1" hidden="1" outlineLevel="1" x14ac:dyDescent="0.35">
      <c r="C108" s="84"/>
      <c r="D108" s="5" t="s">
        <v>259</v>
      </c>
      <c r="E108" s="5" t="s">
        <v>227</v>
      </c>
      <c r="F108" s="5" t="s">
        <v>246</v>
      </c>
      <c r="G108" s="91">
        <f>G106</f>
        <v>135</v>
      </c>
      <c r="H108" s="5" t="s">
        <v>236</v>
      </c>
      <c r="J108" s="5" t="s">
        <v>681</v>
      </c>
      <c r="K108" s="86"/>
      <c r="L108" s="86"/>
    </row>
    <row r="109" spans="1:13" s="5" customFormat="1" hidden="1" outlineLevel="1" x14ac:dyDescent="0.35">
      <c r="C109" s="84"/>
      <c r="D109" s="5" t="s">
        <v>259</v>
      </c>
      <c r="E109" s="5" t="s">
        <v>265</v>
      </c>
      <c r="G109" s="89">
        <v>15</v>
      </c>
      <c r="H109" s="5" t="s">
        <v>236</v>
      </c>
      <c r="J109" s="5" t="s">
        <v>266</v>
      </c>
      <c r="K109" s="86"/>
      <c r="L109" s="86" t="s">
        <v>267</v>
      </c>
    </row>
    <row r="110" spans="1:13" s="5" customFormat="1" hidden="1" outlineLevel="1" x14ac:dyDescent="0.35">
      <c r="C110" s="84"/>
      <c r="K110" s="86"/>
      <c r="L110" s="86"/>
    </row>
    <row r="111" spans="1:13" s="5" customFormat="1" hidden="1" outlineLevel="1" x14ac:dyDescent="0.35">
      <c r="C111" s="84"/>
      <c r="D111" s="5" t="s">
        <v>268</v>
      </c>
      <c r="E111" s="5" t="s">
        <v>223</v>
      </c>
      <c r="G111" s="91">
        <f>E94/1.5</f>
        <v>33.333333333333336</v>
      </c>
      <c r="H111" s="5" t="s">
        <v>269</v>
      </c>
      <c r="J111" s="5" t="s">
        <v>270</v>
      </c>
      <c r="K111" s="86"/>
      <c r="L111" s="181" t="s">
        <v>646</v>
      </c>
    </row>
    <row r="112" spans="1:13" s="5" customFormat="1" hidden="1" outlineLevel="1" x14ac:dyDescent="0.35">
      <c r="K112" s="86"/>
      <c r="L112" s="86"/>
    </row>
    <row r="113" spans="1:12" s="5" customFormat="1" hidden="1" outlineLevel="1" x14ac:dyDescent="0.35">
      <c r="D113" s="5" t="s">
        <v>262</v>
      </c>
      <c r="E113" s="5" t="s">
        <v>226</v>
      </c>
      <c r="G113" s="59">
        <v>5</v>
      </c>
      <c r="H113" s="5" t="s">
        <v>236</v>
      </c>
      <c r="J113" s="5" t="s">
        <v>249</v>
      </c>
      <c r="K113" s="86"/>
      <c r="L113" s="86" t="s">
        <v>250</v>
      </c>
    </row>
    <row r="114" spans="1:12" s="5" customFormat="1" hidden="1" outlineLevel="1" x14ac:dyDescent="0.35">
      <c r="K114" s="86"/>
      <c r="L114" s="86"/>
    </row>
    <row r="115" spans="1:12" s="5" customFormat="1" hidden="1" outlineLevel="1" x14ac:dyDescent="0.35">
      <c r="C115" s="84" t="s">
        <v>251</v>
      </c>
      <c r="K115" s="86"/>
      <c r="L115" s="86"/>
    </row>
    <row r="116" spans="1:12" s="5" customFormat="1" hidden="1" outlineLevel="1" x14ac:dyDescent="0.35">
      <c r="C116" s="84"/>
      <c r="D116" s="5" t="s">
        <v>253</v>
      </c>
      <c r="G116" s="61">
        <f>-E93-E94</f>
        <v>-200</v>
      </c>
      <c r="H116" s="5" t="s">
        <v>236</v>
      </c>
      <c r="J116" s="5" t="s">
        <v>254</v>
      </c>
      <c r="K116" s="86"/>
      <c r="L116" s="86"/>
    </row>
    <row r="117" spans="1:12" s="5" customFormat="1" hidden="1" outlineLevel="1" x14ac:dyDescent="0.35">
      <c r="C117" s="84"/>
      <c r="D117" s="5" t="s">
        <v>255</v>
      </c>
      <c r="G117" s="61">
        <f>-G113</f>
        <v>-5</v>
      </c>
      <c r="H117" s="5" t="s">
        <v>236</v>
      </c>
      <c r="J117" s="5" t="s">
        <v>256</v>
      </c>
      <c r="K117" s="86"/>
      <c r="L117" s="86" t="s">
        <v>257</v>
      </c>
    </row>
    <row r="118" spans="1:12" s="5" customFormat="1" hidden="1" outlineLevel="1" x14ac:dyDescent="0.35">
      <c r="K118" s="86"/>
      <c r="L118" s="86"/>
    </row>
    <row r="119" spans="1:12" s="65" customFormat="1" collapsed="1" x14ac:dyDescent="0.35">
      <c r="A119" s="65" t="s">
        <v>271</v>
      </c>
      <c r="B119" s="65" t="s">
        <v>272</v>
      </c>
    </row>
    <row r="120" spans="1:12" s="67" customFormat="1" hidden="1" outlineLevel="1" x14ac:dyDescent="0.35">
      <c r="A120" s="66" t="s">
        <v>208</v>
      </c>
      <c r="B120" s="66"/>
      <c r="C120" s="66"/>
    </row>
    <row r="121" spans="1:12" s="70" customFormat="1" ht="43.5" hidden="1" outlineLevel="1" x14ac:dyDescent="0.35">
      <c r="B121" s="71" t="s">
        <v>209</v>
      </c>
      <c r="C121" s="72" t="s">
        <v>210</v>
      </c>
      <c r="D121" s="72" t="s">
        <v>211</v>
      </c>
      <c r="E121" s="72" t="s">
        <v>212</v>
      </c>
      <c r="F121" s="72" t="s">
        <v>213</v>
      </c>
      <c r="G121" s="73"/>
      <c r="H121" s="73"/>
      <c r="J121" s="74"/>
      <c r="K121" s="74"/>
    </row>
    <row r="122" spans="1:12" s="70" customFormat="1" ht="29" hidden="1" outlineLevel="1" x14ac:dyDescent="0.35">
      <c r="B122" s="75" t="s">
        <v>214</v>
      </c>
      <c r="C122" s="76" t="s">
        <v>215</v>
      </c>
      <c r="D122" s="76" t="s">
        <v>216</v>
      </c>
      <c r="E122" s="75" t="s">
        <v>217</v>
      </c>
      <c r="F122" s="75" t="s">
        <v>218</v>
      </c>
      <c r="G122" s="77"/>
      <c r="H122" s="190"/>
      <c r="J122" s="74"/>
      <c r="K122" s="74"/>
    </row>
    <row r="123" spans="1:12" s="70" customFormat="1" hidden="1" outlineLevel="1" x14ac:dyDescent="0.35">
      <c r="B123" s="92" t="s">
        <v>273</v>
      </c>
      <c r="C123" s="92"/>
      <c r="D123" s="92"/>
      <c r="E123" s="92">
        <v>750</v>
      </c>
      <c r="F123" s="92">
        <v>25</v>
      </c>
      <c r="G123" s="81"/>
      <c r="H123" s="81"/>
      <c r="J123" s="74"/>
      <c r="K123" s="74"/>
    </row>
    <row r="124" spans="1:12" s="70" customFormat="1" hidden="1" outlineLevel="1" x14ac:dyDescent="0.35">
      <c r="B124" s="79" t="s">
        <v>274</v>
      </c>
      <c r="C124" s="79"/>
      <c r="D124" s="79" t="s">
        <v>223</v>
      </c>
      <c r="E124" s="79">
        <f>(E123-E127-E128)/3</f>
        <v>242.5</v>
      </c>
      <c r="F124" s="79">
        <v>25</v>
      </c>
      <c r="G124" s="81"/>
      <c r="H124" s="81"/>
      <c r="J124" s="74"/>
      <c r="K124" s="74"/>
    </row>
    <row r="125" spans="1:12" s="70" customFormat="1" hidden="1" outlineLevel="1" x14ac:dyDescent="0.35">
      <c r="B125" s="79" t="s">
        <v>275</v>
      </c>
      <c r="C125" s="79"/>
      <c r="D125" s="79" t="s">
        <v>223</v>
      </c>
      <c r="E125" s="79">
        <f>(E123-E127-E128)/3</f>
        <v>242.5</v>
      </c>
      <c r="F125" s="79">
        <v>25</v>
      </c>
      <c r="G125" s="81"/>
      <c r="H125" s="81"/>
      <c r="J125" s="74"/>
      <c r="K125" s="74"/>
    </row>
    <row r="126" spans="1:12" s="70" customFormat="1" hidden="1" outlineLevel="1" x14ac:dyDescent="0.35">
      <c r="B126" s="79" t="s">
        <v>276</v>
      </c>
      <c r="C126" s="79"/>
      <c r="D126" s="79" t="s">
        <v>223</v>
      </c>
      <c r="E126" s="93">
        <f>(E123-E127-E128)/3</f>
        <v>242.5</v>
      </c>
      <c r="F126" s="79">
        <v>25</v>
      </c>
      <c r="G126" s="81"/>
      <c r="H126" s="81"/>
      <c r="J126" s="74"/>
      <c r="K126" s="74"/>
    </row>
    <row r="127" spans="1:12" s="70" customFormat="1" hidden="1" outlineLevel="1" x14ac:dyDescent="0.35">
      <c r="B127" s="79" t="s">
        <v>277</v>
      </c>
      <c r="C127" s="79"/>
      <c r="D127" s="79" t="s">
        <v>278</v>
      </c>
      <c r="E127" s="79">
        <v>20</v>
      </c>
      <c r="F127" s="79">
        <v>25</v>
      </c>
      <c r="G127" s="81"/>
      <c r="H127" s="81"/>
      <c r="J127" s="74"/>
      <c r="K127" s="74"/>
    </row>
    <row r="128" spans="1:12" s="70" customFormat="1" hidden="1" outlineLevel="1" x14ac:dyDescent="0.35">
      <c r="B128" s="79" t="s">
        <v>279</v>
      </c>
      <c r="C128" s="79"/>
      <c r="D128" s="92" t="s">
        <v>280</v>
      </c>
      <c r="E128" s="79">
        <v>2.5</v>
      </c>
      <c r="F128" s="79">
        <v>3</v>
      </c>
      <c r="G128" s="285" t="s">
        <v>281</v>
      </c>
      <c r="H128" s="81"/>
      <c r="J128" s="74"/>
      <c r="K128" s="74"/>
    </row>
    <row r="129" spans="1:13" s="70" customFormat="1" hidden="1" outlineLevel="1" x14ac:dyDescent="0.35">
      <c r="B129" s="79" t="s">
        <v>282</v>
      </c>
      <c r="C129" s="79" t="s">
        <v>283</v>
      </c>
      <c r="D129" s="79" t="s">
        <v>223</v>
      </c>
      <c r="E129" s="79">
        <v>90</v>
      </c>
      <c r="F129" s="79">
        <v>25</v>
      </c>
      <c r="G129" s="82"/>
      <c r="H129" s="81"/>
      <c r="J129" s="74"/>
      <c r="K129" s="74"/>
    </row>
    <row r="130" spans="1:13" s="70" customFormat="1" hidden="1" outlineLevel="1" x14ac:dyDescent="0.35">
      <c r="B130" s="79" t="s">
        <v>284</v>
      </c>
      <c r="C130" s="79"/>
      <c r="D130" s="79" t="s">
        <v>285</v>
      </c>
      <c r="E130" s="79">
        <v>20</v>
      </c>
      <c r="F130" s="79">
        <v>25</v>
      </c>
      <c r="G130" s="82"/>
      <c r="H130" s="81"/>
      <c r="J130" s="74"/>
      <c r="K130" s="74"/>
    </row>
    <row r="131" spans="1:13" s="70" customFormat="1" hidden="1" outlineLevel="1" x14ac:dyDescent="0.35">
      <c r="B131" s="81"/>
      <c r="C131" s="81"/>
      <c r="D131" s="81"/>
      <c r="E131" s="81"/>
      <c r="F131" s="81"/>
      <c r="G131" s="82"/>
      <c r="H131" s="81"/>
      <c r="J131" s="74"/>
      <c r="K131" s="74"/>
    </row>
    <row r="132" spans="1:13" s="67" customFormat="1" hidden="1" outlineLevel="1" x14ac:dyDescent="0.35">
      <c r="A132" s="66" t="s">
        <v>228</v>
      </c>
      <c r="B132" s="66"/>
      <c r="C132" s="66"/>
    </row>
    <row r="133" spans="1:13" s="83" customFormat="1" hidden="1" outlineLevel="1" x14ac:dyDescent="0.35"/>
    <row r="134" spans="1:13" s="83" customFormat="1" hidden="1" outlineLevel="1" x14ac:dyDescent="0.35">
      <c r="A134" s="84"/>
    </row>
    <row r="135" spans="1:13" s="5" customFormat="1" ht="15.5" hidden="1" outlineLevel="1" x14ac:dyDescent="0.35">
      <c r="B135" s="85" t="s">
        <v>286</v>
      </c>
      <c r="G135" s="85" t="s">
        <v>179</v>
      </c>
      <c r="H135" s="85" t="s">
        <v>180</v>
      </c>
      <c r="I135" s="85"/>
      <c r="J135" s="85" t="s">
        <v>513</v>
      </c>
      <c r="K135" s="85"/>
      <c r="L135" s="85" t="s">
        <v>181</v>
      </c>
      <c r="M135" s="85" t="s">
        <v>182</v>
      </c>
    </row>
    <row r="136" spans="1:13" s="5" customFormat="1" ht="15.5" hidden="1" outlineLevel="1" x14ac:dyDescent="0.35">
      <c r="B136" s="85"/>
      <c r="C136" s="84" t="s">
        <v>183</v>
      </c>
      <c r="G136" s="86"/>
      <c r="H136" s="87"/>
      <c r="I136" s="86"/>
      <c r="J136" s="85"/>
      <c r="K136" s="85"/>
      <c r="L136" s="85"/>
      <c r="M136" s="85"/>
    </row>
    <row r="137" spans="1:13" s="5" customFormat="1" ht="15.5" hidden="1" outlineLevel="1" x14ac:dyDescent="0.35">
      <c r="B137" s="85"/>
      <c r="D137" s="5" t="s">
        <v>272</v>
      </c>
      <c r="G137" s="57">
        <v>1</v>
      </c>
      <c r="H137" s="5" t="s">
        <v>185</v>
      </c>
      <c r="J137" s="85"/>
      <c r="K137" s="85"/>
      <c r="L137" s="85"/>
      <c r="M137" s="85"/>
    </row>
    <row r="138" spans="1:13" s="5" customFormat="1" ht="15.5" hidden="1" outlineLevel="1" x14ac:dyDescent="0.35">
      <c r="B138" s="85"/>
      <c r="J138" s="85"/>
      <c r="K138" s="85"/>
      <c r="L138" s="85"/>
      <c r="M138" s="85"/>
    </row>
    <row r="139" spans="1:13" s="5" customFormat="1" ht="15.5" hidden="1" outlineLevel="1" x14ac:dyDescent="0.35">
      <c r="B139" s="85"/>
      <c r="C139" s="84" t="s">
        <v>186</v>
      </c>
      <c r="J139" s="85"/>
      <c r="K139" s="85"/>
      <c r="L139" s="85"/>
      <c r="M139" s="85"/>
    </row>
    <row r="140" spans="1:13" s="5" customFormat="1" ht="15.5" hidden="1" outlineLevel="1" x14ac:dyDescent="0.35">
      <c r="B140" s="85"/>
      <c r="C140" s="84"/>
      <c r="D140" s="84" t="s">
        <v>231</v>
      </c>
      <c r="E140" s="84" t="s">
        <v>232</v>
      </c>
      <c r="F140" s="84" t="s">
        <v>233</v>
      </c>
      <c r="J140" s="85"/>
      <c r="K140" s="85"/>
      <c r="L140" s="85"/>
      <c r="M140" s="85"/>
    </row>
    <row r="141" spans="1:13" s="5" customFormat="1" ht="15.5" hidden="1" outlineLevel="1" x14ac:dyDescent="0.35">
      <c r="B141" s="85"/>
      <c r="C141" s="84"/>
      <c r="D141" s="5" t="s">
        <v>274</v>
      </c>
      <c r="E141" s="5" t="s">
        <v>223</v>
      </c>
      <c r="G141" s="94">
        <f>E124</f>
        <v>242.5</v>
      </c>
      <c r="H141" s="5" t="s">
        <v>236</v>
      </c>
      <c r="J141" s="5" t="s">
        <v>241</v>
      </c>
      <c r="K141" s="85"/>
      <c r="L141" s="85"/>
      <c r="M141" s="85"/>
    </row>
    <row r="142" spans="1:13" s="5" customFormat="1" ht="15.5" hidden="1" outlineLevel="1" x14ac:dyDescent="0.35">
      <c r="B142" s="85"/>
      <c r="C142" s="84"/>
      <c r="D142" s="5" t="s">
        <v>275</v>
      </c>
      <c r="E142" s="5" t="s">
        <v>223</v>
      </c>
      <c r="G142" s="94">
        <f>E125</f>
        <v>242.5</v>
      </c>
      <c r="H142" s="5" t="s">
        <v>236</v>
      </c>
      <c r="J142" s="5" t="s">
        <v>241</v>
      </c>
      <c r="K142" s="85"/>
      <c r="L142" s="85"/>
      <c r="M142" s="85"/>
    </row>
    <row r="143" spans="1:13" s="5" customFormat="1" ht="15.5" hidden="1" outlineLevel="1" x14ac:dyDescent="0.35">
      <c r="B143" s="85"/>
      <c r="D143" s="5" t="s">
        <v>276</v>
      </c>
      <c r="E143" s="5" t="s">
        <v>223</v>
      </c>
      <c r="G143" s="94">
        <f>E126</f>
        <v>242.5</v>
      </c>
      <c r="H143" s="5" t="s">
        <v>236</v>
      </c>
      <c r="I143" s="85"/>
      <c r="J143" s="5" t="s">
        <v>241</v>
      </c>
      <c r="K143" s="85"/>
      <c r="L143" s="85"/>
      <c r="M143" s="85"/>
    </row>
    <row r="144" spans="1:13" s="5" customFormat="1" ht="15.5" hidden="1" outlineLevel="1" x14ac:dyDescent="0.35">
      <c r="B144" s="85"/>
      <c r="D144" s="5" t="s">
        <v>287</v>
      </c>
      <c r="F144" s="5" t="s">
        <v>288</v>
      </c>
      <c r="G144" s="94">
        <f>SUM(G141:G143)</f>
        <v>727.5</v>
      </c>
      <c r="H144" s="5" t="s">
        <v>236</v>
      </c>
      <c r="I144" s="85"/>
      <c r="J144" s="5" t="s">
        <v>681</v>
      </c>
      <c r="K144" s="85"/>
      <c r="L144" s="85"/>
      <c r="M144" s="85"/>
    </row>
    <row r="145" spans="1:13" s="5" customFormat="1" ht="15.5" hidden="1" outlineLevel="1" x14ac:dyDescent="0.35">
      <c r="B145" s="85"/>
      <c r="G145" s="85"/>
      <c r="H145" s="85"/>
      <c r="I145" s="85"/>
      <c r="J145" s="85"/>
      <c r="K145" s="85"/>
      <c r="L145" s="85"/>
      <c r="M145" s="85"/>
    </row>
    <row r="146" spans="1:13" s="5" customFormat="1" ht="15.5" hidden="1" outlineLevel="1" x14ac:dyDescent="0.35">
      <c r="B146" s="85"/>
      <c r="D146" s="5" t="s">
        <v>289</v>
      </c>
      <c r="E146" s="5" t="s">
        <v>290</v>
      </c>
      <c r="G146" s="59">
        <f>E127</f>
        <v>20</v>
      </c>
      <c r="H146" s="5" t="s">
        <v>236</v>
      </c>
      <c r="J146" s="5" t="s">
        <v>291</v>
      </c>
      <c r="K146" s="85"/>
      <c r="L146" s="85"/>
      <c r="M146" s="85"/>
    </row>
    <row r="147" spans="1:13" s="5" customFormat="1" ht="15.5" hidden="1" outlineLevel="1" x14ac:dyDescent="0.35">
      <c r="B147" s="85"/>
      <c r="G147" s="85"/>
      <c r="H147" s="85"/>
      <c r="I147" s="85"/>
      <c r="J147" s="85"/>
      <c r="K147" s="85"/>
      <c r="L147" s="85"/>
      <c r="M147" s="85"/>
    </row>
    <row r="148" spans="1:13" s="5" customFormat="1" ht="15.5" hidden="1" outlineLevel="1" x14ac:dyDescent="0.35">
      <c r="B148" s="85"/>
      <c r="D148" s="5" t="s">
        <v>292</v>
      </c>
      <c r="E148" s="5" t="s">
        <v>223</v>
      </c>
      <c r="G148" s="63">
        <f>E129</f>
        <v>90</v>
      </c>
      <c r="H148" s="95" t="s">
        <v>236</v>
      </c>
      <c r="I148" s="85"/>
      <c r="J148" s="5" t="s">
        <v>241</v>
      </c>
      <c r="K148" s="85"/>
      <c r="L148" s="181" t="s">
        <v>643</v>
      </c>
      <c r="M148" s="85"/>
    </row>
    <row r="149" spans="1:13" s="5" customFormat="1" ht="15.5" hidden="1" outlineLevel="1" x14ac:dyDescent="0.35">
      <c r="B149" s="85"/>
      <c r="F149" s="5" t="s">
        <v>283</v>
      </c>
      <c r="G149" s="94">
        <f>G148/23.6</f>
        <v>3.8135593220338979</v>
      </c>
      <c r="H149" s="95" t="s">
        <v>243</v>
      </c>
      <c r="I149" s="85"/>
      <c r="J149" s="95" t="s">
        <v>669</v>
      </c>
      <c r="K149" s="85"/>
      <c r="L149" s="86" t="s">
        <v>645</v>
      </c>
      <c r="M149" s="90" t="s">
        <v>245</v>
      </c>
    </row>
    <row r="150" spans="1:13" s="5" customFormat="1" ht="15.5" hidden="1" outlineLevel="1" x14ac:dyDescent="0.35">
      <c r="B150" s="85"/>
      <c r="F150" s="5" t="s">
        <v>246</v>
      </c>
      <c r="G150" s="96">
        <f>G148</f>
        <v>90</v>
      </c>
      <c r="H150" s="5" t="s">
        <v>236</v>
      </c>
      <c r="I150" s="85"/>
      <c r="J150" s="5" t="s">
        <v>681</v>
      </c>
      <c r="K150" s="85"/>
      <c r="L150" s="86"/>
      <c r="M150" s="90"/>
    </row>
    <row r="151" spans="1:13" s="5" customFormat="1" ht="15.5" hidden="1" outlineLevel="1" x14ac:dyDescent="0.35">
      <c r="B151" s="85"/>
      <c r="G151" s="85"/>
      <c r="H151" s="85"/>
      <c r="I151" s="85"/>
      <c r="J151" s="85"/>
      <c r="K151" s="85"/>
      <c r="L151" s="85"/>
      <c r="M151" s="85"/>
    </row>
    <row r="152" spans="1:13" s="5" customFormat="1" ht="15.5" hidden="1" outlineLevel="1" x14ac:dyDescent="0.35">
      <c r="B152" s="85"/>
      <c r="D152" s="5" t="s">
        <v>284</v>
      </c>
      <c r="E152" s="5" t="s">
        <v>293</v>
      </c>
      <c r="G152" s="63">
        <f>E130</f>
        <v>20</v>
      </c>
      <c r="H152" s="5" t="s">
        <v>236</v>
      </c>
      <c r="I152" s="85"/>
      <c r="J152" s="5" t="s">
        <v>294</v>
      </c>
      <c r="K152" s="85"/>
      <c r="L152" s="85"/>
      <c r="M152" s="85"/>
    </row>
    <row r="153" spans="1:13" s="5" customFormat="1" ht="15.5" hidden="1" outlineLevel="1" x14ac:dyDescent="0.35">
      <c r="B153" s="85"/>
      <c r="F153" s="5" t="s">
        <v>246</v>
      </c>
      <c r="G153" s="96">
        <f>G152</f>
        <v>20</v>
      </c>
      <c r="H153" s="5" t="s">
        <v>236</v>
      </c>
      <c r="I153" s="85"/>
      <c r="J153" s="5" t="s">
        <v>670</v>
      </c>
      <c r="K153" s="85"/>
      <c r="L153" s="85"/>
      <c r="M153" s="85"/>
    </row>
    <row r="154" spans="1:13" s="5" customFormat="1" ht="15.5" hidden="1" outlineLevel="1" x14ac:dyDescent="0.35">
      <c r="B154" s="85"/>
      <c r="G154" s="85"/>
      <c r="H154" s="85"/>
      <c r="I154" s="85"/>
      <c r="J154" s="85"/>
      <c r="K154" s="85"/>
      <c r="L154" s="85"/>
      <c r="M154" s="85"/>
    </row>
    <row r="155" spans="1:13" s="5" customFormat="1" ht="15.5" hidden="1" outlineLevel="1" x14ac:dyDescent="0.35">
      <c r="B155" s="85"/>
      <c r="C155" s="84" t="s">
        <v>251</v>
      </c>
      <c r="K155" s="85"/>
      <c r="L155" s="85"/>
      <c r="M155" s="85"/>
    </row>
    <row r="156" spans="1:13" s="5" customFormat="1" ht="15.5" hidden="1" outlineLevel="1" x14ac:dyDescent="0.35">
      <c r="B156" s="85"/>
      <c r="C156" s="84"/>
      <c r="D156" s="5" t="s">
        <v>253</v>
      </c>
      <c r="G156" s="94">
        <f>-SUM(G141:G143)-G148</f>
        <v>-817.5</v>
      </c>
      <c r="H156" s="5" t="s">
        <v>236</v>
      </c>
      <c r="J156" s="5" t="s">
        <v>254</v>
      </c>
      <c r="K156" s="85"/>
      <c r="L156" s="85"/>
      <c r="M156" s="85"/>
    </row>
    <row r="157" spans="1:13" s="5" customFormat="1" ht="15.5" hidden="1" outlineLevel="1" x14ac:dyDescent="0.35">
      <c r="B157" s="85"/>
      <c r="D157" s="5" t="s">
        <v>295</v>
      </c>
      <c r="G157" s="96">
        <f>-G152</f>
        <v>-20</v>
      </c>
      <c r="H157" s="5" t="s">
        <v>236</v>
      </c>
      <c r="I157" s="85"/>
      <c r="J157" s="5" t="s">
        <v>296</v>
      </c>
      <c r="K157" s="85"/>
      <c r="L157" s="85"/>
      <c r="M157" s="85"/>
    </row>
    <row r="158" spans="1:13" s="5" customFormat="1" ht="15.5" hidden="1" outlineLevel="1" x14ac:dyDescent="0.35">
      <c r="B158" s="85"/>
      <c r="D158" s="5" t="s">
        <v>297</v>
      </c>
      <c r="G158" s="61">
        <f>-G146</f>
        <v>-20</v>
      </c>
      <c r="H158" s="85"/>
      <c r="I158" s="85"/>
      <c r="J158" s="5" t="s">
        <v>298</v>
      </c>
      <c r="K158" s="85"/>
      <c r="L158" s="85"/>
      <c r="M158" s="85"/>
    </row>
    <row r="159" spans="1:13" s="5" customFormat="1" ht="15.5" hidden="1" outlineLevel="1" x14ac:dyDescent="0.35">
      <c r="B159" s="85"/>
      <c r="G159" s="85"/>
      <c r="H159" s="85"/>
      <c r="I159" s="85"/>
      <c r="J159" s="85"/>
      <c r="K159" s="85"/>
      <c r="L159" s="85"/>
      <c r="M159" s="85"/>
    </row>
    <row r="160" spans="1:13" s="65" customFormat="1" collapsed="1" x14ac:dyDescent="0.35">
      <c r="A160" s="65" t="s">
        <v>299</v>
      </c>
      <c r="B160" s="65" t="s">
        <v>191</v>
      </c>
    </row>
    <row r="161" spans="1:13" s="67" customFormat="1" hidden="1" outlineLevel="1" x14ac:dyDescent="0.35">
      <c r="A161" s="66" t="s">
        <v>208</v>
      </c>
      <c r="B161" s="66"/>
      <c r="C161" s="66"/>
    </row>
    <row r="162" spans="1:13" s="70" customFormat="1" hidden="1" outlineLevel="1" x14ac:dyDescent="0.35">
      <c r="A162" s="68"/>
      <c r="B162" s="69"/>
      <c r="C162" s="69"/>
    </row>
    <row r="163" spans="1:13" s="70" customFormat="1" ht="43.5" hidden="1" outlineLevel="1" x14ac:dyDescent="0.35">
      <c r="B163" s="71" t="s">
        <v>209</v>
      </c>
      <c r="C163" s="72" t="s">
        <v>210</v>
      </c>
      <c r="D163" s="72" t="s">
        <v>211</v>
      </c>
      <c r="E163" s="72" t="s">
        <v>212</v>
      </c>
      <c r="F163" s="72" t="s">
        <v>300</v>
      </c>
      <c r="G163" s="72" t="s">
        <v>213</v>
      </c>
      <c r="H163" s="73"/>
      <c r="J163" s="74"/>
      <c r="K163" s="74"/>
    </row>
    <row r="164" spans="1:13" s="70" customFormat="1" ht="29" hidden="1" outlineLevel="1" x14ac:dyDescent="0.35">
      <c r="B164" s="75" t="s">
        <v>214</v>
      </c>
      <c r="C164" s="76" t="s">
        <v>215</v>
      </c>
      <c r="D164" s="76" t="s">
        <v>216</v>
      </c>
      <c r="E164" s="75" t="s">
        <v>217</v>
      </c>
      <c r="F164" s="76" t="s">
        <v>301</v>
      </c>
      <c r="G164" s="75" t="s">
        <v>218</v>
      </c>
      <c r="H164" s="78"/>
      <c r="J164" s="74"/>
      <c r="K164" s="74"/>
    </row>
    <row r="165" spans="1:13" s="70" customFormat="1" hidden="1" outlineLevel="1" x14ac:dyDescent="0.35">
      <c r="B165" s="79" t="s">
        <v>302</v>
      </c>
      <c r="C165" s="79"/>
      <c r="D165" s="79" t="s">
        <v>303</v>
      </c>
      <c r="E165" s="79">
        <f>7.8*2*7.5</f>
        <v>117</v>
      </c>
      <c r="F165" s="80">
        <v>1</v>
      </c>
      <c r="G165" s="79">
        <v>25</v>
      </c>
      <c r="H165" s="81"/>
      <c r="J165" s="74"/>
      <c r="K165" s="74"/>
    </row>
    <row r="166" spans="1:13" s="70" customFormat="1" hidden="1" outlineLevel="1" x14ac:dyDescent="0.35">
      <c r="B166" s="79" t="s">
        <v>304</v>
      </c>
      <c r="C166" s="79" t="s">
        <v>222</v>
      </c>
      <c r="D166" s="79" t="s">
        <v>223</v>
      </c>
      <c r="E166" s="79">
        <f>7.8*1*7.5</f>
        <v>58.5</v>
      </c>
      <c r="F166" s="80">
        <v>1</v>
      </c>
      <c r="G166" s="79">
        <v>25</v>
      </c>
      <c r="H166" s="81"/>
      <c r="J166" s="74"/>
      <c r="K166" s="74"/>
    </row>
    <row r="167" spans="1:13" s="70" customFormat="1" hidden="1" outlineLevel="1" x14ac:dyDescent="0.35">
      <c r="B167" s="79" t="s">
        <v>305</v>
      </c>
      <c r="C167" s="79"/>
      <c r="D167" s="79" t="s">
        <v>306</v>
      </c>
      <c r="E167" s="79">
        <v>1</v>
      </c>
      <c r="F167" s="80">
        <v>1</v>
      </c>
      <c r="G167" s="79">
        <v>25</v>
      </c>
      <c r="H167" s="81"/>
      <c r="J167" s="74"/>
      <c r="K167" s="74"/>
    </row>
    <row r="168" spans="1:13" s="70" customFormat="1" hidden="1" outlineLevel="1" x14ac:dyDescent="0.35">
      <c r="B168" s="79" t="s">
        <v>307</v>
      </c>
      <c r="C168" s="79" t="s">
        <v>222</v>
      </c>
      <c r="D168" s="79" t="s">
        <v>223</v>
      </c>
      <c r="E168" s="79">
        <f>2*100</f>
        <v>200</v>
      </c>
      <c r="F168" s="80">
        <v>2</v>
      </c>
      <c r="G168" s="79">
        <v>25</v>
      </c>
      <c r="H168" s="81"/>
      <c r="J168" s="74"/>
      <c r="K168" s="74"/>
    </row>
    <row r="169" spans="1:13" s="70" customFormat="1" hidden="1" outlineLevel="1" x14ac:dyDescent="0.35">
      <c r="B169" s="79" t="s">
        <v>308</v>
      </c>
      <c r="C169" s="79"/>
      <c r="D169" s="79" t="s">
        <v>303</v>
      </c>
      <c r="E169" s="79">
        <v>100</v>
      </c>
      <c r="F169" s="80">
        <v>1</v>
      </c>
      <c r="G169" s="79">
        <v>25</v>
      </c>
      <c r="H169" s="81"/>
      <c r="J169" s="74"/>
      <c r="K169" s="74"/>
    </row>
    <row r="170" spans="1:13" s="70" customFormat="1" hidden="1" outlineLevel="1" x14ac:dyDescent="0.35">
      <c r="B170" s="79" t="s">
        <v>309</v>
      </c>
      <c r="C170" s="79" t="s">
        <v>222</v>
      </c>
      <c r="D170" s="79" t="s">
        <v>223</v>
      </c>
      <c r="E170" s="79">
        <f>10*10</f>
        <v>100</v>
      </c>
      <c r="F170" s="80">
        <v>10</v>
      </c>
      <c r="G170" s="79">
        <v>25</v>
      </c>
      <c r="H170" s="81"/>
      <c r="J170" s="74"/>
      <c r="K170" s="74"/>
    </row>
    <row r="171" spans="1:13" s="70" customFormat="1" hidden="1" outlineLevel="1" x14ac:dyDescent="0.35">
      <c r="B171" s="81"/>
      <c r="C171" s="81"/>
      <c r="D171" s="81"/>
      <c r="E171" s="81"/>
      <c r="F171" s="81"/>
      <c r="G171" s="82"/>
      <c r="H171" s="81"/>
      <c r="J171" s="74"/>
      <c r="K171" s="74"/>
    </row>
    <row r="172" spans="1:13" s="67" customFormat="1" hidden="1" outlineLevel="1" x14ac:dyDescent="0.35">
      <c r="A172" s="66" t="s">
        <v>228</v>
      </c>
      <c r="B172" s="66"/>
      <c r="C172" s="66"/>
    </row>
    <row r="173" spans="1:13" s="83" customFormat="1" hidden="1" outlineLevel="1" x14ac:dyDescent="0.35"/>
    <row r="174" spans="1:13" s="83" customFormat="1" hidden="1" outlineLevel="1" x14ac:dyDescent="0.35">
      <c r="A174" s="84"/>
    </row>
    <row r="175" spans="1:13" s="5" customFormat="1" ht="15.5" hidden="1" outlineLevel="1" x14ac:dyDescent="0.35">
      <c r="B175" s="85" t="s">
        <v>310</v>
      </c>
      <c r="G175" s="85" t="s">
        <v>179</v>
      </c>
      <c r="H175" s="85" t="s">
        <v>180</v>
      </c>
      <c r="I175" s="85"/>
      <c r="J175" s="85" t="s">
        <v>513</v>
      </c>
      <c r="K175" s="85"/>
      <c r="L175" s="85" t="s">
        <v>181</v>
      </c>
      <c r="M175" s="85" t="s">
        <v>182</v>
      </c>
    </row>
    <row r="176" spans="1:13" s="5" customFormat="1" hidden="1" outlineLevel="1" x14ac:dyDescent="0.35">
      <c r="C176" s="84" t="s">
        <v>183</v>
      </c>
      <c r="G176" s="86"/>
      <c r="H176" s="87"/>
      <c r="I176" s="86"/>
      <c r="J176" s="88"/>
      <c r="K176" s="86"/>
      <c r="L176" s="86"/>
    </row>
    <row r="177" spans="3:13" s="5" customFormat="1" hidden="1" outlineLevel="1" x14ac:dyDescent="0.35">
      <c r="D177" s="5" t="s">
        <v>191</v>
      </c>
      <c r="G177" s="57">
        <v>1</v>
      </c>
      <c r="H177" s="5" t="s">
        <v>185</v>
      </c>
      <c r="K177" s="86"/>
      <c r="L177" s="86"/>
    </row>
    <row r="178" spans="3:13" s="5" customFormat="1" hidden="1" outlineLevel="1" x14ac:dyDescent="0.35">
      <c r="K178" s="86"/>
      <c r="L178" s="86"/>
    </row>
    <row r="179" spans="3:13" s="5" customFormat="1" hidden="1" outlineLevel="1" x14ac:dyDescent="0.35">
      <c r="C179" s="84" t="s">
        <v>186</v>
      </c>
      <c r="K179" s="86"/>
      <c r="L179" s="86"/>
    </row>
    <row r="180" spans="3:13" s="5" customFormat="1" hidden="1" outlineLevel="1" x14ac:dyDescent="0.35">
      <c r="C180" s="84"/>
      <c r="D180" s="84" t="s">
        <v>231</v>
      </c>
      <c r="E180" s="84" t="s">
        <v>232</v>
      </c>
      <c r="F180" s="84" t="s">
        <v>233</v>
      </c>
      <c r="K180" s="86"/>
      <c r="L180" s="86"/>
    </row>
    <row r="181" spans="3:13" s="5" customFormat="1" hidden="1" outlineLevel="1" x14ac:dyDescent="0.35">
      <c r="C181" s="84"/>
      <c r="D181" s="5" t="s">
        <v>311</v>
      </c>
      <c r="E181" s="5" t="s">
        <v>303</v>
      </c>
      <c r="G181" s="89">
        <f>E165</f>
        <v>117</v>
      </c>
      <c r="H181" s="5" t="s">
        <v>236</v>
      </c>
      <c r="J181" s="5" t="s">
        <v>312</v>
      </c>
      <c r="K181" s="86"/>
      <c r="L181" s="97" t="s">
        <v>647</v>
      </c>
    </row>
    <row r="182" spans="3:13" s="5" customFormat="1" hidden="1" outlineLevel="1" x14ac:dyDescent="0.35">
      <c r="C182" s="84"/>
      <c r="D182" s="5" t="s">
        <v>311</v>
      </c>
      <c r="E182" s="5" t="s">
        <v>227</v>
      </c>
      <c r="F182" s="5" t="s">
        <v>246</v>
      </c>
      <c r="G182" s="91">
        <f>G181</f>
        <v>117</v>
      </c>
      <c r="H182" s="5" t="s">
        <v>236</v>
      </c>
      <c r="J182" s="5" t="s">
        <v>313</v>
      </c>
      <c r="K182" s="86"/>
      <c r="L182" s="97"/>
    </row>
    <row r="183" spans="3:13" s="5" customFormat="1" hidden="1" outlineLevel="1" x14ac:dyDescent="0.35">
      <c r="C183" s="84"/>
      <c r="D183" s="5" t="s">
        <v>314</v>
      </c>
      <c r="E183" s="5" t="s">
        <v>223</v>
      </c>
      <c r="G183" s="89">
        <f>E166</f>
        <v>58.5</v>
      </c>
      <c r="H183" s="5" t="s">
        <v>236</v>
      </c>
      <c r="J183" s="5" t="s">
        <v>241</v>
      </c>
      <c r="K183" s="86"/>
      <c r="L183" s="97" t="s">
        <v>648</v>
      </c>
    </row>
    <row r="184" spans="3:13" s="5" customFormat="1" hidden="1" outlineLevel="1" x14ac:dyDescent="0.35">
      <c r="C184" s="84"/>
      <c r="D184" s="5" t="s">
        <v>314</v>
      </c>
      <c r="E184" s="5" t="s">
        <v>227</v>
      </c>
      <c r="F184" s="5" t="s">
        <v>222</v>
      </c>
      <c r="G184" s="61">
        <f>7.5</f>
        <v>7.5</v>
      </c>
      <c r="H184" s="5" t="s">
        <v>243</v>
      </c>
      <c r="J184" s="5" t="s">
        <v>244</v>
      </c>
      <c r="K184" s="86"/>
      <c r="L184" s="97" t="s">
        <v>648</v>
      </c>
    </row>
    <row r="185" spans="3:13" s="5" customFormat="1" hidden="1" outlineLevel="1" x14ac:dyDescent="0.35">
      <c r="C185" s="84"/>
      <c r="D185" s="5" t="s">
        <v>314</v>
      </c>
      <c r="E185" s="5" t="s">
        <v>227</v>
      </c>
      <c r="F185" s="5" t="s">
        <v>246</v>
      </c>
      <c r="G185" s="91">
        <f>G183</f>
        <v>58.5</v>
      </c>
      <c r="H185" s="5" t="s">
        <v>236</v>
      </c>
      <c r="J185" s="5" t="s">
        <v>681</v>
      </c>
      <c r="K185" s="86"/>
      <c r="L185" s="97"/>
    </row>
    <row r="186" spans="3:13" s="5" customFormat="1" hidden="1" outlineLevel="1" x14ac:dyDescent="0.35">
      <c r="C186" s="84"/>
      <c r="K186" s="86"/>
      <c r="L186" s="97"/>
    </row>
    <row r="187" spans="3:13" s="5" customFormat="1" hidden="1" outlineLevel="1" x14ac:dyDescent="0.35">
      <c r="C187" s="84"/>
      <c r="D187" s="5" t="s">
        <v>305</v>
      </c>
      <c r="E187" s="5" t="s">
        <v>315</v>
      </c>
      <c r="F187" s="5" t="s">
        <v>227</v>
      </c>
      <c r="G187" s="59">
        <f>E167</f>
        <v>1</v>
      </c>
      <c r="H187" s="5" t="s">
        <v>236</v>
      </c>
      <c r="J187" s="5" t="s">
        <v>316</v>
      </c>
      <c r="K187" s="86"/>
      <c r="L187" s="97" t="s">
        <v>649</v>
      </c>
    </row>
    <row r="188" spans="3:13" s="5" customFormat="1" hidden="1" outlineLevel="1" x14ac:dyDescent="0.35">
      <c r="C188" s="84"/>
      <c r="K188" s="86"/>
      <c r="L188" s="97"/>
    </row>
    <row r="189" spans="3:13" s="5" customFormat="1" hidden="1" outlineLevel="1" x14ac:dyDescent="0.35">
      <c r="C189" s="84"/>
      <c r="D189" s="5" t="s">
        <v>307</v>
      </c>
      <c r="E189" s="5" t="s">
        <v>223</v>
      </c>
      <c r="G189" s="89">
        <v>200</v>
      </c>
      <c r="H189" s="5" t="s">
        <v>236</v>
      </c>
      <c r="J189" s="5" t="s">
        <v>241</v>
      </c>
      <c r="K189" s="86"/>
      <c r="L189" s="181" t="s">
        <v>643</v>
      </c>
    </row>
    <row r="190" spans="3:13" s="5" customFormat="1" hidden="1" outlineLevel="1" x14ac:dyDescent="0.35">
      <c r="C190" s="84"/>
      <c r="D190" s="5" t="s">
        <v>242</v>
      </c>
      <c r="E190" s="5" t="s">
        <v>227</v>
      </c>
      <c r="F190" s="5" t="s">
        <v>222</v>
      </c>
      <c r="G190" s="61">
        <f>G189/23.6</f>
        <v>8.4745762711864394</v>
      </c>
      <c r="H190" s="5" t="s">
        <v>243</v>
      </c>
      <c r="J190" s="5" t="s">
        <v>244</v>
      </c>
      <c r="K190" s="86"/>
      <c r="L190" s="86" t="s">
        <v>645</v>
      </c>
      <c r="M190" s="90" t="s">
        <v>245</v>
      </c>
    </row>
    <row r="191" spans="3:13" s="5" customFormat="1" hidden="1" outlineLevel="1" x14ac:dyDescent="0.35">
      <c r="C191" s="84"/>
      <c r="D191" s="5" t="s">
        <v>242</v>
      </c>
      <c r="E191" s="5" t="s">
        <v>227</v>
      </c>
      <c r="F191" s="5" t="s">
        <v>246</v>
      </c>
      <c r="G191" s="91">
        <f>G189</f>
        <v>200</v>
      </c>
      <c r="H191" s="5" t="s">
        <v>236</v>
      </c>
      <c r="J191" s="5" t="s">
        <v>681</v>
      </c>
      <c r="K191" s="86"/>
      <c r="L191" s="86"/>
    </row>
    <row r="192" spans="3:13" s="5" customFormat="1" hidden="1" outlineLevel="1" x14ac:dyDescent="0.35">
      <c r="C192" s="84"/>
      <c r="K192" s="86"/>
      <c r="L192" s="86"/>
    </row>
    <row r="193" spans="1:13" s="5" customFormat="1" hidden="1" outlineLevel="1" x14ac:dyDescent="0.35">
      <c r="C193" s="84"/>
      <c r="D193" s="5" t="s">
        <v>317</v>
      </c>
      <c r="E193" s="5" t="s">
        <v>303</v>
      </c>
      <c r="G193" s="89">
        <v>100</v>
      </c>
      <c r="H193" s="5" t="s">
        <v>236</v>
      </c>
      <c r="J193" s="5" t="s">
        <v>312</v>
      </c>
      <c r="K193" s="86"/>
      <c r="L193" s="86" t="s">
        <v>514</v>
      </c>
    </row>
    <row r="194" spans="1:13" s="5" customFormat="1" hidden="1" outlineLevel="1" x14ac:dyDescent="0.35">
      <c r="D194" s="5" t="s">
        <v>317</v>
      </c>
      <c r="E194" s="5" t="s">
        <v>227</v>
      </c>
      <c r="F194" s="5" t="s">
        <v>246</v>
      </c>
      <c r="G194" s="91">
        <f>G193</f>
        <v>100</v>
      </c>
      <c r="H194" s="5" t="s">
        <v>236</v>
      </c>
      <c r="J194" s="5" t="s">
        <v>313</v>
      </c>
      <c r="K194" s="86"/>
      <c r="L194" s="86"/>
    </row>
    <row r="195" spans="1:13" s="5" customFormat="1" hidden="1" outlineLevel="1" x14ac:dyDescent="0.35">
      <c r="K195" s="86"/>
      <c r="L195" s="86"/>
    </row>
    <row r="196" spans="1:13" s="5" customFormat="1" hidden="1" outlineLevel="1" x14ac:dyDescent="0.35">
      <c r="C196" s="84"/>
      <c r="D196" s="5" t="s">
        <v>309</v>
      </c>
      <c r="E196" s="5" t="s">
        <v>223</v>
      </c>
      <c r="G196" s="89">
        <v>100</v>
      </c>
      <c r="H196" s="5" t="s">
        <v>236</v>
      </c>
      <c r="J196" s="5" t="s">
        <v>241</v>
      </c>
      <c r="K196" s="86"/>
      <c r="L196" s="86" t="s">
        <v>643</v>
      </c>
    </row>
    <row r="197" spans="1:13" s="5" customFormat="1" hidden="1" outlineLevel="1" x14ac:dyDescent="0.35">
      <c r="C197" s="84"/>
      <c r="D197" s="5" t="s">
        <v>309</v>
      </c>
      <c r="E197" s="5" t="s">
        <v>227</v>
      </c>
      <c r="F197" s="5" t="s">
        <v>222</v>
      </c>
      <c r="G197" s="61">
        <f>G196/23.6</f>
        <v>4.2372881355932197</v>
      </c>
      <c r="H197" s="5" t="s">
        <v>243</v>
      </c>
      <c r="J197" s="5" t="s">
        <v>244</v>
      </c>
      <c r="K197" s="86"/>
      <c r="L197" s="86" t="s">
        <v>645</v>
      </c>
      <c r="M197" s="90" t="s">
        <v>245</v>
      </c>
    </row>
    <row r="198" spans="1:13" s="5" customFormat="1" hidden="1" outlineLevel="1" x14ac:dyDescent="0.35">
      <c r="D198" s="5" t="s">
        <v>309</v>
      </c>
      <c r="E198" s="5" t="s">
        <v>227</v>
      </c>
      <c r="F198" s="5" t="s">
        <v>246</v>
      </c>
      <c r="G198" s="91">
        <f>G196</f>
        <v>100</v>
      </c>
      <c r="H198" s="5" t="s">
        <v>236</v>
      </c>
      <c r="J198" s="5" t="s">
        <v>681</v>
      </c>
      <c r="K198" s="86"/>
      <c r="L198" s="86"/>
    </row>
    <row r="199" spans="1:13" s="5" customFormat="1" hidden="1" outlineLevel="1" x14ac:dyDescent="0.35">
      <c r="C199" s="84"/>
      <c r="K199" s="86"/>
      <c r="L199" s="86"/>
    </row>
    <row r="200" spans="1:13" s="5" customFormat="1" hidden="1" outlineLevel="1" x14ac:dyDescent="0.35">
      <c r="C200" s="84" t="s">
        <v>251</v>
      </c>
      <c r="K200" s="86"/>
      <c r="L200" s="86"/>
    </row>
    <row r="201" spans="1:13" s="5" customFormat="1" hidden="1" outlineLevel="1" x14ac:dyDescent="0.35">
      <c r="C201" s="84"/>
      <c r="D201" s="5" t="s">
        <v>253</v>
      </c>
      <c r="G201" s="91">
        <f>-G189-G193-G181-G183-G196</f>
        <v>-575.5</v>
      </c>
      <c r="H201" s="5" t="s">
        <v>236</v>
      </c>
      <c r="J201" s="5" t="s">
        <v>254</v>
      </c>
      <c r="K201" s="86"/>
      <c r="L201" s="86"/>
    </row>
    <row r="202" spans="1:13" s="5" customFormat="1" hidden="1" outlineLevel="1" x14ac:dyDescent="0.35">
      <c r="C202" s="84"/>
      <c r="D202" s="98" t="s">
        <v>318</v>
      </c>
      <c r="G202" s="91">
        <f>-G187</f>
        <v>-1</v>
      </c>
      <c r="H202" s="5" t="s">
        <v>236</v>
      </c>
      <c r="J202" s="5" t="s">
        <v>319</v>
      </c>
      <c r="K202" s="86"/>
      <c r="L202" s="86"/>
    </row>
    <row r="203" spans="1:13" s="5" customFormat="1" hidden="1" outlineLevel="1" x14ac:dyDescent="0.35">
      <c r="K203" s="86"/>
      <c r="L203" s="86"/>
    </row>
    <row r="204" spans="1:13" s="65" customFormat="1" collapsed="1" x14ac:dyDescent="0.35">
      <c r="A204" s="65" t="s">
        <v>320</v>
      </c>
      <c r="B204" s="65" t="s">
        <v>192</v>
      </c>
    </row>
    <row r="205" spans="1:13" s="67" customFormat="1" hidden="1" outlineLevel="1" x14ac:dyDescent="0.35">
      <c r="A205" s="66" t="s">
        <v>208</v>
      </c>
      <c r="B205" s="66"/>
      <c r="C205" s="66"/>
    </row>
    <row r="206" spans="1:13" s="70" customFormat="1" hidden="1" outlineLevel="1" x14ac:dyDescent="0.35">
      <c r="A206" s="68"/>
      <c r="B206" s="69"/>
      <c r="C206" s="69"/>
    </row>
    <row r="207" spans="1:13" s="70" customFormat="1" ht="43.5" hidden="1" outlineLevel="1" x14ac:dyDescent="0.35">
      <c r="B207" s="71" t="s">
        <v>209</v>
      </c>
      <c r="C207" s="72" t="s">
        <v>210</v>
      </c>
      <c r="D207" s="72" t="s">
        <v>211</v>
      </c>
      <c r="E207" s="72" t="s">
        <v>212</v>
      </c>
      <c r="F207" s="72" t="s">
        <v>300</v>
      </c>
      <c r="G207" s="72" t="s">
        <v>213</v>
      </c>
      <c r="H207" s="73"/>
      <c r="J207" s="74"/>
      <c r="K207" s="74"/>
    </row>
    <row r="208" spans="1:13" s="70" customFormat="1" ht="29" hidden="1" outlineLevel="1" x14ac:dyDescent="0.35">
      <c r="B208" s="75" t="s">
        <v>214</v>
      </c>
      <c r="C208" s="76" t="s">
        <v>215</v>
      </c>
      <c r="D208" s="76" t="s">
        <v>216</v>
      </c>
      <c r="E208" s="75" t="s">
        <v>217</v>
      </c>
      <c r="F208" s="76" t="s">
        <v>301</v>
      </c>
      <c r="G208" s="75" t="s">
        <v>218</v>
      </c>
      <c r="H208" s="78"/>
      <c r="J208" s="74"/>
      <c r="K208" s="74"/>
    </row>
    <row r="209" spans="1:13" s="70" customFormat="1" hidden="1" outlineLevel="1" x14ac:dyDescent="0.35">
      <c r="B209" s="79" t="s">
        <v>321</v>
      </c>
      <c r="C209" s="79"/>
      <c r="D209" s="79" t="s">
        <v>220</v>
      </c>
      <c r="E209" s="79">
        <v>5</v>
      </c>
      <c r="F209" s="80">
        <v>1</v>
      </c>
      <c r="G209" s="79">
        <v>25</v>
      </c>
      <c r="H209" s="81"/>
      <c r="J209" s="74"/>
      <c r="K209" s="74"/>
    </row>
    <row r="210" spans="1:13" s="70" customFormat="1" hidden="1" outlineLevel="1" x14ac:dyDescent="0.35">
      <c r="B210" s="79" t="s">
        <v>322</v>
      </c>
      <c r="C210" s="79"/>
      <c r="D210" s="79" t="s">
        <v>323</v>
      </c>
      <c r="E210" s="79">
        <v>50</v>
      </c>
      <c r="F210" s="80">
        <v>1</v>
      </c>
      <c r="G210" s="79">
        <v>25</v>
      </c>
      <c r="H210" s="81"/>
      <c r="J210" s="74"/>
      <c r="K210" s="74"/>
    </row>
    <row r="211" spans="1:13" s="70" customFormat="1" hidden="1" outlineLevel="1" x14ac:dyDescent="0.35">
      <c r="B211" s="79" t="s">
        <v>324</v>
      </c>
      <c r="C211" s="79"/>
      <c r="D211" s="79" t="s">
        <v>303</v>
      </c>
      <c r="E211" s="79">
        <v>10</v>
      </c>
      <c r="F211" s="80">
        <v>1</v>
      </c>
      <c r="G211" s="79">
        <v>25</v>
      </c>
      <c r="H211" s="81"/>
      <c r="J211" s="74"/>
      <c r="K211" s="74"/>
    </row>
    <row r="212" spans="1:13" s="70" customFormat="1" hidden="1" outlineLevel="1" x14ac:dyDescent="0.35">
      <c r="B212" s="79" t="s">
        <v>325</v>
      </c>
      <c r="C212" s="79"/>
      <c r="D212" s="79" t="s">
        <v>303</v>
      </c>
      <c r="E212" s="79">
        <v>150</v>
      </c>
      <c r="F212" s="80">
        <v>1</v>
      </c>
      <c r="G212" s="79">
        <v>25</v>
      </c>
      <c r="H212" s="81"/>
      <c r="J212" s="74"/>
      <c r="K212" s="74"/>
    </row>
    <row r="213" spans="1:13" s="70" customFormat="1" hidden="1" outlineLevel="1" x14ac:dyDescent="0.35">
      <c r="B213" s="81"/>
      <c r="C213" s="81"/>
      <c r="D213" s="81"/>
      <c r="E213" s="81"/>
      <c r="F213" s="81"/>
      <c r="G213" s="82"/>
      <c r="H213" s="81"/>
      <c r="J213" s="74"/>
      <c r="K213" s="74"/>
    </row>
    <row r="214" spans="1:13" s="67" customFormat="1" hidden="1" outlineLevel="1" x14ac:dyDescent="0.35">
      <c r="A214" s="66" t="s">
        <v>228</v>
      </c>
      <c r="B214" s="66"/>
      <c r="C214" s="66"/>
    </row>
    <row r="215" spans="1:13" s="83" customFormat="1" hidden="1" outlineLevel="1" x14ac:dyDescent="0.35"/>
    <row r="216" spans="1:13" s="83" customFormat="1" hidden="1" outlineLevel="1" x14ac:dyDescent="0.35">
      <c r="A216" s="84"/>
    </row>
    <row r="217" spans="1:13" s="5" customFormat="1" ht="15.5" hidden="1" outlineLevel="1" x14ac:dyDescent="0.35">
      <c r="B217" s="85" t="s">
        <v>326</v>
      </c>
      <c r="G217" s="85" t="s">
        <v>179</v>
      </c>
      <c r="H217" s="85" t="s">
        <v>180</v>
      </c>
      <c r="I217" s="85"/>
      <c r="J217" s="85" t="s">
        <v>513</v>
      </c>
      <c r="K217" s="85"/>
      <c r="L217" s="85" t="s">
        <v>181</v>
      </c>
      <c r="M217" s="85" t="s">
        <v>182</v>
      </c>
    </row>
    <row r="218" spans="1:13" s="5" customFormat="1" hidden="1" outlineLevel="1" x14ac:dyDescent="0.35">
      <c r="C218" s="84" t="s">
        <v>183</v>
      </c>
      <c r="G218" s="86"/>
      <c r="H218" s="87"/>
      <c r="I218" s="86"/>
      <c r="J218" s="88"/>
      <c r="K218" s="86"/>
      <c r="L218" s="86"/>
    </row>
    <row r="219" spans="1:13" s="5" customFormat="1" hidden="1" outlineLevel="1" x14ac:dyDescent="0.35">
      <c r="D219" s="5" t="s">
        <v>192</v>
      </c>
      <c r="G219" s="57">
        <v>1</v>
      </c>
      <c r="H219" s="5" t="s">
        <v>185</v>
      </c>
      <c r="K219" s="86"/>
      <c r="L219" s="86"/>
    </row>
    <row r="220" spans="1:13" s="5" customFormat="1" hidden="1" outlineLevel="1" x14ac:dyDescent="0.35">
      <c r="K220" s="86"/>
      <c r="L220" s="86"/>
    </row>
    <row r="221" spans="1:13" s="5" customFormat="1" hidden="1" outlineLevel="1" x14ac:dyDescent="0.35">
      <c r="C221" s="84" t="s">
        <v>186</v>
      </c>
      <c r="K221" s="86"/>
      <c r="L221" s="86"/>
    </row>
    <row r="222" spans="1:13" s="5" customFormat="1" hidden="1" outlineLevel="1" x14ac:dyDescent="0.35">
      <c r="C222" s="84"/>
      <c r="D222" s="84" t="s">
        <v>231</v>
      </c>
      <c r="E222" s="84" t="s">
        <v>232</v>
      </c>
      <c r="F222" s="84" t="s">
        <v>233</v>
      </c>
      <c r="K222" s="86"/>
      <c r="L222" s="86"/>
    </row>
    <row r="223" spans="1:13" s="5" customFormat="1" hidden="1" outlineLevel="1" x14ac:dyDescent="0.35">
      <c r="C223" s="84"/>
      <c r="D223" s="5" t="s">
        <v>234</v>
      </c>
      <c r="E223" s="5" t="s">
        <v>235</v>
      </c>
      <c r="G223" s="61">
        <f>0.5*E209</f>
        <v>2.5</v>
      </c>
      <c r="H223" s="5" t="s">
        <v>236</v>
      </c>
      <c r="J223" s="5" t="s">
        <v>237</v>
      </c>
      <c r="K223" s="86"/>
      <c r="L223" s="86" t="s">
        <v>238</v>
      </c>
    </row>
    <row r="224" spans="1:13" s="5" customFormat="1" hidden="1" outlineLevel="1" x14ac:dyDescent="0.35">
      <c r="C224" s="84"/>
      <c r="D224" s="5" t="s">
        <v>234</v>
      </c>
      <c r="E224" s="5" t="s">
        <v>239</v>
      </c>
      <c r="G224" s="61">
        <f>0.5*E209</f>
        <v>2.5</v>
      </c>
      <c r="H224" s="5" t="s">
        <v>236</v>
      </c>
      <c r="J224" s="5" t="s">
        <v>240</v>
      </c>
      <c r="K224" s="86"/>
      <c r="L224" s="86" t="s">
        <v>238</v>
      </c>
    </row>
    <row r="225" spans="1:12" s="5" customFormat="1" hidden="1" outlineLevel="1" x14ac:dyDescent="0.35">
      <c r="C225" s="84"/>
      <c r="K225" s="86"/>
      <c r="L225" s="86"/>
    </row>
    <row r="226" spans="1:12" s="5" customFormat="1" hidden="1" outlineLevel="1" x14ac:dyDescent="0.35">
      <c r="C226" s="84"/>
      <c r="D226" s="5" t="s">
        <v>322</v>
      </c>
      <c r="E226" s="5" t="s">
        <v>323</v>
      </c>
      <c r="G226" s="61">
        <f>50/140</f>
        <v>0.35714285714285715</v>
      </c>
      <c r="H226" s="5" t="s">
        <v>327</v>
      </c>
      <c r="J226" s="98" t="s">
        <v>671</v>
      </c>
      <c r="K226" s="86"/>
      <c r="L226" s="86" t="s">
        <v>653</v>
      </c>
    </row>
    <row r="227" spans="1:12" s="5" customFormat="1" hidden="1" outlineLevel="1" x14ac:dyDescent="0.35">
      <c r="C227" s="84"/>
      <c r="J227" s="99"/>
      <c r="K227" s="86"/>
      <c r="L227" s="86"/>
    </row>
    <row r="228" spans="1:12" s="5" customFormat="1" hidden="1" outlineLevel="1" x14ac:dyDescent="0.35">
      <c r="C228" s="84"/>
      <c r="D228" s="5" t="s">
        <v>324</v>
      </c>
      <c r="E228" s="5" t="s">
        <v>303</v>
      </c>
      <c r="G228" s="89">
        <v>10</v>
      </c>
      <c r="H228" s="5" t="s">
        <v>236</v>
      </c>
      <c r="J228" s="5" t="s">
        <v>249</v>
      </c>
      <c r="K228" s="86"/>
      <c r="L228" s="86" t="s">
        <v>329</v>
      </c>
    </row>
    <row r="229" spans="1:12" s="5" customFormat="1" hidden="1" outlineLevel="1" x14ac:dyDescent="0.35">
      <c r="C229" s="84"/>
      <c r="J229" s="99"/>
      <c r="K229" s="86"/>
      <c r="L229" s="86"/>
    </row>
    <row r="230" spans="1:12" s="5" customFormat="1" hidden="1" outlineLevel="1" x14ac:dyDescent="0.35">
      <c r="C230" s="84"/>
      <c r="D230" s="5" t="s">
        <v>330</v>
      </c>
      <c r="E230" s="5" t="s">
        <v>303</v>
      </c>
      <c r="G230" s="89">
        <v>150</v>
      </c>
      <c r="H230" s="5" t="s">
        <v>236</v>
      </c>
      <c r="J230" s="5" t="s">
        <v>312</v>
      </c>
      <c r="K230" s="86"/>
      <c r="L230" s="86"/>
    </row>
    <row r="231" spans="1:12" s="5" customFormat="1" hidden="1" outlineLevel="1" x14ac:dyDescent="0.35">
      <c r="C231" s="84"/>
      <c r="D231" s="5" t="s">
        <v>330</v>
      </c>
      <c r="E231" s="5" t="s">
        <v>227</v>
      </c>
      <c r="F231" s="5" t="s">
        <v>246</v>
      </c>
      <c r="G231" s="91">
        <f>G230</f>
        <v>150</v>
      </c>
      <c r="H231" s="5" t="s">
        <v>236</v>
      </c>
      <c r="J231" s="5" t="s">
        <v>313</v>
      </c>
      <c r="K231" s="86"/>
      <c r="L231" s="86"/>
    </row>
    <row r="232" spans="1:12" s="5" customFormat="1" hidden="1" outlineLevel="1" x14ac:dyDescent="0.35">
      <c r="C232" s="84"/>
      <c r="K232" s="86"/>
      <c r="L232" s="86"/>
    </row>
    <row r="233" spans="1:12" s="5" customFormat="1" hidden="1" outlineLevel="1" x14ac:dyDescent="0.35">
      <c r="C233" s="84" t="s">
        <v>251</v>
      </c>
      <c r="K233" s="86"/>
      <c r="L233" s="86"/>
    </row>
    <row r="234" spans="1:12" s="5" customFormat="1" hidden="1" outlineLevel="1" x14ac:dyDescent="0.35">
      <c r="C234" s="84"/>
      <c r="D234" s="5" t="s">
        <v>642</v>
      </c>
      <c r="G234" s="61">
        <f>-G223-G224</f>
        <v>-5</v>
      </c>
      <c r="H234" s="5" t="s">
        <v>236</v>
      </c>
      <c r="J234" s="5" t="s">
        <v>252</v>
      </c>
      <c r="K234" s="86"/>
      <c r="L234" s="86"/>
    </row>
    <row r="235" spans="1:12" s="5" customFormat="1" hidden="1" outlineLevel="1" x14ac:dyDescent="0.35">
      <c r="C235" s="84"/>
      <c r="D235" s="5" t="s">
        <v>253</v>
      </c>
      <c r="G235" s="91">
        <f>-E210-G230</f>
        <v>-200</v>
      </c>
      <c r="H235" s="5" t="s">
        <v>236</v>
      </c>
      <c r="J235" s="5" t="s">
        <v>254</v>
      </c>
      <c r="K235" s="86"/>
      <c r="L235" s="86"/>
    </row>
    <row r="236" spans="1:12" s="5" customFormat="1" hidden="1" outlineLevel="1" x14ac:dyDescent="0.35">
      <c r="C236" s="84"/>
      <c r="D236" s="5" t="s">
        <v>255</v>
      </c>
      <c r="G236" s="61">
        <f>-G228</f>
        <v>-10</v>
      </c>
      <c r="H236" s="5" t="s">
        <v>236</v>
      </c>
      <c r="J236" s="5" t="s">
        <v>256</v>
      </c>
      <c r="K236" s="86"/>
      <c r="L236" s="86" t="s">
        <v>257</v>
      </c>
    </row>
    <row r="237" spans="1:12" s="5" customFormat="1" hidden="1" outlineLevel="1" x14ac:dyDescent="0.35"/>
    <row r="238" spans="1:12" s="65" customFormat="1" collapsed="1" x14ac:dyDescent="0.35">
      <c r="A238" s="65" t="s">
        <v>331</v>
      </c>
      <c r="B238" s="65" t="s">
        <v>332</v>
      </c>
    </row>
    <row r="239" spans="1:12" s="67" customFormat="1" hidden="1" outlineLevel="1" x14ac:dyDescent="0.35">
      <c r="A239" s="66" t="s">
        <v>208</v>
      </c>
      <c r="B239" s="66"/>
      <c r="C239" s="66"/>
    </row>
    <row r="240" spans="1:12" s="70" customFormat="1" hidden="1" outlineLevel="1" x14ac:dyDescent="0.35">
      <c r="A240" s="68"/>
      <c r="B240" s="69"/>
      <c r="C240" s="69"/>
    </row>
    <row r="241" spans="1:13" s="70" customFormat="1" ht="43.5" hidden="1" outlineLevel="1" x14ac:dyDescent="0.35">
      <c r="B241" s="71" t="s">
        <v>209</v>
      </c>
      <c r="C241" s="72" t="s">
        <v>210</v>
      </c>
      <c r="D241" s="72" t="s">
        <v>211</v>
      </c>
      <c r="E241" s="72" t="s">
        <v>212</v>
      </c>
      <c r="F241" s="72" t="s">
        <v>300</v>
      </c>
      <c r="G241" s="72" t="s">
        <v>213</v>
      </c>
      <c r="H241" s="73"/>
      <c r="J241" s="74"/>
      <c r="K241" s="74"/>
    </row>
    <row r="242" spans="1:13" s="70" customFormat="1" ht="29" hidden="1" outlineLevel="1" x14ac:dyDescent="0.35">
      <c r="B242" s="75" t="s">
        <v>214</v>
      </c>
      <c r="C242" s="76" t="s">
        <v>215</v>
      </c>
      <c r="D242" s="76" t="s">
        <v>216</v>
      </c>
      <c r="E242" s="75" t="s">
        <v>217</v>
      </c>
      <c r="F242" s="76" t="s">
        <v>301</v>
      </c>
      <c r="G242" s="75" t="s">
        <v>218</v>
      </c>
      <c r="H242" s="78"/>
      <c r="J242" s="74"/>
      <c r="K242" s="74"/>
    </row>
    <row r="243" spans="1:13" s="70" customFormat="1" hidden="1" outlineLevel="1" x14ac:dyDescent="0.35">
      <c r="B243" s="79" t="s">
        <v>333</v>
      </c>
      <c r="C243" s="79"/>
      <c r="D243" s="79" t="s">
        <v>293</v>
      </c>
      <c r="E243" s="79">
        <f>15*F243</f>
        <v>30</v>
      </c>
      <c r="F243" s="80">
        <v>2</v>
      </c>
      <c r="G243" s="79">
        <v>25</v>
      </c>
      <c r="H243" s="81"/>
      <c r="J243" s="74"/>
      <c r="K243" s="74"/>
    </row>
    <row r="244" spans="1:13" s="70" customFormat="1" hidden="1" outlineLevel="1" x14ac:dyDescent="0.35">
      <c r="B244" s="79" t="s">
        <v>334</v>
      </c>
      <c r="C244" s="79"/>
      <c r="D244" s="79" t="s">
        <v>293</v>
      </c>
      <c r="E244" s="79">
        <v>100</v>
      </c>
      <c r="F244" s="80">
        <v>1</v>
      </c>
      <c r="G244" s="79">
        <v>25</v>
      </c>
      <c r="H244" s="81"/>
      <c r="J244" s="74"/>
      <c r="K244" s="74"/>
    </row>
    <row r="245" spans="1:13" s="70" customFormat="1" hidden="1" outlineLevel="1" x14ac:dyDescent="0.35">
      <c r="B245" s="79" t="s">
        <v>335</v>
      </c>
      <c r="C245" s="79" t="s">
        <v>222</v>
      </c>
      <c r="D245" s="79" t="s">
        <v>223</v>
      </c>
      <c r="E245" s="79">
        <v>10</v>
      </c>
      <c r="F245" s="80">
        <v>1</v>
      </c>
      <c r="G245" s="79">
        <v>25</v>
      </c>
      <c r="H245" s="81"/>
      <c r="J245" s="74"/>
      <c r="K245" s="74"/>
    </row>
    <row r="246" spans="1:13" s="70" customFormat="1" hidden="1" outlineLevel="1" x14ac:dyDescent="0.35">
      <c r="B246" s="79" t="s">
        <v>325</v>
      </c>
      <c r="C246" s="79"/>
      <c r="D246" s="79" t="s">
        <v>303</v>
      </c>
      <c r="E246" s="79">
        <v>50</v>
      </c>
      <c r="F246" s="80">
        <v>1</v>
      </c>
      <c r="G246" s="79">
        <v>25</v>
      </c>
      <c r="H246" s="81"/>
      <c r="J246" s="74"/>
      <c r="K246" s="74"/>
    </row>
    <row r="247" spans="1:13" s="70" customFormat="1" hidden="1" outlineLevel="1" x14ac:dyDescent="0.35">
      <c r="B247" s="81"/>
      <c r="C247" s="81"/>
      <c r="D247" s="81"/>
      <c r="E247" s="81"/>
      <c r="F247" s="81"/>
      <c r="G247" s="82"/>
      <c r="H247" s="81"/>
      <c r="J247" s="74"/>
      <c r="K247" s="74"/>
    </row>
    <row r="248" spans="1:13" s="67" customFormat="1" hidden="1" outlineLevel="1" x14ac:dyDescent="0.35">
      <c r="A248" s="66" t="s">
        <v>228</v>
      </c>
      <c r="B248" s="66"/>
      <c r="C248" s="66"/>
    </row>
    <row r="249" spans="1:13" s="83" customFormat="1" hidden="1" outlineLevel="1" x14ac:dyDescent="0.35"/>
    <row r="250" spans="1:13" s="83" customFormat="1" hidden="1" outlineLevel="1" x14ac:dyDescent="0.35">
      <c r="A250" s="84"/>
    </row>
    <row r="251" spans="1:13" s="5" customFormat="1" ht="15.5" hidden="1" outlineLevel="1" x14ac:dyDescent="0.35">
      <c r="B251" s="85" t="s">
        <v>336</v>
      </c>
      <c r="G251" s="85" t="s">
        <v>179</v>
      </c>
      <c r="H251" s="85" t="s">
        <v>180</v>
      </c>
      <c r="I251" s="85"/>
      <c r="J251" s="85" t="s">
        <v>513</v>
      </c>
      <c r="K251" s="85"/>
      <c r="L251" s="85" t="s">
        <v>181</v>
      </c>
      <c r="M251" s="85" t="s">
        <v>182</v>
      </c>
    </row>
    <row r="252" spans="1:13" s="5" customFormat="1" hidden="1" outlineLevel="1" x14ac:dyDescent="0.35">
      <c r="C252" s="84" t="s">
        <v>183</v>
      </c>
      <c r="G252" s="86"/>
      <c r="H252" s="87"/>
      <c r="I252" s="86"/>
      <c r="J252" s="88"/>
      <c r="K252" s="86"/>
      <c r="L252" s="86"/>
    </row>
    <row r="253" spans="1:13" s="5" customFormat="1" hidden="1" outlineLevel="1" x14ac:dyDescent="0.35">
      <c r="D253" s="5" t="s">
        <v>337</v>
      </c>
      <c r="G253" s="57">
        <v>1</v>
      </c>
      <c r="H253" s="5" t="s">
        <v>185</v>
      </c>
      <c r="K253" s="86"/>
      <c r="L253" s="86"/>
    </row>
    <row r="254" spans="1:13" s="5" customFormat="1" hidden="1" outlineLevel="1" x14ac:dyDescent="0.35">
      <c r="K254" s="86"/>
      <c r="L254" s="86"/>
    </row>
    <row r="255" spans="1:13" s="5" customFormat="1" hidden="1" outlineLevel="1" x14ac:dyDescent="0.35">
      <c r="C255" s="84" t="s">
        <v>186</v>
      </c>
      <c r="K255" s="86"/>
      <c r="L255" s="86"/>
    </row>
    <row r="256" spans="1:13" s="5" customFormat="1" hidden="1" outlineLevel="1" x14ac:dyDescent="0.35">
      <c r="C256" s="84"/>
      <c r="D256" s="84" t="s">
        <v>231</v>
      </c>
      <c r="E256" s="84" t="s">
        <v>232</v>
      </c>
      <c r="F256" s="84" t="s">
        <v>233</v>
      </c>
      <c r="K256" s="86"/>
      <c r="L256" s="86"/>
    </row>
    <row r="257" spans="1:12" s="5" customFormat="1" hidden="1" outlineLevel="1" x14ac:dyDescent="0.35">
      <c r="C257" s="84"/>
      <c r="D257" s="5" t="s">
        <v>333</v>
      </c>
      <c r="E257" s="5" t="s">
        <v>293</v>
      </c>
      <c r="G257" s="89">
        <f>E243</f>
        <v>30</v>
      </c>
      <c r="H257" s="5" t="s">
        <v>236</v>
      </c>
      <c r="J257" s="5" t="s">
        <v>294</v>
      </c>
      <c r="K257" s="86"/>
      <c r="L257" s="86"/>
    </row>
    <row r="258" spans="1:12" s="5" customFormat="1" hidden="1" outlineLevel="1" x14ac:dyDescent="0.35">
      <c r="E258" s="5" t="s">
        <v>227</v>
      </c>
      <c r="F258" s="5" t="s">
        <v>246</v>
      </c>
      <c r="G258" s="91">
        <f>G257</f>
        <v>30</v>
      </c>
      <c r="H258" s="5" t="s">
        <v>236</v>
      </c>
      <c r="J258" s="5" t="s">
        <v>670</v>
      </c>
      <c r="K258" s="86"/>
      <c r="L258" s="86"/>
    </row>
    <row r="259" spans="1:12" s="5" customFormat="1" hidden="1" outlineLevel="1" x14ac:dyDescent="0.35">
      <c r="C259" s="84"/>
      <c r="K259" s="86"/>
      <c r="L259" s="86"/>
    </row>
    <row r="260" spans="1:12" s="5" customFormat="1" hidden="1" outlineLevel="1" x14ac:dyDescent="0.35">
      <c r="C260" s="84"/>
      <c r="D260" s="5" t="s">
        <v>334</v>
      </c>
      <c r="E260" s="5" t="s">
        <v>293</v>
      </c>
      <c r="G260" s="61">
        <f>E244/(5510)</f>
        <v>1.8148820326678767E-2</v>
      </c>
      <c r="H260" s="5" t="s">
        <v>327</v>
      </c>
      <c r="J260" s="5" t="s">
        <v>338</v>
      </c>
      <c r="K260" s="86"/>
      <c r="L260" s="86" t="s">
        <v>652</v>
      </c>
    </row>
    <row r="261" spans="1:12" s="5" customFormat="1" hidden="1" outlineLevel="1" x14ac:dyDescent="0.35">
      <c r="C261" s="84"/>
      <c r="K261" s="86"/>
      <c r="L261" s="86"/>
    </row>
    <row r="262" spans="1:12" s="5" customFormat="1" hidden="1" outlineLevel="1" x14ac:dyDescent="0.35">
      <c r="C262" s="84"/>
      <c r="D262" s="5" t="s">
        <v>335</v>
      </c>
      <c r="E262" s="5" t="s">
        <v>223</v>
      </c>
      <c r="G262" s="94">
        <f>E245/2.4</f>
        <v>4.166666666666667</v>
      </c>
      <c r="H262" s="5" t="s">
        <v>327</v>
      </c>
      <c r="J262" s="98" t="s">
        <v>328</v>
      </c>
      <c r="K262" s="86"/>
      <c r="L262" s="86" t="s">
        <v>650</v>
      </c>
    </row>
    <row r="263" spans="1:12" s="5" customFormat="1" hidden="1" outlineLevel="1" x14ac:dyDescent="0.35">
      <c r="C263" s="84"/>
      <c r="J263" s="99"/>
      <c r="K263" s="86"/>
      <c r="L263" s="86"/>
    </row>
    <row r="264" spans="1:12" s="5" customFormat="1" hidden="1" outlineLevel="1" x14ac:dyDescent="0.35">
      <c r="C264" s="84"/>
      <c r="D264" s="5" t="s">
        <v>330</v>
      </c>
      <c r="E264" s="5" t="s">
        <v>303</v>
      </c>
      <c r="G264" s="89">
        <f>E246</f>
        <v>50</v>
      </c>
      <c r="H264" s="5" t="s">
        <v>236</v>
      </c>
      <c r="J264" s="5" t="s">
        <v>312</v>
      </c>
      <c r="K264" s="86"/>
      <c r="L264" s="86"/>
    </row>
    <row r="265" spans="1:12" s="5" customFormat="1" hidden="1" outlineLevel="1" x14ac:dyDescent="0.35">
      <c r="C265" s="84"/>
      <c r="D265" s="5" t="s">
        <v>330</v>
      </c>
      <c r="E265" s="5" t="s">
        <v>227</v>
      </c>
      <c r="F265" s="5" t="s">
        <v>246</v>
      </c>
      <c r="G265" s="91">
        <f>G264</f>
        <v>50</v>
      </c>
      <c r="H265" s="5" t="s">
        <v>236</v>
      </c>
      <c r="J265" s="5" t="s">
        <v>313</v>
      </c>
      <c r="K265" s="86"/>
      <c r="L265" s="86"/>
    </row>
    <row r="266" spans="1:12" s="5" customFormat="1" hidden="1" outlineLevel="1" x14ac:dyDescent="0.35">
      <c r="C266" s="84"/>
      <c r="D266" s="99"/>
      <c r="J266" s="99"/>
      <c r="K266" s="86"/>
      <c r="L266" s="86"/>
    </row>
    <row r="267" spans="1:12" s="5" customFormat="1" hidden="1" outlineLevel="1" x14ac:dyDescent="0.35">
      <c r="C267" s="84" t="s">
        <v>251</v>
      </c>
      <c r="K267" s="86"/>
      <c r="L267" s="86"/>
    </row>
    <row r="268" spans="1:12" s="5" customFormat="1" hidden="1" outlineLevel="1" x14ac:dyDescent="0.35">
      <c r="C268" s="84"/>
      <c r="D268" s="5" t="s">
        <v>295</v>
      </c>
      <c r="G268" s="91">
        <f>-G257</f>
        <v>-30</v>
      </c>
      <c r="H268" s="5" t="s">
        <v>236</v>
      </c>
      <c r="J268" s="5" t="s">
        <v>296</v>
      </c>
      <c r="K268" s="86"/>
      <c r="L268" s="86"/>
    </row>
    <row r="269" spans="1:12" s="5" customFormat="1" hidden="1" outlineLevel="1" x14ac:dyDescent="0.35">
      <c r="C269" s="84"/>
      <c r="D269" s="5" t="s">
        <v>253</v>
      </c>
      <c r="G269" s="91">
        <f>-G264-E245</f>
        <v>-60</v>
      </c>
      <c r="H269" s="5" t="s">
        <v>236</v>
      </c>
      <c r="J269" s="5" t="s">
        <v>254</v>
      </c>
      <c r="K269" s="86"/>
      <c r="L269" s="86" t="s">
        <v>651</v>
      </c>
    </row>
    <row r="270" spans="1:12" s="5" customFormat="1" hidden="1" outlineLevel="1" x14ac:dyDescent="0.35"/>
    <row r="271" spans="1:12" s="65" customFormat="1" collapsed="1" x14ac:dyDescent="0.35">
      <c r="A271" s="65" t="s">
        <v>339</v>
      </c>
      <c r="B271" s="65" t="s">
        <v>340</v>
      </c>
    </row>
    <row r="272" spans="1:12" s="67" customFormat="1" hidden="1" outlineLevel="1" x14ac:dyDescent="0.35">
      <c r="A272" s="66" t="s">
        <v>208</v>
      </c>
      <c r="B272" s="66"/>
      <c r="C272" s="66"/>
    </row>
    <row r="273" spans="1:13" s="70" customFormat="1" hidden="1" outlineLevel="1" x14ac:dyDescent="0.35">
      <c r="A273" s="68"/>
      <c r="B273" s="69"/>
      <c r="C273" s="69"/>
    </row>
    <row r="274" spans="1:13" s="70" customFormat="1" ht="43.5" hidden="1" outlineLevel="1" x14ac:dyDescent="0.35">
      <c r="B274" s="71" t="s">
        <v>209</v>
      </c>
      <c r="C274" s="72" t="s">
        <v>210</v>
      </c>
      <c r="D274" s="72" t="s">
        <v>211</v>
      </c>
      <c r="E274" s="72" t="s">
        <v>212</v>
      </c>
      <c r="F274" s="72" t="s">
        <v>300</v>
      </c>
      <c r="G274" s="72" t="s">
        <v>213</v>
      </c>
      <c r="H274" s="73"/>
      <c r="J274" s="74"/>
      <c r="K274" s="74"/>
    </row>
    <row r="275" spans="1:13" s="70" customFormat="1" ht="29" hidden="1" outlineLevel="1" x14ac:dyDescent="0.35">
      <c r="B275" s="75" t="s">
        <v>214</v>
      </c>
      <c r="C275" s="76" t="s">
        <v>215</v>
      </c>
      <c r="D275" s="76" t="s">
        <v>216</v>
      </c>
      <c r="E275" s="75" t="s">
        <v>217</v>
      </c>
      <c r="F275" s="76" t="s">
        <v>301</v>
      </c>
      <c r="G275" s="75" t="s">
        <v>218</v>
      </c>
      <c r="H275" s="78"/>
      <c r="J275" s="74"/>
      <c r="K275" s="74"/>
    </row>
    <row r="276" spans="1:13" s="70" customFormat="1" hidden="1" outlineLevel="1" x14ac:dyDescent="0.35">
      <c r="B276" s="79" t="s">
        <v>341</v>
      </c>
      <c r="C276" s="79"/>
      <c r="D276" s="79" t="s">
        <v>303</v>
      </c>
      <c r="E276" s="79">
        <v>5</v>
      </c>
      <c r="F276" s="80">
        <v>1</v>
      </c>
      <c r="G276" s="79">
        <v>25</v>
      </c>
      <c r="H276" s="81"/>
      <c r="J276" s="74"/>
      <c r="K276" s="74"/>
    </row>
    <row r="277" spans="1:13" s="70" customFormat="1" hidden="1" outlineLevel="1" x14ac:dyDescent="0.35">
      <c r="B277" s="79" t="s">
        <v>342</v>
      </c>
      <c r="C277" s="79" t="s">
        <v>222</v>
      </c>
      <c r="D277" s="79" t="s">
        <v>223</v>
      </c>
      <c r="E277" s="79">
        <v>50</v>
      </c>
      <c r="F277" s="80">
        <v>1</v>
      </c>
      <c r="G277" s="79">
        <v>25</v>
      </c>
      <c r="H277" s="81"/>
      <c r="J277" s="74"/>
      <c r="K277" s="74"/>
    </row>
    <row r="278" spans="1:13" s="70" customFormat="1" hidden="1" outlineLevel="1" x14ac:dyDescent="0.35">
      <c r="B278" s="79" t="s">
        <v>325</v>
      </c>
      <c r="C278" s="79"/>
      <c r="D278" s="79" t="s">
        <v>303</v>
      </c>
      <c r="E278" s="79">
        <v>50</v>
      </c>
      <c r="F278" s="80">
        <v>1</v>
      </c>
      <c r="G278" s="79">
        <v>25</v>
      </c>
      <c r="H278" s="81"/>
      <c r="J278" s="74"/>
      <c r="K278" s="74"/>
    </row>
    <row r="279" spans="1:13" s="70" customFormat="1" hidden="1" outlineLevel="1" x14ac:dyDescent="0.35">
      <c r="B279" s="81"/>
      <c r="C279" s="81"/>
      <c r="D279" s="81"/>
      <c r="E279" s="81"/>
      <c r="F279" s="81"/>
      <c r="G279" s="82"/>
      <c r="H279" s="81"/>
      <c r="J279" s="74"/>
      <c r="K279" s="74"/>
    </row>
    <row r="280" spans="1:13" s="67" customFormat="1" hidden="1" outlineLevel="1" x14ac:dyDescent="0.35">
      <c r="A280" s="66" t="s">
        <v>228</v>
      </c>
    </row>
    <row r="281" spans="1:13" s="83" customFormat="1" hidden="1" outlineLevel="1" x14ac:dyDescent="0.35"/>
    <row r="282" spans="1:13" s="83" customFormat="1" hidden="1" outlineLevel="1" x14ac:dyDescent="0.35"/>
    <row r="283" spans="1:13" s="5" customFormat="1" ht="15.5" hidden="1" outlineLevel="1" x14ac:dyDescent="0.35">
      <c r="B283" s="85" t="s">
        <v>343</v>
      </c>
      <c r="G283" s="85" t="s">
        <v>179</v>
      </c>
      <c r="H283" s="85" t="s">
        <v>180</v>
      </c>
      <c r="I283" s="85"/>
      <c r="J283" s="85" t="s">
        <v>513</v>
      </c>
      <c r="K283" s="85"/>
      <c r="L283" s="85" t="s">
        <v>181</v>
      </c>
      <c r="M283" s="85" t="s">
        <v>182</v>
      </c>
    </row>
    <row r="284" spans="1:13" s="5" customFormat="1" hidden="1" outlineLevel="1" x14ac:dyDescent="0.35">
      <c r="C284" s="84" t="s">
        <v>183</v>
      </c>
      <c r="G284" s="86"/>
      <c r="H284" s="87"/>
      <c r="I284" s="86"/>
      <c r="J284" s="88"/>
      <c r="K284" s="86"/>
      <c r="L284" s="86"/>
    </row>
    <row r="285" spans="1:13" s="5" customFormat="1" hidden="1" outlineLevel="1" x14ac:dyDescent="0.35">
      <c r="D285" s="5" t="s">
        <v>340</v>
      </c>
      <c r="G285" s="100">
        <v>1</v>
      </c>
      <c r="H285" s="5" t="s">
        <v>185</v>
      </c>
      <c r="K285" s="86"/>
      <c r="L285" s="86"/>
    </row>
    <row r="286" spans="1:13" s="5" customFormat="1" hidden="1" outlineLevel="1" x14ac:dyDescent="0.35">
      <c r="K286" s="86"/>
      <c r="L286" s="86"/>
    </row>
    <row r="287" spans="1:13" s="5" customFormat="1" hidden="1" outlineLevel="1" x14ac:dyDescent="0.35">
      <c r="C287" s="84" t="s">
        <v>186</v>
      </c>
      <c r="K287" s="86"/>
      <c r="L287" s="86"/>
    </row>
    <row r="288" spans="1:13" s="5" customFormat="1" hidden="1" outlineLevel="1" x14ac:dyDescent="0.35">
      <c r="C288" s="84"/>
      <c r="D288" s="84" t="s">
        <v>231</v>
      </c>
      <c r="E288" s="84" t="s">
        <v>232</v>
      </c>
      <c r="F288" s="84" t="s">
        <v>233</v>
      </c>
      <c r="K288" s="86"/>
      <c r="L288" s="86"/>
    </row>
    <row r="289" spans="1:12" s="5" customFormat="1" hidden="1" outlineLevel="1" x14ac:dyDescent="0.35">
      <c r="C289" s="84"/>
      <c r="D289" s="5" t="s">
        <v>341</v>
      </c>
      <c r="E289" s="5" t="s">
        <v>303</v>
      </c>
      <c r="G289" s="89">
        <v>5</v>
      </c>
      <c r="H289" s="5" t="s">
        <v>236</v>
      </c>
      <c r="J289" s="5" t="s">
        <v>249</v>
      </c>
      <c r="K289" s="86"/>
      <c r="L289" s="86"/>
    </row>
    <row r="290" spans="1:12" s="5" customFormat="1" hidden="1" outlineLevel="1" x14ac:dyDescent="0.35">
      <c r="C290" s="84"/>
      <c r="K290" s="86"/>
      <c r="L290" s="86"/>
    </row>
    <row r="291" spans="1:12" s="5" customFormat="1" hidden="1" outlineLevel="1" x14ac:dyDescent="0.35">
      <c r="C291" s="84"/>
      <c r="D291" s="5" t="s">
        <v>342</v>
      </c>
      <c r="E291" s="5" t="s">
        <v>223</v>
      </c>
      <c r="G291" s="61">
        <f>50/140</f>
        <v>0.35714285714285715</v>
      </c>
      <c r="H291" s="5" t="s">
        <v>327</v>
      </c>
      <c r="J291" s="98" t="s">
        <v>671</v>
      </c>
      <c r="K291" s="86"/>
      <c r="L291" s="86" t="s">
        <v>653</v>
      </c>
    </row>
    <row r="292" spans="1:12" s="5" customFormat="1" hidden="1" outlineLevel="1" x14ac:dyDescent="0.35">
      <c r="C292" s="84"/>
      <c r="K292" s="86"/>
      <c r="L292" s="86"/>
    </row>
    <row r="293" spans="1:12" s="5" customFormat="1" hidden="1" outlineLevel="1" x14ac:dyDescent="0.35">
      <c r="C293" s="84"/>
      <c r="D293" s="5" t="s">
        <v>330</v>
      </c>
      <c r="E293" s="5" t="s">
        <v>303</v>
      </c>
      <c r="G293" s="89">
        <v>50</v>
      </c>
      <c r="H293" s="5" t="s">
        <v>236</v>
      </c>
      <c r="J293" s="5" t="s">
        <v>312</v>
      </c>
      <c r="K293" s="86"/>
      <c r="L293" s="86"/>
    </row>
    <row r="294" spans="1:12" s="5" customFormat="1" hidden="1" outlineLevel="1" x14ac:dyDescent="0.35">
      <c r="C294" s="84"/>
      <c r="D294" s="5" t="s">
        <v>330</v>
      </c>
      <c r="E294" s="5" t="s">
        <v>227</v>
      </c>
      <c r="F294" s="5" t="s">
        <v>246</v>
      </c>
      <c r="G294" s="91">
        <f>G293</f>
        <v>50</v>
      </c>
      <c r="H294" s="5" t="s">
        <v>236</v>
      </c>
      <c r="J294" s="5" t="s">
        <v>313</v>
      </c>
      <c r="K294" s="86"/>
      <c r="L294" s="86"/>
    </row>
    <row r="295" spans="1:12" s="5" customFormat="1" hidden="1" outlineLevel="1" x14ac:dyDescent="0.35">
      <c r="C295" s="84"/>
      <c r="D295" s="99"/>
      <c r="J295" s="99"/>
      <c r="K295" s="86"/>
      <c r="L295" s="86"/>
    </row>
    <row r="296" spans="1:12" s="5" customFormat="1" hidden="1" outlineLevel="1" x14ac:dyDescent="0.35">
      <c r="C296" s="84" t="s">
        <v>251</v>
      </c>
      <c r="K296" s="86"/>
      <c r="L296" s="86"/>
    </row>
    <row r="297" spans="1:12" s="5" customFormat="1" hidden="1" outlineLevel="1" x14ac:dyDescent="0.35">
      <c r="B297" s="99"/>
      <c r="C297" s="84"/>
      <c r="D297" s="5" t="s">
        <v>253</v>
      </c>
      <c r="G297" s="91">
        <f>-E277</f>
        <v>-50</v>
      </c>
      <c r="H297" s="5" t="s">
        <v>236</v>
      </c>
      <c r="J297" s="5" t="s">
        <v>254</v>
      </c>
      <c r="K297" s="86"/>
      <c r="L297" s="86"/>
    </row>
    <row r="298" spans="1:12" s="5" customFormat="1" hidden="1" outlineLevel="1" x14ac:dyDescent="0.35">
      <c r="C298" s="84"/>
      <c r="D298" s="5" t="s">
        <v>255</v>
      </c>
      <c r="G298" s="91">
        <f>-G289</f>
        <v>-5</v>
      </c>
      <c r="H298" s="5" t="s">
        <v>236</v>
      </c>
      <c r="J298" s="5" t="s">
        <v>256</v>
      </c>
      <c r="K298" s="86"/>
      <c r="L298" s="86"/>
    </row>
    <row r="299" spans="1:12" s="5" customFormat="1" hidden="1" outlineLevel="1" x14ac:dyDescent="0.35"/>
    <row r="300" spans="1:12" s="65" customFormat="1" collapsed="1" x14ac:dyDescent="0.35">
      <c r="A300" s="65" t="s">
        <v>344</v>
      </c>
      <c r="B300" s="65" t="s">
        <v>195</v>
      </c>
    </row>
    <row r="301" spans="1:12" s="67" customFormat="1" hidden="1" outlineLevel="1" x14ac:dyDescent="0.35">
      <c r="A301" s="66" t="s">
        <v>208</v>
      </c>
      <c r="B301" s="66"/>
      <c r="C301" s="66"/>
    </row>
    <row r="302" spans="1:12" s="70" customFormat="1" hidden="1" outlineLevel="1" x14ac:dyDescent="0.35">
      <c r="A302" s="68"/>
      <c r="B302" s="69"/>
      <c r="C302" s="69"/>
    </row>
    <row r="303" spans="1:12" s="70" customFormat="1" ht="43.5" hidden="1" outlineLevel="1" x14ac:dyDescent="0.35">
      <c r="B303" s="71" t="s">
        <v>209</v>
      </c>
      <c r="C303" s="72" t="s">
        <v>210</v>
      </c>
      <c r="D303" s="72" t="s">
        <v>211</v>
      </c>
      <c r="E303" s="72" t="s">
        <v>212</v>
      </c>
      <c r="F303" s="72" t="s">
        <v>300</v>
      </c>
      <c r="G303" s="72" t="s">
        <v>213</v>
      </c>
      <c r="H303" s="73"/>
      <c r="J303" s="74"/>
      <c r="K303" s="74"/>
    </row>
    <row r="304" spans="1:12" s="70" customFormat="1" ht="29" hidden="1" outlineLevel="1" x14ac:dyDescent="0.35">
      <c r="B304" s="75" t="s">
        <v>214</v>
      </c>
      <c r="C304" s="76" t="s">
        <v>215</v>
      </c>
      <c r="D304" s="76" t="s">
        <v>216</v>
      </c>
      <c r="E304" s="75" t="s">
        <v>217</v>
      </c>
      <c r="F304" s="76" t="s">
        <v>301</v>
      </c>
      <c r="G304" s="75" t="s">
        <v>218</v>
      </c>
      <c r="H304" s="78"/>
      <c r="J304" s="74"/>
      <c r="K304" s="74"/>
    </row>
    <row r="305" spans="1:13" s="70" customFormat="1" hidden="1" outlineLevel="1" x14ac:dyDescent="0.35">
      <c r="B305" s="79" t="s">
        <v>345</v>
      </c>
      <c r="C305" s="79" t="s">
        <v>222</v>
      </c>
      <c r="D305" s="79" t="s">
        <v>223</v>
      </c>
      <c r="E305" s="79">
        <f>25*F305</f>
        <v>50</v>
      </c>
      <c r="F305" s="80">
        <v>2</v>
      </c>
      <c r="G305" s="79">
        <v>25</v>
      </c>
      <c r="H305" s="81"/>
      <c r="J305" s="74"/>
      <c r="K305" s="74"/>
    </row>
    <row r="306" spans="1:13" s="70" customFormat="1" hidden="1" outlineLevel="1" x14ac:dyDescent="0.35">
      <c r="B306" s="79" t="s">
        <v>248</v>
      </c>
      <c r="C306" s="79" t="s">
        <v>222</v>
      </c>
      <c r="D306" s="79" t="s">
        <v>223</v>
      </c>
      <c r="E306" s="79">
        <v>50</v>
      </c>
      <c r="F306" s="80">
        <v>1</v>
      </c>
      <c r="G306" s="79">
        <v>25</v>
      </c>
      <c r="H306" s="81"/>
      <c r="J306" s="74"/>
      <c r="K306" s="74"/>
    </row>
    <row r="307" spans="1:13" s="70" customFormat="1" hidden="1" outlineLevel="1" x14ac:dyDescent="0.35">
      <c r="B307" s="79" t="s">
        <v>346</v>
      </c>
      <c r="C307" s="79"/>
      <c r="D307" s="79" t="s">
        <v>303</v>
      </c>
      <c r="E307" s="79">
        <v>10</v>
      </c>
      <c r="F307" s="80">
        <v>1</v>
      </c>
      <c r="G307" s="79">
        <v>25</v>
      </c>
      <c r="H307" s="81"/>
      <c r="J307" s="74"/>
      <c r="K307" s="74"/>
    </row>
    <row r="308" spans="1:13" s="70" customFormat="1" hidden="1" outlineLevel="1" x14ac:dyDescent="0.35">
      <c r="B308" s="81"/>
      <c r="C308" s="81"/>
      <c r="D308" s="81"/>
      <c r="E308" s="81"/>
      <c r="F308" s="81"/>
      <c r="G308" s="82"/>
      <c r="H308" s="81"/>
      <c r="J308" s="74"/>
      <c r="K308" s="74"/>
    </row>
    <row r="309" spans="1:13" s="67" customFormat="1" hidden="1" outlineLevel="1" x14ac:dyDescent="0.35">
      <c r="A309" s="66" t="s">
        <v>228</v>
      </c>
    </row>
    <row r="310" spans="1:13" s="83" customFormat="1" hidden="1" outlineLevel="1" x14ac:dyDescent="0.35"/>
    <row r="311" spans="1:13" s="83" customFormat="1" hidden="1" outlineLevel="1" x14ac:dyDescent="0.35"/>
    <row r="312" spans="1:13" s="5" customFormat="1" ht="15.5" hidden="1" outlineLevel="1" x14ac:dyDescent="0.35">
      <c r="B312" s="85" t="s">
        <v>347</v>
      </c>
      <c r="G312" s="85" t="s">
        <v>179</v>
      </c>
      <c r="H312" s="85" t="s">
        <v>180</v>
      </c>
      <c r="I312" s="85"/>
      <c r="J312" s="85" t="s">
        <v>513</v>
      </c>
      <c r="K312" s="85"/>
      <c r="L312" s="85" t="s">
        <v>181</v>
      </c>
      <c r="M312" s="85" t="s">
        <v>182</v>
      </c>
    </row>
    <row r="313" spans="1:13" s="5" customFormat="1" hidden="1" outlineLevel="1" x14ac:dyDescent="0.35">
      <c r="C313" s="84" t="s">
        <v>183</v>
      </c>
      <c r="G313" s="86"/>
      <c r="H313" s="87"/>
      <c r="I313" s="86"/>
      <c r="J313" s="88"/>
      <c r="K313" s="86"/>
      <c r="L313" s="86"/>
    </row>
    <row r="314" spans="1:13" s="5" customFormat="1" hidden="1" outlineLevel="1" x14ac:dyDescent="0.35">
      <c r="D314" s="5" t="s">
        <v>195</v>
      </c>
      <c r="G314" s="100">
        <v>1</v>
      </c>
      <c r="H314" s="5" t="s">
        <v>185</v>
      </c>
      <c r="K314" s="86"/>
      <c r="L314" s="86"/>
    </row>
    <row r="315" spans="1:13" s="5" customFormat="1" hidden="1" outlineLevel="1" x14ac:dyDescent="0.35">
      <c r="K315" s="86"/>
      <c r="L315" s="86"/>
    </row>
    <row r="316" spans="1:13" s="5" customFormat="1" hidden="1" outlineLevel="1" x14ac:dyDescent="0.35">
      <c r="C316" s="84" t="s">
        <v>186</v>
      </c>
      <c r="K316" s="86"/>
      <c r="L316" s="86"/>
    </row>
    <row r="317" spans="1:13" s="5" customFormat="1" hidden="1" outlineLevel="1" x14ac:dyDescent="0.35">
      <c r="C317" s="84"/>
      <c r="D317" s="84" t="s">
        <v>231</v>
      </c>
      <c r="E317" s="84" t="s">
        <v>232</v>
      </c>
      <c r="F317" s="84" t="s">
        <v>233</v>
      </c>
      <c r="K317" s="86"/>
      <c r="L317" s="86"/>
    </row>
    <row r="318" spans="1:13" s="5" customFormat="1" hidden="1" outlineLevel="1" x14ac:dyDescent="0.35">
      <c r="C318" s="84"/>
      <c r="D318" s="5" t="s">
        <v>268</v>
      </c>
      <c r="E318" s="5" t="s">
        <v>223</v>
      </c>
      <c r="G318" s="91">
        <f>E305/1.5</f>
        <v>33.333333333333336</v>
      </c>
      <c r="H318" s="5" t="s">
        <v>269</v>
      </c>
      <c r="J318" s="5" t="s">
        <v>270</v>
      </c>
      <c r="K318" s="86"/>
      <c r="L318" s="181" t="s">
        <v>646</v>
      </c>
    </row>
    <row r="319" spans="1:13" s="5" customFormat="1" hidden="1" outlineLevel="1" x14ac:dyDescent="0.35">
      <c r="C319" s="84"/>
      <c r="J319" s="99"/>
      <c r="K319" s="86"/>
      <c r="L319" s="86"/>
    </row>
    <row r="320" spans="1:13" s="5" customFormat="1" hidden="1" outlineLevel="1" x14ac:dyDescent="0.35">
      <c r="C320" s="84"/>
      <c r="D320" s="5" t="s">
        <v>248</v>
      </c>
      <c r="E320" s="5" t="s">
        <v>223</v>
      </c>
      <c r="G320" s="89">
        <f>E306</f>
        <v>50</v>
      </c>
      <c r="H320" s="5" t="s">
        <v>236</v>
      </c>
      <c r="J320" s="5" t="s">
        <v>241</v>
      </c>
      <c r="K320" s="86"/>
      <c r="L320" s="86" t="s">
        <v>643</v>
      </c>
    </row>
    <row r="321" spans="1:13" s="5" customFormat="1" hidden="1" outlineLevel="1" x14ac:dyDescent="0.35">
      <c r="C321" s="84"/>
      <c r="D321" s="5" t="s">
        <v>248</v>
      </c>
      <c r="E321" s="5" t="s">
        <v>227</v>
      </c>
      <c r="F321" s="5" t="s">
        <v>222</v>
      </c>
      <c r="G321" s="61">
        <f>G320/23.6</f>
        <v>2.1186440677966099</v>
      </c>
      <c r="H321" s="5" t="s">
        <v>243</v>
      </c>
      <c r="J321" s="5" t="s">
        <v>244</v>
      </c>
      <c r="K321" s="86"/>
      <c r="L321" s="86" t="s">
        <v>645</v>
      </c>
      <c r="M321" s="90" t="s">
        <v>245</v>
      </c>
    </row>
    <row r="322" spans="1:13" s="5" customFormat="1" hidden="1" outlineLevel="1" x14ac:dyDescent="0.35">
      <c r="D322" s="5" t="s">
        <v>248</v>
      </c>
      <c r="E322" s="5" t="s">
        <v>227</v>
      </c>
      <c r="F322" s="5" t="s">
        <v>246</v>
      </c>
      <c r="G322" s="91">
        <f>G320</f>
        <v>50</v>
      </c>
      <c r="H322" s="5" t="s">
        <v>236</v>
      </c>
      <c r="J322" s="5" t="s">
        <v>681</v>
      </c>
      <c r="K322" s="86"/>
      <c r="L322" s="86"/>
    </row>
    <row r="323" spans="1:13" s="5" customFormat="1" hidden="1" outlineLevel="1" x14ac:dyDescent="0.35">
      <c r="C323" s="84"/>
      <c r="J323" s="99"/>
      <c r="K323" s="86"/>
      <c r="L323" s="86"/>
    </row>
    <row r="324" spans="1:13" s="5" customFormat="1" hidden="1" outlineLevel="1" x14ac:dyDescent="0.35">
      <c r="C324" s="84"/>
      <c r="D324" s="5" t="s">
        <v>348</v>
      </c>
      <c r="E324" s="5" t="s">
        <v>303</v>
      </c>
      <c r="G324" s="89">
        <v>10</v>
      </c>
      <c r="H324" s="5" t="s">
        <v>236</v>
      </c>
      <c r="J324" s="5" t="s">
        <v>249</v>
      </c>
      <c r="K324" s="86"/>
      <c r="L324" s="86" t="s">
        <v>329</v>
      </c>
    </row>
    <row r="325" spans="1:13" s="5" customFormat="1" hidden="1" outlineLevel="1" x14ac:dyDescent="0.35">
      <c r="C325" s="84"/>
      <c r="D325" s="99"/>
      <c r="J325" s="99"/>
      <c r="K325" s="86"/>
      <c r="L325" s="86"/>
    </row>
    <row r="326" spans="1:13" s="5" customFormat="1" hidden="1" outlineLevel="1" x14ac:dyDescent="0.35">
      <c r="C326" s="84" t="s">
        <v>251</v>
      </c>
      <c r="K326" s="86"/>
      <c r="L326" s="86"/>
    </row>
    <row r="327" spans="1:13" s="5" customFormat="1" hidden="1" outlineLevel="1" x14ac:dyDescent="0.35">
      <c r="C327" s="84"/>
      <c r="D327" s="5" t="s">
        <v>253</v>
      </c>
      <c r="G327" s="91">
        <f>-G320-E305</f>
        <v>-100</v>
      </c>
      <c r="H327" s="5" t="s">
        <v>236</v>
      </c>
      <c r="J327" s="5" t="s">
        <v>254</v>
      </c>
      <c r="K327" s="86"/>
      <c r="L327" s="86"/>
    </row>
    <row r="328" spans="1:13" s="5" customFormat="1" hidden="1" outlineLevel="1" x14ac:dyDescent="0.35">
      <c r="C328" s="84"/>
      <c r="D328" s="5" t="s">
        <v>255</v>
      </c>
      <c r="G328" s="91">
        <f>-G324</f>
        <v>-10</v>
      </c>
      <c r="H328" s="5" t="s">
        <v>236</v>
      </c>
      <c r="J328" s="5" t="s">
        <v>256</v>
      </c>
      <c r="K328" s="86"/>
      <c r="L328" s="86"/>
    </row>
    <row r="329" spans="1:13" s="5" customFormat="1" hidden="1" outlineLevel="1" x14ac:dyDescent="0.35"/>
    <row r="330" spans="1:13" s="65" customFormat="1" collapsed="1" x14ac:dyDescent="0.35">
      <c r="A330" s="65" t="s">
        <v>349</v>
      </c>
      <c r="B330" s="65" t="s">
        <v>196</v>
      </c>
    </row>
    <row r="331" spans="1:13" s="67" customFormat="1" hidden="1" outlineLevel="1" x14ac:dyDescent="0.35">
      <c r="A331" s="66" t="s">
        <v>208</v>
      </c>
      <c r="B331" s="66"/>
      <c r="C331" s="66"/>
    </row>
    <row r="332" spans="1:13" s="70" customFormat="1" hidden="1" outlineLevel="1" x14ac:dyDescent="0.35">
      <c r="A332" s="68"/>
      <c r="B332" s="69"/>
      <c r="C332" s="69"/>
    </row>
    <row r="333" spans="1:13" s="70" customFormat="1" ht="43.5" hidden="1" outlineLevel="1" x14ac:dyDescent="0.35">
      <c r="B333" s="72" t="s">
        <v>209</v>
      </c>
      <c r="C333" s="72" t="s">
        <v>210</v>
      </c>
      <c r="D333" s="72" t="s">
        <v>211</v>
      </c>
      <c r="E333" s="72" t="s">
        <v>212</v>
      </c>
      <c r="F333" s="72" t="s">
        <v>300</v>
      </c>
      <c r="G333" s="72" t="s">
        <v>213</v>
      </c>
      <c r="H333" s="73"/>
      <c r="J333" s="74"/>
      <c r="K333" s="74"/>
    </row>
    <row r="334" spans="1:13" s="70" customFormat="1" ht="29" hidden="1" outlineLevel="1" x14ac:dyDescent="0.35">
      <c r="B334" s="75" t="s">
        <v>214</v>
      </c>
      <c r="C334" s="76" t="s">
        <v>215</v>
      </c>
      <c r="D334" s="76" t="s">
        <v>216</v>
      </c>
      <c r="E334" s="75" t="s">
        <v>217</v>
      </c>
      <c r="F334" s="76" t="s">
        <v>301</v>
      </c>
      <c r="G334" s="75" t="s">
        <v>218</v>
      </c>
      <c r="H334" s="78"/>
      <c r="J334" s="74"/>
      <c r="K334" s="74"/>
    </row>
    <row r="335" spans="1:13" s="70" customFormat="1" hidden="1" outlineLevel="1" x14ac:dyDescent="0.35">
      <c r="B335" s="79" t="s">
        <v>350</v>
      </c>
      <c r="C335" s="79" t="s">
        <v>222</v>
      </c>
      <c r="D335" s="79" t="s">
        <v>223</v>
      </c>
      <c r="E335" s="79">
        <v>1500</v>
      </c>
      <c r="F335" s="80">
        <v>1</v>
      </c>
      <c r="G335" s="79">
        <v>25</v>
      </c>
      <c r="H335" s="81"/>
      <c r="J335" s="74"/>
      <c r="K335" s="74"/>
    </row>
    <row r="336" spans="1:13" s="70" customFormat="1" hidden="1" outlineLevel="1" x14ac:dyDescent="0.35">
      <c r="B336" s="79" t="s">
        <v>351</v>
      </c>
      <c r="C336" s="79" t="s">
        <v>222</v>
      </c>
      <c r="D336" s="79" t="s">
        <v>223</v>
      </c>
      <c r="E336" s="79">
        <f>30*F336</f>
        <v>270</v>
      </c>
      <c r="F336" s="80">
        <v>9</v>
      </c>
      <c r="G336" s="79">
        <v>25</v>
      </c>
      <c r="H336" s="81"/>
      <c r="J336" s="74"/>
      <c r="K336" s="74"/>
    </row>
    <row r="337" spans="1:13" s="70" customFormat="1" hidden="1" outlineLevel="1" x14ac:dyDescent="0.35">
      <c r="B337" s="81"/>
      <c r="C337" s="81"/>
      <c r="D337" s="81"/>
      <c r="E337" s="81"/>
      <c r="F337" s="81"/>
      <c r="G337" s="82"/>
      <c r="H337" s="81"/>
      <c r="J337" s="74"/>
      <c r="K337" s="74"/>
    </row>
    <row r="338" spans="1:13" s="67" customFormat="1" hidden="1" outlineLevel="1" x14ac:dyDescent="0.35">
      <c r="A338" s="66" t="s">
        <v>228</v>
      </c>
    </row>
    <row r="339" spans="1:13" s="83" customFormat="1" hidden="1" outlineLevel="1" x14ac:dyDescent="0.35"/>
    <row r="340" spans="1:13" s="83" customFormat="1" hidden="1" outlineLevel="1" x14ac:dyDescent="0.35"/>
    <row r="341" spans="1:13" s="5" customFormat="1" ht="15.5" hidden="1" outlineLevel="1" x14ac:dyDescent="0.35">
      <c r="B341" s="85" t="s">
        <v>352</v>
      </c>
      <c r="G341" s="85" t="s">
        <v>179</v>
      </c>
      <c r="H341" s="85" t="s">
        <v>180</v>
      </c>
      <c r="I341" s="85"/>
      <c r="J341" s="85" t="s">
        <v>513</v>
      </c>
      <c r="K341" s="85"/>
      <c r="L341" s="85" t="s">
        <v>181</v>
      </c>
      <c r="M341" s="85" t="s">
        <v>182</v>
      </c>
    </row>
    <row r="342" spans="1:13" s="5" customFormat="1" hidden="1" outlineLevel="1" x14ac:dyDescent="0.35">
      <c r="C342" s="84" t="s">
        <v>183</v>
      </c>
      <c r="G342" s="86"/>
      <c r="H342" s="87"/>
      <c r="I342" s="86"/>
      <c r="J342" s="88"/>
      <c r="K342" s="86"/>
      <c r="L342" s="86"/>
    </row>
    <row r="343" spans="1:13" s="5" customFormat="1" hidden="1" outlineLevel="1" x14ac:dyDescent="0.35">
      <c r="D343" s="5" t="s">
        <v>196</v>
      </c>
      <c r="G343" s="57">
        <v>1</v>
      </c>
      <c r="H343" s="5" t="s">
        <v>185</v>
      </c>
      <c r="K343" s="86"/>
      <c r="L343" s="86"/>
    </row>
    <row r="344" spans="1:13" s="5" customFormat="1" hidden="1" outlineLevel="1" x14ac:dyDescent="0.35">
      <c r="K344" s="86"/>
      <c r="L344" s="86"/>
    </row>
    <row r="345" spans="1:13" s="5" customFormat="1" hidden="1" outlineLevel="1" x14ac:dyDescent="0.35">
      <c r="C345" s="84" t="s">
        <v>186</v>
      </c>
      <c r="K345" s="86"/>
      <c r="L345" s="86"/>
    </row>
    <row r="346" spans="1:13" s="5" customFormat="1" hidden="1" outlineLevel="1" x14ac:dyDescent="0.35">
      <c r="C346" s="84"/>
      <c r="D346" s="84" t="s">
        <v>231</v>
      </c>
      <c r="E346" s="84" t="s">
        <v>232</v>
      </c>
      <c r="F346" s="84" t="s">
        <v>233</v>
      </c>
      <c r="K346" s="86"/>
      <c r="L346" s="86"/>
    </row>
    <row r="347" spans="1:13" s="5" customFormat="1" hidden="1" outlineLevel="1" x14ac:dyDescent="0.35">
      <c r="C347" s="84"/>
      <c r="D347" s="5" t="s">
        <v>350</v>
      </c>
      <c r="E347" s="5" t="s">
        <v>223</v>
      </c>
      <c r="G347" s="89">
        <v>1500</v>
      </c>
      <c r="H347" s="5" t="s">
        <v>236</v>
      </c>
      <c r="J347" s="5" t="s">
        <v>241</v>
      </c>
      <c r="K347" s="86"/>
      <c r="L347" s="86" t="s">
        <v>643</v>
      </c>
    </row>
    <row r="348" spans="1:13" s="5" customFormat="1" hidden="1" outlineLevel="1" x14ac:dyDescent="0.35">
      <c r="C348" s="84"/>
      <c r="D348" s="5" t="s">
        <v>350</v>
      </c>
      <c r="E348" s="5" t="s">
        <v>227</v>
      </c>
      <c r="F348" s="5" t="s">
        <v>222</v>
      </c>
      <c r="G348" s="61">
        <f>G347/23.6</f>
        <v>63.559322033898304</v>
      </c>
      <c r="H348" s="5" t="s">
        <v>243</v>
      </c>
      <c r="J348" s="5" t="s">
        <v>244</v>
      </c>
      <c r="K348" s="86"/>
      <c r="L348" s="86" t="s">
        <v>645</v>
      </c>
      <c r="M348" s="90" t="s">
        <v>245</v>
      </c>
    </row>
    <row r="349" spans="1:13" s="5" customFormat="1" hidden="1" outlineLevel="1" x14ac:dyDescent="0.35">
      <c r="C349" s="84"/>
      <c r="D349" s="5" t="s">
        <v>350</v>
      </c>
      <c r="E349" s="5" t="s">
        <v>227</v>
      </c>
      <c r="F349" s="5" t="s">
        <v>246</v>
      </c>
      <c r="G349" s="91">
        <f>G347</f>
        <v>1500</v>
      </c>
      <c r="H349" s="5" t="s">
        <v>236</v>
      </c>
      <c r="J349" s="5" t="s">
        <v>681</v>
      </c>
      <c r="K349" s="86"/>
      <c r="L349" s="86"/>
    </row>
    <row r="350" spans="1:13" s="5" customFormat="1" hidden="1" outlineLevel="1" x14ac:dyDescent="0.35">
      <c r="C350" s="84"/>
      <c r="K350" s="86"/>
      <c r="L350" s="86"/>
    </row>
    <row r="351" spans="1:13" s="5" customFormat="1" hidden="1" outlineLevel="1" x14ac:dyDescent="0.35">
      <c r="C351" s="84"/>
      <c r="D351" s="5" t="s">
        <v>351</v>
      </c>
      <c r="E351" s="5" t="s">
        <v>223</v>
      </c>
      <c r="G351" s="89">
        <v>270</v>
      </c>
      <c r="H351" s="5" t="s">
        <v>236</v>
      </c>
      <c r="J351" s="5" t="s">
        <v>241</v>
      </c>
      <c r="K351" s="86"/>
      <c r="L351" s="86" t="s">
        <v>643</v>
      </c>
    </row>
    <row r="352" spans="1:13" s="5" customFormat="1" hidden="1" outlineLevel="1" x14ac:dyDescent="0.35">
      <c r="C352" s="84"/>
      <c r="D352" s="5" t="s">
        <v>351</v>
      </c>
      <c r="E352" s="5" t="s">
        <v>227</v>
      </c>
      <c r="F352" s="5" t="s">
        <v>222</v>
      </c>
      <c r="G352" s="61">
        <f>G351/23.6</f>
        <v>11.440677966101694</v>
      </c>
      <c r="H352" s="5" t="s">
        <v>243</v>
      </c>
      <c r="J352" s="5" t="s">
        <v>244</v>
      </c>
      <c r="K352" s="86"/>
      <c r="L352" s="86" t="s">
        <v>645</v>
      </c>
      <c r="M352" s="90" t="s">
        <v>245</v>
      </c>
    </row>
    <row r="353" spans="1:12" s="5" customFormat="1" hidden="1" outlineLevel="1" x14ac:dyDescent="0.35">
      <c r="D353" s="5" t="s">
        <v>351</v>
      </c>
      <c r="E353" s="5" t="s">
        <v>227</v>
      </c>
      <c r="F353" s="5" t="s">
        <v>246</v>
      </c>
      <c r="G353" s="91">
        <f>G351</f>
        <v>270</v>
      </c>
      <c r="H353" s="5" t="s">
        <v>236</v>
      </c>
      <c r="J353" s="5" t="s">
        <v>681</v>
      </c>
      <c r="K353" s="86"/>
      <c r="L353" s="86"/>
    </row>
    <row r="354" spans="1:12" s="5" customFormat="1" hidden="1" outlineLevel="1" x14ac:dyDescent="0.35">
      <c r="K354" s="86"/>
      <c r="L354" s="86"/>
    </row>
    <row r="355" spans="1:12" s="5" customFormat="1" hidden="1" outlineLevel="1" x14ac:dyDescent="0.35">
      <c r="C355" s="84" t="s">
        <v>251</v>
      </c>
      <c r="K355" s="86"/>
      <c r="L355" s="86"/>
    </row>
    <row r="356" spans="1:12" s="5" customFormat="1" hidden="1" outlineLevel="1" x14ac:dyDescent="0.35">
      <c r="C356" s="84"/>
      <c r="D356" s="5" t="s">
        <v>253</v>
      </c>
      <c r="G356" s="91">
        <f>-G347-G351</f>
        <v>-1770</v>
      </c>
      <c r="H356" s="5" t="s">
        <v>236</v>
      </c>
      <c r="J356" s="5" t="s">
        <v>254</v>
      </c>
      <c r="K356" s="86"/>
      <c r="L356" s="86"/>
    </row>
    <row r="357" spans="1:12" s="5" customFormat="1" hidden="1" outlineLevel="1" x14ac:dyDescent="0.35">
      <c r="K357" s="86"/>
      <c r="L357" s="86"/>
    </row>
    <row r="358" spans="1:12" s="65" customFormat="1" collapsed="1" x14ac:dyDescent="0.35">
      <c r="A358" s="65" t="s">
        <v>353</v>
      </c>
      <c r="B358" s="65" t="s">
        <v>354</v>
      </c>
    </row>
    <row r="359" spans="1:12" s="67" customFormat="1" hidden="1" outlineLevel="1" x14ac:dyDescent="0.35">
      <c r="A359" s="66" t="s">
        <v>208</v>
      </c>
      <c r="B359" s="66"/>
      <c r="C359" s="66"/>
    </row>
    <row r="360" spans="1:12" s="70" customFormat="1" hidden="1" outlineLevel="1" x14ac:dyDescent="0.35">
      <c r="A360" s="68"/>
      <c r="B360" s="69"/>
      <c r="C360" s="69"/>
    </row>
    <row r="361" spans="1:12" s="70" customFormat="1" ht="43.5" hidden="1" outlineLevel="1" x14ac:dyDescent="0.35">
      <c r="B361" s="72" t="s">
        <v>209</v>
      </c>
      <c r="C361" s="72" t="s">
        <v>210</v>
      </c>
      <c r="D361" s="72" t="s">
        <v>211</v>
      </c>
      <c r="E361" s="72" t="s">
        <v>212</v>
      </c>
      <c r="F361" s="72" t="s">
        <v>300</v>
      </c>
      <c r="G361" s="72" t="s">
        <v>213</v>
      </c>
      <c r="H361" s="73"/>
      <c r="J361" s="74"/>
      <c r="K361" s="74"/>
    </row>
    <row r="362" spans="1:12" s="70" customFormat="1" ht="29" hidden="1" outlineLevel="1" x14ac:dyDescent="0.35">
      <c r="B362" s="75" t="s">
        <v>214</v>
      </c>
      <c r="C362" s="76" t="s">
        <v>215</v>
      </c>
      <c r="D362" s="76" t="s">
        <v>216</v>
      </c>
      <c r="E362" s="75" t="s">
        <v>217</v>
      </c>
      <c r="F362" s="76" t="s">
        <v>301</v>
      </c>
      <c r="G362" s="75" t="s">
        <v>218</v>
      </c>
      <c r="H362" s="78"/>
      <c r="J362" s="74"/>
      <c r="K362" s="74"/>
    </row>
    <row r="363" spans="1:12" s="70" customFormat="1" hidden="1" outlineLevel="1" x14ac:dyDescent="0.35">
      <c r="B363" s="79" t="s">
        <v>355</v>
      </c>
      <c r="C363" s="79"/>
      <c r="D363" s="79" t="s">
        <v>226</v>
      </c>
      <c r="E363" s="79">
        <f>2*F363</f>
        <v>200</v>
      </c>
      <c r="F363" s="80">
        <v>100</v>
      </c>
      <c r="G363" s="79">
        <v>25</v>
      </c>
      <c r="H363" s="81"/>
      <c r="J363" s="74"/>
      <c r="K363" s="74"/>
    </row>
    <row r="364" spans="1:12" s="70" customFormat="1" hidden="1" outlineLevel="1" x14ac:dyDescent="0.35">
      <c r="B364" s="79" t="s">
        <v>356</v>
      </c>
      <c r="C364" s="79"/>
      <c r="D364" s="79" t="s">
        <v>226</v>
      </c>
      <c r="E364" s="79">
        <v>30</v>
      </c>
      <c r="F364" s="80">
        <v>1</v>
      </c>
      <c r="G364" s="79">
        <v>25</v>
      </c>
      <c r="H364" s="81"/>
      <c r="J364" s="74"/>
      <c r="K364" s="74"/>
    </row>
    <row r="365" spans="1:12" s="70" customFormat="1" hidden="1" outlineLevel="1" x14ac:dyDescent="0.35">
      <c r="B365" s="79" t="s">
        <v>357</v>
      </c>
      <c r="C365" s="79"/>
      <c r="D365" s="79" t="s">
        <v>226</v>
      </c>
      <c r="E365" s="79">
        <v>100</v>
      </c>
      <c r="F365" s="80">
        <v>1</v>
      </c>
      <c r="G365" s="79">
        <v>25</v>
      </c>
      <c r="H365" s="81"/>
      <c r="J365" s="74"/>
      <c r="K365" s="74"/>
    </row>
    <row r="366" spans="1:12" s="70" customFormat="1" hidden="1" outlineLevel="1" x14ac:dyDescent="0.35">
      <c r="B366" s="79" t="s">
        <v>358</v>
      </c>
      <c r="C366" s="79" t="s">
        <v>222</v>
      </c>
      <c r="D366" s="79" t="s">
        <v>223</v>
      </c>
      <c r="E366" s="79">
        <v>100</v>
      </c>
      <c r="F366" s="80">
        <v>1</v>
      </c>
      <c r="G366" s="79">
        <v>25</v>
      </c>
      <c r="H366" s="81"/>
      <c r="J366" s="74"/>
      <c r="K366" s="74"/>
    </row>
    <row r="367" spans="1:12" s="70" customFormat="1" hidden="1" outlineLevel="1" x14ac:dyDescent="0.35">
      <c r="B367" s="79" t="s">
        <v>359</v>
      </c>
      <c r="C367" s="79"/>
      <c r="D367" s="79" t="s">
        <v>226</v>
      </c>
      <c r="E367" s="79">
        <v>20</v>
      </c>
      <c r="F367" s="80">
        <v>1</v>
      </c>
      <c r="G367" s="79">
        <v>25</v>
      </c>
      <c r="H367" s="81"/>
      <c r="J367" s="74"/>
      <c r="K367" s="74"/>
    </row>
    <row r="368" spans="1:12" s="70" customFormat="1" hidden="1" outlineLevel="1" x14ac:dyDescent="0.35">
      <c r="B368" s="79" t="s">
        <v>360</v>
      </c>
      <c r="C368" s="79"/>
      <c r="D368" s="79" t="s">
        <v>290</v>
      </c>
      <c r="E368" s="79">
        <v>30</v>
      </c>
      <c r="F368" s="80">
        <v>1</v>
      </c>
      <c r="G368" s="79">
        <v>25</v>
      </c>
      <c r="H368" s="81"/>
      <c r="J368" s="74"/>
      <c r="K368" s="74"/>
    </row>
    <row r="369" spans="1:13" s="70" customFormat="1" hidden="1" outlineLevel="1" x14ac:dyDescent="0.35">
      <c r="B369" s="81"/>
      <c r="C369" s="81"/>
      <c r="D369" s="81"/>
      <c r="E369" s="81"/>
      <c r="F369" s="81"/>
      <c r="G369" s="82"/>
      <c r="H369" s="81"/>
      <c r="J369" s="74"/>
      <c r="K369" s="74"/>
    </row>
    <row r="370" spans="1:13" s="67" customFormat="1" hidden="1" outlineLevel="1" x14ac:dyDescent="0.35">
      <c r="A370" s="66" t="s">
        <v>228</v>
      </c>
    </row>
    <row r="371" spans="1:13" s="83" customFormat="1" hidden="1" outlineLevel="1" x14ac:dyDescent="0.35"/>
    <row r="372" spans="1:13" s="83" customFormat="1" hidden="1" outlineLevel="1" x14ac:dyDescent="0.35"/>
    <row r="373" spans="1:13" s="5" customFormat="1" ht="15.5" hidden="1" outlineLevel="1" x14ac:dyDescent="0.35">
      <c r="B373" s="85" t="s">
        <v>361</v>
      </c>
      <c r="G373" s="85" t="s">
        <v>179</v>
      </c>
      <c r="H373" s="85" t="s">
        <v>180</v>
      </c>
      <c r="I373" s="85"/>
      <c r="J373" s="85" t="s">
        <v>513</v>
      </c>
      <c r="K373" s="85"/>
      <c r="L373" s="85" t="s">
        <v>181</v>
      </c>
      <c r="M373" s="85" t="s">
        <v>182</v>
      </c>
    </row>
    <row r="374" spans="1:13" s="5" customFormat="1" hidden="1" outlineLevel="1" x14ac:dyDescent="0.35">
      <c r="C374" s="84" t="s">
        <v>183</v>
      </c>
      <c r="G374" s="86"/>
      <c r="H374" s="87"/>
      <c r="I374" s="86"/>
      <c r="J374" s="88"/>
      <c r="K374" s="86"/>
      <c r="L374" s="86"/>
    </row>
    <row r="375" spans="1:13" s="5" customFormat="1" hidden="1" outlineLevel="1" x14ac:dyDescent="0.35">
      <c r="D375" s="5" t="s">
        <v>362</v>
      </c>
      <c r="G375" s="100">
        <v>1</v>
      </c>
      <c r="H375" s="5" t="s">
        <v>185</v>
      </c>
      <c r="K375" s="86"/>
      <c r="L375" s="86"/>
    </row>
    <row r="376" spans="1:13" s="5" customFormat="1" hidden="1" outlineLevel="1" x14ac:dyDescent="0.35">
      <c r="K376" s="86"/>
      <c r="L376" s="86"/>
    </row>
    <row r="377" spans="1:13" s="5" customFormat="1" hidden="1" outlineLevel="1" x14ac:dyDescent="0.35">
      <c r="C377" s="84" t="s">
        <v>186</v>
      </c>
      <c r="K377" s="86"/>
      <c r="L377" s="86"/>
    </row>
    <row r="378" spans="1:13" s="5" customFormat="1" hidden="1" outlineLevel="1" x14ac:dyDescent="0.35">
      <c r="C378" s="84"/>
      <c r="D378" s="84" t="s">
        <v>231</v>
      </c>
      <c r="E378" s="84" t="s">
        <v>232</v>
      </c>
      <c r="F378" s="84" t="s">
        <v>233</v>
      </c>
      <c r="K378" s="86"/>
      <c r="L378" s="86"/>
    </row>
    <row r="379" spans="1:13" s="5" customFormat="1" hidden="1" outlineLevel="1" x14ac:dyDescent="0.35">
      <c r="C379" s="84"/>
      <c r="D379" s="5" t="s">
        <v>363</v>
      </c>
      <c r="E379" s="5" t="s">
        <v>673</v>
      </c>
      <c r="G379" s="91">
        <f>E363*(0.012/0.112)</f>
        <v>21.428571428571427</v>
      </c>
      <c r="H379" s="5" t="s">
        <v>236</v>
      </c>
      <c r="J379" s="5" t="s">
        <v>672</v>
      </c>
      <c r="K379" s="86"/>
      <c r="L379" s="86" t="s">
        <v>677</v>
      </c>
    </row>
    <row r="380" spans="1:13" s="5" customFormat="1" ht="18.5" hidden="1" outlineLevel="1" x14ac:dyDescent="0.45">
      <c r="C380" s="84"/>
      <c r="D380" s="183"/>
      <c r="E380" s="5" t="s">
        <v>293</v>
      </c>
      <c r="G380" s="91">
        <f>E363*(0.02/0.112)</f>
        <v>35.714285714285715</v>
      </c>
      <c r="H380" s="5" t="s">
        <v>236</v>
      </c>
      <c r="J380" s="5" t="s">
        <v>674</v>
      </c>
      <c r="K380" s="86"/>
      <c r="L380" s="86" t="s">
        <v>678</v>
      </c>
    </row>
    <row r="381" spans="1:13" s="5" customFormat="1" ht="18.5" hidden="1" outlineLevel="1" x14ac:dyDescent="0.45">
      <c r="C381" s="84"/>
      <c r="D381" s="183"/>
      <c r="E381" s="5" t="s">
        <v>676</v>
      </c>
      <c r="G381" s="91">
        <f>E363*(0.08/0.112)</f>
        <v>142.85714285714286</v>
      </c>
      <c r="H381" s="5" t="s">
        <v>236</v>
      </c>
      <c r="J381" s="5" t="s">
        <v>675</v>
      </c>
      <c r="K381" s="86"/>
      <c r="L381" s="86" t="s">
        <v>679</v>
      </c>
    </row>
    <row r="382" spans="1:13" s="5" customFormat="1" hidden="1" outlineLevel="1" x14ac:dyDescent="0.35">
      <c r="C382" s="84"/>
      <c r="K382" s="86"/>
      <c r="L382" s="86"/>
    </row>
    <row r="383" spans="1:13" s="5" customFormat="1" hidden="1" outlineLevel="1" x14ac:dyDescent="0.35">
      <c r="C383" s="84"/>
      <c r="D383" s="5" t="s">
        <v>356</v>
      </c>
      <c r="E383" s="5" t="s">
        <v>226</v>
      </c>
      <c r="G383" s="59">
        <f>E364</f>
        <v>30</v>
      </c>
      <c r="H383" s="5" t="s">
        <v>236</v>
      </c>
      <c r="J383" s="5" t="s">
        <v>364</v>
      </c>
      <c r="K383" s="86"/>
      <c r="L383" s="86"/>
    </row>
    <row r="384" spans="1:13" s="5" customFormat="1" hidden="1" outlineLevel="1" x14ac:dyDescent="0.35">
      <c r="C384" s="84"/>
      <c r="K384" s="86"/>
      <c r="L384" s="86"/>
    </row>
    <row r="385" spans="3:13" s="5" customFormat="1" hidden="1" outlineLevel="1" x14ac:dyDescent="0.35">
      <c r="C385" s="84"/>
      <c r="D385" s="5" t="s">
        <v>357</v>
      </c>
      <c r="E385" s="5" t="s">
        <v>226</v>
      </c>
      <c r="G385" s="61">
        <f>E365*0.1</f>
        <v>10</v>
      </c>
      <c r="H385" s="5" t="s">
        <v>236</v>
      </c>
      <c r="J385" s="5" t="s">
        <v>365</v>
      </c>
      <c r="K385" s="86"/>
      <c r="L385" s="86" t="s">
        <v>680</v>
      </c>
    </row>
    <row r="386" spans="3:13" s="5" customFormat="1" hidden="1" outlineLevel="1" x14ac:dyDescent="0.35">
      <c r="C386" s="84"/>
      <c r="G386" s="61">
        <f>E365-G385</f>
        <v>90</v>
      </c>
      <c r="H386" s="5" t="s">
        <v>236</v>
      </c>
      <c r="J386" s="5" t="s">
        <v>366</v>
      </c>
      <c r="K386" s="86"/>
      <c r="L386" s="86" t="s">
        <v>680</v>
      </c>
    </row>
    <row r="387" spans="3:13" s="5" customFormat="1" hidden="1" outlineLevel="1" x14ac:dyDescent="0.35">
      <c r="C387" s="84"/>
      <c r="K387" s="86"/>
      <c r="L387" s="86"/>
    </row>
    <row r="388" spans="3:13" s="5" customFormat="1" hidden="1" outlineLevel="1" x14ac:dyDescent="0.35">
      <c r="C388" s="84"/>
      <c r="D388" s="5" t="s">
        <v>358</v>
      </c>
      <c r="E388" s="5" t="s">
        <v>223</v>
      </c>
      <c r="G388" s="89">
        <f>E366</f>
        <v>100</v>
      </c>
      <c r="H388" s="5" t="s">
        <v>236</v>
      </c>
      <c r="J388" s="5" t="s">
        <v>366</v>
      </c>
      <c r="K388" s="86"/>
      <c r="L388" s="86" t="s">
        <v>643</v>
      </c>
    </row>
    <row r="389" spans="3:13" s="5" customFormat="1" hidden="1" outlineLevel="1" x14ac:dyDescent="0.35">
      <c r="C389" s="84"/>
      <c r="D389" s="5" t="s">
        <v>358</v>
      </c>
      <c r="E389" s="5" t="s">
        <v>227</v>
      </c>
      <c r="F389" s="5" t="s">
        <v>222</v>
      </c>
      <c r="G389" s="61">
        <f>G388/23.6</f>
        <v>4.2372881355932197</v>
      </c>
      <c r="H389" s="5" t="s">
        <v>243</v>
      </c>
      <c r="J389" s="5" t="s">
        <v>244</v>
      </c>
      <c r="K389" s="86"/>
      <c r="L389" s="86" t="s">
        <v>645</v>
      </c>
      <c r="M389" s="90" t="s">
        <v>245</v>
      </c>
    </row>
    <row r="390" spans="3:13" s="5" customFormat="1" hidden="1" outlineLevel="1" x14ac:dyDescent="0.35">
      <c r="C390" s="84"/>
      <c r="D390" s="5" t="s">
        <v>358</v>
      </c>
      <c r="E390" s="5" t="s">
        <v>227</v>
      </c>
      <c r="F390" s="5" t="s">
        <v>246</v>
      </c>
      <c r="G390" s="91">
        <f>G388</f>
        <v>100</v>
      </c>
      <c r="H390" s="5" t="s">
        <v>236</v>
      </c>
      <c r="J390" s="5" t="s">
        <v>247</v>
      </c>
      <c r="K390" s="86"/>
      <c r="L390" s="86"/>
    </row>
    <row r="391" spans="3:13" s="5" customFormat="1" hidden="1" outlineLevel="1" x14ac:dyDescent="0.35">
      <c r="C391" s="84"/>
      <c r="K391" s="86"/>
      <c r="L391" s="86"/>
    </row>
    <row r="392" spans="3:13" s="5" customFormat="1" hidden="1" outlineLevel="1" x14ac:dyDescent="0.35">
      <c r="C392" s="84"/>
      <c r="D392" s="5" t="s">
        <v>367</v>
      </c>
      <c r="E392" s="5" t="s">
        <v>226</v>
      </c>
      <c r="G392" s="89">
        <f>E367</f>
        <v>20</v>
      </c>
      <c r="H392" s="5" t="s">
        <v>236</v>
      </c>
      <c r="J392" s="5" t="s">
        <v>365</v>
      </c>
      <c r="K392" s="86"/>
      <c r="L392" s="86"/>
    </row>
    <row r="393" spans="3:13" s="5" customFormat="1" hidden="1" outlineLevel="1" x14ac:dyDescent="0.35">
      <c r="C393" s="84"/>
      <c r="K393" s="86"/>
      <c r="L393" s="86"/>
    </row>
    <row r="394" spans="3:13" s="5" customFormat="1" hidden="1" outlineLevel="1" x14ac:dyDescent="0.35">
      <c r="D394" s="5" t="s">
        <v>360</v>
      </c>
      <c r="E394" s="5" t="s">
        <v>290</v>
      </c>
      <c r="G394" s="59">
        <f>E368</f>
        <v>30</v>
      </c>
      <c r="H394" s="5" t="s">
        <v>236</v>
      </c>
      <c r="J394" s="5" t="s">
        <v>291</v>
      </c>
      <c r="K394" s="86"/>
      <c r="L394" s="86"/>
    </row>
    <row r="395" spans="3:13" s="5" customFormat="1" hidden="1" outlineLevel="1" x14ac:dyDescent="0.35">
      <c r="K395" s="86"/>
      <c r="L395" s="86"/>
    </row>
    <row r="396" spans="3:13" s="5" customFormat="1" hidden="1" outlineLevel="1" x14ac:dyDescent="0.35">
      <c r="C396" s="84" t="s">
        <v>251</v>
      </c>
      <c r="K396" s="86"/>
      <c r="L396" s="86"/>
    </row>
    <row r="397" spans="3:13" s="5" customFormat="1" hidden="1" outlineLevel="1" x14ac:dyDescent="0.35">
      <c r="C397" s="84"/>
      <c r="D397" s="5" t="s">
        <v>255</v>
      </c>
      <c r="G397" s="61">
        <f>-G383-G385-G392</f>
        <v>-60</v>
      </c>
      <c r="H397" s="5" t="s">
        <v>236</v>
      </c>
      <c r="J397" s="5" t="s">
        <v>256</v>
      </c>
      <c r="K397" s="86"/>
      <c r="L397" s="86"/>
    </row>
    <row r="398" spans="3:13" s="5" customFormat="1" hidden="1" outlineLevel="1" x14ac:dyDescent="0.35">
      <c r="C398" s="84"/>
      <c r="D398" s="5" t="s">
        <v>368</v>
      </c>
      <c r="G398" s="61">
        <f>-G394</f>
        <v>-30</v>
      </c>
      <c r="H398" s="5" t="s">
        <v>236</v>
      </c>
      <c r="J398" s="5" t="s">
        <v>298</v>
      </c>
      <c r="K398" s="86"/>
      <c r="L398" s="86"/>
    </row>
    <row r="399" spans="3:13" s="5" customFormat="1" hidden="1" outlineLevel="1" x14ac:dyDescent="0.35">
      <c r="C399" s="84"/>
      <c r="D399" s="5" t="s">
        <v>253</v>
      </c>
      <c r="G399" s="91">
        <f>-G388-G386</f>
        <v>-190</v>
      </c>
      <c r="H399" s="5" t="s">
        <v>236</v>
      </c>
      <c r="J399" s="5" t="s">
        <v>254</v>
      </c>
      <c r="K399" s="86"/>
      <c r="L399" s="86"/>
    </row>
    <row r="400" spans="3:13" s="5" customFormat="1" hidden="1" outlineLevel="1" x14ac:dyDescent="0.35">
      <c r="C400" s="84"/>
      <c r="D400" s="5" t="s">
        <v>295</v>
      </c>
      <c r="G400" s="91">
        <f>-G380</f>
        <v>-35.714285714285715</v>
      </c>
      <c r="H400" s="5" t="s">
        <v>236</v>
      </c>
      <c r="J400" s="5" t="s">
        <v>296</v>
      </c>
      <c r="K400" s="86"/>
      <c r="L400" s="86"/>
    </row>
    <row r="401" spans="1:12" s="5" customFormat="1" hidden="1" outlineLevel="1" x14ac:dyDescent="0.35">
      <c r="C401" s="84"/>
      <c r="D401" s="5" t="s">
        <v>683</v>
      </c>
      <c r="G401" s="91">
        <f>-G379-G381</f>
        <v>-164.28571428571428</v>
      </c>
      <c r="H401" s="5" t="s">
        <v>236</v>
      </c>
      <c r="J401" s="5" t="s">
        <v>682</v>
      </c>
      <c r="K401" s="86"/>
      <c r="L401" s="86"/>
    </row>
    <row r="402" spans="1:12" s="5" customFormat="1" hidden="1" outlineLevel="1" x14ac:dyDescent="0.35">
      <c r="K402" s="86"/>
      <c r="L402" s="86"/>
    </row>
    <row r="403" spans="1:12" s="65" customFormat="1" collapsed="1" x14ac:dyDescent="0.35">
      <c r="A403" s="65" t="s">
        <v>369</v>
      </c>
      <c r="B403" s="65" t="s">
        <v>198</v>
      </c>
    </row>
    <row r="404" spans="1:12" s="67" customFormat="1" hidden="1" outlineLevel="1" x14ac:dyDescent="0.35">
      <c r="A404" s="66" t="s">
        <v>208</v>
      </c>
      <c r="B404" s="66"/>
      <c r="C404" s="66"/>
    </row>
    <row r="405" spans="1:12" s="70" customFormat="1" ht="116" hidden="1" outlineLevel="1" x14ac:dyDescent="0.35">
      <c r="A405" s="68"/>
      <c r="B405" s="69" t="s">
        <v>661</v>
      </c>
      <c r="C405" s="69"/>
      <c r="K405" s="72" t="s">
        <v>213</v>
      </c>
    </row>
    <row r="406" spans="1:12" s="70" customFormat="1" ht="43.5" hidden="1" outlineLevel="1" x14ac:dyDescent="0.35">
      <c r="A406" s="68"/>
      <c r="B406" s="76"/>
      <c r="C406" s="76" t="s">
        <v>515</v>
      </c>
      <c r="D406" s="76" t="s">
        <v>655</v>
      </c>
      <c r="E406" s="76" t="s">
        <v>656</v>
      </c>
      <c r="F406" s="76" t="s">
        <v>657</v>
      </c>
      <c r="G406" s="76" t="s">
        <v>370</v>
      </c>
      <c r="H406" s="76" t="s">
        <v>371</v>
      </c>
      <c r="I406" s="76" t="s">
        <v>660</v>
      </c>
      <c r="J406" s="76" t="s">
        <v>372</v>
      </c>
      <c r="K406" s="75" t="s">
        <v>218</v>
      </c>
    </row>
    <row r="407" spans="1:12" s="70" customFormat="1" hidden="1" outlineLevel="1" x14ac:dyDescent="0.35">
      <c r="A407" s="68"/>
      <c r="B407" s="79" t="s">
        <v>373</v>
      </c>
      <c r="C407" s="101">
        <v>6.75</v>
      </c>
      <c r="D407" s="80">
        <v>0.15</v>
      </c>
      <c r="E407" s="80"/>
      <c r="F407" s="80"/>
      <c r="G407" s="80">
        <f>D407*C407</f>
        <v>1.0125</v>
      </c>
      <c r="H407" s="80">
        <v>2500</v>
      </c>
      <c r="I407" s="80"/>
      <c r="J407" s="80">
        <f>H407*G407</f>
        <v>2531.25</v>
      </c>
      <c r="K407" s="80">
        <v>50</v>
      </c>
    </row>
    <row r="408" spans="1:12" s="70" customFormat="1" hidden="1" outlineLevel="1" x14ac:dyDescent="0.35">
      <c r="A408" s="68"/>
      <c r="B408" s="79" t="s">
        <v>374</v>
      </c>
      <c r="C408" s="101">
        <v>6.75</v>
      </c>
      <c r="D408" s="80">
        <v>0.3</v>
      </c>
      <c r="E408" s="80"/>
      <c r="F408" s="80"/>
      <c r="G408" s="80">
        <f>D408*C408</f>
        <v>2.0249999999999999</v>
      </c>
      <c r="H408" s="80">
        <v>2500</v>
      </c>
      <c r="I408" s="80"/>
      <c r="J408" s="80">
        <f>H408*G408</f>
        <v>5062.5</v>
      </c>
      <c r="K408" s="80">
        <v>50</v>
      </c>
    </row>
    <row r="409" spans="1:12" s="70" customFormat="1" hidden="1" outlineLevel="1" x14ac:dyDescent="0.35">
      <c r="A409" s="68"/>
      <c r="B409" s="79" t="s">
        <v>375</v>
      </c>
      <c r="C409" s="79"/>
      <c r="D409" s="80"/>
      <c r="E409" s="80">
        <v>1.5</v>
      </c>
      <c r="F409" s="80">
        <v>0.3</v>
      </c>
      <c r="G409" s="80">
        <f>3*(PI()*(F409/2)^2*E409)</f>
        <v>0.31808625617596659</v>
      </c>
      <c r="H409" s="80">
        <v>2400</v>
      </c>
      <c r="I409" s="80"/>
      <c r="J409" s="80">
        <f>H409*G409</f>
        <v>763.40701482231975</v>
      </c>
      <c r="K409" s="80">
        <v>50</v>
      </c>
      <c r="L409" s="192" t="s">
        <v>376</v>
      </c>
    </row>
    <row r="410" spans="1:12" s="70" customFormat="1" hidden="1" outlineLevel="1" x14ac:dyDescent="0.35">
      <c r="A410" s="68"/>
      <c r="B410" s="79" t="s">
        <v>377</v>
      </c>
      <c r="C410" s="79"/>
      <c r="D410" s="80"/>
      <c r="E410" s="80">
        <f>27500/11000</f>
        <v>2.5</v>
      </c>
      <c r="F410" s="80"/>
      <c r="G410" s="80"/>
      <c r="H410" s="80"/>
      <c r="I410" s="80">
        <v>30</v>
      </c>
      <c r="J410" s="80">
        <f>I410*E410</f>
        <v>75</v>
      </c>
      <c r="K410" s="80">
        <v>50</v>
      </c>
      <c r="L410" s="192" t="s">
        <v>658</v>
      </c>
    </row>
    <row r="411" spans="1:12" s="70" customFormat="1" hidden="1" outlineLevel="1" x14ac:dyDescent="0.35">
      <c r="A411" s="68"/>
      <c r="B411" s="79" t="s">
        <v>378</v>
      </c>
      <c r="C411" s="79"/>
      <c r="D411" s="80"/>
      <c r="E411" s="182">
        <f>5000/11000</f>
        <v>0.45454545454545453</v>
      </c>
      <c r="F411" s="80"/>
      <c r="G411" s="80"/>
      <c r="H411" s="80"/>
      <c r="I411" s="80">
        <v>132</v>
      </c>
      <c r="J411" s="80">
        <f>I411*E411</f>
        <v>60</v>
      </c>
      <c r="K411" s="80">
        <v>50</v>
      </c>
      <c r="L411" s="192" t="s">
        <v>659</v>
      </c>
    </row>
    <row r="412" spans="1:12" s="70" customFormat="1" hidden="1" outlineLevel="1" x14ac:dyDescent="0.35">
      <c r="A412" s="68"/>
      <c r="B412" s="79" t="s">
        <v>379</v>
      </c>
      <c r="C412" s="79"/>
      <c r="D412" s="80"/>
      <c r="E412" s="80">
        <f>27500/11000</f>
        <v>2.5</v>
      </c>
      <c r="F412" s="80"/>
      <c r="G412" s="80"/>
      <c r="H412" s="80"/>
      <c r="I412" s="80">
        <v>3.9</v>
      </c>
      <c r="J412" s="80">
        <f>I412*E412</f>
        <v>9.75</v>
      </c>
      <c r="K412" s="80">
        <v>50</v>
      </c>
    </row>
    <row r="413" spans="1:12" s="70" customFormat="1" hidden="1" outlineLevel="1" x14ac:dyDescent="0.35">
      <c r="A413" s="68"/>
      <c r="B413" s="79" t="s">
        <v>380</v>
      </c>
      <c r="C413" s="79"/>
      <c r="D413" s="80"/>
      <c r="E413" s="182">
        <f>5000/11000</f>
        <v>0.45454545454545453</v>
      </c>
      <c r="F413" s="80"/>
      <c r="G413" s="80"/>
      <c r="H413" s="80"/>
      <c r="I413" s="80">
        <v>19</v>
      </c>
      <c r="J413" s="80">
        <f>E413*I413</f>
        <v>8.6363636363636367</v>
      </c>
      <c r="K413" s="80">
        <v>50</v>
      </c>
    </row>
    <row r="414" spans="1:12" s="74" customFormat="1" hidden="1" outlineLevel="1" x14ac:dyDescent="0.35"/>
    <row r="415" spans="1:12" s="67" customFormat="1" hidden="1" outlineLevel="1" x14ac:dyDescent="0.35">
      <c r="A415" s="66" t="s">
        <v>228</v>
      </c>
    </row>
    <row r="416" spans="1:12" s="83" customFormat="1" hidden="1" outlineLevel="1" x14ac:dyDescent="0.35"/>
    <row r="417" spans="2:13" s="83" customFormat="1" hidden="1" outlineLevel="1" x14ac:dyDescent="0.35"/>
    <row r="418" spans="2:13" s="5" customFormat="1" ht="15.5" hidden="1" outlineLevel="1" x14ac:dyDescent="0.35">
      <c r="B418" s="85" t="s">
        <v>381</v>
      </c>
      <c r="G418" s="85" t="s">
        <v>179</v>
      </c>
      <c r="H418" s="85" t="s">
        <v>180</v>
      </c>
      <c r="I418" s="85"/>
      <c r="J418" s="85" t="s">
        <v>513</v>
      </c>
      <c r="K418" s="85"/>
      <c r="L418" s="85" t="s">
        <v>181</v>
      </c>
      <c r="M418" s="85" t="s">
        <v>182</v>
      </c>
    </row>
    <row r="419" spans="2:13" s="5" customFormat="1" hidden="1" outlineLevel="1" x14ac:dyDescent="0.35">
      <c r="C419" s="84" t="s">
        <v>183</v>
      </c>
      <c r="G419" s="86"/>
      <c r="H419" s="87"/>
      <c r="I419" s="86"/>
      <c r="J419" s="88"/>
      <c r="K419" s="86"/>
      <c r="L419" s="86"/>
    </row>
    <row r="420" spans="2:13" s="5" customFormat="1" hidden="1" outlineLevel="1" x14ac:dyDescent="0.35">
      <c r="D420" s="5" t="s">
        <v>198</v>
      </c>
      <c r="G420" s="57">
        <v>1</v>
      </c>
      <c r="H420" s="5" t="s">
        <v>185</v>
      </c>
      <c r="J420" s="5" t="s">
        <v>382</v>
      </c>
      <c r="K420" s="86"/>
      <c r="L420" s="86"/>
    </row>
    <row r="421" spans="2:13" s="5" customFormat="1" hidden="1" outlineLevel="1" x14ac:dyDescent="0.35">
      <c r="K421" s="86"/>
      <c r="L421" s="86"/>
    </row>
    <row r="422" spans="2:13" s="5" customFormat="1" hidden="1" outlineLevel="1" x14ac:dyDescent="0.35">
      <c r="C422" s="84" t="s">
        <v>186</v>
      </c>
      <c r="K422" s="86"/>
      <c r="L422" s="86"/>
    </row>
    <row r="423" spans="2:13" s="5" customFormat="1" hidden="1" outlineLevel="1" x14ac:dyDescent="0.35">
      <c r="C423" s="84"/>
      <c r="D423" s="84" t="s">
        <v>231</v>
      </c>
      <c r="E423" s="84" t="s">
        <v>232</v>
      </c>
      <c r="F423" s="84" t="s">
        <v>233</v>
      </c>
      <c r="K423" s="86"/>
      <c r="L423" s="86"/>
    </row>
    <row r="424" spans="2:13" s="5" customFormat="1" hidden="1" outlineLevel="1" x14ac:dyDescent="0.35">
      <c r="C424" s="84"/>
      <c r="D424" s="5" t="s">
        <v>383</v>
      </c>
      <c r="E424" s="5" t="s">
        <v>373</v>
      </c>
      <c r="G424" s="61">
        <f>J407/2</f>
        <v>1265.625</v>
      </c>
      <c r="H424" s="5" t="s">
        <v>236</v>
      </c>
      <c r="J424" s="5" t="s">
        <v>384</v>
      </c>
      <c r="K424" s="86"/>
      <c r="L424" s="86" t="s">
        <v>654</v>
      </c>
    </row>
    <row r="425" spans="2:13" s="5" customFormat="1" hidden="1" outlineLevel="1" x14ac:dyDescent="0.35">
      <c r="C425" s="84"/>
      <c r="D425" s="5" t="s">
        <v>383</v>
      </c>
      <c r="E425" s="5" t="s">
        <v>374</v>
      </c>
      <c r="G425" s="61">
        <f>J408/2</f>
        <v>2531.25</v>
      </c>
      <c r="H425" s="5" t="s">
        <v>236</v>
      </c>
      <c r="J425" s="5" t="s">
        <v>386</v>
      </c>
      <c r="K425" s="86"/>
      <c r="L425" s="86" t="s">
        <v>663</v>
      </c>
    </row>
    <row r="426" spans="2:13" s="5" customFormat="1" hidden="1" outlineLevel="1" x14ac:dyDescent="0.35">
      <c r="C426" s="84"/>
      <c r="D426" s="5" t="s">
        <v>383</v>
      </c>
      <c r="E426" s="5" t="s">
        <v>375</v>
      </c>
      <c r="G426" s="61">
        <f>G409/2</f>
        <v>0.15904312808798329</v>
      </c>
      <c r="H426" s="5" t="s">
        <v>387</v>
      </c>
      <c r="J426" s="5" t="s">
        <v>388</v>
      </c>
      <c r="K426" s="86"/>
      <c r="L426" s="86" t="s">
        <v>654</v>
      </c>
    </row>
    <row r="427" spans="2:13" s="5" customFormat="1" hidden="1" outlineLevel="1" x14ac:dyDescent="0.35">
      <c r="C427" s="84"/>
      <c r="K427" s="86"/>
      <c r="L427" s="86"/>
    </row>
    <row r="428" spans="2:13" s="5" customFormat="1" hidden="1" outlineLevel="1" x14ac:dyDescent="0.35">
      <c r="C428" s="84"/>
      <c r="D428" s="5" t="s">
        <v>389</v>
      </c>
      <c r="E428" s="5" t="s">
        <v>662</v>
      </c>
      <c r="G428" s="94">
        <f>E410/2</f>
        <v>1.25</v>
      </c>
      <c r="H428" s="5" t="s">
        <v>269</v>
      </c>
      <c r="J428" s="5" t="s">
        <v>390</v>
      </c>
      <c r="K428" s="86"/>
      <c r="L428" s="86" t="s">
        <v>391</v>
      </c>
    </row>
    <row r="429" spans="2:13" s="5" customFormat="1" hidden="1" outlineLevel="1" x14ac:dyDescent="0.35">
      <c r="C429" s="84"/>
      <c r="D429" s="5" t="s">
        <v>389</v>
      </c>
      <c r="E429" s="5" t="s">
        <v>392</v>
      </c>
      <c r="G429" s="102">
        <f>E411/2</f>
        <v>0.22727272727272727</v>
      </c>
      <c r="H429" s="5" t="s">
        <v>269</v>
      </c>
      <c r="J429" s="5" t="s">
        <v>390</v>
      </c>
      <c r="K429" s="86"/>
      <c r="L429" s="86" t="s">
        <v>393</v>
      </c>
    </row>
    <row r="430" spans="2:13" s="5" customFormat="1" hidden="1" outlineLevel="1" x14ac:dyDescent="0.35">
      <c r="C430" s="84"/>
      <c r="K430" s="86"/>
      <c r="L430" s="86"/>
    </row>
    <row r="431" spans="2:13" s="5" customFormat="1" hidden="1" outlineLevel="1" x14ac:dyDescent="0.35">
      <c r="C431" s="84"/>
      <c r="D431" s="5" t="s">
        <v>394</v>
      </c>
      <c r="E431" s="5" t="s">
        <v>395</v>
      </c>
      <c r="G431" s="91">
        <f>J412/2</f>
        <v>4.875</v>
      </c>
      <c r="H431" s="5" t="s">
        <v>236</v>
      </c>
      <c r="J431" s="5" t="s">
        <v>241</v>
      </c>
      <c r="K431" s="86"/>
      <c r="L431" s="86" t="s">
        <v>654</v>
      </c>
    </row>
    <row r="432" spans="2:13" s="5" customFormat="1" hidden="1" outlineLevel="1" x14ac:dyDescent="0.35">
      <c r="C432" s="84"/>
      <c r="D432" s="5" t="s">
        <v>394</v>
      </c>
      <c r="E432" s="5" t="s">
        <v>396</v>
      </c>
      <c r="G432" s="91">
        <f>J413/2</f>
        <v>4.3181818181818183</v>
      </c>
      <c r="H432" s="5" t="s">
        <v>236</v>
      </c>
      <c r="J432" s="5" t="s">
        <v>241</v>
      </c>
      <c r="K432" s="86"/>
      <c r="L432" s="86" t="s">
        <v>385</v>
      </c>
    </row>
    <row r="433" spans="3:12" s="5" customFormat="1" hidden="1" outlineLevel="1" x14ac:dyDescent="0.35">
      <c r="C433" s="84"/>
      <c r="K433" s="86"/>
      <c r="L433" s="86"/>
    </row>
    <row r="434" spans="3:12" s="5" customFormat="1" hidden="1" outlineLevel="1" x14ac:dyDescent="0.35">
      <c r="C434" s="84" t="s">
        <v>251</v>
      </c>
      <c r="K434" s="86"/>
      <c r="L434" s="86"/>
    </row>
    <row r="435" spans="3:12" s="5" customFormat="1" hidden="1" outlineLevel="1" x14ac:dyDescent="0.35">
      <c r="C435" s="84"/>
      <c r="D435" s="5" t="s">
        <v>664</v>
      </c>
      <c r="G435" s="61">
        <f>-G424</f>
        <v>-1265.625</v>
      </c>
      <c r="H435" s="5" t="s">
        <v>236</v>
      </c>
      <c r="J435" s="5" t="s">
        <v>397</v>
      </c>
      <c r="K435" s="86"/>
      <c r="L435" s="86"/>
    </row>
    <row r="436" spans="3:12" s="5" customFormat="1" hidden="1" outlineLevel="1" x14ac:dyDescent="0.35">
      <c r="C436" s="84"/>
      <c r="D436" s="5" t="s">
        <v>665</v>
      </c>
      <c r="G436" s="61">
        <f>-J409/2</f>
        <v>-381.70350741115988</v>
      </c>
      <c r="H436" s="5" t="s">
        <v>236</v>
      </c>
      <c r="J436" s="5" t="s">
        <v>398</v>
      </c>
      <c r="K436" s="86"/>
      <c r="L436" s="86"/>
    </row>
    <row r="437" spans="3:12" s="5" customFormat="1" hidden="1" outlineLevel="1" x14ac:dyDescent="0.35">
      <c r="C437" s="84"/>
      <c r="D437" s="5" t="s">
        <v>666</v>
      </c>
      <c r="G437" s="94">
        <f>-(G431+G432)</f>
        <v>-9.1931818181818183</v>
      </c>
      <c r="H437" s="5" t="s">
        <v>236</v>
      </c>
      <c r="J437" s="5" t="s">
        <v>254</v>
      </c>
      <c r="K437" s="86"/>
      <c r="L437" s="86" t="s">
        <v>654</v>
      </c>
    </row>
    <row r="438" spans="3:12" s="5" customFormat="1" hidden="1" outlineLevel="1" x14ac:dyDescent="0.35">
      <c r="C438" s="84"/>
      <c r="D438" s="5" t="s">
        <v>667</v>
      </c>
      <c r="G438" s="61">
        <f>-1.04*(G428+G429)</f>
        <v>-1.5363636363636364</v>
      </c>
      <c r="H438" s="5" t="s">
        <v>236</v>
      </c>
      <c r="J438" s="5" t="s">
        <v>298</v>
      </c>
      <c r="K438" s="86"/>
      <c r="L438" s="86" t="s">
        <v>668</v>
      </c>
    </row>
    <row r="439" spans="3:12" s="5" customFormat="1" hidden="1" outlineLevel="1" x14ac:dyDescent="0.35">
      <c r="K439" s="86"/>
      <c r="L439" s="86"/>
    </row>
    <row r="440" spans="3:12" s="5" customFormat="1" hidden="1" outlineLevel="1" x14ac:dyDescent="0.35"/>
    <row r="441" spans="3:12" collapsed="1" x14ac:dyDescent="0.35"/>
  </sheetData>
  <hyperlinks>
    <hyperlink ref="M74" r:id="rId1" location=":~:text=Steel%20Plate%20Thickness%20and%20Weight%20-%20Imperial%20Units,60%E2%80%9D%20widths%20and%2096%E2%80%9D%2C%20120%E2%80%9D%2C%20and%20144%E2%80%9D%20lengths, accessed on 6-12-2023" xr:uid="{1F196813-2465-4E94-9467-4E285B49DE6D}"/>
    <hyperlink ref="M78" r:id="rId2" location=":~:text=Steel%20Plate%20Thickness%20and%20Weight%20-%20Imperial%20Units,60%E2%80%9D%20widths%20and%2096%E2%80%9D%2C%20120%E2%80%9D%2C%20and%20144%E2%80%9D%20lengths, accessed on 6-12-2023" xr:uid="{FD11D7CA-86EF-4F65-9B8A-6219AC21FE00}"/>
    <hyperlink ref="M107" r:id="rId3" location=":~:text=Steel%20Plate%20Thickness%20and%20Weight%20-%20Imperial%20Units,60%E2%80%9D%20widths%20and%2096%E2%80%9D%2C%20120%E2%80%9D%2C%20and%20144%E2%80%9D%20lengths, accessed on 6-12-2023" xr:uid="{B6D79BDF-DBEA-4217-BE66-C0C47AC3A137}"/>
    <hyperlink ref="M190" r:id="rId4" location=":~:text=Steel%20Plate%20Thickness%20and%20Weight%20-%20Imperial%20Units,60%E2%80%9D%20widths%20and%2096%E2%80%9D%2C%20120%E2%80%9D%2C%20and%20144%E2%80%9D%20lengths, accessed on 6-12-2023" xr:uid="{15D45B66-E829-4C86-BF89-460CD9914C92}"/>
    <hyperlink ref="M197" r:id="rId5" location=":~:text=Steel%20Plate%20Thickness%20and%20Weight%20-%20Imperial%20Units,60%E2%80%9D%20widths%20and%2096%E2%80%9D%2C%20120%E2%80%9D%2C%20and%20144%E2%80%9D%20lengths, accessed on 6-12-2023" xr:uid="{DF720526-BD00-493E-85D4-5C424F5E8023}"/>
    <hyperlink ref="M321" r:id="rId6" location=":~:text=Steel%20Plate%20Thickness%20and%20Weight%20-%20Imperial%20Units,60%E2%80%9D%20widths%20and%2096%E2%80%9D%2C%20120%E2%80%9D%2C%20and%20144%E2%80%9D%20lengths, accessed on 6-12-2023" xr:uid="{5F137B22-FE71-40C8-926B-EA2790987859}"/>
    <hyperlink ref="M348" r:id="rId7" location=":~:text=Steel%20Plate%20Thickness%20and%20Weight%20-%20Imperial%20Units,60%E2%80%9D%20widths%20and%2096%E2%80%9D%2C%20120%E2%80%9D%2C%20and%20144%E2%80%9D%20lengths, accessed on 6-12-2023" xr:uid="{5C7319C8-2940-4D97-AF84-8CFCF628DA86}"/>
    <hyperlink ref="M352" r:id="rId8" location=":~:text=Steel%20Plate%20Thickness%20and%20Weight%20-%20Imperial%20Units,60%E2%80%9D%20widths%20and%2096%E2%80%9D%2C%20120%E2%80%9D%2C%20and%20144%E2%80%9D%20lengths, accessed on 6-12-2023" xr:uid="{128AF4E4-66AD-4DC1-9358-4359F05F8001}"/>
    <hyperlink ref="M389" r:id="rId9" location=":~:text=Steel%20Plate%20Thickness%20and%20Weight%20-%20Imperial%20Units,60%E2%80%9D%20widths%20and%2096%E2%80%9D%2C%20120%E2%80%9D%2C%20and%20144%E2%80%9D%20lengths, accessed on 6-12-2023" xr:uid="{10612CEE-1A1E-4767-A61E-9B1EF521D5ED}"/>
    <hyperlink ref="M149" r:id="rId10" location=":~:text=Steel%20Plate%20Thickness%20and%20Weight%20-%20Imperial%20Units,60%E2%80%9D%20widths%20and%2096%E2%80%9D%2C%20120%E2%80%9D%2C%20and%20144%E2%80%9D%20lengths, accessed on 6-12-2023" xr:uid="{40594D19-1125-49B6-9589-60D5F66EDD69}"/>
  </hyperlinks>
  <pageMargins left="0.7" right="0.7" top="0.75" bottom="0.75" header="0.3" footer="0.3"/>
  <pageSetup paperSize="9" orientation="portrait" r:id="rId1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B484B-68EE-4DBC-A1AF-D35B0C33459D}">
  <sheetPr>
    <tabColor theme="5" tint="-0.249977111117893"/>
  </sheetPr>
  <dimension ref="A1:BA476"/>
  <sheetViews>
    <sheetView topLeftCell="N397" zoomScale="60" zoomScaleNormal="60" workbookViewId="0">
      <selection activeCell="J476" sqref="A466:J476"/>
    </sheetView>
  </sheetViews>
  <sheetFormatPr defaultColWidth="8.54296875" defaultRowHeight="14.5" outlineLevelRow="1" x14ac:dyDescent="0.35"/>
  <cols>
    <col min="1" max="1" width="37.54296875" style="6" customWidth="1"/>
    <col min="2" max="2" width="16.453125" style="6" bestFit="1" customWidth="1"/>
    <col min="3" max="14" width="10.54296875" style="6" bestFit="1" customWidth="1"/>
    <col min="15" max="16" width="10.1796875" style="6" bestFit="1" customWidth="1"/>
    <col min="17" max="24" width="10.54296875" style="6" bestFit="1" customWidth="1"/>
    <col min="25" max="25" width="10.1796875" style="6" bestFit="1" customWidth="1"/>
    <col min="26" max="26" width="16.453125" style="6" bestFit="1" customWidth="1"/>
    <col min="27" max="27" width="8.54296875" style="6"/>
    <col min="28" max="28" width="35" style="6" bestFit="1" customWidth="1"/>
    <col min="29" max="29" width="16.453125" style="6" bestFit="1" customWidth="1"/>
    <col min="30" max="53" width="12.81640625" style="6" bestFit="1" customWidth="1"/>
    <col min="54" max="16384" width="8.54296875" style="6"/>
  </cols>
  <sheetData>
    <row r="1" spans="1:53" s="139" customFormat="1" ht="21" x14ac:dyDescent="0.5">
      <c r="A1" s="138" t="s">
        <v>692</v>
      </c>
    </row>
    <row r="2" spans="1:53" s="221" customFormat="1" ht="21" x14ac:dyDescent="0.5">
      <c r="A2" s="229" t="s">
        <v>849</v>
      </c>
    </row>
    <row r="3" spans="1:53" s="18" customFormat="1" ht="21" x14ac:dyDescent="0.5">
      <c r="A3" s="18" t="s">
        <v>72</v>
      </c>
    </row>
    <row r="4" spans="1:53" s="20" customFormat="1" outlineLevel="1" x14ac:dyDescent="0.35">
      <c r="A4" s="19" t="s">
        <v>767</v>
      </c>
    </row>
    <row r="5" spans="1:53" s="16" customFormat="1" outlineLevel="1" x14ac:dyDescent="0.35">
      <c r="A5" s="21"/>
      <c r="AB5" s="16" t="s">
        <v>801</v>
      </c>
      <c r="AC5" s="16">
        <v>1</v>
      </c>
      <c r="AD5" s="16" t="s">
        <v>146</v>
      </c>
    </row>
    <row r="6" spans="1:53" s="16" customFormat="1" outlineLevel="1" x14ac:dyDescent="0.35">
      <c r="A6" s="22" t="s">
        <v>566</v>
      </c>
      <c r="AC6" s="16">
        <f>AC5*1000</f>
        <v>1000</v>
      </c>
      <c r="AD6" s="16" t="s">
        <v>144</v>
      </c>
    </row>
    <row r="7" spans="1:53" s="16" customFormat="1" outlineLevel="1" x14ac:dyDescent="0.35">
      <c r="A7" s="22"/>
      <c r="AB7" s="16" t="s">
        <v>127</v>
      </c>
      <c r="AC7" s="16">
        <v>100</v>
      </c>
      <c r="AD7" s="16" t="s">
        <v>128</v>
      </c>
    </row>
    <row r="8" spans="1:53" s="16" customFormat="1" outlineLevel="1" x14ac:dyDescent="0.35">
      <c r="A8" s="22"/>
      <c r="AB8" s="16" t="s">
        <v>129</v>
      </c>
      <c r="AC8" s="16">
        <v>25</v>
      </c>
      <c r="AD8" s="16" t="s">
        <v>130</v>
      </c>
    </row>
    <row r="9" spans="1:53" outlineLevel="1" x14ac:dyDescent="0.35">
      <c r="B9" s="25">
        <v>2030</v>
      </c>
      <c r="C9" s="25">
        <v>2031</v>
      </c>
      <c r="D9" s="25">
        <v>2032</v>
      </c>
      <c r="E9" s="25">
        <v>2033</v>
      </c>
      <c r="F9" s="25">
        <v>2034</v>
      </c>
      <c r="G9" s="25">
        <v>2035</v>
      </c>
      <c r="H9" s="25">
        <v>2036</v>
      </c>
      <c r="I9" s="25">
        <v>2037</v>
      </c>
      <c r="J9" s="25">
        <v>2038</v>
      </c>
      <c r="K9" s="25">
        <v>2039</v>
      </c>
      <c r="L9" s="25">
        <v>2040</v>
      </c>
      <c r="M9" s="25">
        <v>2041</v>
      </c>
      <c r="N9" s="25">
        <v>2042</v>
      </c>
      <c r="O9" s="25">
        <v>2043</v>
      </c>
      <c r="P9" s="25">
        <v>2044</v>
      </c>
      <c r="Q9" s="25">
        <v>2045</v>
      </c>
      <c r="R9" s="25">
        <v>2046</v>
      </c>
      <c r="S9" s="25">
        <v>2047</v>
      </c>
      <c r="T9" s="25">
        <v>2048</v>
      </c>
      <c r="U9" s="25">
        <v>2049</v>
      </c>
      <c r="V9" s="25">
        <v>2050</v>
      </c>
      <c r="W9" s="25">
        <v>2051</v>
      </c>
      <c r="X9" s="25">
        <v>2052</v>
      </c>
      <c r="Y9" s="25">
        <v>2053</v>
      </c>
      <c r="Z9" s="25">
        <v>2054</v>
      </c>
      <c r="AC9" s="25">
        <v>2030</v>
      </c>
      <c r="AD9" s="25">
        <v>2031</v>
      </c>
      <c r="AE9" s="25">
        <v>2032</v>
      </c>
      <c r="AF9" s="25">
        <v>2033</v>
      </c>
      <c r="AG9" s="25">
        <v>2034</v>
      </c>
      <c r="AH9" s="25">
        <v>2035</v>
      </c>
      <c r="AI9" s="25">
        <v>2036</v>
      </c>
      <c r="AJ9" s="25">
        <v>2037</v>
      </c>
      <c r="AK9" s="25">
        <v>2038</v>
      </c>
      <c r="AL9" s="25">
        <v>2039</v>
      </c>
      <c r="AM9" s="25">
        <v>2040</v>
      </c>
      <c r="AN9" s="25">
        <v>2041</v>
      </c>
      <c r="AO9" s="25">
        <v>2042</v>
      </c>
      <c r="AP9" s="25">
        <v>2043</v>
      </c>
      <c r="AQ9" s="25">
        <v>2044</v>
      </c>
      <c r="AR9" s="25">
        <v>2045</v>
      </c>
      <c r="AS9" s="25">
        <v>2046</v>
      </c>
      <c r="AT9" s="25">
        <v>2047</v>
      </c>
      <c r="AU9" s="25">
        <v>2048</v>
      </c>
      <c r="AV9" s="25">
        <v>2049</v>
      </c>
      <c r="AW9" s="25">
        <v>2050</v>
      </c>
      <c r="AX9" s="25">
        <v>2051</v>
      </c>
      <c r="AY9" s="25">
        <v>2052</v>
      </c>
      <c r="AZ9" s="25">
        <v>2053</v>
      </c>
      <c r="BA9" s="25">
        <v>2054</v>
      </c>
    </row>
    <row r="10" spans="1:53" outlineLevel="1" x14ac:dyDescent="0.35">
      <c r="A10" s="6" t="s">
        <v>21</v>
      </c>
      <c r="B10" s="6">
        <f>'Results - raw data ReCiPe (H)'!CC5</f>
        <v>736.5346492975043</v>
      </c>
      <c r="AB10" s="6" t="s">
        <v>117</v>
      </c>
      <c r="AC10" s="6">
        <f>SUM(B10:B21)+B23</f>
        <v>38347.290835764303</v>
      </c>
    </row>
    <row r="11" spans="1:53" outlineLevel="1" x14ac:dyDescent="0.35">
      <c r="A11" s="6" t="s">
        <v>23</v>
      </c>
      <c r="B11" s="6">
        <f>'Results - raw data ReCiPe (H)'!CC6</f>
        <v>964.71070101214207</v>
      </c>
      <c r="AB11" s="6" t="s">
        <v>118</v>
      </c>
      <c r="AC11" s="6">
        <f>B22</f>
        <v>2481.0563584021374</v>
      </c>
    </row>
    <row r="12" spans="1:53" outlineLevel="1" x14ac:dyDescent="0.35">
      <c r="A12" s="6" t="s">
        <v>26</v>
      </c>
      <c r="B12" s="6">
        <f>'Results - raw data ReCiPe (H)'!CC7</f>
        <v>3012.330013181167</v>
      </c>
      <c r="AB12" s="6" t="s">
        <v>119</v>
      </c>
      <c r="BA12" s="6">
        <f>SUM(Z24:Z35)</f>
        <v>691.18373370688425</v>
      </c>
    </row>
    <row r="13" spans="1:53" outlineLevel="1" x14ac:dyDescent="0.35">
      <c r="A13" s="6" t="s">
        <v>28</v>
      </c>
      <c r="B13" s="6">
        <f>'Results - raw data ReCiPe (H)'!CC8</f>
        <v>2745.9417900267481</v>
      </c>
      <c r="AB13" s="6" t="s">
        <v>120</v>
      </c>
      <c r="BA13" s="6">
        <f>Z36</f>
        <v>22.494520912096178</v>
      </c>
    </row>
    <row r="14" spans="1:53" outlineLevel="1" x14ac:dyDescent="0.35">
      <c r="A14" s="6" t="s">
        <v>29</v>
      </c>
      <c r="B14" s="6">
        <f>'Results - raw data ReCiPe (H)'!CC9</f>
        <v>1625.298034289408</v>
      </c>
      <c r="AB14" s="6" t="s">
        <v>121</v>
      </c>
      <c r="AC14" s="6">
        <f>B37</f>
        <v>1186.4815932558031</v>
      </c>
      <c r="AF14" s="6">
        <f>E37</f>
        <v>1175.2724845293581</v>
      </c>
      <c r="AI14" s="6">
        <f>H37</f>
        <v>1172.0887619145631</v>
      </c>
      <c r="AL14" s="6">
        <f>K37</f>
        <v>1171.5419235181971</v>
      </c>
      <c r="AO14" s="6">
        <f>N37</f>
        <v>1176.0346869666</v>
      </c>
      <c r="AR14" s="6">
        <f>Q37</f>
        <v>1180.8592879535349</v>
      </c>
      <c r="AU14" s="6">
        <f>T37</f>
        <v>1165.597336992987</v>
      </c>
      <c r="AX14" s="6">
        <f>W37</f>
        <v>1149.242533712596</v>
      </c>
      <c r="BA14" s="6">
        <f>Z37</f>
        <v>1126.377758844686</v>
      </c>
    </row>
    <row r="15" spans="1:53" outlineLevel="1" x14ac:dyDescent="0.35">
      <c r="A15" s="6" t="s">
        <v>31</v>
      </c>
      <c r="B15" s="6">
        <f>'Results - raw data ReCiPe (H)'!CC10</f>
        <v>1150.5712368961119</v>
      </c>
      <c r="AB15" s="6" t="s">
        <v>122</v>
      </c>
      <c r="AC15" s="6">
        <f>B40+B39</f>
        <v>36734.495656845553</v>
      </c>
      <c r="AD15" s="6">
        <f t="shared" ref="AD15:BA15" si="0">C40+C39</f>
        <v>36705.802152032702</v>
      </c>
      <c r="AE15" s="6">
        <f t="shared" si="0"/>
        <v>36677.329936227477</v>
      </c>
      <c r="AF15" s="6">
        <f t="shared" si="0"/>
        <v>36618.99229773604</v>
      </c>
      <c r="AG15" s="6">
        <f t="shared" si="0"/>
        <v>36591.105469856782</v>
      </c>
      <c r="AH15" s="6">
        <f t="shared" si="0"/>
        <v>36563.265309828312</v>
      </c>
      <c r="AI15" s="6">
        <f t="shared" si="0"/>
        <v>39240.319498199191</v>
      </c>
      <c r="AJ15" s="6">
        <f t="shared" si="0"/>
        <v>41911.667239019072</v>
      </c>
      <c r="AK15" s="6">
        <f t="shared" si="0"/>
        <v>44557.764024419906</v>
      </c>
      <c r="AL15" s="6">
        <f t="shared" si="0"/>
        <v>47220.629336551283</v>
      </c>
      <c r="AM15" s="6">
        <f t="shared" si="0"/>
        <v>49875.089223622163</v>
      </c>
      <c r="AN15" s="6">
        <f t="shared" si="0"/>
        <v>54558.265422112207</v>
      </c>
      <c r="AO15" s="6">
        <f t="shared" si="0"/>
        <v>59242.823156922459</v>
      </c>
      <c r="AP15" s="6">
        <f t="shared" si="0"/>
        <v>63925.13543891225</v>
      </c>
      <c r="AQ15" s="6">
        <f t="shared" si="0"/>
        <v>68612.132681845673</v>
      </c>
      <c r="AR15" s="6">
        <f t="shared" si="0"/>
        <v>73300.410775560464</v>
      </c>
      <c r="AS15" s="6">
        <f t="shared" si="0"/>
        <v>74130.070039558923</v>
      </c>
      <c r="AT15" s="6">
        <f t="shared" si="0"/>
        <v>74959.304908222664</v>
      </c>
      <c r="AU15" s="6">
        <f t="shared" si="0"/>
        <v>75785.007711992759</v>
      </c>
      <c r="AV15" s="6">
        <f t="shared" si="0"/>
        <v>76613.765501983973</v>
      </c>
      <c r="AW15" s="6">
        <f t="shared" si="0"/>
        <v>77442.351857305272</v>
      </c>
      <c r="AX15" s="6">
        <f t="shared" si="0"/>
        <v>76929.198465091424</v>
      </c>
      <c r="AY15" s="6">
        <f t="shared" si="0"/>
        <v>75047.062913840171</v>
      </c>
      <c r="AZ15" s="6">
        <f t="shared" si="0"/>
        <v>73158.834712232681</v>
      </c>
      <c r="BA15" s="6">
        <f t="shared" si="0"/>
        <v>71264.45297187168</v>
      </c>
    </row>
    <row r="16" spans="1:53" outlineLevel="1" x14ac:dyDescent="0.35">
      <c r="A16" s="6" t="s">
        <v>34</v>
      </c>
      <c r="B16" s="6">
        <f>'Results - raw data ReCiPe (H)'!CC11</f>
        <v>772.05259525488657</v>
      </c>
      <c r="AB16" s="6" t="s">
        <v>123</v>
      </c>
      <c r="AC16" s="6">
        <f>B38</f>
        <v>2943.7924966964761</v>
      </c>
      <c r="AD16" s="6">
        <f t="shared" ref="AD16:BA16" si="1">C38</f>
        <v>2937.0897191785971</v>
      </c>
      <c r="AE16" s="6">
        <f t="shared" si="1"/>
        <v>2930.4084088828381</v>
      </c>
      <c r="AF16" s="6">
        <f t="shared" si="1"/>
        <v>2921.021975351232</v>
      </c>
      <c r="AG16" s="6">
        <f t="shared" si="1"/>
        <v>2914.389295446806</v>
      </c>
      <c r="AH16" s="6">
        <f t="shared" si="1"/>
        <v>2907.7604797022491</v>
      </c>
      <c r="AI16" s="6">
        <f t="shared" si="1"/>
        <v>3106.8746566307573</v>
      </c>
      <c r="AJ16" s="6">
        <f t="shared" si="1"/>
        <v>3304.9923424910412</v>
      </c>
      <c r="AK16" s="6">
        <f t="shared" si="1"/>
        <v>3500.3497219968858</v>
      </c>
      <c r="AL16" s="6">
        <f t="shared" si="1"/>
        <v>3696.7044926235994</v>
      </c>
      <c r="AM16" s="6">
        <f t="shared" si="1"/>
        <v>3891.8630991223208</v>
      </c>
      <c r="AN16" s="6">
        <f t="shared" si="1"/>
        <v>4240.1167474471504</v>
      </c>
      <c r="AO16" s="6">
        <f t="shared" si="1"/>
        <v>4587.6836565978592</v>
      </c>
      <c r="AP16" s="6">
        <f t="shared" si="1"/>
        <v>4934.2265970799035</v>
      </c>
      <c r="AQ16" s="6">
        <f t="shared" si="1"/>
        <v>5280.3949676992415</v>
      </c>
      <c r="AR16" s="6">
        <f t="shared" si="1"/>
        <v>5625.8671452773069</v>
      </c>
      <c r="AS16" s="6">
        <f t="shared" si="1"/>
        <v>5682.121447840932</v>
      </c>
      <c r="AT16" s="6">
        <f t="shared" si="1"/>
        <v>5738.221994802364</v>
      </c>
      <c r="AU16" s="6">
        <f t="shared" si="1"/>
        <v>5793.8709780279114</v>
      </c>
      <c r="AV16" s="6">
        <f t="shared" si="1"/>
        <v>5849.6896665628428</v>
      </c>
      <c r="AW16" s="6">
        <f t="shared" si="1"/>
        <v>5905.3714353417108</v>
      </c>
      <c r="AX16" s="6">
        <f t="shared" si="1"/>
        <v>5855.2184391963192</v>
      </c>
      <c r="AY16" s="6">
        <f t="shared" si="1"/>
        <v>5703.600290289929</v>
      </c>
      <c r="AZ16" s="6">
        <f t="shared" si="1"/>
        <v>5552.0855705983431</v>
      </c>
      <c r="BA16" s="6">
        <f t="shared" si="1"/>
        <v>5400.6707487977674</v>
      </c>
    </row>
    <row r="17" spans="1:53" outlineLevel="1" x14ac:dyDescent="0.35">
      <c r="A17" s="6" t="s">
        <v>36</v>
      </c>
      <c r="B17" s="6">
        <f>'Results - raw data ReCiPe (H)'!CC12</f>
        <v>665.02827145034166</v>
      </c>
      <c r="AB17" s="6" t="s">
        <v>124</v>
      </c>
      <c r="AC17" s="6">
        <f>-$AC$7*$AC$6</f>
        <v>-100000</v>
      </c>
      <c r="AD17" s="6">
        <f t="shared" ref="AD17:BA17" si="2">-$AC$7*$AC$6</f>
        <v>-100000</v>
      </c>
      <c r="AE17" s="6">
        <f t="shared" si="2"/>
        <v>-100000</v>
      </c>
      <c r="AF17" s="6">
        <f t="shared" si="2"/>
        <v>-100000</v>
      </c>
      <c r="AG17" s="6">
        <f t="shared" si="2"/>
        <v>-100000</v>
      </c>
      <c r="AH17" s="6">
        <f t="shared" si="2"/>
        <v>-100000</v>
      </c>
      <c r="AI17" s="6">
        <f t="shared" si="2"/>
        <v>-100000</v>
      </c>
      <c r="AJ17" s="6">
        <f t="shared" si="2"/>
        <v>-100000</v>
      </c>
      <c r="AK17" s="6">
        <f t="shared" si="2"/>
        <v>-100000</v>
      </c>
      <c r="AL17" s="6">
        <f t="shared" si="2"/>
        <v>-100000</v>
      </c>
      <c r="AM17" s="6">
        <f t="shared" si="2"/>
        <v>-100000</v>
      </c>
      <c r="AN17" s="6">
        <f t="shared" si="2"/>
        <v>-100000</v>
      </c>
      <c r="AO17" s="6">
        <f t="shared" si="2"/>
        <v>-100000</v>
      </c>
      <c r="AP17" s="6">
        <f t="shared" si="2"/>
        <v>-100000</v>
      </c>
      <c r="AQ17" s="6">
        <f t="shared" si="2"/>
        <v>-100000</v>
      </c>
      <c r="AR17" s="6">
        <f t="shared" si="2"/>
        <v>-100000</v>
      </c>
      <c r="AS17" s="6">
        <f t="shared" si="2"/>
        <v>-100000</v>
      </c>
      <c r="AT17" s="6">
        <f t="shared" si="2"/>
        <v>-100000</v>
      </c>
      <c r="AU17" s="6">
        <f t="shared" si="2"/>
        <v>-100000</v>
      </c>
      <c r="AV17" s="6">
        <f t="shared" si="2"/>
        <v>-100000</v>
      </c>
      <c r="AW17" s="6">
        <f t="shared" si="2"/>
        <v>-100000</v>
      </c>
      <c r="AX17" s="6">
        <f t="shared" si="2"/>
        <v>-100000</v>
      </c>
      <c r="AY17" s="6">
        <f t="shared" si="2"/>
        <v>-100000</v>
      </c>
      <c r="AZ17" s="6">
        <f t="shared" si="2"/>
        <v>-100000</v>
      </c>
      <c r="BA17" s="6">
        <f t="shared" si="2"/>
        <v>-100000</v>
      </c>
    </row>
    <row r="18" spans="1:53" outlineLevel="1" x14ac:dyDescent="0.35">
      <c r="A18" s="6" t="s">
        <v>38</v>
      </c>
      <c r="B18" s="6">
        <f>'Results - raw data ReCiPe (H)'!CC13</f>
        <v>6068.501913397412</v>
      </c>
      <c r="AB18" s="23" t="s">
        <v>125</v>
      </c>
      <c r="AC18" s="17">
        <f>SUM(AC10:AC17)</f>
        <v>-18306.883059035725</v>
      </c>
      <c r="AD18" s="17">
        <f t="shared" ref="AD18:BA18" si="3">SUM(AD10:AD17)</f>
        <v>-60357.108128788699</v>
      </c>
      <c r="AE18" s="17">
        <f t="shared" si="3"/>
        <v>-60392.261654889684</v>
      </c>
      <c r="AF18" s="17">
        <f t="shared" si="3"/>
        <v>-59284.713242383368</v>
      </c>
      <c r="AG18" s="17">
        <f t="shared" si="3"/>
        <v>-60494.505234696415</v>
      </c>
      <c r="AH18" s="17">
        <f t="shared" si="3"/>
        <v>-60528.974210469438</v>
      </c>
      <c r="AI18" s="17">
        <f t="shared" si="3"/>
        <v>-56480.717083255484</v>
      </c>
      <c r="AJ18" s="17">
        <f t="shared" si="3"/>
        <v>-54783.340418489883</v>
      </c>
      <c r="AK18" s="17">
        <f t="shared" si="3"/>
        <v>-51941.886253583209</v>
      </c>
      <c r="AL18" s="17">
        <f t="shared" si="3"/>
        <v>-47911.124247306921</v>
      </c>
      <c r="AM18" s="17">
        <f t="shared" si="3"/>
        <v>-46233.047677255519</v>
      </c>
      <c r="AN18" s="17">
        <f t="shared" si="3"/>
        <v>-41201.617830440642</v>
      </c>
      <c r="AO18" s="17">
        <f t="shared" si="3"/>
        <v>-34993.458499513079</v>
      </c>
      <c r="AP18" s="17">
        <f t="shared" si="3"/>
        <v>-31140.637964007852</v>
      </c>
      <c r="AQ18" s="17">
        <f t="shared" si="3"/>
        <v>-26107.472350455093</v>
      </c>
      <c r="AR18" s="17">
        <f t="shared" si="3"/>
        <v>-19892.862791208696</v>
      </c>
      <c r="AS18" s="17">
        <f t="shared" si="3"/>
        <v>-20187.808512600139</v>
      </c>
      <c r="AT18" s="17">
        <f t="shared" si="3"/>
        <v>-19302.473096974965</v>
      </c>
      <c r="AU18" s="17">
        <f t="shared" si="3"/>
        <v>-17255.523972986339</v>
      </c>
      <c r="AV18" s="17">
        <f t="shared" si="3"/>
        <v>-17536.544831453182</v>
      </c>
      <c r="AW18" s="17">
        <f t="shared" si="3"/>
        <v>-16652.276707353012</v>
      </c>
      <c r="AX18" s="17">
        <f t="shared" si="3"/>
        <v>-16066.340561999663</v>
      </c>
      <c r="AY18" s="17">
        <f t="shared" si="3"/>
        <v>-19249.336795869895</v>
      </c>
      <c r="AZ18" s="17">
        <f t="shared" si="3"/>
        <v>-21289.079717168977</v>
      </c>
      <c r="BA18" s="17">
        <f t="shared" si="3"/>
        <v>-21494.820265866889</v>
      </c>
    </row>
    <row r="19" spans="1:53" outlineLevel="1" x14ac:dyDescent="0.35">
      <c r="A19" s="6" t="s">
        <v>39</v>
      </c>
      <c r="B19" s="6">
        <f>'Results - raw data ReCiPe (H)'!CC14</f>
        <v>11451.41246529284</v>
      </c>
    </row>
    <row r="20" spans="1:53" outlineLevel="1" x14ac:dyDescent="0.35">
      <c r="A20" s="6" t="s">
        <v>41</v>
      </c>
      <c r="B20" s="6">
        <f>'Results - raw data ReCiPe (H)'!CC15</f>
        <v>160.84450915278899</v>
      </c>
    </row>
    <row r="21" spans="1:53" outlineLevel="1" x14ac:dyDescent="0.35">
      <c r="A21" s="6" t="s">
        <v>43</v>
      </c>
      <c r="B21" s="6">
        <f>'Results - raw data ReCiPe (H)'!CC16</f>
        <v>552.22875745518706</v>
      </c>
      <c r="AB21" s="187"/>
      <c r="AC21" s="187"/>
      <c r="AD21" s="187"/>
      <c r="AE21" s="187"/>
      <c r="AF21" s="187"/>
      <c r="AG21" s="187"/>
      <c r="AH21" s="187"/>
      <c r="AI21" s="187"/>
      <c r="AJ21" s="187"/>
      <c r="AK21" s="187"/>
      <c r="AL21" s="187"/>
      <c r="AM21" s="187"/>
      <c r="AN21" s="187"/>
      <c r="AO21" s="187"/>
      <c r="AP21" s="187"/>
      <c r="AQ21" s="187"/>
      <c r="AR21" s="187"/>
      <c r="AS21" s="187"/>
      <c r="AT21" s="187"/>
      <c r="AU21" s="187"/>
      <c r="AV21" s="187"/>
      <c r="AW21" s="187"/>
      <c r="AX21" s="187"/>
      <c r="AY21" s="187"/>
      <c r="AZ21" s="187"/>
      <c r="BA21" s="187"/>
    </row>
    <row r="22" spans="1:53" outlineLevel="1" x14ac:dyDescent="0.35">
      <c r="A22" s="6" t="s">
        <v>44</v>
      </c>
      <c r="B22" s="6">
        <f>'Results - raw data ReCiPe (H)'!CC17*AC7*AC8</f>
        <v>2481.0563584021374</v>
      </c>
      <c r="AB22" s="187"/>
      <c r="AC22" s="187"/>
      <c r="AD22" s="187"/>
      <c r="AE22" s="187"/>
      <c r="AF22" s="187"/>
      <c r="AG22" s="187"/>
      <c r="AH22" s="187"/>
      <c r="AI22" s="187"/>
      <c r="AJ22" s="187"/>
      <c r="AK22" s="187"/>
      <c r="AL22" s="187"/>
      <c r="AM22" s="187"/>
      <c r="AN22" s="187"/>
      <c r="AO22" s="187"/>
      <c r="AP22" s="187"/>
      <c r="AQ22" s="187"/>
      <c r="AR22" s="187"/>
      <c r="AS22" s="187"/>
      <c r="AT22" s="187"/>
      <c r="AU22" s="187"/>
      <c r="AV22" s="187"/>
      <c r="AW22" s="187"/>
      <c r="AX22" s="187"/>
      <c r="AY22" s="187"/>
      <c r="AZ22" s="187"/>
      <c r="BA22" s="187"/>
    </row>
    <row r="23" spans="1:53" outlineLevel="1" x14ac:dyDescent="0.35">
      <c r="A23" s="6" t="s">
        <v>757</v>
      </c>
      <c r="B23" s="6">
        <f>'Results - raw data ReCiPe (H)'!CC18*AC7*AC8</f>
        <v>8441.8358990577635</v>
      </c>
      <c r="AB23" s="187"/>
      <c r="AC23" s="187"/>
      <c r="AD23" s="187"/>
      <c r="AE23" s="187"/>
      <c r="AF23" s="187"/>
      <c r="AG23" s="187"/>
      <c r="AH23" s="187"/>
      <c r="AI23" s="187"/>
      <c r="AJ23" s="187"/>
      <c r="AK23" s="187"/>
      <c r="AL23" s="187"/>
      <c r="AM23" s="187"/>
      <c r="AN23" s="187"/>
      <c r="AO23" s="187"/>
      <c r="AP23" s="187"/>
      <c r="AQ23" s="187"/>
      <c r="AR23" s="187"/>
      <c r="AS23" s="187"/>
      <c r="AT23" s="187"/>
      <c r="AU23" s="187"/>
      <c r="AV23" s="187"/>
      <c r="AW23" s="187"/>
      <c r="AX23" s="187"/>
      <c r="AY23" s="187"/>
      <c r="AZ23" s="187"/>
      <c r="BA23" s="187"/>
    </row>
    <row r="24" spans="1:53" outlineLevel="1" x14ac:dyDescent="0.35">
      <c r="A24" s="6" t="s">
        <v>22</v>
      </c>
      <c r="Z24" s="6">
        <f>'Results - raw data ReCiPe (H)'!DA19</f>
        <v>18.273260416017582</v>
      </c>
      <c r="AB24" s="187"/>
      <c r="AC24" s="187"/>
      <c r="AD24" s="187"/>
      <c r="AE24" s="187"/>
      <c r="AF24" s="187"/>
      <c r="AG24" s="187"/>
      <c r="AH24" s="187"/>
      <c r="AI24" s="187"/>
      <c r="AJ24" s="187"/>
      <c r="AK24" s="187"/>
      <c r="AL24" s="187"/>
      <c r="AM24" s="187"/>
      <c r="AN24" s="187"/>
      <c r="AO24" s="187"/>
      <c r="AP24" s="187"/>
      <c r="AQ24" s="187"/>
      <c r="AR24" s="187"/>
      <c r="AS24" s="187"/>
      <c r="AT24" s="187"/>
      <c r="AU24" s="187"/>
      <c r="AV24" s="187"/>
      <c r="AW24" s="187"/>
      <c r="AX24" s="187"/>
      <c r="AY24" s="187"/>
      <c r="AZ24" s="187"/>
      <c r="BA24" s="187"/>
    </row>
    <row r="25" spans="1:53" outlineLevel="1" x14ac:dyDescent="0.35">
      <c r="A25" s="6" t="s">
        <v>24</v>
      </c>
      <c r="Z25" s="6">
        <f>'Results - raw data ReCiPe (H)'!DA20</f>
        <v>6.9621462523846738</v>
      </c>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row>
    <row r="26" spans="1:53" outlineLevel="1" x14ac:dyDescent="0.35">
      <c r="A26" s="6" t="s">
        <v>25</v>
      </c>
      <c r="Z26" s="6">
        <f>'Results - raw data ReCiPe (H)'!DA21</f>
        <v>24.648328583293029</v>
      </c>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row>
    <row r="27" spans="1:53" outlineLevel="1" x14ac:dyDescent="0.35">
      <c r="A27" s="6" t="s">
        <v>27</v>
      </c>
      <c r="Z27" s="6">
        <f>'Results - raw data ReCiPe (H)'!DA22</f>
        <v>7.5999095268562344</v>
      </c>
      <c r="AB27" s="187"/>
      <c r="AC27" s="187"/>
      <c r="AD27" s="187"/>
      <c r="AE27" s="187"/>
      <c r="AF27" s="187"/>
      <c r="AG27" s="187"/>
      <c r="AH27" s="187"/>
      <c r="AI27" s="187"/>
      <c r="AJ27" s="187"/>
      <c r="AK27" s="187"/>
      <c r="AL27" s="187"/>
      <c r="AM27" s="187"/>
      <c r="AN27" s="187"/>
      <c r="AO27" s="187"/>
      <c r="AP27" s="187"/>
      <c r="AQ27" s="187"/>
      <c r="AR27" s="187"/>
      <c r="AS27" s="187"/>
      <c r="AT27" s="187"/>
      <c r="AU27" s="187"/>
      <c r="AV27" s="187"/>
      <c r="AW27" s="187"/>
      <c r="AX27" s="187"/>
      <c r="AY27" s="187"/>
      <c r="AZ27" s="187"/>
      <c r="BA27" s="187"/>
    </row>
    <row r="28" spans="1:53" outlineLevel="1" x14ac:dyDescent="0.35">
      <c r="A28" s="6" t="s">
        <v>30</v>
      </c>
      <c r="Z28" s="6">
        <f>'Results - raw data ReCiPe (H)'!DA23</f>
        <v>23.823867783595102</v>
      </c>
      <c r="AB28" s="187"/>
      <c r="AC28" s="187"/>
      <c r="AD28" s="187"/>
      <c r="AE28" s="187"/>
      <c r="AF28" s="187"/>
      <c r="AG28" s="187"/>
      <c r="AH28" s="187"/>
      <c r="AI28" s="187"/>
      <c r="AJ28" s="187"/>
      <c r="AK28" s="187"/>
      <c r="AL28" s="187"/>
      <c r="AM28" s="187"/>
      <c r="AN28" s="187"/>
      <c r="AO28" s="187"/>
      <c r="AP28" s="187"/>
      <c r="AQ28" s="187"/>
      <c r="AR28" s="187"/>
      <c r="AS28" s="187"/>
      <c r="AT28" s="187"/>
      <c r="AU28" s="187"/>
      <c r="AV28" s="187"/>
      <c r="AW28" s="187"/>
      <c r="AX28" s="187"/>
      <c r="AY28" s="187"/>
      <c r="AZ28" s="187"/>
      <c r="BA28" s="187"/>
    </row>
    <row r="29" spans="1:53" outlineLevel="1" x14ac:dyDescent="0.35">
      <c r="A29" s="6" t="s">
        <v>32</v>
      </c>
      <c r="Z29" s="6">
        <f>'Results - raw data ReCiPe (H)'!DA24</f>
        <v>0.97716446400496804</v>
      </c>
      <c r="AB29" s="187"/>
      <c r="AC29" s="187"/>
      <c r="AD29" s="187"/>
      <c r="AE29" s="187"/>
      <c r="AF29" s="187"/>
      <c r="AG29" s="187"/>
      <c r="AH29" s="187"/>
      <c r="AI29" s="187"/>
      <c r="AJ29" s="187"/>
      <c r="AK29" s="187"/>
      <c r="AL29" s="187"/>
      <c r="AM29" s="187"/>
      <c r="AN29" s="187"/>
      <c r="AO29" s="187"/>
      <c r="AP29" s="187"/>
      <c r="AQ29" s="187"/>
      <c r="AR29" s="187"/>
      <c r="AS29" s="187"/>
      <c r="AT29" s="187"/>
      <c r="AU29" s="187"/>
      <c r="AV29" s="187"/>
      <c r="AW29" s="187"/>
      <c r="AX29" s="187"/>
      <c r="AY29" s="187"/>
      <c r="AZ29" s="187"/>
      <c r="BA29" s="187"/>
    </row>
    <row r="30" spans="1:53" outlineLevel="1" x14ac:dyDescent="0.35">
      <c r="A30" s="6" t="s">
        <v>33</v>
      </c>
      <c r="Z30" s="6">
        <f>'Results - raw data ReCiPe (H)'!DA25</f>
        <v>5.6942969546537281</v>
      </c>
      <c r="AB30" s="187"/>
      <c r="AC30" s="187"/>
      <c r="AD30" s="187"/>
      <c r="AE30" s="187"/>
      <c r="AF30" s="187"/>
      <c r="AG30" s="187"/>
      <c r="AH30" s="187"/>
      <c r="AI30" s="187"/>
      <c r="AJ30" s="187"/>
      <c r="AK30" s="187"/>
      <c r="AL30" s="187"/>
      <c r="AM30" s="187"/>
      <c r="AN30" s="187"/>
      <c r="AO30" s="187"/>
      <c r="AP30" s="187"/>
      <c r="AQ30" s="187"/>
      <c r="AR30" s="187"/>
      <c r="AS30" s="187"/>
      <c r="AT30" s="187"/>
      <c r="AU30" s="187"/>
      <c r="AV30" s="187"/>
      <c r="AW30" s="187"/>
      <c r="AX30" s="187"/>
      <c r="AY30" s="187"/>
      <c r="AZ30" s="187"/>
      <c r="BA30" s="187"/>
    </row>
    <row r="31" spans="1:53" outlineLevel="1" x14ac:dyDescent="0.35">
      <c r="A31" s="6" t="s">
        <v>35</v>
      </c>
      <c r="Z31" s="6">
        <f>'Results - raw data ReCiPe (H)'!DA26</f>
        <v>11.38859390930746</v>
      </c>
      <c r="AB31" s="187"/>
      <c r="AC31" s="187"/>
      <c r="AD31" s="187"/>
      <c r="AE31" s="187"/>
      <c r="AF31" s="187"/>
      <c r="AG31" s="187"/>
      <c r="AH31" s="187"/>
      <c r="AI31" s="187"/>
      <c r="AJ31" s="187"/>
      <c r="AK31" s="187"/>
      <c r="AL31" s="187"/>
      <c r="AM31" s="187"/>
      <c r="AN31" s="187"/>
      <c r="AO31" s="187"/>
      <c r="AP31" s="187"/>
      <c r="AQ31" s="187"/>
      <c r="AR31" s="187"/>
      <c r="AS31" s="187"/>
      <c r="AT31" s="187"/>
      <c r="AU31" s="187"/>
      <c r="AV31" s="187"/>
      <c r="AW31" s="187"/>
      <c r="AX31" s="187"/>
      <c r="AY31" s="187"/>
      <c r="AZ31" s="187"/>
      <c r="BA31" s="187"/>
    </row>
    <row r="32" spans="1:53" outlineLevel="1" x14ac:dyDescent="0.35">
      <c r="A32" s="6" t="s">
        <v>37</v>
      </c>
      <c r="Z32" s="6">
        <f>'Results - raw data ReCiPe (H)'!DA27</f>
        <v>14.96062171322496</v>
      </c>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row>
    <row r="33" spans="1:30" outlineLevel="1" x14ac:dyDescent="0.35">
      <c r="A33" s="6" t="s">
        <v>40</v>
      </c>
      <c r="Z33" s="6">
        <f>'Results - raw data ReCiPe (H)'!DA28</f>
        <v>285.27572518419629</v>
      </c>
    </row>
    <row r="34" spans="1:30" outlineLevel="1" x14ac:dyDescent="0.35">
      <c r="A34" s="6" t="s">
        <v>42</v>
      </c>
      <c r="Z34" s="6">
        <f>'Results - raw data ReCiPe (H)'!DA29</f>
        <v>30.660919411160531</v>
      </c>
    </row>
    <row r="35" spans="1:30" outlineLevel="1" x14ac:dyDescent="0.35">
      <c r="A35" s="6" t="s">
        <v>115</v>
      </c>
      <c r="Z35" s="6">
        <f>'Results - raw data ReCiPe (H)'!DA30</f>
        <v>260.91889950818972</v>
      </c>
    </row>
    <row r="36" spans="1:30" outlineLevel="1" x14ac:dyDescent="0.35">
      <c r="A36" s="6" t="s">
        <v>45</v>
      </c>
      <c r="Z36" s="6">
        <f>'Results - raw data ReCiPe (H)'!DA31*AC7*AC8</f>
        <v>22.494520912096178</v>
      </c>
    </row>
    <row r="37" spans="1:30" outlineLevel="1" x14ac:dyDescent="0.35">
      <c r="A37" s="6" t="s">
        <v>116</v>
      </c>
      <c r="B37" s="6">
        <f>'Results - raw data ReCiPe (H)'!CC32</f>
        <v>1186.4815932558031</v>
      </c>
      <c r="C37" s="6">
        <f>'Results - raw data ReCiPe (H)'!CD32</f>
        <v>1184.4309868083469</v>
      </c>
      <c r="D37" s="6">
        <f>'Results - raw data ReCiPe (H)'!CE32</f>
        <v>1182.4019980169519</v>
      </c>
      <c r="E37" s="6">
        <f>'Results - raw data ReCiPe (H)'!CF32</f>
        <v>1175.2724845293581</v>
      </c>
      <c r="F37" s="6">
        <f>'Results - raw data ReCiPe (H)'!CG32</f>
        <v>1173.2752967188071</v>
      </c>
      <c r="G37" s="6">
        <f>'Results - raw data ReCiPe (H)'!CH32</f>
        <v>1171.2868602262761</v>
      </c>
      <c r="H37" s="6">
        <f>'Results - raw data ReCiPe (H)'!CI32</f>
        <v>1172.0887619145631</v>
      </c>
      <c r="I37" s="6">
        <f>'Results - raw data ReCiPe (H)'!CJ32</f>
        <v>1172.9075908463119</v>
      </c>
      <c r="J37" s="6">
        <f>'Results - raw data ReCiPe (H)'!CK32</f>
        <v>1170.652414406771</v>
      </c>
      <c r="K37" s="6">
        <f>'Results - raw data ReCiPe (H)'!CL32</f>
        <v>1171.5419235181971</v>
      </c>
      <c r="L37" s="6">
        <f>'Results - raw data ReCiPe (H)'!CM32</f>
        <v>1172.441544749935</v>
      </c>
      <c r="M37" s="6">
        <f>'Results - raw data ReCiPe (H)'!CN32</f>
        <v>1174.231826151836</v>
      </c>
      <c r="N37" s="6">
        <f>'Results - raw data ReCiPe (H)'!CO32</f>
        <v>1176.0346869666</v>
      </c>
      <c r="O37" s="6">
        <f>'Results - raw data ReCiPe (H)'!CP32</f>
        <v>1177.145364002851</v>
      </c>
      <c r="P37" s="6">
        <f>'Results - raw data ReCiPe (H)'!CQ32</f>
        <v>1178.9976005413471</v>
      </c>
      <c r="Q37" s="6">
        <f>'Results - raw data ReCiPe (H)'!CR32</f>
        <v>1180.8592879535349</v>
      </c>
      <c r="R37" s="6">
        <f>'Results - raw data ReCiPe (H)'!CS32</f>
        <v>1176.0256071477111</v>
      </c>
      <c r="S37" s="6">
        <f>'Results - raw data ReCiPe (H)'!CT32</f>
        <v>1171.1769982701601</v>
      </c>
      <c r="T37" s="6">
        <f>'Results - raw data ReCiPe (H)'!CU32</f>
        <v>1165.597336992987</v>
      </c>
      <c r="U37" s="6">
        <f>'Results - raw data ReCiPe (H)'!CV32</f>
        <v>1160.70640988018</v>
      </c>
      <c r="V37" s="6">
        <f>'Results - raw data ReCiPe (H)'!CW32</f>
        <v>1155.786064528553</v>
      </c>
      <c r="W37" s="6">
        <f>'Results - raw data ReCiPe (H)'!CX32</f>
        <v>1149.242533712596</v>
      </c>
      <c r="X37" s="6">
        <f>'Results - raw data ReCiPe (H)'!CY32</f>
        <v>1141.6551910246601</v>
      </c>
      <c r="Y37" s="6">
        <f>'Results - raw data ReCiPe (H)'!CZ32</f>
        <v>1134.033848551484</v>
      </c>
      <c r="Z37" s="6">
        <f>'Results - raw data ReCiPe (H)'!DA32</f>
        <v>1126.377758844686</v>
      </c>
    </row>
    <row r="38" spans="1:30" outlineLevel="1" x14ac:dyDescent="0.35">
      <c r="A38" s="6" t="s">
        <v>758</v>
      </c>
      <c r="B38" s="6">
        <f>'Results - raw data ReCiPe (H)'!CC33*$AC$7</f>
        <v>2943.7924966964761</v>
      </c>
      <c r="C38" s="6">
        <f>'Results - raw data ReCiPe (H)'!CD33*$AC$7</f>
        <v>2937.0897191785971</v>
      </c>
      <c r="D38" s="6">
        <f>'Results - raw data ReCiPe (H)'!CE33*$AC$7</f>
        <v>2930.4084088828381</v>
      </c>
      <c r="E38" s="6">
        <f>'Results - raw data ReCiPe (H)'!CF33*$AC$7</f>
        <v>2921.021975351232</v>
      </c>
      <c r="F38" s="6">
        <f>'Results - raw data ReCiPe (H)'!CG33*$AC$7</f>
        <v>2914.389295446806</v>
      </c>
      <c r="G38" s="6">
        <f>'Results - raw data ReCiPe (H)'!CH33*$AC$7</f>
        <v>2907.7604797022491</v>
      </c>
      <c r="H38" s="6">
        <f>'Results - raw data ReCiPe (H)'!CI33*$AC$7</f>
        <v>3106.8746566307573</v>
      </c>
      <c r="I38" s="6">
        <f>'Results - raw data ReCiPe (H)'!CJ33*$AC$7</f>
        <v>3304.9923424910412</v>
      </c>
      <c r="J38" s="6">
        <f>'Results - raw data ReCiPe (H)'!CK33*$AC$7</f>
        <v>3500.3497219968858</v>
      </c>
      <c r="K38" s="6">
        <f>'Results - raw data ReCiPe (H)'!CL33*$AC$7</f>
        <v>3696.7044926235994</v>
      </c>
      <c r="L38" s="6">
        <f>'Results - raw data ReCiPe (H)'!CM33*$AC$7</f>
        <v>3891.8630991223208</v>
      </c>
      <c r="M38" s="6">
        <f>'Results - raw data ReCiPe (H)'!CN33*$AC$7</f>
        <v>4240.1167474471504</v>
      </c>
      <c r="N38" s="6">
        <f>'Results - raw data ReCiPe (H)'!CO33*$AC$7</f>
        <v>4587.6836565978592</v>
      </c>
      <c r="O38" s="6">
        <f>'Results - raw data ReCiPe (H)'!CP33*$AC$7</f>
        <v>4934.2265970799035</v>
      </c>
      <c r="P38" s="6">
        <f>'Results - raw data ReCiPe (H)'!CQ33*$AC$7</f>
        <v>5280.3949676992415</v>
      </c>
      <c r="Q38" s="6">
        <f>'Results - raw data ReCiPe (H)'!CR33*$AC$7</f>
        <v>5625.8671452773069</v>
      </c>
      <c r="R38" s="6">
        <f>'Results - raw data ReCiPe (H)'!CS33*$AC$7</f>
        <v>5682.121447840932</v>
      </c>
      <c r="S38" s="6">
        <f>'Results - raw data ReCiPe (H)'!CT33*$AC$7</f>
        <v>5738.221994802364</v>
      </c>
      <c r="T38" s="6">
        <f>'Results - raw data ReCiPe (H)'!CU33*$AC$7</f>
        <v>5793.8709780279114</v>
      </c>
      <c r="U38" s="6">
        <f>'Results - raw data ReCiPe (H)'!CV33*$AC$7</f>
        <v>5849.6896665628428</v>
      </c>
      <c r="V38" s="6">
        <f>'Results - raw data ReCiPe (H)'!CW33*$AC$7</f>
        <v>5905.3714353417108</v>
      </c>
      <c r="W38" s="6">
        <f>'Results - raw data ReCiPe (H)'!CX33*$AC$7</f>
        <v>5855.2184391963192</v>
      </c>
      <c r="X38" s="6">
        <f>'Results - raw data ReCiPe (H)'!CY33*$AC$7</f>
        <v>5703.600290289929</v>
      </c>
      <c r="Y38" s="6">
        <f>'Results - raw data ReCiPe (H)'!CZ33*$AC$7</f>
        <v>5552.0855705983431</v>
      </c>
      <c r="Z38" s="6">
        <f>'Results - raw data ReCiPe (H)'!DA33*$AC$7</f>
        <v>5400.6707487977674</v>
      </c>
    </row>
    <row r="39" spans="1:30" outlineLevel="1" x14ac:dyDescent="0.35">
      <c r="A39" s="6" t="s">
        <v>759</v>
      </c>
      <c r="B39" s="6">
        <f>'Results - raw data ReCiPe (H)'!CC34</f>
        <v>0</v>
      </c>
      <c r="C39" s="6">
        <f>'Results - raw data ReCiPe (H)'!CD34</f>
        <v>0</v>
      </c>
      <c r="D39" s="6">
        <f>'Results - raw data ReCiPe (H)'!CE34</f>
        <v>0</v>
      </c>
      <c r="E39" s="6">
        <f>'Results - raw data ReCiPe (H)'!CF34</f>
        <v>0</v>
      </c>
      <c r="F39" s="6">
        <f>'Results - raw data ReCiPe (H)'!CG34</f>
        <v>0</v>
      </c>
      <c r="G39" s="6">
        <f>'Results - raw data ReCiPe (H)'!CH34</f>
        <v>0</v>
      </c>
      <c r="H39" s="6">
        <f>'Results - raw data ReCiPe (H)'!CI34</f>
        <v>0</v>
      </c>
      <c r="I39" s="6">
        <f>'Results - raw data ReCiPe (H)'!CJ34</f>
        <v>0</v>
      </c>
      <c r="J39" s="6">
        <f>'Results - raw data ReCiPe (H)'!CK34</f>
        <v>0</v>
      </c>
      <c r="K39" s="6">
        <f>'Results - raw data ReCiPe (H)'!CL34</f>
        <v>0</v>
      </c>
      <c r="L39" s="6">
        <f>'Results - raw data ReCiPe (H)'!CM34</f>
        <v>0</v>
      </c>
      <c r="M39" s="6">
        <f>'Results - raw data ReCiPe (H)'!CN34</f>
        <v>0</v>
      </c>
      <c r="N39" s="6">
        <f>'Results - raw data ReCiPe (H)'!CO34</f>
        <v>0</v>
      </c>
      <c r="O39" s="6">
        <f>'Results - raw data ReCiPe (H)'!CP34</f>
        <v>0</v>
      </c>
      <c r="P39" s="6">
        <f>'Results - raw data ReCiPe (H)'!CQ34</f>
        <v>0</v>
      </c>
      <c r="Q39" s="6">
        <f>'Results - raw data ReCiPe (H)'!CR34</f>
        <v>0</v>
      </c>
      <c r="R39" s="6">
        <f>'Results - raw data ReCiPe (H)'!CS34</f>
        <v>0</v>
      </c>
      <c r="S39" s="6">
        <f>'Results - raw data ReCiPe (H)'!CT34</f>
        <v>0</v>
      </c>
      <c r="T39" s="6">
        <f>'Results - raw data ReCiPe (H)'!CU34</f>
        <v>0</v>
      </c>
      <c r="U39" s="6">
        <f>'Results - raw data ReCiPe (H)'!CV34</f>
        <v>0</v>
      </c>
      <c r="V39" s="6">
        <f>'Results - raw data ReCiPe (H)'!CW34</f>
        <v>0</v>
      </c>
      <c r="W39" s="6">
        <f>'Results - raw data ReCiPe (H)'!CX34</f>
        <v>0</v>
      </c>
      <c r="X39" s="6">
        <f>'Results - raw data ReCiPe (H)'!CY34</f>
        <v>0</v>
      </c>
      <c r="Y39" s="6">
        <f>'Results - raw data ReCiPe (H)'!CZ34</f>
        <v>0</v>
      </c>
      <c r="Z39" s="6">
        <f>'Results - raw data ReCiPe (H)'!DA34</f>
        <v>0</v>
      </c>
    </row>
    <row r="40" spans="1:30" outlineLevel="1" x14ac:dyDescent="0.35">
      <c r="A40" s="6" t="s">
        <v>760</v>
      </c>
      <c r="B40" s="6">
        <f>'Results - raw data ReCiPe (H)'!CC35</f>
        <v>36734.495656845553</v>
      </c>
      <c r="C40" s="6">
        <f>'Results - raw data ReCiPe (H)'!CD35</f>
        <v>36705.802152032702</v>
      </c>
      <c r="D40" s="6">
        <f>'Results - raw data ReCiPe (H)'!CE35</f>
        <v>36677.329936227477</v>
      </c>
      <c r="E40" s="6">
        <f>'Results - raw data ReCiPe (H)'!CF35</f>
        <v>36618.99229773604</v>
      </c>
      <c r="F40" s="6">
        <f>'Results - raw data ReCiPe (H)'!CG35</f>
        <v>36591.105469856782</v>
      </c>
      <c r="G40" s="6">
        <f>'Results - raw data ReCiPe (H)'!CH35</f>
        <v>36563.265309828312</v>
      </c>
      <c r="H40" s="6">
        <f>'Results - raw data ReCiPe (H)'!CI35</f>
        <v>39240.319498199191</v>
      </c>
      <c r="I40" s="6">
        <f>'Results - raw data ReCiPe (H)'!CJ35</f>
        <v>41911.667239019072</v>
      </c>
      <c r="J40" s="6">
        <f>'Results - raw data ReCiPe (H)'!CK35</f>
        <v>44557.764024419906</v>
      </c>
      <c r="K40" s="6">
        <f>'Results - raw data ReCiPe (H)'!CL35</f>
        <v>47220.629336551283</v>
      </c>
      <c r="L40" s="6">
        <f>'Results - raw data ReCiPe (H)'!CM35</f>
        <v>49875.089223622163</v>
      </c>
      <c r="M40" s="6">
        <f>'Results - raw data ReCiPe (H)'!CN35</f>
        <v>54558.265422112207</v>
      </c>
      <c r="N40" s="6">
        <f>'Results - raw data ReCiPe (H)'!CO35</f>
        <v>59242.823156922459</v>
      </c>
      <c r="O40" s="6">
        <f>'Results - raw data ReCiPe (H)'!CP35</f>
        <v>63925.13543891225</v>
      </c>
      <c r="P40" s="6">
        <f>'Results - raw data ReCiPe (H)'!CQ35</f>
        <v>68612.132681845673</v>
      </c>
      <c r="Q40" s="6">
        <f>'Results - raw data ReCiPe (H)'!CR35</f>
        <v>73300.410775560464</v>
      </c>
      <c r="R40" s="6">
        <f>'Results - raw data ReCiPe (H)'!CS35</f>
        <v>74130.070039558923</v>
      </c>
      <c r="S40" s="6">
        <f>'Results - raw data ReCiPe (H)'!CT35</f>
        <v>74959.304908222664</v>
      </c>
      <c r="T40" s="6">
        <f>'Results - raw data ReCiPe (H)'!CU35</f>
        <v>75785.007711992759</v>
      </c>
      <c r="U40" s="6">
        <f>'Results - raw data ReCiPe (H)'!CV35</f>
        <v>76613.765501983973</v>
      </c>
      <c r="V40" s="6">
        <f>'Results - raw data ReCiPe (H)'!CW35</f>
        <v>77442.351857305272</v>
      </c>
      <c r="W40" s="6">
        <f>'Results - raw data ReCiPe (H)'!CX35</f>
        <v>76929.198465091424</v>
      </c>
      <c r="X40" s="6">
        <f>'Results - raw data ReCiPe (H)'!CY35</f>
        <v>75047.062913840171</v>
      </c>
      <c r="Y40" s="6">
        <f>'Results - raw data ReCiPe (H)'!CZ35</f>
        <v>73158.834712232681</v>
      </c>
      <c r="Z40" s="6">
        <f>'Results - raw data ReCiPe (H)'!DA35</f>
        <v>71264.45297187168</v>
      </c>
    </row>
    <row r="41" spans="1:30" outlineLevel="1" x14ac:dyDescent="0.35">
      <c r="A41" s="23" t="s">
        <v>125</v>
      </c>
      <c r="B41" s="17">
        <f>SUM(B10:B40)</f>
        <v>81693.116940964275</v>
      </c>
      <c r="C41" s="17">
        <f>SUM(C10:C40)</f>
        <v>40827.322858019645</v>
      </c>
      <c r="D41" s="17">
        <f>SUM(D10:D40)</f>
        <v>40790.14034312727</v>
      </c>
      <c r="E41" s="17">
        <f>SUM(E10:E40)</f>
        <v>40715.286757616632</v>
      </c>
      <c r="F41" s="17">
        <f>SUM(F10:F40)</f>
        <v>40678.770062022399</v>
      </c>
      <c r="G41" s="17">
        <f t="shared" ref="G41:Z41" si="4">SUM(G10:G40)</f>
        <v>40642.312649756837</v>
      </c>
      <c r="H41" s="17">
        <f t="shared" si="4"/>
        <v>43519.282916744509</v>
      </c>
      <c r="I41" s="17">
        <f t="shared" si="4"/>
        <v>46389.567172356423</v>
      </c>
      <c r="J41" s="17">
        <f t="shared" si="4"/>
        <v>49228.766160823565</v>
      </c>
      <c r="K41" s="17">
        <f t="shared" si="4"/>
        <v>52088.875752693079</v>
      </c>
      <c r="L41" s="17">
        <f t="shared" si="4"/>
        <v>54939.393867494422</v>
      </c>
      <c r="M41" s="17">
        <f t="shared" si="4"/>
        <v>59972.613995711195</v>
      </c>
      <c r="N41" s="17">
        <f t="shared" si="4"/>
        <v>65006.541500486921</v>
      </c>
      <c r="O41" s="17">
        <f t="shared" si="4"/>
        <v>70036.507399995011</v>
      </c>
      <c r="P41" s="17">
        <f t="shared" si="4"/>
        <v>75071.525250086255</v>
      </c>
      <c r="Q41" s="17">
        <f t="shared" si="4"/>
        <v>80107.137208791304</v>
      </c>
      <c r="R41" s="17">
        <f t="shared" si="4"/>
        <v>80988.217094547566</v>
      </c>
      <c r="S41" s="17">
        <f t="shared" si="4"/>
        <v>81868.703901295186</v>
      </c>
      <c r="T41" s="17">
        <f t="shared" si="4"/>
        <v>82744.476027013661</v>
      </c>
      <c r="U41" s="17">
        <f t="shared" si="4"/>
        <v>83624.161578426996</v>
      </c>
      <c r="V41" s="17">
        <f t="shared" si="4"/>
        <v>84503.509357175528</v>
      </c>
      <c r="W41" s="17">
        <f t="shared" si="4"/>
        <v>83933.659438000337</v>
      </c>
      <c r="X41" s="17">
        <f t="shared" si="4"/>
        <v>81892.318395154754</v>
      </c>
      <c r="Y41" s="17">
        <f t="shared" si="4"/>
        <v>79844.954131382503</v>
      </c>
      <c r="Z41" s="17">
        <f t="shared" si="4"/>
        <v>78505.179734133111</v>
      </c>
    </row>
    <row r="42" spans="1:30" outlineLevel="1" x14ac:dyDescent="0.35"/>
    <row r="43" spans="1:30" s="18" customFormat="1" ht="21" x14ac:dyDescent="0.5">
      <c r="A43" s="18" t="s">
        <v>73</v>
      </c>
    </row>
    <row r="44" spans="1:30" s="20" customFormat="1" outlineLevel="1" x14ac:dyDescent="0.35">
      <c r="A44" s="19" t="s">
        <v>767</v>
      </c>
    </row>
    <row r="45" spans="1:30" s="16" customFormat="1" outlineLevel="1" x14ac:dyDescent="0.35">
      <c r="A45" s="21"/>
      <c r="AB45" s="16" t="s">
        <v>801</v>
      </c>
      <c r="AC45" s="16">
        <v>1</v>
      </c>
      <c r="AD45" s="16" t="s">
        <v>146</v>
      </c>
    </row>
    <row r="46" spans="1:30" s="16" customFormat="1" outlineLevel="1" x14ac:dyDescent="0.35">
      <c r="A46" s="22" t="s">
        <v>566</v>
      </c>
      <c r="AC46" s="16">
        <f>AC45*1000</f>
        <v>1000</v>
      </c>
      <c r="AD46" s="16" t="s">
        <v>144</v>
      </c>
    </row>
    <row r="47" spans="1:30" s="16" customFormat="1" outlineLevel="1" x14ac:dyDescent="0.35">
      <c r="A47" s="22"/>
      <c r="AB47" s="16" t="s">
        <v>127</v>
      </c>
      <c r="AC47" s="16">
        <v>100</v>
      </c>
      <c r="AD47" s="16" t="s">
        <v>128</v>
      </c>
    </row>
    <row r="48" spans="1:30" s="16" customFormat="1" outlineLevel="1" x14ac:dyDescent="0.35">
      <c r="A48" s="22"/>
      <c r="AB48" s="16" t="s">
        <v>129</v>
      </c>
      <c r="AC48" s="16">
        <v>25</v>
      </c>
      <c r="AD48" s="16" t="s">
        <v>130</v>
      </c>
    </row>
    <row r="49" spans="1:53" outlineLevel="1" x14ac:dyDescent="0.35">
      <c r="B49" s="25">
        <v>2030</v>
      </c>
      <c r="C49" s="25">
        <v>2031</v>
      </c>
      <c r="D49" s="25">
        <v>2032</v>
      </c>
      <c r="E49" s="25">
        <v>2033</v>
      </c>
      <c r="F49" s="25">
        <v>2034</v>
      </c>
      <c r="G49" s="25">
        <v>2035</v>
      </c>
      <c r="H49" s="25">
        <v>2036</v>
      </c>
      <c r="I49" s="25">
        <v>2037</v>
      </c>
      <c r="J49" s="25">
        <v>2038</v>
      </c>
      <c r="K49" s="25">
        <v>2039</v>
      </c>
      <c r="L49" s="25">
        <v>2040</v>
      </c>
      <c r="M49" s="25">
        <v>2041</v>
      </c>
      <c r="N49" s="25">
        <v>2042</v>
      </c>
      <c r="O49" s="25">
        <v>2043</v>
      </c>
      <c r="P49" s="25">
        <v>2044</v>
      </c>
      <c r="Q49" s="25">
        <v>2045</v>
      </c>
      <c r="R49" s="25">
        <v>2046</v>
      </c>
      <c r="S49" s="25">
        <v>2047</v>
      </c>
      <c r="T49" s="25">
        <v>2048</v>
      </c>
      <c r="U49" s="25">
        <v>2049</v>
      </c>
      <c r="V49" s="25">
        <v>2050</v>
      </c>
      <c r="W49" s="25">
        <v>2051</v>
      </c>
      <c r="X49" s="25">
        <v>2052</v>
      </c>
      <c r="Y49" s="25">
        <v>2053</v>
      </c>
      <c r="Z49" s="25">
        <v>2054</v>
      </c>
      <c r="AC49" s="25">
        <v>2030</v>
      </c>
      <c r="AD49" s="25">
        <v>2031</v>
      </c>
      <c r="AE49" s="25">
        <v>2032</v>
      </c>
      <c r="AF49" s="25">
        <v>2033</v>
      </c>
      <c r="AG49" s="25">
        <v>2034</v>
      </c>
      <c r="AH49" s="25">
        <v>2035</v>
      </c>
      <c r="AI49" s="25">
        <v>2036</v>
      </c>
      <c r="AJ49" s="25">
        <v>2037</v>
      </c>
      <c r="AK49" s="25">
        <v>2038</v>
      </c>
      <c r="AL49" s="25">
        <v>2039</v>
      </c>
      <c r="AM49" s="25">
        <v>2040</v>
      </c>
      <c r="AN49" s="25">
        <v>2041</v>
      </c>
      <c r="AO49" s="25">
        <v>2042</v>
      </c>
      <c r="AP49" s="25">
        <v>2043</v>
      </c>
      <c r="AQ49" s="25">
        <v>2044</v>
      </c>
      <c r="AR49" s="25">
        <v>2045</v>
      </c>
      <c r="AS49" s="25">
        <v>2046</v>
      </c>
      <c r="AT49" s="25">
        <v>2047</v>
      </c>
      <c r="AU49" s="25">
        <v>2048</v>
      </c>
      <c r="AV49" s="25">
        <v>2049</v>
      </c>
      <c r="AW49" s="25">
        <v>2050</v>
      </c>
      <c r="AX49" s="25">
        <v>2051</v>
      </c>
      <c r="AY49" s="25">
        <v>2052</v>
      </c>
      <c r="AZ49" s="25">
        <v>2053</v>
      </c>
      <c r="BA49" s="25">
        <v>2054</v>
      </c>
    </row>
    <row r="50" spans="1:53" outlineLevel="1" x14ac:dyDescent="0.35">
      <c r="A50" s="6" t="s">
        <v>21</v>
      </c>
      <c r="B50" s="6">
        <f>'Results - raw data ReCiPe (H)'!CC41</f>
        <v>664.0801386284005</v>
      </c>
      <c r="AB50" s="6" t="s">
        <v>117</v>
      </c>
      <c r="AC50" s="6">
        <f>SUM(B50:B61)+B63</f>
        <v>35571.801809533943</v>
      </c>
    </row>
    <row r="51" spans="1:53" outlineLevel="1" x14ac:dyDescent="0.35">
      <c r="A51" s="6" t="s">
        <v>23</v>
      </c>
      <c r="B51" s="6">
        <f>'Results - raw data ReCiPe (H)'!CC42</f>
        <v>880.72967752235445</v>
      </c>
      <c r="AB51" s="6" t="s">
        <v>118</v>
      </c>
      <c r="AC51" s="6">
        <f>B62</f>
        <v>2321.3557239996653</v>
      </c>
    </row>
    <row r="52" spans="1:53" outlineLevel="1" x14ac:dyDescent="0.35">
      <c r="A52" s="6" t="s">
        <v>26</v>
      </c>
      <c r="B52" s="6">
        <f>'Results - raw data ReCiPe (H)'!CC43</f>
        <v>2726.2435258181008</v>
      </c>
      <c r="AB52" s="6" t="s">
        <v>119</v>
      </c>
      <c r="BA52" s="6">
        <f>SUM(Z64:Z75)</f>
        <v>578.38595176265494</v>
      </c>
    </row>
    <row r="53" spans="1:53" outlineLevel="1" x14ac:dyDescent="0.35">
      <c r="A53" s="6" t="s">
        <v>28</v>
      </c>
      <c r="B53" s="6">
        <f>'Results - raw data ReCiPe (H)'!CC44</f>
        <v>2535.5148250076131</v>
      </c>
      <c r="AB53" s="6" t="s">
        <v>120</v>
      </c>
      <c r="BA53" s="6">
        <f>Z76</f>
        <v>20.958999559062121</v>
      </c>
    </row>
    <row r="54" spans="1:53" outlineLevel="1" x14ac:dyDescent="0.35">
      <c r="A54" s="6" t="s">
        <v>29</v>
      </c>
      <c r="B54" s="6">
        <f>'Results - raw data ReCiPe (H)'!CC45</f>
        <v>1516.390580972007</v>
      </c>
      <c r="AB54" s="6" t="s">
        <v>121</v>
      </c>
      <c r="AC54" s="6">
        <f>B77</f>
        <v>1148.3409729516229</v>
      </c>
      <c r="AF54" s="6">
        <f>E77</f>
        <v>1112.2182425813739</v>
      </c>
      <c r="AI54" s="6">
        <f>H77</f>
        <v>1076.9191461281321</v>
      </c>
      <c r="AL54" s="6">
        <f>K77</f>
        <v>1031.286216035297</v>
      </c>
      <c r="AO54" s="6">
        <f>N77</f>
        <v>977.44851845379105</v>
      </c>
      <c r="AR54" s="6">
        <f>Q77</f>
        <v>917.987027187487</v>
      </c>
      <c r="AU54" s="6">
        <f>T77</f>
        <v>875.86379727760391</v>
      </c>
      <c r="AX54" s="6">
        <f>W77</f>
        <v>846.3879160889735</v>
      </c>
      <c r="BA54" s="6">
        <f>Z77</f>
        <v>839.0363303143256</v>
      </c>
    </row>
    <row r="55" spans="1:53" outlineLevel="1" x14ac:dyDescent="0.35">
      <c r="A55" s="6" t="s">
        <v>31</v>
      </c>
      <c r="B55" s="6">
        <f>'Results - raw data ReCiPe (H)'!CC46</f>
        <v>1090.8211920973019</v>
      </c>
      <c r="AB55" s="6" t="s">
        <v>122</v>
      </c>
      <c r="AC55" s="6">
        <f>B80+B79</f>
        <v>31719.42420891019</v>
      </c>
      <c r="AD55" s="6">
        <f t="shared" ref="AD55:BA55" si="5">C80+C79</f>
        <v>29615.067212715021</v>
      </c>
      <c r="AE55" s="6">
        <f t="shared" si="5"/>
        <v>27511.55424373363</v>
      </c>
      <c r="AF55" s="6">
        <f t="shared" si="5"/>
        <v>25376.522327277871</v>
      </c>
      <c r="AG55" s="6">
        <f t="shared" si="5"/>
        <v>23274.096743693699</v>
      </c>
      <c r="AH55" s="6">
        <f t="shared" si="5"/>
        <v>21171.9224630998</v>
      </c>
      <c r="AI55" s="6">
        <f t="shared" si="5"/>
        <v>19494.08719520552</v>
      </c>
      <c r="AJ55" s="6">
        <f t="shared" si="5"/>
        <v>17819.456292159281</v>
      </c>
      <c r="AK55" s="6">
        <f t="shared" si="5"/>
        <v>16120.37980492665</v>
      </c>
      <c r="AL55" s="6">
        <f t="shared" si="5"/>
        <v>14447.550212391679</v>
      </c>
      <c r="AM55" s="6">
        <f t="shared" si="5"/>
        <v>12774.972356630589</v>
      </c>
      <c r="AN55" s="6">
        <f t="shared" si="5"/>
        <v>11430.748925640561</v>
      </c>
      <c r="AO55" s="6">
        <f t="shared" si="5"/>
        <v>10081.27410312286</v>
      </c>
      <c r="AP55" s="6">
        <f t="shared" si="5"/>
        <v>8721.1894502593204</v>
      </c>
      <c r="AQ55" s="6">
        <f t="shared" si="5"/>
        <v>7361.43824243366</v>
      </c>
      <c r="AR55" s="6">
        <f t="shared" si="5"/>
        <v>5996.6556679204514</v>
      </c>
      <c r="AS55" s="6">
        <f t="shared" si="5"/>
        <v>5258.5143779775881</v>
      </c>
      <c r="AT55" s="6">
        <f t="shared" si="5"/>
        <v>4520.3310015196421</v>
      </c>
      <c r="AU55" s="6">
        <f t="shared" si="5"/>
        <v>3777.4875783923999</v>
      </c>
      <c r="AV55" s="6">
        <f t="shared" si="5"/>
        <v>3039.441726812468</v>
      </c>
      <c r="AW55" s="6">
        <f t="shared" si="5"/>
        <v>2301.7728813207682</v>
      </c>
      <c r="AX55" s="6">
        <f t="shared" si="5"/>
        <v>2034.41682845842</v>
      </c>
      <c r="AY55" s="6">
        <f t="shared" si="5"/>
        <v>1744.3514068857951</v>
      </c>
      <c r="AZ55" s="6">
        <f t="shared" si="5"/>
        <v>1453.308202973933</v>
      </c>
      <c r="BA55" s="6">
        <f t="shared" si="5"/>
        <v>1161.2637139228491</v>
      </c>
    </row>
    <row r="56" spans="1:53" outlineLevel="1" x14ac:dyDescent="0.35">
      <c r="A56" s="6" t="s">
        <v>34</v>
      </c>
      <c r="B56" s="6">
        <f>'Results - raw data ReCiPe (H)'!CC47</f>
        <v>720.17360726585548</v>
      </c>
      <c r="AB56" s="6" t="s">
        <v>123</v>
      </c>
      <c r="AC56" s="6">
        <f t="shared" ref="AC56:BA56" si="6">B78</f>
        <v>2542.97481093942</v>
      </c>
      <c r="AD56" s="6">
        <f t="shared" si="6"/>
        <v>2376.1908223022351</v>
      </c>
      <c r="AE56" s="6">
        <f t="shared" si="6"/>
        <v>2210.198356481329</v>
      </c>
      <c r="AF56" s="6">
        <f t="shared" si="6"/>
        <v>2042.1089575522349</v>
      </c>
      <c r="AG56" s="6">
        <f t="shared" si="6"/>
        <v>1877.6504775339711</v>
      </c>
      <c r="AH56" s="6">
        <f t="shared" si="6"/>
        <v>1713.9317286688911</v>
      </c>
      <c r="AI56" s="6">
        <f t="shared" si="6"/>
        <v>1584.1543394014241</v>
      </c>
      <c r="AJ56" s="6">
        <f t="shared" si="6"/>
        <v>1454.8948646449719</v>
      </c>
      <c r="AK56" s="6">
        <f t="shared" si="6"/>
        <v>1323.7820438900601</v>
      </c>
      <c r="AL56" s="6">
        <f t="shared" si="6"/>
        <v>1195.1988527569281</v>
      </c>
      <c r="AM56" s="6">
        <f t="shared" si="6"/>
        <v>1066.8976244184651</v>
      </c>
      <c r="AN56" s="6">
        <f t="shared" si="6"/>
        <v>963.58440519466842</v>
      </c>
      <c r="AO56" s="6">
        <f t="shared" si="6"/>
        <v>859.91567497999529</v>
      </c>
      <c r="AP56" s="6">
        <f t="shared" si="6"/>
        <v>755.41292956805273</v>
      </c>
      <c r="AQ56" s="6">
        <f t="shared" si="6"/>
        <v>651.04604210442778</v>
      </c>
      <c r="AR56" s="6">
        <f t="shared" si="6"/>
        <v>546.33480393535831</v>
      </c>
      <c r="AS56" s="6">
        <f t="shared" si="6"/>
        <v>489.39242557480054</v>
      </c>
      <c r="AT56" s="6">
        <f t="shared" si="6"/>
        <v>432.29621235982074</v>
      </c>
      <c r="AU56" s="6">
        <f t="shared" si="6"/>
        <v>374.6375724780944</v>
      </c>
      <c r="AV56" s="6">
        <f t="shared" si="6"/>
        <v>317.244406053852</v>
      </c>
      <c r="AW56" s="6">
        <f t="shared" si="6"/>
        <v>259.72292994022592</v>
      </c>
      <c r="AX56" s="6">
        <f t="shared" si="6"/>
        <v>239.30004870743892</v>
      </c>
      <c r="AY56" s="6">
        <f t="shared" si="6"/>
        <v>217.20126571922478</v>
      </c>
      <c r="AZ56" s="6">
        <f t="shared" si="6"/>
        <v>195.09716023618199</v>
      </c>
      <c r="BA56" s="6">
        <f t="shared" si="6"/>
        <v>172.9858048397322</v>
      </c>
    </row>
    <row r="57" spans="1:53" outlineLevel="1" x14ac:dyDescent="0.35">
      <c r="A57" s="6" t="s">
        <v>36</v>
      </c>
      <c r="B57" s="6">
        <f>'Results - raw data ReCiPe (H)'!CC48</f>
        <v>600.64271598941855</v>
      </c>
      <c r="AB57" s="6" t="s">
        <v>124</v>
      </c>
      <c r="AC57" s="6">
        <f>-$AC$7*$AC$6</f>
        <v>-100000</v>
      </c>
      <c r="AD57" s="6">
        <f t="shared" ref="AD57:BA57" si="7">-$AC$7*$AC$6</f>
        <v>-100000</v>
      </c>
      <c r="AE57" s="6">
        <f t="shared" si="7"/>
        <v>-100000</v>
      </c>
      <c r="AF57" s="6">
        <f t="shared" si="7"/>
        <v>-100000</v>
      </c>
      <c r="AG57" s="6">
        <f t="shared" si="7"/>
        <v>-100000</v>
      </c>
      <c r="AH57" s="6">
        <f t="shared" si="7"/>
        <v>-100000</v>
      </c>
      <c r="AI57" s="6">
        <f t="shared" si="7"/>
        <v>-100000</v>
      </c>
      <c r="AJ57" s="6">
        <f t="shared" si="7"/>
        <v>-100000</v>
      </c>
      <c r="AK57" s="6">
        <f t="shared" si="7"/>
        <v>-100000</v>
      </c>
      <c r="AL57" s="6">
        <f t="shared" si="7"/>
        <v>-100000</v>
      </c>
      <c r="AM57" s="6">
        <f t="shared" si="7"/>
        <v>-100000</v>
      </c>
      <c r="AN57" s="6">
        <f t="shared" si="7"/>
        <v>-100000</v>
      </c>
      <c r="AO57" s="6">
        <f t="shared" si="7"/>
        <v>-100000</v>
      </c>
      <c r="AP57" s="6">
        <f t="shared" si="7"/>
        <v>-100000</v>
      </c>
      <c r="AQ57" s="6">
        <f t="shared" si="7"/>
        <v>-100000</v>
      </c>
      <c r="AR57" s="6">
        <f t="shared" si="7"/>
        <v>-100000</v>
      </c>
      <c r="AS57" s="6">
        <f t="shared" si="7"/>
        <v>-100000</v>
      </c>
      <c r="AT57" s="6">
        <f t="shared" si="7"/>
        <v>-100000</v>
      </c>
      <c r="AU57" s="6">
        <f t="shared" si="7"/>
        <v>-100000</v>
      </c>
      <c r="AV57" s="6">
        <f t="shared" si="7"/>
        <v>-100000</v>
      </c>
      <c r="AW57" s="6">
        <f t="shared" si="7"/>
        <v>-100000</v>
      </c>
      <c r="AX57" s="6">
        <f t="shared" si="7"/>
        <v>-100000</v>
      </c>
      <c r="AY57" s="6">
        <f t="shared" si="7"/>
        <v>-100000</v>
      </c>
      <c r="AZ57" s="6">
        <f t="shared" si="7"/>
        <v>-100000</v>
      </c>
      <c r="BA57" s="6">
        <f t="shared" si="7"/>
        <v>-100000</v>
      </c>
    </row>
    <row r="58" spans="1:53" outlineLevel="1" x14ac:dyDescent="0.35">
      <c r="A58" s="6" t="s">
        <v>38</v>
      </c>
      <c r="B58" s="6">
        <f>'Results - raw data ReCiPe (H)'!CC49</f>
        <v>5471.4360123760534</v>
      </c>
      <c r="AB58" s="23" t="s">
        <v>125</v>
      </c>
      <c r="AC58" s="17">
        <f t="shared" ref="AC58:BA58" si="8">SUM(AC50:AC57)</f>
        <v>-26696.10247366516</v>
      </c>
      <c r="AD58" s="17">
        <f t="shared" si="8"/>
        <v>-68008.741964982735</v>
      </c>
      <c r="AE58" s="17">
        <f t="shared" si="8"/>
        <v>-70278.247399785032</v>
      </c>
      <c r="AF58" s="17">
        <f t="shared" si="8"/>
        <v>-71469.150472588517</v>
      </c>
      <c r="AG58" s="17">
        <f t="shared" si="8"/>
        <v>-74848.252778772323</v>
      </c>
      <c r="AH58" s="17">
        <f t="shared" si="8"/>
        <v>-77114.145808231318</v>
      </c>
      <c r="AI58" s="17">
        <f t="shared" si="8"/>
        <v>-77844.839319264924</v>
      </c>
      <c r="AJ58" s="17">
        <f t="shared" si="8"/>
        <v>-80725.648843195755</v>
      </c>
      <c r="AK58" s="17">
        <f t="shared" si="8"/>
        <v>-82555.838151183285</v>
      </c>
      <c r="AL58" s="17">
        <f t="shared" si="8"/>
        <v>-83325.964718816103</v>
      </c>
      <c r="AM58" s="17">
        <f t="shared" si="8"/>
        <v>-86158.130018950949</v>
      </c>
      <c r="AN58" s="17">
        <f t="shared" si="8"/>
        <v>-87605.66666916477</v>
      </c>
      <c r="AO58" s="17">
        <f t="shared" si="8"/>
        <v>-88081.361703443356</v>
      </c>
      <c r="AP58" s="17">
        <f t="shared" si="8"/>
        <v>-90523.397620172633</v>
      </c>
      <c r="AQ58" s="17">
        <f t="shared" si="8"/>
        <v>-91987.515715461908</v>
      </c>
      <c r="AR58" s="17">
        <f t="shared" si="8"/>
        <v>-92539.022500956708</v>
      </c>
      <c r="AS58" s="17">
        <f t="shared" si="8"/>
        <v>-94252.093196447619</v>
      </c>
      <c r="AT58" s="17">
        <f t="shared" si="8"/>
        <v>-95047.372786120541</v>
      </c>
      <c r="AU58" s="17">
        <f t="shared" si="8"/>
        <v>-94972.011051851907</v>
      </c>
      <c r="AV58" s="17">
        <f t="shared" si="8"/>
        <v>-96643.313867133678</v>
      </c>
      <c r="AW58" s="17">
        <f t="shared" si="8"/>
        <v>-97438.504188739011</v>
      </c>
      <c r="AX58" s="17">
        <f t="shared" si="8"/>
        <v>-96879.895206745161</v>
      </c>
      <c r="AY58" s="17">
        <f t="shared" si="8"/>
        <v>-98038.447327394984</v>
      </c>
      <c r="AZ58" s="17">
        <f t="shared" si="8"/>
        <v>-98351.594636789887</v>
      </c>
      <c r="BA58" s="17">
        <f t="shared" si="8"/>
        <v>-97227.36919960138</v>
      </c>
    </row>
    <row r="59" spans="1:53" outlineLevel="1" x14ac:dyDescent="0.35">
      <c r="A59" s="6" t="s">
        <v>39</v>
      </c>
      <c r="B59" s="6">
        <f>'Results - raw data ReCiPe (H)'!CC50</f>
        <v>10289.89043583642</v>
      </c>
    </row>
    <row r="60" spans="1:53" outlineLevel="1" x14ac:dyDescent="0.35">
      <c r="A60" s="6" t="s">
        <v>41</v>
      </c>
      <c r="B60" s="6">
        <f>'Results - raw data ReCiPe (H)'!CC51</f>
        <v>149.83026646962881</v>
      </c>
    </row>
    <row r="61" spans="1:53" outlineLevel="1" x14ac:dyDescent="0.35">
      <c r="A61" s="6" t="s">
        <v>43</v>
      </c>
      <c r="B61" s="6">
        <f>'Results - raw data ReCiPe (H)'!CC52</f>
        <v>540.2049660112441</v>
      </c>
      <c r="AB61" s="24"/>
    </row>
    <row r="62" spans="1:53" outlineLevel="1" x14ac:dyDescent="0.35">
      <c r="A62" s="6" t="s">
        <v>44</v>
      </c>
      <c r="B62" s="6">
        <f>'Results - raw data ReCiPe (H)'!CC53*AC47*AC48</f>
        <v>2321.3557239996653</v>
      </c>
      <c r="AC62" s="187"/>
      <c r="AD62" s="187"/>
      <c r="AE62" s="187"/>
      <c r="AF62" s="187"/>
      <c r="AG62" s="187"/>
      <c r="AH62" s="187"/>
      <c r="AI62" s="187"/>
      <c r="AJ62" s="187"/>
      <c r="AK62" s="187"/>
      <c r="AL62" s="187"/>
      <c r="AM62" s="187"/>
      <c r="AN62" s="187"/>
      <c r="AO62" s="187"/>
      <c r="AP62" s="187"/>
      <c r="AQ62" s="187"/>
      <c r="AR62" s="187"/>
      <c r="AS62" s="187"/>
      <c r="AT62" s="187"/>
      <c r="AU62" s="187"/>
      <c r="AV62" s="187"/>
      <c r="AW62" s="187"/>
      <c r="AX62" s="187"/>
      <c r="AY62" s="187"/>
      <c r="AZ62" s="187"/>
      <c r="BA62" s="187"/>
    </row>
    <row r="63" spans="1:53" outlineLevel="1" x14ac:dyDescent="0.35">
      <c r="A63" s="6" t="s">
        <v>757</v>
      </c>
      <c r="B63" s="6">
        <f>'Results - raw data ReCiPe (H)'!CC54*AC47*AC48</f>
        <v>8385.8438655395494</v>
      </c>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row>
    <row r="64" spans="1:53" outlineLevel="1" x14ac:dyDescent="0.35">
      <c r="A64" s="6" t="s">
        <v>22</v>
      </c>
      <c r="Z64" s="6">
        <f>'Results - raw data ReCiPe (H)'!DA55</f>
        <v>17.809288110870401</v>
      </c>
    </row>
    <row r="65" spans="1:26" outlineLevel="1" x14ac:dyDescent="0.35">
      <c r="A65" s="6" t="s">
        <v>24</v>
      </c>
      <c r="Z65" s="6">
        <f>'Results - raw data ReCiPe (H)'!DA56</f>
        <v>6.4841516951127067</v>
      </c>
    </row>
    <row r="66" spans="1:26" outlineLevel="1" x14ac:dyDescent="0.35">
      <c r="A66" s="6" t="s">
        <v>25</v>
      </c>
      <c r="Z66" s="6">
        <f>'Results - raw data ReCiPe (H)'!DA57</f>
        <v>20.396392714219459</v>
      </c>
    </row>
    <row r="67" spans="1:26" outlineLevel="1" x14ac:dyDescent="0.35">
      <c r="A67" s="6" t="s">
        <v>27</v>
      </c>
      <c r="Z67" s="6">
        <f>'Results - raw data ReCiPe (H)'!DA58</f>
        <v>6.4516925251757771</v>
      </c>
    </row>
    <row r="68" spans="1:26" outlineLevel="1" x14ac:dyDescent="0.35">
      <c r="A68" s="6" t="s">
        <v>30</v>
      </c>
      <c r="Z68" s="6">
        <f>'Results - raw data ReCiPe (H)'!DA59</f>
        <v>23.21195353922505</v>
      </c>
    </row>
    <row r="69" spans="1:26" outlineLevel="1" x14ac:dyDescent="0.35">
      <c r="A69" s="6" t="s">
        <v>32</v>
      </c>
      <c r="Z69" s="6">
        <f>'Results - raw data ReCiPe (H)'!DA60</f>
        <v>0.71269773507552991</v>
      </c>
    </row>
    <row r="70" spans="1:26" outlineLevel="1" x14ac:dyDescent="0.35">
      <c r="A70" s="6" t="s">
        <v>33</v>
      </c>
      <c r="Z70" s="6">
        <f>'Results - raw data ReCiPe (H)'!DA61</f>
        <v>5.512756844731129</v>
      </c>
    </row>
    <row r="71" spans="1:26" outlineLevel="1" x14ac:dyDescent="0.35">
      <c r="A71" s="6" t="s">
        <v>35</v>
      </c>
      <c r="Z71" s="6">
        <f>'Results - raw data ReCiPe (H)'!DA62</f>
        <v>11.02551368946226</v>
      </c>
    </row>
    <row r="72" spans="1:26" outlineLevel="1" x14ac:dyDescent="0.35">
      <c r="A72" s="6" t="s">
        <v>37</v>
      </c>
      <c r="Z72" s="6">
        <f>'Results - raw data ReCiPe (H)'!DA63</f>
        <v>11.4624592345025</v>
      </c>
    </row>
    <row r="73" spans="1:26" outlineLevel="1" x14ac:dyDescent="0.35">
      <c r="A73" s="6" t="s">
        <v>40</v>
      </c>
      <c r="Z73" s="6">
        <f>'Results - raw data ReCiPe (H)'!DA64</f>
        <v>278.45924154762872</v>
      </c>
    </row>
    <row r="74" spans="1:26" outlineLevel="1" x14ac:dyDescent="0.35">
      <c r="A74" s="6" t="s">
        <v>42</v>
      </c>
      <c r="Z74" s="6">
        <f>'Results - raw data ReCiPe (H)'!DA65</f>
        <v>24.547181732291531</v>
      </c>
    </row>
    <row r="75" spans="1:26" outlineLevel="1" x14ac:dyDescent="0.35">
      <c r="A75" s="6" t="s">
        <v>115</v>
      </c>
      <c r="Z75" s="6">
        <f>'Results - raw data ReCiPe (H)'!DA66</f>
        <v>172.31262239435989</v>
      </c>
    </row>
    <row r="76" spans="1:26" outlineLevel="1" x14ac:dyDescent="0.35">
      <c r="A76" s="6" t="s">
        <v>45</v>
      </c>
      <c r="Z76" s="6">
        <f>'Results - raw data ReCiPe (H)'!DA67*AC47*AC48</f>
        <v>20.958999559062121</v>
      </c>
    </row>
    <row r="77" spans="1:26" outlineLevel="1" x14ac:dyDescent="0.35">
      <c r="A77" s="6" t="s">
        <v>116</v>
      </c>
      <c r="B77" s="6">
        <f>'Results - raw data ReCiPe (H)'!CC68</f>
        <v>1148.3409729516229</v>
      </c>
      <c r="C77" s="6">
        <f>'Results - raw data ReCiPe (H)'!CD68</f>
        <v>1138.060168440604</v>
      </c>
      <c r="D77" s="6">
        <f>'Results - raw data ReCiPe (H)'!CE68</f>
        <v>1127.7127066101459</v>
      </c>
      <c r="E77" s="6">
        <f>'Results - raw data ReCiPe (H)'!CF68</f>
        <v>1112.2182425813739</v>
      </c>
      <c r="F77" s="6">
        <f>'Results - raw data ReCiPe (H)'!CG68</f>
        <v>1101.723968475133</v>
      </c>
      <c r="G77" s="6">
        <f>'Results - raw data ReCiPe (H)'!CH68</f>
        <v>1091.139656450338</v>
      </c>
      <c r="H77" s="6">
        <f>'Results - raw data ReCiPe (H)'!CI68</f>
        <v>1076.9191461281321</v>
      </c>
      <c r="I77" s="6">
        <f>'Results - raw data ReCiPe (H)'!CJ68</f>
        <v>1062.730546817681</v>
      </c>
      <c r="J77" s="6">
        <f>'Results - raw data ReCiPe (H)'!CK68</f>
        <v>1045.4717263922239</v>
      </c>
      <c r="K77" s="6">
        <f>'Results - raw data ReCiPe (H)'!CL68</f>
        <v>1031.286216035297</v>
      </c>
      <c r="L77" s="6">
        <f>'Results - raw data ReCiPe (H)'!CM68</f>
        <v>1017.05516653554</v>
      </c>
      <c r="M77" s="6">
        <f>'Results - raw data ReCiPe (H)'!CN68</f>
        <v>997.19821038309715</v>
      </c>
      <c r="N77" s="6">
        <f>'Results - raw data ReCiPe (H)'!CO68</f>
        <v>977.44851845379105</v>
      </c>
      <c r="O77" s="6">
        <f>'Results - raw data ReCiPe (H)'!CP68</f>
        <v>956.93102796878463</v>
      </c>
      <c r="P77" s="6">
        <f>'Results - raw data ReCiPe (H)'!CQ68</f>
        <v>937.40861002536712</v>
      </c>
      <c r="Q77" s="6">
        <f>'Results - raw data ReCiPe (H)'!CR68</f>
        <v>917.987027187487</v>
      </c>
      <c r="R77" s="6">
        <f>'Results - raw data ReCiPe (H)'!CS68</f>
        <v>904.09536731961418</v>
      </c>
      <c r="S77" s="6">
        <f>'Results - raw data ReCiPe (H)'!CT68</f>
        <v>890.28838396677645</v>
      </c>
      <c r="T77" s="6">
        <f>'Results - raw data ReCiPe (H)'!CU68</f>
        <v>875.86379727760391</v>
      </c>
      <c r="U77" s="6">
        <f>'Results - raw data ReCiPe (H)'!CV68</f>
        <v>862.23848950309525</v>
      </c>
      <c r="V77" s="6">
        <f>'Results - raw data ReCiPe (H)'!CW68</f>
        <v>848.69548558566385</v>
      </c>
      <c r="W77" s="6">
        <f>'Results - raw data ReCiPe (H)'!CX68</f>
        <v>846.3879160889735</v>
      </c>
      <c r="X77" s="6">
        <f>'Results - raw data ReCiPe (H)'!CY68</f>
        <v>843.918831246026</v>
      </c>
      <c r="Y77" s="6">
        <f>'Results - raw data ReCiPe (H)'!CZ68</f>
        <v>841.46837575009522</v>
      </c>
      <c r="Z77" s="6">
        <f>'Results - raw data ReCiPe (H)'!DA68</f>
        <v>839.0363303143256</v>
      </c>
    </row>
    <row r="78" spans="1:26" outlineLevel="1" x14ac:dyDescent="0.35">
      <c r="A78" s="6" t="s">
        <v>758</v>
      </c>
      <c r="B78" s="6">
        <f>'Results - raw data ReCiPe (H)'!CC69*$AC$47</f>
        <v>2542.97481093942</v>
      </c>
      <c r="C78" s="6">
        <f>'Results - raw data ReCiPe (H)'!CD69*$AC$47</f>
        <v>2376.1908223022351</v>
      </c>
      <c r="D78" s="6">
        <f>'Results - raw data ReCiPe (H)'!CE69*$AC$47</f>
        <v>2210.198356481329</v>
      </c>
      <c r="E78" s="6">
        <f>'Results - raw data ReCiPe (H)'!CF69*$AC$47</f>
        <v>2042.1089575522349</v>
      </c>
      <c r="F78" s="6">
        <f>'Results - raw data ReCiPe (H)'!CG69*$AC$47</f>
        <v>1877.6504775339711</v>
      </c>
      <c r="G78" s="6">
        <f>'Results - raw data ReCiPe (H)'!CH69*$AC$47</f>
        <v>1713.9317286688911</v>
      </c>
      <c r="H78" s="6">
        <f>'Results - raw data ReCiPe (H)'!CI69*$AC$47</f>
        <v>1584.1543394014241</v>
      </c>
      <c r="I78" s="6">
        <f>'Results - raw data ReCiPe (H)'!CJ69*$AC$47</f>
        <v>1454.8948646449719</v>
      </c>
      <c r="J78" s="6">
        <f>'Results - raw data ReCiPe (H)'!CK69*$AC$47</f>
        <v>1323.7820438900601</v>
      </c>
      <c r="K78" s="6">
        <f>'Results - raw data ReCiPe (H)'!CL69*$AC$47</f>
        <v>1195.1988527569281</v>
      </c>
      <c r="L78" s="6">
        <f>'Results - raw data ReCiPe (H)'!CM69*$AC$47</f>
        <v>1066.8976244184651</v>
      </c>
      <c r="M78" s="6">
        <f>'Results - raw data ReCiPe (H)'!CN69*$AC$47</f>
        <v>963.58440519466842</v>
      </c>
      <c r="N78" s="6">
        <f>'Results - raw data ReCiPe (H)'!CO69*$AC$47</f>
        <v>859.91567497999529</v>
      </c>
      <c r="O78" s="6">
        <f>'Results - raw data ReCiPe (H)'!CP69*$AC$47</f>
        <v>755.41292956805273</v>
      </c>
      <c r="P78" s="6">
        <f>'Results - raw data ReCiPe (H)'!CQ69*$AC$47</f>
        <v>651.04604210442778</v>
      </c>
      <c r="Q78" s="6">
        <f>'Results - raw data ReCiPe (H)'!CR69*$AC$47</f>
        <v>546.33480393535831</v>
      </c>
      <c r="R78" s="6">
        <f>'Results - raw data ReCiPe (H)'!CS69*$AC$47</f>
        <v>489.39242557480054</v>
      </c>
      <c r="S78" s="6">
        <f>'Results - raw data ReCiPe (H)'!CT69*$AC$47</f>
        <v>432.29621235982074</v>
      </c>
      <c r="T78" s="6">
        <f>'Results - raw data ReCiPe (H)'!CU69*$AC$47</f>
        <v>374.6375724780944</v>
      </c>
      <c r="U78" s="6">
        <f>'Results - raw data ReCiPe (H)'!CV69*$AC$47</f>
        <v>317.244406053852</v>
      </c>
      <c r="V78" s="6">
        <f>'Results - raw data ReCiPe (H)'!CW69*$AC$47</f>
        <v>259.72292994022592</v>
      </c>
      <c r="W78" s="6">
        <f>'Results - raw data ReCiPe (H)'!CX69*$AC$47</f>
        <v>239.30004870743892</v>
      </c>
      <c r="X78" s="6">
        <f>'Results - raw data ReCiPe (H)'!CY69*$AC$47</f>
        <v>217.20126571922478</v>
      </c>
      <c r="Y78" s="6">
        <f>'Results - raw data ReCiPe (H)'!CZ69*$AC$47</f>
        <v>195.09716023618199</v>
      </c>
      <c r="Z78" s="6">
        <f>'Results - raw data ReCiPe (H)'!DA69*$AC$47</f>
        <v>172.9858048397322</v>
      </c>
    </row>
    <row r="79" spans="1:26" outlineLevel="1" x14ac:dyDescent="0.35">
      <c r="A79" s="6" t="s">
        <v>759</v>
      </c>
      <c r="B79" s="6">
        <f>'Results - raw data ReCiPe (H)'!CC70</f>
        <v>0</v>
      </c>
      <c r="C79" s="6">
        <f>'Results - raw data ReCiPe (H)'!CD70</f>
        <v>0</v>
      </c>
      <c r="D79" s="6">
        <f>'Results - raw data ReCiPe (H)'!CE70</f>
        <v>0</v>
      </c>
      <c r="E79" s="6">
        <f>'Results - raw data ReCiPe (H)'!CF70</f>
        <v>0</v>
      </c>
      <c r="F79" s="6">
        <f>'Results - raw data ReCiPe (H)'!CG70</f>
        <v>0</v>
      </c>
      <c r="G79" s="6">
        <f>'Results - raw data ReCiPe (H)'!CH70</f>
        <v>0</v>
      </c>
      <c r="H79" s="6">
        <f>'Results - raw data ReCiPe (H)'!CI70</f>
        <v>0</v>
      </c>
      <c r="I79" s="6">
        <f>'Results - raw data ReCiPe (H)'!CJ70</f>
        <v>0</v>
      </c>
      <c r="J79" s="6">
        <f>'Results - raw data ReCiPe (H)'!CK70</f>
        <v>0</v>
      </c>
      <c r="K79" s="6">
        <f>'Results - raw data ReCiPe (H)'!CL70</f>
        <v>0</v>
      </c>
      <c r="L79" s="6">
        <f>'Results - raw data ReCiPe (H)'!CM70</f>
        <v>0</v>
      </c>
      <c r="M79" s="6">
        <f>'Results - raw data ReCiPe (H)'!CN70</f>
        <v>0</v>
      </c>
      <c r="N79" s="6">
        <f>'Results - raw data ReCiPe (H)'!CO70</f>
        <v>0</v>
      </c>
      <c r="O79" s="6">
        <f>'Results - raw data ReCiPe (H)'!CP70</f>
        <v>0</v>
      </c>
      <c r="P79" s="6">
        <f>'Results - raw data ReCiPe (H)'!CQ70</f>
        <v>0</v>
      </c>
      <c r="Q79" s="6">
        <f>'Results - raw data ReCiPe (H)'!CR70</f>
        <v>0</v>
      </c>
      <c r="R79" s="6">
        <f>'Results - raw data ReCiPe (H)'!CS70</f>
        <v>0</v>
      </c>
      <c r="S79" s="6">
        <f>'Results - raw data ReCiPe (H)'!CT70</f>
        <v>0</v>
      </c>
      <c r="T79" s="6">
        <f>'Results - raw data ReCiPe (H)'!CU70</f>
        <v>0</v>
      </c>
      <c r="U79" s="6">
        <f>'Results - raw data ReCiPe (H)'!CV70</f>
        <v>0</v>
      </c>
      <c r="V79" s="6">
        <f>'Results - raw data ReCiPe (H)'!CW70</f>
        <v>0</v>
      </c>
      <c r="W79" s="6">
        <f>'Results - raw data ReCiPe (H)'!CX70</f>
        <v>0</v>
      </c>
      <c r="X79" s="6">
        <f>'Results - raw data ReCiPe (H)'!CY70</f>
        <v>0</v>
      </c>
      <c r="Y79" s="6">
        <f>'Results - raw data ReCiPe (H)'!CZ70</f>
        <v>0</v>
      </c>
      <c r="Z79" s="6">
        <f>'Results - raw data ReCiPe (H)'!DA70</f>
        <v>0</v>
      </c>
    </row>
    <row r="80" spans="1:26" outlineLevel="1" x14ac:dyDescent="0.35">
      <c r="A80" s="6" t="s">
        <v>760</v>
      </c>
      <c r="B80" s="6">
        <f>'Results - raw data ReCiPe (H)'!CC71</f>
        <v>31719.42420891019</v>
      </c>
      <c r="C80" s="6">
        <f>'Results - raw data ReCiPe (H)'!CD71</f>
        <v>29615.067212715021</v>
      </c>
      <c r="D80" s="6">
        <f>'Results - raw data ReCiPe (H)'!CE71</f>
        <v>27511.55424373363</v>
      </c>
      <c r="E80" s="6">
        <f>'Results - raw data ReCiPe (H)'!CF71</f>
        <v>25376.522327277871</v>
      </c>
      <c r="F80" s="6">
        <f>'Results - raw data ReCiPe (H)'!CG71</f>
        <v>23274.096743693699</v>
      </c>
      <c r="G80" s="6">
        <f>'Results - raw data ReCiPe (H)'!CH71</f>
        <v>21171.9224630998</v>
      </c>
      <c r="H80" s="6">
        <f>'Results - raw data ReCiPe (H)'!CI71</f>
        <v>19494.08719520552</v>
      </c>
      <c r="I80" s="6">
        <f>'Results - raw data ReCiPe (H)'!CJ71</f>
        <v>17819.456292159281</v>
      </c>
      <c r="J80" s="6">
        <f>'Results - raw data ReCiPe (H)'!CK71</f>
        <v>16120.37980492665</v>
      </c>
      <c r="K80" s="6">
        <f>'Results - raw data ReCiPe (H)'!CL71</f>
        <v>14447.550212391679</v>
      </c>
      <c r="L80" s="6">
        <f>'Results - raw data ReCiPe (H)'!CM71</f>
        <v>12774.972356630589</v>
      </c>
      <c r="M80" s="6">
        <f>'Results - raw data ReCiPe (H)'!CN71</f>
        <v>11430.748925640561</v>
      </c>
      <c r="N80" s="6">
        <f>'Results - raw data ReCiPe (H)'!CO71</f>
        <v>10081.27410312286</v>
      </c>
      <c r="O80" s="6">
        <f>'Results - raw data ReCiPe (H)'!CP71</f>
        <v>8721.1894502593204</v>
      </c>
      <c r="P80" s="6">
        <f>'Results - raw data ReCiPe (H)'!CQ71</f>
        <v>7361.43824243366</v>
      </c>
      <c r="Q80" s="6">
        <f>'Results - raw data ReCiPe (H)'!CR71</f>
        <v>5996.6556679204514</v>
      </c>
      <c r="R80" s="6">
        <f>'Results - raw data ReCiPe (H)'!CS71</f>
        <v>5258.5143779775881</v>
      </c>
      <c r="S80" s="6">
        <f>'Results - raw data ReCiPe (H)'!CT71</f>
        <v>4520.3310015196421</v>
      </c>
      <c r="T80" s="6">
        <f>'Results - raw data ReCiPe (H)'!CU71</f>
        <v>3777.4875783923999</v>
      </c>
      <c r="U80" s="6">
        <f>'Results - raw data ReCiPe (H)'!CV71</f>
        <v>3039.441726812468</v>
      </c>
      <c r="V80" s="6">
        <f>'Results - raw data ReCiPe (H)'!CW71</f>
        <v>2301.7728813207682</v>
      </c>
      <c r="W80" s="6">
        <f>'Results - raw data ReCiPe (H)'!CX71</f>
        <v>2034.41682845842</v>
      </c>
      <c r="X80" s="6">
        <f>'Results - raw data ReCiPe (H)'!CY71</f>
        <v>1744.3514068857951</v>
      </c>
      <c r="Y80" s="6">
        <f>'Results - raw data ReCiPe (H)'!CZ71</f>
        <v>1453.308202973933</v>
      </c>
      <c r="Z80" s="6">
        <f>'Results - raw data ReCiPe (H)'!DA71</f>
        <v>1161.2637139228491</v>
      </c>
    </row>
    <row r="81" spans="1:53" outlineLevel="1" x14ac:dyDescent="0.35">
      <c r="A81" s="23" t="s">
        <v>125</v>
      </c>
      <c r="B81" s="17">
        <f t="shared" ref="B81:Z81" si="9">SUM(B50:B80)</f>
        <v>73303.89752633484</v>
      </c>
      <c r="C81" s="17">
        <f t="shared" si="9"/>
        <v>33129.318203457864</v>
      </c>
      <c r="D81" s="17">
        <f t="shared" si="9"/>
        <v>30849.465306825106</v>
      </c>
      <c r="E81" s="17">
        <f t="shared" si="9"/>
        <v>28530.849527411479</v>
      </c>
      <c r="F81" s="17">
        <f t="shared" si="9"/>
        <v>26253.471189702803</v>
      </c>
      <c r="G81" s="17">
        <f t="shared" si="9"/>
        <v>23976.99384821903</v>
      </c>
      <c r="H81" s="17">
        <f t="shared" si="9"/>
        <v>22155.160680735076</v>
      </c>
      <c r="I81" s="17">
        <f t="shared" si="9"/>
        <v>20337.081703621934</v>
      </c>
      <c r="J81" s="17">
        <f t="shared" si="9"/>
        <v>18489.633575208933</v>
      </c>
      <c r="K81" s="17">
        <f t="shared" si="9"/>
        <v>16674.035281183904</v>
      </c>
      <c r="L81" s="17">
        <f t="shared" si="9"/>
        <v>14858.925147584594</v>
      </c>
      <c r="M81" s="17">
        <f t="shared" si="9"/>
        <v>13391.531541218326</v>
      </c>
      <c r="N81" s="17">
        <f t="shared" si="9"/>
        <v>11918.638296556646</v>
      </c>
      <c r="O81" s="17">
        <f t="shared" si="9"/>
        <v>10433.533407796158</v>
      </c>
      <c r="P81" s="17">
        <f t="shared" si="9"/>
        <v>8949.8928945634543</v>
      </c>
      <c r="Q81" s="17">
        <f t="shared" si="9"/>
        <v>7460.9774990432961</v>
      </c>
      <c r="R81" s="17">
        <f t="shared" si="9"/>
        <v>6652.0021708720033</v>
      </c>
      <c r="S81" s="17">
        <f t="shared" si="9"/>
        <v>5842.9155978462395</v>
      </c>
      <c r="T81" s="17">
        <f t="shared" si="9"/>
        <v>5027.9889481480986</v>
      </c>
      <c r="U81" s="17">
        <f t="shared" si="9"/>
        <v>4218.9246223694154</v>
      </c>
      <c r="V81" s="17">
        <f t="shared" si="9"/>
        <v>3410.1912968466577</v>
      </c>
      <c r="W81" s="17">
        <f t="shared" si="9"/>
        <v>3120.1047932548327</v>
      </c>
      <c r="X81" s="17">
        <f t="shared" si="9"/>
        <v>2805.4715038510458</v>
      </c>
      <c r="Y81" s="17">
        <f t="shared" si="9"/>
        <v>2489.8737389602102</v>
      </c>
      <c r="Z81" s="17">
        <f t="shared" si="9"/>
        <v>2772.6308003986242</v>
      </c>
    </row>
    <row r="82" spans="1:53" outlineLevel="1" x14ac:dyDescent="0.35"/>
    <row r="83" spans="1:53" s="18" customFormat="1" ht="21" x14ac:dyDescent="0.5">
      <c r="A83" s="18" t="s">
        <v>94</v>
      </c>
    </row>
    <row r="84" spans="1:53" s="20" customFormat="1" outlineLevel="1" x14ac:dyDescent="0.35">
      <c r="A84" s="19" t="s">
        <v>767</v>
      </c>
    </row>
    <row r="85" spans="1:53" s="16" customFormat="1" outlineLevel="1" x14ac:dyDescent="0.35">
      <c r="A85" s="21"/>
      <c r="AB85" s="16" t="s">
        <v>801</v>
      </c>
      <c r="AC85" s="16">
        <v>1</v>
      </c>
      <c r="AD85" s="16" t="s">
        <v>146</v>
      </c>
    </row>
    <row r="86" spans="1:53" s="16" customFormat="1" outlineLevel="1" x14ac:dyDescent="0.35">
      <c r="A86" s="22" t="s">
        <v>566</v>
      </c>
      <c r="AC86" s="16">
        <f>AC85*1000</f>
        <v>1000</v>
      </c>
      <c r="AD86" s="16" t="s">
        <v>144</v>
      </c>
    </row>
    <row r="87" spans="1:53" s="16" customFormat="1" outlineLevel="1" x14ac:dyDescent="0.35">
      <c r="A87" s="22"/>
      <c r="AB87" s="16" t="s">
        <v>127</v>
      </c>
      <c r="AC87" s="16">
        <v>100</v>
      </c>
      <c r="AD87" s="16" t="s">
        <v>128</v>
      </c>
    </row>
    <row r="88" spans="1:53" s="16" customFormat="1" outlineLevel="1" x14ac:dyDescent="0.35">
      <c r="A88" s="22"/>
      <c r="AB88" s="16" t="s">
        <v>129</v>
      </c>
      <c r="AC88" s="16">
        <v>25</v>
      </c>
      <c r="AD88" s="16" t="s">
        <v>130</v>
      </c>
    </row>
    <row r="89" spans="1:53" outlineLevel="1" x14ac:dyDescent="0.35">
      <c r="B89" s="25">
        <v>2030</v>
      </c>
      <c r="C89" s="25">
        <v>2031</v>
      </c>
      <c r="D89" s="25">
        <v>2032</v>
      </c>
      <c r="E89" s="25">
        <v>2033</v>
      </c>
      <c r="F89" s="25">
        <v>2034</v>
      </c>
      <c r="G89" s="25">
        <v>2035</v>
      </c>
      <c r="H89" s="25">
        <v>2036</v>
      </c>
      <c r="I89" s="25">
        <v>2037</v>
      </c>
      <c r="J89" s="25">
        <v>2038</v>
      </c>
      <c r="K89" s="25">
        <v>2039</v>
      </c>
      <c r="L89" s="25">
        <v>2040</v>
      </c>
      <c r="M89" s="25">
        <v>2041</v>
      </c>
      <c r="N89" s="25">
        <v>2042</v>
      </c>
      <c r="O89" s="25">
        <v>2043</v>
      </c>
      <c r="P89" s="25">
        <v>2044</v>
      </c>
      <c r="Q89" s="25">
        <v>2045</v>
      </c>
      <c r="R89" s="25">
        <v>2046</v>
      </c>
      <c r="S89" s="25">
        <v>2047</v>
      </c>
      <c r="T89" s="25">
        <v>2048</v>
      </c>
      <c r="U89" s="25">
        <v>2049</v>
      </c>
      <c r="V89" s="25">
        <v>2050</v>
      </c>
      <c r="W89" s="25">
        <v>2051</v>
      </c>
      <c r="X89" s="25">
        <v>2052</v>
      </c>
      <c r="Y89" s="25">
        <v>2053</v>
      </c>
      <c r="Z89" s="25">
        <v>2054</v>
      </c>
      <c r="AC89" s="25">
        <v>2030</v>
      </c>
      <c r="AD89" s="25">
        <v>2031</v>
      </c>
      <c r="AE89" s="25">
        <v>2032</v>
      </c>
      <c r="AF89" s="25">
        <v>2033</v>
      </c>
      <c r="AG89" s="25">
        <v>2034</v>
      </c>
      <c r="AH89" s="25">
        <v>2035</v>
      </c>
      <c r="AI89" s="25">
        <v>2036</v>
      </c>
      <c r="AJ89" s="25">
        <v>2037</v>
      </c>
      <c r="AK89" s="25">
        <v>2038</v>
      </c>
      <c r="AL89" s="25">
        <v>2039</v>
      </c>
      <c r="AM89" s="25">
        <v>2040</v>
      </c>
      <c r="AN89" s="25">
        <v>2041</v>
      </c>
      <c r="AO89" s="25">
        <v>2042</v>
      </c>
      <c r="AP89" s="25">
        <v>2043</v>
      </c>
      <c r="AQ89" s="25">
        <v>2044</v>
      </c>
      <c r="AR89" s="25">
        <v>2045</v>
      </c>
      <c r="AS89" s="25">
        <v>2046</v>
      </c>
      <c r="AT89" s="25">
        <v>2047</v>
      </c>
      <c r="AU89" s="25">
        <v>2048</v>
      </c>
      <c r="AV89" s="25">
        <v>2049</v>
      </c>
      <c r="AW89" s="25">
        <v>2050</v>
      </c>
      <c r="AX89" s="25">
        <v>2051</v>
      </c>
      <c r="AY89" s="25">
        <v>2052</v>
      </c>
      <c r="AZ89" s="25">
        <v>2053</v>
      </c>
      <c r="BA89" s="25">
        <v>2054</v>
      </c>
    </row>
    <row r="90" spans="1:53" outlineLevel="1" x14ac:dyDescent="0.35">
      <c r="A90" s="6" t="s">
        <v>21</v>
      </c>
      <c r="B90" s="6">
        <f>'Results - raw data ReCiPe (H)'!CC77</f>
        <v>522.14630630241095</v>
      </c>
      <c r="AB90" s="6" t="s">
        <v>117</v>
      </c>
      <c r="AC90" s="6">
        <f>SUM(B90:B101)+B103</f>
        <v>27769.199509564176</v>
      </c>
    </row>
    <row r="91" spans="1:53" outlineLevel="1" x14ac:dyDescent="0.35">
      <c r="A91" s="6" t="s">
        <v>23</v>
      </c>
      <c r="B91" s="6">
        <f>'Results - raw data ReCiPe (H)'!CC78</f>
        <v>689.59917152625098</v>
      </c>
      <c r="AB91" s="6" t="s">
        <v>118</v>
      </c>
      <c r="AC91" s="6">
        <f>B102</f>
        <v>2030.6156444302903</v>
      </c>
    </row>
    <row r="92" spans="1:53" outlineLevel="1" x14ac:dyDescent="0.35">
      <c r="A92" s="6" t="s">
        <v>26</v>
      </c>
      <c r="B92" s="6">
        <f>'Results - raw data ReCiPe (H)'!CC79</f>
        <v>2299.7919129358629</v>
      </c>
      <c r="AB92" s="6" t="s">
        <v>119</v>
      </c>
      <c r="BA92" s="6">
        <f>SUM(Z104:Z115)</f>
        <v>506.10170544819584</v>
      </c>
    </row>
    <row r="93" spans="1:53" outlineLevel="1" x14ac:dyDescent="0.35">
      <c r="A93" s="6" t="s">
        <v>28</v>
      </c>
      <c r="B93" s="6">
        <f>'Results - raw data ReCiPe (H)'!CC80</f>
        <v>2048.7708155777868</v>
      </c>
      <c r="AB93" s="6" t="s">
        <v>120</v>
      </c>
      <c r="BA93" s="6">
        <f>Z116</f>
        <v>19.710037603247073</v>
      </c>
    </row>
    <row r="94" spans="1:53" outlineLevel="1" x14ac:dyDescent="0.35">
      <c r="A94" s="6" t="s">
        <v>29</v>
      </c>
      <c r="B94" s="6">
        <f>'Results - raw data ReCiPe (H)'!CC81</f>
        <v>1127.30474085434</v>
      </c>
      <c r="AB94" s="6" t="s">
        <v>121</v>
      </c>
      <c r="AC94" s="6">
        <f>B117</f>
        <v>960.18627888201729</v>
      </c>
      <c r="AF94" s="6">
        <f>E117</f>
        <v>894.9053469828998</v>
      </c>
      <c r="AI94" s="6">
        <f>H117</f>
        <v>847.74542197239737</v>
      </c>
      <c r="AL94" s="6">
        <f>K117</f>
        <v>829.74040861154253</v>
      </c>
      <c r="AO94" s="6">
        <f>N117</f>
        <v>821.41329377436136</v>
      </c>
      <c r="AR94" s="6">
        <f>Q117</f>
        <v>815.75248373031479</v>
      </c>
      <c r="AU94" s="6">
        <f>T117</f>
        <v>808.99669973300752</v>
      </c>
      <c r="AX94" s="6">
        <f>W117</f>
        <v>803.6131276705886</v>
      </c>
      <c r="BA94" s="6">
        <f>Z117</f>
        <v>799.02195316520056</v>
      </c>
    </row>
    <row r="95" spans="1:53" outlineLevel="1" x14ac:dyDescent="0.35">
      <c r="A95" s="6" t="s">
        <v>31</v>
      </c>
      <c r="B95" s="6">
        <f>'Results - raw data ReCiPe (H)'!CC82</f>
        <v>911.6428381501903</v>
      </c>
      <c r="AB95" s="6" t="s">
        <v>122</v>
      </c>
      <c r="AC95" s="6">
        <f>B120+B119</f>
        <v>14058.151241733231</v>
      </c>
      <c r="AD95" s="6">
        <f t="shared" ref="AD95:BA95" si="10">C120+C119</f>
        <v>11676.388562983941</v>
      </c>
      <c r="AE95" s="6">
        <f t="shared" si="10"/>
        <v>9292.1219783832294</v>
      </c>
      <c r="AF95" s="6">
        <f t="shared" si="10"/>
        <v>6869.3139490106896</v>
      </c>
      <c r="AG95" s="6">
        <f t="shared" si="10"/>
        <v>4476.9179466587984</v>
      </c>
      <c r="AH95" s="6">
        <f t="shared" si="10"/>
        <v>2080.6598667221319</v>
      </c>
      <c r="AI95" s="6">
        <f t="shared" si="10"/>
        <v>1508.785692189296</v>
      </c>
      <c r="AJ95" s="6">
        <f t="shared" si="10"/>
        <v>933.81585913307208</v>
      </c>
      <c r="AK95" s="6">
        <f t="shared" si="10"/>
        <v>323.7764311484641</v>
      </c>
      <c r="AL95" s="6">
        <f t="shared" si="10"/>
        <v>-258.54024816438982</v>
      </c>
      <c r="AM95" s="6">
        <f t="shared" si="10"/>
        <v>-844.05884908758617</v>
      </c>
      <c r="AN95" s="6">
        <f t="shared" si="10"/>
        <v>-1130.399070685854</v>
      </c>
      <c r="AO95" s="6">
        <f t="shared" si="10"/>
        <v>-1416.030637130893</v>
      </c>
      <c r="AP95" s="6">
        <f t="shared" si="10"/>
        <v>-1706.88274508276</v>
      </c>
      <c r="AQ95" s="6">
        <f t="shared" si="10"/>
        <v>-1991.0542411399681</v>
      </c>
      <c r="AR95" s="6">
        <f t="shared" si="10"/>
        <v>-2274.6784292096272</v>
      </c>
      <c r="AS95" s="6">
        <f t="shared" si="10"/>
        <v>-2855.499764819207</v>
      </c>
      <c r="AT95" s="6">
        <f t="shared" si="10"/>
        <v>-3431.837072750604</v>
      </c>
      <c r="AU95" s="6">
        <f t="shared" si="10"/>
        <v>-4007.8147292090771</v>
      </c>
      <c r="AV95" s="6">
        <f t="shared" si="10"/>
        <v>-4574.9912372336912</v>
      </c>
      <c r="AW95" s="6">
        <f t="shared" si="10"/>
        <v>-5137.4611042113993</v>
      </c>
      <c r="AX95" s="6">
        <f t="shared" si="10"/>
        <v>-5657.6340595571864</v>
      </c>
      <c r="AY95" s="6">
        <f t="shared" si="10"/>
        <v>-6192.4213061538921</v>
      </c>
      <c r="AZ95" s="6">
        <f t="shared" si="10"/>
        <v>-6728.6682576076137</v>
      </c>
      <c r="BA95" s="6">
        <f t="shared" si="10"/>
        <v>-7266.3962600142286</v>
      </c>
    </row>
    <row r="96" spans="1:53" outlineLevel="1" x14ac:dyDescent="0.35">
      <c r="A96" s="6" t="s">
        <v>34</v>
      </c>
      <c r="B96" s="6">
        <f>'Results - raw data ReCiPe (H)'!CC83</f>
        <v>536.54433466923933</v>
      </c>
      <c r="AB96" s="6" t="s">
        <v>123</v>
      </c>
      <c r="AC96" s="6">
        <f t="shared" ref="AC96:BA96" si="11">B118</f>
        <v>1171.75360790124</v>
      </c>
      <c r="AD96" s="6">
        <f t="shared" si="11"/>
        <v>985.51848325044398</v>
      </c>
      <c r="AE96" s="6">
        <f t="shared" si="11"/>
        <v>800.31926123191045</v>
      </c>
      <c r="AF96" s="6">
        <f t="shared" si="11"/>
        <v>613.03530748482558</v>
      </c>
      <c r="AG96" s="6">
        <f t="shared" si="11"/>
        <v>429.65944414908608</v>
      </c>
      <c r="AH96" s="6">
        <f t="shared" si="11"/>
        <v>247.19654517566713</v>
      </c>
      <c r="AI96" s="6">
        <f t="shared" si="11"/>
        <v>203.72460308086019</v>
      </c>
      <c r="AJ96" s="6">
        <f t="shared" si="11"/>
        <v>160.20421119621818</v>
      </c>
      <c r="AK96" s="6">
        <f t="shared" si="11"/>
        <v>114.01691925412281</v>
      </c>
      <c r="AL96" s="6">
        <f t="shared" si="11"/>
        <v>70.328108989120295</v>
      </c>
      <c r="AM96" s="6">
        <f t="shared" si="11"/>
        <v>26.586889365791922</v>
      </c>
      <c r="AN96" s="6">
        <f t="shared" si="11"/>
        <v>4.7592472154073473</v>
      </c>
      <c r="AO96" s="6">
        <f t="shared" si="11"/>
        <v>-17.042266268320962</v>
      </c>
      <c r="AP96" s="6">
        <f t="shared" si="11"/>
        <v>-39.31984498306106</v>
      </c>
      <c r="AQ96" s="6">
        <f t="shared" si="11"/>
        <v>-61.06491878989204</v>
      </c>
      <c r="AR96" s="6">
        <f t="shared" si="11"/>
        <v>-82.796745892243422</v>
      </c>
      <c r="AS96" s="6">
        <f t="shared" si="11"/>
        <v>-128.24040253891349</v>
      </c>
      <c r="AT96" s="6">
        <f t="shared" si="11"/>
        <v>-173.74520002908028</v>
      </c>
      <c r="AU96" s="6">
        <f t="shared" si="11"/>
        <v>-219.65990731184971</v>
      </c>
      <c r="AV96" s="6">
        <f t="shared" si="11"/>
        <v>-265.25926317957271</v>
      </c>
      <c r="AW96" s="6">
        <f t="shared" si="11"/>
        <v>-310.8897424868058</v>
      </c>
      <c r="AX96" s="6">
        <f t="shared" si="11"/>
        <v>-349.61909568361528</v>
      </c>
      <c r="AY96" s="6">
        <f t="shared" si="11"/>
        <v>-389.36755041297459</v>
      </c>
      <c r="AZ96" s="6">
        <f t="shared" si="11"/>
        <v>-429.10525550438609</v>
      </c>
      <c r="BA96" s="6">
        <f t="shared" si="11"/>
        <v>-468.83374695402216</v>
      </c>
    </row>
    <row r="97" spans="1:53" outlineLevel="1" x14ac:dyDescent="0.35">
      <c r="A97" s="6" t="s">
        <v>36</v>
      </c>
      <c r="B97" s="6">
        <f>'Results - raw data ReCiPe (H)'!CC84</f>
        <v>423.50186488159068</v>
      </c>
      <c r="AB97" s="6" t="s">
        <v>124</v>
      </c>
      <c r="AC97" s="6">
        <f>-$AC$7*$AC$6</f>
        <v>-100000</v>
      </c>
      <c r="AD97" s="6">
        <f t="shared" ref="AD97:BA97" si="12">-$AC$7*$AC$6</f>
        <v>-100000</v>
      </c>
      <c r="AE97" s="6">
        <f t="shared" si="12"/>
        <v>-100000</v>
      </c>
      <c r="AF97" s="6">
        <f t="shared" si="12"/>
        <v>-100000</v>
      </c>
      <c r="AG97" s="6">
        <f t="shared" si="12"/>
        <v>-100000</v>
      </c>
      <c r="AH97" s="6">
        <f t="shared" si="12"/>
        <v>-100000</v>
      </c>
      <c r="AI97" s="6">
        <f t="shared" si="12"/>
        <v>-100000</v>
      </c>
      <c r="AJ97" s="6">
        <f t="shared" si="12"/>
        <v>-100000</v>
      </c>
      <c r="AK97" s="6">
        <f t="shared" si="12"/>
        <v>-100000</v>
      </c>
      <c r="AL97" s="6">
        <f t="shared" si="12"/>
        <v>-100000</v>
      </c>
      <c r="AM97" s="6">
        <f t="shared" si="12"/>
        <v>-100000</v>
      </c>
      <c r="AN97" s="6">
        <f t="shared" si="12"/>
        <v>-100000</v>
      </c>
      <c r="AO97" s="6">
        <f t="shared" si="12"/>
        <v>-100000</v>
      </c>
      <c r="AP97" s="6">
        <f t="shared" si="12"/>
        <v>-100000</v>
      </c>
      <c r="AQ97" s="6">
        <f t="shared" si="12"/>
        <v>-100000</v>
      </c>
      <c r="AR97" s="6">
        <f t="shared" si="12"/>
        <v>-100000</v>
      </c>
      <c r="AS97" s="6">
        <f t="shared" si="12"/>
        <v>-100000</v>
      </c>
      <c r="AT97" s="6">
        <f t="shared" si="12"/>
        <v>-100000</v>
      </c>
      <c r="AU97" s="6">
        <f t="shared" si="12"/>
        <v>-100000</v>
      </c>
      <c r="AV97" s="6">
        <f t="shared" si="12"/>
        <v>-100000</v>
      </c>
      <c r="AW97" s="6">
        <f t="shared" si="12"/>
        <v>-100000</v>
      </c>
      <c r="AX97" s="6">
        <f t="shared" si="12"/>
        <v>-100000</v>
      </c>
      <c r="AY97" s="6">
        <f t="shared" si="12"/>
        <v>-100000</v>
      </c>
      <c r="AZ97" s="6">
        <f t="shared" si="12"/>
        <v>-100000</v>
      </c>
      <c r="BA97" s="6">
        <f t="shared" si="12"/>
        <v>-100000</v>
      </c>
    </row>
    <row r="98" spans="1:53" outlineLevel="1" x14ac:dyDescent="0.35">
      <c r="A98" s="6" t="s">
        <v>38</v>
      </c>
      <c r="B98" s="6">
        <f>'Results - raw data ReCiPe (H)'!CC85</f>
        <v>4620.2212963694537</v>
      </c>
      <c r="AB98" s="23" t="s">
        <v>125</v>
      </c>
      <c r="AC98" s="17">
        <f t="shared" ref="AC98:BA98" si="13">SUM(AC90:AC97)</f>
        <v>-54010.093717489042</v>
      </c>
      <c r="AD98" s="17">
        <f t="shared" si="13"/>
        <v>-87338.092953765619</v>
      </c>
      <c r="AE98" s="17">
        <f t="shared" si="13"/>
        <v>-89907.558760384854</v>
      </c>
      <c r="AF98" s="17">
        <f t="shared" si="13"/>
        <v>-91622.745396521583</v>
      </c>
      <c r="AG98" s="17">
        <f t="shared" si="13"/>
        <v>-95093.422609192115</v>
      </c>
      <c r="AH98" s="17">
        <f t="shared" si="13"/>
        <v>-97672.143588102204</v>
      </c>
      <c r="AI98" s="17">
        <f t="shared" si="13"/>
        <v>-97439.744282757441</v>
      </c>
      <c r="AJ98" s="17">
        <f t="shared" si="13"/>
        <v>-98905.979929670706</v>
      </c>
      <c r="AK98" s="17">
        <f t="shared" si="13"/>
        <v>-99562.206649597414</v>
      </c>
      <c r="AL98" s="17">
        <f t="shared" si="13"/>
        <v>-99358.471730563731</v>
      </c>
      <c r="AM98" s="17">
        <f t="shared" si="13"/>
        <v>-100817.47195972179</v>
      </c>
      <c r="AN98" s="17">
        <f t="shared" si="13"/>
        <v>-101125.63982347044</v>
      </c>
      <c r="AO98" s="17">
        <f t="shared" si="13"/>
        <v>-100611.65960962485</v>
      </c>
      <c r="AP98" s="17">
        <f t="shared" si="13"/>
        <v>-101746.20259006582</v>
      </c>
      <c r="AQ98" s="17">
        <f t="shared" si="13"/>
        <v>-102052.11915992986</v>
      </c>
      <c r="AR98" s="17">
        <f t="shared" si="13"/>
        <v>-101541.72269137156</v>
      </c>
      <c r="AS98" s="17">
        <f t="shared" si="13"/>
        <v>-102983.74016735812</v>
      </c>
      <c r="AT98" s="17">
        <f t="shared" si="13"/>
        <v>-103605.58227277969</v>
      </c>
      <c r="AU98" s="17">
        <f t="shared" si="13"/>
        <v>-103418.47793678792</v>
      </c>
      <c r="AV98" s="17">
        <f t="shared" si="13"/>
        <v>-104840.25050041327</v>
      </c>
      <c r="AW98" s="17">
        <f t="shared" si="13"/>
        <v>-105448.3508466982</v>
      </c>
      <c r="AX98" s="17">
        <f t="shared" si="13"/>
        <v>-105203.64002757022</v>
      </c>
      <c r="AY98" s="17">
        <f t="shared" si="13"/>
        <v>-106581.78885656687</v>
      </c>
      <c r="AZ98" s="17">
        <f t="shared" si="13"/>
        <v>-107157.773513112</v>
      </c>
      <c r="BA98" s="17">
        <f t="shared" si="13"/>
        <v>-106410.3963107516</v>
      </c>
    </row>
    <row r="99" spans="1:53" outlineLevel="1" x14ac:dyDescent="0.35">
      <c r="A99" s="6" t="s">
        <v>39</v>
      </c>
      <c r="B99" s="6">
        <f>'Results - raw data ReCiPe (H)'!CC86</f>
        <v>5739.6171857742838</v>
      </c>
    </row>
    <row r="100" spans="1:53" outlineLevel="1" x14ac:dyDescent="0.35">
      <c r="A100" s="6" t="s">
        <v>41</v>
      </c>
      <c r="B100" s="6">
        <f>'Results - raw data ReCiPe (H)'!CC87</f>
        <v>135.80998010115019</v>
      </c>
    </row>
    <row r="101" spans="1:53" outlineLevel="1" x14ac:dyDescent="0.35">
      <c r="A101" s="6" t="s">
        <v>43</v>
      </c>
      <c r="B101" s="6">
        <f>'Results - raw data ReCiPe (H)'!CC88</f>
        <v>495.26793776870988</v>
      </c>
      <c r="AB101" s="187"/>
      <c r="AC101" s="187"/>
      <c r="AD101" s="187"/>
      <c r="AE101" s="187"/>
      <c r="AF101" s="187"/>
      <c r="AG101" s="187"/>
      <c r="AH101" s="187"/>
      <c r="AI101" s="187"/>
      <c r="AJ101" s="187"/>
      <c r="AK101" s="187"/>
      <c r="AL101" s="187"/>
      <c r="AM101" s="187"/>
      <c r="AN101" s="187"/>
      <c r="AO101" s="187"/>
      <c r="AP101" s="187"/>
      <c r="AQ101" s="187"/>
      <c r="AR101" s="187"/>
      <c r="AS101" s="187"/>
      <c r="AT101" s="187"/>
      <c r="AU101" s="187"/>
      <c r="AV101" s="187"/>
      <c r="AW101" s="187"/>
      <c r="AX101" s="187"/>
      <c r="AY101" s="187"/>
      <c r="AZ101" s="187"/>
      <c r="BA101" s="187"/>
    </row>
    <row r="102" spans="1:53" outlineLevel="1" x14ac:dyDescent="0.35">
      <c r="A102" s="6" t="s">
        <v>44</v>
      </c>
      <c r="B102" s="6">
        <f>'Results - raw data ReCiPe (H)'!CC89*AC87*AC88</f>
        <v>2030.6156444302903</v>
      </c>
      <c r="AB102" s="187"/>
      <c r="AC102" s="187"/>
      <c r="AD102" s="187"/>
      <c r="AE102" s="187"/>
      <c r="AF102" s="187"/>
      <c r="AG102" s="187"/>
      <c r="AH102" s="187"/>
      <c r="AI102" s="187"/>
      <c r="AJ102" s="187"/>
      <c r="AK102" s="187"/>
      <c r="AL102" s="187"/>
      <c r="AM102" s="187"/>
      <c r="AN102" s="187"/>
      <c r="AO102" s="187"/>
      <c r="AP102" s="187"/>
      <c r="AQ102" s="187"/>
      <c r="AR102" s="187"/>
      <c r="AS102" s="187"/>
      <c r="AT102" s="187"/>
      <c r="AU102" s="187"/>
      <c r="AV102" s="187"/>
      <c r="AW102" s="187"/>
      <c r="AX102" s="187"/>
      <c r="AY102" s="187"/>
      <c r="AZ102" s="187"/>
      <c r="BA102" s="187"/>
    </row>
    <row r="103" spans="1:53" outlineLevel="1" x14ac:dyDescent="0.35">
      <c r="A103" s="6" t="s">
        <v>757</v>
      </c>
      <c r="B103" s="6">
        <f>'Results - raw data ReCiPe (H)'!CC90*'Results ReCiPe (H) - CC'!AC87*'Results ReCiPe (H) - CC'!AC88</f>
        <v>8218.9811246529116</v>
      </c>
      <c r="AB103" s="187"/>
      <c r="AC103" s="187"/>
      <c r="AD103" s="187"/>
      <c r="AE103" s="187"/>
      <c r="AF103" s="187"/>
      <c r="AG103" s="187"/>
      <c r="AH103" s="187"/>
      <c r="AI103" s="187"/>
      <c r="AJ103" s="187"/>
      <c r="AK103" s="187"/>
      <c r="AL103" s="187"/>
      <c r="AM103" s="187"/>
      <c r="AN103" s="187"/>
      <c r="AO103" s="187"/>
      <c r="AP103" s="187"/>
      <c r="AQ103" s="187"/>
      <c r="AR103" s="187"/>
      <c r="AS103" s="187"/>
      <c r="AT103" s="187"/>
      <c r="AU103" s="187"/>
      <c r="AV103" s="187"/>
      <c r="AW103" s="187"/>
      <c r="AX103" s="187"/>
      <c r="AY103" s="187"/>
      <c r="AZ103" s="187"/>
      <c r="BA103" s="187"/>
    </row>
    <row r="104" spans="1:53" outlineLevel="1" x14ac:dyDescent="0.35">
      <c r="A104" s="6" t="s">
        <v>22</v>
      </c>
      <c r="Z104" s="6">
        <f>'Results - raw data ReCiPe (H)'!DA91</f>
        <v>17.50501830102143</v>
      </c>
      <c r="AB104" s="187"/>
      <c r="AC104" s="187"/>
      <c r="AD104" s="187"/>
      <c r="AE104" s="187"/>
      <c r="AF104" s="187"/>
      <c r="AG104" s="187"/>
      <c r="AH104" s="187"/>
      <c r="AI104" s="187"/>
      <c r="AJ104" s="187"/>
      <c r="AK104" s="187"/>
      <c r="AL104" s="187"/>
      <c r="AM104" s="187"/>
      <c r="AN104" s="187"/>
      <c r="AO104" s="187"/>
      <c r="AP104" s="187"/>
      <c r="AQ104" s="187"/>
      <c r="AR104" s="187"/>
      <c r="AS104" s="187"/>
      <c r="AT104" s="187"/>
      <c r="AU104" s="187"/>
      <c r="AV104" s="187"/>
      <c r="AW104" s="187"/>
      <c r="AX104" s="187"/>
      <c r="AY104" s="187"/>
      <c r="AZ104" s="187"/>
      <c r="BA104" s="187"/>
    </row>
    <row r="105" spans="1:53" outlineLevel="1" x14ac:dyDescent="0.35">
      <c r="A105" s="6" t="s">
        <v>24</v>
      </c>
      <c r="Z105" s="6">
        <f>'Results - raw data ReCiPe (H)'!DA92</f>
        <v>6.1394952400305867</v>
      </c>
      <c r="AB105" s="187"/>
      <c r="AC105" s="187"/>
      <c r="AD105" s="187"/>
      <c r="AE105" s="187"/>
      <c r="AF105" s="187"/>
      <c r="AG105" s="187"/>
      <c r="AH105" s="187"/>
      <c r="AI105" s="187"/>
      <c r="AJ105" s="187"/>
      <c r="AK105" s="187"/>
      <c r="AL105" s="187"/>
      <c r="AM105" s="187"/>
      <c r="AN105" s="187"/>
      <c r="AO105" s="187"/>
      <c r="AP105" s="187"/>
      <c r="AQ105" s="187"/>
      <c r="AR105" s="187"/>
      <c r="AS105" s="187"/>
      <c r="AT105" s="187"/>
      <c r="AU105" s="187"/>
      <c r="AV105" s="187"/>
      <c r="AW105" s="187"/>
      <c r="AX105" s="187"/>
      <c r="AY105" s="187"/>
      <c r="AZ105" s="187"/>
      <c r="BA105" s="187"/>
    </row>
    <row r="106" spans="1:53" outlineLevel="1" x14ac:dyDescent="0.35">
      <c r="A106" s="6" t="s">
        <v>25</v>
      </c>
      <c r="Z106" s="6">
        <f>'Results - raw data ReCiPe (H)'!DA93</f>
        <v>18.736491486506349</v>
      </c>
      <c r="AB106" s="187"/>
      <c r="AC106" s="187"/>
      <c r="AD106" s="187"/>
      <c r="AE106" s="187"/>
      <c r="AF106" s="187"/>
      <c r="AG106" s="187"/>
      <c r="AH106" s="187"/>
      <c r="AI106" s="187"/>
      <c r="AJ106" s="187"/>
      <c r="AK106" s="187"/>
      <c r="AL106" s="187"/>
      <c r="AM106" s="187"/>
      <c r="AN106" s="187"/>
      <c r="AO106" s="187"/>
      <c r="AP106" s="187"/>
      <c r="AQ106" s="187"/>
      <c r="AR106" s="187"/>
      <c r="AS106" s="187"/>
      <c r="AT106" s="187"/>
      <c r="AU106" s="187"/>
      <c r="AV106" s="187"/>
      <c r="AW106" s="187"/>
      <c r="AX106" s="187"/>
      <c r="AY106" s="187"/>
      <c r="AZ106" s="187"/>
      <c r="BA106" s="187"/>
    </row>
    <row r="107" spans="1:53" outlineLevel="1" x14ac:dyDescent="0.35">
      <c r="A107" s="6" t="s">
        <v>27</v>
      </c>
      <c r="Z107" s="6">
        <f>'Results - raw data ReCiPe (H)'!DA94</f>
        <v>5.4960509125157726</v>
      </c>
      <c r="AB107" s="187"/>
      <c r="AC107" s="187"/>
      <c r="AD107" s="187"/>
      <c r="AE107" s="187"/>
      <c r="AF107" s="187"/>
      <c r="AG107" s="187"/>
      <c r="AH107" s="187"/>
      <c r="AI107" s="187"/>
      <c r="AJ107" s="187"/>
      <c r="AK107" s="187"/>
      <c r="AL107" s="187"/>
      <c r="AM107" s="187"/>
      <c r="AN107" s="187"/>
      <c r="AO107" s="187"/>
      <c r="AP107" s="187"/>
      <c r="AQ107" s="187"/>
      <c r="AR107" s="187"/>
      <c r="AS107" s="187"/>
      <c r="AT107" s="187"/>
      <c r="AU107" s="187"/>
      <c r="AV107" s="187"/>
      <c r="AW107" s="187"/>
      <c r="AX107" s="187"/>
      <c r="AY107" s="187"/>
      <c r="AZ107" s="187"/>
      <c r="BA107" s="187"/>
    </row>
    <row r="108" spans="1:53" outlineLevel="1" x14ac:dyDescent="0.35">
      <c r="A108" s="6" t="s">
        <v>30</v>
      </c>
      <c r="Z108" s="6">
        <f>'Results - raw data ReCiPe (H)'!DA95</f>
        <v>22.839582996658049</v>
      </c>
      <c r="AB108" s="187"/>
      <c r="AC108" s="187"/>
      <c r="AD108" s="187"/>
      <c r="AE108" s="187"/>
      <c r="AF108" s="187"/>
      <c r="AG108" s="187"/>
      <c r="AH108" s="187"/>
      <c r="AI108" s="187"/>
      <c r="AJ108" s="187"/>
      <c r="AK108" s="187"/>
      <c r="AL108" s="187"/>
      <c r="AM108" s="187"/>
      <c r="AN108" s="187"/>
      <c r="AO108" s="187"/>
      <c r="AP108" s="187"/>
      <c r="AQ108" s="187"/>
      <c r="AR108" s="187"/>
      <c r="AS108" s="187"/>
      <c r="AT108" s="187"/>
      <c r="AU108" s="187"/>
      <c r="AV108" s="187"/>
      <c r="AW108" s="187"/>
      <c r="AX108" s="187"/>
      <c r="AY108" s="187"/>
      <c r="AZ108" s="187"/>
      <c r="BA108" s="187"/>
    </row>
    <row r="109" spans="1:53" outlineLevel="1" x14ac:dyDescent="0.35">
      <c r="A109" s="6" t="s">
        <v>32</v>
      </c>
      <c r="Z109" s="6">
        <f>'Results - raw data ReCiPe (H)'!DA96</f>
        <v>0.53723365181465099</v>
      </c>
      <c r="AB109" s="187"/>
      <c r="AC109" s="187"/>
      <c r="AD109" s="187"/>
      <c r="AE109" s="187"/>
      <c r="AF109" s="187"/>
      <c r="AG109" s="187"/>
      <c r="AH109" s="187"/>
      <c r="AI109" s="187"/>
      <c r="AJ109" s="187"/>
      <c r="AK109" s="187"/>
      <c r="AL109" s="187"/>
      <c r="AM109" s="187"/>
      <c r="AN109" s="187"/>
      <c r="AO109" s="187"/>
      <c r="AP109" s="187"/>
      <c r="AQ109" s="187"/>
      <c r="AR109" s="187"/>
      <c r="AS109" s="187"/>
      <c r="AT109" s="187"/>
      <c r="AU109" s="187"/>
      <c r="AV109" s="187"/>
      <c r="AW109" s="187"/>
      <c r="AX109" s="187"/>
      <c r="AY109" s="187"/>
      <c r="AZ109" s="187"/>
      <c r="BA109" s="187"/>
    </row>
    <row r="110" spans="1:53" outlineLevel="1" x14ac:dyDescent="0.35">
      <c r="A110" s="6" t="s">
        <v>33</v>
      </c>
      <c r="Z110" s="6">
        <f>'Results - raw data ReCiPe (H)'!DA97</f>
        <v>5.4165037330899706</v>
      </c>
      <c r="AB110" s="187"/>
      <c r="AC110" s="187"/>
      <c r="AD110" s="187"/>
      <c r="AE110" s="187"/>
      <c r="AF110" s="187"/>
      <c r="AG110" s="187"/>
      <c r="AH110" s="187"/>
      <c r="AI110" s="187"/>
      <c r="AJ110" s="187"/>
      <c r="AK110" s="187"/>
      <c r="AL110" s="187"/>
      <c r="AM110" s="187"/>
      <c r="AN110" s="187"/>
      <c r="AO110" s="187"/>
      <c r="AP110" s="187"/>
      <c r="AQ110" s="187"/>
      <c r="AR110" s="187"/>
      <c r="AS110" s="187"/>
      <c r="AT110" s="187"/>
      <c r="AU110" s="187"/>
      <c r="AV110" s="187"/>
      <c r="AW110" s="187"/>
      <c r="AX110" s="187"/>
      <c r="AY110" s="187"/>
      <c r="AZ110" s="187"/>
      <c r="BA110" s="187"/>
    </row>
    <row r="111" spans="1:53" outlineLevel="1" x14ac:dyDescent="0.35">
      <c r="A111" s="6" t="s">
        <v>35</v>
      </c>
      <c r="Z111" s="6">
        <f>'Results - raw data ReCiPe (H)'!DA98</f>
        <v>10.833007466179939</v>
      </c>
      <c r="AB111" s="187"/>
      <c r="AC111" s="187"/>
      <c r="AD111" s="187"/>
      <c r="AE111" s="187"/>
      <c r="AF111" s="187"/>
      <c r="AG111" s="187"/>
      <c r="AH111" s="187"/>
      <c r="AI111" s="187"/>
      <c r="AJ111" s="187"/>
      <c r="AK111" s="187"/>
      <c r="AL111" s="187"/>
      <c r="AM111" s="187"/>
      <c r="AN111" s="187"/>
      <c r="AO111" s="187"/>
      <c r="AP111" s="187"/>
      <c r="AQ111" s="187"/>
      <c r="AR111" s="187"/>
      <c r="AS111" s="187"/>
      <c r="AT111" s="187"/>
      <c r="AU111" s="187"/>
      <c r="AV111" s="187"/>
      <c r="AW111" s="187"/>
      <c r="AX111" s="187"/>
      <c r="AY111" s="187"/>
      <c r="AZ111" s="187"/>
      <c r="BA111" s="187"/>
    </row>
    <row r="112" spans="1:53" outlineLevel="1" x14ac:dyDescent="0.35">
      <c r="A112" s="6" t="s">
        <v>37</v>
      </c>
      <c r="Z112" s="6">
        <f>'Results - raw data ReCiPe (H)'!DA99</f>
        <v>8.5312997818991647</v>
      </c>
      <c r="AB112" s="187"/>
      <c r="AC112" s="187"/>
      <c r="AD112" s="187"/>
      <c r="AE112" s="187"/>
      <c r="AF112" s="187"/>
      <c r="AG112" s="187"/>
      <c r="AH112" s="187"/>
      <c r="AI112" s="187"/>
      <c r="AJ112" s="187"/>
      <c r="AK112" s="187"/>
      <c r="AL112" s="187"/>
      <c r="AM112" s="187"/>
      <c r="AN112" s="187"/>
      <c r="AO112" s="187"/>
      <c r="AP112" s="187"/>
      <c r="AQ112" s="187"/>
      <c r="AR112" s="187"/>
      <c r="AS112" s="187"/>
      <c r="AT112" s="187"/>
      <c r="AU112" s="187"/>
      <c r="AV112" s="187"/>
      <c r="AW112" s="187"/>
      <c r="AX112" s="187"/>
      <c r="AY112" s="187"/>
      <c r="AZ112" s="187"/>
      <c r="BA112" s="187"/>
    </row>
    <row r="113" spans="1:53" outlineLevel="1" x14ac:dyDescent="0.35">
      <c r="A113" s="6" t="s">
        <v>40</v>
      </c>
      <c r="Z113" s="6">
        <f>'Results - raw data ReCiPe (H)'!DA100</f>
        <v>276.98759875301192</v>
      </c>
      <c r="AB113" s="187"/>
      <c r="AC113" s="187"/>
      <c r="AD113" s="187"/>
      <c r="AE113" s="187"/>
      <c r="AF113" s="187"/>
      <c r="AG113" s="187"/>
      <c r="AH113" s="187"/>
      <c r="AI113" s="187"/>
      <c r="AJ113" s="187"/>
      <c r="AK113" s="187"/>
      <c r="AL113" s="187"/>
      <c r="AM113" s="187"/>
      <c r="AN113" s="187"/>
      <c r="AO113" s="187"/>
      <c r="AP113" s="187"/>
      <c r="AQ113" s="187"/>
      <c r="AR113" s="187"/>
      <c r="AS113" s="187"/>
      <c r="AT113" s="187"/>
      <c r="AU113" s="187"/>
      <c r="AV113" s="187"/>
      <c r="AW113" s="187"/>
      <c r="AX113" s="187"/>
      <c r="AY113" s="187"/>
      <c r="AZ113" s="187"/>
      <c r="BA113" s="187"/>
    </row>
    <row r="114" spans="1:53" outlineLevel="1" x14ac:dyDescent="0.35">
      <c r="A114" s="6" t="s">
        <v>42</v>
      </c>
      <c r="Z114" s="6">
        <f>'Results - raw data ReCiPe (H)'!DA101</f>
        <v>21.184388048874229</v>
      </c>
      <c r="AB114" s="187"/>
      <c r="AC114" s="187"/>
      <c r="AD114" s="187"/>
      <c r="AE114" s="187"/>
      <c r="AF114" s="187"/>
      <c r="AG114" s="187"/>
      <c r="AH114" s="187"/>
      <c r="AI114" s="187"/>
      <c r="AJ114" s="187"/>
      <c r="AK114" s="187"/>
      <c r="AL114" s="187"/>
      <c r="AM114" s="187"/>
      <c r="AN114" s="187"/>
      <c r="AO114" s="187"/>
      <c r="AP114" s="187"/>
      <c r="AQ114" s="187"/>
      <c r="AR114" s="187"/>
      <c r="AS114" s="187"/>
      <c r="AT114" s="187"/>
      <c r="AU114" s="187"/>
      <c r="AV114" s="187"/>
      <c r="AW114" s="187"/>
      <c r="AX114" s="187"/>
      <c r="AY114" s="187"/>
      <c r="AZ114" s="187"/>
      <c r="BA114" s="187"/>
    </row>
    <row r="115" spans="1:53" outlineLevel="1" x14ac:dyDescent="0.35">
      <c r="A115" s="6" t="s">
        <v>115</v>
      </c>
      <c r="Z115" s="6">
        <f>'Results - raw data ReCiPe (H)'!DA102</f>
        <v>111.8950350765938</v>
      </c>
    </row>
    <row r="116" spans="1:53" outlineLevel="1" x14ac:dyDescent="0.35">
      <c r="A116" s="6" t="s">
        <v>45</v>
      </c>
      <c r="Z116" s="6">
        <f>'Results - raw data ReCiPe (H)'!DA103*AC87*AC88</f>
        <v>19.710037603247073</v>
      </c>
    </row>
    <row r="117" spans="1:53" outlineLevel="1" x14ac:dyDescent="0.35">
      <c r="A117" s="6" t="s">
        <v>116</v>
      </c>
      <c r="B117" s="6">
        <f>'Results - raw data ReCiPe (H)'!CC104</f>
        <v>960.18627888201729</v>
      </c>
      <c r="C117" s="6">
        <f>'Results - raw data ReCiPe (H)'!CD104</f>
        <v>940.20848272169962</v>
      </c>
      <c r="D117" s="6">
        <f>'Results - raw data ReCiPe (H)'!CE104</f>
        <v>919.97849385793086</v>
      </c>
      <c r="E117" s="6">
        <f>'Results - raw data ReCiPe (H)'!CF104</f>
        <v>894.9053469828998</v>
      </c>
      <c r="F117" s="6">
        <f>'Results - raw data ReCiPe (H)'!CG104</f>
        <v>874.14560255740878</v>
      </c>
      <c r="G117" s="6">
        <f>'Results - raw data ReCiPe (H)'!CH104</f>
        <v>853.02566083551835</v>
      </c>
      <c r="H117" s="6">
        <f>'Results - raw data ReCiPe (H)'!CI104</f>
        <v>847.74542197239737</v>
      </c>
      <c r="I117" s="6">
        <f>'Results - raw data ReCiPe (H)'!CJ104</f>
        <v>842.52429825235538</v>
      </c>
      <c r="J117" s="6">
        <f>'Results - raw data ReCiPe (H)'!CK104</f>
        <v>834.79260296691643</v>
      </c>
      <c r="K117" s="6">
        <f>'Results - raw data ReCiPe (H)'!CL104</f>
        <v>829.74040861154253</v>
      </c>
      <c r="L117" s="6">
        <f>'Results - raw data ReCiPe (H)'!CM104</f>
        <v>824.73326237106448</v>
      </c>
      <c r="M117" s="6">
        <f>'Results - raw data ReCiPe (H)'!CN104</f>
        <v>823.07344849097387</v>
      </c>
      <c r="N117" s="6">
        <f>'Results - raw data ReCiPe (H)'!CO104</f>
        <v>821.41329377436136</v>
      </c>
      <c r="O117" s="6">
        <f>'Results - raw data ReCiPe (H)'!CP104</f>
        <v>819.03371604470158</v>
      </c>
      <c r="P117" s="6">
        <f>'Results - raw data ReCiPe (H)'!CQ104</f>
        <v>817.39547696635384</v>
      </c>
      <c r="Q117" s="6">
        <f>'Results - raw data ReCiPe (H)'!CR104</f>
        <v>815.75248373031479</v>
      </c>
      <c r="R117" s="6">
        <f>'Results - raw data ReCiPe (H)'!CS104</f>
        <v>813.65077703361283</v>
      </c>
      <c r="S117" s="6">
        <f>'Results - raw data ReCiPe (H)'!CT104</f>
        <v>811.56970808838173</v>
      </c>
      <c r="T117" s="6">
        <f>'Results - raw data ReCiPe (H)'!CU104</f>
        <v>808.99669973300752</v>
      </c>
      <c r="U117" s="6">
        <f>'Results - raw data ReCiPe (H)'!CV104</f>
        <v>806.98075822559349</v>
      </c>
      <c r="V117" s="6">
        <f>'Results - raw data ReCiPe (H)'!CW104</f>
        <v>804.98906592315427</v>
      </c>
      <c r="W117" s="6">
        <f>'Results - raw data ReCiPe (H)'!CX104</f>
        <v>803.6131276705886</v>
      </c>
      <c r="X117" s="6">
        <f>'Results - raw data ReCiPe (H)'!CY104</f>
        <v>802.07562707288832</v>
      </c>
      <c r="Y117" s="6">
        <f>'Results - raw data ReCiPe (H)'!CZ104</f>
        <v>800.54526605146236</v>
      </c>
      <c r="Z117" s="6">
        <f>'Results - raw data ReCiPe (H)'!DA104</f>
        <v>799.02195316520056</v>
      </c>
    </row>
    <row r="118" spans="1:53" outlineLevel="1" x14ac:dyDescent="0.35">
      <c r="A118" s="6" t="s">
        <v>758</v>
      </c>
      <c r="B118" s="6">
        <f>'Results - raw data ReCiPe (H)'!CC105*$AC$87</f>
        <v>1171.75360790124</v>
      </c>
      <c r="C118" s="6">
        <f>'Results - raw data ReCiPe (H)'!CD105*$AC$87</f>
        <v>985.51848325044398</v>
      </c>
      <c r="D118" s="6">
        <f>'Results - raw data ReCiPe (H)'!CE105*$AC$87</f>
        <v>800.31926123191045</v>
      </c>
      <c r="E118" s="6">
        <f>'Results - raw data ReCiPe (H)'!CF105*$AC$87</f>
        <v>613.03530748482558</v>
      </c>
      <c r="F118" s="6">
        <f>'Results - raw data ReCiPe (H)'!CG105*$AC$87</f>
        <v>429.65944414908608</v>
      </c>
      <c r="G118" s="6">
        <f>'Results - raw data ReCiPe (H)'!CH105*$AC$87</f>
        <v>247.19654517566713</v>
      </c>
      <c r="H118" s="6">
        <f>'Results - raw data ReCiPe (H)'!CI105*$AC$87</f>
        <v>203.72460308086019</v>
      </c>
      <c r="I118" s="6">
        <f>'Results - raw data ReCiPe (H)'!CJ105*$AC$87</f>
        <v>160.20421119621818</v>
      </c>
      <c r="J118" s="6">
        <f>'Results - raw data ReCiPe (H)'!CK105*$AC$87</f>
        <v>114.01691925412281</v>
      </c>
      <c r="K118" s="6">
        <f>'Results - raw data ReCiPe (H)'!CL105*$AC$87</f>
        <v>70.328108989120295</v>
      </c>
      <c r="L118" s="6">
        <f>'Results - raw data ReCiPe (H)'!CM105*$AC$87</f>
        <v>26.586889365791922</v>
      </c>
      <c r="M118" s="6">
        <f>'Results - raw data ReCiPe (H)'!CN105*$AC$87</f>
        <v>4.7592472154073473</v>
      </c>
      <c r="N118" s="6">
        <f>'Results - raw data ReCiPe (H)'!CO105*$AC$87</f>
        <v>-17.042266268320962</v>
      </c>
      <c r="O118" s="6">
        <f>'Results - raw data ReCiPe (H)'!CP105*$AC$87</f>
        <v>-39.31984498306106</v>
      </c>
      <c r="P118" s="6">
        <f>'Results - raw data ReCiPe (H)'!CQ105*$AC$87</f>
        <v>-61.06491878989204</v>
      </c>
      <c r="Q118" s="6">
        <f>'Results - raw data ReCiPe (H)'!CR105*$AC$87</f>
        <v>-82.796745892243422</v>
      </c>
      <c r="R118" s="6">
        <f>'Results - raw data ReCiPe (H)'!CS105*$AC$87</f>
        <v>-128.24040253891349</v>
      </c>
      <c r="S118" s="6">
        <f>'Results - raw data ReCiPe (H)'!CT105*$AC$87</f>
        <v>-173.74520002908028</v>
      </c>
      <c r="T118" s="6">
        <f>'Results - raw data ReCiPe (H)'!CU105*$AC$87</f>
        <v>-219.65990731184971</v>
      </c>
      <c r="U118" s="6">
        <f>'Results - raw data ReCiPe (H)'!CV105*$AC$87</f>
        <v>-265.25926317957271</v>
      </c>
      <c r="V118" s="6">
        <f>'Results - raw data ReCiPe (H)'!CW105*$AC$87</f>
        <v>-310.8897424868058</v>
      </c>
      <c r="W118" s="6">
        <f>'Results - raw data ReCiPe (H)'!CX105*$AC$87</f>
        <v>-349.61909568361528</v>
      </c>
      <c r="X118" s="6">
        <f>'Results - raw data ReCiPe (H)'!CY105*$AC$87</f>
        <v>-389.36755041297459</v>
      </c>
      <c r="Y118" s="6">
        <f>'Results - raw data ReCiPe (H)'!CZ105*$AC$87</f>
        <v>-429.10525550438609</v>
      </c>
      <c r="Z118" s="6">
        <f>'Results - raw data ReCiPe (H)'!DA105*$AC$87</f>
        <v>-468.83374695402216</v>
      </c>
    </row>
    <row r="119" spans="1:53" outlineLevel="1" x14ac:dyDescent="0.35">
      <c r="A119" s="6" t="s">
        <v>759</v>
      </c>
      <c r="B119" s="6">
        <f>'Results - raw data ReCiPe (H)'!CC106</f>
        <v>0</v>
      </c>
      <c r="C119" s="6">
        <f>'Results - raw data ReCiPe (H)'!CD106</f>
        <v>0</v>
      </c>
      <c r="D119" s="6">
        <f>'Results - raw data ReCiPe (H)'!CE106</f>
        <v>0</v>
      </c>
      <c r="E119" s="6">
        <f>'Results - raw data ReCiPe (H)'!CF106</f>
        <v>0</v>
      </c>
      <c r="F119" s="6">
        <f>'Results - raw data ReCiPe (H)'!CG106</f>
        <v>0</v>
      </c>
      <c r="G119" s="6">
        <f>'Results - raw data ReCiPe (H)'!CH106</f>
        <v>0</v>
      </c>
      <c r="H119" s="6">
        <f>'Results - raw data ReCiPe (H)'!CI106</f>
        <v>0</v>
      </c>
      <c r="I119" s="6">
        <f>'Results - raw data ReCiPe (H)'!CJ106</f>
        <v>0</v>
      </c>
      <c r="J119" s="6">
        <f>'Results - raw data ReCiPe (H)'!CK106</f>
        <v>0</v>
      </c>
      <c r="K119" s="6">
        <f>'Results - raw data ReCiPe (H)'!CL106</f>
        <v>0</v>
      </c>
      <c r="L119" s="6">
        <f>'Results - raw data ReCiPe (H)'!CM106</f>
        <v>0</v>
      </c>
      <c r="M119" s="6">
        <f>'Results - raw data ReCiPe (H)'!CN106</f>
        <v>0</v>
      </c>
      <c r="N119" s="6">
        <f>'Results - raw data ReCiPe (H)'!CO106</f>
        <v>0</v>
      </c>
      <c r="O119" s="6">
        <f>'Results - raw data ReCiPe (H)'!CP106</f>
        <v>0</v>
      </c>
      <c r="P119" s="6">
        <f>'Results - raw data ReCiPe (H)'!CQ106</f>
        <v>0</v>
      </c>
      <c r="Q119" s="6">
        <f>'Results - raw data ReCiPe (H)'!CR106</f>
        <v>0</v>
      </c>
      <c r="R119" s="6">
        <f>'Results - raw data ReCiPe (H)'!CS106</f>
        <v>0</v>
      </c>
      <c r="S119" s="6">
        <f>'Results - raw data ReCiPe (H)'!CT106</f>
        <v>0</v>
      </c>
      <c r="T119" s="6">
        <f>'Results - raw data ReCiPe (H)'!CU106</f>
        <v>0</v>
      </c>
      <c r="U119" s="6">
        <f>'Results - raw data ReCiPe (H)'!CV106</f>
        <v>0</v>
      </c>
      <c r="V119" s="6">
        <f>'Results - raw data ReCiPe (H)'!CW106</f>
        <v>0</v>
      </c>
      <c r="W119" s="6">
        <f>'Results - raw data ReCiPe (H)'!CX106</f>
        <v>0</v>
      </c>
      <c r="X119" s="6">
        <f>'Results - raw data ReCiPe (H)'!CY106</f>
        <v>0</v>
      </c>
      <c r="Y119" s="6">
        <f>'Results - raw data ReCiPe (H)'!CZ106</f>
        <v>0</v>
      </c>
      <c r="Z119" s="6">
        <f>'Results - raw data ReCiPe (H)'!DA106</f>
        <v>0</v>
      </c>
    </row>
    <row r="120" spans="1:53" outlineLevel="1" x14ac:dyDescent="0.35">
      <c r="A120" s="6" t="s">
        <v>760</v>
      </c>
      <c r="B120" s="6">
        <f>'Results - raw data ReCiPe (H)'!CC107</f>
        <v>14058.151241733231</v>
      </c>
      <c r="C120" s="6">
        <f>'Results - raw data ReCiPe (H)'!CD107</f>
        <v>11676.388562983941</v>
      </c>
      <c r="D120" s="6">
        <f>'Results - raw data ReCiPe (H)'!CE107</f>
        <v>9292.1219783832294</v>
      </c>
      <c r="E120" s="6">
        <f>'Results - raw data ReCiPe (H)'!CF107</f>
        <v>6869.3139490106896</v>
      </c>
      <c r="F120" s="6">
        <f>'Results - raw data ReCiPe (H)'!CG107</f>
        <v>4476.9179466587984</v>
      </c>
      <c r="G120" s="6">
        <f>'Results - raw data ReCiPe (H)'!CH107</f>
        <v>2080.6598667221319</v>
      </c>
      <c r="H120" s="6">
        <f>'Results - raw data ReCiPe (H)'!CI107</f>
        <v>1508.785692189296</v>
      </c>
      <c r="I120" s="6">
        <f>'Results - raw data ReCiPe (H)'!CJ107</f>
        <v>933.81585913307208</v>
      </c>
      <c r="J120" s="6">
        <f>'Results - raw data ReCiPe (H)'!CK107</f>
        <v>323.7764311484641</v>
      </c>
      <c r="K120" s="6">
        <f>'Results - raw data ReCiPe (H)'!CL107</f>
        <v>-258.54024816438982</v>
      </c>
      <c r="L120" s="6">
        <f>'Results - raw data ReCiPe (H)'!CM107</f>
        <v>-844.05884908758617</v>
      </c>
      <c r="M120" s="6">
        <f>'Results - raw data ReCiPe (H)'!CN107</f>
        <v>-1130.399070685854</v>
      </c>
      <c r="N120" s="6">
        <f>'Results - raw data ReCiPe (H)'!CO107</f>
        <v>-1416.030637130893</v>
      </c>
      <c r="O120" s="6">
        <f>'Results - raw data ReCiPe (H)'!CP107</f>
        <v>-1706.88274508276</v>
      </c>
      <c r="P120" s="6">
        <f>'Results - raw data ReCiPe (H)'!CQ107</f>
        <v>-1991.0542411399681</v>
      </c>
      <c r="Q120" s="6">
        <f>'Results - raw data ReCiPe (H)'!CR107</f>
        <v>-2274.6784292096272</v>
      </c>
      <c r="R120" s="6">
        <f>'Results - raw data ReCiPe (H)'!CS107</f>
        <v>-2855.499764819207</v>
      </c>
      <c r="S120" s="6">
        <f>'Results - raw data ReCiPe (H)'!CT107</f>
        <v>-3431.837072750604</v>
      </c>
      <c r="T120" s="6">
        <f>'Results - raw data ReCiPe (H)'!CU107</f>
        <v>-4007.8147292090771</v>
      </c>
      <c r="U120" s="6">
        <f>'Results - raw data ReCiPe (H)'!CV107</f>
        <v>-4574.9912372336912</v>
      </c>
      <c r="V120" s="6">
        <f>'Results - raw data ReCiPe (H)'!CW107</f>
        <v>-5137.4611042113993</v>
      </c>
      <c r="W120" s="6">
        <f>'Results - raw data ReCiPe (H)'!CX107</f>
        <v>-5657.6340595571864</v>
      </c>
      <c r="X120" s="6">
        <f>'Results - raw data ReCiPe (H)'!CY107</f>
        <v>-6192.4213061538921</v>
      </c>
      <c r="Y120" s="6">
        <f>'Results - raw data ReCiPe (H)'!CZ107</f>
        <v>-6728.6682576076137</v>
      </c>
      <c r="Z120" s="6">
        <f>'Results - raw data ReCiPe (H)'!DA107</f>
        <v>-7266.3962600142286</v>
      </c>
    </row>
    <row r="121" spans="1:53" outlineLevel="1" x14ac:dyDescent="0.35">
      <c r="A121" s="23" t="s">
        <v>125</v>
      </c>
      <c r="B121" s="17">
        <f t="shared" ref="B121:Z121" si="14">SUM(B90:B120)</f>
        <v>45989.906282510958</v>
      </c>
      <c r="C121" s="17">
        <f t="shared" si="14"/>
        <v>13602.115528956085</v>
      </c>
      <c r="D121" s="17">
        <f t="shared" si="14"/>
        <v>11012.419733473071</v>
      </c>
      <c r="E121" s="17">
        <f t="shared" si="14"/>
        <v>8377.2546034784154</v>
      </c>
      <c r="F121" s="17">
        <f t="shared" si="14"/>
        <v>5780.7229933652934</v>
      </c>
      <c r="G121" s="17">
        <f t="shared" si="14"/>
        <v>3180.8820727333177</v>
      </c>
      <c r="H121" s="17">
        <f t="shared" si="14"/>
        <v>2560.2557172425536</v>
      </c>
      <c r="I121" s="17">
        <f t="shared" si="14"/>
        <v>1936.5443685816456</v>
      </c>
      <c r="J121" s="17">
        <f t="shared" si="14"/>
        <v>1272.5859533695034</v>
      </c>
      <c r="K121" s="17">
        <f t="shared" si="14"/>
        <v>641.52826943627304</v>
      </c>
      <c r="L121" s="17">
        <f t="shared" si="14"/>
        <v>7.261302649270192</v>
      </c>
      <c r="M121" s="17">
        <f t="shared" si="14"/>
        <v>-302.56637497947281</v>
      </c>
      <c r="N121" s="17">
        <f t="shared" si="14"/>
        <v>-611.65960962485258</v>
      </c>
      <c r="O121" s="17">
        <f t="shared" si="14"/>
        <v>-927.16887402111956</v>
      </c>
      <c r="P121" s="17">
        <f t="shared" si="14"/>
        <v>-1234.7236829635062</v>
      </c>
      <c r="Q121" s="17">
        <f t="shared" si="14"/>
        <v>-1541.7226913715558</v>
      </c>
      <c r="R121" s="17">
        <f t="shared" si="14"/>
        <v>-2170.0893903245078</v>
      </c>
      <c r="S121" s="17">
        <f t="shared" si="14"/>
        <v>-2794.0125646913025</v>
      </c>
      <c r="T121" s="17">
        <f t="shared" si="14"/>
        <v>-3418.4779367879191</v>
      </c>
      <c r="U121" s="17">
        <f t="shared" si="14"/>
        <v>-4033.2697421876705</v>
      </c>
      <c r="V121" s="17">
        <f t="shared" si="14"/>
        <v>-4643.3617807750506</v>
      </c>
      <c r="W121" s="17">
        <f t="shared" si="14"/>
        <v>-5203.6400275702135</v>
      </c>
      <c r="X121" s="17">
        <f t="shared" si="14"/>
        <v>-5779.7132294939784</v>
      </c>
      <c r="Y121" s="17">
        <f t="shared" si="14"/>
        <v>-6357.2282470605378</v>
      </c>
      <c r="Z121" s="17">
        <f t="shared" si="14"/>
        <v>-6410.3963107516074</v>
      </c>
    </row>
    <row r="122" spans="1:53" s="26" customFormat="1" outlineLevel="1" x14ac:dyDescent="0.35"/>
    <row r="123" spans="1:53" s="221" customFormat="1" ht="21" x14ac:dyDescent="0.5">
      <c r="A123" s="229" t="s">
        <v>850</v>
      </c>
    </row>
    <row r="124" spans="1:53" s="18" customFormat="1" ht="21" x14ac:dyDescent="0.5">
      <c r="A124" s="18" t="s">
        <v>72</v>
      </c>
    </row>
    <row r="125" spans="1:53" s="20" customFormat="1" outlineLevel="1" x14ac:dyDescent="0.35">
      <c r="A125" s="19" t="s">
        <v>766</v>
      </c>
    </row>
    <row r="126" spans="1:53" s="16" customFormat="1" outlineLevel="1" x14ac:dyDescent="0.35">
      <c r="A126" s="21"/>
      <c r="AB126" s="16" t="s">
        <v>801</v>
      </c>
      <c r="AC126" s="16">
        <v>1</v>
      </c>
      <c r="AD126" s="16" t="s">
        <v>146</v>
      </c>
      <c r="AE126" s="15"/>
    </row>
    <row r="127" spans="1:53" s="16" customFormat="1" outlineLevel="1" x14ac:dyDescent="0.35">
      <c r="A127" s="22" t="s">
        <v>566</v>
      </c>
      <c r="AC127" s="16">
        <f>AC126*1000</f>
        <v>1000</v>
      </c>
      <c r="AD127" s="16" t="s">
        <v>144</v>
      </c>
    </row>
    <row r="128" spans="1:53" s="16" customFormat="1" outlineLevel="1" x14ac:dyDescent="0.35">
      <c r="A128" s="22"/>
      <c r="AB128" s="16" t="s">
        <v>127</v>
      </c>
      <c r="AC128" s="16">
        <v>100</v>
      </c>
      <c r="AD128" s="16" t="s">
        <v>128</v>
      </c>
    </row>
    <row r="129" spans="1:53" s="16" customFormat="1" outlineLevel="1" x14ac:dyDescent="0.35">
      <c r="A129" s="230" t="s">
        <v>768</v>
      </c>
      <c r="AB129" s="16" t="s">
        <v>20</v>
      </c>
      <c r="AC129" s="16">
        <v>0.23</v>
      </c>
      <c r="AD129" s="16" t="s">
        <v>715</v>
      </c>
    </row>
    <row r="130" spans="1:53" s="16" customFormat="1" outlineLevel="1" x14ac:dyDescent="0.35">
      <c r="A130" s="22"/>
      <c r="AB130" s="16" t="s">
        <v>129</v>
      </c>
      <c r="AC130" s="16">
        <v>25</v>
      </c>
      <c r="AD130" s="16" t="s">
        <v>130</v>
      </c>
    </row>
    <row r="131" spans="1:53" outlineLevel="1" x14ac:dyDescent="0.35">
      <c r="B131" s="25">
        <v>2030</v>
      </c>
      <c r="C131" s="25">
        <v>2031</v>
      </c>
      <c r="D131" s="25">
        <v>2032</v>
      </c>
      <c r="E131" s="25">
        <v>2033</v>
      </c>
      <c r="F131" s="25">
        <v>2034</v>
      </c>
      <c r="G131" s="25">
        <v>2035</v>
      </c>
      <c r="H131" s="25">
        <v>2036</v>
      </c>
      <c r="I131" s="25">
        <v>2037</v>
      </c>
      <c r="J131" s="25">
        <v>2038</v>
      </c>
      <c r="K131" s="25">
        <v>2039</v>
      </c>
      <c r="L131" s="25">
        <v>2040</v>
      </c>
      <c r="M131" s="25">
        <v>2041</v>
      </c>
      <c r="N131" s="25">
        <v>2042</v>
      </c>
      <c r="O131" s="25">
        <v>2043</v>
      </c>
      <c r="P131" s="25">
        <v>2044</v>
      </c>
      <c r="Q131" s="25">
        <v>2045</v>
      </c>
      <c r="R131" s="25">
        <v>2046</v>
      </c>
      <c r="S131" s="25">
        <v>2047</v>
      </c>
      <c r="T131" s="25">
        <v>2048</v>
      </c>
      <c r="U131" s="25">
        <v>2049</v>
      </c>
      <c r="V131" s="25">
        <v>2050</v>
      </c>
      <c r="W131" s="25">
        <v>2051</v>
      </c>
      <c r="X131" s="25">
        <v>2052</v>
      </c>
      <c r="Y131" s="25">
        <v>2053</v>
      </c>
      <c r="Z131" s="25">
        <v>2054</v>
      </c>
      <c r="AC131" s="25">
        <v>2030</v>
      </c>
      <c r="AD131" s="25">
        <v>2031</v>
      </c>
      <c r="AE131" s="25">
        <v>2032</v>
      </c>
      <c r="AF131" s="25">
        <v>2033</v>
      </c>
      <c r="AG131" s="25">
        <v>2034</v>
      </c>
      <c r="AH131" s="25">
        <v>2035</v>
      </c>
      <c r="AI131" s="25">
        <v>2036</v>
      </c>
      <c r="AJ131" s="25">
        <v>2037</v>
      </c>
      <c r="AK131" s="25">
        <v>2038</v>
      </c>
      <c r="AL131" s="25">
        <v>2039</v>
      </c>
      <c r="AM131" s="25">
        <v>2040</v>
      </c>
      <c r="AN131" s="25">
        <v>2041</v>
      </c>
      <c r="AO131" s="25">
        <v>2042</v>
      </c>
      <c r="AP131" s="25">
        <v>2043</v>
      </c>
      <c r="AQ131" s="25">
        <v>2044</v>
      </c>
      <c r="AR131" s="25">
        <v>2045</v>
      </c>
      <c r="AS131" s="25">
        <v>2046</v>
      </c>
      <c r="AT131" s="25">
        <v>2047</v>
      </c>
      <c r="AU131" s="25">
        <v>2048</v>
      </c>
      <c r="AV131" s="25">
        <v>2049</v>
      </c>
      <c r="AW131" s="25">
        <v>2050</v>
      </c>
      <c r="AX131" s="25">
        <v>2051</v>
      </c>
      <c r="AY131" s="25">
        <v>2052</v>
      </c>
      <c r="AZ131" s="25">
        <v>2053</v>
      </c>
      <c r="BA131" s="25">
        <v>2054</v>
      </c>
    </row>
    <row r="132" spans="1:53" outlineLevel="1" x14ac:dyDescent="0.35">
      <c r="A132" s="6" t="s">
        <v>21</v>
      </c>
      <c r="B132" s="6">
        <f>'Results - raw data ReCiPe (H)'!CC5</f>
        <v>736.5346492975043</v>
      </c>
      <c r="AB132" s="6" t="s">
        <v>117</v>
      </c>
      <c r="AC132" s="6">
        <f>SUM(B132:B143)+B145</f>
        <v>38347.290835764303</v>
      </c>
    </row>
    <row r="133" spans="1:53" outlineLevel="1" x14ac:dyDescent="0.35">
      <c r="A133" s="6" t="s">
        <v>23</v>
      </c>
      <c r="B133" s="6">
        <f>'Results - raw data ReCiPe (H)'!CC6</f>
        <v>964.71070101214207</v>
      </c>
      <c r="AB133" s="6" t="s">
        <v>118</v>
      </c>
      <c r="AC133" s="6">
        <f>B144</f>
        <v>2481.0563584021374</v>
      </c>
    </row>
    <row r="134" spans="1:53" outlineLevel="1" x14ac:dyDescent="0.35">
      <c r="A134" s="6" t="s">
        <v>26</v>
      </c>
      <c r="B134" s="6">
        <f>'Results - raw data ReCiPe (H)'!CC7</f>
        <v>3012.330013181167</v>
      </c>
      <c r="AB134" s="6" t="s">
        <v>119</v>
      </c>
      <c r="BA134" s="6">
        <f>SUM(Z146:Z157)</f>
        <v>691.18373370688425</v>
      </c>
    </row>
    <row r="135" spans="1:53" outlineLevel="1" x14ac:dyDescent="0.35">
      <c r="A135" s="6" t="s">
        <v>28</v>
      </c>
      <c r="B135" s="6">
        <f>'Results - raw data ReCiPe (H)'!CC8</f>
        <v>2745.9417900267481</v>
      </c>
      <c r="AB135" s="6" t="s">
        <v>120</v>
      </c>
      <c r="BA135" s="6">
        <f>Z158</f>
        <v>22.494520912096178</v>
      </c>
    </row>
    <row r="136" spans="1:53" outlineLevel="1" x14ac:dyDescent="0.35">
      <c r="A136" s="6" t="s">
        <v>29</v>
      </c>
      <c r="B136" s="6">
        <f>'Results - raw data ReCiPe (H)'!CC9</f>
        <v>1625.298034289408</v>
      </c>
      <c r="AB136" s="6" t="s">
        <v>121</v>
      </c>
      <c r="AC136" s="6">
        <f>B159</f>
        <v>1186.4815932558031</v>
      </c>
      <c r="AF136" s="6">
        <f>E159</f>
        <v>1175.2724845293581</v>
      </c>
      <c r="AI136" s="6">
        <f>H159</f>
        <v>1172.0887619145631</v>
      </c>
      <c r="AL136" s="6">
        <f>K159</f>
        <v>1171.5419235181971</v>
      </c>
      <c r="AO136" s="6">
        <f>N159</f>
        <v>1176.0346869666</v>
      </c>
      <c r="AR136" s="6">
        <f>Q159</f>
        <v>1180.8592879535349</v>
      </c>
      <c r="AU136" s="6">
        <f>T159</f>
        <v>1165.597336992987</v>
      </c>
      <c r="AX136" s="6">
        <f>W159</f>
        <v>1149.242533712596</v>
      </c>
      <c r="BA136" s="6">
        <f>Z159</f>
        <v>1126.377758844686</v>
      </c>
    </row>
    <row r="137" spans="1:53" outlineLevel="1" x14ac:dyDescent="0.35">
      <c r="A137" s="6" t="s">
        <v>31</v>
      </c>
      <c r="B137" s="6">
        <f>'Results - raw data ReCiPe (H)'!CC10</f>
        <v>1150.5712368961119</v>
      </c>
      <c r="AB137" s="6" t="s">
        <v>122</v>
      </c>
      <c r="AC137" s="6">
        <f>B162+B161</f>
        <v>28531.349319324079</v>
      </c>
      <c r="AD137" s="6">
        <f t="shared" ref="AD137:BA137" si="15">C162+C161</f>
        <v>28506.995685263922</v>
      </c>
      <c r="AE137" s="6">
        <f t="shared" si="15"/>
        <v>28482.901475237042</v>
      </c>
      <c r="AF137" s="6">
        <f t="shared" si="15"/>
        <v>28430.865012883762</v>
      </c>
      <c r="AG137" s="6">
        <f t="shared" si="15"/>
        <v>28407.4088652508</v>
      </c>
      <c r="AH137" s="6">
        <f t="shared" si="15"/>
        <v>28384.042112015875</v>
      </c>
      <c r="AI137" s="6">
        <f t="shared" si="15"/>
        <v>30424.177244495266</v>
      </c>
      <c r="AJ137" s="6">
        <f t="shared" si="15"/>
        <v>32460.195246589479</v>
      </c>
      <c r="AK137" s="6">
        <f t="shared" si="15"/>
        <v>34473.950782978718</v>
      </c>
      <c r="AL137" s="6">
        <f t="shared" si="15"/>
        <v>36503.927780663369</v>
      </c>
      <c r="AM137" s="6">
        <f t="shared" si="15"/>
        <v>38527.656098677326</v>
      </c>
      <c r="AN137" s="6">
        <f t="shared" si="15"/>
        <v>42099.945078060722</v>
      </c>
      <c r="AO137" s="6">
        <f t="shared" si="15"/>
        <v>45673.470681205581</v>
      </c>
      <c r="AP137" s="6">
        <f t="shared" si="15"/>
        <v>49244.80916022259</v>
      </c>
      <c r="AQ137" s="6">
        <f t="shared" si="15"/>
        <v>52820.531686011316</v>
      </c>
      <c r="AR137" s="6">
        <f t="shared" si="15"/>
        <v>56397.47818301693</v>
      </c>
      <c r="AS137" s="6">
        <f t="shared" si="15"/>
        <v>57027.199122352409</v>
      </c>
      <c r="AT137" s="6">
        <f t="shared" si="15"/>
        <v>57656.610622852109</v>
      </c>
      <c r="AU137" s="6">
        <f t="shared" si="15"/>
        <v>58282.680978138909</v>
      </c>
      <c r="AV137" s="6">
        <f t="shared" si="15"/>
        <v>58911.741062602756</v>
      </c>
      <c r="AW137" s="6">
        <f t="shared" si="15"/>
        <v>59540.667752487025</v>
      </c>
      <c r="AX137" s="6">
        <f t="shared" si="15"/>
        <v>59145.583527843606</v>
      </c>
      <c r="AY137" s="6">
        <f t="shared" si="15"/>
        <v>57705.077483114423</v>
      </c>
      <c r="AZ137" s="6">
        <f t="shared" si="15"/>
        <v>56259.922235753504</v>
      </c>
      <c r="BA137" s="6">
        <f t="shared" si="15"/>
        <v>54810.069670257966</v>
      </c>
    </row>
    <row r="138" spans="1:53" outlineLevel="1" x14ac:dyDescent="0.35">
      <c r="A138" s="6" t="s">
        <v>34</v>
      </c>
      <c r="B138" s="6">
        <f>'Results - raw data ReCiPe (H)'!CC11</f>
        <v>772.05259525488657</v>
      </c>
      <c r="AB138" s="6" t="s">
        <v>123</v>
      </c>
      <c r="AC138" s="6">
        <f t="shared" ref="AC138:BA138" si="16">B160</f>
        <v>2943.7924966964761</v>
      </c>
      <c r="AD138" s="6">
        <f t="shared" si="16"/>
        <v>2937.0897191785971</v>
      </c>
      <c r="AE138" s="6">
        <f t="shared" si="16"/>
        <v>2930.4084088828381</v>
      </c>
      <c r="AF138" s="6">
        <f t="shared" si="16"/>
        <v>2921.021975351232</v>
      </c>
      <c r="AG138" s="6">
        <f t="shared" si="16"/>
        <v>2914.389295446806</v>
      </c>
      <c r="AH138" s="6">
        <f t="shared" si="16"/>
        <v>2907.7604797022491</v>
      </c>
      <c r="AI138" s="6">
        <f t="shared" si="16"/>
        <v>3106.8746566307573</v>
      </c>
      <c r="AJ138" s="6">
        <f t="shared" si="16"/>
        <v>3304.9923424910412</v>
      </c>
      <c r="AK138" s="6">
        <f t="shared" si="16"/>
        <v>3500.3497219968858</v>
      </c>
      <c r="AL138" s="6">
        <f t="shared" si="16"/>
        <v>3696.7044926235994</v>
      </c>
      <c r="AM138" s="6">
        <f t="shared" si="16"/>
        <v>3891.8630991223208</v>
      </c>
      <c r="AN138" s="6">
        <f t="shared" si="16"/>
        <v>4240.1167474471504</v>
      </c>
      <c r="AO138" s="6">
        <f t="shared" si="16"/>
        <v>4587.6836565978592</v>
      </c>
      <c r="AP138" s="6">
        <f t="shared" si="16"/>
        <v>4934.2265970799035</v>
      </c>
      <c r="AQ138" s="6">
        <f t="shared" si="16"/>
        <v>5280.3949676992415</v>
      </c>
      <c r="AR138" s="6">
        <f t="shared" si="16"/>
        <v>5625.8671452773069</v>
      </c>
      <c r="AS138" s="6">
        <f t="shared" si="16"/>
        <v>5682.121447840932</v>
      </c>
      <c r="AT138" s="6">
        <f t="shared" si="16"/>
        <v>5738.221994802364</v>
      </c>
      <c r="AU138" s="6">
        <f t="shared" si="16"/>
        <v>5793.8709780279114</v>
      </c>
      <c r="AV138" s="6">
        <f t="shared" si="16"/>
        <v>5849.6896665628428</v>
      </c>
      <c r="AW138" s="6">
        <f t="shared" si="16"/>
        <v>5905.3714353417108</v>
      </c>
      <c r="AX138" s="6">
        <f t="shared" si="16"/>
        <v>5855.2184391963192</v>
      </c>
      <c r="AY138" s="6">
        <f t="shared" si="16"/>
        <v>5703.600290289929</v>
      </c>
      <c r="AZ138" s="6">
        <f t="shared" si="16"/>
        <v>5552.0855705983431</v>
      </c>
      <c r="BA138" s="6">
        <f t="shared" si="16"/>
        <v>5400.6707487977674</v>
      </c>
    </row>
    <row r="139" spans="1:53" outlineLevel="1" x14ac:dyDescent="0.35">
      <c r="A139" s="6" t="s">
        <v>36</v>
      </c>
      <c r="B139" s="6">
        <f>'Results - raw data ReCiPe (H)'!CC12</f>
        <v>665.02827145034166</v>
      </c>
      <c r="AB139" s="6" t="s">
        <v>124</v>
      </c>
      <c r="AC139" s="6">
        <f>-$AC$7*$AC$6</f>
        <v>-100000</v>
      </c>
      <c r="AD139" s="6">
        <f t="shared" ref="AD139:BA139" si="17">-$AC$7*$AC$6</f>
        <v>-100000</v>
      </c>
      <c r="AE139" s="6">
        <f t="shared" si="17"/>
        <v>-100000</v>
      </c>
      <c r="AF139" s="6">
        <f t="shared" si="17"/>
        <v>-100000</v>
      </c>
      <c r="AG139" s="6">
        <f t="shared" si="17"/>
        <v>-100000</v>
      </c>
      <c r="AH139" s="6">
        <f t="shared" si="17"/>
        <v>-100000</v>
      </c>
      <c r="AI139" s="6">
        <f t="shared" si="17"/>
        <v>-100000</v>
      </c>
      <c r="AJ139" s="6">
        <f t="shared" si="17"/>
        <v>-100000</v>
      </c>
      <c r="AK139" s="6">
        <f t="shared" si="17"/>
        <v>-100000</v>
      </c>
      <c r="AL139" s="6">
        <f t="shared" si="17"/>
        <v>-100000</v>
      </c>
      <c r="AM139" s="6">
        <f t="shared" si="17"/>
        <v>-100000</v>
      </c>
      <c r="AN139" s="6">
        <f t="shared" si="17"/>
        <v>-100000</v>
      </c>
      <c r="AO139" s="6">
        <f t="shared" si="17"/>
        <v>-100000</v>
      </c>
      <c r="AP139" s="6">
        <f t="shared" si="17"/>
        <v>-100000</v>
      </c>
      <c r="AQ139" s="6">
        <f t="shared" si="17"/>
        <v>-100000</v>
      </c>
      <c r="AR139" s="6">
        <f t="shared" si="17"/>
        <v>-100000</v>
      </c>
      <c r="AS139" s="6">
        <f t="shared" si="17"/>
        <v>-100000</v>
      </c>
      <c r="AT139" s="6">
        <f t="shared" si="17"/>
        <v>-100000</v>
      </c>
      <c r="AU139" s="6">
        <f t="shared" si="17"/>
        <v>-100000</v>
      </c>
      <c r="AV139" s="6">
        <f t="shared" si="17"/>
        <v>-100000</v>
      </c>
      <c r="AW139" s="6">
        <f t="shared" si="17"/>
        <v>-100000</v>
      </c>
      <c r="AX139" s="6">
        <f t="shared" si="17"/>
        <v>-100000</v>
      </c>
      <c r="AY139" s="6">
        <f t="shared" si="17"/>
        <v>-100000</v>
      </c>
      <c r="AZ139" s="6">
        <f t="shared" si="17"/>
        <v>-100000</v>
      </c>
      <c r="BA139" s="6">
        <f t="shared" si="17"/>
        <v>-100000</v>
      </c>
    </row>
    <row r="140" spans="1:53" outlineLevel="1" x14ac:dyDescent="0.35">
      <c r="A140" s="6" t="s">
        <v>38</v>
      </c>
      <c r="B140" s="6">
        <f>'Results - raw data ReCiPe (H)'!CC13</f>
        <v>6068.501913397412</v>
      </c>
      <c r="AB140" s="23" t="s">
        <v>125</v>
      </c>
      <c r="AC140" s="17">
        <f t="shared" ref="AC140:BA140" si="18">SUM(AC132:AC139)</f>
        <v>-26510.029396557205</v>
      </c>
      <c r="AD140" s="17">
        <f t="shared" si="18"/>
        <v>-68555.914595557479</v>
      </c>
      <c r="AE140" s="17">
        <f t="shared" si="18"/>
        <v>-68586.690115880119</v>
      </c>
      <c r="AF140" s="17">
        <f t="shared" si="18"/>
        <v>-67472.840527235647</v>
      </c>
      <c r="AG140" s="17">
        <f t="shared" si="18"/>
        <v>-68678.20183930239</v>
      </c>
      <c r="AH140" s="17">
        <f t="shared" si="18"/>
        <v>-68708.197408281878</v>
      </c>
      <c r="AI140" s="17">
        <f t="shared" si="18"/>
        <v>-65296.859336959416</v>
      </c>
      <c r="AJ140" s="17">
        <f t="shared" si="18"/>
        <v>-64234.812410919476</v>
      </c>
      <c r="AK140" s="17">
        <f t="shared" si="18"/>
        <v>-62025.699495024397</v>
      </c>
      <c r="AL140" s="17">
        <f t="shared" si="18"/>
        <v>-58627.825803194835</v>
      </c>
      <c r="AM140" s="17">
        <f t="shared" si="18"/>
        <v>-57580.480802200356</v>
      </c>
      <c r="AN140" s="17">
        <f t="shared" si="18"/>
        <v>-53659.938174492127</v>
      </c>
      <c r="AO140" s="17">
        <f t="shared" si="18"/>
        <v>-48562.810975229957</v>
      </c>
      <c r="AP140" s="17">
        <f t="shared" si="18"/>
        <v>-45820.964242697504</v>
      </c>
      <c r="AQ140" s="17">
        <f t="shared" si="18"/>
        <v>-41899.073346289442</v>
      </c>
      <c r="AR140" s="17">
        <f t="shared" si="18"/>
        <v>-36795.795383752229</v>
      </c>
      <c r="AS140" s="17">
        <f t="shared" si="18"/>
        <v>-37290.67942980666</v>
      </c>
      <c r="AT140" s="17">
        <f t="shared" si="18"/>
        <v>-36605.167382345528</v>
      </c>
      <c r="AU140" s="17">
        <f t="shared" si="18"/>
        <v>-34757.850706840196</v>
      </c>
      <c r="AV140" s="17">
        <f t="shared" si="18"/>
        <v>-35238.5692708344</v>
      </c>
      <c r="AW140" s="17">
        <f t="shared" si="18"/>
        <v>-34553.960812171266</v>
      </c>
      <c r="AX140" s="17">
        <f t="shared" si="18"/>
        <v>-33849.955499247473</v>
      </c>
      <c r="AY140" s="17">
        <f t="shared" si="18"/>
        <v>-36591.32222659565</v>
      </c>
      <c r="AZ140" s="17">
        <f t="shared" si="18"/>
        <v>-38187.992193648155</v>
      </c>
      <c r="BA140" s="17">
        <f t="shared" si="18"/>
        <v>-37949.203567480596</v>
      </c>
    </row>
    <row r="141" spans="1:53" outlineLevel="1" x14ac:dyDescent="0.35">
      <c r="A141" s="6" t="s">
        <v>39</v>
      </c>
      <c r="B141" s="6">
        <f>'Results - raw data ReCiPe (H)'!CC14</f>
        <v>11451.41246529284</v>
      </c>
    </row>
    <row r="142" spans="1:53" outlineLevel="1" x14ac:dyDescent="0.35">
      <c r="A142" s="6" t="s">
        <v>41</v>
      </c>
      <c r="B142" s="6">
        <f>'Results - raw data ReCiPe (H)'!CC15</f>
        <v>160.84450915278899</v>
      </c>
    </row>
    <row r="143" spans="1:53" outlineLevel="1" x14ac:dyDescent="0.35">
      <c r="A143" s="6" t="s">
        <v>43</v>
      </c>
      <c r="B143" s="6">
        <f>'Results - raw data ReCiPe (H)'!CC16</f>
        <v>552.22875745518706</v>
      </c>
      <c r="AB143" s="219"/>
      <c r="AC143" s="219"/>
      <c r="AD143" s="219"/>
      <c r="AE143" s="219"/>
      <c r="AF143" s="219"/>
      <c r="AG143" s="219"/>
      <c r="AH143" s="219"/>
      <c r="AI143" s="219"/>
      <c r="AJ143" s="219"/>
      <c r="AK143" s="219"/>
      <c r="AL143" s="219"/>
      <c r="AM143" s="219"/>
      <c r="AN143" s="219"/>
      <c r="AO143" s="219"/>
      <c r="AP143" s="219"/>
      <c r="AQ143" s="219"/>
      <c r="AR143" s="219"/>
      <c r="AS143" s="219"/>
      <c r="AT143" s="219"/>
      <c r="AU143" s="219"/>
      <c r="AV143" s="219"/>
      <c r="AW143" s="219"/>
      <c r="AX143" s="219"/>
      <c r="AY143" s="219"/>
      <c r="AZ143" s="219"/>
      <c r="BA143" s="219"/>
    </row>
    <row r="144" spans="1:53" outlineLevel="1" x14ac:dyDescent="0.35">
      <c r="A144" s="6" t="s">
        <v>44</v>
      </c>
      <c r="B144" s="6">
        <f>'Results - raw data ReCiPe (H)'!CC17*AC128*AC130</f>
        <v>2481.0563584021374</v>
      </c>
      <c r="AB144" s="219"/>
      <c r="AC144" s="219"/>
      <c r="AD144" s="219"/>
      <c r="AE144" s="219"/>
      <c r="AF144" s="219"/>
      <c r="AG144" s="219"/>
      <c r="AH144" s="219"/>
      <c r="AI144" s="219"/>
      <c r="AJ144" s="219"/>
      <c r="AK144" s="219"/>
      <c r="AL144" s="219"/>
      <c r="AM144" s="219"/>
      <c r="AN144" s="219"/>
      <c r="AO144" s="219"/>
      <c r="AP144" s="219"/>
      <c r="AQ144" s="219"/>
      <c r="AR144" s="219"/>
      <c r="AS144" s="219"/>
      <c r="AT144" s="219"/>
      <c r="AU144" s="219"/>
      <c r="AV144" s="219"/>
      <c r="AW144" s="219"/>
      <c r="AX144" s="219"/>
      <c r="AY144" s="219"/>
      <c r="AZ144" s="219"/>
      <c r="BA144" s="219"/>
    </row>
    <row r="145" spans="1:53" outlineLevel="1" x14ac:dyDescent="0.35">
      <c r="A145" s="6" t="s">
        <v>757</v>
      </c>
      <c r="B145" s="6">
        <f>'Results - raw data ReCiPe (H)'!CC18*AC128*AC130</f>
        <v>8441.8358990577635</v>
      </c>
      <c r="AB145" s="219"/>
      <c r="AC145" s="219"/>
      <c r="AD145" s="219"/>
      <c r="AE145" s="219"/>
      <c r="AF145" s="219"/>
      <c r="AG145" s="219"/>
      <c r="AH145" s="219"/>
      <c r="AI145" s="219"/>
      <c r="AJ145" s="219"/>
      <c r="AK145" s="219"/>
      <c r="AL145" s="219"/>
      <c r="AM145" s="219"/>
      <c r="AN145" s="219"/>
      <c r="AO145" s="219"/>
      <c r="AP145" s="219"/>
      <c r="AQ145" s="219"/>
      <c r="AR145" s="219"/>
      <c r="AS145" s="219"/>
      <c r="AT145" s="219"/>
      <c r="AU145" s="219"/>
      <c r="AV145" s="219"/>
      <c r="AW145" s="219"/>
      <c r="AX145" s="219"/>
      <c r="AY145" s="219"/>
      <c r="AZ145" s="219"/>
      <c r="BA145" s="219"/>
    </row>
    <row r="146" spans="1:53" outlineLevel="1" x14ac:dyDescent="0.35">
      <c r="A146" s="6" t="s">
        <v>22</v>
      </c>
      <c r="Z146" s="6">
        <f>'Results - raw data ReCiPe (H)'!DA19</f>
        <v>18.273260416017582</v>
      </c>
      <c r="AB146" s="219"/>
      <c r="AC146" s="219"/>
      <c r="AD146" s="219"/>
      <c r="AE146" s="219"/>
      <c r="AF146" s="219"/>
      <c r="AG146" s="219"/>
      <c r="AH146" s="219"/>
      <c r="AI146" s="219"/>
      <c r="AJ146" s="219"/>
      <c r="AK146" s="219"/>
      <c r="AL146" s="219"/>
      <c r="AM146" s="219"/>
      <c r="AN146" s="219"/>
      <c r="AO146" s="219"/>
      <c r="AP146" s="219"/>
      <c r="AQ146" s="219"/>
      <c r="AR146" s="219"/>
      <c r="AS146" s="219"/>
      <c r="AT146" s="219"/>
      <c r="AU146" s="219"/>
      <c r="AV146" s="219"/>
      <c r="AW146" s="219"/>
      <c r="AX146" s="219"/>
      <c r="AY146" s="219"/>
      <c r="AZ146" s="219"/>
      <c r="BA146" s="219"/>
    </row>
    <row r="147" spans="1:53" outlineLevel="1" x14ac:dyDescent="0.35">
      <c r="A147" s="6" t="s">
        <v>24</v>
      </c>
      <c r="Z147" s="6">
        <f>'Results - raw data ReCiPe (H)'!DA20</f>
        <v>6.9621462523846738</v>
      </c>
      <c r="AB147" s="219"/>
      <c r="AC147" s="219"/>
      <c r="AD147" s="219"/>
      <c r="AE147" s="219"/>
      <c r="AF147" s="219"/>
      <c r="AG147" s="219"/>
      <c r="AH147" s="219"/>
      <c r="AI147" s="219"/>
      <c r="AJ147" s="219"/>
      <c r="AK147" s="219"/>
      <c r="AL147" s="219"/>
      <c r="AM147" s="219"/>
      <c r="AN147" s="219"/>
      <c r="AO147" s="219"/>
      <c r="AP147" s="219"/>
      <c r="AQ147" s="219"/>
      <c r="AR147" s="219"/>
      <c r="AS147" s="219"/>
      <c r="AT147" s="219"/>
      <c r="AU147" s="219"/>
      <c r="AV147" s="219"/>
      <c r="AW147" s="219"/>
      <c r="AX147" s="219"/>
      <c r="AY147" s="219"/>
      <c r="AZ147" s="219"/>
      <c r="BA147" s="219"/>
    </row>
    <row r="148" spans="1:53" outlineLevel="1" x14ac:dyDescent="0.35">
      <c r="A148" s="6" t="s">
        <v>25</v>
      </c>
      <c r="Z148" s="6">
        <f>'Results - raw data ReCiPe (H)'!DA21</f>
        <v>24.648328583293029</v>
      </c>
      <c r="AB148" s="219"/>
      <c r="AC148" s="219"/>
      <c r="AD148" s="219"/>
      <c r="AE148" s="219"/>
      <c r="AF148" s="219"/>
      <c r="AG148" s="219"/>
      <c r="AH148" s="219"/>
      <c r="AI148" s="219"/>
      <c r="AJ148" s="219"/>
      <c r="AK148" s="219"/>
      <c r="AL148" s="219"/>
      <c r="AM148" s="219"/>
      <c r="AN148" s="219"/>
      <c r="AO148" s="219"/>
      <c r="AP148" s="219"/>
      <c r="AQ148" s="219"/>
      <c r="AR148" s="219"/>
      <c r="AS148" s="219"/>
      <c r="AT148" s="219"/>
      <c r="AU148" s="219"/>
      <c r="AV148" s="219"/>
      <c r="AW148" s="219"/>
      <c r="AX148" s="219"/>
      <c r="AY148" s="219"/>
      <c r="AZ148" s="219"/>
      <c r="BA148" s="219"/>
    </row>
    <row r="149" spans="1:53" outlineLevel="1" x14ac:dyDescent="0.35">
      <c r="A149" s="6" t="s">
        <v>27</v>
      </c>
      <c r="Z149" s="6">
        <f>'Results - raw data ReCiPe (H)'!DA22</f>
        <v>7.5999095268562344</v>
      </c>
      <c r="AB149" s="219"/>
      <c r="AC149" s="219"/>
      <c r="AD149" s="219"/>
      <c r="AE149" s="219"/>
      <c r="AF149" s="219"/>
      <c r="AG149" s="219"/>
      <c r="AH149" s="219"/>
      <c r="AI149" s="219"/>
      <c r="AJ149" s="219"/>
      <c r="AK149" s="219"/>
      <c r="AL149" s="219"/>
      <c r="AM149" s="219"/>
      <c r="AN149" s="219"/>
      <c r="AO149" s="219"/>
      <c r="AP149" s="219"/>
      <c r="AQ149" s="219"/>
      <c r="AR149" s="219"/>
      <c r="AS149" s="219"/>
      <c r="AT149" s="219"/>
      <c r="AU149" s="219"/>
      <c r="AV149" s="219"/>
      <c r="AW149" s="219"/>
      <c r="AX149" s="219"/>
      <c r="AY149" s="219"/>
      <c r="AZ149" s="219"/>
      <c r="BA149" s="219"/>
    </row>
    <row r="150" spans="1:53" outlineLevel="1" x14ac:dyDescent="0.35">
      <c r="A150" s="6" t="s">
        <v>30</v>
      </c>
      <c r="Z150" s="6">
        <f>'Results - raw data ReCiPe (H)'!DA23</f>
        <v>23.823867783595102</v>
      </c>
      <c r="AB150" s="219"/>
      <c r="AC150" s="219"/>
      <c r="AD150" s="219"/>
      <c r="AE150" s="219"/>
      <c r="AF150" s="219"/>
      <c r="AG150" s="219"/>
      <c r="AH150" s="219"/>
      <c r="AI150" s="219"/>
      <c r="AJ150" s="219"/>
      <c r="AK150" s="219"/>
      <c r="AL150" s="219"/>
      <c r="AM150" s="219"/>
      <c r="AN150" s="219"/>
      <c r="AO150" s="219"/>
      <c r="AP150" s="219"/>
      <c r="AQ150" s="219"/>
      <c r="AR150" s="219"/>
      <c r="AS150" s="219"/>
      <c r="AT150" s="219"/>
      <c r="AU150" s="219"/>
      <c r="AV150" s="219"/>
      <c r="AW150" s="219"/>
      <c r="AX150" s="219"/>
      <c r="AY150" s="219"/>
      <c r="AZ150" s="219"/>
      <c r="BA150" s="219"/>
    </row>
    <row r="151" spans="1:53" outlineLevel="1" x14ac:dyDescent="0.35">
      <c r="A151" s="6" t="s">
        <v>32</v>
      </c>
      <c r="Z151" s="6">
        <f>'Results - raw data ReCiPe (H)'!DA24</f>
        <v>0.97716446400496804</v>
      </c>
      <c r="AB151" s="219"/>
      <c r="AC151" s="219"/>
      <c r="AD151" s="219"/>
      <c r="AE151" s="219"/>
      <c r="AF151" s="219"/>
      <c r="AG151" s="219"/>
      <c r="AH151" s="219"/>
      <c r="AI151" s="219"/>
      <c r="AJ151" s="219"/>
      <c r="AK151" s="219"/>
      <c r="AL151" s="219"/>
      <c r="AM151" s="219"/>
      <c r="AN151" s="219"/>
      <c r="AO151" s="219"/>
      <c r="AP151" s="219"/>
      <c r="AQ151" s="219"/>
      <c r="AR151" s="219"/>
      <c r="AS151" s="219"/>
      <c r="AT151" s="219"/>
      <c r="AU151" s="219"/>
      <c r="AV151" s="219"/>
      <c r="AW151" s="219"/>
      <c r="AX151" s="219"/>
      <c r="AY151" s="219"/>
      <c r="AZ151" s="219"/>
      <c r="BA151" s="219"/>
    </row>
    <row r="152" spans="1:53" outlineLevel="1" x14ac:dyDescent="0.35">
      <c r="A152" s="6" t="s">
        <v>33</v>
      </c>
      <c r="Z152" s="6">
        <f>'Results - raw data ReCiPe (H)'!DA25</f>
        <v>5.6942969546537281</v>
      </c>
      <c r="AB152" s="219"/>
      <c r="AC152" s="219"/>
      <c r="AD152" s="219"/>
      <c r="AE152" s="219"/>
      <c r="AF152" s="219"/>
      <c r="AG152" s="219"/>
      <c r="AH152" s="219"/>
      <c r="AI152" s="219"/>
      <c r="AJ152" s="219"/>
      <c r="AK152" s="219"/>
      <c r="AL152" s="219"/>
      <c r="AM152" s="219"/>
      <c r="AN152" s="219"/>
      <c r="AO152" s="219"/>
      <c r="AP152" s="219"/>
      <c r="AQ152" s="219"/>
      <c r="AR152" s="219"/>
      <c r="AS152" s="219"/>
      <c r="AT152" s="219"/>
      <c r="AU152" s="219"/>
      <c r="AV152" s="219"/>
      <c r="AW152" s="219"/>
      <c r="AX152" s="219"/>
      <c r="AY152" s="219"/>
      <c r="AZ152" s="219"/>
      <c r="BA152" s="219"/>
    </row>
    <row r="153" spans="1:53" outlineLevel="1" x14ac:dyDescent="0.35">
      <c r="A153" s="6" t="s">
        <v>35</v>
      </c>
      <c r="Z153" s="6">
        <f>'Results - raw data ReCiPe (H)'!DA26</f>
        <v>11.38859390930746</v>
      </c>
      <c r="AB153" s="219"/>
      <c r="AC153" s="219"/>
      <c r="AD153" s="219"/>
      <c r="AE153" s="219"/>
      <c r="AF153" s="219"/>
      <c r="AG153" s="219"/>
      <c r="AH153" s="219"/>
      <c r="AI153" s="219"/>
      <c r="AJ153" s="219"/>
      <c r="AK153" s="219"/>
      <c r="AL153" s="219"/>
      <c r="AM153" s="219"/>
      <c r="AN153" s="219"/>
      <c r="AO153" s="219"/>
      <c r="AP153" s="219"/>
      <c r="AQ153" s="219"/>
      <c r="AR153" s="219"/>
      <c r="AS153" s="219"/>
      <c r="AT153" s="219"/>
      <c r="AU153" s="219"/>
      <c r="AV153" s="219"/>
      <c r="AW153" s="219"/>
      <c r="AX153" s="219"/>
      <c r="AY153" s="219"/>
      <c r="AZ153" s="219"/>
      <c r="BA153" s="219"/>
    </row>
    <row r="154" spans="1:53" outlineLevel="1" x14ac:dyDescent="0.35">
      <c r="A154" s="6" t="s">
        <v>37</v>
      </c>
      <c r="Z154" s="6">
        <f>'Results - raw data ReCiPe (H)'!DA27</f>
        <v>14.96062171322496</v>
      </c>
      <c r="AB154" s="219"/>
      <c r="AC154" s="219"/>
      <c r="AD154" s="219"/>
      <c r="AE154" s="219"/>
      <c r="AF154" s="219"/>
      <c r="AG154" s="219"/>
      <c r="AH154" s="219"/>
      <c r="AI154" s="219"/>
      <c r="AJ154" s="219"/>
      <c r="AK154" s="219"/>
      <c r="AL154" s="219"/>
      <c r="AM154" s="219"/>
      <c r="AN154" s="219"/>
      <c r="AO154" s="219"/>
      <c r="AP154" s="219"/>
      <c r="AQ154" s="219"/>
      <c r="AR154" s="219"/>
      <c r="AS154" s="219"/>
      <c r="AT154" s="219"/>
      <c r="AU154" s="219"/>
      <c r="AV154" s="219"/>
      <c r="AW154" s="219"/>
      <c r="AX154" s="219"/>
      <c r="AY154" s="219"/>
      <c r="AZ154" s="219"/>
      <c r="BA154" s="219"/>
    </row>
    <row r="155" spans="1:53" outlineLevel="1" x14ac:dyDescent="0.35">
      <c r="A155" s="6" t="s">
        <v>40</v>
      </c>
      <c r="Z155" s="6">
        <f>'Results - raw data ReCiPe (H)'!DA28</f>
        <v>285.27572518419629</v>
      </c>
    </row>
    <row r="156" spans="1:53" outlineLevel="1" x14ac:dyDescent="0.35">
      <c r="A156" s="6" t="s">
        <v>42</v>
      </c>
      <c r="Z156" s="6">
        <f>'Results - raw data ReCiPe (H)'!DA29</f>
        <v>30.660919411160531</v>
      </c>
    </row>
    <row r="157" spans="1:53" outlineLevel="1" x14ac:dyDescent="0.35">
      <c r="A157" s="6" t="s">
        <v>115</v>
      </c>
      <c r="Z157" s="6">
        <f>'Results - raw data ReCiPe (H)'!DA30</f>
        <v>260.91889950818972</v>
      </c>
    </row>
    <row r="158" spans="1:53" outlineLevel="1" x14ac:dyDescent="0.35">
      <c r="A158" s="6" t="s">
        <v>45</v>
      </c>
      <c r="Z158" s="6">
        <f>'Results - raw data ReCiPe (H)'!DA31*AC128*AC130</f>
        <v>22.494520912096178</v>
      </c>
    </row>
    <row r="159" spans="1:53" outlineLevel="1" x14ac:dyDescent="0.35">
      <c r="A159" s="6" t="s">
        <v>116</v>
      </c>
      <c r="B159" s="6">
        <f>'Results - raw data ReCiPe (H)'!CC32</f>
        <v>1186.4815932558031</v>
      </c>
      <c r="C159" s="6">
        <f>'Results - raw data ReCiPe (H)'!CD32</f>
        <v>1184.4309868083469</v>
      </c>
      <c r="D159" s="6">
        <f>'Results - raw data ReCiPe (H)'!CE32</f>
        <v>1182.4019980169519</v>
      </c>
      <c r="E159" s="6">
        <f>'Results - raw data ReCiPe (H)'!CF32</f>
        <v>1175.2724845293581</v>
      </c>
      <c r="F159" s="6">
        <f>'Results - raw data ReCiPe (H)'!CG32</f>
        <v>1173.2752967188071</v>
      </c>
      <c r="G159" s="6">
        <f>'Results - raw data ReCiPe (H)'!CH32</f>
        <v>1171.2868602262761</v>
      </c>
      <c r="H159" s="6">
        <f>'Results - raw data ReCiPe (H)'!CI32</f>
        <v>1172.0887619145631</v>
      </c>
      <c r="I159" s="6">
        <f>'Results - raw data ReCiPe (H)'!CJ32</f>
        <v>1172.9075908463119</v>
      </c>
      <c r="J159" s="6">
        <f>'Results - raw data ReCiPe (H)'!CK32</f>
        <v>1170.652414406771</v>
      </c>
      <c r="K159" s="6">
        <f>'Results - raw data ReCiPe (H)'!CL32</f>
        <v>1171.5419235181971</v>
      </c>
      <c r="L159" s="6">
        <f>'Results - raw data ReCiPe (H)'!CM32</f>
        <v>1172.441544749935</v>
      </c>
      <c r="M159" s="6">
        <f>'Results - raw data ReCiPe (H)'!CN32</f>
        <v>1174.231826151836</v>
      </c>
      <c r="N159" s="6">
        <f>'Results - raw data ReCiPe (H)'!CO32</f>
        <v>1176.0346869666</v>
      </c>
      <c r="O159" s="6">
        <f>'Results - raw data ReCiPe (H)'!CP32</f>
        <v>1177.145364002851</v>
      </c>
      <c r="P159" s="6">
        <f>'Results - raw data ReCiPe (H)'!CQ32</f>
        <v>1178.9976005413471</v>
      </c>
      <c r="Q159" s="6">
        <f>'Results - raw data ReCiPe (H)'!CR32</f>
        <v>1180.8592879535349</v>
      </c>
      <c r="R159" s="6">
        <f>'Results - raw data ReCiPe (H)'!CS32</f>
        <v>1176.0256071477111</v>
      </c>
      <c r="S159" s="6">
        <f>'Results - raw data ReCiPe (H)'!CT32</f>
        <v>1171.1769982701601</v>
      </c>
      <c r="T159" s="6">
        <f>'Results - raw data ReCiPe (H)'!CU32</f>
        <v>1165.597336992987</v>
      </c>
      <c r="U159" s="6">
        <f>'Results - raw data ReCiPe (H)'!CV32</f>
        <v>1160.70640988018</v>
      </c>
      <c r="V159" s="6">
        <f>'Results - raw data ReCiPe (H)'!CW32</f>
        <v>1155.786064528553</v>
      </c>
      <c r="W159" s="6">
        <f>'Results - raw data ReCiPe (H)'!CX32</f>
        <v>1149.242533712596</v>
      </c>
      <c r="X159" s="6">
        <f>'Results - raw data ReCiPe (H)'!CY32</f>
        <v>1141.6551910246601</v>
      </c>
      <c r="Y159" s="6">
        <f>'Results - raw data ReCiPe (H)'!CZ32</f>
        <v>1134.033848551484</v>
      </c>
      <c r="Z159" s="6">
        <f>'Results - raw data ReCiPe (H)'!DA32</f>
        <v>1126.377758844686</v>
      </c>
    </row>
    <row r="160" spans="1:53" outlineLevel="1" x14ac:dyDescent="0.35">
      <c r="A160" s="6" t="s">
        <v>758</v>
      </c>
      <c r="B160" s="6">
        <f>'Results - raw data ReCiPe (H)'!CC33*$AC$128</f>
        <v>2943.7924966964761</v>
      </c>
      <c r="C160" s="6">
        <f>'Results - raw data ReCiPe (H)'!CD33*$AC$128</f>
        <v>2937.0897191785971</v>
      </c>
      <c r="D160" s="6">
        <f>'Results - raw data ReCiPe (H)'!CE33*$AC$128</f>
        <v>2930.4084088828381</v>
      </c>
      <c r="E160" s="6">
        <f>'Results - raw data ReCiPe (H)'!CF33*$AC$128</f>
        <v>2921.021975351232</v>
      </c>
      <c r="F160" s="6">
        <f>'Results - raw data ReCiPe (H)'!CG33*$AC$128</f>
        <v>2914.389295446806</v>
      </c>
      <c r="G160" s="6">
        <f>'Results - raw data ReCiPe (H)'!CH33*$AC$128</f>
        <v>2907.7604797022491</v>
      </c>
      <c r="H160" s="6">
        <f>'Results - raw data ReCiPe (H)'!CI33*$AC$128</f>
        <v>3106.8746566307573</v>
      </c>
      <c r="I160" s="6">
        <f>'Results - raw data ReCiPe (H)'!CJ33*$AC$128</f>
        <v>3304.9923424910412</v>
      </c>
      <c r="J160" s="6">
        <f>'Results - raw data ReCiPe (H)'!CK33*$AC$128</f>
        <v>3500.3497219968858</v>
      </c>
      <c r="K160" s="6">
        <f>'Results - raw data ReCiPe (H)'!CL33*$AC$128</f>
        <v>3696.7044926235994</v>
      </c>
      <c r="L160" s="6">
        <f>'Results - raw data ReCiPe (H)'!CM33*$AC$128</f>
        <v>3891.8630991223208</v>
      </c>
      <c r="M160" s="6">
        <f>'Results - raw data ReCiPe (H)'!CN33*$AC$128</f>
        <v>4240.1167474471504</v>
      </c>
      <c r="N160" s="6">
        <f>'Results - raw data ReCiPe (H)'!CO33*$AC$128</f>
        <v>4587.6836565978592</v>
      </c>
      <c r="O160" s="6">
        <f>'Results - raw data ReCiPe (H)'!CP33*$AC$128</f>
        <v>4934.2265970799035</v>
      </c>
      <c r="P160" s="6">
        <f>'Results - raw data ReCiPe (H)'!CQ33*$AC$128</f>
        <v>5280.3949676992415</v>
      </c>
      <c r="Q160" s="6">
        <f>'Results - raw data ReCiPe (H)'!CR33*$AC$128</f>
        <v>5625.8671452773069</v>
      </c>
      <c r="R160" s="6">
        <f>'Results - raw data ReCiPe (H)'!CS33*$AC$128</f>
        <v>5682.121447840932</v>
      </c>
      <c r="S160" s="6">
        <f>'Results - raw data ReCiPe (H)'!CT33*$AC$128</f>
        <v>5738.221994802364</v>
      </c>
      <c r="T160" s="6">
        <f>'Results - raw data ReCiPe (H)'!CU33*$AC$128</f>
        <v>5793.8709780279114</v>
      </c>
      <c r="U160" s="6">
        <f>'Results - raw data ReCiPe (H)'!CV33*$AC$128</f>
        <v>5849.6896665628428</v>
      </c>
      <c r="V160" s="6">
        <f>'Results - raw data ReCiPe (H)'!CW33*$AC$128</f>
        <v>5905.3714353417108</v>
      </c>
      <c r="W160" s="6">
        <f>'Results - raw data ReCiPe (H)'!CX33*$AC$128</f>
        <v>5855.2184391963192</v>
      </c>
      <c r="X160" s="6">
        <f>'Results - raw data ReCiPe (H)'!CY33*$AC$128</f>
        <v>5703.600290289929</v>
      </c>
      <c r="Y160" s="6">
        <f>'Results - raw data ReCiPe (H)'!CZ33*$AC$128</f>
        <v>5552.0855705983431</v>
      </c>
      <c r="Z160" s="6">
        <f>'Results - raw data ReCiPe (H)'!DA33*$AC$128</f>
        <v>5400.6707487977674</v>
      </c>
    </row>
    <row r="161" spans="1:53" outlineLevel="1" x14ac:dyDescent="0.35">
      <c r="A161" s="6" t="s">
        <v>759</v>
      </c>
      <c r="B161" s="6">
        <f>'Results - raw data ReCiPe (H)'!CC34</f>
        <v>0</v>
      </c>
      <c r="C161" s="6">
        <f>'Results - raw data ReCiPe (H)'!CD34</f>
        <v>0</v>
      </c>
      <c r="D161" s="6">
        <f>'Results - raw data ReCiPe (H)'!CE34</f>
        <v>0</v>
      </c>
      <c r="E161" s="6">
        <f>'Results - raw data ReCiPe (H)'!CF34</f>
        <v>0</v>
      </c>
      <c r="F161" s="6">
        <f>'Results - raw data ReCiPe (H)'!CG34</f>
        <v>0</v>
      </c>
      <c r="G161" s="6">
        <f>'Results - raw data ReCiPe (H)'!CH34</f>
        <v>0</v>
      </c>
      <c r="H161" s="6">
        <f>'Results - raw data ReCiPe (H)'!CI34</f>
        <v>0</v>
      </c>
      <c r="I161" s="6">
        <f>'Results - raw data ReCiPe (H)'!CJ34</f>
        <v>0</v>
      </c>
      <c r="J161" s="6">
        <f>'Results - raw data ReCiPe (H)'!CK34</f>
        <v>0</v>
      </c>
      <c r="K161" s="6">
        <f>'Results - raw data ReCiPe (H)'!CL34</f>
        <v>0</v>
      </c>
      <c r="L161" s="6">
        <f>'Results - raw data ReCiPe (H)'!CM34</f>
        <v>0</v>
      </c>
      <c r="M161" s="6">
        <f>'Results - raw data ReCiPe (H)'!CN34</f>
        <v>0</v>
      </c>
      <c r="N161" s="6">
        <f>'Results - raw data ReCiPe (H)'!CO34</f>
        <v>0</v>
      </c>
      <c r="O161" s="6">
        <f>'Results - raw data ReCiPe (H)'!CP34</f>
        <v>0</v>
      </c>
      <c r="P161" s="6">
        <f>'Results - raw data ReCiPe (H)'!CQ34</f>
        <v>0</v>
      </c>
      <c r="Q161" s="6">
        <f>'Results - raw data ReCiPe (H)'!CR34</f>
        <v>0</v>
      </c>
      <c r="R161" s="6">
        <f>'Results - raw data ReCiPe (H)'!CS34</f>
        <v>0</v>
      </c>
      <c r="S161" s="6">
        <f>'Results - raw data ReCiPe (H)'!CT34</f>
        <v>0</v>
      </c>
      <c r="T161" s="6">
        <f>'Results - raw data ReCiPe (H)'!CU34</f>
        <v>0</v>
      </c>
      <c r="U161" s="6">
        <f>'Results - raw data ReCiPe (H)'!CV34</f>
        <v>0</v>
      </c>
      <c r="V161" s="6">
        <f>'Results - raw data ReCiPe (H)'!CW34</f>
        <v>0</v>
      </c>
      <c r="W161" s="6">
        <f>'Results - raw data ReCiPe (H)'!CX34</f>
        <v>0</v>
      </c>
      <c r="X161" s="6">
        <f>'Results - raw data ReCiPe (H)'!CY34</f>
        <v>0</v>
      </c>
      <c r="Y161" s="6">
        <f>'Results - raw data ReCiPe (H)'!CZ34</f>
        <v>0</v>
      </c>
      <c r="Z161" s="6">
        <f>'Results - raw data ReCiPe (H)'!DA34</f>
        <v>0</v>
      </c>
    </row>
    <row r="162" spans="1:53" outlineLevel="1" x14ac:dyDescent="0.35">
      <c r="A162" s="6" t="s">
        <v>760</v>
      </c>
      <c r="B162" s="6">
        <f>150000*($AC$129*'Results - raw data ReCiPe (H)'!CC114+(1-'Results ReCiPe (H) - HHD'!$AC$129)*'Results - raw data ReCiPe (H)'!CC115)</f>
        <v>28531.349319324079</v>
      </c>
      <c r="C162" s="6">
        <f>150000*($AC$129*'Results - raw data ReCiPe (H)'!CD114+(1-'Results ReCiPe (H) - HHD'!$AC$129)*'Results - raw data ReCiPe (H)'!CD115)</f>
        <v>28506.995685263922</v>
      </c>
      <c r="D162" s="6">
        <f>150000*($AC$129*'Results - raw data ReCiPe (H)'!CE114+(1-'Results ReCiPe (H) - HHD'!$AC$129)*'Results - raw data ReCiPe (H)'!CE115)</f>
        <v>28482.901475237042</v>
      </c>
      <c r="E162" s="6">
        <f>150000*($AC$129*'Results - raw data ReCiPe (H)'!CF114+(1-'Results ReCiPe (H) - HHD'!$AC$129)*'Results - raw data ReCiPe (H)'!CF115)</f>
        <v>28430.865012883762</v>
      </c>
      <c r="F162" s="6">
        <f>150000*($AC$129*'Results - raw data ReCiPe (H)'!CG114+(1-'Results ReCiPe (H) - HHD'!$AC$129)*'Results - raw data ReCiPe (H)'!CG115)</f>
        <v>28407.4088652508</v>
      </c>
      <c r="G162" s="6">
        <f>150000*($AC$129*'Results - raw data ReCiPe (H)'!CH114+(1-'Results ReCiPe (H) - HHD'!$AC$129)*'Results - raw data ReCiPe (H)'!CH115)</f>
        <v>28384.042112015875</v>
      </c>
      <c r="H162" s="6">
        <f>150000*($AC$129*'Results - raw data ReCiPe (H)'!CI114+(1-'Results ReCiPe (H) - HHD'!$AC$129)*'Results - raw data ReCiPe (H)'!CI115)</f>
        <v>30424.177244495266</v>
      </c>
      <c r="I162" s="6">
        <f>150000*($AC$129*'Results - raw data ReCiPe (H)'!CJ114+(1-'Results ReCiPe (H) - HHD'!$AC$129)*'Results - raw data ReCiPe (H)'!CJ115)</f>
        <v>32460.195246589479</v>
      </c>
      <c r="J162" s="6">
        <f>150000*($AC$129*'Results - raw data ReCiPe (H)'!CK114+(1-'Results ReCiPe (H) - HHD'!$AC$129)*'Results - raw data ReCiPe (H)'!CK115)</f>
        <v>34473.950782978718</v>
      </c>
      <c r="K162" s="6">
        <f>150000*($AC$129*'Results - raw data ReCiPe (H)'!CL114+(1-'Results ReCiPe (H) - HHD'!$AC$129)*'Results - raw data ReCiPe (H)'!CL115)</f>
        <v>36503.927780663369</v>
      </c>
      <c r="L162" s="6">
        <f>150000*($AC$129*'Results - raw data ReCiPe (H)'!CM114+(1-'Results ReCiPe (H) - HHD'!$AC$129)*'Results - raw data ReCiPe (H)'!CM115)</f>
        <v>38527.656098677326</v>
      </c>
      <c r="M162" s="6">
        <f>150000*($AC$129*'Results - raw data ReCiPe (H)'!CN114+(1-'Results ReCiPe (H) - HHD'!$AC$129)*'Results - raw data ReCiPe (H)'!CN115)</f>
        <v>42099.945078060722</v>
      </c>
      <c r="N162" s="6">
        <f>150000*($AC$129*'Results - raw data ReCiPe (H)'!CO114+(1-'Results ReCiPe (H) - HHD'!$AC$129)*'Results - raw data ReCiPe (H)'!CO115)</f>
        <v>45673.470681205581</v>
      </c>
      <c r="O162" s="6">
        <f>150000*($AC$129*'Results - raw data ReCiPe (H)'!CP114+(1-'Results ReCiPe (H) - HHD'!$AC$129)*'Results - raw data ReCiPe (H)'!CP115)</f>
        <v>49244.80916022259</v>
      </c>
      <c r="P162" s="6">
        <f>150000*($AC$129*'Results - raw data ReCiPe (H)'!CQ114+(1-'Results ReCiPe (H) - HHD'!$AC$129)*'Results - raw data ReCiPe (H)'!CQ115)</f>
        <v>52820.531686011316</v>
      </c>
      <c r="Q162" s="6">
        <f>150000*($AC$129*'Results - raw data ReCiPe (H)'!CR114+(1-'Results ReCiPe (H) - HHD'!$AC$129)*'Results - raw data ReCiPe (H)'!CR115)</f>
        <v>56397.47818301693</v>
      </c>
      <c r="R162" s="6">
        <f>150000*($AC$129*'Results - raw data ReCiPe (H)'!CS114+(1-'Results ReCiPe (H) - HHD'!$AC$129)*'Results - raw data ReCiPe (H)'!CS115)</f>
        <v>57027.199122352409</v>
      </c>
      <c r="S162" s="6">
        <f>150000*($AC$129*'Results - raw data ReCiPe (H)'!CT114+(1-'Results ReCiPe (H) - HHD'!$AC$129)*'Results - raw data ReCiPe (H)'!CT115)</f>
        <v>57656.610622852109</v>
      </c>
      <c r="T162" s="6">
        <f>150000*($AC$129*'Results - raw data ReCiPe (H)'!CU114+(1-'Results ReCiPe (H) - HHD'!$AC$129)*'Results - raw data ReCiPe (H)'!CU115)</f>
        <v>58282.680978138909</v>
      </c>
      <c r="U162" s="6">
        <f>150000*($AC$129*'Results - raw data ReCiPe (H)'!CV114+(1-'Results ReCiPe (H) - HHD'!$AC$129)*'Results - raw data ReCiPe (H)'!CV115)</f>
        <v>58911.741062602756</v>
      </c>
      <c r="V162" s="6">
        <f>150000*($AC$129*'Results - raw data ReCiPe (H)'!CW114+(1-'Results ReCiPe (H) - HHD'!$AC$129)*'Results - raw data ReCiPe (H)'!CW115)</f>
        <v>59540.667752487025</v>
      </c>
      <c r="W162" s="6">
        <f>150000*($AC$129*'Results - raw data ReCiPe (H)'!CX114+(1-'Results ReCiPe (H) - HHD'!$AC$129)*'Results - raw data ReCiPe (H)'!CX115)</f>
        <v>59145.583527843606</v>
      </c>
      <c r="X162" s="6">
        <f>150000*($AC$129*'Results - raw data ReCiPe (H)'!CY114+(1-'Results ReCiPe (H) - HHD'!$AC$129)*'Results - raw data ReCiPe (H)'!CY115)</f>
        <v>57705.077483114423</v>
      </c>
      <c r="Y162" s="6">
        <f>150000*($AC$129*'Results - raw data ReCiPe (H)'!CZ114+(1-'Results ReCiPe (H) - HHD'!$AC$129)*'Results - raw data ReCiPe (H)'!CZ115)</f>
        <v>56259.922235753504</v>
      </c>
      <c r="Z162" s="6">
        <f>150000*($AC$129*'Results - raw data ReCiPe (H)'!DA114+(1-'Results ReCiPe (H) - HHD'!$AC$129)*'Results - raw data ReCiPe (H)'!DA115)</f>
        <v>54810.069670257966</v>
      </c>
    </row>
    <row r="163" spans="1:53" outlineLevel="1" x14ac:dyDescent="0.35">
      <c r="A163" s="23" t="s">
        <v>125</v>
      </c>
      <c r="B163" s="17">
        <f t="shared" ref="B163:Z163" si="19">SUM(B132:B162)</f>
        <v>73489.970603442809</v>
      </c>
      <c r="C163" s="17">
        <f t="shared" si="19"/>
        <v>32628.516391250865</v>
      </c>
      <c r="D163" s="17">
        <f t="shared" si="19"/>
        <v>32595.711882136831</v>
      </c>
      <c r="E163" s="17">
        <f t="shared" si="19"/>
        <v>32527.159472764353</v>
      </c>
      <c r="F163" s="17">
        <f t="shared" si="19"/>
        <v>32495.073457416413</v>
      </c>
      <c r="G163" s="17">
        <f t="shared" si="19"/>
        <v>32463.089451944401</v>
      </c>
      <c r="H163" s="17">
        <f t="shared" si="19"/>
        <v>34703.140663040584</v>
      </c>
      <c r="I163" s="17">
        <f t="shared" si="19"/>
        <v>36938.09517992683</v>
      </c>
      <c r="J163" s="17">
        <f t="shared" si="19"/>
        <v>39144.952919382376</v>
      </c>
      <c r="K163" s="17">
        <f t="shared" si="19"/>
        <v>41372.174196805165</v>
      </c>
      <c r="L163" s="17">
        <f t="shared" si="19"/>
        <v>43591.960742549578</v>
      </c>
      <c r="M163" s="17">
        <f t="shared" si="19"/>
        <v>47514.293651659711</v>
      </c>
      <c r="N163" s="17">
        <f t="shared" si="19"/>
        <v>51437.189024770043</v>
      </c>
      <c r="O163" s="17">
        <f t="shared" si="19"/>
        <v>55356.181121305344</v>
      </c>
      <c r="P163" s="17">
        <f t="shared" si="19"/>
        <v>59279.924254251906</v>
      </c>
      <c r="Q163" s="17">
        <f t="shared" si="19"/>
        <v>63204.204616247771</v>
      </c>
      <c r="R163" s="17">
        <f t="shared" si="19"/>
        <v>63885.346177341053</v>
      </c>
      <c r="S163" s="17">
        <f t="shared" si="19"/>
        <v>64566.009615924631</v>
      </c>
      <c r="T163" s="17">
        <f t="shared" si="19"/>
        <v>65242.149293159804</v>
      </c>
      <c r="U163" s="17">
        <f t="shared" si="19"/>
        <v>65922.137139045779</v>
      </c>
      <c r="V163" s="17">
        <f t="shared" si="19"/>
        <v>66601.825252357288</v>
      </c>
      <c r="W163" s="17">
        <f t="shared" si="19"/>
        <v>66150.044500752527</v>
      </c>
      <c r="X163" s="17">
        <f t="shared" si="19"/>
        <v>64550.332964429013</v>
      </c>
      <c r="Y163" s="17">
        <f t="shared" si="19"/>
        <v>62946.041654903333</v>
      </c>
      <c r="Z163" s="17">
        <f t="shared" si="19"/>
        <v>62050.796432519397</v>
      </c>
    </row>
    <row r="164" spans="1:53" outlineLevel="1" x14ac:dyDescent="0.35"/>
    <row r="165" spans="1:53" s="18" customFormat="1" ht="21" x14ac:dyDescent="0.5">
      <c r="A165" s="18" t="s">
        <v>73</v>
      </c>
    </row>
    <row r="166" spans="1:53" s="20" customFormat="1" outlineLevel="1" x14ac:dyDescent="0.35">
      <c r="A166" s="19" t="s">
        <v>766</v>
      </c>
    </row>
    <row r="167" spans="1:53" s="16" customFormat="1" outlineLevel="1" x14ac:dyDescent="0.35">
      <c r="A167" s="21"/>
      <c r="AB167" s="16" t="s">
        <v>801</v>
      </c>
      <c r="AC167" s="16">
        <v>1</v>
      </c>
      <c r="AD167" s="16" t="s">
        <v>146</v>
      </c>
      <c r="AE167" s="15"/>
    </row>
    <row r="168" spans="1:53" s="16" customFormat="1" outlineLevel="1" x14ac:dyDescent="0.35">
      <c r="A168" s="22" t="s">
        <v>566</v>
      </c>
      <c r="AC168" s="16">
        <f>AC167*1000</f>
        <v>1000</v>
      </c>
      <c r="AD168" s="16" t="s">
        <v>144</v>
      </c>
    </row>
    <row r="169" spans="1:53" s="16" customFormat="1" outlineLevel="1" x14ac:dyDescent="0.35">
      <c r="A169" s="22"/>
      <c r="AB169" s="16" t="s">
        <v>127</v>
      </c>
      <c r="AC169" s="16">
        <v>100</v>
      </c>
      <c r="AD169" s="16" t="s">
        <v>128</v>
      </c>
    </row>
    <row r="170" spans="1:53" s="16" customFormat="1" outlineLevel="1" x14ac:dyDescent="0.35">
      <c r="A170" s="230" t="s">
        <v>768</v>
      </c>
      <c r="AB170" s="16" t="s">
        <v>20</v>
      </c>
      <c r="AC170" s="16">
        <v>0.23</v>
      </c>
      <c r="AD170" s="16" t="s">
        <v>715</v>
      </c>
    </row>
    <row r="171" spans="1:53" s="16" customFormat="1" outlineLevel="1" x14ac:dyDescent="0.35">
      <c r="A171" s="22"/>
      <c r="AB171" s="16" t="s">
        <v>129</v>
      </c>
      <c r="AC171" s="16">
        <v>25</v>
      </c>
      <c r="AD171" s="16" t="s">
        <v>130</v>
      </c>
    </row>
    <row r="172" spans="1:53" outlineLevel="1" x14ac:dyDescent="0.35">
      <c r="B172" s="25">
        <v>2030</v>
      </c>
      <c r="C172" s="25">
        <v>2031</v>
      </c>
      <c r="D172" s="25">
        <v>2032</v>
      </c>
      <c r="E172" s="25">
        <v>2033</v>
      </c>
      <c r="F172" s="25">
        <v>2034</v>
      </c>
      <c r="G172" s="25">
        <v>2035</v>
      </c>
      <c r="H172" s="25">
        <v>2036</v>
      </c>
      <c r="I172" s="25">
        <v>2037</v>
      </c>
      <c r="J172" s="25">
        <v>2038</v>
      </c>
      <c r="K172" s="25">
        <v>2039</v>
      </c>
      <c r="L172" s="25">
        <v>2040</v>
      </c>
      <c r="M172" s="25">
        <v>2041</v>
      </c>
      <c r="N172" s="25">
        <v>2042</v>
      </c>
      <c r="O172" s="25">
        <v>2043</v>
      </c>
      <c r="P172" s="25">
        <v>2044</v>
      </c>
      <c r="Q172" s="25">
        <v>2045</v>
      </c>
      <c r="R172" s="25">
        <v>2046</v>
      </c>
      <c r="S172" s="25">
        <v>2047</v>
      </c>
      <c r="T172" s="25">
        <v>2048</v>
      </c>
      <c r="U172" s="25">
        <v>2049</v>
      </c>
      <c r="V172" s="25">
        <v>2050</v>
      </c>
      <c r="W172" s="25">
        <v>2051</v>
      </c>
      <c r="X172" s="25">
        <v>2052</v>
      </c>
      <c r="Y172" s="25">
        <v>2053</v>
      </c>
      <c r="Z172" s="25">
        <v>2054</v>
      </c>
      <c r="AC172" s="25">
        <v>2030</v>
      </c>
      <c r="AD172" s="25">
        <v>2031</v>
      </c>
      <c r="AE172" s="25">
        <v>2032</v>
      </c>
      <c r="AF172" s="25">
        <v>2033</v>
      </c>
      <c r="AG172" s="25">
        <v>2034</v>
      </c>
      <c r="AH172" s="25">
        <v>2035</v>
      </c>
      <c r="AI172" s="25">
        <v>2036</v>
      </c>
      <c r="AJ172" s="25">
        <v>2037</v>
      </c>
      <c r="AK172" s="25">
        <v>2038</v>
      </c>
      <c r="AL172" s="25">
        <v>2039</v>
      </c>
      <c r="AM172" s="25">
        <v>2040</v>
      </c>
      <c r="AN172" s="25">
        <v>2041</v>
      </c>
      <c r="AO172" s="25">
        <v>2042</v>
      </c>
      <c r="AP172" s="25">
        <v>2043</v>
      </c>
      <c r="AQ172" s="25">
        <v>2044</v>
      </c>
      <c r="AR172" s="25">
        <v>2045</v>
      </c>
      <c r="AS172" s="25">
        <v>2046</v>
      </c>
      <c r="AT172" s="25">
        <v>2047</v>
      </c>
      <c r="AU172" s="25">
        <v>2048</v>
      </c>
      <c r="AV172" s="25">
        <v>2049</v>
      </c>
      <c r="AW172" s="25">
        <v>2050</v>
      </c>
      <c r="AX172" s="25">
        <v>2051</v>
      </c>
      <c r="AY172" s="25">
        <v>2052</v>
      </c>
      <c r="AZ172" s="25">
        <v>2053</v>
      </c>
      <c r="BA172" s="25">
        <v>2054</v>
      </c>
    </row>
    <row r="173" spans="1:53" outlineLevel="1" x14ac:dyDescent="0.35">
      <c r="A173" s="6" t="s">
        <v>21</v>
      </c>
      <c r="B173" s="6">
        <f>'Results - raw data ReCiPe (H)'!CC41</f>
        <v>664.0801386284005</v>
      </c>
      <c r="AB173" s="6" t="s">
        <v>117</v>
      </c>
      <c r="AC173" s="6">
        <f>SUM(B173:B184)+B186</f>
        <v>35571.801809533943</v>
      </c>
    </row>
    <row r="174" spans="1:53" outlineLevel="1" x14ac:dyDescent="0.35">
      <c r="A174" s="6" t="s">
        <v>23</v>
      </c>
      <c r="B174" s="6">
        <f>'Results - raw data ReCiPe (H)'!CC42</f>
        <v>880.72967752235445</v>
      </c>
      <c r="AB174" s="6" t="s">
        <v>118</v>
      </c>
      <c r="AC174" s="6">
        <f>B185</f>
        <v>2321.3557239996653</v>
      </c>
    </row>
    <row r="175" spans="1:53" outlineLevel="1" x14ac:dyDescent="0.35">
      <c r="A175" s="6" t="s">
        <v>26</v>
      </c>
      <c r="B175" s="6">
        <f>'Results - raw data ReCiPe (H)'!CC43</f>
        <v>2726.2435258181008</v>
      </c>
      <c r="AB175" s="6" t="s">
        <v>119</v>
      </c>
      <c r="BA175" s="6">
        <f>SUM(Z187:Z198)</f>
        <v>578.38595176265494</v>
      </c>
    </row>
    <row r="176" spans="1:53" outlineLevel="1" x14ac:dyDescent="0.35">
      <c r="A176" s="6" t="s">
        <v>28</v>
      </c>
      <c r="B176" s="6">
        <f>'Results - raw data ReCiPe (H)'!CC44</f>
        <v>2535.5148250076131</v>
      </c>
      <c r="AB176" s="6" t="s">
        <v>120</v>
      </c>
      <c r="BA176" s="6">
        <f>Z199</f>
        <v>20.958999559062121</v>
      </c>
    </row>
    <row r="177" spans="1:53" outlineLevel="1" x14ac:dyDescent="0.35">
      <c r="A177" s="6" t="s">
        <v>29</v>
      </c>
      <c r="B177" s="6">
        <f>'Results - raw data ReCiPe (H)'!CC45</f>
        <v>1516.390580972007</v>
      </c>
      <c r="AB177" s="6" t="s">
        <v>121</v>
      </c>
      <c r="AC177" s="6">
        <f>B200</f>
        <v>1148.3409729516229</v>
      </c>
      <c r="AF177" s="6">
        <f>E200</f>
        <v>1112.2182425813739</v>
      </c>
      <c r="AI177" s="6">
        <f>H200</f>
        <v>1076.9191461281321</v>
      </c>
      <c r="AL177" s="6">
        <f>K200</f>
        <v>1031.286216035297</v>
      </c>
      <c r="AO177" s="6">
        <f>N200</f>
        <v>977.44851845379105</v>
      </c>
      <c r="AR177" s="6">
        <f>Q200</f>
        <v>917.987027187487</v>
      </c>
      <c r="AU177" s="6">
        <f>T200</f>
        <v>875.86379727760391</v>
      </c>
      <c r="AX177" s="6">
        <f>W200</f>
        <v>846.3879160889735</v>
      </c>
      <c r="BA177" s="6">
        <f>Z200</f>
        <v>839.0363303143256</v>
      </c>
    </row>
    <row r="178" spans="1:53" outlineLevel="1" x14ac:dyDescent="0.35">
      <c r="A178" s="6" t="s">
        <v>31</v>
      </c>
      <c r="B178" s="6">
        <f>'Results - raw data ReCiPe (H)'!CC46</f>
        <v>1090.8211920973019</v>
      </c>
      <c r="AB178" s="6" t="s">
        <v>122</v>
      </c>
      <c r="AC178" s="6">
        <f>B203+B202</f>
        <v>24627.814808356317</v>
      </c>
      <c r="AD178" s="6">
        <f t="shared" ref="AD178:AV178" si="20">C203+C202</f>
        <v>23007.574703896466</v>
      </c>
      <c r="AE178" s="6">
        <f t="shared" si="20"/>
        <v>21387.85072454179</v>
      </c>
      <c r="AF178" s="6">
        <f t="shared" si="20"/>
        <v>19738.878919805309</v>
      </c>
      <c r="AG178" s="6">
        <f t="shared" si="20"/>
        <v>18119.795331705423</v>
      </c>
      <c r="AH178" s="6">
        <f t="shared" si="20"/>
        <v>16500.781925507643</v>
      </c>
      <c r="AI178" s="6">
        <f t="shared" si="20"/>
        <v>15206.746184268166</v>
      </c>
      <c r="AJ178" s="6">
        <f t="shared" si="20"/>
        <v>13916.397148752201</v>
      </c>
      <c r="AK178" s="6">
        <f t="shared" si="20"/>
        <v>12604.873895513982</v>
      </c>
      <c r="AL178" s="6">
        <f t="shared" si="20"/>
        <v>11316.529406602853</v>
      </c>
      <c r="AM178" s="6">
        <f t="shared" si="20"/>
        <v>10028.310983538013</v>
      </c>
      <c r="AN178" s="6">
        <f t="shared" si="20"/>
        <v>8990.5088123138648</v>
      </c>
      <c r="AO178" s="6">
        <f t="shared" si="20"/>
        <v>7948.861731494726</v>
      </c>
      <c r="AP178" s="6">
        <f t="shared" si="20"/>
        <v>6898.4647369356317</v>
      </c>
      <c r="AQ178" s="6">
        <f t="shared" si="20"/>
        <v>5849.3154489777635</v>
      </c>
      <c r="AR178" s="6">
        <f t="shared" si="20"/>
        <v>4796.5068628817398</v>
      </c>
      <c r="AS178" s="6">
        <f t="shared" si="20"/>
        <v>4225.1533278487022</v>
      </c>
      <c r="AT178" s="6">
        <f t="shared" si="20"/>
        <v>3653.9692003727459</v>
      </c>
      <c r="AU178" s="6">
        <f t="shared" si="20"/>
        <v>3078.7515053568495</v>
      </c>
      <c r="AV178" s="6">
        <f t="shared" si="20"/>
        <v>2508.1437076971797</v>
      </c>
      <c r="AW178" s="6">
        <f>V203</f>
        <v>1938.210334315145</v>
      </c>
      <c r="AX178" s="6">
        <f>W203</f>
        <v>1732.6538356380768</v>
      </c>
      <c r="AY178" s="6">
        <f>X203</f>
        <v>1509.3500111451742</v>
      </c>
      <c r="AZ178" s="6">
        <f>Y203</f>
        <v>1285.3212344800988</v>
      </c>
      <c r="BA178" s="6">
        <f>Z203</f>
        <v>1060.5511180190729</v>
      </c>
    </row>
    <row r="179" spans="1:53" outlineLevel="1" x14ac:dyDescent="0.35">
      <c r="A179" s="6" t="s">
        <v>34</v>
      </c>
      <c r="B179" s="6">
        <f>'Results - raw data ReCiPe (H)'!CC47</f>
        <v>720.17360726585548</v>
      </c>
      <c r="AB179" s="6" t="s">
        <v>123</v>
      </c>
      <c r="AC179" s="6">
        <f t="shared" ref="AC179:BA179" si="21">B201</f>
        <v>2542.97481093942</v>
      </c>
      <c r="AD179" s="6">
        <f t="shared" si="21"/>
        <v>2376.1908223022351</v>
      </c>
      <c r="AE179" s="6">
        <f t="shared" si="21"/>
        <v>2210.198356481329</v>
      </c>
      <c r="AF179" s="6">
        <f t="shared" si="21"/>
        <v>2042.1089575522349</v>
      </c>
      <c r="AG179" s="6">
        <f t="shared" si="21"/>
        <v>1877.6504775339711</v>
      </c>
      <c r="AH179" s="6">
        <f t="shared" si="21"/>
        <v>1713.9317286688911</v>
      </c>
      <c r="AI179" s="6">
        <f t="shared" si="21"/>
        <v>1584.1543394014241</v>
      </c>
      <c r="AJ179" s="6">
        <f t="shared" si="21"/>
        <v>1454.8948646449719</v>
      </c>
      <c r="AK179" s="6">
        <f t="shared" si="21"/>
        <v>1323.7820438900601</v>
      </c>
      <c r="AL179" s="6">
        <f t="shared" si="21"/>
        <v>1195.1988527569281</v>
      </c>
      <c r="AM179" s="6">
        <f t="shared" si="21"/>
        <v>1066.8976244184651</v>
      </c>
      <c r="AN179" s="6">
        <f t="shared" si="21"/>
        <v>963.58440519466842</v>
      </c>
      <c r="AO179" s="6">
        <f t="shared" si="21"/>
        <v>859.91567497999529</v>
      </c>
      <c r="AP179" s="6">
        <f t="shared" si="21"/>
        <v>755.41292956805273</v>
      </c>
      <c r="AQ179" s="6">
        <f t="shared" si="21"/>
        <v>651.04604210442778</v>
      </c>
      <c r="AR179" s="6">
        <f t="shared" si="21"/>
        <v>546.33480393535831</v>
      </c>
      <c r="AS179" s="6">
        <f t="shared" si="21"/>
        <v>489.39242557480054</v>
      </c>
      <c r="AT179" s="6">
        <f t="shared" si="21"/>
        <v>432.29621235982074</v>
      </c>
      <c r="AU179" s="6">
        <f t="shared" si="21"/>
        <v>374.6375724780944</v>
      </c>
      <c r="AV179" s="6">
        <f t="shared" si="21"/>
        <v>317.244406053852</v>
      </c>
      <c r="AW179" s="6">
        <f t="shared" si="21"/>
        <v>259.72292994022592</v>
      </c>
      <c r="AX179" s="6">
        <f t="shared" si="21"/>
        <v>239.30004870743892</v>
      </c>
      <c r="AY179" s="6">
        <f t="shared" si="21"/>
        <v>217.20126571922478</v>
      </c>
      <c r="AZ179" s="6">
        <f t="shared" si="21"/>
        <v>195.09716023618199</v>
      </c>
      <c r="BA179" s="6">
        <f t="shared" si="21"/>
        <v>172.9858048397322</v>
      </c>
    </row>
    <row r="180" spans="1:53" outlineLevel="1" x14ac:dyDescent="0.35">
      <c r="A180" s="6" t="s">
        <v>36</v>
      </c>
      <c r="B180" s="6">
        <f>'Results - raw data ReCiPe (H)'!CC48</f>
        <v>600.64271598941855</v>
      </c>
      <c r="AB180" s="6" t="s">
        <v>124</v>
      </c>
      <c r="AC180" s="6">
        <f>-$AC$7*$AC$6</f>
        <v>-100000</v>
      </c>
      <c r="AD180" s="6">
        <f t="shared" ref="AD180:BA180" si="22">-$AC$7*$AC$6</f>
        <v>-100000</v>
      </c>
      <c r="AE180" s="6">
        <f t="shared" si="22"/>
        <v>-100000</v>
      </c>
      <c r="AF180" s="6">
        <f t="shared" si="22"/>
        <v>-100000</v>
      </c>
      <c r="AG180" s="6">
        <f t="shared" si="22"/>
        <v>-100000</v>
      </c>
      <c r="AH180" s="6">
        <f t="shared" si="22"/>
        <v>-100000</v>
      </c>
      <c r="AI180" s="6">
        <f t="shared" si="22"/>
        <v>-100000</v>
      </c>
      <c r="AJ180" s="6">
        <f t="shared" si="22"/>
        <v>-100000</v>
      </c>
      <c r="AK180" s="6">
        <f t="shared" si="22"/>
        <v>-100000</v>
      </c>
      <c r="AL180" s="6">
        <f t="shared" si="22"/>
        <v>-100000</v>
      </c>
      <c r="AM180" s="6">
        <f t="shared" si="22"/>
        <v>-100000</v>
      </c>
      <c r="AN180" s="6">
        <f t="shared" si="22"/>
        <v>-100000</v>
      </c>
      <c r="AO180" s="6">
        <f t="shared" si="22"/>
        <v>-100000</v>
      </c>
      <c r="AP180" s="6">
        <f t="shared" si="22"/>
        <v>-100000</v>
      </c>
      <c r="AQ180" s="6">
        <f t="shared" si="22"/>
        <v>-100000</v>
      </c>
      <c r="AR180" s="6">
        <f t="shared" si="22"/>
        <v>-100000</v>
      </c>
      <c r="AS180" s="6">
        <f t="shared" si="22"/>
        <v>-100000</v>
      </c>
      <c r="AT180" s="6">
        <f t="shared" si="22"/>
        <v>-100000</v>
      </c>
      <c r="AU180" s="6">
        <f t="shared" si="22"/>
        <v>-100000</v>
      </c>
      <c r="AV180" s="6">
        <f t="shared" si="22"/>
        <v>-100000</v>
      </c>
      <c r="AW180" s="6">
        <f t="shared" si="22"/>
        <v>-100000</v>
      </c>
      <c r="AX180" s="6">
        <f t="shared" si="22"/>
        <v>-100000</v>
      </c>
      <c r="AY180" s="6">
        <f t="shared" si="22"/>
        <v>-100000</v>
      </c>
      <c r="AZ180" s="6">
        <f t="shared" si="22"/>
        <v>-100000</v>
      </c>
      <c r="BA180" s="6">
        <f t="shared" si="22"/>
        <v>-100000</v>
      </c>
    </row>
    <row r="181" spans="1:53" outlineLevel="1" x14ac:dyDescent="0.35">
      <c r="A181" s="6" t="s">
        <v>38</v>
      </c>
      <c r="B181" s="6">
        <f>'Results - raw data ReCiPe (H)'!CC49</f>
        <v>5471.4360123760534</v>
      </c>
      <c r="AB181" s="23" t="s">
        <v>125</v>
      </c>
      <c r="AC181" s="17">
        <f>SUM(AC173:AC180)</f>
        <v>-33787.711874219036</v>
      </c>
      <c r="AD181" s="17">
        <f t="shared" ref="AD181:BA181" si="23">SUM(AD173:AD180)</f>
        <v>-74616.234473801305</v>
      </c>
      <c r="AE181" s="17">
        <f t="shared" si="23"/>
        <v>-76401.950918976887</v>
      </c>
      <c r="AF181" s="17">
        <f t="shared" si="23"/>
        <v>-77106.793880061086</v>
      </c>
      <c r="AG181" s="17">
        <f t="shared" si="23"/>
        <v>-80002.554190760609</v>
      </c>
      <c r="AH181" s="17">
        <f t="shared" si="23"/>
        <v>-81785.286345823464</v>
      </c>
      <c r="AI181" s="17">
        <f t="shared" si="23"/>
        <v>-82132.180330202274</v>
      </c>
      <c r="AJ181" s="17">
        <f t="shared" si="23"/>
        <v>-84628.707986602822</v>
      </c>
      <c r="AK181" s="17">
        <f t="shared" si="23"/>
        <v>-86071.344060595962</v>
      </c>
      <c r="AL181" s="17">
        <f t="shared" si="23"/>
        <v>-86456.985524604926</v>
      </c>
      <c r="AM181" s="17">
        <f t="shared" si="23"/>
        <v>-88904.791392043524</v>
      </c>
      <c r="AN181" s="17">
        <f t="shared" si="23"/>
        <v>-90045.906782491467</v>
      </c>
      <c r="AO181" s="17">
        <f t="shared" si="23"/>
        <v>-90213.774075071487</v>
      </c>
      <c r="AP181" s="17">
        <f t="shared" si="23"/>
        <v>-92346.122333496314</v>
      </c>
      <c r="AQ181" s="17">
        <f t="shared" si="23"/>
        <v>-93499.638508917807</v>
      </c>
      <c r="AR181" s="17">
        <f t="shared" si="23"/>
        <v>-93739.17130599542</v>
      </c>
      <c r="AS181" s="17">
        <f t="shared" si="23"/>
        <v>-95285.454246576497</v>
      </c>
      <c r="AT181" s="17">
        <f t="shared" si="23"/>
        <v>-95913.734587267434</v>
      </c>
      <c r="AU181" s="17">
        <f t="shared" si="23"/>
        <v>-95670.74712488745</v>
      </c>
      <c r="AV181" s="17">
        <f t="shared" si="23"/>
        <v>-97174.611886248967</v>
      </c>
      <c r="AW181" s="17">
        <f t="shared" si="23"/>
        <v>-97802.066735744622</v>
      </c>
      <c r="AX181" s="17">
        <f t="shared" si="23"/>
        <v>-97181.658199565514</v>
      </c>
      <c r="AY181" s="17">
        <f t="shared" si="23"/>
        <v>-98273.448723135603</v>
      </c>
      <c r="AZ181" s="17">
        <f t="shared" si="23"/>
        <v>-98519.581605283718</v>
      </c>
      <c r="BA181" s="17">
        <f t="shared" si="23"/>
        <v>-97328.081795505146</v>
      </c>
    </row>
    <row r="182" spans="1:53" outlineLevel="1" x14ac:dyDescent="0.35">
      <c r="A182" s="6" t="s">
        <v>39</v>
      </c>
      <c r="B182" s="6">
        <f>'Results - raw data ReCiPe (H)'!CC50</f>
        <v>10289.89043583642</v>
      </c>
    </row>
    <row r="183" spans="1:53" outlineLevel="1" x14ac:dyDescent="0.35">
      <c r="A183" s="6" t="s">
        <v>41</v>
      </c>
      <c r="B183" s="6">
        <f>'Results - raw data ReCiPe (H)'!CC51</f>
        <v>149.83026646962881</v>
      </c>
    </row>
    <row r="184" spans="1:53" outlineLevel="1" x14ac:dyDescent="0.35">
      <c r="A184" s="6" t="s">
        <v>43</v>
      </c>
      <c r="B184" s="6">
        <f>'Results - raw data ReCiPe (H)'!CC52</f>
        <v>540.2049660112441</v>
      </c>
      <c r="AB184" s="219"/>
      <c r="AC184" s="219"/>
      <c r="AD184" s="219"/>
      <c r="AE184" s="219"/>
      <c r="AF184" s="219"/>
      <c r="AG184" s="219"/>
      <c r="AH184" s="219"/>
      <c r="AI184" s="219"/>
      <c r="AJ184" s="219"/>
      <c r="AK184" s="219"/>
      <c r="AL184" s="219"/>
      <c r="AM184" s="219"/>
      <c r="AN184" s="219"/>
      <c r="AO184" s="219"/>
      <c r="AP184" s="219"/>
      <c r="AQ184" s="219"/>
      <c r="AR184" s="219"/>
      <c r="AS184" s="219"/>
      <c r="AT184" s="219"/>
      <c r="AU184" s="219"/>
      <c r="AV184" s="219"/>
      <c r="AW184" s="219"/>
      <c r="AX184" s="219"/>
      <c r="AY184" s="219"/>
      <c r="AZ184" s="219"/>
      <c r="BA184" s="219"/>
    </row>
    <row r="185" spans="1:53" outlineLevel="1" x14ac:dyDescent="0.35">
      <c r="A185" s="6" t="s">
        <v>44</v>
      </c>
      <c r="B185" s="6">
        <f>'Results - raw data ReCiPe (H)'!CC53*AC169*AC171</f>
        <v>2321.3557239996653</v>
      </c>
      <c r="AB185" s="219"/>
      <c r="AC185" s="219"/>
      <c r="AD185" s="219"/>
      <c r="AE185" s="219"/>
      <c r="AF185" s="219"/>
      <c r="AG185" s="219"/>
      <c r="AH185" s="219"/>
      <c r="AI185" s="219"/>
      <c r="AJ185" s="219"/>
      <c r="AK185" s="219"/>
      <c r="AL185" s="219"/>
      <c r="AM185" s="219"/>
      <c r="AN185" s="219"/>
      <c r="AO185" s="219"/>
      <c r="AP185" s="219"/>
      <c r="AQ185" s="219"/>
      <c r="AR185" s="219"/>
      <c r="AS185" s="219"/>
      <c r="AT185" s="219"/>
      <c r="AU185" s="219"/>
      <c r="AV185" s="219"/>
      <c r="AW185" s="219"/>
      <c r="AX185" s="219"/>
      <c r="AY185" s="219"/>
      <c r="AZ185" s="219"/>
      <c r="BA185" s="219"/>
    </row>
    <row r="186" spans="1:53" outlineLevel="1" x14ac:dyDescent="0.35">
      <c r="A186" s="6" t="s">
        <v>757</v>
      </c>
      <c r="B186" s="6">
        <f>'Results - raw data ReCiPe (H)'!CC54*AC169*AC171</f>
        <v>8385.8438655395494</v>
      </c>
      <c r="AB186" s="219"/>
      <c r="AC186" s="219"/>
      <c r="AD186" s="219"/>
      <c r="AE186" s="219"/>
      <c r="AF186" s="219"/>
      <c r="AG186" s="219"/>
      <c r="AH186" s="219"/>
      <c r="AI186" s="219"/>
      <c r="AJ186" s="219"/>
      <c r="AK186" s="219"/>
      <c r="AL186" s="219"/>
      <c r="AM186" s="219"/>
      <c r="AN186" s="219"/>
      <c r="AO186" s="219"/>
      <c r="AP186" s="219"/>
      <c r="AQ186" s="219"/>
      <c r="AR186" s="219"/>
      <c r="AS186" s="219"/>
      <c r="AT186" s="219"/>
      <c r="AU186" s="219"/>
      <c r="AV186" s="219"/>
      <c r="AW186" s="219"/>
      <c r="AX186" s="219"/>
      <c r="AY186" s="219"/>
      <c r="AZ186" s="219"/>
      <c r="BA186" s="219"/>
    </row>
    <row r="187" spans="1:53" outlineLevel="1" x14ac:dyDescent="0.35">
      <c r="A187" s="6" t="s">
        <v>22</v>
      </c>
      <c r="Z187" s="6">
        <f>'Results - raw data ReCiPe (H)'!DA55</f>
        <v>17.809288110870401</v>
      </c>
      <c r="AB187" s="219"/>
      <c r="AC187" s="219"/>
      <c r="AD187" s="219"/>
      <c r="AE187" s="219"/>
      <c r="AF187" s="219"/>
      <c r="AG187" s="219"/>
      <c r="AH187" s="219"/>
      <c r="AI187" s="219"/>
      <c r="AJ187" s="219"/>
      <c r="AK187" s="219"/>
      <c r="AL187" s="219"/>
      <c r="AM187" s="219"/>
      <c r="AN187" s="219"/>
      <c r="AO187" s="219"/>
      <c r="AP187" s="219"/>
      <c r="AQ187" s="219"/>
      <c r="AR187" s="219"/>
      <c r="AS187" s="219"/>
      <c r="AT187" s="219"/>
      <c r="AU187" s="219"/>
      <c r="AV187" s="219"/>
      <c r="AW187" s="219"/>
      <c r="AX187" s="219"/>
      <c r="AY187" s="219"/>
      <c r="AZ187" s="219"/>
      <c r="BA187" s="219"/>
    </row>
    <row r="188" spans="1:53" outlineLevel="1" x14ac:dyDescent="0.35">
      <c r="A188" s="6" t="s">
        <v>24</v>
      </c>
      <c r="Z188" s="6">
        <f>'Results - raw data ReCiPe (H)'!DA56</f>
        <v>6.4841516951127067</v>
      </c>
      <c r="AB188" s="219"/>
      <c r="AC188" s="219"/>
      <c r="AD188" s="219"/>
      <c r="AE188" s="219"/>
      <c r="AF188" s="219"/>
      <c r="AG188" s="219"/>
      <c r="AH188" s="219"/>
      <c r="AI188" s="219"/>
      <c r="AJ188" s="219"/>
      <c r="AK188" s="219"/>
      <c r="AL188" s="219"/>
      <c r="AM188" s="219"/>
      <c r="AN188" s="219"/>
      <c r="AO188" s="219"/>
      <c r="AP188" s="219"/>
      <c r="AQ188" s="219"/>
      <c r="AR188" s="219"/>
      <c r="AS188" s="219"/>
      <c r="AT188" s="219"/>
      <c r="AU188" s="219"/>
      <c r="AV188" s="219"/>
      <c r="AW188" s="219"/>
      <c r="AX188" s="219"/>
      <c r="AY188" s="219"/>
      <c r="AZ188" s="219"/>
      <c r="BA188" s="219"/>
    </row>
    <row r="189" spans="1:53" outlineLevel="1" x14ac:dyDescent="0.35">
      <c r="A189" s="6" t="s">
        <v>25</v>
      </c>
      <c r="Z189" s="6">
        <f>'Results - raw data ReCiPe (H)'!DA57</f>
        <v>20.396392714219459</v>
      </c>
      <c r="AB189" s="219"/>
      <c r="AC189" s="219"/>
      <c r="AD189" s="219"/>
      <c r="AE189" s="219"/>
      <c r="AF189" s="219"/>
      <c r="AG189" s="219"/>
      <c r="AH189" s="219"/>
      <c r="AI189" s="219"/>
      <c r="AJ189" s="219"/>
      <c r="AK189" s="219"/>
      <c r="AL189" s="219"/>
      <c r="AM189" s="219"/>
      <c r="AN189" s="219"/>
      <c r="AO189" s="219"/>
      <c r="AP189" s="219"/>
      <c r="AQ189" s="219"/>
      <c r="AR189" s="219"/>
      <c r="AS189" s="219"/>
      <c r="AT189" s="219"/>
      <c r="AU189" s="219"/>
      <c r="AV189" s="219"/>
      <c r="AW189" s="219"/>
      <c r="AX189" s="219"/>
      <c r="AY189" s="219"/>
      <c r="AZ189" s="219"/>
      <c r="BA189" s="219"/>
    </row>
    <row r="190" spans="1:53" outlineLevel="1" x14ac:dyDescent="0.35">
      <c r="A190" s="6" t="s">
        <v>27</v>
      </c>
      <c r="Z190" s="6">
        <f>'Results - raw data ReCiPe (H)'!DA58</f>
        <v>6.4516925251757771</v>
      </c>
      <c r="AB190" s="219"/>
      <c r="AC190" s="219"/>
      <c r="AD190" s="219"/>
      <c r="AE190" s="219"/>
      <c r="AF190" s="219"/>
      <c r="AG190" s="219"/>
      <c r="AH190" s="219"/>
      <c r="AI190" s="219"/>
      <c r="AJ190" s="219"/>
      <c r="AK190" s="219"/>
      <c r="AL190" s="219"/>
      <c r="AM190" s="219"/>
      <c r="AN190" s="219"/>
      <c r="AO190" s="219"/>
      <c r="AP190" s="219"/>
      <c r="AQ190" s="219"/>
      <c r="AR190" s="219"/>
      <c r="AS190" s="219"/>
      <c r="AT190" s="219"/>
      <c r="AU190" s="219"/>
      <c r="AV190" s="219"/>
      <c r="AW190" s="219"/>
      <c r="AX190" s="219"/>
      <c r="AY190" s="219"/>
      <c r="AZ190" s="219"/>
      <c r="BA190" s="219"/>
    </row>
    <row r="191" spans="1:53" outlineLevel="1" x14ac:dyDescent="0.35">
      <c r="A191" s="6" t="s">
        <v>30</v>
      </c>
      <c r="Z191" s="6">
        <f>'Results - raw data ReCiPe (H)'!DA59</f>
        <v>23.21195353922505</v>
      </c>
      <c r="AB191" s="219"/>
      <c r="AC191" s="219"/>
      <c r="AD191" s="219"/>
      <c r="AE191" s="219"/>
      <c r="AF191" s="219"/>
      <c r="AG191" s="219"/>
      <c r="AH191" s="219"/>
      <c r="AI191" s="219"/>
      <c r="AJ191" s="219"/>
      <c r="AK191" s="219"/>
      <c r="AL191" s="219"/>
      <c r="AM191" s="219"/>
      <c r="AN191" s="219"/>
      <c r="AO191" s="219"/>
      <c r="AP191" s="219"/>
      <c r="AQ191" s="219"/>
      <c r="AR191" s="219"/>
      <c r="AS191" s="219"/>
      <c r="AT191" s="219"/>
      <c r="AU191" s="219"/>
      <c r="AV191" s="219"/>
      <c r="AW191" s="219"/>
      <c r="AX191" s="219"/>
      <c r="AY191" s="219"/>
      <c r="AZ191" s="219"/>
      <c r="BA191" s="219"/>
    </row>
    <row r="192" spans="1:53" outlineLevel="1" x14ac:dyDescent="0.35">
      <c r="A192" s="6" t="s">
        <v>32</v>
      </c>
      <c r="Z192" s="6">
        <f>'Results - raw data ReCiPe (H)'!DA60</f>
        <v>0.71269773507552991</v>
      </c>
      <c r="AB192" s="219"/>
      <c r="AC192" s="219"/>
      <c r="AD192" s="219"/>
      <c r="AE192" s="219"/>
      <c r="AF192" s="219"/>
      <c r="AG192" s="219"/>
      <c r="AH192" s="219"/>
      <c r="AI192" s="219"/>
      <c r="AJ192" s="219"/>
      <c r="AK192" s="219"/>
      <c r="AL192" s="219"/>
      <c r="AM192" s="219"/>
      <c r="AN192" s="219"/>
      <c r="AO192" s="219"/>
      <c r="AP192" s="219"/>
      <c r="AQ192" s="219"/>
      <c r="AR192" s="219"/>
      <c r="AS192" s="219"/>
      <c r="AT192" s="219"/>
      <c r="AU192" s="219"/>
      <c r="AV192" s="219"/>
      <c r="AW192" s="219"/>
      <c r="AX192" s="219"/>
      <c r="AY192" s="219"/>
      <c r="AZ192" s="219"/>
      <c r="BA192" s="219"/>
    </row>
    <row r="193" spans="1:53" outlineLevel="1" x14ac:dyDescent="0.35">
      <c r="A193" s="6" t="s">
        <v>33</v>
      </c>
      <c r="Z193" s="6">
        <f>'Results - raw data ReCiPe (H)'!DA61</f>
        <v>5.512756844731129</v>
      </c>
      <c r="AB193" s="219"/>
      <c r="AC193" s="219"/>
      <c r="AD193" s="219"/>
      <c r="AE193" s="219"/>
      <c r="AF193" s="219"/>
      <c r="AG193" s="219"/>
      <c r="AH193" s="219"/>
      <c r="AI193" s="219"/>
      <c r="AJ193" s="219"/>
      <c r="AK193" s="219"/>
      <c r="AL193" s="219"/>
      <c r="AM193" s="219"/>
      <c r="AN193" s="219"/>
      <c r="AO193" s="219"/>
      <c r="AP193" s="219"/>
      <c r="AQ193" s="219"/>
      <c r="AR193" s="219"/>
      <c r="AS193" s="219"/>
      <c r="AT193" s="219"/>
      <c r="AU193" s="219"/>
      <c r="AV193" s="219"/>
      <c r="AW193" s="219"/>
      <c r="AX193" s="219"/>
      <c r="AY193" s="219"/>
      <c r="AZ193" s="219"/>
      <c r="BA193" s="219"/>
    </row>
    <row r="194" spans="1:53" outlineLevel="1" x14ac:dyDescent="0.35">
      <c r="A194" s="6" t="s">
        <v>35</v>
      </c>
      <c r="Z194" s="6">
        <f>'Results - raw data ReCiPe (H)'!DA62</f>
        <v>11.02551368946226</v>
      </c>
      <c r="AB194" s="219"/>
      <c r="AC194" s="219"/>
      <c r="AD194" s="219"/>
      <c r="AE194" s="219"/>
      <c r="AF194" s="219"/>
      <c r="AG194" s="219"/>
      <c r="AH194" s="219"/>
      <c r="AI194" s="219"/>
      <c r="AJ194" s="219"/>
      <c r="AK194" s="219"/>
      <c r="AL194" s="219"/>
      <c r="AM194" s="219"/>
      <c r="AN194" s="219"/>
      <c r="AO194" s="219"/>
      <c r="AP194" s="219"/>
      <c r="AQ194" s="219"/>
      <c r="AR194" s="219"/>
      <c r="AS194" s="219"/>
      <c r="AT194" s="219"/>
      <c r="AU194" s="219"/>
      <c r="AV194" s="219"/>
      <c r="AW194" s="219"/>
      <c r="AX194" s="219"/>
      <c r="AY194" s="219"/>
      <c r="AZ194" s="219"/>
      <c r="BA194" s="219"/>
    </row>
    <row r="195" spans="1:53" outlineLevel="1" x14ac:dyDescent="0.35">
      <c r="A195" s="6" t="s">
        <v>37</v>
      </c>
      <c r="Z195" s="6">
        <f>'Results - raw data ReCiPe (H)'!DA63</f>
        <v>11.4624592345025</v>
      </c>
      <c r="AB195" s="219"/>
      <c r="AC195" s="219"/>
      <c r="AD195" s="219"/>
      <c r="AE195" s="219"/>
      <c r="AF195" s="219"/>
      <c r="AG195" s="219"/>
      <c r="AH195" s="219"/>
      <c r="AI195" s="219"/>
      <c r="AJ195" s="219"/>
      <c r="AK195" s="219"/>
      <c r="AL195" s="219"/>
      <c r="AM195" s="219"/>
      <c r="AN195" s="219"/>
      <c r="AO195" s="219"/>
      <c r="AP195" s="219"/>
      <c r="AQ195" s="219"/>
      <c r="AR195" s="219"/>
      <c r="AS195" s="219"/>
      <c r="AT195" s="219"/>
      <c r="AU195" s="219"/>
      <c r="AV195" s="219"/>
      <c r="AW195" s="219"/>
      <c r="AX195" s="219"/>
      <c r="AY195" s="219"/>
      <c r="AZ195" s="219"/>
      <c r="BA195" s="219"/>
    </row>
    <row r="196" spans="1:53" outlineLevel="1" x14ac:dyDescent="0.35">
      <c r="A196" s="6" t="s">
        <v>40</v>
      </c>
      <c r="Z196" s="6">
        <f>'Results - raw data ReCiPe (H)'!DA64</f>
        <v>278.45924154762872</v>
      </c>
    </row>
    <row r="197" spans="1:53" outlineLevel="1" x14ac:dyDescent="0.35">
      <c r="A197" s="6" t="s">
        <v>42</v>
      </c>
      <c r="Z197" s="6">
        <f>'Results - raw data ReCiPe (H)'!DA65</f>
        <v>24.547181732291531</v>
      </c>
    </row>
    <row r="198" spans="1:53" outlineLevel="1" x14ac:dyDescent="0.35">
      <c r="A198" s="6" t="s">
        <v>115</v>
      </c>
      <c r="Z198" s="6">
        <f>'Results - raw data ReCiPe (H)'!DA66</f>
        <v>172.31262239435989</v>
      </c>
    </row>
    <row r="199" spans="1:53" outlineLevel="1" x14ac:dyDescent="0.35">
      <c r="A199" s="6" t="s">
        <v>45</v>
      </c>
      <c r="Z199" s="6">
        <f>'Results - raw data ReCiPe (H)'!DA67*AC169*AC171</f>
        <v>20.958999559062121</v>
      </c>
    </row>
    <row r="200" spans="1:53" outlineLevel="1" x14ac:dyDescent="0.35">
      <c r="A200" s="6" t="s">
        <v>116</v>
      </c>
      <c r="B200" s="6">
        <f>'Results - raw data ReCiPe (H)'!CC68</f>
        <v>1148.3409729516229</v>
      </c>
      <c r="C200" s="6">
        <f>'Results - raw data ReCiPe (H)'!CD68</f>
        <v>1138.060168440604</v>
      </c>
      <c r="D200" s="6">
        <f>'Results - raw data ReCiPe (H)'!CE68</f>
        <v>1127.7127066101459</v>
      </c>
      <c r="E200" s="6">
        <f>'Results - raw data ReCiPe (H)'!CF68</f>
        <v>1112.2182425813739</v>
      </c>
      <c r="F200" s="6">
        <f>'Results - raw data ReCiPe (H)'!CG68</f>
        <v>1101.723968475133</v>
      </c>
      <c r="G200" s="6">
        <f>'Results - raw data ReCiPe (H)'!CH68</f>
        <v>1091.139656450338</v>
      </c>
      <c r="H200" s="6">
        <f>'Results - raw data ReCiPe (H)'!CI68</f>
        <v>1076.9191461281321</v>
      </c>
      <c r="I200" s="6">
        <f>'Results - raw data ReCiPe (H)'!CJ68</f>
        <v>1062.730546817681</v>
      </c>
      <c r="J200" s="6">
        <f>'Results - raw data ReCiPe (H)'!CK68</f>
        <v>1045.4717263922239</v>
      </c>
      <c r="K200" s="6">
        <f>'Results - raw data ReCiPe (H)'!CL68</f>
        <v>1031.286216035297</v>
      </c>
      <c r="L200" s="6">
        <f>'Results - raw data ReCiPe (H)'!CM68</f>
        <v>1017.05516653554</v>
      </c>
      <c r="M200" s="6">
        <f>'Results - raw data ReCiPe (H)'!CN68</f>
        <v>997.19821038309715</v>
      </c>
      <c r="N200" s="6">
        <f>'Results - raw data ReCiPe (H)'!CO68</f>
        <v>977.44851845379105</v>
      </c>
      <c r="O200" s="6">
        <f>'Results - raw data ReCiPe (H)'!CP68</f>
        <v>956.93102796878463</v>
      </c>
      <c r="P200" s="6">
        <f>'Results - raw data ReCiPe (H)'!CQ68</f>
        <v>937.40861002536712</v>
      </c>
      <c r="Q200" s="6">
        <f>'Results - raw data ReCiPe (H)'!CR68</f>
        <v>917.987027187487</v>
      </c>
      <c r="R200" s="6">
        <f>'Results - raw data ReCiPe (H)'!CS68</f>
        <v>904.09536731961418</v>
      </c>
      <c r="S200" s="6">
        <f>'Results - raw data ReCiPe (H)'!CT68</f>
        <v>890.28838396677645</v>
      </c>
      <c r="T200" s="6">
        <f>'Results - raw data ReCiPe (H)'!CU68</f>
        <v>875.86379727760391</v>
      </c>
      <c r="U200" s="6">
        <f>'Results - raw data ReCiPe (H)'!CV68</f>
        <v>862.23848950309525</v>
      </c>
      <c r="V200" s="6">
        <f>'Results - raw data ReCiPe (H)'!CW68</f>
        <v>848.69548558566385</v>
      </c>
      <c r="W200" s="6">
        <f>'Results - raw data ReCiPe (H)'!CX68</f>
        <v>846.3879160889735</v>
      </c>
      <c r="X200" s="6">
        <f>'Results - raw data ReCiPe (H)'!CY68</f>
        <v>843.918831246026</v>
      </c>
      <c r="Y200" s="6">
        <f>'Results - raw data ReCiPe (H)'!CZ68</f>
        <v>841.46837575009522</v>
      </c>
      <c r="Z200" s="6">
        <f>'Results - raw data ReCiPe (H)'!DA68</f>
        <v>839.0363303143256</v>
      </c>
    </row>
    <row r="201" spans="1:53" outlineLevel="1" x14ac:dyDescent="0.35">
      <c r="A201" s="6" t="s">
        <v>758</v>
      </c>
      <c r="B201" s="6">
        <f>'Results - raw data ReCiPe (H)'!CC69*$AC$169</f>
        <v>2542.97481093942</v>
      </c>
      <c r="C201" s="6">
        <f>'Results - raw data ReCiPe (H)'!CD69*$AC$169</f>
        <v>2376.1908223022351</v>
      </c>
      <c r="D201" s="6">
        <f>'Results - raw data ReCiPe (H)'!CE69*$AC$169</f>
        <v>2210.198356481329</v>
      </c>
      <c r="E201" s="6">
        <f>'Results - raw data ReCiPe (H)'!CF69*$AC$169</f>
        <v>2042.1089575522349</v>
      </c>
      <c r="F201" s="6">
        <f>'Results - raw data ReCiPe (H)'!CG69*$AC$169</f>
        <v>1877.6504775339711</v>
      </c>
      <c r="G201" s="6">
        <f>'Results - raw data ReCiPe (H)'!CH69*$AC$169</f>
        <v>1713.9317286688911</v>
      </c>
      <c r="H201" s="6">
        <f>'Results - raw data ReCiPe (H)'!CI69*$AC$169</f>
        <v>1584.1543394014241</v>
      </c>
      <c r="I201" s="6">
        <f>'Results - raw data ReCiPe (H)'!CJ69*$AC$169</f>
        <v>1454.8948646449719</v>
      </c>
      <c r="J201" s="6">
        <f>'Results - raw data ReCiPe (H)'!CK69*$AC$169</f>
        <v>1323.7820438900601</v>
      </c>
      <c r="K201" s="6">
        <f>'Results - raw data ReCiPe (H)'!CL69*$AC$169</f>
        <v>1195.1988527569281</v>
      </c>
      <c r="L201" s="6">
        <f>'Results - raw data ReCiPe (H)'!CM69*$AC$169</f>
        <v>1066.8976244184651</v>
      </c>
      <c r="M201" s="6">
        <f>'Results - raw data ReCiPe (H)'!CN69*$AC$169</f>
        <v>963.58440519466842</v>
      </c>
      <c r="N201" s="6">
        <f>'Results - raw data ReCiPe (H)'!CO69*$AC$169</f>
        <v>859.91567497999529</v>
      </c>
      <c r="O201" s="6">
        <f>'Results - raw data ReCiPe (H)'!CP69*$AC$169</f>
        <v>755.41292956805273</v>
      </c>
      <c r="P201" s="6">
        <f>'Results - raw data ReCiPe (H)'!CQ69*$AC$169</f>
        <v>651.04604210442778</v>
      </c>
      <c r="Q201" s="6">
        <f>'Results - raw data ReCiPe (H)'!CR69*$AC$169</f>
        <v>546.33480393535831</v>
      </c>
      <c r="R201" s="6">
        <f>'Results - raw data ReCiPe (H)'!CS69*$AC$169</f>
        <v>489.39242557480054</v>
      </c>
      <c r="S201" s="6">
        <f>'Results - raw data ReCiPe (H)'!CT69*$AC$169</f>
        <v>432.29621235982074</v>
      </c>
      <c r="T201" s="6">
        <f>'Results - raw data ReCiPe (H)'!CU69*$AC$169</f>
        <v>374.6375724780944</v>
      </c>
      <c r="U201" s="6">
        <f>'Results - raw data ReCiPe (H)'!CV69*$AC$169</f>
        <v>317.244406053852</v>
      </c>
      <c r="V201" s="6">
        <f>'Results - raw data ReCiPe (H)'!CW69*$AC$169</f>
        <v>259.72292994022592</v>
      </c>
      <c r="W201" s="6">
        <f>'Results - raw data ReCiPe (H)'!CX69*$AC$169</f>
        <v>239.30004870743892</v>
      </c>
      <c r="X201" s="6">
        <f>'Results - raw data ReCiPe (H)'!CY69*$AC$169</f>
        <v>217.20126571922478</v>
      </c>
      <c r="Y201" s="6">
        <f>'Results - raw data ReCiPe (H)'!CZ69*$AC$169</f>
        <v>195.09716023618199</v>
      </c>
      <c r="Z201" s="6">
        <f>'Results - raw data ReCiPe (H)'!DA69*$AC$169</f>
        <v>172.9858048397322</v>
      </c>
    </row>
    <row r="202" spans="1:53" outlineLevel="1" x14ac:dyDescent="0.35">
      <c r="A202" s="6" t="s">
        <v>759</v>
      </c>
      <c r="B202" s="6">
        <f>'Results - raw data ReCiPe (H)'!CC70</f>
        <v>0</v>
      </c>
      <c r="C202" s="6">
        <f>'Results - raw data ReCiPe (H)'!CD70</f>
        <v>0</v>
      </c>
      <c r="D202" s="6">
        <f>'Results - raw data ReCiPe (H)'!CE70</f>
        <v>0</v>
      </c>
      <c r="E202" s="6">
        <f>'Results - raw data ReCiPe (H)'!CF70</f>
        <v>0</v>
      </c>
      <c r="F202" s="6">
        <f>'Results - raw data ReCiPe (H)'!CG70</f>
        <v>0</v>
      </c>
      <c r="G202" s="6">
        <f>'Results - raw data ReCiPe (H)'!CH70</f>
        <v>0</v>
      </c>
      <c r="H202" s="6">
        <f>'Results - raw data ReCiPe (H)'!CI70</f>
        <v>0</v>
      </c>
      <c r="I202" s="6">
        <f>'Results - raw data ReCiPe (H)'!CJ70</f>
        <v>0</v>
      </c>
      <c r="J202" s="6">
        <f>'Results - raw data ReCiPe (H)'!CK70</f>
        <v>0</v>
      </c>
      <c r="K202" s="6">
        <f>'Results - raw data ReCiPe (H)'!CL70</f>
        <v>0</v>
      </c>
      <c r="L202" s="6">
        <f>'Results - raw data ReCiPe (H)'!CM70</f>
        <v>0</v>
      </c>
      <c r="M202" s="6">
        <f>'Results - raw data ReCiPe (H)'!CN70</f>
        <v>0</v>
      </c>
      <c r="N202" s="6">
        <f>'Results - raw data ReCiPe (H)'!CO70</f>
        <v>0</v>
      </c>
      <c r="O202" s="6">
        <f>'Results - raw data ReCiPe (H)'!CP70</f>
        <v>0</v>
      </c>
      <c r="P202" s="6">
        <f>'Results - raw data ReCiPe (H)'!CQ70</f>
        <v>0</v>
      </c>
      <c r="Q202" s="6">
        <f>'Results - raw data ReCiPe (H)'!CR70</f>
        <v>0</v>
      </c>
      <c r="R202" s="6">
        <f>'Results - raw data ReCiPe (H)'!CS70</f>
        <v>0</v>
      </c>
      <c r="S202" s="6">
        <f>'Results - raw data ReCiPe (H)'!CT70</f>
        <v>0</v>
      </c>
      <c r="T202" s="6">
        <f>'Results - raw data ReCiPe (H)'!CU70</f>
        <v>0</v>
      </c>
      <c r="U202" s="6">
        <f>'Results - raw data ReCiPe (H)'!CV70</f>
        <v>0</v>
      </c>
      <c r="V202" s="6">
        <f>'Results - raw data ReCiPe (H)'!CW70</f>
        <v>0</v>
      </c>
      <c r="W202" s="6">
        <f>'Results - raw data ReCiPe (H)'!CX70</f>
        <v>0</v>
      </c>
      <c r="X202" s="6">
        <f>'Results - raw data ReCiPe (H)'!CY70</f>
        <v>0</v>
      </c>
      <c r="Y202" s="6">
        <f>'Results - raw data ReCiPe (H)'!CZ70</f>
        <v>0</v>
      </c>
      <c r="Z202" s="6">
        <f>'Results - raw data ReCiPe (H)'!DA70</f>
        <v>0</v>
      </c>
    </row>
    <row r="203" spans="1:53" outlineLevel="1" x14ac:dyDescent="0.35">
      <c r="A203" s="6" t="s">
        <v>760</v>
      </c>
      <c r="B203" s="6">
        <f>150000*($AC$170*'Results - raw data ReCiPe (H)'!CC121+(1-'Results ReCiPe (H) - HHD'!$AC$170)*'Results - raw data ReCiPe (H)'!CC122)</f>
        <v>24627.814808356317</v>
      </c>
      <c r="C203" s="6">
        <f>150000*($AC$170*'Results - raw data ReCiPe (H)'!CD121+(1-'Results ReCiPe (H) - HHD'!$AC$170)*'Results - raw data ReCiPe (H)'!CD122)</f>
        <v>23007.574703896466</v>
      </c>
      <c r="D203" s="6">
        <f>150000*($AC$170*'Results - raw data ReCiPe (H)'!CE121+(1-'Results ReCiPe (H) - HHD'!$AC$170)*'Results - raw data ReCiPe (H)'!CE122)</f>
        <v>21387.85072454179</v>
      </c>
      <c r="E203" s="6">
        <f>150000*($AC$170*'Results - raw data ReCiPe (H)'!CF121+(1-'Results ReCiPe (H) - HHD'!$AC$170)*'Results - raw data ReCiPe (H)'!CF122)</f>
        <v>19738.878919805309</v>
      </c>
      <c r="F203" s="6">
        <f>150000*($AC$170*'Results - raw data ReCiPe (H)'!CG121+(1-'Results ReCiPe (H) - HHD'!$AC$170)*'Results - raw data ReCiPe (H)'!CG122)</f>
        <v>18119.795331705423</v>
      </c>
      <c r="G203" s="6">
        <f>150000*($AC$170*'Results - raw data ReCiPe (H)'!CH121+(1-'Results ReCiPe (H) - HHD'!$AC$170)*'Results - raw data ReCiPe (H)'!CH122)</f>
        <v>16500.781925507643</v>
      </c>
      <c r="H203" s="6">
        <f>150000*($AC$170*'Results - raw data ReCiPe (H)'!CI121+(1-'Results ReCiPe (H) - HHD'!$AC$170)*'Results - raw data ReCiPe (H)'!CI122)</f>
        <v>15206.746184268166</v>
      </c>
      <c r="I203" s="6">
        <f>150000*($AC$170*'Results - raw data ReCiPe (H)'!CJ121+(1-'Results ReCiPe (H) - HHD'!$AC$170)*'Results - raw data ReCiPe (H)'!CJ122)</f>
        <v>13916.397148752201</v>
      </c>
      <c r="J203" s="6">
        <f>150000*($AC$170*'Results - raw data ReCiPe (H)'!CK121+(1-'Results ReCiPe (H) - HHD'!$AC$170)*'Results - raw data ReCiPe (H)'!CK122)</f>
        <v>12604.873895513982</v>
      </c>
      <c r="K203" s="6">
        <f>150000*($AC$170*'Results - raw data ReCiPe (H)'!CL121+(1-'Results ReCiPe (H) - HHD'!$AC$170)*'Results - raw data ReCiPe (H)'!CL122)</f>
        <v>11316.529406602853</v>
      </c>
      <c r="L203" s="6">
        <f>150000*($AC$170*'Results - raw data ReCiPe (H)'!CM121+(1-'Results ReCiPe (H) - HHD'!$AC$170)*'Results - raw data ReCiPe (H)'!CM122)</f>
        <v>10028.310983538013</v>
      </c>
      <c r="M203" s="6">
        <f>150000*($AC$170*'Results - raw data ReCiPe (H)'!CN121+(1-'Results ReCiPe (H) - HHD'!$AC$170)*'Results - raw data ReCiPe (H)'!CN122)</f>
        <v>8990.5088123138648</v>
      </c>
      <c r="N203" s="6">
        <f>150000*($AC$170*'Results - raw data ReCiPe (H)'!CO121+(1-'Results ReCiPe (H) - HHD'!$AC$170)*'Results - raw data ReCiPe (H)'!CO122)</f>
        <v>7948.861731494726</v>
      </c>
      <c r="O203" s="6">
        <f>150000*($AC$170*'Results - raw data ReCiPe (H)'!CP121+(1-'Results ReCiPe (H) - HHD'!$AC$170)*'Results - raw data ReCiPe (H)'!CP122)</f>
        <v>6898.4647369356317</v>
      </c>
      <c r="P203" s="6">
        <f>150000*($AC$170*'Results - raw data ReCiPe (H)'!CQ121+(1-'Results ReCiPe (H) - HHD'!$AC$170)*'Results - raw data ReCiPe (H)'!CQ122)</f>
        <v>5849.3154489777635</v>
      </c>
      <c r="Q203" s="6">
        <f>150000*($AC$170*'Results - raw data ReCiPe (H)'!CR121+(1-'Results ReCiPe (H) - HHD'!$AC$170)*'Results - raw data ReCiPe (H)'!CR122)</f>
        <v>4796.5068628817398</v>
      </c>
      <c r="R203" s="6">
        <f>150000*($AC$170*'Results - raw data ReCiPe (H)'!CS121+(1-'Results ReCiPe (H) - HHD'!$AC$170)*'Results - raw data ReCiPe (H)'!CS122)</f>
        <v>4225.1533278487022</v>
      </c>
      <c r="S203" s="6">
        <f>150000*($AC$170*'Results - raw data ReCiPe (H)'!CT121+(1-'Results ReCiPe (H) - HHD'!$AC$170)*'Results - raw data ReCiPe (H)'!CT122)</f>
        <v>3653.9692003727459</v>
      </c>
      <c r="T203" s="6">
        <f>150000*($AC$170*'Results - raw data ReCiPe (H)'!CU121+(1-'Results ReCiPe (H) - HHD'!$AC$170)*'Results - raw data ReCiPe (H)'!CU122)</f>
        <v>3078.7515053568495</v>
      </c>
      <c r="U203" s="6">
        <f>150000*($AC$170*'Results - raw data ReCiPe (H)'!CV121+(1-'Results ReCiPe (H) - HHD'!$AC$170)*'Results - raw data ReCiPe (H)'!CV122)</f>
        <v>2508.1437076971797</v>
      </c>
      <c r="V203" s="6">
        <f>150000*($AC$170*'Results - raw data ReCiPe (H)'!CW121+(1-'Results ReCiPe (H) - HHD'!$AC$170)*'Results - raw data ReCiPe (H)'!CW122)</f>
        <v>1938.210334315145</v>
      </c>
      <c r="W203" s="6">
        <f>150000*($AC$170*'Results - raw data ReCiPe (H)'!CX121+(1-'Results ReCiPe (H) - HHD'!$AC$170)*'Results - raw data ReCiPe (H)'!CX122)</f>
        <v>1732.6538356380768</v>
      </c>
      <c r="X203" s="6">
        <f>150000*($AC$170*'Results - raw data ReCiPe (H)'!CY121+(1-'Results ReCiPe (H) - HHD'!$AC$170)*'Results - raw data ReCiPe (H)'!CY122)</f>
        <v>1509.3500111451742</v>
      </c>
      <c r="Y203" s="6">
        <f>150000*($AC$170*'Results - raw data ReCiPe (H)'!CZ121+(1-'Results ReCiPe (H) - HHD'!$AC$170)*'Results - raw data ReCiPe (H)'!CZ122)</f>
        <v>1285.3212344800988</v>
      </c>
      <c r="Z203" s="6">
        <f>150000*($AC$170*'Results - raw data ReCiPe (H)'!DA121+(1-'Results ReCiPe (H) - HHD'!$AC$170)*'Results - raw data ReCiPe (H)'!DA122)</f>
        <v>1060.5511180190729</v>
      </c>
    </row>
    <row r="204" spans="1:53" outlineLevel="1" x14ac:dyDescent="0.35">
      <c r="A204" s="23" t="s">
        <v>125</v>
      </c>
      <c r="B204" s="17">
        <f>SUM(B173:B203)</f>
        <v>66212.288125780964</v>
      </c>
      <c r="C204" s="17">
        <f t="shared" ref="C204:Z204" si="24">SUM(C173:C203)</f>
        <v>26521.825694639305</v>
      </c>
      <c r="D204" s="17">
        <f t="shared" si="24"/>
        <v>24725.761787633266</v>
      </c>
      <c r="E204" s="17">
        <f t="shared" si="24"/>
        <v>22893.206119938917</v>
      </c>
      <c r="F204" s="17">
        <f t="shared" si="24"/>
        <v>21099.169777714527</v>
      </c>
      <c r="G204" s="17">
        <f t="shared" si="24"/>
        <v>19305.853310626873</v>
      </c>
      <c r="H204" s="17">
        <f t="shared" si="24"/>
        <v>17867.819669797722</v>
      </c>
      <c r="I204" s="17">
        <f t="shared" si="24"/>
        <v>16434.022560214853</v>
      </c>
      <c r="J204" s="17">
        <f t="shared" si="24"/>
        <v>14974.127665796266</v>
      </c>
      <c r="K204" s="17">
        <f t="shared" si="24"/>
        <v>13543.014475395077</v>
      </c>
      <c r="L204" s="17">
        <f t="shared" si="24"/>
        <v>12112.263774492018</v>
      </c>
      <c r="M204" s="17">
        <f t="shared" si="24"/>
        <v>10951.291427891631</v>
      </c>
      <c r="N204" s="17">
        <f t="shared" si="24"/>
        <v>9786.2259249285125</v>
      </c>
      <c r="O204" s="17">
        <f t="shared" si="24"/>
        <v>8610.8086944724691</v>
      </c>
      <c r="P204" s="17">
        <f t="shared" si="24"/>
        <v>7437.7701011075587</v>
      </c>
      <c r="Q204" s="17">
        <f t="shared" si="24"/>
        <v>6260.8286940045855</v>
      </c>
      <c r="R204" s="17">
        <f t="shared" si="24"/>
        <v>5618.6411207431174</v>
      </c>
      <c r="S204" s="17">
        <f t="shared" si="24"/>
        <v>4976.5537966993434</v>
      </c>
      <c r="T204" s="17">
        <f t="shared" si="24"/>
        <v>4329.2528751125483</v>
      </c>
      <c r="U204" s="17">
        <f t="shared" si="24"/>
        <v>3687.6266032541271</v>
      </c>
      <c r="V204" s="17">
        <f t="shared" si="24"/>
        <v>3046.6287498410347</v>
      </c>
      <c r="W204" s="17">
        <f t="shared" si="24"/>
        <v>2818.3418004344894</v>
      </c>
      <c r="X204" s="17">
        <f t="shared" si="24"/>
        <v>2570.4701081104249</v>
      </c>
      <c r="Y204" s="17">
        <f t="shared" si="24"/>
        <v>2321.8867704663762</v>
      </c>
      <c r="Z204" s="17">
        <f t="shared" si="24"/>
        <v>2671.9182044948479</v>
      </c>
    </row>
    <row r="205" spans="1:53" outlineLevel="1" x14ac:dyDescent="0.35"/>
    <row r="206" spans="1:53" s="18" customFormat="1" ht="21" x14ac:dyDescent="0.5">
      <c r="A206" s="18" t="s">
        <v>94</v>
      </c>
    </row>
    <row r="207" spans="1:53" s="20" customFormat="1" outlineLevel="1" x14ac:dyDescent="0.35">
      <c r="A207" s="19" t="s">
        <v>766</v>
      </c>
    </row>
    <row r="208" spans="1:53" s="16" customFormat="1" outlineLevel="1" x14ac:dyDescent="0.35">
      <c r="A208" s="21"/>
      <c r="AB208" s="16" t="s">
        <v>801</v>
      </c>
      <c r="AC208" s="16">
        <v>1</v>
      </c>
      <c r="AD208" s="16" t="s">
        <v>146</v>
      </c>
      <c r="AE208" s="15"/>
    </row>
    <row r="209" spans="1:53" s="16" customFormat="1" outlineLevel="1" x14ac:dyDescent="0.35">
      <c r="A209" s="22" t="s">
        <v>566</v>
      </c>
      <c r="AC209" s="16">
        <f>AC208*1000</f>
        <v>1000</v>
      </c>
      <c r="AD209" s="16" t="s">
        <v>144</v>
      </c>
    </row>
    <row r="210" spans="1:53" s="16" customFormat="1" outlineLevel="1" x14ac:dyDescent="0.35">
      <c r="A210" s="22"/>
      <c r="AB210" s="16" t="s">
        <v>127</v>
      </c>
      <c r="AC210" s="16">
        <v>100</v>
      </c>
      <c r="AD210" s="16" t="s">
        <v>128</v>
      </c>
    </row>
    <row r="211" spans="1:53" s="16" customFormat="1" outlineLevel="1" x14ac:dyDescent="0.35">
      <c r="A211" s="230" t="s">
        <v>768</v>
      </c>
      <c r="AB211" s="16" t="s">
        <v>20</v>
      </c>
      <c r="AC211" s="16">
        <v>0.23</v>
      </c>
      <c r="AD211" s="16" t="s">
        <v>715</v>
      </c>
    </row>
    <row r="212" spans="1:53" s="16" customFormat="1" outlineLevel="1" x14ac:dyDescent="0.35">
      <c r="A212" s="22"/>
      <c r="AB212" s="16" t="s">
        <v>129</v>
      </c>
      <c r="AC212" s="16">
        <v>25</v>
      </c>
      <c r="AD212" s="16" t="s">
        <v>130</v>
      </c>
    </row>
    <row r="213" spans="1:53" outlineLevel="1" x14ac:dyDescent="0.35">
      <c r="B213" s="25">
        <v>2030</v>
      </c>
      <c r="C213" s="25">
        <v>2031</v>
      </c>
      <c r="D213" s="25">
        <v>2032</v>
      </c>
      <c r="E213" s="25">
        <v>2033</v>
      </c>
      <c r="F213" s="25">
        <v>2034</v>
      </c>
      <c r="G213" s="25">
        <v>2035</v>
      </c>
      <c r="H213" s="25">
        <v>2036</v>
      </c>
      <c r="I213" s="25">
        <v>2037</v>
      </c>
      <c r="J213" s="25">
        <v>2038</v>
      </c>
      <c r="K213" s="25">
        <v>2039</v>
      </c>
      <c r="L213" s="25">
        <v>2040</v>
      </c>
      <c r="M213" s="25">
        <v>2041</v>
      </c>
      <c r="N213" s="25">
        <v>2042</v>
      </c>
      <c r="O213" s="25">
        <v>2043</v>
      </c>
      <c r="P213" s="25">
        <v>2044</v>
      </c>
      <c r="Q213" s="25">
        <v>2045</v>
      </c>
      <c r="R213" s="25">
        <v>2046</v>
      </c>
      <c r="S213" s="25">
        <v>2047</v>
      </c>
      <c r="T213" s="25">
        <v>2048</v>
      </c>
      <c r="U213" s="25">
        <v>2049</v>
      </c>
      <c r="V213" s="25">
        <v>2050</v>
      </c>
      <c r="W213" s="25">
        <v>2051</v>
      </c>
      <c r="X213" s="25">
        <v>2052</v>
      </c>
      <c r="Y213" s="25">
        <v>2053</v>
      </c>
      <c r="Z213" s="25">
        <v>2054</v>
      </c>
      <c r="AC213" s="25">
        <v>2030</v>
      </c>
      <c r="AD213" s="25">
        <v>2031</v>
      </c>
      <c r="AE213" s="25">
        <v>2032</v>
      </c>
      <c r="AF213" s="25">
        <v>2033</v>
      </c>
      <c r="AG213" s="25">
        <v>2034</v>
      </c>
      <c r="AH213" s="25">
        <v>2035</v>
      </c>
      <c r="AI213" s="25">
        <v>2036</v>
      </c>
      <c r="AJ213" s="25">
        <v>2037</v>
      </c>
      <c r="AK213" s="25">
        <v>2038</v>
      </c>
      <c r="AL213" s="25">
        <v>2039</v>
      </c>
      <c r="AM213" s="25">
        <v>2040</v>
      </c>
      <c r="AN213" s="25">
        <v>2041</v>
      </c>
      <c r="AO213" s="25">
        <v>2042</v>
      </c>
      <c r="AP213" s="25">
        <v>2043</v>
      </c>
      <c r="AQ213" s="25">
        <v>2044</v>
      </c>
      <c r="AR213" s="25">
        <v>2045</v>
      </c>
      <c r="AS213" s="25">
        <v>2046</v>
      </c>
      <c r="AT213" s="25">
        <v>2047</v>
      </c>
      <c r="AU213" s="25">
        <v>2048</v>
      </c>
      <c r="AV213" s="25">
        <v>2049</v>
      </c>
      <c r="AW213" s="25">
        <v>2050</v>
      </c>
      <c r="AX213" s="25">
        <v>2051</v>
      </c>
      <c r="AY213" s="25">
        <v>2052</v>
      </c>
      <c r="AZ213" s="25">
        <v>2053</v>
      </c>
      <c r="BA213" s="25">
        <v>2054</v>
      </c>
    </row>
    <row r="214" spans="1:53" outlineLevel="1" x14ac:dyDescent="0.35">
      <c r="A214" s="6" t="s">
        <v>21</v>
      </c>
      <c r="B214" s="6">
        <f>'Results - raw data ReCiPe (H)'!CC77</f>
        <v>522.14630630241095</v>
      </c>
      <c r="AB214" s="6" t="s">
        <v>117</v>
      </c>
      <c r="AC214" s="6">
        <f>SUM(B214:B225)+B227</f>
        <v>27769.199509564176</v>
      </c>
    </row>
    <row r="215" spans="1:53" outlineLevel="1" x14ac:dyDescent="0.35">
      <c r="A215" s="6" t="s">
        <v>23</v>
      </c>
      <c r="B215" s="6">
        <f>'Results - raw data ReCiPe (H)'!CC78</f>
        <v>689.59917152625098</v>
      </c>
      <c r="AB215" s="6" t="s">
        <v>118</v>
      </c>
      <c r="AC215" s="6">
        <f>B226</f>
        <v>2030.6156444302903</v>
      </c>
    </row>
    <row r="216" spans="1:53" outlineLevel="1" x14ac:dyDescent="0.35">
      <c r="A216" s="6" t="s">
        <v>26</v>
      </c>
      <c r="B216" s="6">
        <f>'Results - raw data ReCiPe (H)'!CC79</f>
        <v>2299.7919129358629</v>
      </c>
      <c r="AB216" s="6" t="s">
        <v>119</v>
      </c>
      <c r="BA216" s="6">
        <f>SUM(Z228:Z239)</f>
        <v>506.10170544819584</v>
      </c>
    </row>
    <row r="217" spans="1:53" outlineLevel="1" x14ac:dyDescent="0.35">
      <c r="A217" s="6" t="s">
        <v>28</v>
      </c>
      <c r="B217" s="6">
        <f>'Results - raw data ReCiPe (H)'!CC80</f>
        <v>2048.7708155777868</v>
      </c>
      <c r="AB217" s="6" t="s">
        <v>120</v>
      </c>
      <c r="BA217" s="6">
        <f>Z240</f>
        <v>19.710037603247073</v>
      </c>
    </row>
    <row r="218" spans="1:53" outlineLevel="1" x14ac:dyDescent="0.35">
      <c r="A218" s="6" t="s">
        <v>29</v>
      </c>
      <c r="B218" s="6">
        <f>'Results - raw data ReCiPe (H)'!CC81</f>
        <v>1127.30474085434</v>
      </c>
      <c r="AB218" s="6" t="s">
        <v>121</v>
      </c>
      <c r="AC218" s="6">
        <f>B241</f>
        <v>960.18627888201729</v>
      </c>
      <c r="AF218" s="6">
        <f>E241</f>
        <v>894.9053469828998</v>
      </c>
      <c r="AI218" s="6">
        <f>H241</f>
        <v>847.74542197239737</v>
      </c>
      <c r="AL218" s="6">
        <f>K241</f>
        <v>829.74040861154253</v>
      </c>
      <c r="AO218" s="6">
        <f>N241</f>
        <v>821.41329377436136</v>
      </c>
      <c r="AR218" s="6">
        <f>Q241</f>
        <v>815.75248373031479</v>
      </c>
      <c r="AU218" s="6">
        <f>T241</f>
        <v>808.99669973300752</v>
      </c>
      <c r="AX218" s="6">
        <f>W241</f>
        <v>803.6131276705886</v>
      </c>
      <c r="BA218" s="6">
        <f>Z241</f>
        <v>799.02195316520056</v>
      </c>
    </row>
    <row r="219" spans="1:53" outlineLevel="1" x14ac:dyDescent="0.35">
      <c r="A219" s="6" t="s">
        <v>31</v>
      </c>
      <c r="B219" s="6">
        <f>'Results - raw data ReCiPe (H)'!CC82</f>
        <v>911.6428381501903</v>
      </c>
      <c r="AB219" s="6" t="s">
        <v>122</v>
      </c>
      <c r="AC219" s="6">
        <f>B244+B243</f>
        <v>11024.857156526728</v>
      </c>
      <c r="AD219" s="6">
        <f t="shared" ref="AD219:BA219" si="25">C244+C243</f>
        <v>9185.8782755909288</v>
      </c>
      <c r="AE219" s="6">
        <f t="shared" si="25"/>
        <v>7344.9844773557661</v>
      </c>
      <c r="AF219" s="6">
        <f t="shared" si="25"/>
        <v>5469.8500489065809</v>
      </c>
      <c r="AG219" s="6">
        <f t="shared" si="25"/>
        <v>3622.4073211066702</v>
      </c>
      <c r="AH219" s="6">
        <f t="shared" si="25"/>
        <v>1771.980395382936</v>
      </c>
      <c r="AI219" s="6">
        <f t="shared" si="25"/>
        <v>1327.699050118043</v>
      </c>
      <c r="AJ219" s="6">
        <f t="shared" si="25"/>
        <v>881.14390050608438</v>
      </c>
      <c r="AK219" s="6">
        <f t="shared" si="25"/>
        <v>405.27841188045232</v>
      </c>
      <c r="AL219" s="6">
        <f t="shared" si="25"/>
        <v>-46.667982551286791</v>
      </c>
      <c r="AM219" s="6">
        <f t="shared" si="25"/>
        <v>-500.9368146306947</v>
      </c>
      <c r="AN219" s="6">
        <f t="shared" si="25"/>
        <v>-723.35272473267014</v>
      </c>
      <c r="AO219" s="6">
        <f t="shared" si="25"/>
        <v>-945.12137292297871</v>
      </c>
      <c r="AP219" s="6">
        <f t="shared" si="25"/>
        <v>-1171.4854932803871</v>
      </c>
      <c r="AQ219" s="6">
        <f t="shared" si="25"/>
        <v>-1392.0118316093128</v>
      </c>
      <c r="AR219" s="6">
        <f t="shared" si="25"/>
        <v>-1612.0752359330575</v>
      </c>
      <c r="AS219" s="6">
        <f t="shared" si="25"/>
        <v>-2058.2850638112991</v>
      </c>
      <c r="AT219" s="6">
        <f t="shared" si="25"/>
        <v>-2501.0095170393915</v>
      </c>
      <c r="AU219" s="6">
        <f t="shared" si="25"/>
        <v>-2943.8993456864819</v>
      </c>
      <c r="AV219" s="6">
        <f t="shared" si="25"/>
        <v>-3379.513237691961</v>
      </c>
      <c r="AW219" s="6">
        <f t="shared" si="25"/>
        <v>-3811.3481027277517</v>
      </c>
      <c r="AX219" s="6">
        <f t="shared" si="25"/>
        <v>-4209.4254679884725</v>
      </c>
      <c r="AY219" s="6">
        <f t="shared" si="25"/>
        <v>-4618.9651469212013</v>
      </c>
      <c r="AZ219" s="6">
        <f t="shared" si="25"/>
        <v>-5029.5958992950982</v>
      </c>
      <c r="BA219" s="6">
        <f t="shared" si="25"/>
        <v>-5441.3343575957424</v>
      </c>
    </row>
    <row r="220" spans="1:53" outlineLevel="1" x14ac:dyDescent="0.35">
      <c r="A220" s="6" t="s">
        <v>34</v>
      </c>
      <c r="B220" s="6">
        <f>'Results - raw data ReCiPe (H)'!CC83</f>
        <v>536.54433466923933</v>
      </c>
      <c r="AB220" s="6" t="s">
        <v>123</v>
      </c>
      <c r="AC220" s="6">
        <f>B242</f>
        <v>1171.75360790124</v>
      </c>
      <c r="AD220" s="6">
        <f t="shared" ref="AD220:BA220" si="26">C242</f>
        <v>985.51848325044398</v>
      </c>
      <c r="AE220" s="6">
        <f t="shared" si="26"/>
        <v>800.31926123191045</v>
      </c>
      <c r="AF220" s="6">
        <f t="shared" si="26"/>
        <v>613.03530748482558</v>
      </c>
      <c r="AG220" s="6">
        <f t="shared" si="26"/>
        <v>429.65944414908608</v>
      </c>
      <c r="AH220" s="6">
        <f t="shared" si="26"/>
        <v>247.19654517566713</v>
      </c>
      <c r="AI220" s="6">
        <f t="shared" si="26"/>
        <v>203.72460308086019</v>
      </c>
      <c r="AJ220" s="6">
        <f t="shared" si="26"/>
        <v>160.20421119621818</v>
      </c>
      <c r="AK220" s="6">
        <f t="shared" si="26"/>
        <v>114.01691925412281</v>
      </c>
      <c r="AL220" s="6">
        <f t="shared" si="26"/>
        <v>70.328108989120295</v>
      </c>
      <c r="AM220" s="6">
        <f t="shared" si="26"/>
        <v>26.586889365791922</v>
      </c>
      <c r="AN220" s="6">
        <f t="shared" si="26"/>
        <v>4.7592472154073473</v>
      </c>
      <c r="AO220" s="6">
        <f t="shared" si="26"/>
        <v>-17.042266268320962</v>
      </c>
      <c r="AP220" s="6">
        <f t="shared" si="26"/>
        <v>-39.31984498306106</v>
      </c>
      <c r="AQ220" s="6">
        <f t="shared" si="26"/>
        <v>-61.06491878989204</v>
      </c>
      <c r="AR220" s="6">
        <f t="shared" si="26"/>
        <v>-82.796745892243422</v>
      </c>
      <c r="AS220" s="6">
        <f t="shared" si="26"/>
        <v>-128.24040253891349</v>
      </c>
      <c r="AT220" s="6">
        <f t="shared" si="26"/>
        <v>-173.74520002908028</v>
      </c>
      <c r="AU220" s="6">
        <f t="shared" si="26"/>
        <v>-219.65990731184971</v>
      </c>
      <c r="AV220" s="6">
        <f t="shared" si="26"/>
        <v>-265.25926317957271</v>
      </c>
      <c r="AW220" s="6">
        <f t="shared" si="26"/>
        <v>-310.8897424868058</v>
      </c>
      <c r="AX220" s="6">
        <f t="shared" si="26"/>
        <v>-349.61909568361528</v>
      </c>
      <c r="AY220" s="6">
        <f t="shared" si="26"/>
        <v>-389.36755041297459</v>
      </c>
      <c r="AZ220" s="6">
        <f t="shared" si="26"/>
        <v>-429.10525550438609</v>
      </c>
      <c r="BA220" s="6">
        <f t="shared" si="26"/>
        <v>-468.83374695402216</v>
      </c>
    </row>
    <row r="221" spans="1:53" outlineLevel="1" x14ac:dyDescent="0.35">
      <c r="A221" s="6" t="s">
        <v>36</v>
      </c>
      <c r="B221" s="6">
        <f>'Results - raw data ReCiPe (H)'!CC84</f>
        <v>423.50186488159068</v>
      </c>
      <c r="AB221" s="6" t="s">
        <v>124</v>
      </c>
      <c r="AC221" s="6">
        <f>-$AC$7*$AC$6</f>
        <v>-100000</v>
      </c>
      <c r="AD221" s="6">
        <f t="shared" ref="AD221:BA221" si="27">-$AC$7*$AC$6</f>
        <v>-100000</v>
      </c>
      <c r="AE221" s="6">
        <f t="shared" si="27"/>
        <v>-100000</v>
      </c>
      <c r="AF221" s="6">
        <f t="shared" si="27"/>
        <v>-100000</v>
      </c>
      <c r="AG221" s="6">
        <f t="shared" si="27"/>
        <v>-100000</v>
      </c>
      <c r="AH221" s="6">
        <f t="shared" si="27"/>
        <v>-100000</v>
      </c>
      <c r="AI221" s="6">
        <f t="shared" si="27"/>
        <v>-100000</v>
      </c>
      <c r="AJ221" s="6">
        <f t="shared" si="27"/>
        <v>-100000</v>
      </c>
      <c r="AK221" s="6">
        <f t="shared" si="27"/>
        <v>-100000</v>
      </c>
      <c r="AL221" s="6">
        <f t="shared" si="27"/>
        <v>-100000</v>
      </c>
      <c r="AM221" s="6">
        <f t="shared" si="27"/>
        <v>-100000</v>
      </c>
      <c r="AN221" s="6">
        <f t="shared" si="27"/>
        <v>-100000</v>
      </c>
      <c r="AO221" s="6">
        <f t="shared" si="27"/>
        <v>-100000</v>
      </c>
      <c r="AP221" s="6">
        <f t="shared" si="27"/>
        <v>-100000</v>
      </c>
      <c r="AQ221" s="6">
        <f t="shared" si="27"/>
        <v>-100000</v>
      </c>
      <c r="AR221" s="6">
        <f t="shared" si="27"/>
        <v>-100000</v>
      </c>
      <c r="AS221" s="6">
        <f t="shared" si="27"/>
        <v>-100000</v>
      </c>
      <c r="AT221" s="6">
        <f t="shared" si="27"/>
        <v>-100000</v>
      </c>
      <c r="AU221" s="6">
        <f t="shared" si="27"/>
        <v>-100000</v>
      </c>
      <c r="AV221" s="6">
        <f t="shared" si="27"/>
        <v>-100000</v>
      </c>
      <c r="AW221" s="6">
        <f t="shared" si="27"/>
        <v>-100000</v>
      </c>
      <c r="AX221" s="6">
        <f t="shared" si="27"/>
        <v>-100000</v>
      </c>
      <c r="AY221" s="6">
        <f t="shared" si="27"/>
        <v>-100000</v>
      </c>
      <c r="AZ221" s="6">
        <f t="shared" si="27"/>
        <v>-100000</v>
      </c>
      <c r="BA221" s="6">
        <f t="shared" si="27"/>
        <v>-100000</v>
      </c>
    </row>
    <row r="222" spans="1:53" outlineLevel="1" x14ac:dyDescent="0.35">
      <c r="A222" s="6" t="s">
        <v>38</v>
      </c>
      <c r="B222" s="6">
        <f>'Results - raw data ReCiPe (H)'!CC85</f>
        <v>4620.2212963694537</v>
      </c>
      <c r="AB222" s="23" t="s">
        <v>125</v>
      </c>
      <c r="AC222" s="17">
        <f>SUM(AC214:AC221)</f>
        <v>-57043.387802695543</v>
      </c>
      <c r="AD222" s="17">
        <f t="shared" ref="AD222:BA222" si="28">SUM(AD214:AD221)</f>
        <v>-89828.60324115862</v>
      </c>
      <c r="AE222" s="17">
        <f t="shared" si="28"/>
        <v>-91854.696261412319</v>
      </c>
      <c r="AF222" s="17">
        <f t="shared" si="28"/>
        <v>-93022.20929662569</v>
      </c>
      <c r="AG222" s="17">
        <f t="shared" si="28"/>
        <v>-95947.93323474424</v>
      </c>
      <c r="AH222" s="17">
        <f t="shared" si="28"/>
        <v>-97980.823059441391</v>
      </c>
      <c r="AI222" s="17">
        <f t="shared" si="28"/>
        <v>-97620.830924828697</v>
      </c>
      <c r="AJ222" s="17">
        <f t="shared" si="28"/>
        <v>-98958.651888297696</v>
      </c>
      <c r="AK222" s="17">
        <f t="shared" si="28"/>
        <v>-99480.704668865423</v>
      </c>
      <c r="AL222" s="17">
        <f t="shared" si="28"/>
        <v>-99146.599464950617</v>
      </c>
      <c r="AM222" s="17">
        <f t="shared" si="28"/>
        <v>-100474.34992526491</v>
      </c>
      <c r="AN222" s="17">
        <f t="shared" si="28"/>
        <v>-100718.59347751726</v>
      </c>
      <c r="AO222" s="17">
        <f t="shared" si="28"/>
        <v>-100140.75034541693</v>
      </c>
      <c r="AP222" s="17">
        <f t="shared" si="28"/>
        <v>-101210.80533826345</v>
      </c>
      <c r="AQ222" s="17">
        <f t="shared" si="28"/>
        <v>-101453.07675039921</v>
      </c>
      <c r="AR222" s="17">
        <f t="shared" si="28"/>
        <v>-100879.11949809498</v>
      </c>
      <c r="AS222" s="17">
        <f t="shared" si="28"/>
        <v>-102186.52546635021</v>
      </c>
      <c r="AT222" s="17">
        <f t="shared" si="28"/>
        <v>-102674.75471706847</v>
      </c>
      <c r="AU222" s="17">
        <f t="shared" si="28"/>
        <v>-102354.56255326532</v>
      </c>
      <c r="AV222" s="17">
        <f t="shared" si="28"/>
        <v>-103644.77250087154</v>
      </c>
      <c r="AW222" s="17">
        <f t="shared" si="28"/>
        <v>-104122.23784521456</v>
      </c>
      <c r="AX222" s="17">
        <f t="shared" si="28"/>
        <v>-103755.4314360015</v>
      </c>
      <c r="AY222" s="17">
        <f t="shared" si="28"/>
        <v>-105008.33269733418</v>
      </c>
      <c r="AZ222" s="17">
        <f t="shared" si="28"/>
        <v>-105458.70115479949</v>
      </c>
      <c r="BA222" s="17">
        <f t="shared" si="28"/>
        <v>-104585.33440833312</v>
      </c>
    </row>
    <row r="223" spans="1:53" outlineLevel="1" x14ac:dyDescent="0.35">
      <c r="A223" s="6" t="s">
        <v>39</v>
      </c>
      <c r="B223" s="6">
        <f>'Results - raw data ReCiPe (H)'!CC86</f>
        <v>5739.6171857742838</v>
      </c>
    </row>
    <row r="224" spans="1:53" outlineLevel="1" x14ac:dyDescent="0.35">
      <c r="A224" s="6" t="s">
        <v>41</v>
      </c>
      <c r="B224" s="6">
        <f>'Results - raw data ReCiPe (H)'!CC87</f>
        <v>135.80998010115019</v>
      </c>
    </row>
    <row r="225" spans="1:53" outlineLevel="1" x14ac:dyDescent="0.35">
      <c r="A225" s="6" t="s">
        <v>43</v>
      </c>
      <c r="B225" s="6">
        <f>'Results - raw data ReCiPe (H)'!CC88</f>
        <v>495.26793776870988</v>
      </c>
      <c r="AB225" s="219"/>
      <c r="AC225" s="219"/>
      <c r="AD225" s="219"/>
      <c r="AE225" s="219"/>
      <c r="AF225" s="219"/>
      <c r="AG225" s="219"/>
      <c r="AH225" s="219"/>
      <c r="AI225" s="219"/>
      <c r="AJ225" s="219"/>
      <c r="AK225" s="219"/>
      <c r="AL225" s="219"/>
      <c r="AM225" s="219"/>
      <c r="AN225" s="219"/>
      <c r="AO225" s="219"/>
      <c r="AP225" s="219"/>
      <c r="AQ225" s="219"/>
      <c r="AR225" s="219"/>
      <c r="AS225" s="219"/>
      <c r="AT225" s="219"/>
      <c r="AU225" s="219"/>
      <c r="AV225" s="219"/>
      <c r="AW225" s="219"/>
      <c r="AX225" s="219"/>
      <c r="AY225" s="219"/>
      <c r="AZ225" s="219"/>
      <c r="BA225" s="219"/>
    </row>
    <row r="226" spans="1:53" outlineLevel="1" x14ac:dyDescent="0.35">
      <c r="A226" s="6" t="s">
        <v>44</v>
      </c>
      <c r="B226" s="6">
        <f>'Results - raw data ReCiPe (H)'!CC89*AC210*AC212</f>
        <v>2030.6156444302903</v>
      </c>
      <c r="AB226" s="219"/>
      <c r="AC226" s="219"/>
      <c r="AD226" s="219"/>
      <c r="AE226" s="219"/>
      <c r="AF226" s="219"/>
      <c r="AG226" s="219"/>
      <c r="AH226" s="219"/>
      <c r="AI226" s="219"/>
      <c r="AJ226" s="219"/>
      <c r="AK226" s="219"/>
      <c r="AL226" s="219"/>
      <c r="AM226" s="219"/>
      <c r="AN226" s="219"/>
      <c r="AO226" s="219"/>
      <c r="AP226" s="219"/>
      <c r="AQ226" s="219"/>
      <c r="AR226" s="219"/>
      <c r="AS226" s="219"/>
      <c r="AT226" s="219"/>
      <c r="AU226" s="219"/>
      <c r="AV226" s="219"/>
      <c r="AW226" s="219"/>
      <c r="AX226" s="219"/>
      <c r="AY226" s="219"/>
      <c r="AZ226" s="219"/>
      <c r="BA226" s="219"/>
    </row>
    <row r="227" spans="1:53" outlineLevel="1" x14ac:dyDescent="0.35">
      <c r="A227" s="6" t="s">
        <v>757</v>
      </c>
      <c r="B227" s="6">
        <f>'Results - raw data ReCiPe (H)'!CC90*AC210*AC212</f>
        <v>8218.9811246529116</v>
      </c>
      <c r="AB227" s="219"/>
      <c r="AC227" s="219"/>
      <c r="AD227" s="219"/>
      <c r="AE227" s="219"/>
      <c r="AF227" s="219"/>
      <c r="AG227" s="219"/>
      <c r="AH227" s="219"/>
      <c r="AI227" s="219"/>
      <c r="AJ227" s="219"/>
      <c r="AK227" s="219"/>
      <c r="AL227" s="219"/>
      <c r="AM227" s="219"/>
      <c r="AN227" s="219"/>
      <c r="AO227" s="219"/>
      <c r="AP227" s="219"/>
      <c r="AQ227" s="219"/>
      <c r="AR227" s="219"/>
      <c r="AS227" s="219"/>
      <c r="AT227" s="219"/>
      <c r="AU227" s="219"/>
      <c r="AV227" s="219"/>
      <c r="AW227" s="219"/>
      <c r="AX227" s="219"/>
      <c r="AY227" s="219"/>
      <c r="AZ227" s="219"/>
      <c r="BA227" s="219"/>
    </row>
    <row r="228" spans="1:53" outlineLevel="1" x14ac:dyDescent="0.35">
      <c r="A228" s="6" t="s">
        <v>22</v>
      </c>
      <c r="Z228" s="6">
        <f>'Results - raw data ReCiPe (H)'!DA91</f>
        <v>17.50501830102143</v>
      </c>
      <c r="AB228" s="219"/>
      <c r="AC228" s="219"/>
      <c r="AD228" s="219"/>
      <c r="AE228" s="219"/>
      <c r="AF228" s="219"/>
      <c r="AG228" s="219"/>
      <c r="AH228" s="219"/>
      <c r="AI228" s="219"/>
      <c r="AJ228" s="219"/>
      <c r="AK228" s="219"/>
      <c r="AL228" s="219"/>
      <c r="AM228" s="219"/>
      <c r="AN228" s="219"/>
      <c r="AO228" s="219"/>
      <c r="AP228" s="219"/>
      <c r="AQ228" s="219"/>
      <c r="AR228" s="219"/>
      <c r="AS228" s="219"/>
      <c r="AT228" s="219"/>
      <c r="AU228" s="219"/>
      <c r="AV228" s="219"/>
      <c r="AW228" s="219"/>
      <c r="AX228" s="219"/>
      <c r="AY228" s="219"/>
      <c r="AZ228" s="219"/>
      <c r="BA228" s="219"/>
    </row>
    <row r="229" spans="1:53" outlineLevel="1" x14ac:dyDescent="0.35">
      <c r="A229" s="6" t="s">
        <v>24</v>
      </c>
      <c r="Z229" s="6">
        <f>'Results - raw data ReCiPe (H)'!DA92</f>
        <v>6.1394952400305867</v>
      </c>
      <c r="AB229" s="219"/>
      <c r="AC229" s="219"/>
      <c r="AD229" s="219"/>
      <c r="AE229" s="219"/>
      <c r="AF229" s="219"/>
      <c r="AG229" s="219"/>
      <c r="AH229" s="219"/>
      <c r="AI229" s="219"/>
      <c r="AJ229" s="219"/>
      <c r="AK229" s="219"/>
      <c r="AL229" s="219"/>
      <c r="AM229" s="219"/>
      <c r="AN229" s="219"/>
      <c r="AO229" s="219"/>
      <c r="AP229" s="219"/>
      <c r="AQ229" s="219"/>
      <c r="AR229" s="219"/>
      <c r="AS229" s="219"/>
      <c r="AT229" s="219"/>
      <c r="AU229" s="219"/>
      <c r="AV229" s="219"/>
      <c r="AW229" s="219"/>
      <c r="AX229" s="219"/>
      <c r="AY229" s="219"/>
      <c r="AZ229" s="219"/>
      <c r="BA229" s="219"/>
    </row>
    <row r="230" spans="1:53" outlineLevel="1" x14ac:dyDescent="0.35">
      <c r="A230" s="6" t="s">
        <v>25</v>
      </c>
      <c r="Z230" s="6">
        <f>'Results - raw data ReCiPe (H)'!DA93</f>
        <v>18.736491486506349</v>
      </c>
      <c r="AB230" s="219"/>
      <c r="AC230" s="219"/>
      <c r="AD230" s="219"/>
      <c r="AE230" s="219"/>
      <c r="AF230" s="219"/>
      <c r="AG230" s="219"/>
      <c r="AH230" s="219"/>
      <c r="AI230" s="219"/>
      <c r="AJ230" s="219"/>
      <c r="AK230" s="219"/>
      <c r="AL230" s="219"/>
      <c r="AM230" s="219"/>
      <c r="AN230" s="219"/>
      <c r="AO230" s="219"/>
      <c r="AP230" s="219"/>
      <c r="AQ230" s="219"/>
      <c r="AR230" s="219"/>
      <c r="AS230" s="219"/>
      <c r="AT230" s="219"/>
      <c r="AU230" s="219"/>
      <c r="AV230" s="219"/>
      <c r="AW230" s="219"/>
      <c r="AX230" s="219"/>
      <c r="AY230" s="219"/>
      <c r="AZ230" s="219"/>
      <c r="BA230" s="219"/>
    </row>
    <row r="231" spans="1:53" outlineLevel="1" x14ac:dyDescent="0.35">
      <c r="A231" s="6" t="s">
        <v>27</v>
      </c>
      <c r="Z231" s="6">
        <f>'Results - raw data ReCiPe (H)'!DA94</f>
        <v>5.4960509125157726</v>
      </c>
      <c r="AB231" s="219"/>
      <c r="AC231" s="219"/>
      <c r="AD231" s="219"/>
      <c r="AE231" s="219"/>
      <c r="AF231" s="219"/>
      <c r="AG231" s="219"/>
      <c r="AH231" s="219"/>
      <c r="AI231" s="219"/>
      <c r="AJ231" s="219"/>
      <c r="AK231" s="219"/>
      <c r="AL231" s="219"/>
      <c r="AM231" s="219"/>
      <c r="AN231" s="219"/>
      <c r="AO231" s="219"/>
      <c r="AP231" s="219"/>
      <c r="AQ231" s="219"/>
      <c r="AR231" s="219"/>
      <c r="AS231" s="219"/>
      <c r="AT231" s="219"/>
      <c r="AU231" s="219"/>
      <c r="AV231" s="219"/>
      <c r="AW231" s="219"/>
      <c r="AX231" s="219"/>
      <c r="AY231" s="219"/>
      <c r="AZ231" s="219"/>
      <c r="BA231" s="219"/>
    </row>
    <row r="232" spans="1:53" outlineLevel="1" x14ac:dyDescent="0.35">
      <c r="A232" s="6" t="s">
        <v>30</v>
      </c>
      <c r="Z232" s="6">
        <f>'Results - raw data ReCiPe (H)'!DA95</f>
        <v>22.839582996658049</v>
      </c>
      <c r="AB232" s="219"/>
      <c r="AC232" s="219"/>
      <c r="AD232" s="219"/>
      <c r="AE232" s="219"/>
      <c r="AF232" s="219"/>
      <c r="AG232" s="219"/>
      <c r="AH232" s="219"/>
      <c r="AI232" s="219"/>
      <c r="AJ232" s="219"/>
      <c r="AK232" s="219"/>
      <c r="AL232" s="219"/>
      <c r="AM232" s="219"/>
      <c r="AN232" s="219"/>
      <c r="AO232" s="219"/>
      <c r="AP232" s="219"/>
      <c r="AQ232" s="219"/>
      <c r="AR232" s="219"/>
      <c r="AS232" s="219"/>
      <c r="AT232" s="219"/>
      <c r="AU232" s="219"/>
      <c r="AV232" s="219"/>
      <c r="AW232" s="219"/>
      <c r="AX232" s="219"/>
      <c r="AY232" s="219"/>
      <c r="AZ232" s="219"/>
      <c r="BA232" s="219"/>
    </row>
    <row r="233" spans="1:53" outlineLevel="1" x14ac:dyDescent="0.35">
      <c r="A233" s="6" t="s">
        <v>32</v>
      </c>
      <c r="Z233" s="6">
        <f>'Results - raw data ReCiPe (H)'!DA96</f>
        <v>0.53723365181465099</v>
      </c>
      <c r="AB233" s="219"/>
      <c r="AC233" s="219"/>
      <c r="AD233" s="219"/>
      <c r="AE233" s="219"/>
      <c r="AF233" s="219"/>
      <c r="AG233" s="219"/>
      <c r="AH233" s="219"/>
      <c r="AI233" s="219"/>
      <c r="AJ233" s="219"/>
      <c r="AK233" s="219"/>
      <c r="AL233" s="219"/>
      <c r="AM233" s="219"/>
      <c r="AN233" s="219"/>
      <c r="AO233" s="219"/>
      <c r="AP233" s="219"/>
      <c r="AQ233" s="219"/>
      <c r="AR233" s="219"/>
      <c r="AS233" s="219"/>
      <c r="AT233" s="219"/>
      <c r="AU233" s="219"/>
      <c r="AV233" s="219"/>
      <c r="AW233" s="219"/>
      <c r="AX233" s="219"/>
      <c r="AY233" s="219"/>
      <c r="AZ233" s="219"/>
      <c r="BA233" s="219"/>
    </row>
    <row r="234" spans="1:53" outlineLevel="1" x14ac:dyDescent="0.35">
      <c r="A234" s="6" t="s">
        <v>33</v>
      </c>
      <c r="Z234" s="6">
        <f>'Results - raw data ReCiPe (H)'!DA97</f>
        <v>5.4165037330899706</v>
      </c>
      <c r="AB234" s="219"/>
      <c r="AC234" s="219"/>
      <c r="AD234" s="219"/>
      <c r="AE234" s="219"/>
      <c r="AF234" s="219"/>
      <c r="AG234" s="219"/>
      <c r="AH234" s="219"/>
      <c r="AI234" s="219"/>
      <c r="AJ234" s="219"/>
      <c r="AK234" s="219"/>
      <c r="AL234" s="219"/>
      <c r="AM234" s="219"/>
      <c r="AN234" s="219"/>
      <c r="AO234" s="219"/>
      <c r="AP234" s="219"/>
      <c r="AQ234" s="219"/>
      <c r="AR234" s="219"/>
      <c r="AS234" s="219"/>
      <c r="AT234" s="219"/>
      <c r="AU234" s="219"/>
      <c r="AV234" s="219"/>
      <c r="AW234" s="219"/>
      <c r="AX234" s="219"/>
      <c r="AY234" s="219"/>
      <c r="AZ234" s="219"/>
      <c r="BA234" s="219"/>
    </row>
    <row r="235" spans="1:53" outlineLevel="1" x14ac:dyDescent="0.35">
      <c r="A235" s="6" t="s">
        <v>35</v>
      </c>
      <c r="Z235" s="6">
        <f>'Results - raw data ReCiPe (H)'!DA98</f>
        <v>10.833007466179939</v>
      </c>
      <c r="AB235" s="219"/>
      <c r="AC235" s="219"/>
      <c r="AD235" s="219"/>
      <c r="AE235" s="219"/>
      <c r="AF235" s="219"/>
      <c r="AG235" s="219"/>
      <c r="AH235" s="219"/>
      <c r="AI235" s="219"/>
      <c r="AJ235" s="219"/>
      <c r="AK235" s="219"/>
      <c r="AL235" s="219"/>
      <c r="AM235" s="219"/>
      <c r="AN235" s="219"/>
      <c r="AO235" s="219"/>
      <c r="AP235" s="219"/>
      <c r="AQ235" s="219"/>
      <c r="AR235" s="219"/>
      <c r="AS235" s="219"/>
      <c r="AT235" s="219"/>
      <c r="AU235" s="219"/>
      <c r="AV235" s="219"/>
      <c r="AW235" s="219"/>
      <c r="AX235" s="219"/>
      <c r="AY235" s="219"/>
      <c r="AZ235" s="219"/>
      <c r="BA235" s="219"/>
    </row>
    <row r="236" spans="1:53" outlineLevel="1" x14ac:dyDescent="0.35">
      <c r="A236" s="6" t="s">
        <v>37</v>
      </c>
      <c r="Z236" s="6">
        <f>'Results - raw data ReCiPe (H)'!DA99</f>
        <v>8.5312997818991647</v>
      </c>
      <c r="AB236" s="219"/>
      <c r="AC236" s="219"/>
      <c r="AD236" s="219"/>
      <c r="AE236" s="219"/>
      <c r="AF236" s="219"/>
      <c r="AG236" s="219"/>
      <c r="AH236" s="219"/>
      <c r="AI236" s="219"/>
      <c r="AJ236" s="219"/>
      <c r="AK236" s="219"/>
      <c r="AL236" s="219"/>
      <c r="AM236" s="219"/>
      <c r="AN236" s="219"/>
      <c r="AO236" s="219"/>
      <c r="AP236" s="219"/>
      <c r="AQ236" s="219"/>
      <c r="AR236" s="219"/>
      <c r="AS236" s="219"/>
      <c r="AT236" s="219"/>
      <c r="AU236" s="219"/>
      <c r="AV236" s="219"/>
      <c r="AW236" s="219"/>
      <c r="AX236" s="219"/>
      <c r="AY236" s="219"/>
      <c r="AZ236" s="219"/>
      <c r="BA236" s="219"/>
    </row>
    <row r="237" spans="1:53" outlineLevel="1" x14ac:dyDescent="0.35">
      <c r="A237" s="6" t="s">
        <v>40</v>
      </c>
      <c r="Z237" s="6">
        <f>'Results - raw data ReCiPe (H)'!DA100</f>
        <v>276.98759875301192</v>
      </c>
    </row>
    <row r="238" spans="1:53" outlineLevel="1" x14ac:dyDescent="0.35">
      <c r="A238" s="6" t="s">
        <v>42</v>
      </c>
      <c r="Z238" s="6">
        <f>'Results - raw data ReCiPe (H)'!DA101</f>
        <v>21.184388048874229</v>
      </c>
    </row>
    <row r="239" spans="1:53" outlineLevel="1" x14ac:dyDescent="0.35">
      <c r="A239" s="6" t="s">
        <v>115</v>
      </c>
      <c r="Z239" s="6">
        <f>'Results - raw data ReCiPe (H)'!DA102</f>
        <v>111.8950350765938</v>
      </c>
    </row>
    <row r="240" spans="1:53" outlineLevel="1" x14ac:dyDescent="0.35">
      <c r="A240" s="6" t="s">
        <v>45</v>
      </c>
      <c r="Z240" s="6">
        <f>'Results - raw data ReCiPe (H)'!DA103*AC210*AC212</f>
        <v>19.710037603247073</v>
      </c>
    </row>
    <row r="241" spans="1:26" outlineLevel="1" x14ac:dyDescent="0.35">
      <c r="A241" s="6" t="s">
        <v>116</v>
      </c>
      <c r="B241" s="6">
        <f>'Results - raw data ReCiPe (H)'!CC104</f>
        <v>960.18627888201729</v>
      </c>
      <c r="C241" s="6">
        <f>'Results - raw data ReCiPe (H)'!CD104</f>
        <v>940.20848272169962</v>
      </c>
      <c r="D241" s="6">
        <f>'Results - raw data ReCiPe (H)'!CE104</f>
        <v>919.97849385793086</v>
      </c>
      <c r="E241" s="6">
        <f>'Results - raw data ReCiPe (H)'!CF104</f>
        <v>894.9053469828998</v>
      </c>
      <c r="F241" s="6">
        <f>'Results - raw data ReCiPe (H)'!CG104</f>
        <v>874.14560255740878</v>
      </c>
      <c r="G241" s="6">
        <f>'Results - raw data ReCiPe (H)'!CH104</f>
        <v>853.02566083551835</v>
      </c>
      <c r="H241" s="6">
        <f>'Results - raw data ReCiPe (H)'!CI104</f>
        <v>847.74542197239737</v>
      </c>
      <c r="I241" s="6">
        <f>'Results - raw data ReCiPe (H)'!CJ104</f>
        <v>842.52429825235538</v>
      </c>
      <c r="J241" s="6">
        <f>'Results - raw data ReCiPe (H)'!CK104</f>
        <v>834.79260296691643</v>
      </c>
      <c r="K241" s="6">
        <f>'Results - raw data ReCiPe (H)'!CL104</f>
        <v>829.74040861154253</v>
      </c>
      <c r="L241" s="6">
        <f>'Results - raw data ReCiPe (H)'!CM104</f>
        <v>824.73326237106448</v>
      </c>
      <c r="M241" s="6">
        <f>'Results - raw data ReCiPe (H)'!CN104</f>
        <v>823.07344849097387</v>
      </c>
      <c r="N241" s="6">
        <f>'Results - raw data ReCiPe (H)'!CO104</f>
        <v>821.41329377436136</v>
      </c>
      <c r="O241" s="6">
        <f>'Results - raw data ReCiPe (H)'!CP104</f>
        <v>819.03371604470158</v>
      </c>
      <c r="P241" s="6">
        <f>'Results - raw data ReCiPe (H)'!CQ104</f>
        <v>817.39547696635384</v>
      </c>
      <c r="Q241" s="6">
        <f>'Results - raw data ReCiPe (H)'!CR104</f>
        <v>815.75248373031479</v>
      </c>
      <c r="R241" s="6">
        <f>'Results - raw data ReCiPe (H)'!CS104</f>
        <v>813.65077703361283</v>
      </c>
      <c r="S241" s="6">
        <f>'Results - raw data ReCiPe (H)'!CT104</f>
        <v>811.56970808838173</v>
      </c>
      <c r="T241" s="6">
        <f>'Results - raw data ReCiPe (H)'!CU104</f>
        <v>808.99669973300752</v>
      </c>
      <c r="U241" s="6">
        <f>'Results - raw data ReCiPe (H)'!CV104</f>
        <v>806.98075822559349</v>
      </c>
      <c r="V241" s="6">
        <f>'Results - raw data ReCiPe (H)'!CW104</f>
        <v>804.98906592315427</v>
      </c>
      <c r="W241" s="6">
        <f>'Results - raw data ReCiPe (H)'!CX104</f>
        <v>803.6131276705886</v>
      </c>
      <c r="X241" s="6">
        <f>'Results - raw data ReCiPe (H)'!CY104</f>
        <v>802.07562707288832</v>
      </c>
      <c r="Y241" s="6">
        <f>'Results - raw data ReCiPe (H)'!CZ104</f>
        <v>800.54526605146236</v>
      </c>
      <c r="Z241" s="6">
        <f>'Results - raw data ReCiPe (H)'!DA104</f>
        <v>799.02195316520056</v>
      </c>
    </row>
    <row r="242" spans="1:26" outlineLevel="1" x14ac:dyDescent="0.35">
      <c r="A242" s="6" t="s">
        <v>758</v>
      </c>
      <c r="B242" s="6">
        <f>'Results - raw data ReCiPe (H)'!CC105*$AC$210</f>
        <v>1171.75360790124</v>
      </c>
      <c r="C242" s="6">
        <f>'Results - raw data ReCiPe (H)'!CD105*$AC$210</f>
        <v>985.51848325044398</v>
      </c>
      <c r="D242" s="6">
        <f>'Results - raw data ReCiPe (H)'!CE105*$AC$210</f>
        <v>800.31926123191045</v>
      </c>
      <c r="E242" s="6">
        <f>'Results - raw data ReCiPe (H)'!CF105*$AC$210</f>
        <v>613.03530748482558</v>
      </c>
      <c r="F242" s="6">
        <f>'Results - raw data ReCiPe (H)'!CG105*$AC$210</f>
        <v>429.65944414908608</v>
      </c>
      <c r="G242" s="6">
        <f>'Results - raw data ReCiPe (H)'!CH105*$AC$210</f>
        <v>247.19654517566713</v>
      </c>
      <c r="H242" s="6">
        <f>'Results - raw data ReCiPe (H)'!CI105*$AC$210</f>
        <v>203.72460308086019</v>
      </c>
      <c r="I242" s="6">
        <f>'Results - raw data ReCiPe (H)'!CJ105*$AC$210</f>
        <v>160.20421119621818</v>
      </c>
      <c r="J242" s="6">
        <f>'Results - raw data ReCiPe (H)'!CK105*$AC$210</f>
        <v>114.01691925412281</v>
      </c>
      <c r="K242" s="6">
        <f>'Results - raw data ReCiPe (H)'!CL105*$AC$210</f>
        <v>70.328108989120295</v>
      </c>
      <c r="L242" s="6">
        <f>'Results - raw data ReCiPe (H)'!CM105*$AC$210</f>
        <v>26.586889365791922</v>
      </c>
      <c r="M242" s="6">
        <f>'Results - raw data ReCiPe (H)'!CN105*$AC$210</f>
        <v>4.7592472154073473</v>
      </c>
      <c r="N242" s="6">
        <f>'Results - raw data ReCiPe (H)'!CO105*$AC$210</f>
        <v>-17.042266268320962</v>
      </c>
      <c r="O242" s="6">
        <f>'Results - raw data ReCiPe (H)'!CP105*$AC$210</f>
        <v>-39.31984498306106</v>
      </c>
      <c r="P242" s="6">
        <f>'Results - raw data ReCiPe (H)'!CQ105*$AC$210</f>
        <v>-61.06491878989204</v>
      </c>
      <c r="Q242" s="6">
        <f>'Results - raw data ReCiPe (H)'!CR105*$AC$210</f>
        <v>-82.796745892243422</v>
      </c>
      <c r="R242" s="6">
        <f>'Results - raw data ReCiPe (H)'!CS105*$AC$210</f>
        <v>-128.24040253891349</v>
      </c>
      <c r="S242" s="6">
        <f>'Results - raw data ReCiPe (H)'!CT105*$AC$210</f>
        <v>-173.74520002908028</v>
      </c>
      <c r="T242" s="6">
        <f>'Results - raw data ReCiPe (H)'!CU105*$AC$210</f>
        <v>-219.65990731184971</v>
      </c>
      <c r="U242" s="6">
        <f>'Results - raw data ReCiPe (H)'!CV105*$AC$210</f>
        <v>-265.25926317957271</v>
      </c>
      <c r="V242" s="6">
        <f>'Results - raw data ReCiPe (H)'!CW105*$AC$210</f>
        <v>-310.8897424868058</v>
      </c>
      <c r="W242" s="6">
        <f>'Results - raw data ReCiPe (H)'!CX105*$AC$210</f>
        <v>-349.61909568361528</v>
      </c>
      <c r="X242" s="6">
        <f>'Results - raw data ReCiPe (H)'!CY105*$AC$210</f>
        <v>-389.36755041297459</v>
      </c>
      <c r="Y242" s="6">
        <f>'Results - raw data ReCiPe (H)'!CZ105*$AC$210</f>
        <v>-429.10525550438609</v>
      </c>
      <c r="Z242" s="6">
        <f>'Results - raw data ReCiPe (H)'!DA105*$AC$210</f>
        <v>-468.83374695402216</v>
      </c>
    </row>
    <row r="243" spans="1:26" outlineLevel="1" x14ac:dyDescent="0.35">
      <c r="A243" s="6" t="s">
        <v>759</v>
      </c>
      <c r="B243" s="6">
        <f>'Results - raw data ReCiPe (H)'!CC106</f>
        <v>0</v>
      </c>
      <c r="C243" s="6">
        <f>'Results - raw data ReCiPe (H)'!CD106</f>
        <v>0</v>
      </c>
      <c r="D243" s="6">
        <f>'Results - raw data ReCiPe (H)'!CE106</f>
        <v>0</v>
      </c>
      <c r="E243" s="6">
        <f>'Results - raw data ReCiPe (H)'!CF106</f>
        <v>0</v>
      </c>
      <c r="F243" s="6">
        <f>'Results - raw data ReCiPe (H)'!CG106</f>
        <v>0</v>
      </c>
      <c r="G243" s="6">
        <f>'Results - raw data ReCiPe (H)'!CH106</f>
        <v>0</v>
      </c>
      <c r="H243" s="6">
        <f>'Results - raw data ReCiPe (H)'!CI106</f>
        <v>0</v>
      </c>
      <c r="I243" s="6">
        <f>'Results - raw data ReCiPe (H)'!CJ106</f>
        <v>0</v>
      </c>
      <c r="J243" s="6">
        <f>'Results - raw data ReCiPe (H)'!CK106</f>
        <v>0</v>
      </c>
      <c r="K243" s="6">
        <f>'Results - raw data ReCiPe (H)'!CL106</f>
        <v>0</v>
      </c>
      <c r="L243" s="6">
        <f>'Results - raw data ReCiPe (H)'!CM106</f>
        <v>0</v>
      </c>
      <c r="M243" s="6">
        <f>'Results - raw data ReCiPe (H)'!CN106</f>
        <v>0</v>
      </c>
      <c r="N243" s="6">
        <f>'Results - raw data ReCiPe (H)'!CO106</f>
        <v>0</v>
      </c>
      <c r="O243" s="6">
        <f>'Results - raw data ReCiPe (H)'!CP106</f>
        <v>0</v>
      </c>
      <c r="P243" s="6">
        <f>'Results - raw data ReCiPe (H)'!CQ106</f>
        <v>0</v>
      </c>
      <c r="Q243" s="6">
        <f>'Results - raw data ReCiPe (H)'!CR106</f>
        <v>0</v>
      </c>
      <c r="R243" s="6">
        <f>'Results - raw data ReCiPe (H)'!CS106</f>
        <v>0</v>
      </c>
      <c r="S243" s="6">
        <f>'Results - raw data ReCiPe (H)'!CT106</f>
        <v>0</v>
      </c>
      <c r="T243" s="6">
        <f>'Results - raw data ReCiPe (H)'!CU106</f>
        <v>0</v>
      </c>
      <c r="U243" s="6">
        <f>'Results - raw data ReCiPe (H)'!CV106</f>
        <v>0</v>
      </c>
      <c r="V243" s="6">
        <f>'Results - raw data ReCiPe (H)'!CW106</f>
        <v>0</v>
      </c>
      <c r="W243" s="6">
        <f>'Results - raw data ReCiPe (H)'!CX106</f>
        <v>0</v>
      </c>
      <c r="X243" s="6">
        <f>'Results - raw data ReCiPe (H)'!CY106</f>
        <v>0</v>
      </c>
      <c r="Y243" s="6">
        <f>'Results - raw data ReCiPe (H)'!CZ106</f>
        <v>0</v>
      </c>
      <c r="Z243" s="6">
        <f>'Results - raw data ReCiPe (H)'!DA106</f>
        <v>0</v>
      </c>
    </row>
    <row r="244" spans="1:26" outlineLevel="1" x14ac:dyDescent="0.35">
      <c r="A244" s="6" t="s">
        <v>760</v>
      </c>
      <c r="B244" s="6">
        <f>150000*($AC$211*'Results - raw data ReCiPe (H)'!CC128+(1-$AC$211)*'Results - raw data ReCiPe (H)'!CC129)</f>
        <v>11024.857156526728</v>
      </c>
      <c r="C244" s="6">
        <f>150000*($AC$211*'Results - raw data ReCiPe (H)'!CD128+(1-$AC$211)*'Results - raw data ReCiPe (H)'!CD129)</f>
        <v>9185.8782755909288</v>
      </c>
      <c r="D244" s="6">
        <f>150000*($AC$211*'Results - raw data ReCiPe (H)'!CE128+(1-$AC$211)*'Results - raw data ReCiPe (H)'!CE129)</f>
        <v>7344.9844773557661</v>
      </c>
      <c r="E244" s="6">
        <f>150000*($AC$211*'Results - raw data ReCiPe (H)'!CF128+(1-$AC$211)*'Results - raw data ReCiPe (H)'!CF129)</f>
        <v>5469.8500489065809</v>
      </c>
      <c r="F244" s="6">
        <f>150000*($AC$211*'Results - raw data ReCiPe (H)'!CG128+(1-$AC$211)*'Results - raw data ReCiPe (H)'!CG129)</f>
        <v>3622.4073211066702</v>
      </c>
      <c r="G244" s="6">
        <f>150000*($AC$211*'Results - raw data ReCiPe (H)'!CH128+(1-$AC$211)*'Results - raw data ReCiPe (H)'!CH129)</f>
        <v>1771.980395382936</v>
      </c>
      <c r="H244" s="6">
        <f>150000*($AC$211*'Results - raw data ReCiPe (H)'!CI128+(1-$AC$211)*'Results - raw data ReCiPe (H)'!CI129)</f>
        <v>1327.699050118043</v>
      </c>
      <c r="I244" s="6">
        <f>150000*($AC$211*'Results - raw data ReCiPe (H)'!CJ128+(1-$AC$211)*'Results - raw data ReCiPe (H)'!CJ129)</f>
        <v>881.14390050608438</v>
      </c>
      <c r="J244" s="6">
        <f>150000*($AC$211*'Results - raw data ReCiPe (H)'!CK128+(1-$AC$211)*'Results - raw data ReCiPe (H)'!CK129)</f>
        <v>405.27841188045232</v>
      </c>
      <c r="K244" s="6">
        <f>150000*($AC$211*'Results - raw data ReCiPe (H)'!CL128+(1-$AC$211)*'Results - raw data ReCiPe (H)'!CL129)</f>
        <v>-46.667982551286791</v>
      </c>
      <c r="L244" s="6">
        <f>150000*($AC$211*'Results - raw data ReCiPe (H)'!CM128+(1-$AC$211)*'Results - raw data ReCiPe (H)'!CM129)</f>
        <v>-500.9368146306947</v>
      </c>
      <c r="M244" s="6">
        <f>150000*($AC$211*'Results - raw data ReCiPe (H)'!CN128+(1-$AC$211)*'Results - raw data ReCiPe (H)'!CN129)</f>
        <v>-723.35272473267014</v>
      </c>
      <c r="N244" s="6">
        <f>150000*($AC$211*'Results - raw data ReCiPe (H)'!CO128+(1-$AC$211)*'Results - raw data ReCiPe (H)'!CO129)</f>
        <v>-945.12137292297871</v>
      </c>
      <c r="O244" s="6">
        <f>150000*($AC$211*'Results - raw data ReCiPe (H)'!CP128+(1-$AC$211)*'Results - raw data ReCiPe (H)'!CP129)</f>
        <v>-1171.4854932803871</v>
      </c>
      <c r="P244" s="6">
        <f>150000*($AC$211*'Results - raw data ReCiPe (H)'!CQ128+(1-$AC$211)*'Results - raw data ReCiPe (H)'!CQ129)</f>
        <v>-1392.0118316093128</v>
      </c>
      <c r="Q244" s="6">
        <f>150000*($AC$211*'Results - raw data ReCiPe (H)'!CR128+(1-$AC$211)*'Results - raw data ReCiPe (H)'!CR129)</f>
        <v>-1612.0752359330575</v>
      </c>
      <c r="R244" s="6">
        <f>150000*($AC$211*'Results - raw data ReCiPe (H)'!CS128+(1-$AC$211)*'Results - raw data ReCiPe (H)'!CS129)</f>
        <v>-2058.2850638112991</v>
      </c>
      <c r="S244" s="6">
        <f>150000*($AC$211*'Results - raw data ReCiPe (H)'!CT128+(1-$AC$211)*'Results - raw data ReCiPe (H)'!CT129)</f>
        <v>-2501.0095170393915</v>
      </c>
      <c r="T244" s="6">
        <f>150000*($AC$211*'Results - raw data ReCiPe (H)'!CU128+(1-$AC$211)*'Results - raw data ReCiPe (H)'!CU129)</f>
        <v>-2943.8993456864819</v>
      </c>
      <c r="U244" s="6">
        <f>150000*($AC$211*'Results - raw data ReCiPe (H)'!CV128+(1-$AC$211)*'Results - raw data ReCiPe (H)'!CV129)</f>
        <v>-3379.513237691961</v>
      </c>
      <c r="V244" s="6">
        <f>150000*($AC$211*'Results - raw data ReCiPe (H)'!CW128+(1-$AC$211)*'Results - raw data ReCiPe (H)'!CW129)</f>
        <v>-3811.3481027277517</v>
      </c>
      <c r="W244" s="6">
        <f>150000*($AC$211*'Results - raw data ReCiPe (H)'!CX128+(1-$AC$211)*'Results - raw data ReCiPe (H)'!CX129)</f>
        <v>-4209.4254679884725</v>
      </c>
      <c r="X244" s="6">
        <f>150000*($AC$211*'Results - raw data ReCiPe (H)'!CY128+(1-$AC$211)*'Results - raw data ReCiPe (H)'!CY129)</f>
        <v>-4618.9651469212013</v>
      </c>
      <c r="Y244" s="6">
        <f>150000*($AC$211*'Results - raw data ReCiPe (H)'!CZ128+(1-$AC$211)*'Results - raw data ReCiPe (H)'!CZ129)</f>
        <v>-5029.5958992950982</v>
      </c>
      <c r="Z244" s="6">
        <f>150000*($AC$211*'Results - raw data ReCiPe (H)'!DA128+(1-$AC$211)*'Results - raw data ReCiPe (H)'!DA129)</f>
        <v>-5441.3343575957424</v>
      </c>
    </row>
    <row r="245" spans="1:26" outlineLevel="1" x14ac:dyDescent="0.35">
      <c r="A245" s="23" t="s">
        <v>125</v>
      </c>
      <c r="B245" s="17">
        <f>SUM(B214:B244)</f>
        <v>42956.61219730445</v>
      </c>
      <c r="C245" s="17">
        <f t="shared" ref="C245:Z245" si="29">SUM(C214:C244)</f>
        <v>11111.605241563073</v>
      </c>
      <c r="D245" s="17">
        <f t="shared" si="29"/>
        <v>9065.2822324456065</v>
      </c>
      <c r="E245" s="17">
        <f t="shared" si="29"/>
        <v>6977.7907033743068</v>
      </c>
      <c r="F245" s="17">
        <f t="shared" si="29"/>
        <v>4926.2123678131647</v>
      </c>
      <c r="G245" s="17">
        <f t="shared" si="29"/>
        <v>2872.2026013941213</v>
      </c>
      <c r="H245" s="17">
        <f t="shared" si="29"/>
        <v>2379.1690751713004</v>
      </c>
      <c r="I245" s="17">
        <f t="shared" si="29"/>
        <v>1883.872409954658</v>
      </c>
      <c r="J245" s="17">
        <f t="shared" si="29"/>
        <v>1354.0879341014916</v>
      </c>
      <c r="K245" s="17">
        <f t="shared" si="29"/>
        <v>853.40053504937612</v>
      </c>
      <c r="L245" s="17">
        <f t="shared" si="29"/>
        <v>350.38333710616166</v>
      </c>
      <c r="M245" s="17">
        <f t="shared" si="29"/>
        <v>104.47997097371103</v>
      </c>
      <c r="N245" s="17">
        <f t="shared" si="29"/>
        <v>-140.75034541693833</v>
      </c>
      <c r="O245" s="17">
        <f t="shared" si="29"/>
        <v>-391.77162221874664</v>
      </c>
      <c r="P245" s="17">
        <f t="shared" si="29"/>
        <v>-635.68127343285107</v>
      </c>
      <c r="Q245" s="17">
        <f t="shared" si="29"/>
        <v>-879.11949809498606</v>
      </c>
      <c r="R245" s="17">
        <f t="shared" si="29"/>
        <v>-1372.8746893165999</v>
      </c>
      <c r="S245" s="17">
        <f t="shared" si="29"/>
        <v>-1863.1850089800901</v>
      </c>
      <c r="T245" s="17">
        <f t="shared" si="29"/>
        <v>-2354.5625532653239</v>
      </c>
      <c r="U245" s="17">
        <f t="shared" si="29"/>
        <v>-2837.7917426459403</v>
      </c>
      <c r="V245" s="17">
        <f t="shared" si="29"/>
        <v>-3317.248779291403</v>
      </c>
      <c r="W245" s="17">
        <f t="shared" si="29"/>
        <v>-3755.4314360014992</v>
      </c>
      <c r="X245" s="17">
        <f t="shared" si="29"/>
        <v>-4206.2570702612875</v>
      </c>
      <c r="Y245" s="17">
        <f t="shared" si="29"/>
        <v>-4658.1558887480223</v>
      </c>
      <c r="Z245" s="17">
        <f t="shared" si="29"/>
        <v>-4585.3344083331212</v>
      </c>
    </row>
    <row r="246" spans="1:26" s="26" customFormat="1" outlineLevel="1" x14ac:dyDescent="0.35"/>
    <row r="247" spans="1:26" s="221" customFormat="1" ht="21" x14ac:dyDescent="0.5">
      <c r="A247" s="229" t="s">
        <v>851</v>
      </c>
    </row>
    <row r="248" spans="1:26" s="18" customFormat="1" ht="21" x14ac:dyDescent="0.5">
      <c r="A248" s="18" t="s">
        <v>72</v>
      </c>
    </row>
    <row r="249" spans="1:26" s="20" customFormat="1" outlineLevel="1" x14ac:dyDescent="0.35">
      <c r="A249" s="19" t="s">
        <v>788</v>
      </c>
    </row>
    <row r="250" spans="1:26" s="20" customFormat="1" outlineLevel="1" x14ac:dyDescent="0.35">
      <c r="A250" s="273" t="s">
        <v>775</v>
      </c>
      <c r="B250" s="20">
        <v>1</v>
      </c>
      <c r="C250" s="274" t="s">
        <v>787</v>
      </c>
    </row>
    <row r="251" spans="1:26" s="20" customFormat="1" outlineLevel="1" x14ac:dyDescent="0.35">
      <c r="A251" s="273" t="s">
        <v>781</v>
      </c>
      <c r="B251" s="20">
        <v>100000</v>
      </c>
      <c r="C251" s="20" t="s">
        <v>782</v>
      </c>
      <c r="E251" s="274"/>
    </row>
    <row r="252" spans="1:26" s="20" customFormat="1" outlineLevel="1" x14ac:dyDescent="0.35">
      <c r="A252" s="273" t="s">
        <v>783</v>
      </c>
      <c r="B252" s="20">
        <v>1500</v>
      </c>
      <c r="C252" s="20" t="s">
        <v>592</v>
      </c>
    </row>
    <row r="253" spans="1:26" s="20" customFormat="1" outlineLevel="1" x14ac:dyDescent="0.35">
      <c r="A253" s="273" t="s">
        <v>784</v>
      </c>
      <c r="B253" s="20">
        <v>8760</v>
      </c>
      <c r="C253" s="20" t="s">
        <v>785</v>
      </c>
    </row>
    <row r="254" spans="1:26" s="20" customFormat="1" outlineLevel="1" x14ac:dyDescent="0.35">
      <c r="A254" s="273"/>
    </row>
    <row r="255" spans="1:26" s="20" customFormat="1" outlineLevel="1" x14ac:dyDescent="0.35">
      <c r="A255" s="275" t="s">
        <v>786</v>
      </c>
      <c r="B255" s="275">
        <f>(B251*B252)/(B253*B250)</f>
        <v>17123.287671232876</v>
      </c>
      <c r="C255" s="275" t="s">
        <v>749</v>
      </c>
    </row>
    <row r="256" spans="1:26" s="20" customFormat="1" outlineLevel="1" x14ac:dyDescent="0.35">
      <c r="A256" s="19"/>
    </row>
    <row r="257" spans="1:31" s="20" customFormat="1" outlineLevel="1" x14ac:dyDescent="0.35">
      <c r="A257" s="19" t="s">
        <v>793</v>
      </c>
    </row>
    <row r="258" spans="1:31" s="20" customFormat="1" outlineLevel="1" x14ac:dyDescent="0.35">
      <c r="A258" s="273" t="s">
        <v>789</v>
      </c>
      <c r="B258" s="20">
        <f>SUM('Results - raw data ReCiPe (H)'!CC136:CC137)+'Results - raw data ReCiPe (H)'!CC140+SUM('Results - raw data ReCiPe (H)'!CC138:CC139)*AC267</f>
        <v>879.10284974426168</v>
      </c>
      <c r="C258" s="20" t="s">
        <v>873</v>
      </c>
    </row>
    <row r="259" spans="1:31" s="20" customFormat="1" outlineLevel="1" x14ac:dyDescent="0.35">
      <c r="A259" s="20" t="s">
        <v>792</v>
      </c>
      <c r="B259" s="20">
        <f>B251*AC265</f>
        <v>50000</v>
      </c>
      <c r="C259" s="274" t="s">
        <v>795</v>
      </c>
    </row>
    <row r="260" spans="1:31" s="20" customFormat="1" outlineLevel="1" x14ac:dyDescent="0.35">
      <c r="A260" s="20" t="s">
        <v>791</v>
      </c>
      <c r="B260" s="20">
        <f>(B258*AC267*B255)/(B259*AC266)*(AC266/AC268)</f>
        <v>90.318785932629609</v>
      </c>
      <c r="C260" s="20" t="s">
        <v>874</v>
      </c>
      <c r="E260" s="274" t="s">
        <v>796</v>
      </c>
    </row>
    <row r="261" spans="1:31" s="20" customFormat="1" outlineLevel="1" x14ac:dyDescent="0.35">
      <c r="A261" s="19"/>
    </row>
    <row r="262" spans="1:31" s="16" customFormat="1" outlineLevel="1" x14ac:dyDescent="0.35">
      <c r="A262" s="21"/>
      <c r="AB262" s="16" t="s">
        <v>801</v>
      </c>
      <c r="AC262" s="16">
        <v>1</v>
      </c>
      <c r="AD262" s="16" t="s">
        <v>146</v>
      </c>
      <c r="AE262" s="15" t="s">
        <v>714</v>
      </c>
    </row>
    <row r="263" spans="1:31" s="16" customFormat="1" outlineLevel="1" x14ac:dyDescent="0.35">
      <c r="A263" s="22" t="s">
        <v>566</v>
      </c>
      <c r="AC263" s="16">
        <f>AC262*1000</f>
        <v>1000</v>
      </c>
      <c r="AD263" s="16" t="s">
        <v>144</v>
      </c>
    </row>
    <row r="264" spans="1:31" s="16" customFormat="1" outlineLevel="1" x14ac:dyDescent="0.35">
      <c r="A264" s="22"/>
      <c r="AB264" s="16" t="s">
        <v>127</v>
      </c>
      <c r="AC264" s="276">
        <f>100*AC265</f>
        <v>50</v>
      </c>
      <c r="AD264" s="16" t="s">
        <v>128</v>
      </c>
    </row>
    <row r="265" spans="1:31" s="16" customFormat="1" outlineLevel="1" x14ac:dyDescent="0.35">
      <c r="A265" s="230"/>
      <c r="AB265" s="16" t="s">
        <v>776</v>
      </c>
      <c r="AC265" s="276">
        <v>0.5</v>
      </c>
    </row>
    <row r="266" spans="1:31" s="16" customFormat="1" outlineLevel="1" x14ac:dyDescent="0.35">
      <c r="A266" s="230"/>
      <c r="AB266" s="16" t="s">
        <v>129</v>
      </c>
      <c r="AC266" s="276">
        <v>25</v>
      </c>
      <c r="AD266" s="16" t="s">
        <v>130</v>
      </c>
    </row>
    <row r="267" spans="1:31" s="16" customFormat="1" outlineLevel="1" x14ac:dyDescent="0.35">
      <c r="A267" s="230"/>
      <c r="AB267" s="16" t="s">
        <v>777</v>
      </c>
      <c r="AC267" s="276">
        <v>6</v>
      </c>
      <c r="AD267" s="16" t="s">
        <v>779</v>
      </c>
    </row>
    <row r="268" spans="1:31" s="16" customFormat="1" outlineLevel="1" x14ac:dyDescent="0.35">
      <c r="A268" s="22"/>
      <c r="AB268" s="16" t="s">
        <v>778</v>
      </c>
      <c r="AC268" s="276">
        <v>20</v>
      </c>
      <c r="AD268" s="16" t="s">
        <v>130</v>
      </c>
    </row>
    <row r="269" spans="1:31" s="16" customFormat="1" outlineLevel="1" x14ac:dyDescent="0.35">
      <c r="A269" s="22"/>
      <c r="AB269" s="16" t="s">
        <v>780</v>
      </c>
      <c r="AC269" s="276">
        <f>B255</f>
        <v>17123.287671232876</v>
      </c>
      <c r="AD269" s="16" t="s">
        <v>749</v>
      </c>
    </row>
    <row r="270" spans="1:31" s="16" customFormat="1" outlineLevel="1" x14ac:dyDescent="0.35">
      <c r="A270" s="22"/>
      <c r="AB270" s="16" t="s">
        <v>820</v>
      </c>
      <c r="AC270" s="16">
        <v>0.5</v>
      </c>
    </row>
    <row r="271" spans="1:31" s="16" customFormat="1" outlineLevel="1" x14ac:dyDescent="0.35">
      <c r="A271" s="22"/>
      <c r="AB271" s="16" t="s">
        <v>798</v>
      </c>
      <c r="AC271" s="16">
        <v>0.25</v>
      </c>
    </row>
    <row r="272" spans="1:31" s="16" customFormat="1" outlineLevel="1" x14ac:dyDescent="0.35">
      <c r="A272" s="22"/>
      <c r="AB272" s="16" t="s">
        <v>799</v>
      </c>
      <c r="AC272" s="16">
        <v>0.9</v>
      </c>
    </row>
    <row r="273" spans="1:53" outlineLevel="1" x14ac:dyDescent="0.35">
      <c r="B273" s="25">
        <v>2030</v>
      </c>
      <c r="C273" s="25">
        <v>2031</v>
      </c>
      <c r="D273" s="25">
        <v>2032</v>
      </c>
      <c r="E273" s="25">
        <v>2033</v>
      </c>
      <c r="F273" s="25">
        <v>2034</v>
      </c>
      <c r="G273" s="25">
        <v>2035</v>
      </c>
      <c r="H273" s="25">
        <v>2036</v>
      </c>
      <c r="I273" s="25">
        <v>2037</v>
      </c>
      <c r="J273" s="25">
        <v>2038</v>
      </c>
      <c r="K273" s="25">
        <v>2039</v>
      </c>
      <c r="L273" s="25">
        <v>2040</v>
      </c>
      <c r="M273" s="25">
        <v>2041</v>
      </c>
      <c r="N273" s="25">
        <v>2042</v>
      </c>
      <c r="O273" s="25">
        <v>2043</v>
      </c>
      <c r="P273" s="25">
        <v>2044</v>
      </c>
      <c r="Q273" s="25">
        <v>2045</v>
      </c>
      <c r="R273" s="25">
        <v>2046</v>
      </c>
      <c r="S273" s="25">
        <v>2047</v>
      </c>
      <c r="T273" s="25">
        <v>2048</v>
      </c>
      <c r="U273" s="25">
        <v>2049</v>
      </c>
      <c r="V273" s="25">
        <v>2050</v>
      </c>
      <c r="W273" s="25">
        <v>2051</v>
      </c>
      <c r="X273" s="25">
        <v>2052</v>
      </c>
      <c r="Y273" s="25">
        <v>2053</v>
      </c>
      <c r="Z273" s="25">
        <v>2054</v>
      </c>
      <c r="AC273" s="25">
        <v>2030</v>
      </c>
      <c r="AD273" s="25">
        <v>2031</v>
      </c>
      <c r="AE273" s="25">
        <v>2032</v>
      </c>
      <c r="AF273" s="25">
        <v>2033</v>
      </c>
      <c r="AG273" s="25">
        <v>2034</v>
      </c>
      <c r="AH273" s="25">
        <v>2035</v>
      </c>
      <c r="AI273" s="25">
        <v>2036</v>
      </c>
      <c r="AJ273" s="25">
        <v>2037</v>
      </c>
      <c r="AK273" s="25">
        <v>2038</v>
      </c>
      <c r="AL273" s="25">
        <v>2039</v>
      </c>
      <c r="AM273" s="25">
        <v>2040</v>
      </c>
      <c r="AN273" s="25">
        <v>2041</v>
      </c>
      <c r="AO273" s="25">
        <v>2042</v>
      </c>
      <c r="AP273" s="25">
        <v>2043</v>
      </c>
      <c r="AQ273" s="25">
        <v>2044</v>
      </c>
      <c r="AR273" s="25">
        <v>2045</v>
      </c>
      <c r="AS273" s="25">
        <v>2046</v>
      </c>
      <c r="AT273" s="25">
        <v>2047</v>
      </c>
      <c r="AU273" s="25">
        <v>2048</v>
      </c>
      <c r="AV273" s="25">
        <v>2049</v>
      </c>
      <c r="AW273" s="25">
        <v>2050</v>
      </c>
      <c r="AX273" s="25">
        <v>2051</v>
      </c>
      <c r="AY273" s="25">
        <v>2052</v>
      </c>
      <c r="AZ273" s="25">
        <v>2053</v>
      </c>
      <c r="BA273" s="25">
        <v>2054</v>
      </c>
    </row>
    <row r="274" spans="1:53" outlineLevel="1" x14ac:dyDescent="0.35">
      <c r="A274" s="6" t="s">
        <v>21</v>
      </c>
      <c r="B274" s="6">
        <f t="shared" ref="B274:B285" si="30">B10</f>
        <v>736.5346492975043</v>
      </c>
      <c r="AB274" s="6" t="s">
        <v>117</v>
      </c>
      <c r="AC274" s="6">
        <f>SUM(B274:B285)+B287</f>
        <v>34126.372886235426</v>
      </c>
    </row>
    <row r="275" spans="1:53" outlineLevel="1" x14ac:dyDescent="0.35">
      <c r="A275" s="6" t="s">
        <v>23</v>
      </c>
      <c r="B275" s="6">
        <f t="shared" si="30"/>
        <v>964.71070101214207</v>
      </c>
      <c r="AB275" s="6" t="s">
        <v>118</v>
      </c>
      <c r="AC275" s="6">
        <f>B286</f>
        <v>1240.5281792010687</v>
      </c>
    </row>
    <row r="276" spans="1:53" outlineLevel="1" x14ac:dyDescent="0.35">
      <c r="A276" s="6" t="s">
        <v>26</v>
      </c>
      <c r="B276" s="6">
        <f t="shared" si="30"/>
        <v>3012.330013181167</v>
      </c>
      <c r="AB276" s="6" t="s">
        <v>119</v>
      </c>
      <c r="BA276" s="6">
        <f>SUM(Z288:Z299)</f>
        <v>691.18373370688425</v>
      </c>
    </row>
    <row r="277" spans="1:53" outlineLevel="1" x14ac:dyDescent="0.35">
      <c r="A277" s="6" t="s">
        <v>28</v>
      </c>
      <c r="B277" s="6">
        <f t="shared" si="30"/>
        <v>2745.9417900267481</v>
      </c>
      <c r="AB277" s="6" t="s">
        <v>120</v>
      </c>
      <c r="BA277" s="6">
        <f>Z300</f>
        <v>11.247260456048089</v>
      </c>
    </row>
    <row r="278" spans="1:53" outlineLevel="1" x14ac:dyDescent="0.35">
      <c r="A278" s="6" t="s">
        <v>29</v>
      </c>
      <c r="B278" s="6">
        <f t="shared" si="30"/>
        <v>1625.298034289408</v>
      </c>
      <c r="AB278" s="6" t="s">
        <v>121</v>
      </c>
      <c r="AC278" s="6">
        <f>B301</f>
        <v>1186.4815932558031</v>
      </c>
      <c r="AF278" s="6">
        <f>E301</f>
        <v>1175.2724845293581</v>
      </c>
      <c r="AI278" s="6">
        <f>H301</f>
        <v>1172.0887619145631</v>
      </c>
      <c r="AL278" s="6">
        <f>K301</f>
        <v>1171.5419235181971</v>
      </c>
      <c r="AO278" s="6">
        <f>N301</f>
        <v>1176.0346869666</v>
      </c>
      <c r="AR278" s="6">
        <f>Q301</f>
        <v>1180.8592879535349</v>
      </c>
      <c r="AU278" s="6">
        <f>T301</f>
        <v>1165.597336992987</v>
      </c>
      <c r="AX278" s="6">
        <f>W301</f>
        <v>1149.242533712596</v>
      </c>
      <c r="BA278" s="6">
        <f>Z301</f>
        <v>1126.377758844686</v>
      </c>
    </row>
    <row r="279" spans="1:53" outlineLevel="1" x14ac:dyDescent="0.35">
      <c r="A279" s="6" t="s">
        <v>31</v>
      </c>
      <c r="B279" s="6">
        <f t="shared" si="30"/>
        <v>1150.5712368961119</v>
      </c>
      <c r="AB279" s="6" t="s">
        <v>797</v>
      </c>
      <c r="AC279" s="6">
        <f>B305</f>
        <v>4515.9392966314808</v>
      </c>
      <c r="AD279" s="6">
        <f t="shared" ref="AD279:BA279" si="31">C305</f>
        <v>4515.9392966314808</v>
      </c>
      <c r="AE279" s="6">
        <f t="shared" si="31"/>
        <v>4515.9392966314808</v>
      </c>
      <c r="AF279" s="6">
        <f t="shared" si="31"/>
        <v>4515.9392966314808</v>
      </c>
      <c r="AG279" s="6">
        <f t="shared" si="31"/>
        <v>4515.9392966314808</v>
      </c>
      <c r="AH279" s="6">
        <f t="shared" si="31"/>
        <v>4515.9392966314808</v>
      </c>
      <c r="AI279" s="6">
        <f t="shared" si="31"/>
        <v>4515.9392966314808</v>
      </c>
      <c r="AJ279" s="6">
        <f t="shared" si="31"/>
        <v>4515.9392966314808</v>
      </c>
      <c r="AK279" s="6">
        <f t="shared" si="31"/>
        <v>4515.9392966314808</v>
      </c>
      <c r="AL279" s="6">
        <f t="shared" si="31"/>
        <v>4515.9392966314808</v>
      </c>
      <c r="AM279" s="6">
        <f t="shared" si="31"/>
        <v>4515.9392966314808</v>
      </c>
      <c r="AN279" s="6">
        <f t="shared" si="31"/>
        <v>4515.9392966314808</v>
      </c>
      <c r="AO279" s="6">
        <f t="shared" si="31"/>
        <v>4515.9392966314808</v>
      </c>
      <c r="AP279" s="6">
        <f t="shared" si="31"/>
        <v>4515.9392966314808</v>
      </c>
      <c r="AQ279" s="6">
        <f t="shared" si="31"/>
        <v>4515.9392966314808</v>
      </c>
      <c r="AR279" s="6">
        <f t="shared" si="31"/>
        <v>4515.9392966314808</v>
      </c>
      <c r="AS279" s="6">
        <f t="shared" si="31"/>
        <v>4515.9392966314808</v>
      </c>
      <c r="AT279" s="6">
        <f t="shared" si="31"/>
        <v>4515.9392966314808</v>
      </c>
      <c r="AU279" s="6">
        <f t="shared" si="31"/>
        <v>4515.9392966314808</v>
      </c>
      <c r="AV279" s="6">
        <f t="shared" si="31"/>
        <v>4515.9392966314808</v>
      </c>
      <c r="AW279" s="6">
        <f t="shared" si="31"/>
        <v>4515.9392966314808</v>
      </c>
      <c r="AX279" s="6">
        <f t="shared" si="31"/>
        <v>4515.9392966314808</v>
      </c>
      <c r="AY279" s="6">
        <f t="shared" si="31"/>
        <v>4515.9392966314808</v>
      </c>
      <c r="AZ279" s="6">
        <f t="shared" si="31"/>
        <v>4515.9392966314808</v>
      </c>
      <c r="BA279" s="6">
        <f t="shared" si="31"/>
        <v>4515.9392966314808</v>
      </c>
    </row>
    <row r="280" spans="1:53" outlineLevel="1" x14ac:dyDescent="0.35">
      <c r="A280" s="6" t="s">
        <v>34</v>
      </c>
      <c r="B280" s="6">
        <f t="shared" si="30"/>
        <v>772.05259525488657</v>
      </c>
      <c r="AB280" s="6" t="s">
        <v>122</v>
      </c>
      <c r="AC280" s="6">
        <f t="shared" ref="AC280:BA280" si="32">B304+B303</f>
        <v>3688.2452017680725</v>
      </c>
      <c r="AD280" s="6">
        <f t="shared" si="32"/>
        <v>3675.8205937827111</v>
      </c>
      <c r="AE280" s="6">
        <f t="shared" si="32"/>
        <v>3663.8310480628961</v>
      </c>
      <c r="AF280" s="6">
        <f t="shared" si="32"/>
        <v>3626.593906818468</v>
      </c>
      <c r="AG280" s="6">
        <f t="shared" si="32"/>
        <v>3615.4772000801463</v>
      </c>
      <c r="AH280" s="6">
        <f t="shared" si="32"/>
        <v>3604.6067784165925</v>
      </c>
      <c r="AI280" s="6">
        <f t="shared" si="32"/>
        <v>3594.7608071511313</v>
      </c>
      <c r="AJ280" s="6">
        <f t="shared" si="32"/>
        <v>3585.9837734558346</v>
      </c>
      <c r="AK280" s="6">
        <f t="shared" si="32"/>
        <v>3562.4173921213983</v>
      </c>
      <c r="AL280" s="6">
        <f t="shared" si="32"/>
        <v>3555.5994251745328</v>
      </c>
      <c r="AM280" s="6">
        <f t="shared" si="32"/>
        <v>3549.519813279031</v>
      </c>
      <c r="AN280" s="6">
        <f t="shared" si="32"/>
        <v>3548.6130655427942</v>
      </c>
      <c r="AO280" s="6">
        <f t="shared" si="32"/>
        <v>3548.535688171366</v>
      </c>
      <c r="AP280" s="6">
        <f t="shared" si="32"/>
        <v>3546.0463840654647</v>
      </c>
      <c r="AQ280" s="6">
        <f t="shared" si="32"/>
        <v>3547.5016394068757</v>
      </c>
      <c r="AR280" s="6">
        <f t="shared" si="32"/>
        <v>3550.0707945772447</v>
      </c>
      <c r="AS280" s="6">
        <f t="shared" si="32"/>
        <v>3533.6910608556559</v>
      </c>
      <c r="AT280" s="6">
        <f t="shared" si="32"/>
        <v>3517.3717389818739</v>
      </c>
      <c r="AU280" s="6">
        <f t="shared" si="32"/>
        <v>3497.8489227098994</v>
      </c>
      <c r="AV280" s="6">
        <f t="shared" si="32"/>
        <v>3481.573852388558</v>
      </c>
      <c r="AW280" s="6">
        <f t="shared" si="32"/>
        <v>3465.2779136270888</v>
      </c>
      <c r="AX280" s="6">
        <f t="shared" si="32"/>
        <v>3446.7871999109675</v>
      </c>
      <c r="AY280" s="6">
        <f t="shared" si="32"/>
        <v>3422.8707819419415</v>
      </c>
      <c r="AZ280" s="6">
        <f t="shared" si="32"/>
        <v>3398.9424407258107</v>
      </c>
      <c r="BA280" s="6">
        <f t="shared" si="32"/>
        <v>3374.994199095675</v>
      </c>
    </row>
    <row r="281" spans="1:53" outlineLevel="1" x14ac:dyDescent="0.35">
      <c r="A281" s="6" t="s">
        <v>36</v>
      </c>
      <c r="B281" s="6">
        <f t="shared" si="30"/>
        <v>665.02827145034166</v>
      </c>
      <c r="AB281" s="6" t="s">
        <v>123</v>
      </c>
      <c r="AC281" s="6">
        <f t="shared" ref="AC281:BA281" si="33">B302</f>
        <v>1471.896248348238</v>
      </c>
      <c r="AD281" s="6">
        <f t="shared" si="33"/>
        <v>1468.5448595892985</v>
      </c>
      <c r="AE281" s="6">
        <f t="shared" si="33"/>
        <v>1465.2042044414191</v>
      </c>
      <c r="AF281" s="6">
        <f t="shared" si="33"/>
        <v>1460.510987675616</v>
      </c>
      <c r="AG281" s="6">
        <f t="shared" si="33"/>
        <v>1457.194647723403</v>
      </c>
      <c r="AH281" s="6">
        <f t="shared" si="33"/>
        <v>1453.8802398511245</v>
      </c>
      <c r="AI281" s="6">
        <f t="shared" si="33"/>
        <v>1553.4373283153786</v>
      </c>
      <c r="AJ281" s="6">
        <f t="shared" si="33"/>
        <v>1652.4961712455206</v>
      </c>
      <c r="AK281" s="6">
        <f t="shared" si="33"/>
        <v>1750.1748609984429</v>
      </c>
      <c r="AL281" s="6">
        <f t="shared" si="33"/>
        <v>1848.3522463117997</v>
      </c>
      <c r="AM281" s="6">
        <f t="shared" si="33"/>
        <v>1945.9315495611604</v>
      </c>
      <c r="AN281" s="6">
        <f t="shared" si="33"/>
        <v>2120.0583737235752</v>
      </c>
      <c r="AO281" s="6">
        <f t="shared" si="33"/>
        <v>2293.8418282989296</v>
      </c>
      <c r="AP281" s="6">
        <f t="shared" si="33"/>
        <v>2467.1132985399518</v>
      </c>
      <c r="AQ281" s="6">
        <f t="shared" si="33"/>
        <v>2640.1974838496208</v>
      </c>
      <c r="AR281" s="6">
        <f t="shared" si="33"/>
        <v>2812.9335726386535</v>
      </c>
      <c r="AS281" s="6">
        <f t="shared" si="33"/>
        <v>2841.060723920466</v>
      </c>
      <c r="AT281" s="6">
        <f t="shared" si="33"/>
        <v>2869.110997401182</v>
      </c>
      <c r="AU281" s="6">
        <f t="shared" si="33"/>
        <v>2896.9354890139557</v>
      </c>
      <c r="AV281" s="6">
        <f t="shared" si="33"/>
        <v>2924.8448332814214</v>
      </c>
      <c r="AW281" s="6">
        <f t="shared" si="33"/>
        <v>2952.6857176708554</v>
      </c>
      <c r="AX281" s="6">
        <f t="shared" si="33"/>
        <v>2927.6092195981596</v>
      </c>
      <c r="AY281" s="6">
        <f t="shared" si="33"/>
        <v>2851.8001451449645</v>
      </c>
      <c r="AZ281" s="6">
        <f t="shared" si="33"/>
        <v>2776.0427852991716</v>
      </c>
      <c r="BA281" s="6">
        <f t="shared" si="33"/>
        <v>2700.3353743988837</v>
      </c>
    </row>
    <row r="282" spans="1:53" outlineLevel="1" x14ac:dyDescent="0.35">
      <c r="A282" s="6" t="s">
        <v>38</v>
      </c>
      <c r="B282" s="6">
        <f t="shared" si="30"/>
        <v>6068.501913397412</v>
      </c>
      <c r="AB282" s="6" t="s">
        <v>124</v>
      </c>
      <c r="AC282" s="6">
        <f>-$AC$264*$AC$263</f>
        <v>-50000</v>
      </c>
      <c r="AD282" s="6">
        <f t="shared" ref="AD282:BA282" si="34">-$AC$264*$AC$263</f>
        <v>-50000</v>
      </c>
      <c r="AE282" s="6">
        <f t="shared" si="34"/>
        <v>-50000</v>
      </c>
      <c r="AF282" s="6">
        <f t="shared" si="34"/>
        <v>-50000</v>
      </c>
      <c r="AG282" s="6">
        <f t="shared" si="34"/>
        <v>-50000</v>
      </c>
      <c r="AH282" s="6">
        <f t="shared" si="34"/>
        <v>-50000</v>
      </c>
      <c r="AI282" s="6">
        <f t="shared" si="34"/>
        <v>-50000</v>
      </c>
      <c r="AJ282" s="6">
        <f t="shared" si="34"/>
        <v>-50000</v>
      </c>
      <c r="AK282" s="6">
        <f t="shared" si="34"/>
        <v>-50000</v>
      </c>
      <c r="AL282" s="6">
        <f t="shared" si="34"/>
        <v>-50000</v>
      </c>
      <c r="AM282" s="6">
        <f t="shared" si="34"/>
        <v>-50000</v>
      </c>
      <c r="AN282" s="6">
        <f t="shared" si="34"/>
        <v>-50000</v>
      </c>
      <c r="AO282" s="6">
        <f t="shared" si="34"/>
        <v>-50000</v>
      </c>
      <c r="AP282" s="6">
        <f t="shared" si="34"/>
        <v>-50000</v>
      </c>
      <c r="AQ282" s="6">
        <f t="shared" si="34"/>
        <v>-50000</v>
      </c>
      <c r="AR282" s="6">
        <f t="shared" si="34"/>
        <v>-50000</v>
      </c>
      <c r="AS282" s="6">
        <f t="shared" si="34"/>
        <v>-50000</v>
      </c>
      <c r="AT282" s="6">
        <f t="shared" si="34"/>
        <v>-50000</v>
      </c>
      <c r="AU282" s="6">
        <f t="shared" si="34"/>
        <v>-50000</v>
      </c>
      <c r="AV282" s="6">
        <f t="shared" si="34"/>
        <v>-50000</v>
      </c>
      <c r="AW282" s="6">
        <f t="shared" si="34"/>
        <v>-50000</v>
      </c>
      <c r="AX282" s="6">
        <f t="shared" si="34"/>
        <v>-50000</v>
      </c>
      <c r="AY282" s="6">
        <f t="shared" si="34"/>
        <v>-50000</v>
      </c>
      <c r="AZ282" s="6">
        <f t="shared" si="34"/>
        <v>-50000</v>
      </c>
      <c r="BA282" s="6">
        <f t="shared" si="34"/>
        <v>-50000</v>
      </c>
    </row>
    <row r="283" spans="1:53" outlineLevel="1" x14ac:dyDescent="0.35">
      <c r="A283" s="6" t="s">
        <v>39</v>
      </c>
      <c r="B283" s="6">
        <f t="shared" si="30"/>
        <v>11451.41246529284</v>
      </c>
      <c r="AB283" s="23" t="s">
        <v>125</v>
      </c>
      <c r="AC283" s="17">
        <f t="shared" ref="AC283:BA283" si="35">SUM(AC274:AC282)</f>
        <v>-3770.5365945599042</v>
      </c>
      <c r="AD283" s="17">
        <f t="shared" si="35"/>
        <v>-40339.695249996512</v>
      </c>
      <c r="AE283" s="17">
        <f t="shared" si="35"/>
        <v>-40355.025450864203</v>
      </c>
      <c r="AF283" s="17">
        <f t="shared" si="35"/>
        <v>-39221.683324345075</v>
      </c>
      <c r="AG283" s="17">
        <f t="shared" si="35"/>
        <v>-40411.388855564968</v>
      </c>
      <c r="AH283" s="17">
        <f t="shared" si="35"/>
        <v>-40425.573685100804</v>
      </c>
      <c r="AI283" s="17">
        <f t="shared" si="35"/>
        <v>-39163.773805987446</v>
      </c>
      <c r="AJ283" s="17">
        <f t="shared" si="35"/>
        <v>-40245.580758667165</v>
      </c>
      <c r="AK283" s="17">
        <f t="shared" si="35"/>
        <v>-40171.468450248678</v>
      </c>
      <c r="AL283" s="17">
        <f t="shared" si="35"/>
        <v>-38908.56710836399</v>
      </c>
      <c r="AM283" s="17">
        <f t="shared" si="35"/>
        <v>-39988.609340528332</v>
      </c>
      <c r="AN283" s="17">
        <f t="shared" si="35"/>
        <v>-39815.389264102152</v>
      </c>
      <c r="AO283" s="17">
        <f t="shared" si="35"/>
        <v>-38465.648499931624</v>
      </c>
      <c r="AP283" s="17">
        <f t="shared" si="35"/>
        <v>-39470.901020763107</v>
      </c>
      <c r="AQ283" s="17">
        <f t="shared" si="35"/>
        <v>-39296.361580112025</v>
      </c>
      <c r="AR283" s="17">
        <f t="shared" si="35"/>
        <v>-37940.197048199087</v>
      </c>
      <c r="AS283" s="17">
        <f t="shared" si="35"/>
        <v>-39109.308918592396</v>
      </c>
      <c r="AT283" s="17">
        <f t="shared" si="35"/>
        <v>-39097.577966985467</v>
      </c>
      <c r="AU283" s="17">
        <f t="shared" si="35"/>
        <v>-37923.678954651681</v>
      </c>
      <c r="AV283" s="17">
        <f t="shared" si="35"/>
        <v>-39077.642017698541</v>
      </c>
      <c r="AW283" s="17">
        <f t="shared" si="35"/>
        <v>-39066.097072070574</v>
      </c>
      <c r="AX283" s="17">
        <f t="shared" si="35"/>
        <v>-37960.421750146794</v>
      </c>
      <c r="AY283" s="17">
        <f t="shared" si="35"/>
        <v>-39209.389776281612</v>
      </c>
      <c r="AZ283" s="17">
        <f t="shared" si="35"/>
        <v>-39309.075477343533</v>
      </c>
      <c r="BA283" s="17">
        <f t="shared" si="35"/>
        <v>-37579.922376866343</v>
      </c>
    </row>
    <row r="284" spans="1:53" outlineLevel="1" x14ac:dyDescent="0.35">
      <c r="A284" s="6" t="s">
        <v>41</v>
      </c>
      <c r="B284" s="6">
        <f t="shared" si="30"/>
        <v>160.84450915278899</v>
      </c>
    </row>
    <row r="285" spans="1:53" outlineLevel="1" x14ac:dyDescent="0.35">
      <c r="A285" s="6" t="s">
        <v>43</v>
      </c>
      <c r="B285" s="6">
        <f t="shared" si="30"/>
        <v>552.22875745518706</v>
      </c>
      <c r="AB285" s="272"/>
      <c r="AC285" s="272"/>
      <c r="AD285" s="272"/>
      <c r="AE285" s="272"/>
      <c r="AF285" s="272"/>
      <c r="AG285" s="272"/>
      <c r="AH285" s="272"/>
      <c r="AI285" s="272"/>
      <c r="AJ285" s="272"/>
      <c r="AK285" s="272"/>
      <c r="AL285" s="272"/>
      <c r="AM285" s="272"/>
      <c r="AN285" s="272"/>
      <c r="AO285" s="272"/>
      <c r="AP285" s="272"/>
      <c r="AQ285" s="272"/>
      <c r="AR285" s="272"/>
      <c r="AS285" s="272"/>
      <c r="AT285" s="272"/>
      <c r="AU285" s="272"/>
      <c r="AV285" s="272"/>
      <c r="AW285" s="272"/>
      <c r="AX285" s="272"/>
      <c r="AY285" s="272"/>
      <c r="AZ285" s="272"/>
      <c r="BA285" s="272"/>
    </row>
    <row r="286" spans="1:53" outlineLevel="1" x14ac:dyDescent="0.35">
      <c r="A286" s="6" t="s">
        <v>44</v>
      </c>
      <c r="B286" s="6">
        <f>B22*AC265</f>
        <v>1240.5281792010687</v>
      </c>
      <c r="AB286" s="272"/>
      <c r="AC286" s="272"/>
      <c r="AD286" s="272"/>
      <c r="AE286" s="272"/>
      <c r="AF286" s="272"/>
      <c r="AG286" s="272"/>
      <c r="AH286" s="272"/>
      <c r="AI286" s="272"/>
      <c r="AJ286" s="272"/>
      <c r="AK286" s="272"/>
      <c r="AL286" s="272"/>
      <c r="AM286" s="272"/>
      <c r="AN286" s="272"/>
      <c r="AO286" s="272"/>
      <c r="AP286" s="272"/>
      <c r="AQ286" s="272"/>
      <c r="AR286" s="272"/>
      <c r="AS286" s="272"/>
      <c r="AT286" s="272"/>
      <c r="AU286" s="272"/>
      <c r="AV286" s="272"/>
      <c r="AW286" s="272"/>
      <c r="AX286" s="272"/>
      <c r="AY286" s="272"/>
      <c r="AZ286" s="272"/>
      <c r="BA286" s="272"/>
    </row>
    <row r="287" spans="1:53" outlineLevel="1" x14ac:dyDescent="0.35">
      <c r="A287" s="6" t="s">
        <v>757</v>
      </c>
      <c r="B287" s="6">
        <f>B23*AC265</f>
        <v>4220.9179495288818</v>
      </c>
      <c r="AB287" s="272"/>
      <c r="AC287" s="272"/>
      <c r="AD287" s="272"/>
      <c r="AE287" s="272"/>
      <c r="AF287" s="272"/>
      <c r="AG287" s="272"/>
      <c r="AH287" s="272"/>
      <c r="AI287" s="272"/>
      <c r="AJ287" s="272"/>
      <c r="AK287" s="272"/>
      <c r="AL287" s="272"/>
      <c r="AM287" s="272"/>
      <c r="AN287" s="272"/>
      <c r="AO287" s="272"/>
      <c r="AP287" s="272"/>
      <c r="AQ287" s="272"/>
      <c r="AR287" s="272"/>
      <c r="AS287" s="272"/>
      <c r="AT287" s="272"/>
      <c r="AU287" s="272"/>
      <c r="AV287" s="272"/>
      <c r="AW287" s="272"/>
      <c r="AX287" s="272"/>
      <c r="AY287" s="272"/>
      <c r="AZ287" s="272"/>
      <c r="BA287" s="272"/>
    </row>
    <row r="288" spans="1:53" outlineLevel="1" x14ac:dyDescent="0.35">
      <c r="A288" s="6" t="s">
        <v>22</v>
      </c>
      <c r="Z288" s="6">
        <f t="shared" ref="Z288:Z299" si="36">Z24</f>
        <v>18.273260416017582</v>
      </c>
      <c r="AB288" s="272"/>
      <c r="AC288" s="272"/>
      <c r="AD288" s="272"/>
      <c r="AE288" s="272"/>
      <c r="AF288" s="272"/>
      <c r="AG288" s="272"/>
      <c r="AH288" s="272"/>
      <c r="AI288" s="272"/>
      <c r="AJ288" s="272"/>
      <c r="AK288" s="272"/>
      <c r="AL288" s="272"/>
      <c r="AM288" s="272"/>
      <c r="AN288" s="272"/>
      <c r="AO288" s="272"/>
      <c r="AP288" s="272"/>
      <c r="AQ288" s="272"/>
      <c r="AR288" s="272"/>
      <c r="AS288" s="272"/>
      <c r="AT288" s="272"/>
      <c r="AU288" s="272"/>
      <c r="AV288" s="272"/>
      <c r="AW288" s="272"/>
      <c r="AX288" s="272"/>
      <c r="AY288" s="272"/>
      <c r="AZ288" s="272"/>
      <c r="BA288" s="272"/>
    </row>
    <row r="289" spans="1:53" outlineLevel="1" x14ac:dyDescent="0.35">
      <c r="A289" s="6" t="s">
        <v>24</v>
      </c>
      <c r="Z289" s="6">
        <f t="shared" si="36"/>
        <v>6.9621462523846738</v>
      </c>
      <c r="AB289" s="272"/>
      <c r="AC289" s="272"/>
      <c r="AD289" s="272"/>
      <c r="AE289" s="272"/>
      <c r="AF289" s="272"/>
      <c r="AG289" s="272"/>
      <c r="AH289" s="272"/>
      <c r="AI289" s="272"/>
      <c r="AJ289" s="272"/>
      <c r="AK289" s="272"/>
      <c r="AL289" s="272"/>
      <c r="AM289" s="272"/>
      <c r="AN289" s="272"/>
      <c r="AO289" s="272"/>
      <c r="AP289" s="272"/>
      <c r="AQ289" s="272"/>
      <c r="AR289" s="272"/>
      <c r="AS289" s="272"/>
      <c r="AT289" s="272"/>
      <c r="AU289" s="272"/>
      <c r="AV289" s="272"/>
      <c r="AW289" s="272"/>
      <c r="AX289" s="272"/>
      <c r="AY289" s="272"/>
      <c r="AZ289" s="272"/>
      <c r="BA289" s="272"/>
    </row>
    <row r="290" spans="1:53" outlineLevel="1" x14ac:dyDescent="0.35">
      <c r="A290" s="6" t="s">
        <v>25</v>
      </c>
      <c r="Z290" s="6">
        <f t="shared" si="36"/>
        <v>24.648328583293029</v>
      </c>
      <c r="AB290" s="272"/>
      <c r="AC290" s="272"/>
      <c r="AD290" s="272"/>
      <c r="AE290" s="272"/>
      <c r="AF290" s="272"/>
      <c r="AG290" s="272"/>
      <c r="AH290" s="272"/>
      <c r="AI290" s="272"/>
      <c r="AJ290" s="272"/>
      <c r="AK290" s="272"/>
      <c r="AL290" s="272"/>
      <c r="AM290" s="272"/>
      <c r="AN290" s="272"/>
      <c r="AO290" s="272"/>
      <c r="AP290" s="272"/>
      <c r="AQ290" s="272"/>
      <c r="AR290" s="272"/>
      <c r="AS290" s="272"/>
      <c r="AT290" s="272"/>
      <c r="AU290" s="272"/>
      <c r="AV290" s="272"/>
      <c r="AW290" s="272"/>
      <c r="AX290" s="272"/>
      <c r="AY290" s="272"/>
      <c r="AZ290" s="272"/>
      <c r="BA290" s="272"/>
    </row>
    <row r="291" spans="1:53" outlineLevel="1" x14ac:dyDescent="0.35">
      <c r="A291" s="6" t="s">
        <v>27</v>
      </c>
      <c r="Z291" s="6">
        <f t="shared" si="36"/>
        <v>7.5999095268562344</v>
      </c>
      <c r="AB291" s="272"/>
      <c r="AC291" s="272"/>
      <c r="AD291" s="272"/>
      <c r="AE291" s="272"/>
      <c r="AF291" s="272"/>
      <c r="AG291" s="272"/>
      <c r="AH291" s="272"/>
      <c r="AI291" s="272"/>
      <c r="AJ291" s="272"/>
      <c r="AK291" s="272"/>
      <c r="AL291" s="272"/>
      <c r="AM291" s="272"/>
      <c r="AN291" s="272"/>
      <c r="AO291" s="272"/>
      <c r="AP291" s="272"/>
      <c r="AQ291" s="272"/>
      <c r="AR291" s="272"/>
      <c r="AS291" s="272"/>
      <c r="AT291" s="272"/>
      <c r="AU291" s="272"/>
      <c r="AV291" s="272"/>
      <c r="AW291" s="272"/>
      <c r="AX291" s="272"/>
      <c r="AY291" s="272"/>
      <c r="AZ291" s="272"/>
      <c r="BA291" s="272"/>
    </row>
    <row r="292" spans="1:53" outlineLevel="1" x14ac:dyDescent="0.35">
      <c r="A292" s="6" t="s">
        <v>30</v>
      </c>
      <c r="Z292" s="6">
        <f t="shared" si="36"/>
        <v>23.823867783595102</v>
      </c>
      <c r="AB292" s="272"/>
      <c r="AC292" s="272"/>
      <c r="AD292" s="272"/>
      <c r="AE292" s="272"/>
      <c r="AF292" s="272"/>
      <c r="AG292" s="272"/>
      <c r="AH292" s="272"/>
      <c r="AI292" s="272"/>
      <c r="AJ292" s="272"/>
      <c r="AK292" s="272"/>
      <c r="AL292" s="272"/>
      <c r="AM292" s="272"/>
      <c r="AN292" s="272"/>
      <c r="AO292" s="272"/>
      <c r="AP292" s="272"/>
      <c r="AQ292" s="272"/>
      <c r="AR292" s="272"/>
      <c r="AS292" s="272"/>
      <c r="AT292" s="272"/>
      <c r="AU292" s="272"/>
      <c r="AV292" s="272"/>
      <c r="AW292" s="272"/>
      <c r="AX292" s="272"/>
      <c r="AY292" s="272"/>
      <c r="AZ292" s="272"/>
      <c r="BA292" s="272"/>
    </row>
    <row r="293" spans="1:53" outlineLevel="1" x14ac:dyDescent="0.35">
      <c r="A293" s="6" t="s">
        <v>32</v>
      </c>
      <c r="Z293" s="6">
        <f t="shared" si="36"/>
        <v>0.97716446400496804</v>
      </c>
      <c r="AB293" s="272"/>
      <c r="AC293" s="272"/>
      <c r="AD293" s="272"/>
      <c r="AE293" s="272"/>
      <c r="AF293" s="272"/>
      <c r="AG293" s="272"/>
      <c r="AH293" s="272"/>
      <c r="AI293" s="272"/>
      <c r="AJ293" s="272"/>
      <c r="AK293" s="272"/>
      <c r="AL293" s="272"/>
      <c r="AM293" s="272"/>
      <c r="AN293" s="272"/>
      <c r="AO293" s="272"/>
      <c r="AP293" s="272"/>
      <c r="AQ293" s="272"/>
      <c r="AR293" s="272"/>
      <c r="AS293" s="272"/>
      <c r="AT293" s="272"/>
      <c r="AU293" s="272"/>
      <c r="AV293" s="272"/>
      <c r="AW293" s="272"/>
      <c r="AX293" s="272"/>
      <c r="AY293" s="272"/>
      <c r="AZ293" s="272"/>
      <c r="BA293" s="272"/>
    </row>
    <row r="294" spans="1:53" outlineLevel="1" x14ac:dyDescent="0.35">
      <c r="A294" s="6" t="s">
        <v>33</v>
      </c>
      <c r="Z294" s="6">
        <f t="shared" si="36"/>
        <v>5.6942969546537281</v>
      </c>
      <c r="AB294" s="272"/>
      <c r="AC294" s="272"/>
      <c r="AD294" s="272"/>
      <c r="AE294" s="272"/>
      <c r="AF294" s="272"/>
      <c r="AG294" s="272"/>
      <c r="AH294" s="272"/>
      <c r="AI294" s="272"/>
      <c r="AJ294" s="272"/>
      <c r="AK294" s="272"/>
      <c r="AL294" s="272"/>
      <c r="AM294" s="272"/>
      <c r="AN294" s="272"/>
      <c r="AO294" s="272"/>
      <c r="AP294" s="272"/>
      <c r="AQ294" s="272"/>
      <c r="AR294" s="272"/>
      <c r="AS294" s="272"/>
      <c r="AT294" s="272"/>
      <c r="AU294" s="272"/>
      <c r="AV294" s="272"/>
      <c r="AW294" s="272"/>
      <c r="AX294" s="272"/>
      <c r="AY294" s="272"/>
      <c r="AZ294" s="272"/>
      <c r="BA294" s="272"/>
    </row>
    <row r="295" spans="1:53" outlineLevel="1" x14ac:dyDescent="0.35">
      <c r="A295" s="6" t="s">
        <v>35</v>
      </c>
      <c r="Z295" s="6">
        <f t="shared" si="36"/>
        <v>11.38859390930746</v>
      </c>
      <c r="AB295" s="272"/>
      <c r="AC295" s="272"/>
      <c r="AD295" s="272"/>
      <c r="AE295" s="272"/>
      <c r="AF295" s="272"/>
      <c r="AG295" s="272"/>
      <c r="AH295" s="272"/>
      <c r="AI295" s="272"/>
      <c r="AJ295" s="272"/>
      <c r="AK295" s="272"/>
      <c r="AL295" s="272"/>
      <c r="AM295" s="272"/>
      <c r="AN295" s="272"/>
      <c r="AO295" s="272"/>
      <c r="AP295" s="272"/>
      <c r="AQ295" s="272"/>
      <c r="AR295" s="272"/>
      <c r="AS295" s="272"/>
      <c r="AT295" s="272"/>
      <c r="AU295" s="272"/>
      <c r="AV295" s="272"/>
      <c r="AW295" s="272"/>
      <c r="AX295" s="272"/>
      <c r="AY295" s="272"/>
      <c r="AZ295" s="272"/>
      <c r="BA295" s="272"/>
    </row>
    <row r="296" spans="1:53" outlineLevel="1" x14ac:dyDescent="0.35">
      <c r="A296" s="6" t="s">
        <v>37</v>
      </c>
      <c r="Z296" s="6">
        <f t="shared" si="36"/>
        <v>14.96062171322496</v>
      </c>
      <c r="AB296" s="272"/>
      <c r="AC296" s="272"/>
      <c r="AD296" s="272"/>
      <c r="AE296" s="272"/>
      <c r="AF296" s="272"/>
      <c r="AG296" s="272"/>
      <c r="AH296" s="272"/>
      <c r="AI296" s="272"/>
      <c r="AJ296" s="272"/>
      <c r="AK296" s="272"/>
      <c r="AL296" s="272"/>
      <c r="AM296" s="272"/>
      <c r="AN296" s="272"/>
      <c r="AO296" s="272"/>
      <c r="AP296" s="272"/>
      <c r="AQ296" s="272"/>
      <c r="AR296" s="272"/>
      <c r="AS296" s="272"/>
      <c r="AT296" s="272"/>
      <c r="AU296" s="272"/>
      <c r="AV296" s="272"/>
      <c r="AW296" s="272"/>
      <c r="AX296" s="272"/>
      <c r="AY296" s="272"/>
      <c r="AZ296" s="272"/>
      <c r="BA296" s="272"/>
    </row>
    <row r="297" spans="1:53" outlineLevel="1" x14ac:dyDescent="0.35">
      <c r="A297" s="6" t="s">
        <v>40</v>
      </c>
      <c r="Z297" s="6">
        <f t="shared" si="36"/>
        <v>285.27572518419629</v>
      </c>
    </row>
    <row r="298" spans="1:53" outlineLevel="1" x14ac:dyDescent="0.35">
      <c r="A298" s="6" t="s">
        <v>42</v>
      </c>
      <c r="Z298" s="6">
        <f t="shared" si="36"/>
        <v>30.660919411160531</v>
      </c>
    </row>
    <row r="299" spans="1:53" outlineLevel="1" x14ac:dyDescent="0.35">
      <c r="A299" s="6" t="s">
        <v>115</v>
      </c>
      <c r="Z299" s="6">
        <f t="shared" si="36"/>
        <v>260.91889950818972</v>
      </c>
    </row>
    <row r="300" spans="1:53" outlineLevel="1" x14ac:dyDescent="0.35">
      <c r="A300" s="6" t="s">
        <v>45</v>
      </c>
      <c r="Z300" s="6">
        <f>Z36*AC265</f>
        <v>11.247260456048089</v>
      </c>
    </row>
    <row r="301" spans="1:53" outlineLevel="1" x14ac:dyDescent="0.35">
      <c r="A301" s="6" t="s">
        <v>116</v>
      </c>
      <c r="B301" s="6">
        <f>B37</f>
        <v>1186.4815932558031</v>
      </c>
      <c r="C301" s="6">
        <f t="shared" ref="C301:Z301" si="37">C37</f>
        <v>1184.4309868083469</v>
      </c>
      <c r="D301" s="6">
        <f t="shared" si="37"/>
        <v>1182.4019980169519</v>
      </c>
      <c r="E301" s="6">
        <f t="shared" si="37"/>
        <v>1175.2724845293581</v>
      </c>
      <c r="F301" s="6">
        <f t="shared" si="37"/>
        <v>1173.2752967188071</v>
      </c>
      <c r="G301" s="6">
        <f t="shared" si="37"/>
        <v>1171.2868602262761</v>
      </c>
      <c r="H301" s="6">
        <f t="shared" si="37"/>
        <v>1172.0887619145631</v>
      </c>
      <c r="I301" s="6">
        <f t="shared" si="37"/>
        <v>1172.9075908463119</v>
      </c>
      <c r="J301" s="6">
        <f t="shared" si="37"/>
        <v>1170.652414406771</v>
      </c>
      <c r="K301" s="6">
        <f t="shared" si="37"/>
        <v>1171.5419235181971</v>
      </c>
      <c r="L301" s="6">
        <f t="shared" si="37"/>
        <v>1172.441544749935</v>
      </c>
      <c r="M301" s="6">
        <f t="shared" si="37"/>
        <v>1174.231826151836</v>
      </c>
      <c r="N301" s="6">
        <f t="shared" si="37"/>
        <v>1176.0346869666</v>
      </c>
      <c r="O301" s="6">
        <f t="shared" si="37"/>
        <v>1177.145364002851</v>
      </c>
      <c r="P301" s="6">
        <f t="shared" si="37"/>
        <v>1178.9976005413471</v>
      </c>
      <c r="Q301" s="6">
        <f t="shared" si="37"/>
        <v>1180.8592879535349</v>
      </c>
      <c r="R301" s="6">
        <f t="shared" si="37"/>
        <v>1176.0256071477111</v>
      </c>
      <c r="S301" s="6">
        <f t="shared" si="37"/>
        <v>1171.1769982701601</v>
      </c>
      <c r="T301" s="6">
        <f t="shared" si="37"/>
        <v>1165.597336992987</v>
      </c>
      <c r="U301" s="6">
        <f t="shared" si="37"/>
        <v>1160.70640988018</v>
      </c>
      <c r="V301" s="6">
        <f t="shared" si="37"/>
        <v>1155.786064528553</v>
      </c>
      <c r="W301" s="6">
        <f t="shared" si="37"/>
        <v>1149.242533712596</v>
      </c>
      <c r="X301" s="6">
        <f t="shared" si="37"/>
        <v>1141.6551910246601</v>
      </c>
      <c r="Y301" s="6">
        <f t="shared" si="37"/>
        <v>1134.033848551484</v>
      </c>
      <c r="Z301" s="6">
        <f t="shared" si="37"/>
        <v>1126.377758844686</v>
      </c>
    </row>
    <row r="302" spans="1:53" outlineLevel="1" x14ac:dyDescent="0.35">
      <c r="A302" s="6" t="s">
        <v>758</v>
      </c>
      <c r="B302" s="6">
        <f>B38*$AC$265</f>
        <v>1471.896248348238</v>
      </c>
      <c r="C302" s="6">
        <f t="shared" ref="C302:Z303" si="38">C38*$AC$265</f>
        <v>1468.5448595892985</v>
      </c>
      <c r="D302" s="6">
        <f t="shared" si="38"/>
        <v>1465.2042044414191</v>
      </c>
      <c r="E302" s="6">
        <f t="shared" si="38"/>
        <v>1460.510987675616</v>
      </c>
      <c r="F302" s="6">
        <f t="shared" si="38"/>
        <v>1457.194647723403</v>
      </c>
      <c r="G302" s="6">
        <f t="shared" si="38"/>
        <v>1453.8802398511245</v>
      </c>
      <c r="H302" s="6">
        <f t="shared" si="38"/>
        <v>1553.4373283153786</v>
      </c>
      <c r="I302" s="6">
        <f t="shared" si="38"/>
        <v>1652.4961712455206</v>
      </c>
      <c r="J302" s="6">
        <f t="shared" si="38"/>
        <v>1750.1748609984429</v>
      </c>
      <c r="K302" s="6">
        <f t="shared" si="38"/>
        <v>1848.3522463117997</v>
      </c>
      <c r="L302" s="6">
        <f t="shared" si="38"/>
        <v>1945.9315495611604</v>
      </c>
      <c r="M302" s="6">
        <f t="shared" si="38"/>
        <v>2120.0583737235752</v>
      </c>
      <c r="N302" s="6">
        <f t="shared" si="38"/>
        <v>2293.8418282989296</v>
      </c>
      <c r="O302" s="6">
        <f t="shared" si="38"/>
        <v>2467.1132985399518</v>
      </c>
      <c r="P302" s="6">
        <f t="shared" si="38"/>
        <v>2640.1974838496208</v>
      </c>
      <c r="Q302" s="6">
        <f t="shared" si="38"/>
        <v>2812.9335726386535</v>
      </c>
      <c r="R302" s="6">
        <f t="shared" si="38"/>
        <v>2841.060723920466</v>
      </c>
      <c r="S302" s="6">
        <f t="shared" si="38"/>
        <v>2869.110997401182</v>
      </c>
      <c r="T302" s="6">
        <f t="shared" si="38"/>
        <v>2896.9354890139557</v>
      </c>
      <c r="U302" s="6">
        <f t="shared" si="38"/>
        <v>2924.8448332814214</v>
      </c>
      <c r="V302" s="6">
        <f t="shared" si="38"/>
        <v>2952.6857176708554</v>
      </c>
      <c r="W302" s="6">
        <f t="shared" si="38"/>
        <v>2927.6092195981596</v>
      </c>
      <c r="X302" s="6">
        <f t="shared" si="38"/>
        <v>2851.8001451449645</v>
      </c>
      <c r="Y302" s="6">
        <f t="shared" si="38"/>
        <v>2776.0427852991716</v>
      </c>
      <c r="Z302" s="6">
        <f t="shared" si="38"/>
        <v>2700.3353743988837</v>
      </c>
    </row>
    <row r="303" spans="1:53" outlineLevel="1" x14ac:dyDescent="0.35">
      <c r="A303" s="6" t="s">
        <v>759</v>
      </c>
      <c r="B303" s="6">
        <f>B39*$AC$265</f>
        <v>0</v>
      </c>
      <c r="C303" s="6">
        <f t="shared" si="38"/>
        <v>0</v>
      </c>
      <c r="D303" s="6">
        <f t="shared" si="38"/>
        <v>0</v>
      </c>
      <c r="E303" s="6">
        <f t="shared" si="38"/>
        <v>0</v>
      </c>
      <c r="F303" s="6">
        <f t="shared" si="38"/>
        <v>0</v>
      </c>
      <c r="G303" s="6">
        <f t="shared" si="38"/>
        <v>0</v>
      </c>
      <c r="H303" s="6">
        <f t="shared" si="38"/>
        <v>0</v>
      </c>
      <c r="I303" s="6">
        <f t="shared" si="38"/>
        <v>0</v>
      </c>
      <c r="J303" s="6">
        <f t="shared" si="38"/>
        <v>0</v>
      </c>
      <c r="K303" s="6">
        <f t="shared" si="38"/>
        <v>0</v>
      </c>
      <c r="L303" s="6">
        <f t="shared" si="38"/>
        <v>0</v>
      </c>
      <c r="M303" s="6">
        <f t="shared" si="38"/>
        <v>0</v>
      </c>
      <c r="N303" s="6">
        <f t="shared" si="38"/>
        <v>0</v>
      </c>
      <c r="O303" s="6">
        <f t="shared" si="38"/>
        <v>0</v>
      </c>
      <c r="P303" s="6">
        <f t="shared" si="38"/>
        <v>0</v>
      </c>
      <c r="Q303" s="6">
        <f t="shared" si="38"/>
        <v>0</v>
      </c>
      <c r="R303" s="6">
        <f t="shared" si="38"/>
        <v>0</v>
      </c>
      <c r="S303" s="6">
        <f t="shared" si="38"/>
        <v>0</v>
      </c>
      <c r="T303" s="6">
        <f t="shared" si="38"/>
        <v>0</v>
      </c>
      <c r="U303" s="6">
        <f t="shared" si="38"/>
        <v>0</v>
      </c>
      <c r="V303" s="6">
        <f t="shared" si="38"/>
        <v>0</v>
      </c>
      <c r="W303" s="6">
        <f t="shared" si="38"/>
        <v>0</v>
      </c>
      <c r="X303" s="6">
        <f t="shared" si="38"/>
        <v>0</v>
      </c>
      <c r="Y303" s="6">
        <f t="shared" si="38"/>
        <v>0</v>
      </c>
      <c r="Z303" s="6">
        <f t="shared" si="38"/>
        <v>0</v>
      </c>
    </row>
    <row r="304" spans="1:53" outlineLevel="1" x14ac:dyDescent="0.35">
      <c r="A304" s="6" t="s">
        <v>760</v>
      </c>
      <c r="B304" s="6">
        <f>150000*$AC$265*'Results - raw data ReCiPe (H)'!CC114/(1-$AC$270)*(1+'Results ReCiPe (H) - HHD'!$AC$271/'Results ReCiPe (H) - HHD'!$AC$272-'Results ReCiPe (H) - HHD'!$AC$271)</f>
        <v>3688.2452017680725</v>
      </c>
      <c r="C304" s="6">
        <f>150000*$AC$265*'Results - raw data ReCiPe (H)'!CD114/(1-$AC$270)*(1+'Results ReCiPe (H) - HHD'!$AC$271/'Results ReCiPe (H) - HHD'!$AC$272-'Results ReCiPe (H) - HHD'!$AC$271)</f>
        <v>3675.8205937827111</v>
      </c>
      <c r="D304" s="6">
        <f>150000*$AC$265*'Results - raw data ReCiPe (H)'!CE114/(1-$AC$270)*(1+'Results ReCiPe (H) - HHD'!$AC$271/'Results ReCiPe (H) - HHD'!$AC$272-'Results ReCiPe (H) - HHD'!$AC$271)</f>
        <v>3663.8310480628961</v>
      </c>
      <c r="E304" s="6">
        <f>150000*$AC$265*'Results - raw data ReCiPe (H)'!CF114/(1-$AC$270)*(1+'Results ReCiPe (H) - HHD'!$AC$271/'Results ReCiPe (H) - HHD'!$AC$272-'Results ReCiPe (H) - HHD'!$AC$271)</f>
        <v>3626.593906818468</v>
      </c>
      <c r="F304" s="6">
        <f>150000*$AC$265*'Results - raw data ReCiPe (H)'!CG114/(1-$AC$270)*(1+'Results ReCiPe (H) - HHD'!$AC$271/'Results ReCiPe (H) - HHD'!$AC$272-'Results ReCiPe (H) - HHD'!$AC$271)</f>
        <v>3615.4772000801463</v>
      </c>
      <c r="G304" s="6">
        <f>150000*$AC$265*'Results - raw data ReCiPe (H)'!CH114/(1-$AC$270)*(1+'Results ReCiPe (H) - HHD'!$AC$271/'Results ReCiPe (H) - HHD'!$AC$272-'Results ReCiPe (H) - HHD'!$AC$271)</f>
        <v>3604.6067784165925</v>
      </c>
      <c r="H304" s="6">
        <f>150000*$AC$265*'Results - raw data ReCiPe (H)'!CI114/(1-$AC$270)*(1+'Results ReCiPe (H) - HHD'!$AC$271/'Results ReCiPe (H) - HHD'!$AC$272-'Results ReCiPe (H) - HHD'!$AC$271)</f>
        <v>3594.7608071511313</v>
      </c>
      <c r="I304" s="6">
        <f>150000*$AC$265*'Results - raw data ReCiPe (H)'!CJ114/(1-$AC$270)*(1+'Results ReCiPe (H) - HHD'!$AC$271/'Results ReCiPe (H) - HHD'!$AC$272-'Results ReCiPe (H) - HHD'!$AC$271)</f>
        <v>3585.9837734558346</v>
      </c>
      <c r="J304" s="6">
        <f>150000*$AC$265*'Results - raw data ReCiPe (H)'!CK114/(1-$AC$270)*(1+'Results ReCiPe (H) - HHD'!$AC$271/'Results ReCiPe (H) - HHD'!$AC$272-'Results ReCiPe (H) - HHD'!$AC$271)</f>
        <v>3562.4173921213983</v>
      </c>
      <c r="K304" s="6">
        <f>150000*$AC$265*'Results - raw data ReCiPe (H)'!CL114/(1-$AC$270)*(1+'Results ReCiPe (H) - HHD'!$AC$271/'Results ReCiPe (H) - HHD'!$AC$272-'Results ReCiPe (H) - HHD'!$AC$271)</f>
        <v>3555.5994251745328</v>
      </c>
      <c r="L304" s="6">
        <f>150000*$AC$265*'Results - raw data ReCiPe (H)'!CM114/(1-$AC$270)*(1+'Results ReCiPe (H) - HHD'!$AC$271/'Results ReCiPe (H) - HHD'!$AC$272-'Results ReCiPe (H) - HHD'!$AC$271)</f>
        <v>3549.519813279031</v>
      </c>
      <c r="M304" s="6">
        <f>150000*$AC$265*'Results - raw data ReCiPe (H)'!CN114/(1-$AC$270)*(1+'Results ReCiPe (H) - HHD'!$AC$271/'Results ReCiPe (H) - HHD'!$AC$272-'Results ReCiPe (H) - HHD'!$AC$271)</f>
        <v>3548.6130655427942</v>
      </c>
      <c r="N304" s="6">
        <f>150000*$AC$265*'Results - raw data ReCiPe (H)'!CO114/(1-$AC$270)*(1+'Results ReCiPe (H) - HHD'!$AC$271/'Results ReCiPe (H) - HHD'!$AC$272-'Results ReCiPe (H) - HHD'!$AC$271)</f>
        <v>3548.535688171366</v>
      </c>
      <c r="O304" s="6">
        <f>150000*$AC$265*'Results - raw data ReCiPe (H)'!CP114/(1-$AC$270)*(1+'Results ReCiPe (H) - HHD'!$AC$271/'Results ReCiPe (H) - HHD'!$AC$272-'Results ReCiPe (H) - HHD'!$AC$271)</f>
        <v>3546.0463840654647</v>
      </c>
      <c r="P304" s="6">
        <f>150000*$AC$265*'Results - raw data ReCiPe (H)'!CQ114/(1-$AC$270)*(1+'Results ReCiPe (H) - HHD'!$AC$271/'Results ReCiPe (H) - HHD'!$AC$272-'Results ReCiPe (H) - HHD'!$AC$271)</f>
        <v>3547.5016394068757</v>
      </c>
      <c r="Q304" s="6">
        <f>150000*$AC$265*'Results - raw data ReCiPe (H)'!CR114/(1-$AC$270)*(1+'Results ReCiPe (H) - HHD'!$AC$271/'Results ReCiPe (H) - HHD'!$AC$272-'Results ReCiPe (H) - HHD'!$AC$271)</f>
        <v>3550.0707945772447</v>
      </c>
      <c r="R304" s="6">
        <f>150000*$AC$265*'Results - raw data ReCiPe (H)'!CS114/(1-$AC$270)*(1+'Results ReCiPe (H) - HHD'!$AC$271/'Results ReCiPe (H) - HHD'!$AC$272-'Results ReCiPe (H) - HHD'!$AC$271)</f>
        <v>3533.6910608556559</v>
      </c>
      <c r="S304" s="6">
        <f>150000*$AC$265*'Results - raw data ReCiPe (H)'!CT114/(1-$AC$270)*(1+'Results ReCiPe (H) - HHD'!$AC$271/'Results ReCiPe (H) - HHD'!$AC$272-'Results ReCiPe (H) - HHD'!$AC$271)</f>
        <v>3517.3717389818739</v>
      </c>
      <c r="T304" s="6">
        <f>150000*$AC$265*'Results - raw data ReCiPe (H)'!CU114/(1-$AC$270)*(1+'Results ReCiPe (H) - HHD'!$AC$271/'Results ReCiPe (H) - HHD'!$AC$272-'Results ReCiPe (H) - HHD'!$AC$271)</f>
        <v>3497.8489227098994</v>
      </c>
      <c r="U304" s="6">
        <f>150000*$AC$265*'Results - raw data ReCiPe (H)'!CV114/(1-$AC$270)*(1+'Results ReCiPe (H) - HHD'!$AC$271/'Results ReCiPe (H) - HHD'!$AC$272-'Results ReCiPe (H) - HHD'!$AC$271)</f>
        <v>3481.573852388558</v>
      </c>
      <c r="V304" s="6">
        <f>150000*$AC$265*'Results - raw data ReCiPe (H)'!CW114/(1-$AC$270)*(1+'Results ReCiPe (H) - HHD'!$AC$271/'Results ReCiPe (H) - HHD'!$AC$272-'Results ReCiPe (H) - HHD'!$AC$271)</f>
        <v>3465.2779136270888</v>
      </c>
      <c r="W304" s="6">
        <f>150000*$AC$265*'Results - raw data ReCiPe (H)'!CX114/(1-$AC$270)*(1+'Results ReCiPe (H) - HHD'!$AC$271/'Results ReCiPe (H) - HHD'!$AC$272-'Results ReCiPe (H) - HHD'!$AC$271)</f>
        <v>3446.7871999109675</v>
      </c>
      <c r="X304" s="6">
        <f>150000*$AC$265*'Results - raw data ReCiPe (H)'!CY114/(1-$AC$270)*(1+'Results ReCiPe (H) - HHD'!$AC$271/'Results ReCiPe (H) - HHD'!$AC$272-'Results ReCiPe (H) - HHD'!$AC$271)</f>
        <v>3422.8707819419415</v>
      </c>
      <c r="Y304" s="6">
        <f>150000*$AC$265*'Results - raw data ReCiPe (H)'!CZ114/(1-$AC$270)*(1+'Results ReCiPe (H) - HHD'!$AC$271/'Results ReCiPe (H) - HHD'!$AC$272-'Results ReCiPe (H) - HHD'!$AC$271)</f>
        <v>3398.9424407258107</v>
      </c>
      <c r="Z304" s="6">
        <f>150000*$AC$265*'Results - raw data ReCiPe (H)'!DA114/(1-$AC$270)*(1+'Results ReCiPe (H) - HHD'!$AC$271/'Results ReCiPe (H) - HHD'!$AC$272-'Results ReCiPe (H) - HHD'!$AC$271)</f>
        <v>3374.994199095675</v>
      </c>
    </row>
    <row r="305" spans="1:26" outlineLevel="1" x14ac:dyDescent="0.35">
      <c r="A305" s="6" t="s">
        <v>797</v>
      </c>
      <c r="B305" s="6">
        <f>$B$260*$AC$264</f>
        <v>4515.9392966314808</v>
      </c>
      <c r="C305" s="6">
        <f t="shared" ref="C305:Z305" si="39">$B$260*$AC$264</f>
        <v>4515.9392966314808</v>
      </c>
      <c r="D305" s="6">
        <f t="shared" si="39"/>
        <v>4515.9392966314808</v>
      </c>
      <c r="E305" s="6">
        <f t="shared" si="39"/>
        <v>4515.9392966314808</v>
      </c>
      <c r="F305" s="6">
        <f t="shared" si="39"/>
        <v>4515.9392966314808</v>
      </c>
      <c r="G305" s="6">
        <f t="shared" si="39"/>
        <v>4515.9392966314808</v>
      </c>
      <c r="H305" s="6">
        <f t="shared" si="39"/>
        <v>4515.9392966314808</v>
      </c>
      <c r="I305" s="6">
        <f t="shared" si="39"/>
        <v>4515.9392966314808</v>
      </c>
      <c r="J305" s="6">
        <f t="shared" si="39"/>
        <v>4515.9392966314808</v>
      </c>
      <c r="K305" s="6">
        <f t="shared" si="39"/>
        <v>4515.9392966314808</v>
      </c>
      <c r="L305" s="6">
        <f t="shared" si="39"/>
        <v>4515.9392966314808</v>
      </c>
      <c r="M305" s="6">
        <f t="shared" si="39"/>
        <v>4515.9392966314808</v>
      </c>
      <c r="N305" s="6">
        <f t="shared" si="39"/>
        <v>4515.9392966314808</v>
      </c>
      <c r="O305" s="6">
        <f t="shared" si="39"/>
        <v>4515.9392966314808</v>
      </c>
      <c r="P305" s="6">
        <f t="shared" si="39"/>
        <v>4515.9392966314808</v>
      </c>
      <c r="Q305" s="6">
        <f t="shared" si="39"/>
        <v>4515.9392966314808</v>
      </c>
      <c r="R305" s="6">
        <f t="shared" si="39"/>
        <v>4515.9392966314808</v>
      </c>
      <c r="S305" s="6">
        <f t="shared" si="39"/>
        <v>4515.9392966314808</v>
      </c>
      <c r="T305" s="6">
        <f t="shared" si="39"/>
        <v>4515.9392966314808</v>
      </c>
      <c r="U305" s="6">
        <f t="shared" si="39"/>
        <v>4515.9392966314808</v>
      </c>
      <c r="V305" s="6">
        <f t="shared" si="39"/>
        <v>4515.9392966314808</v>
      </c>
      <c r="W305" s="6">
        <f t="shared" si="39"/>
        <v>4515.9392966314808</v>
      </c>
      <c r="X305" s="6">
        <f t="shared" si="39"/>
        <v>4515.9392966314808</v>
      </c>
      <c r="Y305" s="6">
        <f t="shared" si="39"/>
        <v>4515.9392966314808</v>
      </c>
      <c r="Z305" s="6">
        <f t="shared" si="39"/>
        <v>4515.9392966314808</v>
      </c>
    </row>
    <row r="306" spans="1:26" outlineLevel="1" x14ac:dyDescent="0.35">
      <c r="A306" s="23" t="s">
        <v>125</v>
      </c>
      <c r="B306" s="17">
        <f t="shared" ref="B306:Z306" si="40">SUM(B274:B304)</f>
        <v>41713.524108808604</v>
      </c>
      <c r="C306" s="17">
        <f t="shared" si="40"/>
        <v>6328.7964401803565</v>
      </c>
      <c r="D306" s="17">
        <f t="shared" si="40"/>
        <v>6311.4372505212668</v>
      </c>
      <c r="E306" s="17">
        <f t="shared" si="40"/>
        <v>6262.3773790234418</v>
      </c>
      <c r="F306" s="17">
        <f t="shared" si="40"/>
        <v>6245.9471445223571</v>
      </c>
      <c r="G306" s="17">
        <f t="shared" si="40"/>
        <v>6229.7738784939929</v>
      </c>
      <c r="H306" s="17">
        <f t="shared" si="40"/>
        <v>6320.2868973810728</v>
      </c>
      <c r="I306" s="17">
        <f t="shared" si="40"/>
        <v>6411.3875355476666</v>
      </c>
      <c r="J306" s="17">
        <f t="shared" si="40"/>
        <v>6483.2446675266128</v>
      </c>
      <c r="K306" s="17">
        <f t="shared" si="40"/>
        <v>6575.4935950045292</v>
      </c>
      <c r="L306" s="17">
        <f t="shared" si="40"/>
        <v>6667.8929075901269</v>
      </c>
      <c r="M306" s="17">
        <f t="shared" si="40"/>
        <v>6842.9032654182056</v>
      </c>
      <c r="N306" s="17">
        <f t="shared" si="40"/>
        <v>7018.4122034368957</v>
      </c>
      <c r="O306" s="17">
        <f t="shared" si="40"/>
        <v>7190.3050466082677</v>
      </c>
      <c r="P306" s="17">
        <f t="shared" si="40"/>
        <v>7366.6967237978442</v>
      </c>
      <c r="Q306" s="17">
        <f t="shared" si="40"/>
        <v>7543.8636551694326</v>
      </c>
      <c r="R306" s="17">
        <f t="shared" si="40"/>
        <v>7550.7773919238334</v>
      </c>
      <c r="S306" s="17">
        <f t="shared" si="40"/>
        <v>7557.6597346532162</v>
      </c>
      <c r="T306" s="17">
        <f t="shared" si="40"/>
        <v>7560.3817487168417</v>
      </c>
      <c r="U306" s="17">
        <f t="shared" si="40"/>
        <v>7567.12509555016</v>
      </c>
      <c r="V306" s="17">
        <f t="shared" si="40"/>
        <v>7573.7496958264965</v>
      </c>
      <c r="W306" s="17">
        <f t="shared" si="40"/>
        <v>7523.6389532217236</v>
      </c>
      <c r="X306" s="17">
        <f t="shared" si="40"/>
        <v>7416.3261181115658</v>
      </c>
      <c r="Y306" s="17">
        <f t="shared" si="40"/>
        <v>7309.0190745764667</v>
      </c>
      <c r="Z306" s="17">
        <f t="shared" si="40"/>
        <v>7904.1383265021768</v>
      </c>
    </row>
    <row r="307" spans="1:26" outlineLevel="1" x14ac:dyDescent="0.35"/>
    <row r="308" spans="1:26" s="18" customFormat="1" ht="21" x14ac:dyDescent="0.5">
      <c r="A308" s="18" t="s">
        <v>73</v>
      </c>
    </row>
    <row r="309" spans="1:26" s="20" customFormat="1" outlineLevel="1" x14ac:dyDescent="0.35">
      <c r="A309" s="19" t="s">
        <v>788</v>
      </c>
    </row>
    <row r="310" spans="1:26" s="20" customFormat="1" outlineLevel="1" x14ac:dyDescent="0.35">
      <c r="A310" s="273" t="s">
        <v>775</v>
      </c>
      <c r="B310" s="20">
        <v>1</v>
      </c>
      <c r="C310" s="274" t="s">
        <v>787</v>
      </c>
    </row>
    <row r="311" spans="1:26" s="20" customFormat="1" outlineLevel="1" x14ac:dyDescent="0.35">
      <c r="A311" s="273" t="s">
        <v>781</v>
      </c>
      <c r="B311" s="20">
        <v>100000</v>
      </c>
      <c r="C311" s="20" t="s">
        <v>782</v>
      </c>
      <c r="E311" s="274"/>
    </row>
    <row r="312" spans="1:26" s="20" customFormat="1" outlineLevel="1" x14ac:dyDescent="0.35">
      <c r="A312" s="273" t="s">
        <v>783</v>
      </c>
      <c r="B312" s="20">
        <v>1500</v>
      </c>
      <c r="C312" s="20" t="s">
        <v>592</v>
      </c>
    </row>
    <row r="313" spans="1:26" s="20" customFormat="1" outlineLevel="1" x14ac:dyDescent="0.35">
      <c r="A313" s="273" t="s">
        <v>784</v>
      </c>
      <c r="B313" s="20">
        <v>8760</v>
      </c>
      <c r="C313" s="20" t="s">
        <v>785</v>
      </c>
    </row>
    <row r="314" spans="1:26" s="20" customFormat="1" outlineLevel="1" x14ac:dyDescent="0.35">
      <c r="A314" s="273"/>
    </row>
    <row r="315" spans="1:26" s="20" customFormat="1" outlineLevel="1" x14ac:dyDescent="0.35">
      <c r="A315" s="275" t="s">
        <v>786</v>
      </c>
      <c r="B315" s="275">
        <f>(B311*B312)/(B313*B310)</f>
        <v>17123.287671232876</v>
      </c>
      <c r="C315" s="275" t="s">
        <v>749</v>
      </c>
    </row>
    <row r="316" spans="1:26" s="20" customFormat="1" outlineLevel="1" x14ac:dyDescent="0.35">
      <c r="A316" s="19"/>
    </row>
    <row r="317" spans="1:26" s="20" customFormat="1" outlineLevel="1" x14ac:dyDescent="0.35">
      <c r="A317" s="19" t="s">
        <v>793</v>
      </c>
    </row>
    <row r="318" spans="1:26" s="20" customFormat="1" outlineLevel="1" x14ac:dyDescent="0.35">
      <c r="A318" s="273" t="s">
        <v>789</v>
      </c>
      <c r="B318" s="20">
        <f>SUM('Results - raw data ReCiPe (H)'!CC146:CC147)+'Results - raw data ReCiPe (H)'!CC150+SUM('Results - raw data ReCiPe (H)'!CC148:CC149)*AC267</f>
        <v>800.95711513329411</v>
      </c>
      <c r="C318" s="20" t="s">
        <v>873</v>
      </c>
    </row>
    <row r="319" spans="1:26" s="20" customFormat="1" outlineLevel="1" x14ac:dyDescent="0.35">
      <c r="A319" s="20" t="s">
        <v>792</v>
      </c>
      <c r="B319" s="20">
        <f>B311*AC325</f>
        <v>50000</v>
      </c>
      <c r="C319" s="274" t="s">
        <v>795</v>
      </c>
    </row>
    <row r="320" spans="1:26" s="20" customFormat="1" outlineLevel="1" x14ac:dyDescent="0.35">
      <c r="A320" s="20" t="s">
        <v>791</v>
      </c>
      <c r="B320" s="20">
        <f>(B318*AC327*B315)/(B319*AC326)*(AC326/AC328)</f>
        <v>82.290114568489116</v>
      </c>
      <c r="C320" s="20" t="s">
        <v>874</v>
      </c>
      <c r="E320" s="274" t="s">
        <v>796</v>
      </c>
    </row>
    <row r="321" spans="1:53" s="20" customFormat="1" outlineLevel="1" x14ac:dyDescent="0.35">
      <c r="A321" s="19"/>
    </row>
    <row r="322" spans="1:53" s="16" customFormat="1" outlineLevel="1" x14ac:dyDescent="0.35">
      <c r="A322" s="21"/>
      <c r="AB322" s="16" t="s">
        <v>801</v>
      </c>
      <c r="AC322" s="16">
        <v>1</v>
      </c>
      <c r="AD322" s="16" t="s">
        <v>146</v>
      </c>
      <c r="AE322" s="15" t="s">
        <v>714</v>
      </c>
    </row>
    <row r="323" spans="1:53" s="16" customFormat="1" outlineLevel="1" x14ac:dyDescent="0.35">
      <c r="A323" s="22" t="s">
        <v>566</v>
      </c>
      <c r="AC323" s="16">
        <f>AC322*1000</f>
        <v>1000</v>
      </c>
      <c r="AD323" s="16" t="s">
        <v>144</v>
      </c>
    </row>
    <row r="324" spans="1:53" s="16" customFormat="1" outlineLevel="1" x14ac:dyDescent="0.35">
      <c r="A324" s="22"/>
      <c r="AB324" s="16" t="s">
        <v>127</v>
      </c>
      <c r="AC324" s="16">
        <f>100*AC325</f>
        <v>50</v>
      </c>
      <c r="AD324" s="16" t="s">
        <v>128</v>
      </c>
    </row>
    <row r="325" spans="1:53" s="16" customFormat="1" outlineLevel="1" x14ac:dyDescent="0.35">
      <c r="A325" s="230"/>
      <c r="AB325" s="16" t="s">
        <v>776</v>
      </c>
      <c r="AC325" s="16">
        <v>0.5</v>
      </c>
    </row>
    <row r="326" spans="1:53" s="16" customFormat="1" outlineLevel="1" x14ac:dyDescent="0.35">
      <c r="A326" s="21"/>
      <c r="AB326" s="16" t="s">
        <v>129</v>
      </c>
      <c r="AC326" s="16">
        <v>25</v>
      </c>
      <c r="AD326" s="16" t="s">
        <v>130</v>
      </c>
    </row>
    <row r="327" spans="1:53" s="16" customFormat="1" outlineLevel="1" x14ac:dyDescent="0.35">
      <c r="A327" s="21"/>
      <c r="AB327" s="16" t="s">
        <v>777</v>
      </c>
      <c r="AC327" s="16">
        <v>6</v>
      </c>
      <c r="AD327" s="16" t="s">
        <v>779</v>
      </c>
    </row>
    <row r="328" spans="1:53" s="16" customFormat="1" outlineLevel="1" x14ac:dyDescent="0.35">
      <c r="A328" s="21"/>
      <c r="AB328" s="16" t="s">
        <v>778</v>
      </c>
      <c r="AC328" s="16">
        <v>20</v>
      </c>
      <c r="AD328" s="16" t="s">
        <v>130</v>
      </c>
    </row>
    <row r="329" spans="1:53" s="16" customFormat="1" outlineLevel="1" x14ac:dyDescent="0.35">
      <c r="AB329" s="16" t="s">
        <v>780</v>
      </c>
      <c r="AC329" s="16">
        <f>B315</f>
        <v>17123.287671232876</v>
      </c>
      <c r="AD329" s="16" t="s">
        <v>749</v>
      </c>
    </row>
    <row r="330" spans="1:53" s="16" customFormat="1" outlineLevel="1" x14ac:dyDescent="0.35">
      <c r="AB330" s="16" t="s">
        <v>820</v>
      </c>
      <c r="AC330" s="16">
        <v>0.5</v>
      </c>
    </row>
    <row r="331" spans="1:53" s="16" customFormat="1" outlineLevel="1" x14ac:dyDescent="0.35">
      <c r="AB331" s="16" t="s">
        <v>798</v>
      </c>
      <c r="AC331" s="16">
        <v>0.25</v>
      </c>
    </row>
    <row r="332" spans="1:53" s="16" customFormat="1" outlineLevel="1" x14ac:dyDescent="0.35">
      <c r="A332" s="22"/>
      <c r="AB332" s="16" t="s">
        <v>799</v>
      </c>
      <c r="AC332" s="16">
        <v>0.9</v>
      </c>
    </row>
    <row r="333" spans="1:53" outlineLevel="1" x14ac:dyDescent="0.35">
      <c r="B333" s="25">
        <v>2030</v>
      </c>
      <c r="C333" s="25">
        <v>2031</v>
      </c>
      <c r="D333" s="25">
        <v>2032</v>
      </c>
      <c r="E333" s="25">
        <v>2033</v>
      </c>
      <c r="F333" s="25">
        <v>2034</v>
      </c>
      <c r="G333" s="25">
        <v>2035</v>
      </c>
      <c r="H333" s="25">
        <v>2036</v>
      </c>
      <c r="I333" s="25">
        <v>2037</v>
      </c>
      <c r="J333" s="25">
        <v>2038</v>
      </c>
      <c r="K333" s="25">
        <v>2039</v>
      </c>
      <c r="L333" s="25">
        <v>2040</v>
      </c>
      <c r="M333" s="25">
        <v>2041</v>
      </c>
      <c r="N333" s="25">
        <v>2042</v>
      </c>
      <c r="O333" s="25">
        <v>2043</v>
      </c>
      <c r="P333" s="25">
        <v>2044</v>
      </c>
      <c r="Q333" s="25">
        <v>2045</v>
      </c>
      <c r="R333" s="25">
        <v>2046</v>
      </c>
      <c r="S333" s="25">
        <v>2047</v>
      </c>
      <c r="T333" s="25">
        <v>2048</v>
      </c>
      <c r="U333" s="25">
        <v>2049</v>
      </c>
      <c r="V333" s="25">
        <v>2050</v>
      </c>
      <c r="W333" s="25">
        <v>2051</v>
      </c>
      <c r="X333" s="25">
        <v>2052</v>
      </c>
      <c r="Y333" s="25">
        <v>2053</v>
      </c>
      <c r="Z333" s="25">
        <v>2054</v>
      </c>
      <c r="AC333" s="25">
        <v>2030</v>
      </c>
      <c r="AD333" s="25">
        <v>2031</v>
      </c>
      <c r="AE333" s="25">
        <v>2032</v>
      </c>
      <c r="AF333" s="25">
        <v>2033</v>
      </c>
      <c r="AG333" s="25">
        <v>2034</v>
      </c>
      <c r="AH333" s="25">
        <v>2035</v>
      </c>
      <c r="AI333" s="25">
        <v>2036</v>
      </c>
      <c r="AJ333" s="25">
        <v>2037</v>
      </c>
      <c r="AK333" s="25">
        <v>2038</v>
      </c>
      <c r="AL333" s="25">
        <v>2039</v>
      </c>
      <c r="AM333" s="25">
        <v>2040</v>
      </c>
      <c r="AN333" s="25">
        <v>2041</v>
      </c>
      <c r="AO333" s="25">
        <v>2042</v>
      </c>
      <c r="AP333" s="25">
        <v>2043</v>
      </c>
      <c r="AQ333" s="25">
        <v>2044</v>
      </c>
      <c r="AR333" s="25">
        <v>2045</v>
      </c>
      <c r="AS333" s="25">
        <v>2046</v>
      </c>
      <c r="AT333" s="25">
        <v>2047</v>
      </c>
      <c r="AU333" s="25">
        <v>2048</v>
      </c>
      <c r="AV333" s="25">
        <v>2049</v>
      </c>
      <c r="AW333" s="25">
        <v>2050</v>
      </c>
      <c r="AX333" s="25">
        <v>2051</v>
      </c>
      <c r="AY333" s="25">
        <v>2052</v>
      </c>
      <c r="AZ333" s="25">
        <v>2053</v>
      </c>
      <c r="BA333" s="25">
        <v>2054</v>
      </c>
    </row>
    <row r="334" spans="1:53" outlineLevel="1" x14ac:dyDescent="0.35">
      <c r="A334" s="6" t="s">
        <v>21</v>
      </c>
      <c r="B334" s="6">
        <f>B50</f>
        <v>664.0801386284005</v>
      </c>
      <c r="AB334" s="6" t="s">
        <v>117</v>
      </c>
      <c r="AC334" s="6">
        <f>SUM(B334:B345)+B347</f>
        <v>31378.879876764171</v>
      </c>
    </row>
    <row r="335" spans="1:53" outlineLevel="1" x14ac:dyDescent="0.35">
      <c r="A335" s="6" t="s">
        <v>23</v>
      </c>
      <c r="B335" s="6">
        <f t="shared" ref="B335:B345" si="41">B51</f>
        <v>880.72967752235445</v>
      </c>
      <c r="AB335" s="6" t="s">
        <v>118</v>
      </c>
      <c r="AC335" s="6">
        <f>B346</f>
        <v>1160.6778619998327</v>
      </c>
    </row>
    <row r="336" spans="1:53" outlineLevel="1" x14ac:dyDescent="0.35">
      <c r="A336" s="6" t="s">
        <v>26</v>
      </c>
      <c r="B336" s="6">
        <f t="shared" si="41"/>
        <v>2726.2435258181008</v>
      </c>
      <c r="AB336" s="6" t="s">
        <v>119</v>
      </c>
      <c r="BA336" s="6">
        <f>SUM(Z348:Z359)</f>
        <v>578.38595176265494</v>
      </c>
    </row>
    <row r="337" spans="1:53" outlineLevel="1" x14ac:dyDescent="0.35">
      <c r="A337" s="6" t="s">
        <v>28</v>
      </c>
      <c r="B337" s="6">
        <f t="shared" si="41"/>
        <v>2535.5148250076131</v>
      </c>
      <c r="AB337" s="6" t="s">
        <v>120</v>
      </c>
      <c r="BA337" s="6">
        <f>Z360</f>
        <v>10.479499779531061</v>
      </c>
    </row>
    <row r="338" spans="1:53" outlineLevel="1" x14ac:dyDescent="0.35">
      <c r="A338" s="6" t="s">
        <v>29</v>
      </c>
      <c r="B338" s="6">
        <f t="shared" si="41"/>
        <v>1516.390580972007</v>
      </c>
      <c r="AB338" s="6" t="s">
        <v>121</v>
      </c>
      <c r="AC338" s="6">
        <f>B361</f>
        <v>1148.3409729516229</v>
      </c>
      <c r="AF338" s="6">
        <f>E361</f>
        <v>1112.2182425813739</v>
      </c>
      <c r="AI338" s="6">
        <f>H361</f>
        <v>1076.9191461281321</v>
      </c>
      <c r="AL338" s="6">
        <f>K361</f>
        <v>1031.286216035297</v>
      </c>
      <c r="AO338" s="6">
        <f>N361</f>
        <v>977.44851845379105</v>
      </c>
      <c r="AR338" s="6">
        <f>Q361</f>
        <v>917.987027187487</v>
      </c>
      <c r="AU338" s="6">
        <f>T361</f>
        <v>875.86379727760391</v>
      </c>
      <c r="AX338" s="6">
        <f>W361</f>
        <v>846.3879160889735</v>
      </c>
      <c r="BA338" s="6">
        <f>Z361</f>
        <v>839.0363303143256</v>
      </c>
    </row>
    <row r="339" spans="1:53" outlineLevel="1" x14ac:dyDescent="0.35">
      <c r="A339" s="6" t="s">
        <v>31</v>
      </c>
      <c r="B339" s="6">
        <f t="shared" si="41"/>
        <v>1090.8211920973019</v>
      </c>
      <c r="AB339" s="6" t="s">
        <v>797</v>
      </c>
      <c r="AC339" s="6">
        <f>B365</f>
        <v>4114.5057284244558</v>
      </c>
      <c r="AD339" s="6">
        <f t="shared" ref="AD339:BA339" si="42">C365</f>
        <v>4114.5057284244558</v>
      </c>
      <c r="AE339" s="6">
        <f t="shared" si="42"/>
        <v>4114.5057284244558</v>
      </c>
      <c r="AF339" s="6">
        <f t="shared" si="42"/>
        <v>4114.5057284244558</v>
      </c>
      <c r="AG339" s="6">
        <f t="shared" si="42"/>
        <v>4114.5057284244558</v>
      </c>
      <c r="AH339" s="6">
        <f t="shared" si="42"/>
        <v>4114.5057284244558</v>
      </c>
      <c r="AI339" s="6">
        <f t="shared" si="42"/>
        <v>4114.5057284244558</v>
      </c>
      <c r="AJ339" s="6">
        <f t="shared" si="42"/>
        <v>4114.5057284244558</v>
      </c>
      <c r="AK339" s="6">
        <f t="shared" si="42"/>
        <v>4114.5057284244558</v>
      </c>
      <c r="AL339" s="6">
        <f t="shared" si="42"/>
        <v>4114.5057284244558</v>
      </c>
      <c r="AM339" s="6">
        <f t="shared" si="42"/>
        <v>4114.5057284244558</v>
      </c>
      <c r="AN339" s="6">
        <f t="shared" si="42"/>
        <v>4114.5057284244558</v>
      </c>
      <c r="AO339" s="6">
        <f t="shared" si="42"/>
        <v>4114.5057284244558</v>
      </c>
      <c r="AP339" s="6">
        <f t="shared" si="42"/>
        <v>4114.5057284244558</v>
      </c>
      <c r="AQ339" s="6">
        <f t="shared" si="42"/>
        <v>4114.5057284244558</v>
      </c>
      <c r="AR339" s="6">
        <f t="shared" si="42"/>
        <v>4114.5057284244558</v>
      </c>
      <c r="AS339" s="6">
        <f t="shared" si="42"/>
        <v>4114.5057284244558</v>
      </c>
      <c r="AT339" s="6">
        <f t="shared" si="42"/>
        <v>4114.5057284244558</v>
      </c>
      <c r="AU339" s="6">
        <f t="shared" si="42"/>
        <v>4114.5057284244558</v>
      </c>
      <c r="AV339" s="6">
        <f t="shared" si="42"/>
        <v>4114.5057284244558</v>
      </c>
      <c r="AW339" s="6">
        <f t="shared" si="42"/>
        <v>4114.5057284244558</v>
      </c>
      <c r="AX339" s="6">
        <f t="shared" si="42"/>
        <v>4114.5057284244558</v>
      </c>
      <c r="AY339" s="6">
        <f t="shared" si="42"/>
        <v>4114.5057284244558</v>
      </c>
      <c r="AZ339" s="6">
        <f t="shared" si="42"/>
        <v>4114.5057284244558</v>
      </c>
      <c r="BA339" s="6">
        <f t="shared" si="42"/>
        <v>4114.5057284244558</v>
      </c>
    </row>
    <row r="340" spans="1:53" outlineLevel="1" x14ac:dyDescent="0.35">
      <c r="A340" s="6" t="s">
        <v>34</v>
      </c>
      <c r="B340" s="6">
        <f t="shared" si="41"/>
        <v>720.17360726585548</v>
      </c>
      <c r="AB340" s="6" t="s">
        <v>122</v>
      </c>
      <c r="AC340" s="6">
        <f t="shared" ref="AC340:AV340" si="43">B364+B363</f>
        <v>3313.2534927617353</v>
      </c>
      <c r="AD340" s="6">
        <f t="shared" si="43"/>
        <v>3239.2026947697987</v>
      </c>
      <c r="AE340" s="6">
        <f t="shared" si="43"/>
        <v>3164.5240281555916</v>
      </c>
      <c r="AF340" s="6">
        <f t="shared" si="43"/>
        <v>3064.341512418373</v>
      </c>
      <c r="AG340" s="6">
        <f t="shared" si="43"/>
        <v>2988.6838258902621</v>
      </c>
      <c r="AH340" s="6">
        <f t="shared" si="43"/>
        <v>2912.405223199416</v>
      </c>
      <c r="AI340" s="6">
        <f t="shared" si="43"/>
        <v>2842.0069077299704</v>
      </c>
      <c r="AJ340" s="6">
        <f t="shared" si="43"/>
        <v>2777.195727888542</v>
      </c>
      <c r="AK340" s="6">
        <f t="shared" si="43"/>
        <v>2699.7264849987537</v>
      </c>
      <c r="AL340" s="6">
        <f t="shared" si="43"/>
        <v>2637.7492458362362</v>
      </c>
      <c r="AM340" s="6">
        <f t="shared" si="43"/>
        <v>2575.4588627098487</v>
      </c>
      <c r="AN340" s="6">
        <f t="shared" si="43"/>
        <v>2512.7013701418518</v>
      </c>
      <c r="AO340" s="6">
        <f t="shared" si="43"/>
        <v>2450.7214607923779</v>
      </c>
      <c r="AP340" s="6">
        <f t="shared" si="43"/>
        <v>2385.4975303762108</v>
      </c>
      <c r="AQ340" s="6">
        <f t="shared" si="43"/>
        <v>2325.1444141701259</v>
      </c>
      <c r="AR340" s="6">
        <f t="shared" si="43"/>
        <v>2265.6454568774971</v>
      </c>
      <c r="AS340" s="6">
        <f t="shared" si="43"/>
        <v>2223.2871447864327</v>
      </c>
      <c r="AT340" s="6">
        <f t="shared" si="43"/>
        <v>2181.872516864637</v>
      </c>
      <c r="AU340" s="6">
        <f t="shared" si="43"/>
        <v>2138.0676515326049</v>
      </c>
      <c r="AV340" s="6">
        <f t="shared" si="43"/>
        <v>2098.8526181997881</v>
      </c>
      <c r="AW340" s="6">
        <f>V364</f>
        <v>2061.4120163942912</v>
      </c>
      <c r="AX340" s="6">
        <f>W364</f>
        <v>2053.4092350889641</v>
      </c>
      <c r="AY340" s="6">
        <f>X364</f>
        <v>2043.2361129798248</v>
      </c>
      <c r="AZ340" s="6">
        <f>Y364</f>
        <v>2033.1659809171524</v>
      </c>
      <c r="BA340" s="6">
        <f>Z364</f>
        <v>2023.2055707318491</v>
      </c>
    </row>
    <row r="341" spans="1:53" outlineLevel="1" x14ac:dyDescent="0.35">
      <c r="A341" s="6" t="s">
        <v>36</v>
      </c>
      <c r="B341" s="6">
        <f t="shared" si="41"/>
        <v>600.64271598941855</v>
      </c>
      <c r="AB341" s="6" t="s">
        <v>123</v>
      </c>
      <c r="AC341" s="6">
        <f t="shared" ref="AC341:BA341" si="44">B362</f>
        <v>1271.48740546971</v>
      </c>
      <c r="AD341" s="6">
        <f t="shared" si="44"/>
        <v>1188.0954111511176</v>
      </c>
      <c r="AE341" s="6">
        <f t="shared" si="44"/>
        <v>1105.0991782406645</v>
      </c>
      <c r="AF341" s="6">
        <f t="shared" si="44"/>
        <v>1021.0544787761174</v>
      </c>
      <c r="AG341" s="6">
        <f t="shared" si="44"/>
        <v>938.82523876698554</v>
      </c>
      <c r="AH341" s="6">
        <f t="shared" si="44"/>
        <v>856.96586433444554</v>
      </c>
      <c r="AI341" s="6">
        <f t="shared" si="44"/>
        <v>792.07716970071203</v>
      </c>
      <c r="AJ341" s="6">
        <f t="shared" si="44"/>
        <v>727.44743232248595</v>
      </c>
      <c r="AK341" s="6">
        <f t="shared" si="44"/>
        <v>661.89102194503005</v>
      </c>
      <c r="AL341" s="6">
        <f t="shared" si="44"/>
        <v>597.59942637846405</v>
      </c>
      <c r="AM341" s="6">
        <f t="shared" si="44"/>
        <v>533.44881220923253</v>
      </c>
      <c r="AN341" s="6">
        <f t="shared" si="44"/>
        <v>481.79220259733421</v>
      </c>
      <c r="AO341" s="6">
        <f t="shared" si="44"/>
        <v>429.95783748999764</v>
      </c>
      <c r="AP341" s="6">
        <f t="shared" si="44"/>
        <v>377.70646478402637</v>
      </c>
      <c r="AQ341" s="6">
        <f t="shared" si="44"/>
        <v>325.52302105221389</v>
      </c>
      <c r="AR341" s="6">
        <f t="shared" si="44"/>
        <v>273.16740196767915</v>
      </c>
      <c r="AS341" s="6">
        <f t="shared" si="44"/>
        <v>244.69621278740027</v>
      </c>
      <c r="AT341" s="6">
        <f t="shared" si="44"/>
        <v>216.14810617991037</v>
      </c>
      <c r="AU341" s="6">
        <f t="shared" si="44"/>
        <v>187.3187862390472</v>
      </c>
      <c r="AV341" s="6">
        <f t="shared" si="44"/>
        <v>158.622203026926</v>
      </c>
      <c r="AW341" s="6">
        <f t="shared" si="44"/>
        <v>129.86146497011296</v>
      </c>
      <c r="AX341" s="6">
        <f t="shared" si="44"/>
        <v>119.65002435371946</v>
      </c>
      <c r="AY341" s="6">
        <f t="shared" si="44"/>
        <v>108.60063285961239</v>
      </c>
      <c r="AZ341" s="6">
        <f t="shared" si="44"/>
        <v>97.548580118090996</v>
      </c>
      <c r="BA341" s="6">
        <f t="shared" si="44"/>
        <v>86.492902419866098</v>
      </c>
    </row>
    <row r="342" spans="1:53" outlineLevel="1" x14ac:dyDescent="0.35">
      <c r="A342" s="6" t="s">
        <v>38</v>
      </c>
      <c r="B342" s="6">
        <f t="shared" si="41"/>
        <v>5471.4360123760534</v>
      </c>
      <c r="AB342" s="6" t="s">
        <v>124</v>
      </c>
      <c r="AC342" s="6">
        <f>-$AC$323*$AC$324</f>
        <v>-50000</v>
      </c>
      <c r="AD342" s="6">
        <f t="shared" ref="AD342:BA342" si="45">-$AC$323*$AC$324</f>
        <v>-50000</v>
      </c>
      <c r="AE342" s="6">
        <f t="shared" si="45"/>
        <v>-50000</v>
      </c>
      <c r="AF342" s="6">
        <f t="shared" si="45"/>
        <v>-50000</v>
      </c>
      <c r="AG342" s="6">
        <f t="shared" si="45"/>
        <v>-50000</v>
      </c>
      <c r="AH342" s="6">
        <f t="shared" si="45"/>
        <v>-50000</v>
      </c>
      <c r="AI342" s="6">
        <f t="shared" si="45"/>
        <v>-50000</v>
      </c>
      <c r="AJ342" s="6">
        <f t="shared" si="45"/>
        <v>-50000</v>
      </c>
      <c r="AK342" s="6">
        <f t="shared" si="45"/>
        <v>-50000</v>
      </c>
      <c r="AL342" s="6">
        <f t="shared" si="45"/>
        <v>-50000</v>
      </c>
      <c r="AM342" s="6">
        <f t="shared" si="45"/>
        <v>-50000</v>
      </c>
      <c r="AN342" s="6">
        <f t="shared" si="45"/>
        <v>-50000</v>
      </c>
      <c r="AO342" s="6">
        <f t="shared" si="45"/>
        <v>-50000</v>
      </c>
      <c r="AP342" s="6">
        <f t="shared" si="45"/>
        <v>-50000</v>
      </c>
      <c r="AQ342" s="6">
        <f t="shared" si="45"/>
        <v>-50000</v>
      </c>
      <c r="AR342" s="6">
        <f t="shared" si="45"/>
        <v>-50000</v>
      </c>
      <c r="AS342" s="6">
        <f t="shared" si="45"/>
        <v>-50000</v>
      </c>
      <c r="AT342" s="6">
        <f t="shared" si="45"/>
        <v>-50000</v>
      </c>
      <c r="AU342" s="6">
        <f t="shared" si="45"/>
        <v>-50000</v>
      </c>
      <c r="AV342" s="6">
        <f t="shared" si="45"/>
        <v>-50000</v>
      </c>
      <c r="AW342" s="6">
        <f t="shared" si="45"/>
        <v>-50000</v>
      </c>
      <c r="AX342" s="6">
        <f t="shared" si="45"/>
        <v>-50000</v>
      </c>
      <c r="AY342" s="6">
        <f t="shared" si="45"/>
        <v>-50000</v>
      </c>
      <c r="AZ342" s="6">
        <f t="shared" si="45"/>
        <v>-50000</v>
      </c>
      <c r="BA342" s="6">
        <f t="shared" si="45"/>
        <v>-50000</v>
      </c>
    </row>
    <row r="343" spans="1:53" outlineLevel="1" x14ac:dyDescent="0.35">
      <c r="A343" s="6" t="s">
        <v>39</v>
      </c>
      <c r="B343" s="6">
        <f t="shared" si="41"/>
        <v>10289.89043583642</v>
      </c>
      <c r="AB343" s="23" t="s">
        <v>125</v>
      </c>
      <c r="AC343" s="17">
        <f t="shared" ref="AC343:BA343" si="46">SUM(AC334:AC342)</f>
        <v>-7612.854661628473</v>
      </c>
      <c r="AD343" s="17">
        <f t="shared" si="46"/>
        <v>-41458.196165654626</v>
      </c>
      <c r="AE343" s="17">
        <f t="shared" si="46"/>
        <v>-41615.871065179286</v>
      </c>
      <c r="AF343" s="17">
        <f t="shared" si="46"/>
        <v>-40687.880037799681</v>
      </c>
      <c r="AG343" s="17">
        <f t="shared" si="46"/>
        <v>-41957.985206918296</v>
      </c>
      <c r="AH343" s="17">
        <f t="shared" si="46"/>
        <v>-42116.12318404168</v>
      </c>
      <c r="AI343" s="17">
        <f t="shared" si="46"/>
        <v>-41174.491048016731</v>
      </c>
      <c r="AJ343" s="17">
        <f t="shared" si="46"/>
        <v>-42380.851111364515</v>
      </c>
      <c r="AK343" s="17">
        <f t="shared" si="46"/>
        <v>-42523.876764631757</v>
      </c>
      <c r="AL343" s="17">
        <f t="shared" si="46"/>
        <v>-41618.859383325544</v>
      </c>
      <c r="AM343" s="17">
        <f t="shared" si="46"/>
        <v>-42776.58659665646</v>
      </c>
      <c r="AN343" s="17">
        <f t="shared" si="46"/>
        <v>-42891.00069883636</v>
      </c>
      <c r="AO343" s="17">
        <f t="shared" si="46"/>
        <v>-42027.366454839379</v>
      </c>
      <c r="AP343" s="17">
        <f t="shared" si="46"/>
        <v>-43122.290276415304</v>
      </c>
      <c r="AQ343" s="17">
        <f t="shared" si="46"/>
        <v>-43234.826836353204</v>
      </c>
      <c r="AR343" s="17">
        <f t="shared" si="46"/>
        <v>-42428.694385542884</v>
      </c>
      <c r="AS343" s="17">
        <f t="shared" si="46"/>
        <v>-43417.510914001708</v>
      </c>
      <c r="AT343" s="17">
        <f t="shared" si="46"/>
        <v>-43487.473648530999</v>
      </c>
      <c r="AU343" s="17">
        <f t="shared" si="46"/>
        <v>-42684.244036526288</v>
      </c>
      <c r="AV343" s="17">
        <f t="shared" si="46"/>
        <v>-43628.019450348831</v>
      </c>
      <c r="AW343" s="17">
        <f t="shared" si="46"/>
        <v>-43694.22079021114</v>
      </c>
      <c r="AX343" s="17">
        <f t="shared" si="46"/>
        <v>-42866.047096043883</v>
      </c>
      <c r="AY343" s="17">
        <f t="shared" si="46"/>
        <v>-43733.657525736111</v>
      </c>
      <c r="AZ343" s="17">
        <f t="shared" si="46"/>
        <v>-43754.779710540301</v>
      </c>
      <c r="BA343" s="17">
        <f t="shared" si="46"/>
        <v>-42347.894016567319</v>
      </c>
    </row>
    <row r="344" spans="1:53" outlineLevel="1" x14ac:dyDescent="0.35">
      <c r="A344" s="6" t="s">
        <v>41</v>
      </c>
      <c r="B344" s="6">
        <f t="shared" si="41"/>
        <v>149.83026646962881</v>
      </c>
    </row>
    <row r="345" spans="1:53" outlineLevel="1" x14ac:dyDescent="0.35">
      <c r="A345" s="6" t="s">
        <v>43</v>
      </c>
      <c r="B345" s="6">
        <f t="shared" si="41"/>
        <v>540.2049660112441</v>
      </c>
      <c r="AB345" s="272"/>
      <c r="AC345" s="272"/>
      <c r="AD345" s="272"/>
      <c r="AE345" s="272"/>
      <c r="AF345" s="272"/>
      <c r="AG345" s="272"/>
      <c r="AH345" s="272"/>
      <c r="AI345" s="272"/>
      <c r="AJ345" s="272"/>
      <c r="AK345" s="272"/>
      <c r="AL345" s="272"/>
      <c r="AM345" s="272"/>
      <c r="AN345" s="272"/>
      <c r="AO345" s="272"/>
      <c r="AP345" s="272"/>
      <c r="AQ345" s="272"/>
      <c r="AR345" s="272"/>
      <c r="AS345" s="272"/>
      <c r="AT345" s="272"/>
      <c r="AU345" s="272"/>
      <c r="AV345" s="272"/>
      <c r="AW345" s="272"/>
      <c r="AX345" s="272"/>
      <c r="AY345" s="272"/>
      <c r="AZ345" s="272"/>
      <c r="BA345" s="272"/>
    </row>
    <row r="346" spans="1:53" outlineLevel="1" x14ac:dyDescent="0.35">
      <c r="A346" s="6" t="s">
        <v>44</v>
      </c>
      <c r="B346" s="6">
        <f>B62*AC325</f>
        <v>1160.6778619998327</v>
      </c>
      <c r="AB346" s="272"/>
      <c r="AC346" s="272"/>
      <c r="AD346" s="272"/>
      <c r="AE346" s="272"/>
      <c r="AF346" s="272"/>
      <c r="AG346" s="272"/>
      <c r="AH346" s="272"/>
      <c r="AI346" s="272"/>
      <c r="AJ346" s="272"/>
      <c r="AK346" s="272"/>
      <c r="AL346" s="272"/>
      <c r="AM346" s="272"/>
      <c r="AN346" s="272"/>
      <c r="AO346" s="272"/>
      <c r="AP346" s="272"/>
      <c r="AQ346" s="272"/>
      <c r="AR346" s="272"/>
      <c r="AS346" s="272"/>
      <c r="AT346" s="272"/>
      <c r="AU346" s="272"/>
      <c r="AV346" s="272"/>
      <c r="AW346" s="272"/>
      <c r="AX346" s="272"/>
      <c r="AY346" s="272"/>
      <c r="AZ346" s="272"/>
      <c r="BA346" s="272"/>
    </row>
    <row r="347" spans="1:53" outlineLevel="1" x14ac:dyDescent="0.35">
      <c r="A347" s="6" t="s">
        <v>757</v>
      </c>
      <c r="B347" s="6">
        <f>B63*AC325</f>
        <v>4192.9219327697747</v>
      </c>
      <c r="AB347" s="272"/>
      <c r="AC347" s="272"/>
      <c r="AD347" s="272"/>
      <c r="AE347" s="272"/>
      <c r="AF347" s="272"/>
      <c r="AG347" s="272"/>
      <c r="AH347" s="272"/>
      <c r="AI347" s="272"/>
      <c r="AJ347" s="272"/>
      <c r="AK347" s="272"/>
      <c r="AL347" s="272"/>
      <c r="AM347" s="272"/>
      <c r="AN347" s="272"/>
      <c r="AO347" s="272"/>
      <c r="AP347" s="272"/>
      <c r="AQ347" s="272"/>
      <c r="AR347" s="272"/>
      <c r="AS347" s="272"/>
      <c r="AT347" s="272"/>
      <c r="AU347" s="272"/>
      <c r="AV347" s="272"/>
      <c r="AW347" s="272"/>
      <c r="AX347" s="272"/>
      <c r="AY347" s="272"/>
      <c r="AZ347" s="272"/>
      <c r="BA347" s="272"/>
    </row>
    <row r="348" spans="1:53" outlineLevel="1" x14ac:dyDescent="0.35">
      <c r="A348" s="6" t="s">
        <v>22</v>
      </c>
      <c r="Z348" s="6">
        <f>Z64</f>
        <v>17.809288110870401</v>
      </c>
      <c r="AB348" s="272"/>
      <c r="AC348" s="272"/>
      <c r="AD348" s="272"/>
      <c r="AE348" s="272"/>
      <c r="AF348" s="272"/>
      <c r="AG348" s="272"/>
      <c r="AH348" s="272"/>
      <c r="AI348" s="272"/>
      <c r="AJ348" s="272"/>
      <c r="AK348" s="272"/>
      <c r="AL348" s="272"/>
      <c r="AM348" s="272"/>
      <c r="AN348" s="272"/>
      <c r="AO348" s="272"/>
      <c r="AP348" s="272"/>
      <c r="AQ348" s="272"/>
      <c r="AR348" s="272"/>
      <c r="AS348" s="272"/>
      <c r="AT348" s="272"/>
      <c r="AU348" s="272"/>
      <c r="AV348" s="272"/>
      <c r="AW348" s="272"/>
      <c r="AX348" s="272"/>
      <c r="AY348" s="272"/>
      <c r="AZ348" s="272"/>
      <c r="BA348" s="272"/>
    </row>
    <row r="349" spans="1:53" outlineLevel="1" x14ac:dyDescent="0.35">
      <c r="A349" s="6" t="s">
        <v>24</v>
      </c>
      <c r="Z349" s="6">
        <f t="shared" ref="Z349:Z359" si="47">Z65</f>
        <v>6.4841516951127067</v>
      </c>
      <c r="AB349" s="272"/>
      <c r="AC349" s="272"/>
      <c r="AD349" s="272"/>
      <c r="AE349" s="272"/>
      <c r="AF349" s="272"/>
      <c r="AG349" s="272"/>
      <c r="AH349" s="272"/>
      <c r="AI349" s="272"/>
      <c r="AJ349" s="272"/>
      <c r="AK349" s="272"/>
      <c r="AL349" s="272"/>
      <c r="AM349" s="272"/>
      <c r="AN349" s="272"/>
      <c r="AO349" s="272"/>
      <c r="AP349" s="272"/>
      <c r="AQ349" s="272"/>
      <c r="AR349" s="272"/>
      <c r="AS349" s="272"/>
      <c r="AT349" s="272"/>
      <c r="AU349" s="272"/>
      <c r="AV349" s="272"/>
      <c r="AW349" s="272"/>
      <c r="AX349" s="272"/>
      <c r="AY349" s="272"/>
      <c r="AZ349" s="272"/>
      <c r="BA349" s="272"/>
    </row>
    <row r="350" spans="1:53" outlineLevel="1" x14ac:dyDescent="0.35">
      <c r="A350" s="6" t="s">
        <v>25</v>
      </c>
      <c r="Z350" s="6">
        <f t="shared" si="47"/>
        <v>20.396392714219459</v>
      </c>
      <c r="AB350" s="272"/>
      <c r="AC350" s="272"/>
      <c r="AD350" s="272"/>
      <c r="AE350" s="272"/>
      <c r="AF350" s="272"/>
      <c r="AG350" s="272"/>
      <c r="AH350" s="272"/>
      <c r="AI350" s="272"/>
      <c r="AJ350" s="272"/>
      <c r="AK350" s="272"/>
      <c r="AL350" s="272"/>
      <c r="AM350" s="272"/>
      <c r="AN350" s="272"/>
      <c r="AO350" s="272"/>
      <c r="AP350" s="272"/>
      <c r="AQ350" s="272"/>
      <c r="AR350" s="272"/>
      <c r="AS350" s="272"/>
      <c r="AT350" s="272"/>
      <c r="AU350" s="272"/>
      <c r="AV350" s="272"/>
      <c r="AW350" s="272"/>
      <c r="AX350" s="272"/>
      <c r="AY350" s="272"/>
      <c r="AZ350" s="272"/>
      <c r="BA350" s="272"/>
    </row>
    <row r="351" spans="1:53" outlineLevel="1" x14ac:dyDescent="0.35">
      <c r="A351" s="6" t="s">
        <v>27</v>
      </c>
      <c r="Z351" s="6">
        <f t="shared" si="47"/>
        <v>6.4516925251757771</v>
      </c>
      <c r="AB351" s="272"/>
      <c r="AC351" s="272"/>
      <c r="AD351" s="272"/>
      <c r="AE351" s="272"/>
      <c r="AF351" s="272"/>
      <c r="AG351" s="272"/>
      <c r="AH351" s="272"/>
      <c r="AI351" s="272"/>
      <c r="AJ351" s="272"/>
      <c r="AK351" s="272"/>
      <c r="AL351" s="272"/>
      <c r="AM351" s="272"/>
      <c r="AN351" s="272"/>
      <c r="AO351" s="272"/>
      <c r="AP351" s="272"/>
      <c r="AQ351" s="272"/>
      <c r="AR351" s="272"/>
      <c r="AS351" s="272"/>
      <c r="AT351" s="272"/>
      <c r="AU351" s="272"/>
      <c r="AV351" s="272"/>
      <c r="AW351" s="272"/>
      <c r="AX351" s="272"/>
      <c r="AY351" s="272"/>
      <c r="AZ351" s="272"/>
      <c r="BA351" s="272"/>
    </row>
    <row r="352" spans="1:53" outlineLevel="1" x14ac:dyDescent="0.35">
      <c r="A352" s="6" t="s">
        <v>30</v>
      </c>
      <c r="Z352" s="6">
        <f t="shared" si="47"/>
        <v>23.21195353922505</v>
      </c>
      <c r="AB352" s="272"/>
      <c r="AC352" s="272"/>
      <c r="AD352" s="272"/>
      <c r="AE352" s="272"/>
      <c r="AF352" s="272"/>
      <c r="AG352" s="272"/>
      <c r="AH352" s="272"/>
      <c r="AI352" s="272"/>
      <c r="AJ352" s="272"/>
      <c r="AK352" s="272"/>
      <c r="AL352" s="272"/>
      <c r="AM352" s="272"/>
      <c r="AN352" s="272"/>
      <c r="AO352" s="272"/>
      <c r="AP352" s="272"/>
      <c r="AQ352" s="272"/>
      <c r="AR352" s="272"/>
      <c r="AS352" s="272"/>
      <c r="AT352" s="272"/>
      <c r="AU352" s="272"/>
      <c r="AV352" s="272"/>
      <c r="AW352" s="272"/>
      <c r="AX352" s="272"/>
      <c r="AY352" s="272"/>
      <c r="AZ352" s="272"/>
      <c r="BA352" s="272"/>
    </row>
    <row r="353" spans="1:53" outlineLevel="1" x14ac:dyDescent="0.35">
      <c r="A353" s="6" t="s">
        <v>32</v>
      </c>
      <c r="Z353" s="6">
        <f t="shared" si="47"/>
        <v>0.71269773507552991</v>
      </c>
      <c r="AB353" s="272"/>
      <c r="AC353" s="272"/>
      <c r="AD353" s="272"/>
      <c r="AE353" s="272"/>
      <c r="AF353" s="272"/>
      <c r="AG353" s="272"/>
      <c r="AH353" s="272"/>
      <c r="AI353" s="272"/>
      <c r="AJ353" s="272"/>
      <c r="AK353" s="272"/>
      <c r="AL353" s="272"/>
      <c r="AM353" s="272"/>
      <c r="AN353" s="272"/>
      <c r="AO353" s="272"/>
      <c r="AP353" s="272"/>
      <c r="AQ353" s="272"/>
      <c r="AR353" s="272"/>
      <c r="AS353" s="272"/>
      <c r="AT353" s="272"/>
      <c r="AU353" s="272"/>
      <c r="AV353" s="272"/>
      <c r="AW353" s="272"/>
      <c r="AX353" s="272"/>
      <c r="AY353" s="272"/>
      <c r="AZ353" s="272"/>
      <c r="BA353" s="272"/>
    </row>
    <row r="354" spans="1:53" outlineLevel="1" x14ac:dyDescent="0.35">
      <c r="A354" s="6" t="s">
        <v>33</v>
      </c>
      <c r="Z354" s="6">
        <f t="shared" si="47"/>
        <v>5.512756844731129</v>
      </c>
      <c r="AB354" s="272"/>
      <c r="AC354" s="272"/>
      <c r="AD354" s="272"/>
      <c r="AE354" s="272"/>
      <c r="AF354" s="272"/>
      <c r="AG354" s="272"/>
      <c r="AH354" s="272"/>
      <c r="AI354" s="272"/>
      <c r="AJ354" s="272"/>
      <c r="AK354" s="272"/>
      <c r="AL354" s="272"/>
      <c r="AM354" s="272"/>
      <c r="AN354" s="272"/>
      <c r="AO354" s="272"/>
      <c r="AP354" s="272"/>
      <c r="AQ354" s="272"/>
      <c r="AR354" s="272"/>
      <c r="AS354" s="272"/>
      <c r="AT354" s="272"/>
      <c r="AU354" s="272"/>
      <c r="AV354" s="272"/>
      <c r="AW354" s="272"/>
      <c r="AX354" s="272"/>
      <c r="AY354" s="272"/>
      <c r="AZ354" s="272"/>
      <c r="BA354" s="272"/>
    </row>
    <row r="355" spans="1:53" outlineLevel="1" x14ac:dyDescent="0.35">
      <c r="A355" s="6" t="s">
        <v>35</v>
      </c>
      <c r="Z355" s="6">
        <f t="shared" si="47"/>
        <v>11.02551368946226</v>
      </c>
      <c r="AB355" s="272"/>
      <c r="AC355" s="272"/>
      <c r="AD355" s="272"/>
      <c r="AE355" s="272"/>
      <c r="AF355" s="272"/>
      <c r="AG355" s="272"/>
      <c r="AH355" s="272"/>
      <c r="AI355" s="272"/>
      <c r="AJ355" s="272"/>
      <c r="AK355" s="272"/>
      <c r="AL355" s="272"/>
      <c r="AM355" s="272"/>
      <c r="AN355" s="272"/>
      <c r="AO355" s="272"/>
      <c r="AP355" s="272"/>
      <c r="AQ355" s="272"/>
      <c r="AR355" s="272"/>
      <c r="AS355" s="272"/>
      <c r="AT355" s="272"/>
      <c r="AU355" s="272"/>
      <c r="AV355" s="272"/>
      <c r="AW355" s="272"/>
      <c r="AX355" s="272"/>
      <c r="AY355" s="272"/>
      <c r="AZ355" s="272"/>
      <c r="BA355" s="272"/>
    </row>
    <row r="356" spans="1:53" outlineLevel="1" x14ac:dyDescent="0.35">
      <c r="A356" s="6" t="s">
        <v>37</v>
      </c>
      <c r="Z356" s="6">
        <f t="shared" si="47"/>
        <v>11.4624592345025</v>
      </c>
      <c r="AB356" s="272"/>
      <c r="AC356" s="272"/>
      <c r="AD356" s="272"/>
      <c r="AE356" s="272"/>
      <c r="AF356" s="272"/>
      <c r="AG356" s="272"/>
      <c r="AH356" s="272"/>
      <c r="AI356" s="272"/>
      <c r="AJ356" s="272"/>
      <c r="AK356" s="272"/>
      <c r="AL356" s="272"/>
      <c r="AM356" s="272"/>
      <c r="AN356" s="272"/>
      <c r="AO356" s="272"/>
      <c r="AP356" s="272"/>
      <c r="AQ356" s="272"/>
      <c r="AR356" s="272"/>
      <c r="AS356" s="272"/>
      <c r="AT356" s="272"/>
      <c r="AU356" s="272"/>
      <c r="AV356" s="272"/>
      <c r="AW356" s="272"/>
      <c r="AX356" s="272"/>
      <c r="AY356" s="272"/>
      <c r="AZ356" s="272"/>
      <c r="BA356" s="272"/>
    </row>
    <row r="357" spans="1:53" outlineLevel="1" x14ac:dyDescent="0.35">
      <c r="A357" s="6" t="s">
        <v>40</v>
      </c>
      <c r="Z357" s="6">
        <f t="shared" si="47"/>
        <v>278.45924154762872</v>
      </c>
    </row>
    <row r="358" spans="1:53" outlineLevel="1" x14ac:dyDescent="0.35">
      <c r="A358" s="6" t="s">
        <v>42</v>
      </c>
      <c r="Z358" s="6">
        <f t="shared" si="47"/>
        <v>24.547181732291531</v>
      </c>
    </row>
    <row r="359" spans="1:53" outlineLevel="1" x14ac:dyDescent="0.35">
      <c r="A359" s="6" t="s">
        <v>115</v>
      </c>
      <c r="Z359" s="6">
        <f t="shared" si="47"/>
        <v>172.31262239435989</v>
      </c>
    </row>
    <row r="360" spans="1:53" outlineLevel="1" x14ac:dyDescent="0.35">
      <c r="A360" s="6" t="s">
        <v>45</v>
      </c>
      <c r="Z360" s="6">
        <f>Z76*AC325</f>
        <v>10.479499779531061</v>
      </c>
    </row>
    <row r="361" spans="1:53" outlineLevel="1" x14ac:dyDescent="0.35">
      <c r="A361" s="6" t="s">
        <v>116</v>
      </c>
      <c r="B361" s="6">
        <f>B77</f>
        <v>1148.3409729516229</v>
      </c>
      <c r="C361" s="6">
        <f t="shared" ref="C361:Z361" si="48">C77</f>
        <v>1138.060168440604</v>
      </c>
      <c r="D361" s="6">
        <f t="shared" si="48"/>
        <v>1127.7127066101459</v>
      </c>
      <c r="E361" s="6">
        <f t="shared" si="48"/>
        <v>1112.2182425813739</v>
      </c>
      <c r="F361" s="6">
        <f t="shared" si="48"/>
        <v>1101.723968475133</v>
      </c>
      <c r="G361" s="6">
        <f t="shared" si="48"/>
        <v>1091.139656450338</v>
      </c>
      <c r="H361" s="6">
        <f t="shared" si="48"/>
        <v>1076.9191461281321</v>
      </c>
      <c r="I361" s="6">
        <f t="shared" si="48"/>
        <v>1062.730546817681</v>
      </c>
      <c r="J361" s="6">
        <f t="shared" si="48"/>
        <v>1045.4717263922239</v>
      </c>
      <c r="K361" s="6">
        <f t="shared" si="48"/>
        <v>1031.286216035297</v>
      </c>
      <c r="L361" s="6">
        <f t="shared" si="48"/>
        <v>1017.05516653554</v>
      </c>
      <c r="M361" s="6">
        <f t="shared" si="48"/>
        <v>997.19821038309715</v>
      </c>
      <c r="N361" s="6">
        <f t="shared" si="48"/>
        <v>977.44851845379105</v>
      </c>
      <c r="O361" s="6">
        <f t="shared" si="48"/>
        <v>956.93102796878463</v>
      </c>
      <c r="P361" s="6">
        <f t="shared" si="48"/>
        <v>937.40861002536712</v>
      </c>
      <c r="Q361" s="6">
        <f t="shared" si="48"/>
        <v>917.987027187487</v>
      </c>
      <c r="R361" s="6">
        <f t="shared" si="48"/>
        <v>904.09536731961418</v>
      </c>
      <c r="S361" s="6">
        <f t="shared" si="48"/>
        <v>890.28838396677645</v>
      </c>
      <c r="T361" s="6">
        <f t="shared" si="48"/>
        <v>875.86379727760391</v>
      </c>
      <c r="U361" s="6">
        <f t="shared" si="48"/>
        <v>862.23848950309525</v>
      </c>
      <c r="V361" s="6">
        <f t="shared" si="48"/>
        <v>848.69548558566385</v>
      </c>
      <c r="W361" s="6">
        <f t="shared" si="48"/>
        <v>846.3879160889735</v>
      </c>
      <c r="X361" s="6">
        <f t="shared" si="48"/>
        <v>843.918831246026</v>
      </c>
      <c r="Y361" s="6">
        <f t="shared" si="48"/>
        <v>841.46837575009522</v>
      </c>
      <c r="Z361" s="6">
        <f t="shared" si="48"/>
        <v>839.0363303143256</v>
      </c>
    </row>
    <row r="362" spans="1:53" outlineLevel="1" x14ac:dyDescent="0.35">
      <c r="A362" s="6" t="s">
        <v>758</v>
      </c>
      <c r="B362" s="6">
        <f>B78*$AC$325</f>
        <v>1271.48740546971</v>
      </c>
      <c r="C362" s="6">
        <f t="shared" ref="C362:Z363" si="49">C78*$AC$325</f>
        <v>1188.0954111511176</v>
      </c>
      <c r="D362" s="6">
        <f t="shared" si="49"/>
        <v>1105.0991782406645</v>
      </c>
      <c r="E362" s="6">
        <f t="shared" si="49"/>
        <v>1021.0544787761174</v>
      </c>
      <c r="F362" s="6">
        <f t="shared" si="49"/>
        <v>938.82523876698554</v>
      </c>
      <c r="G362" s="6">
        <f t="shared" si="49"/>
        <v>856.96586433444554</v>
      </c>
      <c r="H362" s="6">
        <f t="shared" si="49"/>
        <v>792.07716970071203</v>
      </c>
      <c r="I362" s="6">
        <f t="shared" si="49"/>
        <v>727.44743232248595</v>
      </c>
      <c r="J362" s="6">
        <f t="shared" si="49"/>
        <v>661.89102194503005</v>
      </c>
      <c r="K362" s="6">
        <f t="shared" si="49"/>
        <v>597.59942637846405</v>
      </c>
      <c r="L362" s="6">
        <f t="shared" si="49"/>
        <v>533.44881220923253</v>
      </c>
      <c r="M362" s="6">
        <f t="shared" si="49"/>
        <v>481.79220259733421</v>
      </c>
      <c r="N362" s="6">
        <f t="shared" si="49"/>
        <v>429.95783748999764</v>
      </c>
      <c r="O362" s="6">
        <f t="shared" si="49"/>
        <v>377.70646478402637</v>
      </c>
      <c r="P362" s="6">
        <f t="shared" si="49"/>
        <v>325.52302105221389</v>
      </c>
      <c r="Q362" s="6">
        <f t="shared" si="49"/>
        <v>273.16740196767915</v>
      </c>
      <c r="R362" s="6">
        <f t="shared" si="49"/>
        <v>244.69621278740027</v>
      </c>
      <c r="S362" s="6">
        <f t="shared" si="49"/>
        <v>216.14810617991037</v>
      </c>
      <c r="T362" s="6">
        <f t="shared" si="49"/>
        <v>187.3187862390472</v>
      </c>
      <c r="U362" s="6">
        <f t="shared" si="49"/>
        <v>158.622203026926</v>
      </c>
      <c r="V362" s="6">
        <f t="shared" si="49"/>
        <v>129.86146497011296</v>
      </c>
      <c r="W362" s="6">
        <f t="shared" si="49"/>
        <v>119.65002435371946</v>
      </c>
      <c r="X362" s="6">
        <f t="shared" si="49"/>
        <v>108.60063285961239</v>
      </c>
      <c r="Y362" s="6">
        <f t="shared" si="49"/>
        <v>97.548580118090996</v>
      </c>
      <c r="Z362" s="6">
        <f t="shared" si="49"/>
        <v>86.492902419866098</v>
      </c>
    </row>
    <row r="363" spans="1:53" outlineLevel="1" x14ac:dyDescent="0.35">
      <c r="A363" s="6" t="s">
        <v>759</v>
      </c>
      <c r="B363" s="6">
        <f>B79*$AC$325</f>
        <v>0</v>
      </c>
      <c r="C363" s="6">
        <f t="shared" si="49"/>
        <v>0</v>
      </c>
      <c r="D363" s="6">
        <f t="shared" si="49"/>
        <v>0</v>
      </c>
      <c r="E363" s="6">
        <f t="shared" si="49"/>
        <v>0</v>
      </c>
      <c r="F363" s="6">
        <f t="shared" si="49"/>
        <v>0</v>
      </c>
      <c r="G363" s="6">
        <f t="shared" si="49"/>
        <v>0</v>
      </c>
      <c r="H363" s="6">
        <f t="shared" si="49"/>
        <v>0</v>
      </c>
      <c r="I363" s="6">
        <f t="shared" si="49"/>
        <v>0</v>
      </c>
      <c r="J363" s="6">
        <f t="shared" si="49"/>
        <v>0</v>
      </c>
      <c r="K363" s="6">
        <f t="shared" si="49"/>
        <v>0</v>
      </c>
      <c r="L363" s="6">
        <f t="shared" si="49"/>
        <v>0</v>
      </c>
      <c r="M363" s="6">
        <f t="shared" si="49"/>
        <v>0</v>
      </c>
      <c r="N363" s="6">
        <f t="shared" si="49"/>
        <v>0</v>
      </c>
      <c r="O363" s="6">
        <f t="shared" si="49"/>
        <v>0</v>
      </c>
      <c r="P363" s="6">
        <f t="shared" si="49"/>
        <v>0</v>
      </c>
      <c r="Q363" s="6">
        <f t="shared" si="49"/>
        <v>0</v>
      </c>
      <c r="R363" s="6">
        <f t="shared" si="49"/>
        <v>0</v>
      </c>
      <c r="S363" s="6">
        <f t="shared" si="49"/>
        <v>0</v>
      </c>
      <c r="T363" s="6">
        <f t="shared" si="49"/>
        <v>0</v>
      </c>
      <c r="U363" s="6">
        <f t="shared" si="49"/>
        <v>0</v>
      </c>
      <c r="V363" s="6">
        <f t="shared" si="49"/>
        <v>0</v>
      </c>
      <c r="W363" s="6">
        <f t="shared" si="49"/>
        <v>0</v>
      </c>
      <c r="X363" s="6">
        <f t="shared" si="49"/>
        <v>0</v>
      </c>
      <c r="Y363" s="6">
        <f t="shared" si="49"/>
        <v>0</v>
      </c>
      <c r="Z363" s="6">
        <f t="shared" si="49"/>
        <v>0</v>
      </c>
    </row>
    <row r="364" spans="1:53" outlineLevel="1" x14ac:dyDescent="0.35">
      <c r="A364" s="6" t="s">
        <v>760</v>
      </c>
      <c r="B364" s="6">
        <f>$B$252*$AC$324*'Results - raw data ReCiPe (H)'!CC121/(1-$AC$330)*(1+'Results ReCiPe (H) - HHD'!$AC$271/'Results ReCiPe (H) - HHD'!$AC$272-'Results ReCiPe (H) - HHD'!$AC$271)</f>
        <v>3313.2534927617353</v>
      </c>
      <c r="C364" s="6">
        <f>$B$252*$AC$324*'Results - raw data ReCiPe (H)'!CD121/(1-$AC$330)*(1+'Results ReCiPe (H) - HHD'!$AC$271/'Results ReCiPe (H) - HHD'!$AC$272-'Results ReCiPe (H) - HHD'!$AC$271)</f>
        <v>3239.2026947697987</v>
      </c>
      <c r="D364" s="6">
        <f>$B$252*$AC$324*'Results - raw data ReCiPe (H)'!CE121/(1-$AC$330)*(1+'Results ReCiPe (H) - HHD'!$AC$271/'Results ReCiPe (H) - HHD'!$AC$272-'Results ReCiPe (H) - HHD'!$AC$271)</f>
        <v>3164.5240281555916</v>
      </c>
      <c r="E364" s="6">
        <f>$B$252*$AC$324*'Results - raw data ReCiPe (H)'!CF121/(1-$AC$330)*(1+'Results ReCiPe (H) - HHD'!$AC$271/'Results ReCiPe (H) - HHD'!$AC$272-'Results ReCiPe (H) - HHD'!$AC$271)</f>
        <v>3064.341512418373</v>
      </c>
      <c r="F364" s="6">
        <f>$B$252*$AC$324*'Results - raw data ReCiPe (H)'!CG121/(1-$AC$330)*(1+'Results ReCiPe (H) - HHD'!$AC$271/'Results ReCiPe (H) - HHD'!$AC$272-'Results ReCiPe (H) - HHD'!$AC$271)</f>
        <v>2988.6838258902621</v>
      </c>
      <c r="G364" s="6">
        <f>$B$252*$AC$324*'Results - raw data ReCiPe (H)'!CH121/(1-$AC$330)*(1+'Results ReCiPe (H) - HHD'!$AC$271/'Results ReCiPe (H) - HHD'!$AC$272-'Results ReCiPe (H) - HHD'!$AC$271)</f>
        <v>2912.405223199416</v>
      </c>
      <c r="H364" s="6">
        <f>$B$252*$AC$324*'Results - raw data ReCiPe (H)'!CI121/(1-$AC$330)*(1+'Results ReCiPe (H) - HHD'!$AC$271/'Results ReCiPe (H) - HHD'!$AC$272-'Results ReCiPe (H) - HHD'!$AC$271)</f>
        <v>2842.0069077299704</v>
      </c>
      <c r="I364" s="6">
        <f>$B$252*$AC$324*'Results - raw data ReCiPe (H)'!CJ121/(1-$AC$330)*(1+'Results ReCiPe (H) - HHD'!$AC$271/'Results ReCiPe (H) - HHD'!$AC$272-'Results ReCiPe (H) - HHD'!$AC$271)</f>
        <v>2777.195727888542</v>
      </c>
      <c r="J364" s="6">
        <f>$B$252*$AC$324*'Results - raw data ReCiPe (H)'!CK121/(1-$AC$330)*(1+'Results ReCiPe (H) - HHD'!$AC$271/'Results ReCiPe (H) - HHD'!$AC$272-'Results ReCiPe (H) - HHD'!$AC$271)</f>
        <v>2699.7264849987537</v>
      </c>
      <c r="K364" s="6">
        <f>$B$252*$AC$324*'Results - raw data ReCiPe (H)'!CL121/(1-$AC$330)*(1+'Results ReCiPe (H) - HHD'!$AC$271/'Results ReCiPe (H) - HHD'!$AC$272-'Results ReCiPe (H) - HHD'!$AC$271)</f>
        <v>2637.7492458362362</v>
      </c>
      <c r="L364" s="6">
        <f>$B$252*$AC$324*'Results - raw data ReCiPe (H)'!CM121/(1-$AC$330)*(1+'Results ReCiPe (H) - HHD'!$AC$271/'Results ReCiPe (H) - HHD'!$AC$272-'Results ReCiPe (H) - HHD'!$AC$271)</f>
        <v>2575.4588627098487</v>
      </c>
      <c r="M364" s="6">
        <f>$B$252*$AC$324*'Results - raw data ReCiPe (H)'!CN121/(1-$AC$330)*(1+'Results ReCiPe (H) - HHD'!$AC$271/'Results ReCiPe (H) - HHD'!$AC$272-'Results ReCiPe (H) - HHD'!$AC$271)</f>
        <v>2512.7013701418518</v>
      </c>
      <c r="N364" s="6">
        <f>$B$252*$AC$324*'Results - raw data ReCiPe (H)'!CO121/(1-$AC$330)*(1+'Results ReCiPe (H) - HHD'!$AC$271/'Results ReCiPe (H) - HHD'!$AC$272-'Results ReCiPe (H) - HHD'!$AC$271)</f>
        <v>2450.7214607923779</v>
      </c>
      <c r="O364" s="6">
        <f>$B$252*$AC$324*'Results - raw data ReCiPe (H)'!CP121/(1-$AC$330)*(1+'Results ReCiPe (H) - HHD'!$AC$271/'Results ReCiPe (H) - HHD'!$AC$272-'Results ReCiPe (H) - HHD'!$AC$271)</f>
        <v>2385.4975303762108</v>
      </c>
      <c r="P364" s="6">
        <f>$B$252*$AC$324*'Results - raw data ReCiPe (H)'!CQ121/(1-$AC$330)*(1+'Results ReCiPe (H) - HHD'!$AC$271/'Results ReCiPe (H) - HHD'!$AC$272-'Results ReCiPe (H) - HHD'!$AC$271)</f>
        <v>2325.1444141701259</v>
      </c>
      <c r="Q364" s="6">
        <f>$B$252*$AC$324*'Results - raw data ReCiPe (H)'!CR121/(1-$AC$330)*(1+'Results ReCiPe (H) - HHD'!$AC$271/'Results ReCiPe (H) - HHD'!$AC$272-'Results ReCiPe (H) - HHD'!$AC$271)</f>
        <v>2265.6454568774971</v>
      </c>
      <c r="R364" s="6">
        <f>$B$252*$AC$324*'Results - raw data ReCiPe (H)'!CS121/(1-$AC$330)*(1+'Results ReCiPe (H) - HHD'!$AC$271/'Results ReCiPe (H) - HHD'!$AC$272-'Results ReCiPe (H) - HHD'!$AC$271)</f>
        <v>2223.2871447864327</v>
      </c>
      <c r="S364" s="6">
        <f>$B$252*$AC$324*'Results - raw data ReCiPe (H)'!CT121/(1-$AC$330)*(1+'Results ReCiPe (H) - HHD'!$AC$271/'Results ReCiPe (H) - HHD'!$AC$272-'Results ReCiPe (H) - HHD'!$AC$271)</f>
        <v>2181.872516864637</v>
      </c>
      <c r="T364" s="6">
        <f>$B$252*$AC$324*'Results - raw data ReCiPe (H)'!CU121/(1-$AC$330)*(1+'Results ReCiPe (H) - HHD'!$AC$271/'Results ReCiPe (H) - HHD'!$AC$272-'Results ReCiPe (H) - HHD'!$AC$271)</f>
        <v>2138.0676515326049</v>
      </c>
      <c r="U364" s="6">
        <f>$B$252*$AC$324*'Results - raw data ReCiPe (H)'!CV121/(1-$AC$330)*(1+'Results ReCiPe (H) - HHD'!$AC$271/'Results ReCiPe (H) - HHD'!$AC$272-'Results ReCiPe (H) - HHD'!$AC$271)</f>
        <v>2098.8526181997881</v>
      </c>
      <c r="V364" s="6">
        <f>$B$252*$AC$324*'Results - raw data ReCiPe (H)'!CW121/(1-$AC$330)*(1+'Results ReCiPe (H) - HHD'!$AC$271/'Results ReCiPe (H) - HHD'!$AC$272-'Results ReCiPe (H) - HHD'!$AC$271)</f>
        <v>2061.4120163942912</v>
      </c>
      <c r="W364" s="6">
        <f>$B$252*$AC$324*'Results - raw data ReCiPe (H)'!CX121/(1-$AC$330)*(1+'Results ReCiPe (H) - HHD'!$AC$271/'Results ReCiPe (H) - HHD'!$AC$272-'Results ReCiPe (H) - HHD'!$AC$271)</f>
        <v>2053.4092350889641</v>
      </c>
      <c r="X364" s="6">
        <f>$B$252*$AC$324*'Results - raw data ReCiPe (H)'!CY121/(1-$AC$330)*(1+'Results ReCiPe (H) - HHD'!$AC$271/'Results ReCiPe (H) - HHD'!$AC$272-'Results ReCiPe (H) - HHD'!$AC$271)</f>
        <v>2043.2361129798248</v>
      </c>
      <c r="Y364" s="6">
        <f>$B$252*$AC$324*'Results - raw data ReCiPe (H)'!CZ121/(1-$AC$330)*(1+'Results ReCiPe (H) - HHD'!$AC$271/'Results ReCiPe (H) - HHD'!$AC$272-'Results ReCiPe (H) - HHD'!$AC$271)</f>
        <v>2033.1659809171524</v>
      </c>
      <c r="Z364" s="6">
        <f>$B$252*$AC$324*'Results - raw data ReCiPe (H)'!DA121/(1-$AC$330)*(1+'Results ReCiPe (H) - HHD'!$AC$271/'Results ReCiPe (H) - HHD'!$AC$272-'Results ReCiPe (H) - HHD'!$AC$271)</f>
        <v>2023.2055707318491</v>
      </c>
    </row>
    <row r="365" spans="1:53" outlineLevel="1" x14ac:dyDescent="0.35">
      <c r="A365" s="6" t="s">
        <v>797</v>
      </c>
      <c r="B365" s="6">
        <f>$B$320*$AC$324</f>
        <v>4114.5057284244558</v>
      </c>
      <c r="C365" s="6">
        <f t="shared" ref="C365:Z365" si="50">$B$320*$AC$324</f>
        <v>4114.5057284244558</v>
      </c>
      <c r="D365" s="6">
        <f t="shared" si="50"/>
        <v>4114.5057284244558</v>
      </c>
      <c r="E365" s="6">
        <f t="shared" si="50"/>
        <v>4114.5057284244558</v>
      </c>
      <c r="F365" s="6">
        <f t="shared" si="50"/>
        <v>4114.5057284244558</v>
      </c>
      <c r="G365" s="6">
        <f t="shared" si="50"/>
        <v>4114.5057284244558</v>
      </c>
      <c r="H365" s="6">
        <f t="shared" si="50"/>
        <v>4114.5057284244558</v>
      </c>
      <c r="I365" s="6">
        <f t="shared" si="50"/>
        <v>4114.5057284244558</v>
      </c>
      <c r="J365" s="6">
        <f t="shared" si="50"/>
        <v>4114.5057284244558</v>
      </c>
      <c r="K365" s="6">
        <f t="shared" si="50"/>
        <v>4114.5057284244558</v>
      </c>
      <c r="L365" s="6">
        <f t="shared" si="50"/>
        <v>4114.5057284244558</v>
      </c>
      <c r="M365" s="6">
        <f t="shared" si="50"/>
        <v>4114.5057284244558</v>
      </c>
      <c r="N365" s="6">
        <f t="shared" si="50"/>
        <v>4114.5057284244558</v>
      </c>
      <c r="O365" s="6">
        <f t="shared" si="50"/>
        <v>4114.5057284244558</v>
      </c>
      <c r="P365" s="6">
        <f t="shared" si="50"/>
        <v>4114.5057284244558</v>
      </c>
      <c r="Q365" s="6">
        <f t="shared" si="50"/>
        <v>4114.5057284244558</v>
      </c>
      <c r="R365" s="6">
        <f t="shared" si="50"/>
        <v>4114.5057284244558</v>
      </c>
      <c r="S365" s="6">
        <f t="shared" si="50"/>
        <v>4114.5057284244558</v>
      </c>
      <c r="T365" s="6">
        <f t="shared" si="50"/>
        <v>4114.5057284244558</v>
      </c>
      <c r="U365" s="6">
        <f t="shared" si="50"/>
        <v>4114.5057284244558</v>
      </c>
      <c r="V365" s="6">
        <f t="shared" si="50"/>
        <v>4114.5057284244558</v>
      </c>
      <c r="W365" s="6">
        <f t="shared" si="50"/>
        <v>4114.5057284244558</v>
      </c>
      <c r="X365" s="6">
        <f t="shared" si="50"/>
        <v>4114.5057284244558</v>
      </c>
      <c r="Y365" s="6">
        <f t="shared" si="50"/>
        <v>4114.5057284244558</v>
      </c>
      <c r="Z365" s="6">
        <f t="shared" si="50"/>
        <v>4114.5057284244558</v>
      </c>
    </row>
    <row r="366" spans="1:53" outlineLevel="1" x14ac:dyDescent="0.35">
      <c r="A366" s="23" t="s">
        <v>125</v>
      </c>
      <c r="B366" s="17">
        <f>SUM(B334:B364)</f>
        <v>38272.639609947073</v>
      </c>
      <c r="C366" s="17">
        <f t="shared" ref="C366:Z366" si="51">SUM(C334:C364)</f>
        <v>5565.3582743615207</v>
      </c>
      <c r="D366" s="17">
        <f t="shared" si="51"/>
        <v>5397.3359130064018</v>
      </c>
      <c r="E366" s="17">
        <f t="shared" si="51"/>
        <v>5197.6142337758647</v>
      </c>
      <c r="F366" s="17">
        <f t="shared" si="51"/>
        <v>5029.233033132381</v>
      </c>
      <c r="G366" s="17">
        <f t="shared" si="51"/>
        <v>4860.5107439841995</v>
      </c>
      <c r="H366" s="17">
        <f t="shared" si="51"/>
        <v>4711.0032235588151</v>
      </c>
      <c r="I366" s="17">
        <f t="shared" si="51"/>
        <v>4567.3737070287088</v>
      </c>
      <c r="J366" s="17">
        <f t="shared" si="51"/>
        <v>4407.089233336008</v>
      </c>
      <c r="K366" s="17">
        <f t="shared" si="51"/>
        <v>4266.6348882499969</v>
      </c>
      <c r="L366" s="17">
        <f t="shared" si="51"/>
        <v>4125.9628414546214</v>
      </c>
      <c r="M366" s="17">
        <f t="shared" si="51"/>
        <v>3991.6917831222831</v>
      </c>
      <c r="N366" s="17">
        <f t="shared" si="51"/>
        <v>3858.1278167361666</v>
      </c>
      <c r="O366" s="17">
        <f t="shared" si="51"/>
        <v>3720.1350231290216</v>
      </c>
      <c r="P366" s="17">
        <f t="shared" si="51"/>
        <v>3588.076045247707</v>
      </c>
      <c r="Q366" s="17">
        <f t="shared" si="51"/>
        <v>3456.7998860326634</v>
      </c>
      <c r="R366" s="17">
        <f t="shared" si="51"/>
        <v>3372.0787248934471</v>
      </c>
      <c r="S366" s="17">
        <f t="shared" si="51"/>
        <v>3288.309007011324</v>
      </c>
      <c r="T366" s="17">
        <f t="shared" si="51"/>
        <v>3201.2502350492559</v>
      </c>
      <c r="U366" s="17">
        <f t="shared" si="51"/>
        <v>3119.7133107298096</v>
      </c>
      <c r="V366" s="17">
        <f t="shared" si="51"/>
        <v>3039.9689669500681</v>
      </c>
      <c r="W366" s="17">
        <f t="shared" si="51"/>
        <v>3019.4471755316572</v>
      </c>
      <c r="X366" s="17">
        <f t="shared" si="51"/>
        <v>2995.7555770854633</v>
      </c>
      <c r="Y366" s="17">
        <f t="shared" si="51"/>
        <v>2972.1829367853388</v>
      </c>
      <c r="Z366" s="17">
        <f t="shared" si="51"/>
        <v>3537.6002550082267</v>
      </c>
    </row>
    <row r="367" spans="1:53" outlineLevel="1" x14ac:dyDescent="0.35"/>
    <row r="368" spans="1:53" s="18" customFormat="1" ht="21" x14ac:dyDescent="0.5">
      <c r="A368" s="18" t="s">
        <v>94</v>
      </c>
    </row>
    <row r="369" spans="1:31" s="20" customFormat="1" outlineLevel="1" x14ac:dyDescent="0.35">
      <c r="A369" s="19" t="s">
        <v>788</v>
      </c>
    </row>
    <row r="370" spans="1:31" s="20" customFormat="1" outlineLevel="1" x14ac:dyDescent="0.35">
      <c r="A370" s="273" t="s">
        <v>775</v>
      </c>
      <c r="B370" s="20">
        <v>1</v>
      </c>
      <c r="C370" s="274" t="s">
        <v>787</v>
      </c>
    </row>
    <row r="371" spans="1:31" s="20" customFormat="1" outlineLevel="1" x14ac:dyDescent="0.35">
      <c r="A371" s="273" t="s">
        <v>781</v>
      </c>
      <c r="B371" s="20">
        <v>100000</v>
      </c>
      <c r="C371" s="20" t="s">
        <v>782</v>
      </c>
      <c r="E371" s="274"/>
    </row>
    <row r="372" spans="1:31" s="20" customFormat="1" outlineLevel="1" x14ac:dyDescent="0.35">
      <c r="A372" s="273" t="s">
        <v>783</v>
      </c>
      <c r="B372" s="20">
        <v>1500</v>
      </c>
      <c r="C372" s="20" t="s">
        <v>592</v>
      </c>
    </row>
    <row r="373" spans="1:31" s="20" customFormat="1" outlineLevel="1" x14ac:dyDescent="0.35">
      <c r="A373" s="273" t="s">
        <v>784</v>
      </c>
      <c r="B373" s="20">
        <v>8760</v>
      </c>
      <c r="C373" s="20" t="s">
        <v>785</v>
      </c>
    </row>
    <row r="374" spans="1:31" s="20" customFormat="1" outlineLevel="1" x14ac:dyDescent="0.35">
      <c r="A374" s="273"/>
    </row>
    <row r="375" spans="1:31" s="20" customFormat="1" outlineLevel="1" x14ac:dyDescent="0.35">
      <c r="A375" s="275" t="s">
        <v>786</v>
      </c>
      <c r="B375" s="275">
        <f>(B371*B372)/(B373*B370)</f>
        <v>17123.287671232876</v>
      </c>
      <c r="C375" s="275" t="s">
        <v>749</v>
      </c>
    </row>
    <row r="376" spans="1:31" s="20" customFormat="1" outlineLevel="1" x14ac:dyDescent="0.35">
      <c r="A376" s="19"/>
    </row>
    <row r="377" spans="1:31" s="20" customFormat="1" outlineLevel="1" x14ac:dyDescent="0.35">
      <c r="A377" s="19" t="s">
        <v>793</v>
      </c>
    </row>
    <row r="378" spans="1:31" s="20" customFormat="1" outlineLevel="1" x14ac:dyDescent="0.35">
      <c r="A378" s="273" t="s">
        <v>789</v>
      </c>
      <c r="B378" s="20">
        <f>SUM('Results - raw data ReCiPe (H)'!CC156:CC157)+'Results - raw data ReCiPe (H)'!CC160+SUM('Results - raw data ReCiPe (H)'!CC158:CC159)*AC387</f>
        <v>535.02600175413454</v>
      </c>
      <c r="C378" s="20" t="s">
        <v>873</v>
      </c>
    </row>
    <row r="379" spans="1:31" s="20" customFormat="1" outlineLevel="1" x14ac:dyDescent="0.35">
      <c r="A379" s="20" t="s">
        <v>792</v>
      </c>
      <c r="B379" s="20">
        <f>B371*AC385</f>
        <v>50000</v>
      </c>
      <c r="C379" s="274" t="s">
        <v>795</v>
      </c>
    </row>
    <row r="380" spans="1:31" s="20" customFormat="1" outlineLevel="1" x14ac:dyDescent="0.35">
      <c r="A380" s="20" t="s">
        <v>791</v>
      </c>
      <c r="B380" s="20">
        <f>(B378*AC387*B375)/(B379*AC386)*(AC386/AC388)</f>
        <v>54.968424837753545</v>
      </c>
      <c r="C380" s="20" t="s">
        <v>874</v>
      </c>
      <c r="E380" s="274" t="s">
        <v>796</v>
      </c>
    </row>
    <row r="381" spans="1:31" s="20" customFormat="1" outlineLevel="1" x14ac:dyDescent="0.35">
      <c r="A381" s="19"/>
    </row>
    <row r="382" spans="1:31" s="16" customFormat="1" outlineLevel="1" x14ac:dyDescent="0.35">
      <c r="A382" s="21"/>
      <c r="AB382" s="16" t="s">
        <v>801</v>
      </c>
      <c r="AC382" s="16">
        <v>1</v>
      </c>
      <c r="AD382" s="16" t="s">
        <v>146</v>
      </c>
      <c r="AE382" s="15" t="s">
        <v>714</v>
      </c>
    </row>
    <row r="383" spans="1:31" s="16" customFormat="1" outlineLevel="1" x14ac:dyDescent="0.35">
      <c r="A383" s="22" t="s">
        <v>566</v>
      </c>
      <c r="AC383" s="16">
        <f>AC382*1000</f>
        <v>1000</v>
      </c>
      <c r="AD383" s="16" t="s">
        <v>144</v>
      </c>
    </row>
    <row r="384" spans="1:31" s="16" customFormat="1" outlineLevel="1" x14ac:dyDescent="0.35">
      <c r="A384" s="22"/>
      <c r="AB384" s="16" t="s">
        <v>127</v>
      </c>
      <c r="AC384" s="16">
        <f>100*AC385</f>
        <v>50</v>
      </c>
      <c r="AD384" s="16" t="s">
        <v>128</v>
      </c>
    </row>
    <row r="385" spans="1:53" s="16" customFormat="1" outlineLevel="1" x14ac:dyDescent="0.35">
      <c r="A385" s="230"/>
      <c r="AB385" s="16" t="s">
        <v>776</v>
      </c>
      <c r="AC385" s="16">
        <v>0.5</v>
      </c>
    </row>
    <row r="386" spans="1:53" s="16" customFormat="1" outlineLevel="1" x14ac:dyDescent="0.35">
      <c r="A386" s="21"/>
      <c r="AB386" s="16" t="s">
        <v>129</v>
      </c>
      <c r="AC386" s="16">
        <v>25</v>
      </c>
      <c r="AD386" s="16" t="s">
        <v>130</v>
      </c>
    </row>
    <row r="387" spans="1:53" s="16" customFormat="1" outlineLevel="1" x14ac:dyDescent="0.35">
      <c r="A387" s="21"/>
      <c r="AB387" s="16" t="s">
        <v>777</v>
      </c>
      <c r="AC387" s="16">
        <v>6</v>
      </c>
      <c r="AD387" s="16" t="s">
        <v>779</v>
      </c>
    </row>
    <row r="388" spans="1:53" s="16" customFormat="1" outlineLevel="1" x14ac:dyDescent="0.35">
      <c r="A388" s="21"/>
      <c r="AB388" s="16" t="s">
        <v>778</v>
      </c>
      <c r="AC388" s="16">
        <v>20</v>
      </c>
      <c r="AD388" s="16" t="s">
        <v>130</v>
      </c>
    </row>
    <row r="389" spans="1:53" s="16" customFormat="1" outlineLevel="1" x14ac:dyDescent="0.35">
      <c r="AB389" s="16" t="s">
        <v>780</v>
      </c>
      <c r="AC389" s="16">
        <f>B375</f>
        <v>17123.287671232876</v>
      </c>
      <c r="AD389" s="16" t="s">
        <v>749</v>
      </c>
    </row>
    <row r="390" spans="1:53" s="16" customFormat="1" outlineLevel="1" x14ac:dyDescent="0.35">
      <c r="AB390" s="16" t="s">
        <v>820</v>
      </c>
      <c r="AC390" s="16">
        <v>0.5</v>
      </c>
    </row>
    <row r="391" spans="1:53" s="16" customFormat="1" outlineLevel="1" x14ac:dyDescent="0.35">
      <c r="AB391" s="16" t="s">
        <v>798</v>
      </c>
      <c r="AC391" s="16">
        <v>0.25</v>
      </c>
    </row>
    <row r="392" spans="1:53" s="16" customFormat="1" outlineLevel="1" x14ac:dyDescent="0.35">
      <c r="A392" s="22"/>
      <c r="AB392" s="16" t="s">
        <v>799</v>
      </c>
      <c r="AC392" s="16">
        <v>0.9</v>
      </c>
    </row>
    <row r="393" spans="1:53" s="16" customFormat="1" outlineLevel="1" x14ac:dyDescent="0.35">
      <c r="A393" s="22"/>
    </row>
    <row r="394" spans="1:53" outlineLevel="1" x14ac:dyDescent="0.35">
      <c r="B394" s="25">
        <v>2030</v>
      </c>
      <c r="C394" s="25">
        <v>2031</v>
      </c>
      <c r="D394" s="25">
        <v>2032</v>
      </c>
      <c r="E394" s="25">
        <v>2033</v>
      </c>
      <c r="F394" s="25">
        <v>2034</v>
      </c>
      <c r="G394" s="25">
        <v>2035</v>
      </c>
      <c r="H394" s="25">
        <v>2036</v>
      </c>
      <c r="I394" s="25">
        <v>2037</v>
      </c>
      <c r="J394" s="25">
        <v>2038</v>
      </c>
      <c r="K394" s="25">
        <v>2039</v>
      </c>
      <c r="L394" s="25">
        <v>2040</v>
      </c>
      <c r="M394" s="25">
        <v>2041</v>
      </c>
      <c r="N394" s="25">
        <v>2042</v>
      </c>
      <c r="O394" s="25">
        <v>2043</v>
      </c>
      <c r="P394" s="25">
        <v>2044</v>
      </c>
      <c r="Q394" s="25">
        <v>2045</v>
      </c>
      <c r="R394" s="25">
        <v>2046</v>
      </c>
      <c r="S394" s="25">
        <v>2047</v>
      </c>
      <c r="T394" s="25">
        <v>2048</v>
      </c>
      <c r="U394" s="25">
        <v>2049</v>
      </c>
      <c r="V394" s="25">
        <v>2050</v>
      </c>
      <c r="W394" s="25">
        <v>2051</v>
      </c>
      <c r="X394" s="25">
        <v>2052</v>
      </c>
      <c r="Y394" s="25">
        <v>2053</v>
      </c>
      <c r="Z394" s="25">
        <v>2054</v>
      </c>
      <c r="AC394" s="25">
        <v>2030</v>
      </c>
      <c r="AD394" s="25">
        <v>2031</v>
      </c>
      <c r="AE394" s="25">
        <v>2032</v>
      </c>
      <c r="AF394" s="25">
        <v>2033</v>
      </c>
      <c r="AG394" s="25">
        <v>2034</v>
      </c>
      <c r="AH394" s="25">
        <v>2035</v>
      </c>
      <c r="AI394" s="25">
        <v>2036</v>
      </c>
      <c r="AJ394" s="25">
        <v>2037</v>
      </c>
      <c r="AK394" s="25">
        <v>2038</v>
      </c>
      <c r="AL394" s="25">
        <v>2039</v>
      </c>
      <c r="AM394" s="25">
        <v>2040</v>
      </c>
      <c r="AN394" s="25">
        <v>2041</v>
      </c>
      <c r="AO394" s="25">
        <v>2042</v>
      </c>
      <c r="AP394" s="25">
        <v>2043</v>
      </c>
      <c r="AQ394" s="25">
        <v>2044</v>
      </c>
      <c r="AR394" s="25">
        <v>2045</v>
      </c>
      <c r="AS394" s="25">
        <v>2046</v>
      </c>
      <c r="AT394" s="25">
        <v>2047</v>
      </c>
      <c r="AU394" s="25">
        <v>2048</v>
      </c>
      <c r="AV394" s="25">
        <v>2049</v>
      </c>
      <c r="AW394" s="25">
        <v>2050</v>
      </c>
      <c r="AX394" s="25">
        <v>2051</v>
      </c>
      <c r="AY394" s="25">
        <v>2052</v>
      </c>
      <c r="AZ394" s="25">
        <v>2053</v>
      </c>
      <c r="BA394" s="25">
        <v>2054</v>
      </c>
    </row>
    <row r="395" spans="1:53" outlineLevel="1" x14ac:dyDescent="0.35">
      <c r="A395" s="6" t="s">
        <v>21</v>
      </c>
      <c r="B395" s="6">
        <f>B90</f>
        <v>522.14630630241095</v>
      </c>
      <c r="AB395" s="6" t="s">
        <v>117</v>
      </c>
      <c r="AC395" s="6">
        <f>SUM(B395:B406)+B408</f>
        <v>23659.708947237723</v>
      </c>
    </row>
    <row r="396" spans="1:53" outlineLevel="1" x14ac:dyDescent="0.35">
      <c r="A396" s="6" t="s">
        <v>23</v>
      </c>
      <c r="B396" s="6">
        <f t="shared" ref="B396:B406" si="52">B91</f>
        <v>689.59917152625098</v>
      </c>
      <c r="AB396" s="6" t="s">
        <v>118</v>
      </c>
      <c r="AC396" s="6">
        <f>B407</f>
        <v>1015.3078222151452</v>
      </c>
    </row>
    <row r="397" spans="1:53" outlineLevel="1" x14ac:dyDescent="0.35">
      <c r="A397" s="6" t="s">
        <v>26</v>
      </c>
      <c r="B397" s="6">
        <f t="shared" si="52"/>
        <v>2299.7919129358629</v>
      </c>
      <c r="AB397" s="6" t="s">
        <v>119</v>
      </c>
      <c r="BA397" s="6">
        <f>SUM(Z409:Z420)</f>
        <v>506.10170544819584</v>
      </c>
    </row>
    <row r="398" spans="1:53" outlineLevel="1" x14ac:dyDescent="0.35">
      <c r="A398" s="6" t="s">
        <v>28</v>
      </c>
      <c r="B398" s="6">
        <f t="shared" si="52"/>
        <v>2048.7708155777868</v>
      </c>
      <c r="AB398" s="6" t="s">
        <v>120</v>
      </c>
      <c r="BA398" s="6">
        <f>Z421</f>
        <v>9.8550188016235367</v>
      </c>
    </row>
    <row r="399" spans="1:53" outlineLevel="1" x14ac:dyDescent="0.35">
      <c r="A399" s="6" t="s">
        <v>29</v>
      </c>
      <c r="B399" s="6">
        <f t="shared" si="52"/>
        <v>1127.30474085434</v>
      </c>
      <c r="AB399" s="6" t="s">
        <v>121</v>
      </c>
      <c r="AC399" s="6">
        <f>B422</f>
        <v>960.18627888201729</v>
      </c>
      <c r="AF399" s="6">
        <f>E422</f>
        <v>894.9053469828998</v>
      </c>
      <c r="AI399" s="6">
        <f>H422</f>
        <v>847.74542197239737</v>
      </c>
      <c r="AL399" s="6">
        <f>K422</f>
        <v>829.74040861154253</v>
      </c>
      <c r="AO399" s="6">
        <f>N422</f>
        <v>821.41329377436136</v>
      </c>
      <c r="AR399" s="6">
        <f>Q422</f>
        <v>815.75248373031479</v>
      </c>
      <c r="AU399" s="6">
        <f>T422</f>
        <v>808.99669973300752</v>
      </c>
      <c r="AX399" s="6">
        <f>W422</f>
        <v>803.6131276705886</v>
      </c>
      <c r="BA399" s="6">
        <f>Z422</f>
        <v>799.02195316520056</v>
      </c>
    </row>
    <row r="400" spans="1:53" outlineLevel="1" x14ac:dyDescent="0.35">
      <c r="A400" s="6" t="s">
        <v>31</v>
      </c>
      <c r="B400" s="6">
        <f t="shared" si="52"/>
        <v>911.6428381501903</v>
      </c>
      <c r="AB400" s="6" t="s">
        <v>797</v>
      </c>
      <c r="AC400" s="6">
        <f>B426</f>
        <v>2748.4212418876773</v>
      </c>
      <c r="AD400" s="6">
        <f t="shared" ref="AD400:BA400" si="53">C426</f>
        <v>2748.4212418876773</v>
      </c>
      <c r="AE400" s="6">
        <f t="shared" si="53"/>
        <v>2748.4212418876773</v>
      </c>
      <c r="AF400" s="6">
        <f t="shared" si="53"/>
        <v>2748.4212418876773</v>
      </c>
      <c r="AG400" s="6">
        <f t="shared" si="53"/>
        <v>2748.4212418876773</v>
      </c>
      <c r="AH400" s="6">
        <f t="shared" si="53"/>
        <v>2748.4212418876773</v>
      </c>
      <c r="AI400" s="6">
        <f t="shared" si="53"/>
        <v>2748.4212418876773</v>
      </c>
      <c r="AJ400" s="6">
        <f t="shared" si="53"/>
        <v>2748.4212418876773</v>
      </c>
      <c r="AK400" s="6">
        <f t="shared" si="53"/>
        <v>2748.4212418876773</v>
      </c>
      <c r="AL400" s="6">
        <f t="shared" si="53"/>
        <v>2748.4212418876773</v>
      </c>
      <c r="AM400" s="6">
        <f t="shared" si="53"/>
        <v>2748.4212418876773</v>
      </c>
      <c r="AN400" s="6">
        <f t="shared" si="53"/>
        <v>2748.4212418876773</v>
      </c>
      <c r="AO400" s="6">
        <f t="shared" si="53"/>
        <v>2748.4212418876773</v>
      </c>
      <c r="AP400" s="6">
        <f t="shared" si="53"/>
        <v>2748.4212418876773</v>
      </c>
      <c r="AQ400" s="6">
        <f t="shared" si="53"/>
        <v>2748.4212418876773</v>
      </c>
      <c r="AR400" s="6">
        <f t="shared" si="53"/>
        <v>2748.4212418876773</v>
      </c>
      <c r="AS400" s="6">
        <f t="shared" si="53"/>
        <v>2748.4212418876773</v>
      </c>
      <c r="AT400" s="6">
        <f t="shared" si="53"/>
        <v>2748.4212418876773</v>
      </c>
      <c r="AU400" s="6">
        <f t="shared" si="53"/>
        <v>2748.4212418876773</v>
      </c>
      <c r="AV400" s="6">
        <f t="shared" si="53"/>
        <v>2748.4212418876773</v>
      </c>
      <c r="AW400" s="6">
        <f t="shared" si="53"/>
        <v>2748.4212418876773</v>
      </c>
      <c r="AX400" s="6">
        <f t="shared" si="53"/>
        <v>2748.4212418876773</v>
      </c>
      <c r="AY400" s="6">
        <f t="shared" si="53"/>
        <v>2748.4212418876773</v>
      </c>
      <c r="AZ400" s="6">
        <f t="shared" si="53"/>
        <v>2748.4212418876773</v>
      </c>
      <c r="BA400" s="6">
        <f t="shared" si="53"/>
        <v>2748.4212418876773</v>
      </c>
    </row>
    <row r="401" spans="1:53" outlineLevel="1" x14ac:dyDescent="0.35">
      <c r="A401" s="6" t="s">
        <v>34</v>
      </c>
      <c r="B401" s="6">
        <f t="shared" si="52"/>
        <v>536.54433466923933</v>
      </c>
      <c r="AB401" s="6" t="s">
        <v>122</v>
      </c>
      <c r="AC401" s="6">
        <f t="shared" ref="AC401:BA401" si="54">B425+B424</f>
        <v>2650.0793843002111</v>
      </c>
      <c r="AD401" s="6">
        <f t="shared" si="54"/>
        <v>2541.6073626931889</v>
      </c>
      <c r="AE401" s="6">
        <f t="shared" si="54"/>
        <v>2433.0071283679886</v>
      </c>
      <c r="AF401" s="6">
        <f t="shared" si="54"/>
        <v>2300.6668687623819</v>
      </c>
      <c r="AG401" s="6">
        <f t="shared" si="54"/>
        <v>2190.2202785139721</v>
      </c>
      <c r="AH401" s="6">
        <f t="shared" si="54"/>
        <v>2079.4641618918836</v>
      </c>
      <c r="AI401" s="6">
        <f t="shared" si="54"/>
        <v>2039.8273464279516</v>
      </c>
      <c r="AJ401" s="6">
        <f t="shared" si="54"/>
        <v>2000.6150725035884</v>
      </c>
      <c r="AK401" s="6">
        <f t="shared" si="54"/>
        <v>1948.8507496717691</v>
      </c>
      <c r="AL401" s="6">
        <f t="shared" si="54"/>
        <v>1910.6794202964779</v>
      </c>
      <c r="AM401" s="6">
        <f t="shared" si="54"/>
        <v>1873.072372753915</v>
      </c>
      <c r="AN401" s="6">
        <f t="shared" si="54"/>
        <v>1853.7417970471508</v>
      </c>
      <c r="AO401" s="6">
        <f t="shared" si="54"/>
        <v>1834.896888825285</v>
      </c>
      <c r="AP401" s="6">
        <f t="shared" si="54"/>
        <v>1813.0185761161483</v>
      </c>
      <c r="AQ401" s="6">
        <f t="shared" si="54"/>
        <v>1794.7734566282738</v>
      </c>
      <c r="AR401" s="6">
        <f t="shared" si="54"/>
        <v>1776.73743982105</v>
      </c>
      <c r="AS401" s="6">
        <f t="shared" si="54"/>
        <v>1761.4690216885651</v>
      </c>
      <c r="AT401" s="6">
        <f t="shared" si="54"/>
        <v>1746.5052342453239</v>
      </c>
      <c r="AU401" s="6">
        <f t="shared" si="54"/>
        <v>1729.3772380843191</v>
      </c>
      <c r="AV401" s="6">
        <f t="shared" si="54"/>
        <v>1714.9999937436305</v>
      </c>
      <c r="AW401" s="6">
        <f t="shared" si="54"/>
        <v>1701.4844871720695</v>
      </c>
      <c r="AX401" s="6">
        <f t="shared" si="54"/>
        <v>1695.2635433426133</v>
      </c>
      <c r="AY401" s="6">
        <f t="shared" si="54"/>
        <v>1687.3846102100827</v>
      </c>
      <c r="AZ401" s="6">
        <f t="shared" si="54"/>
        <v>1679.6135338524884</v>
      </c>
      <c r="BA401" s="6">
        <f t="shared" si="54"/>
        <v>1671.9487029706991</v>
      </c>
    </row>
    <row r="402" spans="1:53" outlineLevel="1" x14ac:dyDescent="0.35">
      <c r="A402" s="6" t="s">
        <v>36</v>
      </c>
      <c r="B402" s="6">
        <f t="shared" si="52"/>
        <v>423.50186488159068</v>
      </c>
      <c r="AB402" s="6" t="s">
        <v>123</v>
      </c>
      <c r="AC402" s="6">
        <f t="shared" ref="AC402:BA402" si="55">B423</f>
        <v>585.87680395062</v>
      </c>
      <c r="AD402" s="6">
        <f t="shared" si="55"/>
        <v>492.75924162522199</v>
      </c>
      <c r="AE402" s="6">
        <f t="shared" si="55"/>
        <v>400.15963061595522</v>
      </c>
      <c r="AF402" s="6">
        <f t="shared" si="55"/>
        <v>306.51765374241279</v>
      </c>
      <c r="AG402" s="6">
        <f t="shared" si="55"/>
        <v>214.82972207454304</v>
      </c>
      <c r="AH402" s="6">
        <f t="shared" si="55"/>
        <v>123.59827258783356</v>
      </c>
      <c r="AI402" s="6">
        <f t="shared" si="55"/>
        <v>101.8623015404301</v>
      </c>
      <c r="AJ402" s="6">
        <f t="shared" si="55"/>
        <v>80.102105598109091</v>
      </c>
      <c r="AK402" s="6">
        <f t="shared" si="55"/>
        <v>57.008459627061406</v>
      </c>
      <c r="AL402" s="6">
        <f t="shared" si="55"/>
        <v>35.164054494560148</v>
      </c>
      <c r="AM402" s="6">
        <f t="shared" si="55"/>
        <v>13.293444682895961</v>
      </c>
      <c r="AN402" s="6">
        <f t="shared" si="55"/>
        <v>2.3796236077036736</v>
      </c>
      <c r="AO402" s="6">
        <f t="shared" si="55"/>
        <v>-8.5211331341604808</v>
      </c>
      <c r="AP402" s="6">
        <f t="shared" si="55"/>
        <v>-19.65992249153053</v>
      </c>
      <c r="AQ402" s="6">
        <f t="shared" si="55"/>
        <v>-30.53245939494602</v>
      </c>
      <c r="AR402" s="6">
        <f t="shared" si="55"/>
        <v>-41.398372946121711</v>
      </c>
      <c r="AS402" s="6">
        <f t="shared" si="55"/>
        <v>-64.120201269456743</v>
      </c>
      <c r="AT402" s="6">
        <f t="shared" si="55"/>
        <v>-86.87260001454014</v>
      </c>
      <c r="AU402" s="6">
        <f t="shared" si="55"/>
        <v>-109.82995365592485</v>
      </c>
      <c r="AV402" s="6">
        <f t="shared" si="55"/>
        <v>-132.62963158978636</v>
      </c>
      <c r="AW402" s="6">
        <f t="shared" si="55"/>
        <v>-155.4448712434029</v>
      </c>
      <c r="AX402" s="6">
        <f t="shared" si="55"/>
        <v>-174.80954784180764</v>
      </c>
      <c r="AY402" s="6">
        <f t="shared" si="55"/>
        <v>-194.6837752064873</v>
      </c>
      <c r="AZ402" s="6">
        <f t="shared" si="55"/>
        <v>-214.55262775219305</v>
      </c>
      <c r="BA402" s="6">
        <f t="shared" si="55"/>
        <v>-234.41687347701108</v>
      </c>
    </row>
    <row r="403" spans="1:53" outlineLevel="1" x14ac:dyDescent="0.35">
      <c r="A403" s="6" t="s">
        <v>38</v>
      </c>
      <c r="B403" s="6">
        <f t="shared" si="52"/>
        <v>4620.2212963694537</v>
      </c>
      <c r="AB403" s="6" t="s">
        <v>124</v>
      </c>
      <c r="AC403" s="6">
        <f>-$AC$384*$AC$383</f>
        <v>-50000</v>
      </c>
      <c r="AD403" s="6">
        <f t="shared" ref="AD403:BA403" si="56">-$AC$384*$AC$383</f>
        <v>-50000</v>
      </c>
      <c r="AE403" s="6">
        <f t="shared" si="56"/>
        <v>-50000</v>
      </c>
      <c r="AF403" s="6">
        <f t="shared" si="56"/>
        <v>-50000</v>
      </c>
      <c r="AG403" s="6">
        <f t="shared" si="56"/>
        <v>-50000</v>
      </c>
      <c r="AH403" s="6">
        <f t="shared" si="56"/>
        <v>-50000</v>
      </c>
      <c r="AI403" s="6">
        <f t="shared" si="56"/>
        <v>-50000</v>
      </c>
      <c r="AJ403" s="6">
        <f t="shared" si="56"/>
        <v>-50000</v>
      </c>
      <c r="AK403" s="6">
        <f t="shared" si="56"/>
        <v>-50000</v>
      </c>
      <c r="AL403" s="6">
        <f t="shared" si="56"/>
        <v>-50000</v>
      </c>
      <c r="AM403" s="6">
        <f t="shared" si="56"/>
        <v>-50000</v>
      </c>
      <c r="AN403" s="6">
        <f t="shared" si="56"/>
        <v>-50000</v>
      </c>
      <c r="AO403" s="6">
        <f t="shared" si="56"/>
        <v>-50000</v>
      </c>
      <c r="AP403" s="6">
        <f t="shared" si="56"/>
        <v>-50000</v>
      </c>
      <c r="AQ403" s="6">
        <f t="shared" si="56"/>
        <v>-50000</v>
      </c>
      <c r="AR403" s="6">
        <f t="shared" si="56"/>
        <v>-50000</v>
      </c>
      <c r="AS403" s="6">
        <f t="shared" si="56"/>
        <v>-50000</v>
      </c>
      <c r="AT403" s="6">
        <f t="shared" si="56"/>
        <v>-50000</v>
      </c>
      <c r="AU403" s="6">
        <f t="shared" si="56"/>
        <v>-50000</v>
      </c>
      <c r="AV403" s="6">
        <f t="shared" si="56"/>
        <v>-50000</v>
      </c>
      <c r="AW403" s="6">
        <f t="shared" si="56"/>
        <v>-50000</v>
      </c>
      <c r="AX403" s="6">
        <f t="shared" si="56"/>
        <v>-50000</v>
      </c>
      <c r="AY403" s="6">
        <f t="shared" si="56"/>
        <v>-50000</v>
      </c>
      <c r="AZ403" s="6">
        <f t="shared" si="56"/>
        <v>-50000</v>
      </c>
      <c r="BA403" s="6">
        <f t="shared" si="56"/>
        <v>-50000</v>
      </c>
    </row>
    <row r="404" spans="1:53" outlineLevel="1" x14ac:dyDescent="0.35">
      <c r="A404" s="6" t="s">
        <v>39</v>
      </c>
      <c r="B404" s="6">
        <f t="shared" si="52"/>
        <v>5739.6171857742838</v>
      </c>
      <c r="AB404" s="23" t="s">
        <v>125</v>
      </c>
      <c r="AC404" s="17">
        <f t="shared" ref="AC404:BA404" si="57">SUM(AC395:AC403)</f>
        <v>-18380.419521526605</v>
      </c>
      <c r="AD404" s="17">
        <f t="shared" si="57"/>
        <v>-44217.212153793909</v>
      </c>
      <c r="AE404" s="17">
        <f t="shared" si="57"/>
        <v>-44418.411999128381</v>
      </c>
      <c r="AF404" s="17">
        <f t="shared" si="57"/>
        <v>-43749.488888624626</v>
      </c>
      <c r="AG404" s="17">
        <f t="shared" si="57"/>
        <v>-44846.528757523804</v>
      </c>
      <c r="AH404" s="17">
        <f t="shared" si="57"/>
        <v>-45048.516323632604</v>
      </c>
      <c r="AI404" s="17">
        <f t="shared" si="57"/>
        <v>-44262.143688171542</v>
      </c>
      <c r="AJ404" s="17">
        <f t="shared" si="57"/>
        <v>-45170.861580010627</v>
      </c>
      <c r="AK404" s="17">
        <f t="shared" si="57"/>
        <v>-45245.719548813489</v>
      </c>
      <c r="AL404" s="17">
        <f t="shared" si="57"/>
        <v>-44475.994874709744</v>
      </c>
      <c r="AM404" s="17">
        <f t="shared" si="57"/>
        <v>-45365.212940675512</v>
      </c>
      <c r="AN404" s="17">
        <f t="shared" si="57"/>
        <v>-45395.457337457468</v>
      </c>
      <c r="AO404" s="17">
        <f t="shared" si="57"/>
        <v>-44603.789708646837</v>
      </c>
      <c r="AP404" s="17">
        <f t="shared" si="57"/>
        <v>-45458.220104487707</v>
      </c>
      <c r="AQ404" s="17">
        <f t="shared" si="57"/>
        <v>-45487.337760878996</v>
      </c>
      <c r="AR404" s="17">
        <f t="shared" si="57"/>
        <v>-44700.487207507082</v>
      </c>
      <c r="AS404" s="17">
        <f t="shared" si="57"/>
        <v>-45554.229937693213</v>
      </c>
      <c r="AT404" s="17">
        <f t="shared" si="57"/>
        <v>-45591.946123881542</v>
      </c>
      <c r="AU404" s="17">
        <f t="shared" si="57"/>
        <v>-44823.034773950923</v>
      </c>
      <c r="AV404" s="17">
        <f t="shared" si="57"/>
        <v>-45669.208395958478</v>
      </c>
      <c r="AW404" s="17">
        <f t="shared" si="57"/>
        <v>-45705.539142183654</v>
      </c>
      <c r="AX404" s="17">
        <f t="shared" si="57"/>
        <v>-44927.511634940929</v>
      </c>
      <c r="AY404" s="17">
        <f t="shared" si="57"/>
        <v>-45758.877923108725</v>
      </c>
      <c r="AZ404" s="17">
        <f t="shared" si="57"/>
        <v>-45786.517852012024</v>
      </c>
      <c r="BA404" s="17">
        <f t="shared" si="57"/>
        <v>-44499.068251203615</v>
      </c>
    </row>
    <row r="405" spans="1:53" outlineLevel="1" x14ac:dyDescent="0.35">
      <c r="A405" s="6" t="s">
        <v>41</v>
      </c>
      <c r="B405" s="6">
        <f t="shared" si="52"/>
        <v>135.80998010115019</v>
      </c>
    </row>
    <row r="406" spans="1:53" outlineLevel="1" x14ac:dyDescent="0.35">
      <c r="A406" s="6" t="s">
        <v>43</v>
      </c>
      <c r="B406" s="6">
        <f t="shared" si="52"/>
        <v>495.26793776870988</v>
      </c>
      <c r="AB406" s="272"/>
      <c r="AC406" s="272"/>
      <c r="AD406" s="272"/>
      <c r="AE406" s="272"/>
      <c r="AF406" s="272"/>
      <c r="AG406" s="272"/>
      <c r="AH406" s="272"/>
      <c r="AI406" s="272"/>
      <c r="AJ406" s="272"/>
      <c r="AK406" s="272"/>
      <c r="AL406" s="272"/>
      <c r="AM406" s="272"/>
      <c r="AN406" s="272"/>
      <c r="AO406" s="272"/>
      <c r="AP406" s="272"/>
      <c r="AQ406" s="272"/>
      <c r="AR406" s="272"/>
      <c r="AS406" s="272"/>
      <c r="AT406" s="272"/>
      <c r="AU406" s="272"/>
      <c r="AV406" s="272"/>
      <c r="AW406" s="272"/>
      <c r="AX406" s="272"/>
      <c r="AY406" s="272"/>
      <c r="AZ406" s="272"/>
      <c r="BA406" s="272"/>
    </row>
    <row r="407" spans="1:53" outlineLevel="1" x14ac:dyDescent="0.35">
      <c r="A407" s="6" t="s">
        <v>44</v>
      </c>
      <c r="B407" s="6">
        <f>B102*AC385</f>
        <v>1015.3078222151452</v>
      </c>
      <c r="AB407" s="272"/>
      <c r="AC407" s="272"/>
      <c r="AD407" s="272"/>
      <c r="AE407" s="272"/>
      <c r="AF407" s="272"/>
      <c r="AG407" s="272"/>
      <c r="AH407" s="272"/>
      <c r="AI407" s="272"/>
      <c r="AJ407" s="272"/>
      <c r="AK407" s="272"/>
      <c r="AL407" s="272"/>
      <c r="AM407" s="272"/>
      <c r="AN407" s="272"/>
      <c r="AO407" s="272"/>
      <c r="AP407" s="272"/>
      <c r="AQ407" s="272"/>
      <c r="AR407" s="272"/>
      <c r="AS407" s="272"/>
      <c r="AT407" s="272"/>
      <c r="AU407" s="272"/>
      <c r="AV407" s="272"/>
      <c r="AW407" s="272"/>
      <c r="AX407" s="272"/>
      <c r="AY407" s="272"/>
      <c r="AZ407" s="272"/>
      <c r="BA407" s="272"/>
    </row>
    <row r="408" spans="1:53" outlineLevel="1" x14ac:dyDescent="0.35">
      <c r="A408" s="6" t="s">
        <v>757</v>
      </c>
      <c r="B408" s="6">
        <f>B103*AC385</f>
        <v>4109.4905623264558</v>
      </c>
      <c r="AB408" s="272"/>
      <c r="AC408" s="272"/>
      <c r="AD408" s="272"/>
      <c r="AE408" s="272"/>
      <c r="AF408" s="272"/>
      <c r="AG408" s="272"/>
      <c r="AH408" s="272"/>
      <c r="AI408" s="272"/>
      <c r="AJ408" s="272"/>
      <c r="AK408" s="272"/>
      <c r="AL408" s="272"/>
      <c r="AM408" s="272"/>
      <c r="AN408" s="272"/>
      <c r="AO408" s="272"/>
      <c r="AP408" s="272"/>
      <c r="AQ408" s="272"/>
      <c r="AR408" s="272"/>
      <c r="AS408" s="272"/>
      <c r="AT408" s="272"/>
      <c r="AU408" s="272"/>
      <c r="AV408" s="272"/>
      <c r="AW408" s="272"/>
      <c r="AX408" s="272"/>
      <c r="AY408" s="272"/>
      <c r="AZ408" s="272"/>
      <c r="BA408" s="272"/>
    </row>
    <row r="409" spans="1:53" outlineLevel="1" x14ac:dyDescent="0.35">
      <c r="A409" s="6" t="s">
        <v>22</v>
      </c>
      <c r="Z409" s="6">
        <f>Z104</f>
        <v>17.50501830102143</v>
      </c>
      <c r="AB409" s="272"/>
      <c r="AC409" s="272"/>
      <c r="AD409" s="272"/>
      <c r="AE409" s="272"/>
      <c r="AF409" s="272"/>
      <c r="AG409" s="272"/>
      <c r="AH409" s="272"/>
      <c r="AI409" s="272"/>
      <c r="AJ409" s="272"/>
      <c r="AK409" s="272"/>
      <c r="AL409" s="272"/>
      <c r="AM409" s="272"/>
      <c r="AN409" s="272"/>
      <c r="AO409" s="272"/>
      <c r="AP409" s="272"/>
      <c r="AQ409" s="272"/>
      <c r="AR409" s="272"/>
      <c r="AS409" s="272"/>
      <c r="AT409" s="272"/>
      <c r="AU409" s="272"/>
      <c r="AV409" s="272"/>
      <c r="AW409" s="272"/>
      <c r="AX409" s="272"/>
      <c r="AY409" s="272"/>
      <c r="AZ409" s="272"/>
      <c r="BA409" s="272"/>
    </row>
    <row r="410" spans="1:53" outlineLevel="1" x14ac:dyDescent="0.35">
      <c r="A410" s="6" t="s">
        <v>24</v>
      </c>
      <c r="Z410" s="6">
        <f t="shared" ref="Z410:Z420" si="58">Z105</f>
        <v>6.1394952400305867</v>
      </c>
      <c r="AB410" s="272"/>
      <c r="AC410" s="272"/>
      <c r="AD410" s="272"/>
      <c r="AE410" s="272"/>
      <c r="AF410" s="272"/>
      <c r="AG410" s="272"/>
      <c r="AH410" s="272"/>
      <c r="AI410" s="272"/>
      <c r="AJ410" s="272"/>
      <c r="AK410" s="272"/>
      <c r="AL410" s="272"/>
      <c r="AM410" s="272"/>
      <c r="AN410" s="272"/>
      <c r="AO410" s="272"/>
      <c r="AP410" s="272"/>
      <c r="AQ410" s="272"/>
      <c r="AR410" s="272"/>
      <c r="AS410" s="272"/>
      <c r="AT410" s="272"/>
      <c r="AU410" s="272"/>
      <c r="AV410" s="272"/>
      <c r="AW410" s="272"/>
      <c r="AX410" s="272"/>
      <c r="AY410" s="272"/>
      <c r="AZ410" s="272"/>
      <c r="BA410" s="272"/>
    </row>
    <row r="411" spans="1:53" outlineLevel="1" x14ac:dyDescent="0.35">
      <c r="A411" s="6" t="s">
        <v>25</v>
      </c>
      <c r="Z411" s="6">
        <f t="shared" si="58"/>
        <v>18.736491486506349</v>
      </c>
      <c r="AB411" s="272"/>
      <c r="AC411" s="272"/>
      <c r="AD411" s="272"/>
      <c r="AE411" s="272"/>
      <c r="AF411" s="272"/>
      <c r="AG411" s="272"/>
      <c r="AH411" s="272"/>
      <c r="AI411" s="272"/>
      <c r="AJ411" s="272"/>
      <c r="AK411" s="272"/>
      <c r="AL411" s="272"/>
      <c r="AM411" s="272"/>
      <c r="AN411" s="272"/>
      <c r="AO411" s="272"/>
      <c r="AP411" s="272"/>
      <c r="AQ411" s="272"/>
      <c r="AR411" s="272"/>
      <c r="AS411" s="272"/>
      <c r="AT411" s="272"/>
      <c r="AU411" s="272"/>
      <c r="AV411" s="272"/>
      <c r="AW411" s="272"/>
      <c r="AX411" s="272"/>
      <c r="AY411" s="272"/>
      <c r="AZ411" s="272"/>
      <c r="BA411" s="272"/>
    </row>
    <row r="412" spans="1:53" outlineLevel="1" x14ac:dyDescent="0.35">
      <c r="A412" s="6" t="s">
        <v>27</v>
      </c>
      <c r="Z412" s="6">
        <f t="shared" si="58"/>
        <v>5.4960509125157726</v>
      </c>
      <c r="AB412" s="272"/>
      <c r="AC412" s="272"/>
      <c r="AD412" s="272"/>
      <c r="AE412" s="272"/>
      <c r="AF412" s="272"/>
      <c r="AG412" s="272"/>
      <c r="AH412" s="272"/>
      <c r="AI412" s="272"/>
      <c r="AJ412" s="272"/>
      <c r="AK412" s="272"/>
      <c r="AL412" s="272"/>
      <c r="AM412" s="272"/>
      <c r="AN412" s="272"/>
      <c r="AO412" s="272"/>
      <c r="AP412" s="272"/>
      <c r="AQ412" s="272"/>
      <c r="AR412" s="272"/>
      <c r="AS412" s="272"/>
      <c r="AT412" s="272"/>
      <c r="AU412" s="272"/>
      <c r="AV412" s="272"/>
      <c r="AW412" s="272"/>
      <c r="AX412" s="272"/>
      <c r="AY412" s="272"/>
      <c r="AZ412" s="272"/>
      <c r="BA412" s="272"/>
    </row>
    <row r="413" spans="1:53" outlineLevel="1" x14ac:dyDescent="0.35">
      <c r="A413" s="6" t="s">
        <v>30</v>
      </c>
      <c r="Z413" s="6">
        <f t="shared" si="58"/>
        <v>22.839582996658049</v>
      </c>
      <c r="AB413" s="272"/>
      <c r="AC413" s="272"/>
      <c r="AD413" s="272"/>
      <c r="AE413" s="272"/>
      <c r="AF413" s="272"/>
      <c r="AG413" s="272"/>
      <c r="AH413" s="272"/>
      <c r="AI413" s="272"/>
      <c r="AJ413" s="272"/>
      <c r="AK413" s="272"/>
      <c r="AL413" s="272"/>
      <c r="AM413" s="272"/>
      <c r="AN413" s="272"/>
      <c r="AO413" s="272"/>
      <c r="AP413" s="272"/>
      <c r="AQ413" s="272"/>
      <c r="AR413" s="272"/>
      <c r="AS413" s="272"/>
      <c r="AT413" s="272"/>
      <c r="AU413" s="272"/>
      <c r="AV413" s="272"/>
      <c r="AW413" s="272"/>
      <c r="AX413" s="272"/>
      <c r="AY413" s="272"/>
      <c r="AZ413" s="272"/>
      <c r="BA413" s="272"/>
    </row>
    <row r="414" spans="1:53" outlineLevel="1" x14ac:dyDescent="0.35">
      <c r="A414" s="6" t="s">
        <v>32</v>
      </c>
      <c r="Z414" s="6">
        <f t="shared" si="58"/>
        <v>0.53723365181465099</v>
      </c>
      <c r="AB414" s="272"/>
      <c r="AC414" s="272"/>
      <c r="AD414" s="272"/>
      <c r="AE414" s="272"/>
      <c r="AF414" s="272"/>
      <c r="AG414" s="272"/>
      <c r="AH414" s="272"/>
      <c r="AI414" s="272"/>
      <c r="AJ414" s="272"/>
      <c r="AK414" s="272"/>
      <c r="AL414" s="272"/>
      <c r="AM414" s="272"/>
      <c r="AN414" s="272"/>
      <c r="AO414" s="272"/>
      <c r="AP414" s="272"/>
      <c r="AQ414" s="272"/>
      <c r="AR414" s="272"/>
      <c r="AS414" s="272"/>
      <c r="AT414" s="272"/>
      <c r="AU414" s="272"/>
      <c r="AV414" s="272"/>
      <c r="AW414" s="272"/>
      <c r="AX414" s="272"/>
      <c r="AY414" s="272"/>
      <c r="AZ414" s="272"/>
      <c r="BA414" s="272"/>
    </row>
    <row r="415" spans="1:53" outlineLevel="1" x14ac:dyDescent="0.35">
      <c r="A415" s="6" t="s">
        <v>33</v>
      </c>
      <c r="Z415" s="6">
        <f t="shared" si="58"/>
        <v>5.4165037330899706</v>
      </c>
      <c r="AB415" s="272"/>
      <c r="AC415" s="272"/>
      <c r="AD415" s="272"/>
      <c r="AE415" s="272"/>
      <c r="AF415" s="272"/>
      <c r="AG415" s="272"/>
      <c r="AH415" s="272"/>
      <c r="AI415" s="272"/>
      <c r="AJ415" s="272"/>
      <c r="AK415" s="272"/>
      <c r="AL415" s="272"/>
      <c r="AM415" s="272"/>
      <c r="AN415" s="272"/>
      <c r="AO415" s="272"/>
      <c r="AP415" s="272"/>
      <c r="AQ415" s="272"/>
      <c r="AR415" s="272"/>
      <c r="AS415" s="272"/>
      <c r="AT415" s="272"/>
      <c r="AU415" s="272"/>
      <c r="AV415" s="272"/>
      <c r="AW415" s="272"/>
      <c r="AX415" s="272"/>
      <c r="AY415" s="272"/>
      <c r="AZ415" s="272"/>
      <c r="BA415" s="272"/>
    </row>
    <row r="416" spans="1:53" outlineLevel="1" x14ac:dyDescent="0.35">
      <c r="A416" s="6" t="s">
        <v>35</v>
      </c>
      <c r="Z416" s="6">
        <f t="shared" si="58"/>
        <v>10.833007466179939</v>
      </c>
      <c r="AB416" s="272"/>
      <c r="AC416" s="272"/>
      <c r="AD416" s="272"/>
      <c r="AE416" s="272"/>
      <c r="AF416" s="272"/>
      <c r="AG416" s="272"/>
      <c r="AH416" s="272"/>
      <c r="AI416" s="272"/>
      <c r="AJ416" s="272"/>
      <c r="AK416" s="272"/>
      <c r="AL416" s="272"/>
      <c r="AM416" s="272"/>
      <c r="AN416" s="272"/>
      <c r="AO416" s="272"/>
      <c r="AP416" s="272"/>
      <c r="AQ416" s="272"/>
      <c r="AR416" s="272"/>
      <c r="AS416" s="272"/>
      <c r="AT416" s="272"/>
      <c r="AU416" s="272"/>
      <c r="AV416" s="272"/>
      <c r="AW416" s="272"/>
      <c r="AX416" s="272"/>
      <c r="AY416" s="272"/>
      <c r="AZ416" s="272"/>
      <c r="BA416" s="272"/>
    </row>
    <row r="417" spans="1:53" outlineLevel="1" x14ac:dyDescent="0.35">
      <c r="A417" s="6" t="s">
        <v>37</v>
      </c>
      <c r="Z417" s="6">
        <f t="shared" si="58"/>
        <v>8.5312997818991647</v>
      </c>
      <c r="AB417" s="272"/>
      <c r="AC417" s="272"/>
      <c r="AD417" s="272"/>
      <c r="AE417" s="272"/>
      <c r="AF417" s="272"/>
      <c r="AG417" s="272"/>
      <c r="AH417" s="272"/>
      <c r="AI417" s="272"/>
      <c r="AJ417" s="272"/>
      <c r="AK417" s="272"/>
      <c r="AL417" s="272"/>
      <c r="AM417" s="272"/>
      <c r="AN417" s="272"/>
      <c r="AO417" s="272"/>
      <c r="AP417" s="272"/>
      <c r="AQ417" s="272"/>
      <c r="AR417" s="272"/>
      <c r="AS417" s="272"/>
      <c r="AT417" s="272"/>
      <c r="AU417" s="272"/>
      <c r="AV417" s="272"/>
      <c r="AW417" s="272"/>
      <c r="AX417" s="272"/>
      <c r="AY417" s="272"/>
      <c r="AZ417" s="272"/>
      <c r="BA417" s="272"/>
    </row>
    <row r="418" spans="1:53" outlineLevel="1" x14ac:dyDescent="0.35">
      <c r="A418" s="6" t="s">
        <v>40</v>
      </c>
      <c r="Z418" s="6">
        <f t="shared" si="58"/>
        <v>276.98759875301192</v>
      </c>
    </row>
    <row r="419" spans="1:53" outlineLevel="1" x14ac:dyDescent="0.35">
      <c r="A419" s="6" t="s">
        <v>42</v>
      </c>
      <c r="Z419" s="6">
        <f t="shared" si="58"/>
        <v>21.184388048874229</v>
      </c>
    </row>
    <row r="420" spans="1:53" outlineLevel="1" x14ac:dyDescent="0.35">
      <c r="A420" s="6" t="s">
        <v>115</v>
      </c>
      <c r="Z420" s="6">
        <f t="shared" si="58"/>
        <v>111.8950350765938</v>
      </c>
    </row>
    <row r="421" spans="1:53" outlineLevel="1" x14ac:dyDescent="0.35">
      <c r="A421" s="6" t="s">
        <v>45</v>
      </c>
      <c r="Z421" s="6">
        <f>Z116*AC385</f>
        <v>9.8550188016235367</v>
      </c>
    </row>
    <row r="422" spans="1:53" outlineLevel="1" x14ac:dyDescent="0.35">
      <c r="A422" s="6" t="s">
        <v>116</v>
      </c>
      <c r="B422" s="6">
        <f>B117</f>
        <v>960.18627888201729</v>
      </c>
      <c r="C422" s="6">
        <f t="shared" ref="C422:Z422" si="59">C117</f>
        <v>940.20848272169962</v>
      </c>
      <c r="D422" s="6">
        <f t="shared" si="59"/>
        <v>919.97849385793086</v>
      </c>
      <c r="E422" s="6">
        <f t="shared" si="59"/>
        <v>894.9053469828998</v>
      </c>
      <c r="F422" s="6">
        <f t="shared" si="59"/>
        <v>874.14560255740878</v>
      </c>
      <c r="G422" s="6">
        <f t="shared" si="59"/>
        <v>853.02566083551835</v>
      </c>
      <c r="H422" s="6">
        <f t="shared" si="59"/>
        <v>847.74542197239737</v>
      </c>
      <c r="I422" s="6">
        <f t="shared" si="59"/>
        <v>842.52429825235538</v>
      </c>
      <c r="J422" s="6">
        <f t="shared" si="59"/>
        <v>834.79260296691643</v>
      </c>
      <c r="K422" s="6">
        <f t="shared" si="59"/>
        <v>829.74040861154253</v>
      </c>
      <c r="L422" s="6">
        <f t="shared" si="59"/>
        <v>824.73326237106448</v>
      </c>
      <c r="M422" s="6">
        <f t="shared" si="59"/>
        <v>823.07344849097387</v>
      </c>
      <c r="N422" s="6">
        <f t="shared" si="59"/>
        <v>821.41329377436136</v>
      </c>
      <c r="O422" s="6">
        <f t="shared" si="59"/>
        <v>819.03371604470158</v>
      </c>
      <c r="P422" s="6">
        <f t="shared" si="59"/>
        <v>817.39547696635384</v>
      </c>
      <c r="Q422" s="6">
        <f t="shared" si="59"/>
        <v>815.75248373031479</v>
      </c>
      <c r="R422" s="6">
        <f t="shared" si="59"/>
        <v>813.65077703361283</v>
      </c>
      <c r="S422" s="6">
        <f t="shared" si="59"/>
        <v>811.56970808838173</v>
      </c>
      <c r="T422" s="6">
        <f t="shared" si="59"/>
        <v>808.99669973300752</v>
      </c>
      <c r="U422" s="6">
        <f t="shared" si="59"/>
        <v>806.98075822559349</v>
      </c>
      <c r="V422" s="6">
        <f t="shared" si="59"/>
        <v>804.98906592315427</v>
      </c>
      <c r="W422" s="6">
        <f t="shared" si="59"/>
        <v>803.6131276705886</v>
      </c>
      <c r="X422" s="6">
        <f t="shared" si="59"/>
        <v>802.07562707288832</v>
      </c>
      <c r="Y422" s="6">
        <f t="shared" si="59"/>
        <v>800.54526605146236</v>
      </c>
      <c r="Z422" s="6">
        <f t="shared" si="59"/>
        <v>799.02195316520056</v>
      </c>
    </row>
    <row r="423" spans="1:53" outlineLevel="1" x14ac:dyDescent="0.35">
      <c r="A423" s="6" t="s">
        <v>758</v>
      </c>
      <c r="B423" s="6">
        <f>B118*$AC$385</f>
        <v>585.87680395062</v>
      </c>
      <c r="C423" s="6">
        <f t="shared" ref="C423:Z424" si="60">C118*$AC$385</f>
        <v>492.75924162522199</v>
      </c>
      <c r="D423" s="6">
        <f t="shared" si="60"/>
        <v>400.15963061595522</v>
      </c>
      <c r="E423" s="6">
        <f t="shared" si="60"/>
        <v>306.51765374241279</v>
      </c>
      <c r="F423" s="6">
        <f t="shared" si="60"/>
        <v>214.82972207454304</v>
      </c>
      <c r="G423" s="6">
        <f t="shared" si="60"/>
        <v>123.59827258783356</v>
      </c>
      <c r="H423" s="6">
        <f t="shared" si="60"/>
        <v>101.8623015404301</v>
      </c>
      <c r="I423" s="6">
        <f t="shared" si="60"/>
        <v>80.102105598109091</v>
      </c>
      <c r="J423" s="6">
        <f t="shared" si="60"/>
        <v>57.008459627061406</v>
      </c>
      <c r="K423" s="6">
        <f t="shared" si="60"/>
        <v>35.164054494560148</v>
      </c>
      <c r="L423" s="6">
        <f t="shared" si="60"/>
        <v>13.293444682895961</v>
      </c>
      <c r="M423" s="6">
        <f t="shared" si="60"/>
        <v>2.3796236077036736</v>
      </c>
      <c r="N423" s="6">
        <f t="shared" si="60"/>
        <v>-8.5211331341604808</v>
      </c>
      <c r="O423" s="6">
        <f t="shared" si="60"/>
        <v>-19.65992249153053</v>
      </c>
      <c r="P423" s="6">
        <f t="shared" si="60"/>
        <v>-30.53245939494602</v>
      </c>
      <c r="Q423" s="6">
        <f t="shared" si="60"/>
        <v>-41.398372946121711</v>
      </c>
      <c r="R423" s="6">
        <f t="shared" si="60"/>
        <v>-64.120201269456743</v>
      </c>
      <c r="S423" s="6">
        <f t="shared" si="60"/>
        <v>-86.87260001454014</v>
      </c>
      <c r="T423" s="6">
        <f t="shared" si="60"/>
        <v>-109.82995365592485</v>
      </c>
      <c r="U423" s="6">
        <f t="shared" si="60"/>
        <v>-132.62963158978636</v>
      </c>
      <c r="V423" s="6">
        <f t="shared" si="60"/>
        <v>-155.4448712434029</v>
      </c>
      <c r="W423" s="6">
        <f t="shared" si="60"/>
        <v>-174.80954784180764</v>
      </c>
      <c r="X423" s="6">
        <f t="shared" si="60"/>
        <v>-194.6837752064873</v>
      </c>
      <c r="Y423" s="6">
        <f t="shared" si="60"/>
        <v>-214.55262775219305</v>
      </c>
      <c r="Z423" s="6">
        <f t="shared" si="60"/>
        <v>-234.41687347701108</v>
      </c>
    </row>
    <row r="424" spans="1:53" outlineLevel="1" x14ac:dyDescent="0.35">
      <c r="A424" s="6" t="s">
        <v>759</v>
      </c>
      <c r="B424" s="6">
        <f>B119*$AC$385</f>
        <v>0</v>
      </c>
      <c r="C424" s="6">
        <f t="shared" si="60"/>
        <v>0</v>
      </c>
      <c r="D424" s="6">
        <f t="shared" si="60"/>
        <v>0</v>
      </c>
      <c r="E424" s="6">
        <f t="shared" si="60"/>
        <v>0</v>
      </c>
      <c r="F424" s="6">
        <f t="shared" si="60"/>
        <v>0</v>
      </c>
      <c r="G424" s="6">
        <f t="shared" si="60"/>
        <v>0</v>
      </c>
      <c r="H424" s="6">
        <f t="shared" si="60"/>
        <v>0</v>
      </c>
      <c r="I424" s="6">
        <f t="shared" si="60"/>
        <v>0</v>
      </c>
      <c r="J424" s="6">
        <f t="shared" si="60"/>
        <v>0</v>
      </c>
      <c r="K424" s="6">
        <f t="shared" si="60"/>
        <v>0</v>
      </c>
      <c r="L424" s="6">
        <f t="shared" si="60"/>
        <v>0</v>
      </c>
      <c r="M424" s="6">
        <f t="shared" si="60"/>
        <v>0</v>
      </c>
      <c r="N424" s="6">
        <f t="shared" si="60"/>
        <v>0</v>
      </c>
      <c r="O424" s="6">
        <f t="shared" si="60"/>
        <v>0</v>
      </c>
      <c r="P424" s="6">
        <f t="shared" si="60"/>
        <v>0</v>
      </c>
      <c r="Q424" s="6">
        <f t="shared" si="60"/>
        <v>0</v>
      </c>
      <c r="R424" s="6">
        <f t="shared" si="60"/>
        <v>0</v>
      </c>
      <c r="S424" s="6">
        <f t="shared" si="60"/>
        <v>0</v>
      </c>
      <c r="T424" s="6">
        <f t="shared" si="60"/>
        <v>0</v>
      </c>
      <c r="U424" s="6">
        <f t="shared" si="60"/>
        <v>0</v>
      </c>
      <c r="V424" s="6">
        <f t="shared" si="60"/>
        <v>0</v>
      </c>
      <c r="W424" s="6">
        <f t="shared" si="60"/>
        <v>0</v>
      </c>
      <c r="X424" s="6">
        <f t="shared" si="60"/>
        <v>0</v>
      </c>
      <c r="Y424" s="6">
        <f t="shared" si="60"/>
        <v>0</v>
      </c>
      <c r="Z424" s="6">
        <f t="shared" si="60"/>
        <v>0</v>
      </c>
    </row>
    <row r="425" spans="1:53" outlineLevel="1" x14ac:dyDescent="0.35">
      <c r="A425" s="6" t="s">
        <v>760</v>
      </c>
      <c r="B425" s="6">
        <f>$B$252*$AC$384*'Results - raw data ReCiPe (H)'!CC128/(1-$AC$390)*(1+'Results ReCiPe (H) - HHD'!$AC$271/'Results ReCiPe (H) - HHD'!$AC$272-'Results ReCiPe (H) - HHD'!$AC$271)</f>
        <v>2650.0793843002111</v>
      </c>
      <c r="C425" s="6">
        <f>$B$252*$AC$384*'Results - raw data ReCiPe (H)'!CD128/(1-$AC$390)*(1+'Results ReCiPe (H) - HHD'!$AC$271/'Results ReCiPe (H) - HHD'!$AC$272-'Results ReCiPe (H) - HHD'!$AC$271)</f>
        <v>2541.6073626931889</v>
      </c>
      <c r="D425" s="6">
        <f>$B$252*$AC$384*'Results - raw data ReCiPe (H)'!CE128/(1-$AC$390)*(1+'Results ReCiPe (H) - HHD'!$AC$271/'Results ReCiPe (H) - HHD'!$AC$272-'Results ReCiPe (H) - HHD'!$AC$271)</f>
        <v>2433.0071283679886</v>
      </c>
      <c r="E425" s="6">
        <f>$B$252*$AC$384*'Results - raw data ReCiPe (H)'!CF128/(1-$AC$390)*(1+'Results ReCiPe (H) - HHD'!$AC$271/'Results ReCiPe (H) - HHD'!$AC$272-'Results ReCiPe (H) - HHD'!$AC$271)</f>
        <v>2300.6668687623819</v>
      </c>
      <c r="F425" s="6">
        <f>$B$252*$AC$384*'Results - raw data ReCiPe (H)'!CG128/(1-$AC$390)*(1+'Results ReCiPe (H) - HHD'!$AC$271/'Results ReCiPe (H) - HHD'!$AC$272-'Results ReCiPe (H) - HHD'!$AC$271)</f>
        <v>2190.2202785139721</v>
      </c>
      <c r="G425" s="6">
        <f>$B$252*$AC$384*'Results - raw data ReCiPe (H)'!CH128/(1-$AC$390)*(1+'Results ReCiPe (H) - HHD'!$AC$271/'Results ReCiPe (H) - HHD'!$AC$272-'Results ReCiPe (H) - HHD'!$AC$271)</f>
        <v>2079.4641618918836</v>
      </c>
      <c r="H425" s="6">
        <f>$B$252*$AC$384*'Results - raw data ReCiPe (H)'!CI128/(1-$AC$390)*(1+'Results ReCiPe (H) - HHD'!$AC$271/'Results ReCiPe (H) - HHD'!$AC$272-'Results ReCiPe (H) - HHD'!$AC$271)</f>
        <v>2039.8273464279516</v>
      </c>
      <c r="I425" s="6">
        <f>$B$252*$AC$384*'Results - raw data ReCiPe (H)'!CJ128/(1-$AC$390)*(1+'Results ReCiPe (H) - HHD'!$AC$271/'Results ReCiPe (H) - HHD'!$AC$272-'Results ReCiPe (H) - HHD'!$AC$271)</f>
        <v>2000.6150725035884</v>
      </c>
      <c r="J425" s="6">
        <f>$B$252*$AC$384*'Results - raw data ReCiPe (H)'!CK128/(1-$AC$390)*(1+'Results ReCiPe (H) - HHD'!$AC$271/'Results ReCiPe (H) - HHD'!$AC$272-'Results ReCiPe (H) - HHD'!$AC$271)</f>
        <v>1948.8507496717691</v>
      </c>
      <c r="K425" s="6">
        <f>$B$252*$AC$384*'Results - raw data ReCiPe (H)'!CL128/(1-$AC$390)*(1+'Results ReCiPe (H) - HHD'!$AC$271/'Results ReCiPe (H) - HHD'!$AC$272-'Results ReCiPe (H) - HHD'!$AC$271)</f>
        <v>1910.6794202964779</v>
      </c>
      <c r="L425" s="6">
        <f>$B$252*$AC$384*'Results - raw data ReCiPe (H)'!CM128/(1-$AC$390)*(1+'Results ReCiPe (H) - HHD'!$AC$271/'Results ReCiPe (H) - HHD'!$AC$272-'Results ReCiPe (H) - HHD'!$AC$271)</f>
        <v>1873.072372753915</v>
      </c>
      <c r="M425" s="6">
        <f>$B$252*$AC$384*'Results - raw data ReCiPe (H)'!CN128/(1-$AC$390)*(1+'Results ReCiPe (H) - HHD'!$AC$271/'Results ReCiPe (H) - HHD'!$AC$272-'Results ReCiPe (H) - HHD'!$AC$271)</f>
        <v>1853.7417970471508</v>
      </c>
      <c r="N425" s="6">
        <f>$B$252*$AC$384*'Results - raw data ReCiPe (H)'!CO128/(1-$AC$390)*(1+'Results ReCiPe (H) - HHD'!$AC$271/'Results ReCiPe (H) - HHD'!$AC$272-'Results ReCiPe (H) - HHD'!$AC$271)</f>
        <v>1834.896888825285</v>
      </c>
      <c r="O425" s="6">
        <f>$B$252*$AC$384*'Results - raw data ReCiPe (H)'!CP128/(1-$AC$390)*(1+'Results ReCiPe (H) - HHD'!$AC$271/'Results ReCiPe (H) - HHD'!$AC$272-'Results ReCiPe (H) - HHD'!$AC$271)</f>
        <v>1813.0185761161483</v>
      </c>
      <c r="P425" s="6">
        <f>$B$252*$AC$384*'Results - raw data ReCiPe (H)'!CQ128/(1-$AC$390)*(1+'Results ReCiPe (H) - HHD'!$AC$271/'Results ReCiPe (H) - HHD'!$AC$272-'Results ReCiPe (H) - HHD'!$AC$271)</f>
        <v>1794.7734566282738</v>
      </c>
      <c r="Q425" s="6">
        <f>$B$252*$AC$384*'Results - raw data ReCiPe (H)'!CR128/(1-$AC$390)*(1+'Results ReCiPe (H) - HHD'!$AC$271/'Results ReCiPe (H) - HHD'!$AC$272-'Results ReCiPe (H) - HHD'!$AC$271)</f>
        <v>1776.73743982105</v>
      </c>
      <c r="R425" s="6">
        <f>$B$252*$AC$384*'Results - raw data ReCiPe (H)'!CS128/(1-$AC$390)*(1+'Results ReCiPe (H) - HHD'!$AC$271/'Results ReCiPe (H) - HHD'!$AC$272-'Results ReCiPe (H) - HHD'!$AC$271)</f>
        <v>1761.4690216885651</v>
      </c>
      <c r="S425" s="6">
        <f>$B$252*$AC$384*'Results - raw data ReCiPe (H)'!CT128/(1-$AC$390)*(1+'Results ReCiPe (H) - HHD'!$AC$271/'Results ReCiPe (H) - HHD'!$AC$272-'Results ReCiPe (H) - HHD'!$AC$271)</f>
        <v>1746.5052342453239</v>
      </c>
      <c r="T425" s="6">
        <f>$B$252*$AC$384*'Results - raw data ReCiPe (H)'!CU128/(1-$AC$390)*(1+'Results ReCiPe (H) - HHD'!$AC$271/'Results ReCiPe (H) - HHD'!$AC$272-'Results ReCiPe (H) - HHD'!$AC$271)</f>
        <v>1729.3772380843191</v>
      </c>
      <c r="U425" s="6">
        <f>$B$252*$AC$384*'Results - raw data ReCiPe (H)'!CV128/(1-$AC$390)*(1+'Results ReCiPe (H) - HHD'!$AC$271/'Results ReCiPe (H) - HHD'!$AC$272-'Results ReCiPe (H) - HHD'!$AC$271)</f>
        <v>1714.9999937436305</v>
      </c>
      <c r="V425" s="6">
        <f>$B$252*$AC$384*'Results - raw data ReCiPe (H)'!CW128/(1-$AC$390)*(1+'Results ReCiPe (H) - HHD'!$AC$271/'Results ReCiPe (H) - HHD'!$AC$272-'Results ReCiPe (H) - HHD'!$AC$271)</f>
        <v>1701.4844871720695</v>
      </c>
      <c r="W425" s="6">
        <f>$B$252*$AC$384*'Results - raw data ReCiPe (H)'!CX128/(1-$AC$390)*(1+'Results ReCiPe (H) - HHD'!$AC$271/'Results ReCiPe (H) - HHD'!$AC$272-'Results ReCiPe (H) - HHD'!$AC$271)</f>
        <v>1695.2635433426133</v>
      </c>
      <c r="X425" s="6">
        <f>$B$252*$AC$384*'Results - raw data ReCiPe (H)'!CY128/(1-$AC$390)*(1+'Results ReCiPe (H) - HHD'!$AC$271/'Results ReCiPe (H) - HHD'!$AC$272-'Results ReCiPe (H) - HHD'!$AC$271)</f>
        <v>1687.3846102100827</v>
      </c>
      <c r="Y425" s="6">
        <f>$B$252*$AC$384*'Results - raw data ReCiPe (H)'!CZ128/(1-$AC$390)*(1+'Results ReCiPe (H) - HHD'!$AC$271/'Results ReCiPe (H) - HHD'!$AC$272-'Results ReCiPe (H) - HHD'!$AC$271)</f>
        <v>1679.6135338524884</v>
      </c>
      <c r="Z425" s="6">
        <f>$B$252*$AC$384*'Results - raw data ReCiPe (H)'!DA128/(1-$AC$390)*(1+'Results ReCiPe (H) - HHD'!$AC$271/'Results ReCiPe (H) - HHD'!$AC$272-'Results ReCiPe (H) - HHD'!$AC$271)</f>
        <v>1671.9487029706991</v>
      </c>
    </row>
    <row r="426" spans="1:53" outlineLevel="1" x14ac:dyDescent="0.35">
      <c r="A426" s="6" t="s">
        <v>797</v>
      </c>
      <c r="B426" s="6">
        <f>$B$380*$AC$384</f>
        <v>2748.4212418876773</v>
      </c>
      <c r="C426" s="6">
        <f t="shared" ref="C426:Z426" si="61">$B$380*$AC$384</f>
        <v>2748.4212418876773</v>
      </c>
      <c r="D426" s="6">
        <f t="shared" si="61"/>
        <v>2748.4212418876773</v>
      </c>
      <c r="E426" s="6">
        <f t="shared" si="61"/>
        <v>2748.4212418876773</v>
      </c>
      <c r="F426" s="6">
        <f t="shared" si="61"/>
        <v>2748.4212418876773</v>
      </c>
      <c r="G426" s="6">
        <f t="shared" si="61"/>
        <v>2748.4212418876773</v>
      </c>
      <c r="H426" s="6">
        <f t="shared" si="61"/>
        <v>2748.4212418876773</v>
      </c>
      <c r="I426" s="6">
        <f t="shared" si="61"/>
        <v>2748.4212418876773</v>
      </c>
      <c r="J426" s="6">
        <f t="shared" si="61"/>
        <v>2748.4212418876773</v>
      </c>
      <c r="K426" s="6">
        <f t="shared" si="61"/>
        <v>2748.4212418876773</v>
      </c>
      <c r="L426" s="6">
        <f t="shared" si="61"/>
        <v>2748.4212418876773</v>
      </c>
      <c r="M426" s="6">
        <f t="shared" si="61"/>
        <v>2748.4212418876773</v>
      </c>
      <c r="N426" s="6">
        <f t="shared" si="61"/>
        <v>2748.4212418876773</v>
      </c>
      <c r="O426" s="6">
        <f t="shared" si="61"/>
        <v>2748.4212418876773</v>
      </c>
      <c r="P426" s="6">
        <f t="shared" si="61"/>
        <v>2748.4212418876773</v>
      </c>
      <c r="Q426" s="6">
        <f t="shared" si="61"/>
        <v>2748.4212418876773</v>
      </c>
      <c r="R426" s="6">
        <f t="shared" si="61"/>
        <v>2748.4212418876773</v>
      </c>
      <c r="S426" s="6">
        <f t="shared" si="61"/>
        <v>2748.4212418876773</v>
      </c>
      <c r="T426" s="6">
        <f t="shared" si="61"/>
        <v>2748.4212418876773</v>
      </c>
      <c r="U426" s="6">
        <f t="shared" si="61"/>
        <v>2748.4212418876773</v>
      </c>
      <c r="V426" s="6">
        <f t="shared" si="61"/>
        <v>2748.4212418876773</v>
      </c>
      <c r="W426" s="6">
        <f t="shared" si="61"/>
        <v>2748.4212418876773</v>
      </c>
      <c r="X426" s="6">
        <f t="shared" si="61"/>
        <v>2748.4212418876773</v>
      </c>
      <c r="Y426" s="6">
        <f t="shared" si="61"/>
        <v>2748.4212418876773</v>
      </c>
      <c r="Z426" s="6">
        <f t="shared" si="61"/>
        <v>2748.4212418876773</v>
      </c>
    </row>
    <row r="427" spans="1:53" outlineLevel="1" x14ac:dyDescent="0.35">
      <c r="A427" s="23" t="s">
        <v>125</v>
      </c>
      <c r="B427" s="17">
        <f>SUM(B395:B425)</f>
        <v>28871.159236585718</v>
      </c>
      <c r="C427" s="17">
        <f t="shared" ref="C427:Z427" si="62">SUM(C395:C425)</f>
        <v>3974.5750870401107</v>
      </c>
      <c r="D427" s="17">
        <f t="shared" si="62"/>
        <v>3753.1452528418749</v>
      </c>
      <c r="E427" s="17">
        <f t="shared" si="62"/>
        <v>3502.0898694876946</v>
      </c>
      <c r="F427" s="17">
        <f t="shared" si="62"/>
        <v>3279.195603145924</v>
      </c>
      <c r="G427" s="17">
        <f t="shared" si="62"/>
        <v>3056.0880953152355</v>
      </c>
      <c r="H427" s="17">
        <f t="shared" si="62"/>
        <v>2989.4350699407792</v>
      </c>
      <c r="I427" s="17">
        <f t="shared" si="62"/>
        <v>2923.2414763540528</v>
      </c>
      <c r="J427" s="17">
        <f t="shared" si="62"/>
        <v>2840.6518122657471</v>
      </c>
      <c r="K427" s="17">
        <f t="shared" si="62"/>
        <v>2775.5838834025808</v>
      </c>
      <c r="L427" s="17">
        <f t="shared" si="62"/>
        <v>2711.0990798078756</v>
      </c>
      <c r="M427" s="17">
        <f t="shared" si="62"/>
        <v>2679.1948691458283</v>
      </c>
      <c r="N427" s="17">
        <f t="shared" si="62"/>
        <v>2647.7890494654857</v>
      </c>
      <c r="O427" s="17">
        <f t="shared" si="62"/>
        <v>2612.3923696693191</v>
      </c>
      <c r="P427" s="17">
        <f t="shared" si="62"/>
        <v>2581.6364741996817</v>
      </c>
      <c r="Q427" s="17">
        <f t="shared" si="62"/>
        <v>2551.0915506052429</v>
      </c>
      <c r="R427" s="17">
        <f t="shared" si="62"/>
        <v>2510.999597452721</v>
      </c>
      <c r="S427" s="17">
        <f t="shared" si="62"/>
        <v>2471.2023423191654</v>
      </c>
      <c r="T427" s="17">
        <f t="shared" si="62"/>
        <v>2428.5439841614016</v>
      </c>
      <c r="U427" s="17">
        <f t="shared" si="62"/>
        <v>2389.3511203794378</v>
      </c>
      <c r="V427" s="17">
        <f t="shared" si="62"/>
        <v>2351.0286818518207</v>
      </c>
      <c r="W427" s="17">
        <f t="shared" si="62"/>
        <v>2324.0671231713941</v>
      </c>
      <c r="X427" s="17">
        <f t="shared" si="62"/>
        <v>2294.7764620764838</v>
      </c>
      <c r="Y427" s="17">
        <f t="shared" si="62"/>
        <v>2265.6061721517576</v>
      </c>
      <c r="Z427" s="17">
        <f t="shared" si="62"/>
        <v>2752.5105069087076</v>
      </c>
    </row>
    <row r="428" spans="1:53" s="26" customFormat="1" outlineLevel="1" x14ac:dyDescent="0.35"/>
    <row r="429" spans="1:53" s="236" customFormat="1" ht="21" x14ac:dyDescent="0.5">
      <c r="A429" s="236" t="s">
        <v>136</v>
      </c>
    </row>
    <row r="432" spans="1:53" x14ac:dyDescent="0.35">
      <c r="A432" s="331" t="s">
        <v>131</v>
      </c>
      <c r="B432" s="331"/>
      <c r="C432" s="331"/>
      <c r="D432" s="331"/>
      <c r="E432" s="331"/>
      <c r="F432" s="331"/>
      <c r="G432" s="331"/>
      <c r="H432" s="331"/>
      <c r="I432" s="331"/>
      <c r="J432" s="331"/>
      <c r="K432" s="331"/>
    </row>
    <row r="433" spans="1:11" x14ac:dyDescent="0.35">
      <c r="A433" s="6" t="s">
        <v>875</v>
      </c>
    </row>
    <row r="434" spans="1:11" x14ac:dyDescent="0.35">
      <c r="B434" s="6" t="s">
        <v>889</v>
      </c>
      <c r="C434" s="6" t="s">
        <v>891</v>
      </c>
      <c r="D434" s="6" t="s">
        <v>890</v>
      </c>
      <c r="E434" s="6" t="s">
        <v>892</v>
      </c>
      <c r="F434" s="6" t="s">
        <v>893</v>
      </c>
      <c r="G434" s="6" t="s">
        <v>894</v>
      </c>
      <c r="H434" s="6" t="s">
        <v>896</v>
      </c>
      <c r="I434" s="6" t="s">
        <v>897</v>
      </c>
      <c r="J434" s="6" t="s">
        <v>895</v>
      </c>
    </row>
    <row r="435" spans="1:11" x14ac:dyDescent="0.35">
      <c r="A435" s="6" t="s">
        <v>117</v>
      </c>
      <c r="B435" s="6">
        <f>SUM(AC10:BA10)</f>
        <v>38347.290835764303</v>
      </c>
      <c r="C435" s="6">
        <f>SUM(AC50:BA50)</f>
        <v>35571.801809533943</v>
      </c>
      <c r="D435" s="6">
        <f>SUM(AC90:BA90)</f>
        <v>27769.199509564176</v>
      </c>
      <c r="E435" s="6">
        <f>SUM(AC132:BA132)</f>
        <v>38347.290835764303</v>
      </c>
      <c r="F435" s="6">
        <f>SUM(AC173:BA173)</f>
        <v>35571.801809533943</v>
      </c>
      <c r="G435" s="6">
        <f>SUM(AC214:BA214)</f>
        <v>27769.199509564176</v>
      </c>
      <c r="H435" s="6">
        <f>SUM(AC274:BA274)</f>
        <v>34126.372886235426</v>
      </c>
      <c r="I435" s="6">
        <f>SUM(AC334:BA334)</f>
        <v>31378.879876764171</v>
      </c>
      <c r="J435" s="6">
        <f>SUM(AC395:BA395)</f>
        <v>23659.708947237723</v>
      </c>
    </row>
    <row r="436" spans="1:11" x14ac:dyDescent="0.35">
      <c r="A436" s="6" t="s">
        <v>118</v>
      </c>
      <c r="B436" s="6">
        <f>SUM(AC11:BA11)</f>
        <v>2481.0563584021374</v>
      </c>
      <c r="C436" s="6">
        <f>SUM(AC51:BA51)</f>
        <v>2321.3557239996653</v>
      </c>
      <c r="D436" s="6">
        <f>SUM(AC91:BA91)</f>
        <v>2030.6156444302903</v>
      </c>
      <c r="E436" s="6">
        <f>SUM(AC133:BA133)</f>
        <v>2481.0563584021374</v>
      </c>
      <c r="F436" s="6">
        <f>SUM(AC174:BA174)</f>
        <v>2321.3557239996653</v>
      </c>
      <c r="G436" s="6">
        <f>SUM(AC215:BA215)</f>
        <v>2030.6156444302903</v>
      </c>
      <c r="H436" s="6">
        <f t="shared" ref="H436:H444" si="63">SUM(AC275:BA275)</f>
        <v>1240.5281792010687</v>
      </c>
      <c r="I436" s="6">
        <f t="shared" ref="I436:I444" si="64">SUM(AC335:BA335)</f>
        <v>1160.6778619998327</v>
      </c>
      <c r="J436" s="6">
        <f t="shared" ref="J436:J444" si="65">SUM(AC396:BA396)</f>
        <v>1015.3078222151452</v>
      </c>
    </row>
    <row r="437" spans="1:11" x14ac:dyDescent="0.35">
      <c r="A437" s="6" t="s">
        <v>119</v>
      </c>
      <c r="B437" s="6">
        <f>SUM(AC12:BA12)</f>
        <v>691.18373370688425</v>
      </c>
      <c r="C437" s="6">
        <f>SUM(AC52:BA52)</f>
        <v>578.38595176265494</v>
      </c>
      <c r="D437" s="6">
        <f>SUM(AC92:BA92)</f>
        <v>506.10170544819584</v>
      </c>
      <c r="E437" s="6">
        <f>SUM(AC134:BA134)</f>
        <v>691.18373370688425</v>
      </c>
      <c r="F437" s="6">
        <f>SUM(AC175:BA175)</f>
        <v>578.38595176265494</v>
      </c>
      <c r="G437" s="6">
        <f>SUM(AC216:BA216)</f>
        <v>506.10170544819584</v>
      </c>
      <c r="H437" s="6">
        <f t="shared" si="63"/>
        <v>691.18373370688425</v>
      </c>
      <c r="I437" s="6">
        <f t="shared" si="64"/>
        <v>578.38595176265494</v>
      </c>
      <c r="J437" s="6">
        <f t="shared" si="65"/>
        <v>506.10170544819584</v>
      </c>
    </row>
    <row r="438" spans="1:11" x14ac:dyDescent="0.35">
      <c r="A438" s="6" t="s">
        <v>120</v>
      </c>
      <c r="B438" s="6">
        <f>SUM(AC13:BA13)</f>
        <v>22.494520912096178</v>
      </c>
      <c r="C438" s="6">
        <f>SUM(AC53:BA53)</f>
        <v>20.958999559062121</v>
      </c>
      <c r="D438" s="6">
        <f>SUM(AC93:BA93)</f>
        <v>19.710037603247073</v>
      </c>
      <c r="E438" s="6">
        <f>SUM(AC135:BA135)</f>
        <v>22.494520912096178</v>
      </c>
      <c r="F438" s="6">
        <f>SUM(AC176:BA176)</f>
        <v>20.958999559062121</v>
      </c>
      <c r="G438" s="6">
        <f>SUM(AC217:BA217)</f>
        <v>19.710037603247073</v>
      </c>
      <c r="H438" s="6">
        <f t="shared" si="63"/>
        <v>11.247260456048089</v>
      </c>
      <c r="I438" s="6">
        <f t="shared" si="64"/>
        <v>10.479499779531061</v>
      </c>
      <c r="J438" s="6">
        <f t="shared" si="65"/>
        <v>9.8550188016235367</v>
      </c>
    </row>
    <row r="439" spans="1:11" x14ac:dyDescent="0.35">
      <c r="A439" s="6" t="s">
        <v>121</v>
      </c>
      <c r="B439" s="6">
        <f>SUM(AC14:BA14)</f>
        <v>10503.496367688327</v>
      </c>
      <c r="C439" s="6">
        <f>SUM(AC54:BA54)</f>
        <v>8825.488167018606</v>
      </c>
      <c r="D439" s="6">
        <f>SUM(AC94:BA94)</f>
        <v>7581.3750145223294</v>
      </c>
      <c r="E439" s="6">
        <f>SUM(AC136:BA136)</f>
        <v>10503.496367688327</v>
      </c>
      <c r="F439" s="6">
        <f>SUM(AC177:BA177)</f>
        <v>8825.488167018606</v>
      </c>
      <c r="G439" s="6">
        <f>SUM(AC218:BA218)</f>
        <v>7581.3750145223294</v>
      </c>
      <c r="H439" s="6">
        <f t="shared" si="63"/>
        <v>10503.496367688327</v>
      </c>
      <c r="I439" s="6">
        <f t="shared" si="64"/>
        <v>8825.488167018606</v>
      </c>
      <c r="J439" s="6">
        <f t="shared" si="65"/>
        <v>7581.3750145223294</v>
      </c>
    </row>
    <row r="440" spans="1:11" x14ac:dyDescent="0.35">
      <c r="A440" s="6" t="s">
        <v>800</v>
      </c>
      <c r="H440" s="6">
        <f t="shared" si="63"/>
        <v>112898.48241578696</v>
      </c>
      <c r="I440" s="6">
        <f t="shared" si="64"/>
        <v>102862.64321061136</v>
      </c>
      <c r="J440" s="6">
        <f t="shared" si="65"/>
        <v>68710.531047191922</v>
      </c>
    </row>
    <row r="441" spans="1:11" x14ac:dyDescent="0.35">
      <c r="A441" s="6" t="s">
        <v>122</v>
      </c>
      <c r="B441" s="6">
        <f>SUM(AC15:BA15)</f>
        <v>1437665.276701791</v>
      </c>
      <c r="C441" s="6">
        <f>SUM(AC55:BA55)</f>
        <v>308207.22716838453</v>
      </c>
      <c r="D441" s="6">
        <f>SUM(AC95:BA95)</f>
        <v>-4254.4364840951257</v>
      </c>
      <c r="E441" s="6">
        <f>SUM(AC137:BA137)</f>
        <v>1108709.2568672993</v>
      </c>
      <c r="F441" s="6">
        <f>SUM(AC178:BA178)</f>
        <v>241931.31589996492</v>
      </c>
      <c r="G441" s="6">
        <f>SUM(AC219:BA219)</f>
        <v>649.05144295640821</v>
      </c>
      <c r="H441" s="6">
        <f t="shared" si="63"/>
        <v>88602.981622111998</v>
      </c>
      <c r="I441" s="6">
        <f t="shared" si="64"/>
        <v>63010.76708621213</v>
      </c>
      <c r="J441" s="6">
        <f t="shared" si="65"/>
        <v>48429.304669931036</v>
      </c>
    </row>
    <row r="442" spans="1:11" x14ac:dyDescent="0.35">
      <c r="A442" s="6" t="s">
        <v>123</v>
      </c>
      <c r="B442" s="6">
        <f>SUM(AC16:BA16)</f>
        <v>111204.38637368241</v>
      </c>
      <c r="C442" s="6">
        <f>SUM(AC56:BA56)</f>
        <v>25862.154560281801</v>
      </c>
      <c r="D442" s="6">
        <f>SUM(AC96:BA96)</f>
        <v>1892.1586882599561</v>
      </c>
      <c r="E442" s="6">
        <f>SUM(AC138:BA138)</f>
        <v>111204.38637368241</v>
      </c>
      <c r="F442" s="6">
        <f>SUM(AC179:BA179)</f>
        <v>25862.154560281801</v>
      </c>
      <c r="G442" s="6">
        <f>SUM(AC220:BA220)</f>
        <v>1892.1586882599561</v>
      </c>
      <c r="H442" s="6">
        <f t="shared" si="63"/>
        <v>55602.193186841207</v>
      </c>
      <c r="I442" s="6">
        <f t="shared" si="64"/>
        <v>12931.0772801409</v>
      </c>
      <c r="J442" s="6">
        <f t="shared" si="65"/>
        <v>946.07934412997804</v>
      </c>
    </row>
    <row r="443" spans="1:11" x14ac:dyDescent="0.35">
      <c r="A443" s="6" t="s">
        <v>124</v>
      </c>
      <c r="B443" s="6">
        <f>SUM(AC17:BA17)</f>
        <v>-2500000</v>
      </c>
      <c r="C443" s="6">
        <f>SUM(AC57:BA57)</f>
        <v>-2500000</v>
      </c>
      <c r="D443" s="6">
        <f>SUM(AC97:BA97)</f>
        <v>-2500000</v>
      </c>
      <c r="E443" s="6">
        <f>SUM(AC139:BA139)</f>
        <v>-2500000</v>
      </c>
      <c r="F443" s="6">
        <f>SUM(AC180:BA180)</f>
        <v>-2500000</v>
      </c>
      <c r="G443" s="6">
        <f>SUM(AC221:BA221)</f>
        <v>-2500000</v>
      </c>
      <c r="H443" s="6">
        <f t="shared" si="63"/>
        <v>-1250000</v>
      </c>
      <c r="I443" s="6">
        <f t="shared" si="64"/>
        <v>-1250000</v>
      </c>
      <c r="J443" s="6">
        <f t="shared" si="65"/>
        <v>-1250000</v>
      </c>
    </row>
    <row r="444" spans="1:11" x14ac:dyDescent="0.35">
      <c r="A444" s="6" t="s">
        <v>137</v>
      </c>
      <c r="B444" s="6">
        <f>SUM(AC18:BA18)</f>
        <v>-899084.8151080528</v>
      </c>
      <c r="C444" s="6">
        <f>SUM(AC58:BA58)</f>
        <v>-2118612.6276194598</v>
      </c>
      <c r="D444" s="6">
        <f>SUM(AC98:BA98)</f>
        <v>-2464455.2758842674</v>
      </c>
      <c r="E444" s="6">
        <f>SUM(AC140:BA140)</f>
        <v>-1228040.8349425443</v>
      </c>
      <c r="F444" s="6">
        <f>SUM(AC181:BA181)</f>
        <v>-2184888.5388878793</v>
      </c>
      <c r="G444" s="6">
        <f>SUM(AC222:BA222)</f>
        <v>-2459551.7879572157</v>
      </c>
      <c r="H444" s="6">
        <f t="shared" si="63"/>
        <v>-946323.51434797212</v>
      </c>
      <c r="I444" s="6">
        <f t="shared" si="64"/>
        <v>-1029241.6010657108</v>
      </c>
      <c r="J444" s="6">
        <f t="shared" si="65"/>
        <v>-1099141.7364305221</v>
      </c>
    </row>
    <row r="446" spans="1:11" x14ac:dyDescent="0.35">
      <c r="A446" s="331" t="s">
        <v>133</v>
      </c>
      <c r="B446" s="331"/>
      <c r="C446" s="331"/>
      <c r="D446" s="331"/>
      <c r="E446" s="331"/>
      <c r="F446" s="331"/>
      <c r="G446" s="331"/>
      <c r="H446" s="331"/>
      <c r="I446" s="331"/>
      <c r="J446" s="331"/>
      <c r="K446" s="331"/>
    </row>
    <row r="447" spans="1:11" x14ac:dyDescent="0.35">
      <c r="A447" s="6" t="s">
        <v>876</v>
      </c>
    </row>
    <row r="448" spans="1:11" x14ac:dyDescent="0.35">
      <c r="B448" s="6" t="s">
        <v>889</v>
      </c>
      <c r="C448" s="6" t="s">
        <v>891</v>
      </c>
      <c r="D448" s="6" t="s">
        <v>890</v>
      </c>
      <c r="E448" s="6" t="s">
        <v>892</v>
      </c>
      <c r="F448" s="6" t="s">
        <v>893</v>
      </c>
      <c r="G448" s="6" t="s">
        <v>894</v>
      </c>
      <c r="H448" s="6" t="s">
        <v>896</v>
      </c>
      <c r="I448" s="6" t="s">
        <v>897</v>
      </c>
      <c r="J448" s="6" t="s">
        <v>895</v>
      </c>
    </row>
    <row r="449" spans="1:11" x14ac:dyDescent="0.35">
      <c r="A449" s="6" t="s">
        <v>117</v>
      </c>
      <c r="B449" s="6">
        <f>B435/25</f>
        <v>1533.891633430572</v>
      </c>
      <c r="C449" s="6">
        <f t="shared" ref="C449:J449" si="66">C435/25</f>
        <v>1422.8720723813576</v>
      </c>
      <c r="D449" s="6">
        <f t="shared" si="66"/>
        <v>1110.767980382567</v>
      </c>
      <c r="E449" s="6">
        <f t="shared" si="66"/>
        <v>1533.891633430572</v>
      </c>
      <c r="F449" s="6">
        <f t="shared" si="66"/>
        <v>1422.8720723813576</v>
      </c>
      <c r="G449" s="6">
        <f t="shared" si="66"/>
        <v>1110.767980382567</v>
      </c>
      <c r="H449" s="6">
        <f t="shared" si="66"/>
        <v>1365.054915449417</v>
      </c>
      <c r="I449" s="6">
        <f t="shared" si="66"/>
        <v>1255.1551950705668</v>
      </c>
      <c r="J449" s="6">
        <f t="shared" si="66"/>
        <v>946.38835788950894</v>
      </c>
    </row>
    <row r="450" spans="1:11" x14ac:dyDescent="0.35">
      <c r="A450" s="6" t="s">
        <v>118</v>
      </c>
      <c r="B450" s="6">
        <f t="shared" ref="B450:J458" si="67">B436/25</f>
        <v>99.242254336085495</v>
      </c>
      <c r="C450" s="6">
        <f t="shared" si="67"/>
        <v>92.854228959986614</v>
      </c>
      <c r="D450" s="6">
        <f t="shared" si="67"/>
        <v>81.224625777211614</v>
      </c>
      <c r="E450" s="6">
        <f t="shared" si="67"/>
        <v>99.242254336085495</v>
      </c>
      <c r="F450" s="6">
        <f t="shared" si="67"/>
        <v>92.854228959986614</v>
      </c>
      <c r="G450" s="6">
        <f t="shared" si="67"/>
        <v>81.224625777211614</v>
      </c>
      <c r="H450" s="6">
        <f t="shared" si="67"/>
        <v>49.621127168042747</v>
      </c>
      <c r="I450" s="6">
        <f t="shared" si="67"/>
        <v>46.427114479993307</v>
      </c>
      <c r="J450" s="6">
        <f t="shared" si="67"/>
        <v>40.612312888605807</v>
      </c>
    </row>
    <row r="451" spans="1:11" x14ac:dyDescent="0.35">
      <c r="A451" s="6" t="s">
        <v>119</v>
      </c>
      <c r="B451" s="6">
        <f t="shared" si="67"/>
        <v>27.64734934827537</v>
      </c>
      <c r="C451" s="6">
        <f t="shared" si="67"/>
        <v>23.135438070506197</v>
      </c>
      <c r="D451" s="6">
        <f t="shared" si="67"/>
        <v>20.244068217927833</v>
      </c>
      <c r="E451" s="6">
        <f t="shared" si="67"/>
        <v>27.64734934827537</v>
      </c>
      <c r="F451" s="6">
        <f t="shared" si="67"/>
        <v>23.135438070506197</v>
      </c>
      <c r="G451" s="6">
        <f t="shared" si="67"/>
        <v>20.244068217927833</v>
      </c>
      <c r="H451" s="6">
        <f t="shared" si="67"/>
        <v>27.64734934827537</v>
      </c>
      <c r="I451" s="6">
        <f t="shared" si="67"/>
        <v>23.135438070506197</v>
      </c>
      <c r="J451" s="6">
        <f t="shared" si="67"/>
        <v>20.244068217927833</v>
      </c>
    </row>
    <row r="452" spans="1:11" x14ac:dyDescent="0.35">
      <c r="A452" s="6" t="s">
        <v>120</v>
      </c>
      <c r="B452" s="6">
        <f t="shared" si="67"/>
        <v>0.8997808364838471</v>
      </c>
      <c r="C452" s="6">
        <f t="shared" si="67"/>
        <v>0.83835998236248488</v>
      </c>
      <c r="D452" s="6">
        <f t="shared" si="67"/>
        <v>0.78840150412988297</v>
      </c>
      <c r="E452" s="6">
        <f t="shared" si="67"/>
        <v>0.8997808364838471</v>
      </c>
      <c r="F452" s="6">
        <f t="shared" si="67"/>
        <v>0.83835998236248488</v>
      </c>
      <c r="G452" s="6">
        <f t="shared" si="67"/>
        <v>0.78840150412988297</v>
      </c>
      <c r="H452" s="6">
        <f t="shared" si="67"/>
        <v>0.44989041824192355</v>
      </c>
      <c r="I452" s="6">
        <f t="shared" si="67"/>
        <v>0.41917999118124244</v>
      </c>
      <c r="J452" s="6">
        <f t="shared" si="67"/>
        <v>0.39420075206494148</v>
      </c>
    </row>
    <row r="453" spans="1:11" x14ac:dyDescent="0.35">
      <c r="A453" s="6" t="s">
        <v>121</v>
      </c>
      <c r="B453" s="6">
        <f t="shared" si="67"/>
        <v>420.13985470753306</v>
      </c>
      <c r="C453" s="6">
        <f t="shared" si="67"/>
        <v>353.01952668074426</v>
      </c>
      <c r="D453" s="6">
        <f t="shared" si="67"/>
        <v>303.25500058089318</v>
      </c>
      <c r="E453" s="6">
        <f t="shared" si="67"/>
        <v>420.13985470753306</v>
      </c>
      <c r="F453" s="6">
        <f t="shared" si="67"/>
        <v>353.01952668074426</v>
      </c>
      <c r="G453" s="6">
        <f t="shared" si="67"/>
        <v>303.25500058089318</v>
      </c>
      <c r="H453" s="6">
        <f t="shared" si="67"/>
        <v>420.13985470753306</v>
      </c>
      <c r="I453" s="6">
        <f t="shared" si="67"/>
        <v>353.01952668074426</v>
      </c>
      <c r="J453" s="6">
        <f t="shared" si="67"/>
        <v>303.25500058089318</v>
      </c>
    </row>
    <row r="454" spans="1:11" x14ac:dyDescent="0.35">
      <c r="A454" s="6" t="s">
        <v>800</v>
      </c>
      <c r="B454" s="6">
        <f t="shared" si="67"/>
        <v>0</v>
      </c>
      <c r="C454" s="6">
        <f t="shared" si="67"/>
        <v>0</v>
      </c>
      <c r="D454" s="6">
        <f t="shared" si="67"/>
        <v>0</v>
      </c>
      <c r="E454" s="6">
        <f t="shared" si="67"/>
        <v>0</v>
      </c>
      <c r="F454" s="6">
        <f t="shared" si="67"/>
        <v>0</v>
      </c>
      <c r="G454" s="6">
        <f t="shared" si="67"/>
        <v>0</v>
      </c>
      <c r="H454" s="6">
        <f t="shared" si="67"/>
        <v>4515.9392966314781</v>
      </c>
      <c r="I454" s="6">
        <f t="shared" si="67"/>
        <v>4114.5057284244549</v>
      </c>
      <c r="J454" s="6">
        <f t="shared" si="67"/>
        <v>2748.4212418876768</v>
      </c>
    </row>
    <row r="455" spans="1:11" x14ac:dyDescent="0.35">
      <c r="A455" s="6" t="s">
        <v>122</v>
      </c>
      <c r="B455" s="6">
        <f>B441/25</f>
        <v>57506.611068071637</v>
      </c>
      <c r="C455" s="6">
        <f t="shared" si="67"/>
        <v>12328.289086735382</v>
      </c>
      <c r="D455" s="6">
        <f t="shared" si="67"/>
        <v>-170.17745936380504</v>
      </c>
      <c r="E455" s="6">
        <f t="shared" si="67"/>
        <v>44348.370274691973</v>
      </c>
      <c r="F455" s="6">
        <f t="shared" si="67"/>
        <v>9677.2526359985968</v>
      </c>
      <c r="G455" s="6">
        <f t="shared" si="67"/>
        <v>25.962057718256329</v>
      </c>
      <c r="H455" s="6">
        <f t="shared" si="67"/>
        <v>3544.1192648844799</v>
      </c>
      <c r="I455" s="6">
        <f t="shared" si="67"/>
        <v>2520.4306834484851</v>
      </c>
      <c r="J455" s="6">
        <f t="shared" si="67"/>
        <v>1937.1721867972415</v>
      </c>
    </row>
    <row r="456" spans="1:11" x14ac:dyDescent="0.35">
      <c r="A456" s="6" t="s">
        <v>123</v>
      </c>
      <c r="B456" s="6">
        <f t="shared" si="67"/>
        <v>4448.1754549472962</v>
      </c>
      <c r="C456" s="6">
        <f t="shared" si="67"/>
        <v>1034.486182411272</v>
      </c>
      <c r="D456" s="6">
        <f t="shared" si="67"/>
        <v>75.686347530398237</v>
      </c>
      <c r="E456" s="6">
        <f t="shared" si="67"/>
        <v>4448.1754549472962</v>
      </c>
      <c r="F456" s="6">
        <f t="shared" si="67"/>
        <v>1034.486182411272</v>
      </c>
      <c r="G456" s="6">
        <f t="shared" si="67"/>
        <v>75.686347530398237</v>
      </c>
      <c r="H456" s="6">
        <f t="shared" si="67"/>
        <v>2224.0877274736481</v>
      </c>
      <c r="I456" s="6">
        <f t="shared" si="67"/>
        <v>517.24309120563601</v>
      </c>
      <c r="J456" s="6">
        <f t="shared" si="67"/>
        <v>37.843173765199118</v>
      </c>
    </row>
    <row r="457" spans="1:11" x14ac:dyDescent="0.35">
      <c r="A457" s="6" t="s">
        <v>124</v>
      </c>
      <c r="B457" s="6">
        <f t="shared" si="67"/>
        <v>-100000</v>
      </c>
      <c r="C457" s="6">
        <f t="shared" si="67"/>
        <v>-100000</v>
      </c>
      <c r="D457" s="6">
        <f t="shared" si="67"/>
        <v>-100000</v>
      </c>
      <c r="E457" s="6">
        <f t="shared" si="67"/>
        <v>-100000</v>
      </c>
      <c r="F457" s="6">
        <f t="shared" si="67"/>
        <v>-100000</v>
      </c>
      <c r="G457" s="6">
        <f t="shared" si="67"/>
        <v>-100000</v>
      </c>
      <c r="H457" s="6">
        <f t="shared" si="67"/>
        <v>-50000</v>
      </c>
      <c r="I457" s="6">
        <f t="shared" si="67"/>
        <v>-50000</v>
      </c>
      <c r="J457" s="6">
        <f t="shared" si="67"/>
        <v>-50000</v>
      </c>
    </row>
    <row r="458" spans="1:11" x14ac:dyDescent="0.35">
      <c r="A458" s="6" t="s">
        <v>137</v>
      </c>
      <c r="B458" s="6">
        <f t="shared" si="67"/>
        <v>-35963.392604322114</v>
      </c>
      <c r="C458" s="6">
        <f t="shared" si="67"/>
        <v>-84744.505104778393</v>
      </c>
      <c r="D458" s="6">
        <f t="shared" si="67"/>
        <v>-98578.211035370696</v>
      </c>
      <c r="E458" s="6">
        <f t="shared" si="67"/>
        <v>-49121.633397701771</v>
      </c>
      <c r="F458" s="6">
        <f t="shared" si="67"/>
        <v>-87395.54155551517</v>
      </c>
      <c r="G458" s="6">
        <f t="shared" si="67"/>
        <v>-98382.071518288634</v>
      </c>
      <c r="H458" s="6">
        <f t="shared" si="67"/>
        <v>-37852.940573918888</v>
      </c>
      <c r="I458" s="6">
        <f t="shared" si="67"/>
        <v>-41169.664042628428</v>
      </c>
      <c r="J458" s="6">
        <f t="shared" si="67"/>
        <v>-43965.66945722088</v>
      </c>
    </row>
    <row r="461" spans="1:11" x14ac:dyDescent="0.35">
      <c r="A461" s="331" t="s">
        <v>135</v>
      </c>
      <c r="B461" s="331"/>
      <c r="C461" s="331"/>
      <c r="D461" s="331"/>
      <c r="E461" s="331"/>
      <c r="F461" s="331"/>
      <c r="G461" s="331"/>
      <c r="H461" s="331"/>
      <c r="I461" s="331"/>
      <c r="J461" s="331"/>
      <c r="K461" s="331"/>
    </row>
    <row r="462" spans="1:11" x14ac:dyDescent="0.35">
      <c r="A462" s="6" t="s">
        <v>877</v>
      </c>
    </row>
    <row r="463" spans="1:11" x14ac:dyDescent="0.35">
      <c r="A463" s="6" t="s">
        <v>139</v>
      </c>
      <c r="B463" s="6">
        <v>100</v>
      </c>
      <c r="C463" s="6" t="s">
        <v>128</v>
      </c>
    </row>
    <row r="464" spans="1:11" x14ac:dyDescent="0.35">
      <c r="A464" s="6" t="s">
        <v>140</v>
      </c>
      <c r="B464" s="6">
        <v>50</v>
      </c>
      <c r="C464" s="6" t="s">
        <v>128</v>
      </c>
    </row>
    <row r="466" spans="1:12" x14ac:dyDescent="0.35">
      <c r="B466" s="6" t="s">
        <v>889</v>
      </c>
      <c r="C466" s="6" t="s">
        <v>891</v>
      </c>
      <c r="D466" s="6" t="s">
        <v>890</v>
      </c>
      <c r="E466" s="6" t="s">
        <v>892</v>
      </c>
      <c r="F466" s="6" t="s">
        <v>893</v>
      </c>
      <c r="G466" s="6" t="s">
        <v>894</v>
      </c>
      <c r="H466" s="6" t="s">
        <v>896</v>
      </c>
      <c r="I466" s="6" t="s">
        <v>897</v>
      </c>
      <c r="J466" s="6" t="s">
        <v>895</v>
      </c>
    </row>
    <row r="467" spans="1:12" x14ac:dyDescent="0.35">
      <c r="A467" s="6" t="s">
        <v>117</v>
      </c>
      <c r="B467" s="6">
        <f t="shared" ref="B467:G467" si="68">B449/$B$463</f>
        <v>15.33891633430572</v>
      </c>
      <c r="C467" s="6">
        <f t="shared" si="68"/>
        <v>14.228720723813575</v>
      </c>
      <c r="D467" s="6">
        <f t="shared" si="68"/>
        <v>11.10767980382567</v>
      </c>
      <c r="E467" s="6">
        <f t="shared" si="68"/>
        <v>15.33891633430572</v>
      </c>
      <c r="F467" s="6">
        <f t="shared" si="68"/>
        <v>14.228720723813575</v>
      </c>
      <c r="G467" s="6">
        <f t="shared" si="68"/>
        <v>11.10767980382567</v>
      </c>
      <c r="H467" s="6">
        <f>H449/$B$464</f>
        <v>27.30109830898834</v>
      </c>
      <c r="I467" s="6">
        <f>I449/$B$464</f>
        <v>25.103103901411338</v>
      </c>
      <c r="J467" s="6">
        <f>J449/$B$464</f>
        <v>18.927767157790178</v>
      </c>
    </row>
    <row r="468" spans="1:12" x14ac:dyDescent="0.35">
      <c r="A468" s="6" t="s">
        <v>118</v>
      </c>
      <c r="B468" s="6">
        <f t="shared" ref="B468:G476" si="69">B450/$B$463</f>
        <v>0.99242254336085489</v>
      </c>
      <c r="C468" s="6">
        <f t="shared" si="69"/>
        <v>0.92854228959986618</v>
      </c>
      <c r="D468" s="6">
        <f t="shared" si="69"/>
        <v>0.81224625777211612</v>
      </c>
      <c r="E468" s="6">
        <f t="shared" si="69"/>
        <v>0.99242254336085489</v>
      </c>
      <c r="F468" s="6">
        <f t="shared" si="69"/>
        <v>0.92854228959986618</v>
      </c>
      <c r="G468" s="6">
        <f t="shared" si="69"/>
        <v>0.81224625777211612</v>
      </c>
      <c r="H468" s="6">
        <f t="shared" ref="H468:J476" si="70">H450/$B$464</f>
        <v>0.99242254336085489</v>
      </c>
      <c r="I468" s="6">
        <f t="shared" si="70"/>
        <v>0.92854228959986618</v>
      </c>
      <c r="J468" s="6">
        <f t="shared" si="70"/>
        <v>0.81224625777211612</v>
      </c>
    </row>
    <row r="469" spans="1:12" x14ac:dyDescent="0.35">
      <c r="A469" s="6" t="s">
        <v>119</v>
      </c>
      <c r="B469" s="6">
        <f t="shared" si="69"/>
        <v>0.27647349348275368</v>
      </c>
      <c r="C469" s="6">
        <f t="shared" si="69"/>
        <v>0.23135438070506198</v>
      </c>
      <c r="D469" s="6">
        <f t="shared" si="69"/>
        <v>0.20244068217927833</v>
      </c>
      <c r="E469" s="6">
        <f t="shared" si="69"/>
        <v>0.27647349348275368</v>
      </c>
      <c r="F469" s="6">
        <f t="shared" si="69"/>
        <v>0.23135438070506198</v>
      </c>
      <c r="G469" s="6">
        <f t="shared" si="69"/>
        <v>0.20244068217927833</v>
      </c>
      <c r="H469" s="6">
        <f t="shared" si="70"/>
        <v>0.55294698696550737</v>
      </c>
      <c r="I469" s="6">
        <f t="shared" si="70"/>
        <v>0.46270876141012396</v>
      </c>
      <c r="J469" s="6">
        <f t="shared" si="70"/>
        <v>0.40488136435855665</v>
      </c>
    </row>
    <row r="470" spans="1:12" x14ac:dyDescent="0.35">
      <c r="A470" s="6" t="s">
        <v>120</v>
      </c>
      <c r="B470" s="6">
        <f t="shared" si="69"/>
        <v>8.9978083648384714E-3</v>
      </c>
      <c r="C470" s="6">
        <f t="shared" si="69"/>
        <v>8.3835998236248491E-3</v>
      </c>
      <c r="D470" s="6">
        <f t="shared" si="69"/>
        <v>7.8840150412988301E-3</v>
      </c>
      <c r="E470" s="6">
        <f t="shared" si="69"/>
        <v>8.9978083648384714E-3</v>
      </c>
      <c r="F470" s="6">
        <f t="shared" si="69"/>
        <v>8.3835998236248491E-3</v>
      </c>
      <c r="G470" s="6">
        <f t="shared" si="69"/>
        <v>7.8840150412988301E-3</v>
      </c>
      <c r="H470" s="6">
        <f t="shared" si="70"/>
        <v>8.9978083648384714E-3</v>
      </c>
      <c r="I470" s="6">
        <f t="shared" si="70"/>
        <v>8.3835998236248491E-3</v>
      </c>
      <c r="J470" s="6">
        <f t="shared" si="70"/>
        <v>7.8840150412988301E-3</v>
      </c>
    </row>
    <row r="471" spans="1:12" x14ac:dyDescent="0.35">
      <c r="A471" s="6" t="s">
        <v>121</v>
      </c>
      <c r="B471" s="6">
        <f t="shared" si="69"/>
        <v>4.201398547075331</v>
      </c>
      <c r="C471" s="6">
        <f t="shared" si="69"/>
        <v>3.5301952668074428</v>
      </c>
      <c r="D471" s="6">
        <f t="shared" si="69"/>
        <v>3.0325500058089316</v>
      </c>
      <c r="E471" s="6">
        <f t="shared" si="69"/>
        <v>4.201398547075331</v>
      </c>
      <c r="F471" s="6">
        <f t="shared" si="69"/>
        <v>3.5301952668074428</v>
      </c>
      <c r="G471" s="6">
        <f t="shared" si="69"/>
        <v>3.0325500058089316</v>
      </c>
      <c r="H471" s="6">
        <f t="shared" si="70"/>
        <v>8.402797094150662</v>
      </c>
      <c r="I471" s="6">
        <f t="shared" si="70"/>
        <v>7.0603905336148856</v>
      </c>
      <c r="J471" s="6">
        <f t="shared" si="70"/>
        <v>6.0651000116178633</v>
      </c>
    </row>
    <row r="472" spans="1:12" x14ac:dyDescent="0.35">
      <c r="A472" s="6" t="s">
        <v>800</v>
      </c>
      <c r="B472" s="6">
        <f t="shared" si="69"/>
        <v>0</v>
      </c>
      <c r="C472" s="6">
        <f t="shared" si="69"/>
        <v>0</v>
      </c>
      <c r="D472" s="6">
        <f t="shared" si="69"/>
        <v>0</v>
      </c>
      <c r="E472" s="6">
        <f t="shared" si="69"/>
        <v>0</v>
      </c>
      <c r="F472" s="6">
        <f t="shared" si="69"/>
        <v>0</v>
      </c>
      <c r="G472" s="6">
        <f t="shared" si="69"/>
        <v>0</v>
      </c>
      <c r="H472" s="6">
        <f t="shared" si="70"/>
        <v>90.318785932629567</v>
      </c>
      <c r="I472" s="6">
        <f t="shared" si="70"/>
        <v>82.290114568489102</v>
      </c>
      <c r="J472" s="6">
        <f t="shared" si="70"/>
        <v>54.968424837753538</v>
      </c>
    </row>
    <row r="473" spans="1:12" x14ac:dyDescent="0.35">
      <c r="A473" s="6" t="s">
        <v>122</v>
      </c>
      <c r="B473" s="6">
        <f t="shared" si="69"/>
        <v>575.06611068071641</v>
      </c>
      <c r="C473" s="6">
        <f t="shared" si="69"/>
        <v>123.28289086735381</v>
      </c>
      <c r="D473" s="6">
        <f t="shared" si="69"/>
        <v>-1.7017745936380504</v>
      </c>
      <c r="E473" s="6">
        <f t="shared" si="69"/>
        <v>443.48370274691973</v>
      </c>
      <c r="F473" s="6">
        <f t="shared" si="69"/>
        <v>96.772526359985974</v>
      </c>
      <c r="G473" s="6">
        <f t="shared" si="69"/>
        <v>0.25962057718256326</v>
      </c>
      <c r="H473" s="6">
        <f t="shared" si="70"/>
        <v>70.882385297689595</v>
      </c>
      <c r="I473" s="6">
        <f t="shared" si="70"/>
        <v>50.4086136689697</v>
      </c>
      <c r="J473" s="6">
        <f t="shared" si="70"/>
        <v>38.74344373594483</v>
      </c>
      <c r="L473" s="1"/>
    </row>
    <row r="474" spans="1:12" x14ac:dyDescent="0.35">
      <c r="A474" s="6" t="s">
        <v>123</v>
      </c>
      <c r="B474" s="6">
        <f t="shared" si="69"/>
        <v>44.48175454947296</v>
      </c>
      <c r="C474" s="6">
        <f t="shared" si="69"/>
        <v>10.344861824112719</v>
      </c>
      <c r="D474" s="6">
        <f t="shared" si="69"/>
        <v>0.75686347530398235</v>
      </c>
      <c r="E474" s="6">
        <f t="shared" si="69"/>
        <v>44.48175454947296</v>
      </c>
      <c r="F474" s="6">
        <f t="shared" si="69"/>
        <v>10.344861824112719</v>
      </c>
      <c r="G474" s="6">
        <f t="shared" si="69"/>
        <v>0.75686347530398235</v>
      </c>
      <c r="H474" s="6">
        <f t="shared" si="70"/>
        <v>44.48175454947296</v>
      </c>
      <c r="I474" s="6">
        <f t="shared" si="70"/>
        <v>10.344861824112719</v>
      </c>
      <c r="J474" s="6">
        <f t="shared" si="70"/>
        <v>0.75686347530398235</v>
      </c>
    </row>
    <row r="475" spans="1:12" x14ac:dyDescent="0.35">
      <c r="A475" s="6" t="s">
        <v>124</v>
      </c>
      <c r="B475" s="6">
        <f t="shared" si="69"/>
        <v>-1000</v>
      </c>
      <c r="C475" s="6">
        <f t="shared" si="69"/>
        <v>-1000</v>
      </c>
      <c r="D475" s="6">
        <f t="shared" si="69"/>
        <v>-1000</v>
      </c>
      <c r="E475" s="6">
        <f t="shared" si="69"/>
        <v>-1000</v>
      </c>
      <c r="F475" s="6">
        <f t="shared" si="69"/>
        <v>-1000</v>
      </c>
      <c r="G475" s="6">
        <f t="shared" si="69"/>
        <v>-1000</v>
      </c>
      <c r="H475" s="6">
        <f t="shared" si="70"/>
        <v>-1000</v>
      </c>
      <c r="I475" s="6">
        <f t="shared" si="70"/>
        <v>-1000</v>
      </c>
      <c r="J475" s="6">
        <f t="shared" si="70"/>
        <v>-1000</v>
      </c>
    </row>
    <row r="476" spans="1:12" x14ac:dyDescent="0.35">
      <c r="A476" s="6" t="s">
        <v>137</v>
      </c>
      <c r="B476" s="6">
        <f t="shared" si="69"/>
        <v>-359.63392604322115</v>
      </c>
      <c r="C476" s="6">
        <f t="shared" si="69"/>
        <v>-847.44505104778398</v>
      </c>
      <c r="D476" s="6">
        <f t="shared" si="69"/>
        <v>-985.78211035370691</v>
      </c>
      <c r="E476" s="6">
        <f t="shared" si="69"/>
        <v>-491.21633397701771</v>
      </c>
      <c r="F476" s="6">
        <f t="shared" si="69"/>
        <v>-873.95541555515172</v>
      </c>
      <c r="G476" s="6">
        <f t="shared" si="69"/>
        <v>-983.82071518288637</v>
      </c>
      <c r="H476" s="6">
        <f t="shared" si="70"/>
        <v>-757.05881147837772</v>
      </c>
      <c r="I476" s="6">
        <f t="shared" si="70"/>
        <v>-823.39328085256852</v>
      </c>
      <c r="J476" s="6">
        <f t="shared" si="70"/>
        <v>-879.31338914441756</v>
      </c>
    </row>
  </sheetData>
  <mergeCells count="3">
    <mergeCell ref="A461:K461"/>
    <mergeCell ref="A432:K432"/>
    <mergeCell ref="A446:K446"/>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D8E5A-80D6-44D2-9E0D-472DE7B37275}">
  <sheetPr>
    <tabColor theme="5" tint="-0.249977111117893"/>
  </sheetPr>
  <dimension ref="A1:BA476"/>
  <sheetViews>
    <sheetView zoomScale="51" zoomScaleNormal="30" workbookViewId="0">
      <selection activeCell="Z241" sqref="Z241"/>
    </sheetView>
  </sheetViews>
  <sheetFormatPr defaultColWidth="8.54296875" defaultRowHeight="14.5" outlineLevelRow="1" x14ac:dyDescent="0.35"/>
  <cols>
    <col min="1" max="1" width="37.54296875" style="6" customWidth="1"/>
    <col min="2" max="2" width="16.453125" style="6" bestFit="1" customWidth="1"/>
    <col min="3" max="14" width="10.54296875" style="6" bestFit="1" customWidth="1"/>
    <col min="15" max="16" width="10.1796875" style="6" bestFit="1" customWidth="1"/>
    <col min="17" max="24" width="10.54296875" style="6" bestFit="1" customWidth="1"/>
    <col min="25" max="25" width="10.1796875" style="6" bestFit="1" customWidth="1"/>
    <col min="26" max="26" width="16.453125" style="6" bestFit="1" customWidth="1"/>
    <col min="27" max="27" width="8.54296875" style="6"/>
    <col min="28" max="28" width="35" style="6" bestFit="1" customWidth="1"/>
    <col min="29" max="29" width="16.453125" style="6" bestFit="1" customWidth="1"/>
    <col min="30" max="30" width="16.54296875" style="6" customWidth="1"/>
    <col min="31" max="53" width="12.81640625" style="6" bestFit="1" customWidth="1"/>
    <col min="54" max="16384" width="8.54296875" style="6"/>
  </cols>
  <sheetData>
    <row r="1" spans="1:53" s="139" customFormat="1" ht="21" x14ac:dyDescent="0.5">
      <c r="A1" s="138" t="s">
        <v>694</v>
      </c>
    </row>
    <row r="2" spans="1:53" s="221" customFormat="1" ht="21" x14ac:dyDescent="0.5">
      <c r="A2" s="229" t="s">
        <v>849</v>
      </c>
    </row>
    <row r="3" spans="1:53" s="18" customFormat="1" ht="21" outlineLevel="1" x14ac:dyDescent="0.5">
      <c r="A3" s="18" t="s">
        <v>72</v>
      </c>
    </row>
    <row r="4" spans="1:53" s="20" customFormat="1" outlineLevel="1" x14ac:dyDescent="0.35">
      <c r="A4" s="19" t="s">
        <v>767</v>
      </c>
    </row>
    <row r="5" spans="1:53" s="16" customFormat="1" outlineLevel="1" x14ac:dyDescent="0.35">
      <c r="A5" s="21"/>
      <c r="AB5" s="16" t="s">
        <v>47</v>
      </c>
      <c r="AC5" s="16">
        <v>1.2500000000000001E-5</v>
      </c>
      <c r="AD5" s="16" t="s">
        <v>48</v>
      </c>
      <c r="AE5" s="15" t="s">
        <v>714</v>
      </c>
    </row>
    <row r="6" spans="1:53" s="16" customFormat="1" outlineLevel="1" x14ac:dyDescent="0.35">
      <c r="A6" s="22" t="s">
        <v>564</v>
      </c>
      <c r="AC6" s="16">
        <f>AC5*1000</f>
        <v>1.2500000000000001E-2</v>
      </c>
      <c r="AD6" s="16" t="s">
        <v>126</v>
      </c>
    </row>
    <row r="7" spans="1:53" s="16" customFormat="1" outlineLevel="1" x14ac:dyDescent="0.35">
      <c r="A7" s="22"/>
      <c r="AB7" s="16" t="s">
        <v>127</v>
      </c>
      <c r="AC7" s="16">
        <v>100</v>
      </c>
      <c r="AD7" s="16" t="s">
        <v>128</v>
      </c>
    </row>
    <row r="8" spans="1:53" s="16" customFormat="1" outlineLevel="1" x14ac:dyDescent="0.35">
      <c r="A8" s="22"/>
      <c r="AB8" s="16" t="s">
        <v>129</v>
      </c>
      <c r="AC8" s="16">
        <v>25</v>
      </c>
      <c r="AD8" s="16" t="s">
        <v>130</v>
      </c>
    </row>
    <row r="9" spans="1:53" outlineLevel="1" x14ac:dyDescent="0.35">
      <c r="B9" s="25">
        <v>2030</v>
      </c>
      <c r="C9" s="25">
        <v>2031</v>
      </c>
      <c r="D9" s="25">
        <v>2032</v>
      </c>
      <c r="E9" s="25">
        <v>2033</v>
      </c>
      <c r="F9" s="25">
        <v>2034</v>
      </c>
      <c r="G9" s="25">
        <v>2035</v>
      </c>
      <c r="H9" s="25">
        <v>2036</v>
      </c>
      <c r="I9" s="25">
        <v>2037</v>
      </c>
      <c r="J9" s="25">
        <v>2038</v>
      </c>
      <c r="K9" s="25">
        <v>2039</v>
      </c>
      <c r="L9" s="25">
        <v>2040</v>
      </c>
      <c r="M9" s="25">
        <v>2041</v>
      </c>
      <c r="N9" s="25">
        <v>2042</v>
      </c>
      <c r="O9" s="25">
        <v>2043</v>
      </c>
      <c r="P9" s="25">
        <v>2044</v>
      </c>
      <c r="Q9" s="25">
        <v>2045</v>
      </c>
      <c r="R9" s="25">
        <v>2046</v>
      </c>
      <c r="S9" s="25">
        <v>2047</v>
      </c>
      <c r="T9" s="25">
        <v>2048</v>
      </c>
      <c r="U9" s="25">
        <v>2049</v>
      </c>
      <c r="V9" s="25">
        <v>2050</v>
      </c>
      <c r="W9" s="25">
        <v>2051</v>
      </c>
      <c r="X9" s="25">
        <v>2052</v>
      </c>
      <c r="Y9" s="25">
        <v>2053</v>
      </c>
      <c r="Z9" s="25">
        <v>2054</v>
      </c>
      <c r="AC9" s="25">
        <v>2030</v>
      </c>
      <c r="AD9" s="25">
        <v>2031</v>
      </c>
      <c r="AE9" s="25">
        <v>2032</v>
      </c>
      <c r="AF9" s="25">
        <v>2033</v>
      </c>
      <c r="AG9" s="25">
        <v>2034</v>
      </c>
      <c r="AH9" s="25">
        <v>2035</v>
      </c>
      <c r="AI9" s="25">
        <v>2036</v>
      </c>
      <c r="AJ9" s="25">
        <v>2037</v>
      </c>
      <c r="AK9" s="25">
        <v>2038</v>
      </c>
      <c r="AL9" s="25">
        <v>2039</v>
      </c>
      <c r="AM9" s="25">
        <v>2040</v>
      </c>
      <c r="AN9" s="25">
        <v>2041</v>
      </c>
      <c r="AO9" s="25">
        <v>2042</v>
      </c>
      <c r="AP9" s="25">
        <v>2043</v>
      </c>
      <c r="AQ9" s="25">
        <v>2044</v>
      </c>
      <c r="AR9" s="25">
        <v>2045</v>
      </c>
      <c r="AS9" s="25">
        <v>2046</v>
      </c>
      <c r="AT9" s="25">
        <v>2047</v>
      </c>
      <c r="AU9" s="25">
        <v>2048</v>
      </c>
      <c r="AV9" s="25">
        <v>2049</v>
      </c>
      <c r="AW9" s="25">
        <v>2050</v>
      </c>
      <c r="AX9" s="25">
        <v>2051</v>
      </c>
      <c r="AY9" s="25">
        <v>2052</v>
      </c>
      <c r="AZ9" s="25">
        <v>2053</v>
      </c>
      <c r="BA9" s="25">
        <v>2054</v>
      </c>
    </row>
    <row r="10" spans="1:53" outlineLevel="1" x14ac:dyDescent="0.35">
      <c r="A10" s="6" t="s">
        <v>21</v>
      </c>
      <c r="B10" s="6">
        <f>'Results - raw data ReCiPe (E)'!C5</f>
        <v>0.21929805323875509</v>
      </c>
      <c r="AB10" s="6" t="s">
        <v>117</v>
      </c>
      <c r="AC10" s="6">
        <f>SUM(B10:B21)+B23</f>
        <v>15.464099749864513</v>
      </c>
    </row>
    <row r="11" spans="1:53" outlineLevel="1" x14ac:dyDescent="0.35">
      <c r="A11" s="6" t="s">
        <v>23</v>
      </c>
      <c r="B11" s="6">
        <f>'Results - raw data ReCiPe (E)'!C6</f>
        <v>0.47831707984653599</v>
      </c>
      <c r="AB11" s="6" t="s">
        <v>118</v>
      </c>
      <c r="AC11" s="6">
        <f>B22</f>
        <v>0.59342142429421851</v>
      </c>
    </row>
    <row r="12" spans="1:53" outlineLevel="1" x14ac:dyDescent="0.35">
      <c r="A12" s="6" t="s">
        <v>26</v>
      </c>
      <c r="B12" s="6">
        <f>'Results - raw data ReCiPe (E)'!C7</f>
        <v>0.92133956379952864</v>
      </c>
      <c r="AB12" s="6" t="s">
        <v>119</v>
      </c>
      <c r="BA12" s="6">
        <f>SUM(Z24:Z35)</f>
        <v>0.12953343012141194</v>
      </c>
    </row>
    <row r="13" spans="1:53" outlineLevel="1" x14ac:dyDescent="0.35">
      <c r="A13" s="6" t="s">
        <v>28</v>
      </c>
      <c r="B13" s="6">
        <f>'Results - raw data ReCiPe (E)'!C8</f>
        <v>0.87032443308263663</v>
      </c>
      <c r="AB13" s="6" t="s">
        <v>120</v>
      </c>
      <c r="BA13" s="6">
        <f>Z36</f>
        <v>1.8614484052655999E-3</v>
      </c>
    </row>
    <row r="14" spans="1:53" outlineLevel="1" x14ac:dyDescent="0.35">
      <c r="A14" s="6" t="s">
        <v>29</v>
      </c>
      <c r="B14" s="6">
        <f>'Results - raw data ReCiPe (E)'!C9</f>
        <v>0.92350966225007847</v>
      </c>
      <c r="AB14" s="6" t="s">
        <v>121</v>
      </c>
      <c r="AC14" s="6">
        <f>B37</f>
        <v>0.1490671536669359</v>
      </c>
      <c r="AF14" s="6">
        <f>E37</f>
        <v>0.14899675412380661</v>
      </c>
      <c r="AI14" s="6">
        <f>H37</f>
        <v>0.14913467370511721</v>
      </c>
      <c r="AL14" s="6">
        <f>K37</f>
        <v>0.14985420341785011</v>
      </c>
      <c r="AO14" s="6">
        <f>N37</f>
        <v>0.15079302716477189</v>
      </c>
      <c r="AR14" s="6">
        <f>Q37</f>
        <v>0.15199232647583841</v>
      </c>
      <c r="AU14" s="6">
        <f>T37</f>
        <v>0.15162753334670259</v>
      </c>
      <c r="AX14" s="6">
        <f>W37</f>
        <v>0.15096779974777791</v>
      </c>
      <c r="BA14" s="6">
        <f>Z37</f>
        <v>0.149756511690775</v>
      </c>
    </row>
    <row r="15" spans="1:53" outlineLevel="1" x14ac:dyDescent="0.35">
      <c r="A15" s="6" t="s">
        <v>31</v>
      </c>
      <c r="B15" s="6">
        <f>'Results - raw data ReCiPe (E)'!C10</f>
        <v>0.59002892080817404</v>
      </c>
      <c r="AB15" s="6" t="s">
        <v>122</v>
      </c>
      <c r="AC15" s="6">
        <f>B40+B39</f>
        <v>3.1208515547463418</v>
      </c>
      <c r="AD15" s="6">
        <f t="shared" ref="AD15:BA15" si="0">C40+C39</f>
        <v>3.1115894682350289</v>
      </c>
      <c r="AE15" s="6">
        <f t="shared" si="0"/>
        <v>3.1022314320029989</v>
      </c>
      <c r="AF15" s="6">
        <f t="shared" si="0"/>
        <v>3.0931004357287688</v>
      </c>
      <c r="AG15" s="6">
        <f t="shared" si="0"/>
        <v>3.0835768071651679</v>
      </c>
      <c r="AH15" s="6">
        <f t="shared" si="0"/>
        <v>3.0739787664805882</v>
      </c>
      <c r="AI15" s="6">
        <f t="shared" si="0"/>
        <v>3.361270820822106</v>
      </c>
      <c r="AJ15" s="6">
        <f t="shared" si="0"/>
        <v>3.648172192245708</v>
      </c>
      <c r="AK15" s="6">
        <f t="shared" si="0"/>
        <v>3.935221464005326</v>
      </c>
      <c r="AL15" s="6">
        <f t="shared" si="0"/>
        <v>4.221588425371845</v>
      </c>
      <c r="AM15" s="6">
        <f t="shared" si="0"/>
        <v>4.5076142848967349</v>
      </c>
      <c r="AN15" s="6">
        <f t="shared" si="0"/>
        <v>5.066726515010334</v>
      </c>
      <c r="AO15" s="6">
        <f t="shared" si="0"/>
        <v>5.6272255695301334</v>
      </c>
      <c r="AP15" s="6">
        <f t="shared" si="0"/>
        <v>6.1894811024463374</v>
      </c>
      <c r="AQ15" s="6">
        <f t="shared" si="0"/>
        <v>6.7527515870654069</v>
      </c>
      <c r="AR15" s="6">
        <f t="shared" si="0"/>
        <v>7.3174069595748454</v>
      </c>
      <c r="AS15" s="6">
        <f t="shared" si="0"/>
        <v>7.3455769232231516</v>
      </c>
      <c r="AT15" s="6">
        <f t="shared" si="0"/>
        <v>7.3736516581927329</v>
      </c>
      <c r="AU15" s="6">
        <f t="shared" si="0"/>
        <v>7.4018525072969812</v>
      </c>
      <c r="AV15" s="6">
        <f t="shared" si="0"/>
        <v>7.4297535224510574</v>
      </c>
      <c r="AW15" s="6">
        <f t="shared" si="0"/>
        <v>7.4575760720479991</v>
      </c>
      <c r="AX15" s="6">
        <f t="shared" si="0"/>
        <v>7.2249790251547026</v>
      </c>
      <c r="AY15" s="6">
        <f t="shared" si="0"/>
        <v>6.9886881155374434</v>
      </c>
      <c r="AZ15" s="6">
        <f t="shared" si="0"/>
        <v>6.7515806286725528</v>
      </c>
      <c r="BA15" s="6">
        <f t="shared" si="0"/>
        <v>6.513649249180772</v>
      </c>
    </row>
    <row r="16" spans="1:53" outlineLevel="1" x14ac:dyDescent="0.35">
      <c r="A16" s="6" t="s">
        <v>34</v>
      </c>
      <c r="B16" s="6">
        <f>'Results - raw data ReCiPe (E)'!C11</f>
        <v>0.52079306403904313</v>
      </c>
      <c r="AB16" s="6" t="s">
        <v>123</v>
      </c>
      <c r="AC16" s="6">
        <f>B38</f>
        <v>0.38654328795354098</v>
      </c>
      <c r="AD16" s="6">
        <f t="shared" ref="AD16:BA16" si="1">C38</f>
        <v>0.38572536393638751</v>
      </c>
      <c r="AE16" s="6">
        <f t="shared" si="1"/>
        <v>0.38490213454324318</v>
      </c>
      <c r="AF16" s="6">
        <f t="shared" si="1"/>
        <v>0.38410164623840737</v>
      </c>
      <c r="AG16" s="6">
        <f t="shared" si="1"/>
        <v>0.38326962225724048</v>
      </c>
      <c r="AH16" s="6">
        <f t="shared" si="1"/>
        <v>0.38243395251057855</v>
      </c>
      <c r="AI16" s="6">
        <f t="shared" si="1"/>
        <v>0.40410628117260966</v>
      </c>
      <c r="AJ16" s="6">
        <f t="shared" si="1"/>
        <v>0.42568870624606392</v>
      </c>
      <c r="AK16" s="6">
        <f t="shared" si="1"/>
        <v>0.44722979323323148</v>
      </c>
      <c r="AL16" s="6">
        <f t="shared" si="1"/>
        <v>0.46865143901779066</v>
      </c>
      <c r="AM16" s="6">
        <f t="shared" si="1"/>
        <v>0.48998711595877492</v>
      </c>
      <c r="AN16" s="6">
        <f t="shared" si="1"/>
        <v>0.53185488730925101</v>
      </c>
      <c r="AO16" s="6">
        <f t="shared" si="1"/>
        <v>0.57373251784576318</v>
      </c>
      <c r="AP16" s="6">
        <f t="shared" si="1"/>
        <v>0.61565370477593673</v>
      </c>
      <c r="AQ16" s="6">
        <f t="shared" si="1"/>
        <v>0.65754992958356884</v>
      </c>
      <c r="AR16" s="6">
        <f t="shared" si="1"/>
        <v>0.69945474454131396</v>
      </c>
      <c r="AS16" s="6">
        <f t="shared" si="1"/>
        <v>0.70116168458050809</v>
      </c>
      <c r="AT16" s="6">
        <f t="shared" si="1"/>
        <v>0.7028572038930373</v>
      </c>
      <c r="AU16" s="6">
        <f t="shared" si="1"/>
        <v>0.70456136311661077</v>
      </c>
      <c r="AV16" s="6">
        <f t="shared" si="1"/>
        <v>0.70623528072684383</v>
      </c>
      <c r="AW16" s="6">
        <f t="shared" si="1"/>
        <v>0.7078990325263127</v>
      </c>
      <c r="AX16" s="6">
        <f t="shared" si="1"/>
        <v>0.68978541699720153</v>
      </c>
      <c r="AY16" s="6">
        <f t="shared" si="1"/>
        <v>0.67146561505537805</v>
      </c>
      <c r="AZ16" s="6">
        <f t="shared" si="1"/>
        <v>0.65315610842109884</v>
      </c>
      <c r="BA16" s="6">
        <f t="shared" si="1"/>
        <v>0.63485651014893763</v>
      </c>
    </row>
    <row r="17" spans="1:53" outlineLevel="1" x14ac:dyDescent="0.35">
      <c r="A17" s="6" t="s">
        <v>36</v>
      </c>
      <c r="B17" s="6">
        <f>'Results - raw data ReCiPe (E)'!C12</f>
        <v>0.38509641321729721</v>
      </c>
      <c r="AB17" s="6" t="s">
        <v>124</v>
      </c>
      <c r="AC17" s="6">
        <f>-$AC$7*$AC$6</f>
        <v>-1.25</v>
      </c>
      <c r="AD17" s="6">
        <f t="shared" ref="AD17:BA17" si="2">-$AC$7*$AC$6</f>
        <v>-1.25</v>
      </c>
      <c r="AE17" s="6">
        <f t="shared" si="2"/>
        <v>-1.25</v>
      </c>
      <c r="AF17" s="6">
        <f t="shared" si="2"/>
        <v>-1.25</v>
      </c>
      <c r="AG17" s="6">
        <f t="shared" si="2"/>
        <v>-1.25</v>
      </c>
      <c r="AH17" s="6">
        <f t="shared" si="2"/>
        <v>-1.25</v>
      </c>
      <c r="AI17" s="6">
        <f t="shared" si="2"/>
        <v>-1.25</v>
      </c>
      <c r="AJ17" s="6">
        <f t="shared" si="2"/>
        <v>-1.25</v>
      </c>
      <c r="AK17" s="6">
        <f t="shared" si="2"/>
        <v>-1.25</v>
      </c>
      <c r="AL17" s="6">
        <f t="shared" si="2"/>
        <v>-1.25</v>
      </c>
      <c r="AM17" s="6">
        <f t="shared" si="2"/>
        <v>-1.25</v>
      </c>
      <c r="AN17" s="6">
        <f t="shared" si="2"/>
        <v>-1.25</v>
      </c>
      <c r="AO17" s="6">
        <f t="shared" si="2"/>
        <v>-1.25</v>
      </c>
      <c r="AP17" s="6">
        <f t="shared" si="2"/>
        <v>-1.25</v>
      </c>
      <c r="AQ17" s="6">
        <f t="shared" si="2"/>
        <v>-1.25</v>
      </c>
      <c r="AR17" s="6">
        <f t="shared" si="2"/>
        <v>-1.25</v>
      </c>
      <c r="AS17" s="6">
        <f t="shared" si="2"/>
        <v>-1.25</v>
      </c>
      <c r="AT17" s="6">
        <f t="shared" si="2"/>
        <v>-1.25</v>
      </c>
      <c r="AU17" s="6">
        <f t="shared" si="2"/>
        <v>-1.25</v>
      </c>
      <c r="AV17" s="6">
        <f t="shared" si="2"/>
        <v>-1.25</v>
      </c>
      <c r="AW17" s="6">
        <f t="shared" si="2"/>
        <v>-1.25</v>
      </c>
      <c r="AX17" s="6">
        <f t="shared" si="2"/>
        <v>-1.25</v>
      </c>
      <c r="AY17" s="6">
        <f t="shared" si="2"/>
        <v>-1.25</v>
      </c>
      <c r="AZ17" s="6">
        <f t="shared" si="2"/>
        <v>-1.25</v>
      </c>
      <c r="BA17" s="6">
        <f t="shared" si="2"/>
        <v>-1.25</v>
      </c>
    </row>
    <row r="18" spans="1:53" outlineLevel="1" x14ac:dyDescent="0.35">
      <c r="A18" s="6" t="s">
        <v>38</v>
      </c>
      <c r="B18" s="6">
        <f>'Results - raw data ReCiPe (E)'!C13</f>
        <v>1.1559612989447181</v>
      </c>
      <c r="AB18" s="23" t="s">
        <v>125</v>
      </c>
      <c r="AC18" s="17">
        <f>SUM(AC10:AC17)</f>
        <v>18.463983170525548</v>
      </c>
      <c r="AD18" s="17">
        <f t="shared" ref="AD18:BA18" si="3">SUM(AD10:AD17)</f>
        <v>2.2473148321714165</v>
      </c>
      <c r="AE18" s="17">
        <f t="shared" si="3"/>
        <v>2.237133566546242</v>
      </c>
      <c r="AF18" s="17">
        <f t="shared" si="3"/>
        <v>2.3761988360909827</v>
      </c>
      <c r="AG18" s="17">
        <f t="shared" si="3"/>
        <v>2.2168464294224082</v>
      </c>
      <c r="AH18" s="17">
        <f t="shared" si="3"/>
        <v>2.2064127189911669</v>
      </c>
      <c r="AI18" s="17">
        <f t="shared" si="3"/>
        <v>2.6645117756998329</v>
      </c>
      <c r="AJ18" s="17">
        <f t="shared" si="3"/>
        <v>2.8238608984917715</v>
      </c>
      <c r="AK18" s="17">
        <f t="shared" si="3"/>
        <v>3.1324512572385572</v>
      </c>
      <c r="AL18" s="17">
        <f t="shared" si="3"/>
        <v>3.5900940678074855</v>
      </c>
      <c r="AM18" s="17">
        <f t="shared" si="3"/>
        <v>3.7476014008555101</v>
      </c>
      <c r="AN18" s="17">
        <f t="shared" si="3"/>
        <v>4.348581402319585</v>
      </c>
      <c r="AO18" s="17">
        <f t="shared" si="3"/>
        <v>5.1017511145406687</v>
      </c>
      <c r="AP18" s="17">
        <f t="shared" si="3"/>
        <v>5.5551348072222737</v>
      </c>
      <c r="AQ18" s="17">
        <f t="shared" si="3"/>
        <v>6.1603015166489756</v>
      </c>
      <c r="AR18" s="17">
        <f t="shared" si="3"/>
        <v>6.9188540305919979</v>
      </c>
      <c r="AS18" s="17">
        <f t="shared" si="3"/>
        <v>6.7967386078036593</v>
      </c>
      <c r="AT18" s="17">
        <f t="shared" si="3"/>
        <v>6.8265088620857703</v>
      </c>
      <c r="AU18" s="17">
        <f t="shared" si="3"/>
        <v>7.0080414037602949</v>
      </c>
      <c r="AV18" s="17">
        <f t="shared" si="3"/>
        <v>6.8859888031779004</v>
      </c>
      <c r="AW18" s="17">
        <f t="shared" si="3"/>
        <v>6.9154751045743126</v>
      </c>
      <c r="AX18" s="17">
        <f t="shared" si="3"/>
        <v>6.8157322418996813</v>
      </c>
      <c r="AY18" s="17">
        <f t="shared" si="3"/>
        <v>6.4101537305928211</v>
      </c>
      <c r="AZ18" s="17">
        <f t="shared" si="3"/>
        <v>6.1547367370936517</v>
      </c>
      <c r="BA18" s="17">
        <f t="shared" si="3"/>
        <v>6.1796571495471619</v>
      </c>
    </row>
    <row r="19" spans="1:53" outlineLevel="1" x14ac:dyDescent="0.35">
      <c r="A19" s="6" t="s">
        <v>39</v>
      </c>
      <c r="B19" s="6">
        <f>'Results - raw data ReCiPe (E)'!C14</f>
        <v>8.6059324911248591</v>
      </c>
    </row>
    <row r="20" spans="1:53" outlineLevel="1" x14ac:dyDescent="0.35">
      <c r="A20" s="6" t="s">
        <v>41</v>
      </c>
      <c r="B20" s="6">
        <f>'Results - raw data ReCiPe (E)'!C15</f>
        <v>7.3175031120524259E-3</v>
      </c>
    </row>
    <row r="21" spans="1:53" outlineLevel="1" x14ac:dyDescent="0.35">
      <c r="A21" s="6" t="s">
        <v>43</v>
      </c>
      <c r="B21" s="6">
        <f>'Results - raw data ReCiPe (E)'!C16</f>
        <v>4.3736826575301237E-2</v>
      </c>
      <c r="AB21" s="187"/>
      <c r="AC21" s="187"/>
      <c r="AD21" s="187"/>
      <c r="AE21" s="187"/>
      <c r="AF21" s="187"/>
      <c r="AG21" s="187"/>
      <c r="AH21" s="187"/>
      <c r="AI21" s="187"/>
      <c r="AJ21" s="187"/>
      <c r="AK21" s="187"/>
      <c r="AL21" s="187"/>
      <c r="AM21" s="187"/>
      <c r="AN21" s="187"/>
      <c r="AO21" s="187"/>
      <c r="AP21" s="187"/>
      <c r="AQ21" s="187"/>
      <c r="AR21" s="187"/>
      <c r="AS21" s="187"/>
      <c r="AT21" s="187"/>
      <c r="AU21" s="187"/>
      <c r="AV21" s="187"/>
      <c r="AW21" s="187"/>
      <c r="AX21" s="187"/>
      <c r="AY21" s="187"/>
      <c r="AZ21" s="187"/>
      <c r="BA21" s="187"/>
    </row>
    <row r="22" spans="1:53" outlineLevel="1" x14ac:dyDescent="0.35">
      <c r="A22" s="6" t="s">
        <v>44</v>
      </c>
      <c r="B22" s="6">
        <f>'Results - raw data ReCiPe (E)'!C17*AC7*AC8</f>
        <v>0.59342142429421851</v>
      </c>
      <c r="AB22" s="187"/>
      <c r="AC22" s="187"/>
      <c r="AD22" s="187"/>
      <c r="AE22" s="187"/>
      <c r="AF22" s="187"/>
      <c r="AG22" s="187"/>
      <c r="AH22" s="187"/>
      <c r="AI22" s="187"/>
      <c r="AJ22" s="187"/>
      <c r="AK22" s="187"/>
      <c r="AL22" s="187"/>
      <c r="AM22" s="187"/>
      <c r="AN22" s="187"/>
      <c r="AO22" s="187"/>
      <c r="AP22" s="187"/>
      <c r="AQ22" s="187"/>
      <c r="AR22" s="187"/>
      <c r="AS22" s="187"/>
      <c r="AT22" s="187"/>
      <c r="AU22" s="187"/>
      <c r="AV22" s="187"/>
      <c r="AW22" s="187"/>
      <c r="AX22" s="187"/>
      <c r="AY22" s="187"/>
      <c r="AZ22" s="187"/>
      <c r="BA22" s="187"/>
    </row>
    <row r="23" spans="1:53" outlineLevel="1" x14ac:dyDescent="0.35">
      <c r="A23" s="6" t="s">
        <v>757</v>
      </c>
      <c r="B23" s="6">
        <f>'Results - raw data ReCiPe (E)'!C18*AC7*AC8</f>
        <v>0.74244443982553254</v>
      </c>
      <c r="AB23" s="187"/>
      <c r="AC23" s="187"/>
      <c r="AD23" s="187"/>
      <c r="AE23" s="187"/>
      <c r="AF23" s="187"/>
      <c r="AG23" s="187"/>
      <c r="AH23" s="187"/>
      <c r="AI23" s="187"/>
      <c r="AJ23" s="187"/>
      <c r="AK23" s="187"/>
      <c r="AL23" s="187"/>
      <c r="AM23" s="187"/>
      <c r="AN23" s="187"/>
      <c r="AO23" s="187"/>
      <c r="AP23" s="187"/>
      <c r="AQ23" s="187"/>
      <c r="AR23" s="187"/>
      <c r="AS23" s="187"/>
      <c r="AT23" s="187"/>
      <c r="AU23" s="187"/>
      <c r="AV23" s="187"/>
      <c r="AW23" s="187"/>
      <c r="AX23" s="187"/>
      <c r="AY23" s="187"/>
      <c r="AZ23" s="187"/>
      <c r="BA23" s="187"/>
    </row>
    <row r="24" spans="1:53" outlineLevel="1" x14ac:dyDescent="0.35">
      <c r="A24" s="6" t="s">
        <v>22</v>
      </c>
      <c r="Z24" s="6">
        <f>'Results - raw data ReCiPe (E)'!AA19</f>
        <v>1.343726090829159E-3</v>
      </c>
      <c r="AB24" s="187"/>
      <c r="AC24" s="187"/>
      <c r="AD24" s="187"/>
      <c r="AE24" s="187"/>
      <c r="AF24" s="187"/>
      <c r="AG24" s="187"/>
      <c r="AH24" s="187"/>
      <c r="AI24" s="187"/>
      <c r="AJ24" s="187"/>
      <c r="AK24" s="187"/>
      <c r="AL24" s="187"/>
      <c r="AM24" s="187"/>
      <c r="AN24" s="187"/>
      <c r="AO24" s="187"/>
      <c r="AP24" s="187"/>
      <c r="AQ24" s="187"/>
      <c r="AR24" s="187"/>
      <c r="AS24" s="187"/>
      <c r="AT24" s="187"/>
      <c r="AU24" s="187"/>
      <c r="AV24" s="187"/>
      <c r="AW24" s="187"/>
      <c r="AX24" s="187"/>
      <c r="AY24" s="187"/>
      <c r="AZ24" s="187"/>
      <c r="BA24" s="187"/>
    </row>
    <row r="25" spans="1:53" outlineLevel="1" x14ac:dyDescent="0.35">
      <c r="A25" s="6" t="s">
        <v>24</v>
      </c>
      <c r="Z25" s="6">
        <f>'Results - raw data ReCiPe (E)'!AA20</f>
        <v>6.5886015482857579E-4</v>
      </c>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row>
    <row r="26" spans="1:53" outlineLevel="1" x14ac:dyDescent="0.35">
      <c r="A26" s="6" t="s">
        <v>25</v>
      </c>
      <c r="Z26" s="6">
        <f>'Results - raw data ReCiPe (E)'!AA21</f>
        <v>2.2860550403126468E-3</v>
      </c>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row>
    <row r="27" spans="1:53" outlineLevel="1" x14ac:dyDescent="0.35">
      <c r="A27" s="6" t="s">
        <v>27</v>
      </c>
      <c r="Z27" s="6">
        <f>'Results - raw data ReCiPe (E)'!AA22</f>
        <v>1.0411294652998089E-3</v>
      </c>
      <c r="AB27" s="187"/>
      <c r="AC27" s="187"/>
      <c r="AD27" s="187"/>
      <c r="AE27" s="187"/>
      <c r="AF27" s="187"/>
      <c r="AG27" s="187"/>
      <c r="AH27" s="187"/>
      <c r="AI27" s="187"/>
      <c r="AJ27" s="187"/>
      <c r="AK27" s="187"/>
      <c r="AL27" s="187"/>
      <c r="AM27" s="187"/>
      <c r="AN27" s="187"/>
      <c r="AO27" s="187"/>
      <c r="AP27" s="187"/>
      <c r="AQ27" s="187"/>
      <c r="AR27" s="187"/>
      <c r="AS27" s="187"/>
      <c r="AT27" s="187"/>
      <c r="AU27" s="187"/>
      <c r="AV27" s="187"/>
      <c r="AW27" s="187"/>
      <c r="AX27" s="187"/>
      <c r="AY27" s="187"/>
      <c r="AZ27" s="187"/>
      <c r="BA27" s="187"/>
    </row>
    <row r="28" spans="1:53" outlineLevel="1" x14ac:dyDescent="0.35">
      <c r="A28" s="6" t="s">
        <v>30</v>
      </c>
      <c r="Z28" s="6">
        <f>'Results - raw data ReCiPe (E)'!AA23</f>
        <v>1.758089009492816E-3</v>
      </c>
      <c r="AB28" s="187"/>
      <c r="AC28" s="187"/>
      <c r="AD28" s="187"/>
      <c r="AE28" s="187"/>
      <c r="AF28" s="187"/>
      <c r="AG28" s="187"/>
      <c r="AH28" s="187"/>
      <c r="AI28" s="187"/>
      <c r="AJ28" s="187"/>
      <c r="AK28" s="187"/>
      <c r="AL28" s="187"/>
      <c r="AM28" s="187"/>
      <c r="AN28" s="187"/>
      <c r="AO28" s="187"/>
      <c r="AP28" s="187"/>
      <c r="AQ28" s="187"/>
      <c r="AR28" s="187"/>
      <c r="AS28" s="187"/>
      <c r="AT28" s="187"/>
      <c r="AU28" s="187"/>
      <c r="AV28" s="187"/>
      <c r="AW28" s="187"/>
      <c r="AX28" s="187"/>
      <c r="AY28" s="187"/>
      <c r="AZ28" s="187"/>
      <c r="BA28" s="187"/>
    </row>
    <row r="29" spans="1:53" outlineLevel="1" x14ac:dyDescent="0.35">
      <c r="A29" s="6" t="s">
        <v>32</v>
      </c>
      <c r="Z29" s="6">
        <f>'Results - raw data ReCiPe (E)'!AA24</f>
        <v>6.66883333608157E-4</v>
      </c>
      <c r="AB29" s="187"/>
      <c r="AC29" s="187"/>
      <c r="AD29" s="187"/>
      <c r="AE29" s="187"/>
      <c r="AF29" s="187"/>
      <c r="AG29" s="187"/>
      <c r="AH29" s="187"/>
      <c r="AI29" s="187"/>
      <c r="AJ29" s="187"/>
      <c r="AK29" s="187"/>
      <c r="AL29" s="187"/>
      <c r="AM29" s="187"/>
      <c r="AN29" s="187"/>
      <c r="AO29" s="187"/>
      <c r="AP29" s="187"/>
      <c r="AQ29" s="187"/>
      <c r="AR29" s="187"/>
      <c r="AS29" s="187"/>
      <c r="AT29" s="187"/>
      <c r="AU29" s="187"/>
      <c r="AV29" s="187"/>
      <c r="AW29" s="187"/>
      <c r="AX29" s="187"/>
      <c r="AY29" s="187"/>
      <c r="AZ29" s="187"/>
      <c r="BA29" s="187"/>
    </row>
    <row r="30" spans="1:53" outlineLevel="1" x14ac:dyDescent="0.35">
      <c r="A30" s="6" t="s">
        <v>33</v>
      </c>
      <c r="Z30" s="6">
        <f>'Results - raw data ReCiPe (E)'!AA25</f>
        <v>4.3925185887206151E-4</v>
      </c>
      <c r="AB30" s="187"/>
      <c r="AC30" s="187"/>
      <c r="AD30" s="187"/>
      <c r="AE30" s="187"/>
      <c r="AF30" s="187"/>
      <c r="AG30" s="187"/>
      <c r="AH30" s="187"/>
      <c r="AI30" s="187"/>
      <c r="AJ30" s="187"/>
      <c r="AK30" s="187"/>
      <c r="AL30" s="187"/>
      <c r="AM30" s="187"/>
      <c r="AN30" s="187"/>
      <c r="AO30" s="187"/>
      <c r="AP30" s="187"/>
      <c r="AQ30" s="187"/>
      <c r="AR30" s="187"/>
      <c r="AS30" s="187"/>
      <c r="AT30" s="187"/>
      <c r="AU30" s="187"/>
      <c r="AV30" s="187"/>
      <c r="AW30" s="187"/>
      <c r="AX30" s="187"/>
      <c r="AY30" s="187"/>
      <c r="AZ30" s="187"/>
      <c r="BA30" s="187"/>
    </row>
    <row r="31" spans="1:53" outlineLevel="1" x14ac:dyDescent="0.35">
      <c r="A31" s="6" t="s">
        <v>35</v>
      </c>
      <c r="Z31" s="6">
        <f>'Results - raw data ReCiPe (E)'!AA26</f>
        <v>8.7850371774412291E-4</v>
      </c>
      <c r="AB31" s="187"/>
      <c r="AC31" s="187"/>
      <c r="AD31" s="187"/>
      <c r="AE31" s="187"/>
      <c r="AF31" s="187"/>
      <c r="AG31" s="187"/>
      <c r="AH31" s="187"/>
      <c r="AI31" s="187"/>
      <c r="AJ31" s="187"/>
      <c r="AK31" s="187"/>
      <c r="AL31" s="187"/>
      <c r="AM31" s="187"/>
      <c r="AN31" s="187"/>
      <c r="AO31" s="187"/>
      <c r="AP31" s="187"/>
      <c r="AQ31" s="187"/>
      <c r="AR31" s="187"/>
      <c r="AS31" s="187"/>
      <c r="AT31" s="187"/>
      <c r="AU31" s="187"/>
      <c r="AV31" s="187"/>
      <c r="AW31" s="187"/>
      <c r="AX31" s="187"/>
      <c r="AY31" s="187"/>
      <c r="AZ31" s="187"/>
      <c r="BA31" s="187"/>
    </row>
    <row r="32" spans="1:53" outlineLevel="1" x14ac:dyDescent="0.35">
      <c r="A32" s="6" t="s">
        <v>37</v>
      </c>
      <c r="Z32" s="6">
        <f>'Results - raw data ReCiPe (E)'!AA27</f>
        <v>2.5913778922868631E-3</v>
      </c>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row>
    <row r="33" spans="1:53" outlineLevel="1" x14ac:dyDescent="0.35">
      <c r="A33" s="6" t="s">
        <v>40</v>
      </c>
      <c r="Z33" s="6">
        <f>'Results - raw data ReCiPe (E)'!AA28</f>
        <v>9.300082599118692E-2</v>
      </c>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row>
    <row r="34" spans="1:53" outlineLevel="1" x14ac:dyDescent="0.35">
      <c r="A34" s="6" t="s">
        <v>42</v>
      </c>
      <c r="Z34" s="6">
        <f>'Results - raw data ReCiPe (E)'!AA29</f>
        <v>1.652255685400816E-3</v>
      </c>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row>
    <row r="35" spans="1:53" outlineLevel="1" x14ac:dyDescent="0.35">
      <c r="A35" s="6" t="s">
        <v>115</v>
      </c>
      <c r="Z35" s="6">
        <f>'Results - raw data ReCiPe (E)'!AA30</f>
        <v>2.3216471881549992E-2</v>
      </c>
    </row>
    <row r="36" spans="1:53" outlineLevel="1" x14ac:dyDescent="0.35">
      <c r="A36" s="6" t="s">
        <v>45</v>
      </c>
      <c r="Z36" s="6">
        <f>'Results - raw data ReCiPe (E)'!AA31*AC7*AC8</f>
        <v>1.8614484052655999E-3</v>
      </c>
    </row>
    <row r="37" spans="1:53" outlineLevel="1" x14ac:dyDescent="0.35">
      <c r="A37" s="6" t="s">
        <v>116</v>
      </c>
      <c r="B37" s="6">
        <f>'Results - raw data ReCiPe (E)'!C32</f>
        <v>0.1490671536669359</v>
      </c>
      <c r="C37" s="6">
        <f>'Results - raw data ReCiPe (E)'!D32</f>
        <v>0.14903552208451901</v>
      </c>
      <c r="D37" s="6">
        <f>'Results - raw data ReCiPe (E)'!E32</f>
        <v>0.14900409124176461</v>
      </c>
      <c r="E37" s="6">
        <f>'Results - raw data ReCiPe (E)'!F32</f>
        <v>0.14899675412380661</v>
      </c>
      <c r="F37" s="6">
        <f>'Results - raw data ReCiPe (E)'!G32</f>
        <v>0.1489647117300914</v>
      </c>
      <c r="G37" s="6">
        <f>'Results - raw data ReCiPe (E)'!H32</f>
        <v>0.14893252576017491</v>
      </c>
      <c r="H37" s="6">
        <f>'Results - raw data ReCiPe (E)'!I32</f>
        <v>0.14913467370511721</v>
      </c>
      <c r="I37" s="6">
        <f>'Results - raw data ReCiPe (E)'!J32</f>
        <v>0.149339481801325</v>
      </c>
      <c r="J37" s="6">
        <f>'Results - raw data ReCiPe (E)'!K32</f>
        <v>0.14964233019068271</v>
      </c>
      <c r="K37" s="6">
        <f>'Results - raw data ReCiPe (E)'!L32</f>
        <v>0.14985420341785011</v>
      </c>
      <c r="L37" s="6">
        <f>'Results - raw data ReCiPe (E)'!M32</f>
        <v>0.15006804233852261</v>
      </c>
      <c r="M37" s="6">
        <f>'Results - raw data ReCiPe (E)'!N32</f>
        <v>0.1504290310217074</v>
      </c>
      <c r="N37" s="6">
        <f>'Results - raw data ReCiPe (E)'!O32</f>
        <v>0.15079302716477189</v>
      </c>
      <c r="O37" s="6">
        <f>'Results - raw data ReCiPe (E)'!P32</f>
        <v>0.15124443040310401</v>
      </c>
      <c r="P37" s="6">
        <f>'Results - raw data ReCiPe (E)'!Q32</f>
        <v>0.151617050465884</v>
      </c>
      <c r="Q37" s="6">
        <f>'Results - raw data ReCiPe (E)'!R32</f>
        <v>0.15199232647583841</v>
      </c>
      <c r="R37" s="6">
        <f>'Results - raw data ReCiPe (E)'!S32</f>
        <v>0.15185481880401791</v>
      </c>
      <c r="S37" s="6">
        <f>'Results - raw data ReCiPe (E)'!T32</f>
        <v>0.1517160014958327</v>
      </c>
      <c r="T37" s="6">
        <f>'Results - raw data ReCiPe (E)'!U32</f>
        <v>0.15162753334670259</v>
      </c>
      <c r="U37" s="6">
        <f>'Results - raw data ReCiPe (E)'!V32</f>
        <v>0.1514859571713543</v>
      </c>
      <c r="V37" s="6">
        <f>'Results - raw data ReCiPe (E)'!W32</f>
        <v>0.15134294203733781</v>
      </c>
      <c r="W37" s="6">
        <f>'Results - raw data ReCiPe (E)'!X32</f>
        <v>0.15096779974777791</v>
      </c>
      <c r="X37" s="6">
        <f>'Results - raw data ReCiPe (E)'!Y32</f>
        <v>0.15056652186544831</v>
      </c>
      <c r="Y37" s="6">
        <f>'Results - raw data ReCiPe (E)'!Z32</f>
        <v>0.15016276939309101</v>
      </c>
      <c r="Z37" s="6">
        <f>'Results - raw data ReCiPe (E)'!AA32</f>
        <v>0.149756511690775</v>
      </c>
    </row>
    <row r="38" spans="1:53" outlineLevel="1" x14ac:dyDescent="0.35">
      <c r="A38" s="6" t="s">
        <v>758</v>
      </c>
      <c r="B38" s="6">
        <f>'Results - raw data ReCiPe (E)'!C33*$AC$7</f>
        <v>0.38654328795354098</v>
      </c>
      <c r="C38" s="6">
        <f>'Results - raw data ReCiPe (E)'!D33*$AC$7</f>
        <v>0.38572536393638751</v>
      </c>
      <c r="D38" s="6">
        <f>'Results - raw data ReCiPe (E)'!E33*$AC$7</f>
        <v>0.38490213454324318</v>
      </c>
      <c r="E38" s="6">
        <f>'Results - raw data ReCiPe (E)'!F33*$AC$7</f>
        <v>0.38410164623840737</v>
      </c>
      <c r="F38" s="6">
        <f>'Results - raw data ReCiPe (E)'!G33*$AC$7</f>
        <v>0.38326962225724048</v>
      </c>
      <c r="G38" s="6">
        <f>'Results - raw data ReCiPe (E)'!H33*$AC$7</f>
        <v>0.38243395251057855</v>
      </c>
      <c r="H38" s="6">
        <f>'Results - raw data ReCiPe (E)'!I33*$AC$7</f>
        <v>0.40410628117260966</v>
      </c>
      <c r="I38" s="6">
        <f>'Results - raw data ReCiPe (E)'!J33*$AC$7</f>
        <v>0.42568870624606392</v>
      </c>
      <c r="J38" s="6">
        <f>'Results - raw data ReCiPe (E)'!K33*$AC$7</f>
        <v>0.44722979323323148</v>
      </c>
      <c r="K38" s="6">
        <f>'Results - raw data ReCiPe (E)'!L33*$AC$7</f>
        <v>0.46865143901779066</v>
      </c>
      <c r="L38" s="6">
        <f>'Results - raw data ReCiPe (E)'!M33*$AC$7</f>
        <v>0.48998711595877492</v>
      </c>
      <c r="M38" s="6">
        <f>'Results - raw data ReCiPe (E)'!N33*$AC$7</f>
        <v>0.53185488730925101</v>
      </c>
      <c r="N38" s="6">
        <f>'Results - raw data ReCiPe (E)'!O33*$AC$7</f>
        <v>0.57373251784576318</v>
      </c>
      <c r="O38" s="6">
        <f>'Results - raw data ReCiPe (E)'!P33*$AC$7</f>
        <v>0.61565370477593673</v>
      </c>
      <c r="P38" s="6">
        <f>'Results - raw data ReCiPe (E)'!Q33*$AC$7</f>
        <v>0.65754992958356884</v>
      </c>
      <c r="Q38" s="6">
        <f>'Results - raw data ReCiPe (E)'!R33*$AC$7</f>
        <v>0.69945474454131396</v>
      </c>
      <c r="R38" s="6">
        <f>'Results - raw data ReCiPe (E)'!S33*$AC$7</f>
        <v>0.70116168458050809</v>
      </c>
      <c r="S38" s="6">
        <f>'Results - raw data ReCiPe (E)'!T33*$AC$7</f>
        <v>0.7028572038930373</v>
      </c>
      <c r="T38" s="6">
        <f>'Results - raw data ReCiPe (E)'!U33*$AC$7</f>
        <v>0.70456136311661077</v>
      </c>
      <c r="U38" s="6">
        <f>'Results - raw data ReCiPe (E)'!V33*$AC$7</f>
        <v>0.70623528072684383</v>
      </c>
      <c r="V38" s="6">
        <f>'Results - raw data ReCiPe (E)'!W33*$AC$7</f>
        <v>0.7078990325263127</v>
      </c>
      <c r="W38" s="6">
        <f>'Results - raw data ReCiPe (E)'!X33*$AC$7</f>
        <v>0.68978541699720153</v>
      </c>
      <c r="X38" s="6">
        <f>'Results - raw data ReCiPe (E)'!Y33*$AC$7</f>
        <v>0.67146561505537805</v>
      </c>
      <c r="Y38" s="6">
        <f>'Results - raw data ReCiPe (E)'!Z33*$AC$7</f>
        <v>0.65315610842109884</v>
      </c>
      <c r="Z38" s="6">
        <f>'Results - raw data ReCiPe (E)'!AA33*$AC$7</f>
        <v>0.63485651014893763</v>
      </c>
    </row>
    <row r="39" spans="1:53" outlineLevel="1" x14ac:dyDescent="0.35">
      <c r="A39" s="6" t="s">
        <v>759</v>
      </c>
      <c r="B39" s="6">
        <f>'Results - raw data ReCiPe (E)'!C34</f>
        <v>0</v>
      </c>
      <c r="C39" s="6">
        <f>'Results - raw data ReCiPe (E)'!D34</f>
        <v>0</v>
      </c>
      <c r="D39" s="6">
        <f>'Results - raw data ReCiPe (E)'!E34</f>
        <v>0</v>
      </c>
      <c r="E39" s="6">
        <f>'Results - raw data ReCiPe (E)'!F34</f>
        <v>0</v>
      </c>
      <c r="F39" s="6">
        <f>'Results - raw data ReCiPe (E)'!G34</f>
        <v>0</v>
      </c>
      <c r="G39" s="6">
        <f>'Results - raw data ReCiPe (E)'!H34</f>
        <v>0</v>
      </c>
      <c r="H39" s="6">
        <f>'Results - raw data ReCiPe (E)'!I34</f>
        <v>0</v>
      </c>
      <c r="I39" s="6">
        <f>'Results - raw data ReCiPe (E)'!J34</f>
        <v>0</v>
      </c>
      <c r="J39" s="6">
        <f>'Results - raw data ReCiPe (E)'!K34</f>
        <v>0</v>
      </c>
      <c r="K39" s="6">
        <f>'Results - raw data ReCiPe (E)'!L34</f>
        <v>0</v>
      </c>
      <c r="L39" s="6">
        <f>'Results - raw data ReCiPe (E)'!M34</f>
        <v>0</v>
      </c>
      <c r="M39" s="6">
        <f>'Results - raw data ReCiPe (E)'!N34</f>
        <v>0</v>
      </c>
      <c r="N39" s="6">
        <f>'Results - raw data ReCiPe (E)'!O34</f>
        <v>0</v>
      </c>
      <c r="O39" s="6">
        <f>'Results - raw data ReCiPe (E)'!P34</f>
        <v>0</v>
      </c>
      <c r="P39" s="6">
        <f>'Results - raw data ReCiPe (E)'!Q34</f>
        <v>0</v>
      </c>
      <c r="Q39" s="6">
        <f>'Results - raw data ReCiPe (E)'!R34</f>
        <v>0</v>
      </c>
      <c r="R39" s="6">
        <f>'Results - raw data ReCiPe (E)'!S34</f>
        <v>0</v>
      </c>
      <c r="S39" s="6">
        <f>'Results - raw data ReCiPe (E)'!T34</f>
        <v>0</v>
      </c>
      <c r="T39" s="6">
        <f>'Results - raw data ReCiPe (E)'!U34</f>
        <v>0</v>
      </c>
      <c r="U39" s="6">
        <f>'Results - raw data ReCiPe (E)'!V34</f>
        <v>0</v>
      </c>
      <c r="V39" s="6">
        <f>'Results - raw data ReCiPe (E)'!W34</f>
        <v>0</v>
      </c>
      <c r="W39" s="6">
        <f>'Results - raw data ReCiPe (E)'!X34</f>
        <v>0</v>
      </c>
      <c r="X39" s="6">
        <f>'Results - raw data ReCiPe (E)'!Y34</f>
        <v>0</v>
      </c>
      <c r="Y39" s="6">
        <f>'Results - raw data ReCiPe (E)'!Z34</f>
        <v>0</v>
      </c>
      <c r="Z39" s="6">
        <f>'Results - raw data ReCiPe (E)'!AA34</f>
        <v>0</v>
      </c>
    </row>
    <row r="40" spans="1:53" outlineLevel="1" x14ac:dyDescent="0.35">
      <c r="A40" s="6" t="s">
        <v>760</v>
      </c>
      <c r="B40" s="6">
        <f>'Results - raw data ReCiPe (E)'!C35</f>
        <v>3.1208515547463418</v>
      </c>
      <c r="C40" s="6">
        <f>'Results - raw data ReCiPe (E)'!D35</f>
        <v>3.1115894682350289</v>
      </c>
      <c r="D40" s="6">
        <f>'Results - raw data ReCiPe (E)'!E35</f>
        <v>3.1022314320029989</v>
      </c>
      <c r="E40" s="6">
        <f>'Results - raw data ReCiPe (E)'!F35</f>
        <v>3.0931004357287688</v>
      </c>
      <c r="F40" s="6">
        <f>'Results - raw data ReCiPe (E)'!G35</f>
        <v>3.0835768071651679</v>
      </c>
      <c r="G40" s="6">
        <f>'Results - raw data ReCiPe (E)'!H35</f>
        <v>3.0739787664805882</v>
      </c>
      <c r="H40" s="6">
        <f>'Results - raw data ReCiPe (E)'!I35</f>
        <v>3.361270820822106</v>
      </c>
      <c r="I40" s="6">
        <f>'Results - raw data ReCiPe (E)'!J35</f>
        <v>3.648172192245708</v>
      </c>
      <c r="J40" s="6">
        <f>'Results - raw data ReCiPe (E)'!K35</f>
        <v>3.935221464005326</v>
      </c>
      <c r="K40" s="6">
        <f>'Results - raw data ReCiPe (E)'!L35</f>
        <v>4.221588425371845</v>
      </c>
      <c r="L40" s="6">
        <f>'Results - raw data ReCiPe (E)'!M35</f>
        <v>4.5076142848967349</v>
      </c>
      <c r="M40" s="6">
        <f>'Results - raw data ReCiPe (E)'!N35</f>
        <v>5.066726515010334</v>
      </c>
      <c r="N40" s="6">
        <f>'Results - raw data ReCiPe (E)'!O35</f>
        <v>5.6272255695301334</v>
      </c>
      <c r="O40" s="6">
        <f>'Results - raw data ReCiPe (E)'!P35</f>
        <v>6.1894811024463374</v>
      </c>
      <c r="P40" s="6">
        <f>'Results - raw data ReCiPe (E)'!Q35</f>
        <v>6.7527515870654069</v>
      </c>
      <c r="Q40" s="6">
        <f>'Results - raw data ReCiPe (E)'!R35</f>
        <v>7.3174069595748454</v>
      </c>
      <c r="R40" s="6">
        <f>'Results - raw data ReCiPe (E)'!S35</f>
        <v>7.3455769232231516</v>
      </c>
      <c r="S40" s="6">
        <f>'Results - raw data ReCiPe (E)'!T35</f>
        <v>7.3736516581927329</v>
      </c>
      <c r="T40" s="6">
        <f>'Results - raw data ReCiPe (E)'!U35</f>
        <v>7.4018525072969812</v>
      </c>
      <c r="U40" s="6">
        <f>'Results - raw data ReCiPe (E)'!V35</f>
        <v>7.4297535224510574</v>
      </c>
      <c r="V40" s="6">
        <f>'Results - raw data ReCiPe (E)'!W35</f>
        <v>7.4575760720479991</v>
      </c>
      <c r="W40" s="6">
        <f>'Results - raw data ReCiPe (E)'!X35</f>
        <v>7.2249790251547026</v>
      </c>
      <c r="X40" s="6">
        <f>'Results - raw data ReCiPe (E)'!Y35</f>
        <v>6.9886881155374434</v>
      </c>
      <c r="Y40" s="6">
        <f>'Results - raw data ReCiPe (E)'!Z35</f>
        <v>6.7515806286725528</v>
      </c>
      <c r="Z40" s="6">
        <f>'Results - raw data ReCiPe (E)'!AA35</f>
        <v>6.513649249180772</v>
      </c>
    </row>
    <row r="41" spans="1:53" outlineLevel="1" x14ac:dyDescent="0.35">
      <c r="A41" s="23" t="s">
        <v>125</v>
      </c>
      <c r="B41" s="17">
        <f>SUM(B10:B40)</f>
        <v>19.713983170525548</v>
      </c>
      <c r="C41" s="17">
        <f>SUM(C10:C40)</f>
        <v>3.6463503542559357</v>
      </c>
      <c r="D41" s="17">
        <f>SUM(D10:D40)</f>
        <v>3.6361376577880069</v>
      </c>
      <c r="E41" s="17">
        <f>SUM(E10:E40)</f>
        <v>3.6261988360909827</v>
      </c>
      <c r="F41" s="17">
        <f>SUM(F10:F40)</f>
        <v>3.6158111411524998</v>
      </c>
      <c r="G41" s="17">
        <f t="shared" ref="G41:Z41" si="4">SUM(G10:G40)</f>
        <v>3.6053452447513417</v>
      </c>
      <c r="H41" s="17">
        <f t="shared" si="4"/>
        <v>3.9145117756998329</v>
      </c>
      <c r="I41" s="17">
        <f t="shared" si="4"/>
        <v>4.2232003802930969</v>
      </c>
      <c r="J41" s="17">
        <f t="shared" si="4"/>
        <v>4.5320935874292401</v>
      </c>
      <c r="K41" s="17">
        <f t="shared" si="4"/>
        <v>4.8400940678074855</v>
      </c>
      <c r="L41" s="17">
        <f t="shared" si="4"/>
        <v>5.1476694431940322</v>
      </c>
      <c r="M41" s="17">
        <f t="shared" si="4"/>
        <v>5.7490104333412919</v>
      </c>
      <c r="N41" s="17">
        <f t="shared" si="4"/>
        <v>6.3517511145406687</v>
      </c>
      <c r="O41" s="17">
        <f t="shared" si="4"/>
        <v>6.9563792376253781</v>
      </c>
      <c r="P41" s="17">
        <f t="shared" si="4"/>
        <v>7.5619185671148594</v>
      </c>
      <c r="Q41" s="17">
        <f t="shared" si="4"/>
        <v>8.1688540305919979</v>
      </c>
      <c r="R41" s="17">
        <f t="shared" si="4"/>
        <v>8.1985934266076779</v>
      </c>
      <c r="S41" s="17">
        <f t="shared" si="4"/>
        <v>8.2282248635816035</v>
      </c>
      <c r="T41" s="17">
        <f t="shared" si="4"/>
        <v>8.2580414037602949</v>
      </c>
      <c r="U41" s="17">
        <f t="shared" si="4"/>
        <v>8.2874747603492551</v>
      </c>
      <c r="V41" s="17">
        <f t="shared" si="4"/>
        <v>8.3168180466116493</v>
      </c>
      <c r="W41" s="17">
        <f t="shared" si="4"/>
        <v>8.0657322418996813</v>
      </c>
      <c r="X41" s="17">
        <f t="shared" si="4"/>
        <v>7.8107202524582693</v>
      </c>
      <c r="Y41" s="17">
        <f t="shared" si="4"/>
        <v>7.554899506486743</v>
      </c>
      <c r="Z41" s="17">
        <f t="shared" si="4"/>
        <v>7.4296571495471619</v>
      </c>
    </row>
    <row r="42" spans="1:53" outlineLevel="1" x14ac:dyDescent="0.35"/>
    <row r="43" spans="1:53" s="18" customFormat="1" ht="21" x14ac:dyDescent="0.5">
      <c r="A43" s="18" t="s">
        <v>73</v>
      </c>
    </row>
    <row r="44" spans="1:53" s="20" customFormat="1" outlineLevel="1" x14ac:dyDescent="0.35">
      <c r="A44" s="19" t="s">
        <v>767</v>
      </c>
    </row>
    <row r="45" spans="1:53" s="16" customFormat="1" outlineLevel="1" x14ac:dyDescent="0.35">
      <c r="A45" s="21"/>
      <c r="AB45" s="16" t="s">
        <v>47</v>
      </c>
      <c r="AC45" s="16">
        <v>1.2500000000000001E-5</v>
      </c>
      <c r="AD45" s="16" t="s">
        <v>48</v>
      </c>
      <c r="AE45" s="15" t="s">
        <v>714</v>
      </c>
    </row>
    <row r="46" spans="1:53" s="16" customFormat="1" outlineLevel="1" x14ac:dyDescent="0.35">
      <c r="A46" s="22" t="s">
        <v>564</v>
      </c>
      <c r="AC46" s="16">
        <f>AC45*1000</f>
        <v>1.2500000000000001E-2</v>
      </c>
      <c r="AD46" s="16" t="s">
        <v>126</v>
      </c>
    </row>
    <row r="47" spans="1:53" s="16" customFormat="1" outlineLevel="1" x14ac:dyDescent="0.35">
      <c r="A47" s="22"/>
      <c r="AB47" s="16" t="s">
        <v>127</v>
      </c>
      <c r="AC47" s="16">
        <v>100</v>
      </c>
      <c r="AD47" s="16" t="s">
        <v>128</v>
      </c>
    </row>
    <row r="48" spans="1:53" s="16" customFormat="1" outlineLevel="1" x14ac:dyDescent="0.35">
      <c r="A48" s="22"/>
      <c r="AB48" s="16" t="s">
        <v>129</v>
      </c>
      <c r="AC48" s="16">
        <v>25</v>
      </c>
      <c r="AD48" s="16" t="s">
        <v>130</v>
      </c>
    </row>
    <row r="49" spans="1:53" outlineLevel="1" x14ac:dyDescent="0.35">
      <c r="B49" s="25">
        <v>2030</v>
      </c>
      <c r="C49" s="25">
        <v>2031</v>
      </c>
      <c r="D49" s="25">
        <v>2032</v>
      </c>
      <c r="E49" s="25">
        <v>2033</v>
      </c>
      <c r="F49" s="25">
        <v>2034</v>
      </c>
      <c r="G49" s="25">
        <v>2035</v>
      </c>
      <c r="H49" s="25">
        <v>2036</v>
      </c>
      <c r="I49" s="25">
        <v>2037</v>
      </c>
      <c r="J49" s="25">
        <v>2038</v>
      </c>
      <c r="K49" s="25">
        <v>2039</v>
      </c>
      <c r="L49" s="25">
        <v>2040</v>
      </c>
      <c r="M49" s="25">
        <v>2041</v>
      </c>
      <c r="N49" s="25">
        <v>2042</v>
      </c>
      <c r="O49" s="25">
        <v>2043</v>
      </c>
      <c r="P49" s="25">
        <v>2044</v>
      </c>
      <c r="Q49" s="25">
        <v>2045</v>
      </c>
      <c r="R49" s="25">
        <v>2046</v>
      </c>
      <c r="S49" s="25">
        <v>2047</v>
      </c>
      <c r="T49" s="25">
        <v>2048</v>
      </c>
      <c r="U49" s="25">
        <v>2049</v>
      </c>
      <c r="V49" s="25">
        <v>2050</v>
      </c>
      <c r="W49" s="25">
        <v>2051</v>
      </c>
      <c r="X49" s="25">
        <v>2052</v>
      </c>
      <c r="Y49" s="25">
        <v>2053</v>
      </c>
      <c r="Z49" s="25">
        <v>2054</v>
      </c>
      <c r="AC49" s="25">
        <v>2030</v>
      </c>
      <c r="AD49" s="25">
        <v>2031</v>
      </c>
      <c r="AE49" s="25">
        <v>2032</v>
      </c>
      <c r="AF49" s="25">
        <v>2033</v>
      </c>
      <c r="AG49" s="25">
        <v>2034</v>
      </c>
      <c r="AH49" s="25">
        <v>2035</v>
      </c>
      <c r="AI49" s="25">
        <v>2036</v>
      </c>
      <c r="AJ49" s="25">
        <v>2037</v>
      </c>
      <c r="AK49" s="25">
        <v>2038</v>
      </c>
      <c r="AL49" s="25">
        <v>2039</v>
      </c>
      <c r="AM49" s="25">
        <v>2040</v>
      </c>
      <c r="AN49" s="25">
        <v>2041</v>
      </c>
      <c r="AO49" s="25">
        <v>2042</v>
      </c>
      <c r="AP49" s="25">
        <v>2043</v>
      </c>
      <c r="AQ49" s="25">
        <v>2044</v>
      </c>
      <c r="AR49" s="25">
        <v>2045</v>
      </c>
      <c r="AS49" s="25">
        <v>2046</v>
      </c>
      <c r="AT49" s="25">
        <v>2047</v>
      </c>
      <c r="AU49" s="25">
        <v>2048</v>
      </c>
      <c r="AV49" s="25">
        <v>2049</v>
      </c>
      <c r="AW49" s="25">
        <v>2050</v>
      </c>
      <c r="AX49" s="25">
        <v>2051</v>
      </c>
      <c r="AY49" s="25">
        <v>2052</v>
      </c>
      <c r="AZ49" s="25">
        <v>2053</v>
      </c>
      <c r="BA49" s="25">
        <v>2054</v>
      </c>
    </row>
    <row r="50" spans="1:53" outlineLevel="1" x14ac:dyDescent="0.35">
      <c r="A50" s="6" t="s">
        <v>21</v>
      </c>
      <c r="B50" s="6">
        <f>'Results - raw data ReCiPe (E)'!C41</f>
        <v>0.20960548877827331</v>
      </c>
      <c r="AB50" s="6" t="s">
        <v>117</v>
      </c>
      <c r="AC50" s="6">
        <f>SUM(B50:B61)+B63</f>
        <v>15.163625338196166</v>
      </c>
    </row>
    <row r="51" spans="1:53" outlineLevel="1" x14ac:dyDescent="0.35">
      <c r="A51" s="6" t="s">
        <v>23</v>
      </c>
      <c r="B51" s="6">
        <f>'Results - raw data ReCiPe (E)'!C42</f>
        <v>0.46443428379104668</v>
      </c>
      <c r="AB51" s="6" t="s">
        <v>118</v>
      </c>
      <c r="AC51" s="6">
        <f>B62</f>
        <v>0.56825338316202001</v>
      </c>
    </row>
    <row r="52" spans="1:53" outlineLevel="1" x14ac:dyDescent="0.35">
      <c r="A52" s="6" t="s">
        <v>26</v>
      </c>
      <c r="B52" s="6">
        <f>'Results - raw data ReCiPe (E)'!C43</f>
        <v>0.87912064669183188</v>
      </c>
      <c r="AB52" s="6" t="s">
        <v>119</v>
      </c>
      <c r="BA52" s="6">
        <f>SUM(Z64:Z75)</f>
        <v>0.1255608424989286</v>
      </c>
    </row>
    <row r="53" spans="1:53" outlineLevel="1" x14ac:dyDescent="0.35">
      <c r="A53" s="6" t="s">
        <v>28</v>
      </c>
      <c r="B53" s="6">
        <f>'Results - raw data ReCiPe (E)'!C44</f>
        <v>0.84534301526053379</v>
      </c>
      <c r="AB53" s="6" t="s">
        <v>120</v>
      </c>
      <c r="BA53" s="6">
        <f>Z76</f>
        <v>1.8015168397394004E-3</v>
      </c>
    </row>
    <row r="54" spans="1:53" outlineLevel="1" x14ac:dyDescent="0.35">
      <c r="A54" s="6" t="s">
        <v>29</v>
      </c>
      <c r="B54" s="6">
        <f>'Results - raw data ReCiPe (E)'!C45</f>
        <v>0.91486801961645936</v>
      </c>
      <c r="AB54" s="6" t="s">
        <v>121</v>
      </c>
      <c r="AC54" s="6">
        <f>B77</f>
        <v>0.14634543908972419</v>
      </c>
      <c r="AF54" s="6">
        <f>E77</f>
        <v>0.144700117717494</v>
      </c>
      <c r="AI54" s="6">
        <f>H77</f>
        <v>0.14300322402923241</v>
      </c>
      <c r="AL54" s="6">
        <f>K77</f>
        <v>0.14146113160521259</v>
      </c>
      <c r="AO54" s="6">
        <f>N77</f>
        <v>0.13996239429028681</v>
      </c>
      <c r="AR54" s="6">
        <f>Q77</f>
        <v>0.13861595410465891</v>
      </c>
      <c r="AU54" s="6">
        <f>T77</f>
        <v>0.1378128975848889</v>
      </c>
      <c r="AX54" s="6">
        <f>W77</f>
        <v>0.13722954493495951</v>
      </c>
      <c r="BA54" s="6">
        <f>Z77</f>
        <v>0.13710363329546579</v>
      </c>
    </row>
    <row r="55" spans="1:53" outlineLevel="1" x14ac:dyDescent="0.35">
      <c r="A55" s="6" t="s">
        <v>31</v>
      </c>
      <c r="B55" s="6">
        <f>'Results - raw data ReCiPe (E)'!C46</f>
        <v>0.58407251169844387</v>
      </c>
      <c r="AB55" s="6" t="s">
        <v>122</v>
      </c>
      <c r="AC55" s="6">
        <f>B80+B79</f>
        <v>2.451724740800556</v>
      </c>
      <c r="AD55" s="6">
        <f t="shared" ref="AD55:BA55" si="5">C80+C79</f>
        <v>2.255746180971077</v>
      </c>
      <c r="AE55" s="6">
        <f t="shared" si="5"/>
        <v>2.0596126680614439</v>
      </c>
      <c r="AF55" s="6">
        <f t="shared" si="5"/>
        <v>1.8636891919362819</v>
      </c>
      <c r="AG55" s="6">
        <f t="shared" si="5"/>
        <v>1.6672496151323251</v>
      </c>
      <c r="AH55" s="6">
        <f t="shared" si="5"/>
        <v>1.470645521292405</v>
      </c>
      <c r="AI55" s="6">
        <f t="shared" si="5"/>
        <v>1.399675334368562</v>
      </c>
      <c r="AJ55" s="6">
        <f t="shared" si="5"/>
        <v>1.3289052935042971</v>
      </c>
      <c r="AK55" s="6">
        <f t="shared" si="5"/>
        <v>1.2587837316745369</v>
      </c>
      <c r="AL55" s="6">
        <f t="shared" si="5"/>
        <v>1.188232150312958</v>
      </c>
      <c r="AM55" s="6">
        <f t="shared" si="5"/>
        <v>1.117732072766036</v>
      </c>
      <c r="AN55" s="6">
        <f t="shared" si="5"/>
        <v>1.0978572281657439</v>
      </c>
      <c r="AO55" s="6">
        <f t="shared" si="5"/>
        <v>1.077903231489266</v>
      </c>
      <c r="AP55" s="6">
        <f t="shared" si="5"/>
        <v>1.058207905154732</v>
      </c>
      <c r="AQ55" s="6">
        <f t="shared" si="5"/>
        <v>1.038049470266218</v>
      </c>
      <c r="AR55" s="6">
        <f t="shared" si="5"/>
        <v>1.0177723722873919</v>
      </c>
      <c r="AS55" s="6">
        <f t="shared" si="5"/>
        <v>1.0271437682999369</v>
      </c>
      <c r="AT55" s="6">
        <f t="shared" si="5"/>
        <v>1.036448728542396</v>
      </c>
      <c r="AU55" s="6">
        <f t="shared" si="5"/>
        <v>1.045919405710775</v>
      </c>
      <c r="AV55" s="6">
        <f t="shared" si="5"/>
        <v>1.055088824127391</v>
      </c>
      <c r="AW55" s="6">
        <f t="shared" si="5"/>
        <v>1.064189174303664</v>
      </c>
      <c r="AX55" s="6">
        <f t="shared" si="5"/>
        <v>1.0716873966338709</v>
      </c>
      <c r="AY55" s="6">
        <f t="shared" si="5"/>
        <v>1.078940781927382</v>
      </c>
      <c r="AZ55" s="6">
        <f t="shared" si="5"/>
        <v>1.0862322755800391</v>
      </c>
      <c r="BA55" s="6">
        <f t="shared" si="5"/>
        <v>1.0935582834365529</v>
      </c>
    </row>
    <row r="56" spans="1:53" outlineLevel="1" x14ac:dyDescent="0.35">
      <c r="A56" s="6" t="s">
        <v>34</v>
      </c>
      <c r="B56" s="6">
        <f>'Results - raw data ReCiPe (E)'!C47</f>
        <v>0.51645180264350998</v>
      </c>
      <c r="AB56" s="6" t="s">
        <v>123</v>
      </c>
      <c r="AC56" s="6">
        <f t="shared" ref="AC56:BA56" si="6">B78</f>
        <v>3.3496960877119671E-3</v>
      </c>
      <c r="AD56" s="6">
        <f t="shared" si="6"/>
        <v>0.31998154455019479</v>
      </c>
      <c r="AE56" s="6">
        <f t="shared" si="6"/>
        <v>0.30505085367021373</v>
      </c>
      <c r="AF56" s="6">
        <f t="shared" si="6"/>
        <v>0.29020866439963255</v>
      </c>
      <c r="AG56" s="6">
        <f t="shared" si="6"/>
        <v>0.27539292782227176</v>
      </c>
      <c r="AH56" s="6">
        <f t="shared" si="6"/>
        <v>0.2606338785022429</v>
      </c>
      <c r="AI56" s="6">
        <f t="shared" si="6"/>
        <v>0.25526106510858937</v>
      </c>
      <c r="AJ56" s="6">
        <f t="shared" si="6"/>
        <v>0.24991471438999321</v>
      </c>
      <c r="AK56" s="6">
        <f t="shared" si="6"/>
        <v>0.24463512752201841</v>
      </c>
      <c r="AL56" s="6">
        <f t="shared" si="6"/>
        <v>0.2393269071405254</v>
      </c>
      <c r="AM56" s="6">
        <f t="shared" si="6"/>
        <v>0.23403312355110722</v>
      </c>
      <c r="AN56" s="6">
        <f t="shared" si="6"/>
        <v>0.23243810228026307</v>
      </c>
      <c r="AO56" s="6">
        <f t="shared" si="6"/>
        <v>0.23083901682335423</v>
      </c>
      <c r="AP56" s="6">
        <f t="shared" si="6"/>
        <v>0.22926535867646819</v>
      </c>
      <c r="AQ56" s="6">
        <f t="shared" si="6"/>
        <v>0.2276542142571191</v>
      </c>
      <c r="AR56" s="6">
        <f t="shared" si="6"/>
        <v>0.2260356161254454</v>
      </c>
      <c r="AS56" s="6">
        <f t="shared" si="6"/>
        <v>0.22645689440946279</v>
      </c>
      <c r="AT56" s="6">
        <f t="shared" si="6"/>
        <v>0.22687918407877519</v>
      </c>
      <c r="AU56" s="6">
        <f t="shared" si="6"/>
        <v>0.22732236809434692</v>
      </c>
      <c r="AV56" s="6">
        <f t="shared" si="6"/>
        <v>0.2277460722875953</v>
      </c>
      <c r="AW56" s="6">
        <f t="shared" si="6"/>
        <v>0.22817018141708342</v>
      </c>
      <c r="AX56" s="6">
        <f t="shared" si="6"/>
        <v>0.2288755068743121</v>
      </c>
      <c r="AY56" s="6">
        <f t="shared" si="6"/>
        <v>0.2295579190194002</v>
      </c>
      <c r="AZ56" s="6">
        <f t="shared" si="6"/>
        <v>0.23024146468381021</v>
      </c>
      <c r="BA56" s="6">
        <f t="shared" si="6"/>
        <v>0.23092571499286862</v>
      </c>
    </row>
    <row r="57" spans="1:53" outlineLevel="1" x14ac:dyDescent="0.35">
      <c r="A57" s="6" t="s">
        <v>36</v>
      </c>
      <c r="B57" s="6">
        <f>'Results - raw data ReCiPe (E)'!C48</f>
        <v>0.37793592249524333</v>
      </c>
      <c r="AB57" s="6" t="s">
        <v>124</v>
      </c>
      <c r="AC57" s="6">
        <f>-$AC$7*$AC$6</f>
        <v>-1.25</v>
      </c>
      <c r="AD57" s="6">
        <f t="shared" ref="AD57:BA57" si="7">-$AC$7*$AC$6</f>
        <v>-1.25</v>
      </c>
      <c r="AE57" s="6">
        <f t="shared" si="7"/>
        <v>-1.25</v>
      </c>
      <c r="AF57" s="6">
        <f t="shared" si="7"/>
        <v>-1.25</v>
      </c>
      <c r="AG57" s="6">
        <f t="shared" si="7"/>
        <v>-1.25</v>
      </c>
      <c r="AH57" s="6">
        <f t="shared" si="7"/>
        <v>-1.25</v>
      </c>
      <c r="AI57" s="6">
        <f t="shared" si="7"/>
        <v>-1.25</v>
      </c>
      <c r="AJ57" s="6">
        <f t="shared" si="7"/>
        <v>-1.25</v>
      </c>
      <c r="AK57" s="6">
        <f t="shared" si="7"/>
        <v>-1.25</v>
      </c>
      <c r="AL57" s="6">
        <f t="shared" si="7"/>
        <v>-1.25</v>
      </c>
      <c r="AM57" s="6">
        <f t="shared" si="7"/>
        <v>-1.25</v>
      </c>
      <c r="AN57" s="6">
        <f t="shared" si="7"/>
        <v>-1.25</v>
      </c>
      <c r="AO57" s="6">
        <f t="shared" si="7"/>
        <v>-1.25</v>
      </c>
      <c r="AP57" s="6">
        <f t="shared" si="7"/>
        <v>-1.25</v>
      </c>
      <c r="AQ57" s="6">
        <f t="shared" si="7"/>
        <v>-1.25</v>
      </c>
      <c r="AR57" s="6">
        <f t="shared" si="7"/>
        <v>-1.25</v>
      </c>
      <c r="AS57" s="6">
        <f t="shared" si="7"/>
        <v>-1.25</v>
      </c>
      <c r="AT57" s="6">
        <f t="shared" si="7"/>
        <v>-1.25</v>
      </c>
      <c r="AU57" s="6">
        <f t="shared" si="7"/>
        <v>-1.25</v>
      </c>
      <c r="AV57" s="6">
        <f t="shared" si="7"/>
        <v>-1.25</v>
      </c>
      <c r="AW57" s="6">
        <f t="shared" si="7"/>
        <v>-1.25</v>
      </c>
      <c r="AX57" s="6">
        <f t="shared" si="7"/>
        <v>-1.25</v>
      </c>
      <c r="AY57" s="6">
        <f t="shared" si="7"/>
        <v>-1.25</v>
      </c>
      <c r="AZ57" s="6">
        <f t="shared" si="7"/>
        <v>-1.25</v>
      </c>
      <c r="BA57" s="6">
        <f t="shared" si="7"/>
        <v>-1.25</v>
      </c>
    </row>
    <row r="58" spans="1:53" outlineLevel="1" x14ac:dyDescent="0.35">
      <c r="A58" s="6" t="s">
        <v>38</v>
      </c>
      <c r="B58" s="6">
        <f>'Results - raw data ReCiPe (E)'!C49</f>
        <v>1.0661193001888549</v>
      </c>
      <c r="AB58" s="23" t="s">
        <v>125</v>
      </c>
      <c r="AC58" s="17">
        <f t="shared" ref="AC58:BA58" si="8">SUM(AC50:AC57)</f>
        <v>17.083298597336182</v>
      </c>
      <c r="AD58" s="17">
        <f t="shared" si="8"/>
        <v>1.325727725521272</v>
      </c>
      <c r="AE58" s="17">
        <f t="shared" si="8"/>
        <v>1.1146635217316576</v>
      </c>
      <c r="AF58" s="17">
        <f t="shared" si="8"/>
        <v>1.0485979740534082</v>
      </c>
      <c r="AG58" s="17">
        <f t="shared" si="8"/>
        <v>0.69264254295459682</v>
      </c>
      <c r="AH58" s="17">
        <f t="shared" si="8"/>
        <v>0.48127939979464784</v>
      </c>
      <c r="AI58" s="17">
        <f t="shared" si="8"/>
        <v>0.54793962350638381</v>
      </c>
      <c r="AJ58" s="17">
        <f t="shared" si="8"/>
        <v>0.32882000789429022</v>
      </c>
      <c r="AK58" s="17">
        <f t="shared" si="8"/>
        <v>0.25341885919655538</v>
      </c>
      <c r="AL58" s="17">
        <f t="shared" si="8"/>
        <v>0.31902018905869589</v>
      </c>
      <c r="AM58" s="17">
        <f t="shared" si="8"/>
        <v>0.10176519631714331</v>
      </c>
      <c r="AN58" s="17">
        <f t="shared" si="8"/>
        <v>8.0295330446007007E-2</v>
      </c>
      <c r="AO58" s="17">
        <f t="shared" si="8"/>
        <v>0.1987046426029071</v>
      </c>
      <c r="AP58" s="17">
        <f t="shared" si="8"/>
        <v>3.7473263831200088E-2</v>
      </c>
      <c r="AQ58" s="17">
        <f t="shared" si="8"/>
        <v>1.5703684523337147E-2</v>
      </c>
      <c r="AR58" s="17">
        <f t="shared" si="8"/>
        <v>0.13242394251749623</v>
      </c>
      <c r="AS58" s="17">
        <f t="shared" si="8"/>
        <v>3.6006627093996268E-3</v>
      </c>
      <c r="AT58" s="17">
        <f t="shared" si="8"/>
        <v>1.3327912621171167E-2</v>
      </c>
      <c r="AU58" s="17">
        <f t="shared" si="8"/>
        <v>0.16105467139001073</v>
      </c>
      <c r="AV58" s="17">
        <f t="shared" si="8"/>
        <v>3.283489641498627E-2</v>
      </c>
      <c r="AW58" s="17">
        <f t="shared" si="8"/>
        <v>4.2359355720747338E-2</v>
      </c>
      <c r="AX58" s="17">
        <f t="shared" si="8"/>
        <v>0.18779244844314236</v>
      </c>
      <c r="AY58" s="17">
        <f t="shared" si="8"/>
        <v>5.8498700946782112E-2</v>
      </c>
      <c r="AZ58" s="17">
        <f t="shared" si="8"/>
        <v>6.6473740263849335E-2</v>
      </c>
      <c r="BA58" s="17">
        <f t="shared" si="8"/>
        <v>0.33894999106355517</v>
      </c>
    </row>
    <row r="59" spans="1:53" outlineLevel="1" x14ac:dyDescent="0.35">
      <c r="A59" s="6" t="s">
        <v>39</v>
      </c>
      <c r="B59" s="6">
        <f>'Results - raw data ReCiPe (E)'!C50</f>
        <v>8.5200987946093978</v>
      </c>
    </row>
    <row r="60" spans="1:53" outlineLevel="1" x14ac:dyDescent="0.35">
      <c r="A60" s="6" t="s">
        <v>41</v>
      </c>
      <c r="B60" s="6">
        <f>'Results - raw data ReCiPe (E)'!C51</f>
        <v>6.7892939996938573E-3</v>
      </c>
    </row>
    <row r="61" spans="1:53" outlineLevel="1" x14ac:dyDescent="0.35">
      <c r="A61" s="6" t="s">
        <v>43</v>
      </c>
      <c r="B61" s="6">
        <f>'Results - raw data ReCiPe (E)'!C52</f>
        <v>4.2892454308277171E-2</v>
      </c>
      <c r="AB61" s="187"/>
      <c r="AC61" s="187"/>
      <c r="AD61" s="187"/>
      <c r="AE61" s="187"/>
      <c r="AF61" s="187"/>
      <c r="AG61" s="187"/>
      <c r="AH61" s="187"/>
      <c r="AI61" s="187"/>
      <c r="AJ61" s="187"/>
      <c r="AK61" s="187"/>
      <c r="AL61" s="187"/>
      <c r="AM61" s="187"/>
      <c r="AN61" s="187"/>
      <c r="AO61" s="187"/>
      <c r="AP61" s="187"/>
      <c r="AQ61" s="187"/>
      <c r="AR61" s="187"/>
      <c r="AS61" s="187"/>
      <c r="AT61" s="187"/>
      <c r="AU61" s="187"/>
      <c r="AV61" s="187"/>
      <c r="AW61" s="187"/>
      <c r="AX61" s="187"/>
      <c r="AY61" s="187"/>
      <c r="AZ61" s="187"/>
      <c r="BA61" s="187"/>
    </row>
    <row r="62" spans="1:53" outlineLevel="1" x14ac:dyDescent="0.35">
      <c r="A62" s="6" t="s">
        <v>44</v>
      </c>
      <c r="B62" s="6">
        <f>'Results - raw data ReCiPe (E)'!C53*AC47*AC48</f>
        <v>0.56825338316202001</v>
      </c>
      <c r="AB62" s="187"/>
      <c r="AC62" s="187"/>
      <c r="AD62" s="187"/>
      <c r="AE62" s="187"/>
      <c r="AF62" s="187"/>
      <c r="AG62" s="187"/>
      <c r="AH62" s="187"/>
      <c r="AI62" s="187"/>
      <c r="AJ62" s="187"/>
      <c r="AK62" s="187"/>
      <c r="AL62" s="187"/>
      <c r="AM62" s="187"/>
      <c r="AN62" s="187"/>
      <c r="AO62" s="187"/>
      <c r="AP62" s="187"/>
      <c r="AQ62" s="187"/>
      <c r="AR62" s="187"/>
      <c r="AS62" s="187"/>
      <c r="AT62" s="187"/>
      <c r="AU62" s="187"/>
      <c r="AV62" s="187"/>
      <c r="AW62" s="187"/>
      <c r="AX62" s="187"/>
      <c r="AY62" s="187"/>
      <c r="AZ62" s="187"/>
      <c r="BA62" s="187"/>
    </row>
    <row r="63" spans="1:53" outlineLevel="1" x14ac:dyDescent="0.35">
      <c r="A63" s="6" t="s">
        <v>757</v>
      </c>
      <c r="B63" s="6">
        <f>'Results - raw data ReCiPe (E)'!C54*AC48*AC47</f>
        <v>0.73589380411460081</v>
      </c>
      <c r="AB63" s="187"/>
      <c r="AC63" s="187"/>
      <c r="AD63" s="187"/>
      <c r="AE63" s="187"/>
      <c r="AF63" s="187"/>
      <c r="AG63" s="187"/>
      <c r="AH63" s="187"/>
      <c r="AI63" s="187"/>
      <c r="AJ63" s="187"/>
      <c r="AK63" s="187"/>
      <c r="AL63" s="187"/>
      <c r="AM63" s="187"/>
      <c r="AN63" s="187"/>
      <c r="AO63" s="187"/>
      <c r="AP63" s="187"/>
      <c r="AQ63" s="187"/>
      <c r="AR63" s="187"/>
      <c r="AS63" s="187"/>
      <c r="AT63" s="187"/>
      <c r="AU63" s="187"/>
      <c r="AV63" s="187"/>
      <c r="AW63" s="187"/>
      <c r="AX63" s="187"/>
      <c r="AY63" s="187"/>
      <c r="AZ63" s="187"/>
      <c r="BA63" s="187"/>
    </row>
    <row r="64" spans="1:53" outlineLevel="1" x14ac:dyDescent="0.35">
      <c r="A64" s="6" t="s">
        <v>22</v>
      </c>
      <c r="Z64" s="6">
        <f>'Results - raw data ReCiPe (E)'!AA55</f>
        <v>1.3251030746934389E-3</v>
      </c>
      <c r="AB64" s="187"/>
      <c r="AC64" s="187"/>
      <c r="AD64" s="187"/>
      <c r="AE64" s="187"/>
      <c r="AF64" s="187"/>
      <c r="AG64" s="187"/>
      <c r="AH64" s="187"/>
      <c r="AI64" s="187"/>
      <c r="AJ64" s="187"/>
      <c r="AK64" s="187"/>
      <c r="AL64" s="187"/>
      <c r="AM64" s="187"/>
      <c r="AN64" s="187"/>
      <c r="AO64" s="187"/>
      <c r="AP64" s="187"/>
      <c r="AQ64" s="187"/>
      <c r="AR64" s="187"/>
      <c r="AS64" s="187"/>
      <c r="AT64" s="187"/>
      <c r="AU64" s="187"/>
      <c r="AV64" s="187"/>
      <c r="AW64" s="187"/>
      <c r="AX64" s="187"/>
      <c r="AY64" s="187"/>
      <c r="AZ64" s="187"/>
      <c r="BA64" s="187"/>
    </row>
    <row r="65" spans="1:53" outlineLevel="1" x14ac:dyDescent="0.35">
      <c r="A65" s="6" t="s">
        <v>24</v>
      </c>
      <c r="Z65" s="6">
        <f>'Results - raw data ReCiPe (E)'!AA56</f>
        <v>6.3955514219959052E-4</v>
      </c>
      <c r="AB65" s="187"/>
      <c r="AC65" s="187"/>
      <c r="AD65" s="187"/>
      <c r="AE65" s="187"/>
      <c r="AF65" s="187"/>
      <c r="AG65" s="187"/>
      <c r="AH65" s="187"/>
      <c r="AI65" s="187"/>
      <c r="AJ65" s="187"/>
      <c r="AK65" s="187"/>
      <c r="AL65" s="187"/>
      <c r="AM65" s="187"/>
      <c r="AN65" s="187"/>
      <c r="AO65" s="187"/>
      <c r="AP65" s="187"/>
      <c r="AQ65" s="187"/>
      <c r="AR65" s="187"/>
      <c r="AS65" s="187"/>
      <c r="AT65" s="187"/>
      <c r="AU65" s="187"/>
      <c r="AV65" s="187"/>
      <c r="AW65" s="187"/>
      <c r="AX65" s="187"/>
      <c r="AY65" s="187"/>
      <c r="AZ65" s="187"/>
      <c r="BA65" s="187"/>
    </row>
    <row r="66" spans="1:53" outlineLevel="1" x14ac:dyDescent="0.35">
      <c r="A66" s="6" t="s">
        <v>25</v>
      </c>
      <c r="Z66" s="6">
        <f>'Results - raw data ReCiPe (E)'!AA57</f>
        <v>2.0930513190614889E-3</v>
      </c>
      <c r="AB66" s="187"/>
      <c r="AC66" s="187"/>
      <c r="AD66" s="187"/>
      <c r="AE66" s="187"/>
      <c r="AF66" s="187"/>
      <c r="AG66" s="187"/>
      <c r="AH66" s="187"/>
      <c r="AI66" s="187"/>
      <c r="AJ66" s="187"/>
      <c r="AK66" s="187"/>
      <c r="AL66" s="187"/>
      <c r="AM66" s="187"/>
      <c r="AN66" s="187"/>
      <c r="AO66" s="187"/>
      <c r="AP66" s="187"/>
      <c r="AQ66" s="187"/>
      <c r="AR66" s="187"/>
      <c r="AS66" s="187"/>
      <c r="AT66" s="187"/>
      <c r="AU66" s="187"/>
      <c r="AV66" s="187"/>
      <c r="AW66" s="187"/>
      <c r="AX66" s="187"/>
      <c r="AY66" s="187"/>
      <c r="AZ66" s="187"/>
      <c r="BA66" s="187"/>
    </row>
    <row r="67" spans="1:53" outlineLevel="1" x14ac:dyDescent="0.35">
      <c r="A67" s="6" t="s">
        <v>27</v>
      </c>
      <c r="Z67" s="6">
        <f>'Results - raw data ReCiPe (E)'!AA58</f>
        <v>9.9605819857726137E-4</v>
      </c>
      <c r="AB67" s="187"/>
      <c r="AC67" s="187"/>
      <c r="AD67" s="187"/>
      <c r="AE67" s="187"/>
      <c r="AF67" s="187"/>
      <c r="AG67" s="187"/>
      <c r="AH67" s="187"/>
      <c r="AI67" s="187"/>
      <c r="AJ67" s="187"/>
      <c r="AK67" s="187"/>
      <c r="AL67" s="187"/>
      <c r="AM67" s="187"/>
      <c r="AN67" s="187"/>
      <c r="AO67" s="187"/>
      <c r="AP67" s="187"/>
      <c r="AQ67" s="187"/>
      <c r="AR67" s="187"/>
      <c r="AS67" s="187"/>
      <c r="AT67" s="187"/>
      <c r="AU67" s="187"/>
      <c r="AV67" s="187"/>
      <c r="AW67" s="187"/>
      <c r="AX67" s="187"/>
      <c r="AY67" s="187"/>
      <c r="AZ67" s="187"/>
      <c r="BA67" s="187"/>
    </row>
    <row r="68" spans="1:53" outlineLevel="1" x14ac:dyDescent="0.35">
      <c r="A68" s="6" t="s">
        <v>30</v>
      </c>
      <c r="Z68" s="6">
        <f>'Results - raw data ReCiPe (E)'!AA59</f>
        <v>1.7330870984460761E-3</v>
      </c>
      <c r="AB68" s="187"/>
      <c r="AC68" s="187"/>
      <c r="AD68" s="187"/>
      <c r="AE68" s="187"/>
      <c r="AF68" s="187"/>
      <c r="AG68" s="187"/>
      <c r="AH68" s="187"/>
      <c r="AI68" s="187"/>
      <c r="AJ68" s="187"/>
      <c r="AK68" s="187"/>
      <c r="AL68" s="187"/>
      <c r="AM68" s="187"/>
      <c r="AN68" s="187"/>
      <c r="AO68" s="187"/>
      <c r="AP68" s="187"/>
      <c r="AQ68" s="187"/>
      <c r="AR68" s="187"/>
      <c r="AS68" s="187"/>
      <c r="AT68" s="187"/>
      <c r="AU68" s="187"/>
      <c r="AV68" s="187"/>
      <c r="AW68" s="187"/>
      <c r="AX68" s="187"/>
      <c r="AY68" s="187"/>
      <c r="AZ68" s="187"/>
      <c r="BA68" s="187"/>
    </row>
    <row r="69" spans="1:53" outlineLevel="1" x14ac:dyDescent="0.35">
      <c r="A69" s="6" t="s">
        <v>32</v>
      </c>
      <c r="Z69" s="6">
        <f>'Results - raw data ReCiPe (E)'!AA60</f>
        <v>6.5630319438792764E-4</v>
      </c>
      <c r="AB69" s="187"/>
      <c r="AC69" s="187"/>
      <c r="AD69" s="187"/>
      <c r="AE69" s="187"/>
      <c r="AF69" s="187"/>
      <c r="AG69" s="187"/>
      <c r="AH69" s="187"/>
      <c r="AI69" s="187"/>
      <c r="AJ69" s="187"/>
      <c r="AK69" s="187"/>
      <c r="AL69" s="187"/>
      <c r="AM69" s="187"/>
      <c r="AN69" s="187"/>
      <c r="AO69" s="187"/>
      <c r="AP69" s="187"/>
      <c r="AQ69" s="187"/>
      <c r="AR69" s="187"/>
      <c r="AS69" s="187"/>
      <c r="AT69" s="187"/>
      <c r="AU69" s="187"/>
      <c r="AV69" s="187"/>
      <c r="AW69" s="187"/>
      <c r="AX69" s="187"/>
      <c r="AY69" s="187"/>
      <c r="AZ69" s="187"/>
      <c r="BA69" s="187"/>
    </row>
    <row r="70" spans="1:53" outlineLevel="1" x14ac:dyDescent="0.35">
      <c r="A70" s="6" t="s">
        <v>33</v>
      </c>
      <c r="Z70" s="6">
        <f>'Results - raw data ReCiPe (E)'!AA61</f>
        <v>4.3155713161849529E-4</v>
      </c>
      <c r="AB70" s="187"/>
      <c r="AC70" s="187"/>
      <c r="AD70" s="187"/>
      <c r="AE70" s="187"/>
      <c r="AF70" s="187"/>
      <c r="AG70" s="187"/>
      <c r="AH70" s="187"/>
      <c r="AI70" s="187"/>
      <c r="AJ70" s="187"/>
      <c r="AK70" s="187"/>
      <c r="AL70" s="187"/>
      <c r="AM70" s="187"/>
      <c r="AN70" s="187"/>
      <c r="AO70" s="187"/>
      <c r="AP70" s="187"/>
      <c r="AQ70" s="187"/>
      <c r="AR70" s="187"/>
      <c r="AS70" s="187"/>
      <c r="AT70" s="187"/>
      <c r="AU70" s="187"/>
      <c r="AV70" s="187"/>
      <c r="AW70" s="187"/>
      <c r="AX70" s="187"/>
      <c r="AY70" s="187"/>
      <c r="AZ70" s="187"/>
      <c r="BA70" s="187"/>
    </row>
    <row r="71" spans="1:53" outlineLevel="1" x14ac:dyDescent="0.35">
      <c r="A71" s="6" t="s">
        <v>35</v>
      </c>
      <c r="Z71" s="6">
        <f>'Results - raw data ReCiPe (E)'!AA62</f>
        <v>8.6311426323699069E-4</v>
      </c>
      <c r="AB71" s="187"/>
      <c r="AC71" s="187"/>
      <c r="AD71" s="187"/>
      <c r="AE71" s="187"/>
      <c r="AF71" s="187"/>
      <c r="AG71" s="187"/>
      <c r="AH71" s="187"/>
      <c r="AI71" s="187"/>
      <c r="AJ71" s="187"/>
      <c r="AK71" s="187"/>
      <c r="AL71" s="187"/>
      <c r="AM71" s="187"/>
      <c r="AN71" s="187"/>
      <c r="AO71" s="187"/>
      <c r="AP71" s="187"/>
      <c r="AQ71" s="187"/>
      <c r="AR71" s="187"/>
      <c r="AS71" s="187"/>
      <c r="AT71" s="187"/>
      <c r="AU71" s="187"/>
      <c r="AV71" s="187"/>
      <c r="AW71" s="187"/>
      <c r="AX71" s="187"/>
      <c r="AY71" s="187"/>
      <c r="AZ71" s="187"/>
      <c r="BA71" s="187"/>
    </row>
    <row r="72" spans="1:53" outlineLevel="1" x14ac:dyDescent="0.35">
      <c r="A72" s="6" t="s">
        <v>37</v>
      </c>
      <c r="Z72" s="6">
        <f>'Results - raw data ReCiPe (E)'!AA63</f>
        <v>2.4543765248569191E-3</v>
      </c>
      <c r="AB72" s="187"/>
      <c r="AC72" s="187"/>
      <c r="AD72" s="187"/>
      <c r="AE72" s="187"/>
      <c r="AF72" s="187"/>
      <c r="AG72" s="187"/>
      <c r="AH72" s="187"/>
      <c r="AI72" s="187"/>
      <c r="AJ72" s="187"/>
      <c r="AK72" s="187"/>
      <c r="AL72" s="187"/>
      <c r="AM72" s="187"/>
      <c r="AN72" s="187"/>
      <c r="AO72" s="187"/>
      <c r="AP72" s="187"/>
      <c r="AQ72" s="187"/>
      <c r="AR72" s="187"/>
      <c r="AS72" s="187"/>
      <c r="AT72" s="187"/>
      <c r="AU72" s="187"/>
      <c r="AV72" s="187"/>
      <c r="AW72" s="187"/>
      <c r="AX72" s="187"/>
      <c r="AY72" s="187"/>
      <c r="AZ72" s="187"/>
      <c r="BA72" s="187"/>
    </row>
    <row r="73" spans="1:53" outlineLevel="1" x14ac:dyDescent="0.35">
      <c r="A73" s="6" t="s">
        <v>40</v>
      </c>
      <c r="Z73" s="6">
        <f>'Results - raw data ReCiPe (E)'!AA64</f>
        <v>9.2690812501355274E-2</v>
      </c>
    </row>
    <row r="74" spans="1:53" outlineLevel="1" x14ac:dyDescent="0.35">
      <c r="A74" s="6" t="s">
        <v>42</v>
      </c>
      <c r="Z74" s="6">
        <f>'Results - raw data ReCiPe (E)'!AA65</f>
        <v>1.3974082908951009E-3</v>
      </c>
    </row>
    <row r="75" spans="1:53" outlineLevel="1" x14ac:dyDescent="0.35">
      <c r="A75" s="6" t="s">
        <v>115</v>
      </c>
      <c r="Z75" s="6">
        <f>'Results - raw data ReCiPe (E)'!AA66</f>
        <v>2.0280415759600032E-2</v>
      </c>
    </row>
    <row r="76" spans="1:53" outlineLevel="1" x14ac:dyDescent="0.35">
      <c r="A76" s="6" t="s">
        <v>45</v>
      </c>
      <c r="Z76" s="6">
        <f>'Results - raw data ReCiPe (E)'!AA67*AC47*AC48</f>
        <v>1.8015168397394004E-3</v>
      </c>
    </row>
    <row r="77" spans="1:53" outlineLevel="1" x14ac:dyDescent="0.35">
      <c r="A77" s="6" t="s">
        <v>116</v>
      </c>
      <c r="B77" s="6">
        <f>'Results - raw data ReCiPe (E)'!C68</f>
        <v>0.14634543908972419</v>
      </c>
      <c r="C77" s="6">
        <f>'Results - raw data ReCiPe (E)'!D68</f>
        <v>0.14579663034043189</v>
      </c>
      <c r="D77" s="6">
        <f>'Results - raw data ReCiPe (E)'!E68</f>
        <v>0.1452403762482144</v>
      </c>
      <c r="E77" s="6">
        <f>'Results - raw data ReCiPe (E)'!F68</f>
        <v>0.144700117717494</v>
      </c>
      <c r="F77" s="6">
        <f>'Results - raw data ReCiPe (E)'!G68</f>
        <v>0.14412715742662441</v>
      </c>
      <c r="G77" s="6">
        <f>'Results - raw data ReCiPe (E)'!H68</f>
        <v>0.14354585844594669</v>
      </c>
      <c r="H77" s="6">
        <f>'Results - raw data ReCiPe (E)'!I68</f>
        <v>0.14300322402923241</v>
      </c>
      <c r="I77" s="6">
        <f>'Results - raw data ReCiPe (E)'!J68</f>
        <v>0.14246208632349619</v>
      </c>
      <c r="J77" s="6">
        <f>'Results - raw data ReCiPe (E)'!K68</f>
        <v>0.14200502565734541</v>
      </c>
      <c r="K77" s="6">
        <f>'Results - raw data ReCiPe (E)'!L68</f>
        <v>0.14146113160521259</v>
      </c>
      <c r="L77" s="6">
        <f>'Results - raw data ReCiPe (E)'!M68</f>
        <v>0.14091427334345921</v>
      </c>
      <c r="M77" s="6">
        <f>'Results - raw data ReCiPe (E)'!N68</f>
        <v>0.14043636373789661</v>
      </c>
      <c r="N77" s="6">
        <f>'Results - raw data ReCiPe (E)'!O68</f>
        <v>0.13996239429028681</v>
      </c>
      <c r="O77" s="6">
        <f>'Results - raw data ReCiPe (E)'!P68</f>
        <v>0.13954905709966489</v>
      </c>
      <c r="P77" s="6">
        <f>'Results - raw data ReCiPe (E)'!Q68</f>
        <v>0.13908129459722629</v>
      </c>
      <c r="Q77" s="6">
        <f>'Results - raw data ReCiPe (E)'!R68</f>
        <v>0.13861595410465891</v>
      </c>
      <c r="R77" s="6">
        <f>'Results - raw data ReCiPe (E)'!S68</f>
        <v>0.1383345288367499</v>
      </c>
      <c r="S77" s="6">
        <f>'Results - raw data ReCiPe (E)'!T68</f>
        <v>0.13805488615908901</v>
      </c>
      <c r="T77" s="6">
        <f>'Results - raw data ReCiPe (E)'!U68</f>
        <v>0.1378128975848889</v>
      </c>
      <c r="U77" s="6">
        <f>'Results - raw data ReCiPe (E)'!V68</f>
        <v>0.1375364909433909</v>
      </c>
      <c r="V77" s="6">
        <f>'Results - raw data ReCiPe (E)'!W68</f>
        <v>0.13726155351310909</v>
      </c>
      <c r="W77" s="6">
        <f>'Results - raw data ReCiPe (E)'!X68</f>
        <v>0.13722954493495951</v>
      </c>
      <c r="X77" s="6">
        <f>'Results - raw data ReCiPe (E)'!Y68</f>
        <v>0.13718706200929201</v>
      </c>
      <c r="Y77" s="6">
        <f>'Results - raw data ReCiPe (E)'!Z68</f>
        <v>0.13714509510066361</v>
      </c>
      <c r="Z77" s="6">
        <f>'Results - raw data ReCiPe (E)'!AA68</f>
        <v>0.13710363329546579</v>
      </c>
    </row>
    <row r="78" spans="1:53" outlineLevel="1" x14ac:dyDescent="0.35">
      <c r="A78" s="6" t="s">
        <v>758</v>
      </c>
      <c r="B78" s="6">
        <f>'Results - raw data ReCiPe (E)'!C69</f>
        <v>3.3496960877119671E-3</v>
      </c>
      <c r="C78" s="6">
        <f>'Results - raw data ReCiPe (E)'!D69*$AC$47</f>
        <v>0.31998154455019479</v>
      </c>
      <c r="D78" s="6">
        <f>'Results - raw data ReCiPe (E)'!E69*$AC$47</f>
        <v>0.30505085367021373</v>
      </c>
      <c r="E78" s="6">
        <f>'Results - raw data ReCiPe (E)'!F69*$AC$47</f>
        <v>0.29020866439963255</v>
      </c>
      <c r="F78" s="6">
        <f>'Results - raw data ReCiPe (E)'!G69*$AC$47</f>
        <v>0.27539292782227176</v>
      </c>
      <c r="G78" s="6">
        <f>'Results - raw data ReCiPe (E)'!H69*$AC$47</f>
        <v>0.2606338785022429</v>
      </c>
      <c r="H78" s="6">
        <f>'Results - raw data ReCiPe (E)'!I69*$AC$47</f>
        <v>0.25526106510858937</v>
      </c>
      <c r="I78" s="6">
        <f>'Results - raw data ReCiPe (E)'!J69*$AC$47</f>
        <v>0.24991471438999321</v>
      </c>
      <c r="J78" s="6">
        <f>'Results - raw data ReCiPe (E)'!K69*$AC$47</f>
        <v>0.24463512752201841</v>
      </c>
      <c r="K78" s="6">
        <f>'Results - raw data ReCiPe (E)'!L69*$AC$47</f>
        <v>0.2393269071405254</v>
      </c>
      <c r="L78" s="6">
        <f>'Results - raw data ReCiPe (E)'!M69*$AC$47</f>
        <v>0.23403312355110722</v>
      </c>
      <c r="M78" s="6">
        <f>'Results - raw data ReCiPe (E)'!N69*$AC$47</f>
        <v>0.23243810228026307</v>
      </c>
      <c r="N78" s="6">
        <f>'Results - raw data ReCiPe (E)'!O69*$AC$47</f>
        <v>0.23083901682335423</v>
      </c>
      <c r="O78" s="6">
        <f>'Results - raw data ReCiPe (E)'!P69*$AC$47</f>
        <v>0.22926535867646819</v>
      </c>
      <c r="P78" s="6">
        <f>'Results - raw data ReCiPe (E)'!Q69*$AC$47</f>
        <v>0.2276542142571191</v>
      </c>
      <c r="Q78" s="6">
        <f>'Results - raw data ReCiPe (E)'!R69*$AC$47</f>
        <v>0.2260356161254454</v>
      </c>
      <c r="R78" s="6">
        <f>'Results - raw data ReCiPe (E)'!S69*$AC$47</f>
        <v>0.22645689440946279</v>
      </c>
      <c r="S78" s="6">
        <f>'Results - raw data ReCiPe (E)'!T69*$AC$47</f>
        <v>0.22687918407877519</v>
      </c>
      <c r="T78" s="6">
        <f>'Results - raw data ReCiPe (E)'!U69*$AC$47</f>
        <v>0.22732236809434692</v>
      </c>
      <c r="U78" s="6">
        <f>'Results - raw data ReCiPe (E)'!V69*$AC$47</f>
        <v>0.2277460722875953</v>
      </c>
      <c r="V78" s="6">
        <f>'Results - raw data ReCiPe (E)'!W69*$AC$47</f>
        <v>0.22817018141708342</v>
      </c>
      <c r="W78" s="6">
        <f>'Results - raw data ReCiPe (E)'!X69*$AC$47</f>
        <v>0.2288755068743121</v>
      </c>
      <c r="X78" s="6">
        <f>'Results - raw data ReCiPe (E)'!Y69*$AC$47</f>
        <v>0.2295579190194002</v>
      </c>
      <c r="Y78" s="6">
        <f>'Results - raw data ReCiPe (E)'!Z69*$AC$47</f>
        <v>0.23024146468381021</v>
      </c>
      <c r="Z78" s="6">
        <f>'Results - raw data ReCiPe (E)'!AA69*$AC$47</f>
        <v>0.23092571499286862</v>
      </c>
    </row>
    <row r="79" spans="1:53" outlineLevel="1" x14ac:dyDescent="0.35">
      <c r="A79" s="6" t="s">
        <v>759</v>
      </c>
      <c r="B79" s="6">
        <f>'Results - raw data ReCiPe (E)'!C70</f>
        <v>0</v>
      </c>
      <c r="C79" s="6">
        <f>'Results - raw data ReCiPe (E)'!D70</f>
        <v>0</v>
      </c>
      <c r="D79" s="6">
        <f>'Results - raw data ReCiPe (E)'!E70</f>
        <v>0</v>
      </c>
      <c r="E79" s="6">
        <f>'Results - raw data ReCiPe (E)'!F70</f>
        <v>0</v>
      </c>
      <c r="F79" s="6">
        <f>'Results - raw data ReCiPe (E)'!G70</f>
        <v>0</v>
      </c>
      <c r="G79" s="6">
        <f>'Results - raw data ReCiPe (E)'!H70</f>
        <v>0</v>
      </c>
      <c r="H79" s="6">
        <f>'Results - raw data ReCiPe (E)'!I70</f>
        <v>0</v>
      </c>
      <c r="I79" s="6">
        <f>'Results - raw data ReCiPe (E)'!J70</f>
        <v>0</v>
      </c>
      <c r="J79" s="6">
        <f>'Results - raw data ReCiPe (E)'!K70</f>
        <v>0</v>
      </c>
      <c r="K79" s="6">
        <f>'Results - raw data ReCiPe (E)'!L70</f>
        <v>0</v>
      </c>
      <c r="L79" s="6">
        <f>'Results - raw data ReCiPe (E)'!M70</f>
        <v>0</v>
      </c>
      <c r="M79" s="6">
        <f>'Results - raw data ReCiPe (E)'!N70</f>
        <v>0</v>
      </c>
      <c r="N79" s="6">
        <f>'Results - raw data ReCiPe (E)'!O70</f>
        <v>0</v>
      </c>
      <c r="O79" s="6">
        <f>'Results - raw data ReCiPe (E)'!P70</f>
        <v>0</v>
      </c>
      <c r="P79" s="6">
        <f>'Results - raw data ReCiPe (E)'!Q70</f>
        <v>0</v>
      </c>
      <c r="Q79" s="6">
        <f>'Results - raw data ReCiPe (E)'!R70</f>
        <v>0</v>
      </c>
      <c r="R79" s="6">
        <f>'Results - raw data ReCiPe (E)'!S70</f>
        <v>0</v>
      </c>
      <c r="S79" s="6">
        <f>'Results - raw data ReCiPe (E)'!T70</f>
        <v>0</v>
      </c>
      <c r="T79" s="6">
        <f>'Results - raw data ReCiPe (E)'!U70</f>
        <v>0</v>
      </c>
      <c r="U79" s="6">
        <f>'Results - raw data ReCiPe (E)'!V70</f>
        <v>0</v>
      </c>
      <c r="V79" s="6">
        <f>'Results - raw data ReCiPe (E)'!W70</f>
        <v>0</v>
      </c>
      <c r="W79" s="6">
        <f>'Results - raw data ReCiPe (E)'!X70</f>
        <v>0</v>
      </c>
      <c r="X79" s="6">
        <f>'Results - raw data ReCiPe (E)'!Y70</f>
        <v>0</v>
      </c>
      <c r="Y79" s="6">
        <f>'Results - raw data ReCiPe (E)'!Z70</f>
        <v>0</v>
      </c>
      <c r="Z79" s="6">
        <f>'Results - raw data ReCiPe (E)'!AA70</f>
        <v>0</v>
      </c>
    </row>
    <row r="80" spans="1:53" outlineLevel="1" x14ac:dyDescent="0.35">
      <c r="A80" s="6" t="s">
        <v>760</v>
      </c>
      <c r="B80" s="6">
        <f>'Results - raw data ReCiPe (E)'!C71</f>
        <v>2.451724740800556</v>
      </c>
      <c r="C80" s="6">
        <f>'Results - raw data ReCiPe (E)'!D71</f>
        <v>2.255746180971077</v>
      </c>
      <c r="D80" s="6">
        <f>'Results - raw data ReCiPe (E)'!E71</f>
        <v>2.0596126680614439</v>
      </c>
      <c r="E80" s="6">
        <f>'Results - raw data ReCiPe (E)'!F71</f>
        <v>1.8636891919362819</v>
      </c>
      <c r="F80" s="6">
        <f>'Results - raw data ReCiPe (E)'!G71</f>
        <v>1.6672496151323251</v>
      </c>
      <c r="G80" s="6">
        <f>'Results - raw data ReCiPe (E)'!H71</f>
        <v>1.470645521292405</v>
      </c>
      <c r="H80" s="6">
        <f>'Results - raw data ReCiPe (E)'!I71</f>
        <v>1.399675334368562</v>
      </c>
      <c r="I80" s="6">
        <f>'Results - raw data ReCiPe (E)'!J71</f>
        <v>1.3289052935042971</v>
      </c>
      <c r="J80" s="6">
        <f>'Results - raw data ReCiPe (E)'!K71</f>
        <v>1.2587837316745369</v>
      </c>
      <c r="K80" s="6">
        <f>'Results - raw data ReCiPe (E)'!L71</f>
        <v>1.188232150312958</v>
      </c>
      <c r="L80" s="6">
        <f>'Results - raw data ReCiPe (E)'!M71</f>
        <v>1.117732072766036</v>
      </c>
      <c r="M80" s="6">
        <f>'Results - raw data ReCiPe (E)'!N71</f>
        <v>1.0978572281657439</v>
      </c>
      <c r="N80" s="6">
        <f>'Results - raw data ReCiPe (E)'!O71</f>
        <v>1.077903231489266</v>
      </c>
      <c r="O80" s="6">
        <f>'Results - raw data ReCiPe (E)'!P71</f>
        <v>1.058207905154732</v>
      </c>
      <c r="P80" s="6">
        <f>'Results - raw data ReCiPe (E)'!Q71</f>
        <v>1.038049470266218</v>
      </c>
      <c r="Q80" s="6">
        <f>'Results - raw data ReCiPe (E)'!R71</f>
        <v>1.0177723722873919</v>
      </c>
      <c r="R80" s="6">
        <f>'Results - raw data ReCiPe (E)'!S71</f>
        <v>1.0271437682999369</v>
      </c>
      <c r="S80" s="6">
        <f>'Results - raw data ReCiPe (E)'!T71</f>
        <v>1.036448728542396</v>
      </c>
      <c r="T80" s="6">
        <f>'Results - raw data ReCiPe (E)'!U71</f>
        <v>1.045919405710775</v>
      </c>
      <c r="U80" s="6">
        <f>'Results - raw data ReCiPe (E)'!V71</f>
        <v>1.055088824127391</v>
      </c>
      <c r="V80" s="6">
        <f>'Results - raw data ReCiPe (E)'!W71</f>
        <v>1.064189174303664</v>
      </c>
      <c r="W80" s="6">
        <f>'Results - raw data ReCiPe (E)'!X71</f>
        <v>1.0716873966338709</v>
      </c>
      <c r="X80" s="6">
        <f>'Results - raw data ReCiPe (E)'!Y71</f>
        <v>1.078940781927382</v>
      </c>
      <c r="Y80" s="6">
        <f>'Results - raw data ReCiPe (E)'!Z71</f>
        <v>1.0862322755800391</v>
      </c>
      <c r="Z80" s="6">
        <f>'Results - raw data ReCiPe (E)'!AA71</f>
        <v>1.0935582834365529</v>
      </c>
    </row>
    <row r="81" spans="1:53" outlineLevel="1" x14ac:dyDescent="0.35">
      <c r="A81" s="23" t="s">
        <v>125</v>
      </c>
      <c r="B81" s="17">
        <f t="shared" ref="B81:Z81" si="9">SUM(B50:B80)</f>
        <v>18.333298597336178</v>
      </c>
      <c r="C81" s="17">
        <f t="shared" si="9"/>
        <v>2.7215243558617037</v>
      </c>
      <c r="D81" s="17">
        <f t="shared" si="9"/>
        <v>2.5099038979798722</v>
      </c>
      <c r="E81" s="17">
        <f t="shared" si="9"/>
        <v>2.2985979740534086</v>
      </c>
      <c r="F81" s="17">
        <f t="shared" si="9"/>
        <v>2.0867697003812213</v>
      </c>
      <c r="G81" s="17">
        <f t="shared" si="9"/>
        <v>1.8748252582405946</v>
      </c>
      <c r="H81" s="17">
        <f t="shared" si="9"/>
        <v>1.7979396235063838</v>
      </c>
      <c r="I81" s="17">
        <f t="shared" si="9"/>
        <v>1.7212820942177864</v>
      </c>
      <c r="J81" s="17">
        <f t="shared" si="9"/>
        <v>1.6454238848539009</v>
      </c>
      <c r="K81" s="17">
        <f t="shared" si="9"/>
        <v>1.5690201890586959</v>
      </c>
      <c r="L81" s="17">
        <f t="shared" si="9"/>
        <v>1.4926794696606025</v>
      </c>
      <c r="M81" s="17">
        <f t="shared" si="9"/>
        <v>1.4707316941839035</v>
      </c>
      <c r="N81" s="17">
        <f t="shared" si="9"/>
        <v>1.4487046426029071</v>
      </c>
      <c r="O81" s="17">
        <f t="shared" si="9"/>
        <v>1.427022320930865</v>
      </c>
      <c r="P81" s="17">
        <f t="shared" si="9"/>
        <v>1.4047849791205633</v>
      </c>
      <c r="Q81" s="17">
        <f t="shared" si="9"/>
        <v>1.3824239425174962</v>
      </c>
      <c r="R81" s="17">
        <f t="shared" si="9"/>
        <v>1.3919351915461498</v>
      </c>
      <c r="S81" s="17">
        <f t="shared" si="9"/>
        <v>1.4013827987802601</v>
      </c>
      <c r="T81" s="17">
        <f t="shared" si="9"/>
        <v>1.4110546713900107</v>
      </c>
      <c r="U81" s="17">
        <f t="shared" si="9"/>
        <v>1.4203713873583772</v>
      </c>
      <c r="V81" s="17">
        <f t="shared" si="9"/>
        <v>1.4296209092338565</v>
      </c>
      <c r="W81" s="17">
        <f t="shared" si="9"/>
        <v>1.4377924484431426</v>
      </c>
      <c r="X81" s="17">
        <f t="shared" si="9"/>
        <v>1.4456857629560742</v>
      </c>
      <c r="Y81" s="17">
        <f t="shared" si="9"/>
        <v>1.453618835364513</v>
      </c>
      <c r="Z81" s="17">
        <f t="shared" si="9"/>
        <v>1.5889499910635554</v>
      </c>
    </row>
    <row r="82" spans="1:53" outlineLevel="1" x14ac:dyDescent="0.35"/>
    <row r="83" spans="1:53" s="18" customFormat="1" ht="21" x14ac:dyDescent="0.5">
      <c r="A83" s="18" t="s">
        <v>94</v>
      </c>
    </row>
    <row r="84" spans="1:53" s="20" customFormat="1" outlineLevel="1" x14ac:dyDescent="0.35">
      <c r="A84" s="19" t="s">
        <v>767</v>
      </c>
    </row>
    <row r="85" spans="1:53" s="16" customFormat="1" outlineLevel="1" x14ac:dyDescent="0.35">
      <c r="A85" s="21"/>
      <c r="AB85" s="16" t="s">
        <v>47</v>
      </c>
      <c r="AC85" s="16">
        <v>1.2500000000000001E-5</v>
      </c>
      <c r="AD85" s="16" t="s">
        <v>48</v>
      </c>
      <c r="AE85" s="15" t="s">
        <v>714</v>
      </c>
    </row>
    <row r="86" spans="1:53" s="16" customFormat="1" outlineLevel="1" x14ac:dyDescent="0.35">
      <c r="A86" s="22" t="s">
        <v>564</v>
      </c>
      <c r="AC86" s="16">
        <f>AC85*1000</f>
        <v>1.2500000000000001E-2</v>
      </c>
      <c r="AD86" s="16" t="s">
        <v>126</v>
      </c>
    </row>
    <row r="87" spans="1:53" s="16" customFormat="1" outlineLevel="1" x14ac:dyDescent="0.35">
      <c r="A87" s="22"/>
      <c r="AB87" s="16" t="s">
        <v>127</v>
      </c>
      <c r="AC87" s="16">
        <v>100</v>
      </c>
      <c r="AD87" s="16" t="s">
        <v>128</v>
      </c>
    </row>
    <row r="88" spans="1:53" s="16" customFormat="1" outlineLevel="1" x14ac:dyDescent="0.35">
      <c r="A88" s="22"/>
      <c r="AB88" s="16" t="s">
        <v>129</v>
      </c>
      <c r="AC88" s="16">
        <v>25</v>
      </c>
      <c r="AD88" s="16" t="s">
        <v>130</v>
      </c>
    </row>
    <row r="89" spans="1:53" outlineLevel="1" x14ac:dyDescent="0.35">
      <c r="B89" s="25">
        <v>2030</v>
      </c>
      <c r="C89" s="25">
        <v>2031</v>
      </c>
      <c r="D89" s="25">
        <v>2032</v>
      </c>
      <c r="E89" s="25">
        <v>2033</v>
      </c>
      <c r="F89" s="25">
        <v>2034</v>
      </c>
      <c r="G89" s="25">
        <v>2035</v>
      </c>
      <c r="H89" s="25">
        <v>2036</v>
      </c>
      <c r="I89" s="25">
        <v>2037</v>
      </c>
      <c r="J89" s="25">
        <v>2038</v>
      </c>
      <c r="K89" s="25">
        <v>2039</v>
      </c>
      <c r="L89" s="25">
        <v>2040</v>
      </c>
      <c r="M89" s="25">
        <v>2041</v>
      </c>
      <c r="N89" s="25">
        <v>2042</v>
      </c>
      <c r="O89" s="25">
        <v>2043</v>
      </c>
      <c r="P89" s="25">
        <v>2044</v>
      </c>
      <c r="Q89" s="25">
        <v>2045</v>
      </c>
      <c r="R89" s="25">
        <v>2046</v>
      </c>
      <c r="S89" s="25">
        <v>2047</v>
      </c>
      <c r="T89" s="25">
        <v>2048</v>
      </c>
      <c r="U89" s="25">
        <v>2049</v>
      </c>
      <c r="V89" s="25">
        <v>2050</v>
      </c>
      <c r="W89" s="25">
        <v>2051</v>
      </c>
      <c r="X89" s="25">
        <v>2052</v>
      </c>
      <c r="Y89" s="25">
        <v>2053</v>
      </c>
      <c r="Z89" s="25">
        <v>2054</v>
      </c>
      <c r="AC89" s="25">
        <v>2030</v>
      </c>
      <c r="AD89" s="25">
        <v>2031</v>
      </c>
      <c r="AE89" s="25">
        <v>2032</v>
      </c>
      <c r="AF89" s="25">
        <v>2033</v>
      </c>
      <c r="AG89" s="25">
        <v>2034</v>
      </c>
      <c r="AH89" s="25">
        <v>2035</v>
      </c>
      <c r="AI89" s="25">
        <v>2036</v>
      </c>
      <c r="AJ89" s="25">
        <v>2037</v>
      </c>
      <c r="AK89" s="25">
        <v>2038</v>
      </c>
      <c r="AL89" s="25">
        <v>2039</v>
      </c>
      <c r="AM89" s="25">
        <v>2040</v>
      </c>
      <c r="AN89" s="25">
        <v>2041</v>
      </c>
      <c r="AO89" s="25">
        <v>2042</v>
      </c>
      <c r="AP89" s="25">
        <v>2043</v>
      </c>
      <c r="AQ89" s="25">
        <v>2044</v>
      </c>
      <c r="AR89" s="25">
        <v>2045</v>
      </c>
      <c r="AS89" s="25">
        <v>2046</v>
      </c>
      <c r="AT89" s="25">
        <v>2047</v>
      </c>
      <c r="AU89" s="25">
        <v>2048</v>
      </c>
      <c r="AV89" s="25">
        <v>2049</v>
      </c>
      <c r="AW89" s="25">
        <v>2050</v>
      </c>
      <c r="AX89" s="25">
        <v>2051</v>
      </c>
      <c r="AY89" s="25">
        <v>2052</v>
      </c>
      <c r="AZ89" s="25">
        <v>2053</v>
      </c>
      <c r="BA89" s="25">
        <v>2054</v>
      </c>
    </row>
    <row r="90" spans="1:53" outlineLevel="1" x14ac:dyDescent="0.35">
      <c r="A90" s="6" t="s">
        <v>21</v>
      </c>
      <c r="B90" s="6">
        <f>'Results - raw data ReCiPe (E)'!C77</f>
        <v>0.2008445742562068</v>
      </c>
      <c r="AB90" s="6" t="s">
        <v>117</v>
      </c>
      <c r="AC90" s="6">
        <f>SUM(B90:B101)+B103</f>
        <v>14.738379245035386</v>
      </c>
    </row>
    <row r="91" spans="1:53" outlineLevel="1" x14ac:dyDescent="0.35">
      <c r="A91" s="6" t="s">
        <v>23</v>
      </c>
      <c r="B91" s="6">
        <f>'Results - raw data ReCiPe (E)'!C78</f>
        <v>0.4525701334741718</v>
      </c>
      <c r="AB91" s="6" t="s">
        <v>118</v>
      </c>
      <c r="AC91" s="6">
        <f>B102</f>
        <v>0.55066196758672803</v>
      </c>
    </row>
    <row r="92" spans="1:53" outlineLevel="1" x14ac:dyDescent="0.35">
      <c r="A92" s="6" t="s">
        <v>26</v>
      </c>
      <c r="B92" s="6">
        <f>'Results - raw data ReCiPe (E)'!C79</f>
        <v>0.84951763224515786</v>
      </c>
      <c r="AB92" s="6" t="s">
        <v>119</v>
      </c>
      <c r="BA92" s="6">
        <f>SUM(Z104:Z115)</f>
        <v>0.12481721799143849</v>
      </c>
    </row>
    <row r="93" spans="1:53" outlineLevel="1" x14ac:dyDescent="0.35">
      <c r="A93" s="6" t="s">
        <v>28</v>
      </c>
      <c r="B93" s="6">
        <f>'Results - raw data ReCiPe (E)'!C80</f>
        <v>0.81642773406770175</v>
      </c>
      <c r="AB93" s="6" t="s">
        <v>120</v>
      </c>
      <c r="BA93" s="6">
        <f>Z116</f>
        <v>1.7885085635986353E-3</v>
      </c>
    </row>
    <row r="94" spans="1:53" outlineLevel="1" x14ac:dyDescent="0.35">
      <c r="A94" s="6" t="s">
        <v>29</v>
      </c>
      <c r="B94" s="6">
        <f>'Results - raw data ReCiPe (E)'!C81</f>
        <v>0.89483995377265024</v>
      </c>
      <c r="AB94" s="6" t="s">
        <v>121</v>
      </c>
      <c r="AC94" s="6">
        <f>B117</f>
        <v>0.13898838933965599</v>
      </c>
      <c r="AF94" s="6">
        <f>E117</f>
        <v>0.13744187952975451</v>
      </c>
      <c r="AI94" s="6">
        <f>H117</f>
        <v>0.13624222837857081</v>
      </c>
      <c r="AL94" s="6">
        <f>K117</f>
        <v>0.1360862547056324</v>
      </c>
      <c r="AO94" s="6">
        <f>N117</f>
        <v>0.13609653546799161</v>
      </c>
      <c r="AR94" s="6">
        <f>Q117</f>
        <v>0.13629232675839831</v>
      </c>
      <c r="AU94" s="6">
        <f>T117</f>
        <v>0.1362868893052214</v>
      </c>
      <c r="AX94" s="6">
        <f>W117</f>
        <v>0.1362693875750155</v>
      </c>
      <c r="BA94" s="6">
        <f>Z117</f>
        <v>0.13626815075790319</v>
      </c>
    </row>
    <row r="95" spans="1:53" outlineLevel="1" x14ac:dyDescent="0.35">
      <c r="A95" s="6" t="s">
        <v>31</v>
      </c>
      <c r="B95" s="6">
        <f>'Results - raw data ReCiPe (E)'!C82</f>
        <v>0.57438065398035343</v>
      </c>
      <c r="AB95" s="6" t="s">
        <v>122</v>
      </c>
      <c r="AC95" s="6">
        <f>B120+B119</f>
        <v>1.2410258671384291</v>
      </c>
      <c r="AD95" s="6">
        <f t="shared" ref="AD95:BA95" si="10">C120+C119</f>
        <v>1.1754394525629079</v>
      </c>
      <c r="AE95" s="6">
        <f t="shared" si="10"/>
        <v>1.1094921306977481</v>
      </c>
      <c r="AF95" s="6">
        <f t="shared" si="10"/>
        <v>1.043603475194528</v>
      </c>
      <c r="AG95" s="6">
        <f t="shared" si="10"/>
        <v>0.97687124184033713</v>
      </c>
      <c r="AH95" s="6">
        <f t="shared" si="10"/>
        <v>0.90974273495436997</v>
      </c>
      <c r="AI95" s="6">
        <f t="shared" si="10"/>
        <v>0.9086738299461985</v>
      </c>
      <c r="AJ95" s="6">
        <f t="shared" si="10"/>
        <v>0.9075768556541548</v>
      </c>
      <c r="AK95" s="6">
        <f t="shared" si="10"/>
        <v>0.90720337453074484</v>
      </c>
      <c r="AL95" s="6">
        <f t="shared" si="10"/>
        <v>0.90604308663547184</v>
      </c>
      <c r="AM95" s="6">
        <f t="shared" si="10"/>
        <v>0.90481516323680544</v>
      </c>
      <c r="AN95" s="6">
        <f t="shared" si="10"/>
        <v>0.9007869416354618</v>
      </c>
      <c r="AO95" s="6">
        <f t="shared" si="10"/>
        <v>0.89683261107224954</v>
      </c>
      <c r="AP95" s="6">
        <f t="shared" si="10"/>
        <v>0.89342757963595631</v>
      </c>
      <c r="AQ95" s="6">
        <f t="shared" si="10"/>
        <v>0.88954634345497596</v>
      </c>
      <c r="AR95" s="6">
        <f t="shared" si="10"/>
        <v>0.88568415674942536</v>
      </c>
      <c r="AS95" s="6">
        <f t="shared" si="10"/>
        <v>0.8964509259690433</v>
      </c>
      <c r="AT95" s="6">
        <f t="shared" si="10"/>
        <v>0.90712182905559435</v>
      </c>
      <c r="AU95" s="6">
        <f t="shared" si="10"/>
        <v>0.91801864453180304</v>
      </c>
      <c r="AV95" s="6">
        <f t="shared" si="10"/>
        <v>0.92850912822058418</v>
      </c>
      <c r="AW95" s="6">
        <f t="shared" si="10"/>
        <v>0.9389153896558331</v>
      </c>
      <c r="AX95" s="6">
        <f t="shared" si="10"/>
        <v>0.93884738706821258</v>
      </c>
      <c r="AY95" s="6">
        <f t="shared" si="10"/>
        <v>0.93848166023486834</v>
      </c>
      <c r="AZ95" s="6">
        <f t="shared" si="10"/>
        <v>0.93812632897589798</v>
      </c>
      <c r="BA95" s="6">
        <f t="shared" si="10"/>
        <v>0.93777781728756593</v>
      </c>
    </row>
    <row r="96" spans="1:53" outlineLevel="1" x14ac:dyDescent="0.35">
      <c r="A96" s="6" t="s">
        <v>34</v>
      </c>
      <c r="B96" s="6">
        <f>'Results - raw data ReCiPe (E)'!C83</f>
        <v>0.50709268114645889</v>
      </c>
      <c r="AB96" s="6" t="s">
        <v>123</v>
      </c>
      <c r="AC96" s="6">
        <f t="shared" ref="AC96:BA96" si="11">B118</f>
        <v>0.2417809387795547</v>
      </c>
      <c r="AD96" s="6">
        <f t="shared" si="11"/>
        <v>0.23705729033863418</v>
      </c>
      <c r="AE96" s="6">
        <f t="shared" si="11"/>
        <v>0.23233720055531518</v>
      </c>
      <c r="AF96" s="6">
        <f t="shared" si="11"/>
        <v>0.22765552006383027</v>
      </c>
      <c r="AG96" s="6">
        <f t="shared" si="11"/>
        <v>0.22293692659926032</v>
      </c>
      <c r="AH96" s="6">
        <f t="shared" si="11"/>
        <v>0.21821871908375601</v>
      </c>
      <c r="AI96" s="6">
        <f t="shared" si="11"/>
        <v>0.2183328752610379</v>
      </c>
      <c r="AJ96" s="6">
        <f t="shared" si="11"/>
        <v>0.2184454726271664</v>
      </c>
      <c r="AK96" s="6">
        <f t="shared" si="11"/>
        <v>0.2186197885807338</v>
      </c>
      <c r="AL96" s="6">
        <f t="shared" si="11"/>
        <v>0.21872848466727821</v>
      </c>
      <c r="AM96" s="6">
        <f t="shared" si="11"/>
        <v>0.21883249764689899</v>
      </c>
      <c r="AN96" s="6">
        <f t="shared" si="11"/>
        <v>0.21841557921298049</v>
      </c>
      <c r="AO96" s="6">
        <f t="shared" si="11"/>
        <v>0.21800506941521089</v>
      </c>
      <c r="AP96" s="6">
        <f t="shared" si="11"/>
        <v>0.21764066730740861</v>
      </c>
      <c r="AQ96" s="6">
        <f t="shared" si="11"/>
        <v>0.21723706665984091</v>
      </c>
      <c r="AR96" s="6">
        <f t="shared" si="11"/>
        <v>0.21683545808110291</v>
      </c>
      <c r="AS96" s="6">
        <f t="shared" si="11"/>
        <v>0.2170606194781684</v>
      </c>
      <c r="AT96" s="6">
        <f t="shared" si="11"/>
        <v>0.21728945931437202</v>
      </c>
      <c r="AU96" s="6">
        <f t="shared" si="11"/>
        <v>0.21754875047075201</v>
      </c>
      <c r="AV96" s="6">
        <f t="shared" si="11"/>
        <v>0.2177852629463648</v>
      </c>
      <c r="AW96" s="6">
        <f t="shared" si="11"/>
        <v>0.21802574197248531</v>
      </c>
      <c r="AX96" s="6">
        <f t="shared" si="11"/>
        <v>0.21817145768362151</v>
      </c>
      <c r="AY96" s="6">
        <f t="shared" si="11"/>
        <v>0.21829169710501409</v>
      </c>
      <c r="AZ96" s="6">
        <f t="shared" si="11"/>
        <v>0.21841282227465422</v>
      </c>
      <c r="BA96" s="6">
        <f t="shared" si="11"/>
        <v>0.21853442335682399</v>
      </c>
    </row>
    <row r="97" spans="1:53" outlineLevel="1" x14ac:dyDescent="0.35">
      <c r="A97" s="6" t="s">
        <v>36</v>
      </c>
      <c r="B97" s="6">
        <f>'Results - raw data ReCiPe (E)'!C84</f>
        <v>0.36772710336827552</v>
      </c>
      <c r="AB97" s="6" t="s">
        <v>124</v>
      </c>
      <c r="AC97" s="6">
        <f>-$AC$7*$AC$6</f>
        <v>-1.25</v>
      </c>
      <c r="AD97" s="6">
        <f t="shared" ref="AD97:BA97" si="12">-$AC$7*$AC$6</f>
        <v>-1.25</v>
      </c>
      <c r="AE97" s="6">
        <f t="shared" si="12"/>
        <v>-1.25</v>
      </c>
      <c r="AF97" s="6">
        <f t="shared" si="12"/>
        <v>-1.25</v>
      </c>
      <c r="AG97" s="6">
        <f t="shared" si="12"/>
        <v>-1.25</v>
      </c>
      <c r="AH97" s="6">
        <f t="shared" si="12"/>
        <v>-1.25</v>
      </c>
      <c r="AI97" s="6">
        <f t="shared" si="12"/>
        <v>-1.25</v>
      </c>
      <c r="AJ97" s="6">
        <f t="shared" si="12"/>
        <v>-1.25</v>
      </c>
      <c r="AK97" s="6">
        <f t="shared" si="12"/>
        <v>-1.25</v>
      </c>
      <c r="AL97" s="6">
        <f t="shared" si="12"/>
        <v>-1.25</v>
      </c>
      <c r="AM97" s="6">
        <f t="shared" si="12"/>
        <v>-1.25</v>
      </c>
      <c r="AN97" s="6">
        <f t="shared" si="12"/>
        <v>-1.25</v>
      </c>
      <c r="AO97" s="6">
        <f t="shared" si="12"/>
        <v>-1.25</v>
      </c>
      <c r="AP97" s="6">
        <f t="shared" si="12"/>
        <v>-1.25</v>
      </c>
      <c r="AQ97" s="6">
        <f t="shared" si="12"/>
        <v>-1.25</v>
      </c>
      <c r="AR97" s="6">
        <f t="shared" si="12"/>
        <v>-1.25</v>
      </c>
      <c r="AS97" s="6">
        <f t="shared" si="12"/>
        <v>-1.25</v>
      </c>
      <c r="AT97" s="6">
        <f t="shared" si="12"/>
        <v>-1.25</v>
      </c>
      <c r="AU97" s="6">
        <f t="shared" si="12"/>
        <v>-1.25</v>
      </c>
      <c r="AV97" s="6">
        <f t="shared" si="12"/>
        <v>-1.25</v>
      </c>
      <c r="AW97" s="6">
        <f t="shared" si="12"/>
        <v>-1.25</v>
      </c>
      <c r="AX97" s="6">
        <f t="shared" si="12"/>
        <v>-1.25</v>
      </c>
      <c r="AY97" s="6">
        <f t="shared" si="12"/>
        <v>-1.25</v>
      </c>
      <c r="AZ97" s="6">
        <f t="shared" si="12"/>
        <v>-1.25</v>
      </c>
      <c r="BA97" s="6">
        <f t="shared" si="12"/>
        <v>-1.25</v>
      </c>
    </row>
    <row r="98" spans="1:53" outlineLevel="1" x14ac:dyDescent="0.35">
      <c r="A98" s="6" t="s">
        <v>38</v>
      </c>
      <c r="B98" s="6">
        <f>'Results - raw data ReCiPe (E)'!C85</f>
        <v>1.0056262534197029</v>
      </c>
      <c r="AB98" s="23" t="s">
        <v>125</v>
      </c>
      <c r="AC98" s="17">
        <f t="shared" ref="AC98:BA98" si="13">SUM(AC90:AC97)</f>
        <v>15.660836407879756</v>
      </c>
      <c r="AD98" s="17">
        <f t="shared" si="13"/>
        <v>0.16249674290154204</v>
      </c>
      <c r="AE98" s="17">
        <f t="shared" si="13"/>
        <v>9.1829331253063362E-2</v>
      </c>
      <c r="AF98" s="17">
        <f t="shared" si="13"/>
        <v>0.15870087478811268</v>
      </c>
      <c r="AG98" s="17">
        <f t="shared" si="13"/>
        <v>-5.0191831560402633E-2</v>
      </c>
      <c r="AH98" s="17">
        <f t="shared" si="13"/>
        <v>-0.12203854596187402</v>
      </c>
      <c r="AI98" s="17">
        <f t="shared" si="13"/>
        <v>1.3248933585807032E-2</v>
      </c>
      <c r="AJ98" s="17">
        <f t="shared" si="13"/>
        <v>-0.12397767171867891</v>
      </c>
      <c r="AK98" s="17">
        <f t="shared" si="13"/>
        <v>-0.12417683688852144</v>
      </c>
      <c r="AL98" s="17">
        <f t="shared" si="13"/>
        <v>1.0857826008382476E-2</v>
      </c>
      <c r="AM98" s="17">
        <f t="shared" si="13"/>
        <v>-0.12635233911629551</v>
      </c>
      <c r="AN98" s="17">
        <f t="shared" si="13"/>
        <v>-0.13079747915155782</v>
      </c>
      <c r="AO98" s="17">
        <f t="shared" si="13"/>
        <v>9.3421595545195579E-4</v>
      </c>
      <c r="AP98" s="17">
        <f t="shared" si="13"/>
        <v>-0.13893175305663519</v>
      </c>
      <c r="AQ98" s="17">
        <f t="shared" si="13"/>
        <v>-0.14321658988518315</v>
      </c>
      <c r="AR98" s="17">
        <f t="shared" si="13"/>
        <v>-1.1188058411073509E-2</v>
      </c>
      <c r="AS98" s="17">
        <f t="shared" si="13"/>
        <v>-0.13648845455278824</v>
      </c>
      <c r="AT98" s="17">
        <f t="shared" si="13"/>
        <v>-0.1255887116300336</v>
      </c>
      <c r="AU98" s="17">
        <f t="shared" si="13"/>
        <v>2.1854284307776473E-2</v>
      </c>
      <c r="AV98" s="17">
        <f t="shared" si="13"/>
        <v>-0.10370560883305102</v>
      </c>
      <c r="AW98" s="17">
        <f t="shared" si="13"/>
        <v>-9.3058868371681536E-2</v>
      </c>
      <c r="AX98" s="17">
        <f t="shared" si="13"/>
        <v>4.3288232326849752E-2</v>
      </c>
      <c r="AY98" s="17">
        <f t="shared" si="13"/>
        <v>-9.3226642660117598E-2</v>
      </c>
      <c r="AZ98" s="17">
        <f t="shared" si="13"/>
        <v>-9.3460848749447711E-2</v>
      </c>
      <c r="BA98" s="17">
        <f t="shared" si="13"/>
        <v>0.16918611795733018</v>
      </c>
    </row>
    <row r="99" spans="1:53" outlineLevel="1" x14ac:dyDescent="0.35">
      <c r="A99" s="6" t="s">
        <v>39</v>
      </c>
      <c r="B99" s="6">
        <f>'Results - raw data ReCiPe (E)'!C86</f>
        <v>8.293874601762008</v>
      </c>
    </row>
    <row r="100" spans="1:53" outlineLevel="1" x14ac:dyDescent="0.35">
      <c r="A100" s="6" t="s">
        <v>41</v>
      </c>
      <c r="B100" s="6">
        <f>'Results - raw data ReCiPe (E)'!C87</f>
        <v>6.2903915692456673E-3</v>
      </c>
    </row>
    <row r="101" spans="1:53" outlineLevel="1" x14ac:dyDescent="0.35">
      <c r="A101" s="6" t="s">
        <v>43</v>
      </c>
      <c r="B101" s="6">
        <f>'Results - raw data ReCiPe (E)'!C88</f>
        <v>4.1510338187447218E-2</v>
      </c>
      <c r="AB101" s="187"/>
      <c r="AC101" s="187"/>
      <c r="AD101" s="187"/>
      <c r="AE101" s="187"/>
      <c r="AF101" s="187"/>
      <c r="AG101" s="187"/>
      <c r="AH101" s="187"/>
      <c r="AI101" s="187"/>
      <c r="AJ101" s="187"/>
      <c r="AK101" s="187"/>
      <c r="AL101" s="187"/>
      <c r="AM101" s="187"/>
      <c r="AN101" s="187"/>
      <c r="AO101" s="187"/>
      <c r="AP101" s="187"/>
      <c r="AQ101" s="187"/>
      <c r="AR101" s="187"/>
      <c r="AS101" s="187"/>
      <c r="AT101" s="187"/>
      <c r="AU101" s="187"/>
      <c r="AV101" s="187"/>
      <c r="AW101" s="187"/>
      <c r="AX101" s="187"/>
      <c r="AY101" s="187"/>
      <c r="AZ101" s="187"/>
      <c r="BA101" s="187"/>
    </row>
    <row r="102" spans="1:53" outlineLevel="1" x14ac:dyDescent="0.35">
      <c r="A102" s="6" t="s">
        <v>44</v>
      </c>
      <c r="B102" s="6">
        <f>'Results - raw data ReCiPe (E)'!C89*100*25</f>
        <v>0.55066196758672803</v>
      </c>
      <c r="AB102" s="187"/>
      <c r="AC102" s="187"/>
      <c r="AD102" s="187"/>
      <c r="AE102" s="187"/>
      <c r="AF102" s="187"/>
      <c r="AG102" s="187"/>
      <c r="AH102" s="187"/>
      <c r="AI102" s="187"/>
      <c r="AJ102" s="187"/>
      <c r="AK102" s="187"/>
      <c r="AL102" s="187"/>
      <c r="AM102" s="187"/>
      <c r="AN102" s="187"/>
      <c r="AO102" s="187"/>
      <c r="AP102" s="187"/>
      <c r="AQ102" s="187"/>
      <c r="AR102" s="187"/>
      <c r="AS102" s="187"/>
      <c r="AT102" s="187"/>
      <c r="AU102" s="187"/>
      <c r="AV102" s="187"/>
      <c r="AW102" s="187"/>
      <c r="AX102" s="187"/>
      <c r="AY102" s="187"/>
      <c r="AZ102" s="187"/>
      <c r="BA102" s="187"/>
    </row>
    <row r="103" spans="1:53" outlineLevel="1" x14ac:dyDescent="0.35">
      <c r="A103" s="6" t="s">
        <v>757</v>
      </c>
      <c r="B103" s="6">
        <f>'Results - raw data ReCiPe (E)'!C90*100*25</f>
        <v>0.72767719378600626</v>
      </c>
      <c r="AB103" s="187"/>
      <c r="AC103" s="187"/>
      <c r="AD103" s="187"/>
      <c r="AE103" s="187"/>
      <c r="AF103" s="187"/>
      <c r="AG103" s="187"/>
      <c r="AH103" s="187"/>
      <c r="AI103" s="187"/>
      <c r="AJ103" s="187"/>
      <c r="AK103" s="187"/>
      <c r="AL103" s="187"/>
      <c r="AM103" s="187"/>
      <c r="AN103" s="187"/>
      <c r="AO103" s="187"/>
      <c r="AP103" s="187"/>
      <c r="AQ103" s="187"/>
      <c r="AR103" s="187"/>
      <c r="AS103" s="187"/>
      <c r="AT103" s="187"/>
      <c r="AU103" s="187"/>
      <c r="AV103" s="187"/>
      <c r="AW103" s="187"/>
      <c r="AX103" s="187"/>
      <c r="AY103" s="187"/>
      <c r="AZ103" s="187"/>
      <c r="BA103" s="187"/>
    </row>
    <row r="104" spans="1:53" outlineLevel="1" x14ac:dyDescent="0.35">
      <c r="A104" s="6" t="s">
        <v>22</v>
      </c>
      <c r="Z104" s="6">
        <f>'Results - raw data ReCiPe (E)'!AA91</f>
        <v>1.3217091839655541E-3</v>
      </c>
      <c r="AB104" s="187"/>
      <c r="AC104" s="187"/>
      <c r="AD104" s="187"/>
      <c r="AE104" s="187"/>
      <c r="AF104" s="187"/>
      <c r="AG104" s="187"/>
      <c r="AH104" s="187"/>
      <c r="AI104" s="187"/>
      <c r="AJ104" s="187"/>
      <c r="AK104" s="187"/>
      <c r="AL104" s="187"/>
      <c r="AM104" s="187"/>
      <c r="AN104" s="187"/>
      <c r="AO104" s="187"/>
      <c r="AP104" s="187"/>
      <c r="AQ104" s="187"/>
      <c r="AR104" s="187"/>
      <c r="AS104" s="187"/>
      <c r="AT104" s="187"/>
      <c r="AU104" s="187"/>
      <c r="AV104" s="187"/>
      <c r="AW104" s="187"/>
      <c r="AX104" s="187"/>
      <c r="AY104" s="187"/>
      <c r="AZ104" s="187"/>
      <c r="BA104" s="187"/>
    </row>
    <row r="105" spans="1:53" outlineLevel="1" x14ac:dyDescent="0.35">
      <c r="A105" s="6" t="s">
        <v>24</v>
      </c>
      <c r="Z105" s="6">
        <f>'Results - raw data ReCiPe (E)'!AA92</f>
        <v>6.3585622505052202E-4</v>
      </c>
      <c r="AB105" s="187"/>
      <c r="AC105" s="187"/>
      <c r="AD105" s="187"/>
      <c r="AE105" s="187"/>
      <c r="AF105" s="187"/>
      <c r="AG105" s="187"/>
      <c r="AH105" s="187"/>
      <c r="AI105" s="187"/>
      <c r="AJ105" s="187"/>
      <c r="AK105" s="187"/>
      <c r="AL105" s="187"/>
      <c r="AM105" s="187"/>
      <c r="AN105" s="187"/>
      <c r="AO105" s="187"/>
      <c r="AP105" s="187"/>
      <c r="AQ105" s="187"/>
      <c r="AR105" s="187"/>
      <c r="AS105" s="187"/>
      <c r="AT105" s="187"/>
      <c r="AU105" s="187"/>
      <c r="AV105" s="187"/>
      <c r="AW105" s="187"/>
      <c r="AX105" s="187"/>
      <c r="AY105" s="187"/>
      <c r="AZ105" s="187"/>
      <c r="BA105" s="187"/>
    </row>
    <row r="106" spans="1:53" outlineLevel="1" x14ac:dyDescent="0.35">
      <c r="A106" s="6" t="s">
        <v>25</v>
      </c>
      <c r="Z106" s="6">
        <f>'Results - raw data ReCiPe (E)'!AA93</f>
        <v>2.0713872896946828E-3</v>
      </c>
      <c r="AB106" s="187"/>
      <c r="AC106" s="187"/>
      <c r="AD106" s="187"/>
      <c r="AE106" s="187"/>
      <c r="AF106" s="187"/>
      <c r="AG106" s="187"/>
      <c r="AH106" s="187"/>
      <c r="AI106" s="187"/>
      <c r="AJ106" s="187"/>
      <c r="AK106" s="187"/>
      <c r="AL106" s="187"/>
      <c r="AM106" s="187"/>
      <c r="AN106" s="187"/>
      <c r="AO106" s="187"/>
      <c r="AP106" s="187"/>
      <c r="AQ106" s="187"/>
      <c r="AR106" s="187"/>
      <c r="AS106" s="187"/>
      <c r="AT106" s="187"/>
      <c r="AU106" s="187"/>
      <c r="AV106" s="187"/>
      <c r="AW106" s="187"/>
      <c r="AX106" s="187"/>
      <c r="AY106" s="187"/>
      <c r="AZ106" s="187"/>
      <c r="BA106" s="187"/>
    </row>
    <row r="107" spans="1:53" outlineLevel="1" x14ac:dyDescent="0.35">
      <c r="A107" s="6" t="s">
        <v>27</v>
      </c>
      <c r="Z107" s="6">
        <f>'Results - raw data ReCiPe (E)'!AA94</f>
        <v>9.8615743966489725E-4</v>
      </c>
      <c r="AB107" s="187"/>
      <c r="AC107" s="187"/>
      <c r="AD107" s="187"/>
      <c r="AE107" s="187"/>
      <c r="AF107" s="187"/>
      <c r="AG107" s="187"/>
      <c r="AH107" s="187"/>
      <c r="AI107" s="187"/>
      <c r="AJ107" s="187"/>
      <c r="AK107" s="187"/>
      <c r="AL107" s="187"/>
      <c r="AM107" s="187"/>
      <c r="AN107" s="187"/>
      <c r="AO107" s="187"/>
      <c r="AP107" s="187"/>
      <c r="AQ107" s="187"/>
      <c r="AR107" s="187"/>
      <c r="AS107" s="187"/>
      <c r="AT107" s="187"/>
      <c r="AU107" s="187"/>
      <c r="AV107" s="187"/>
      <c r="AW107" s="187"/>
      <c r="AX107" s="187"/>
      <c r="AY107" s="187"/>
      <c r="AZ107" s="187"/>
      <c r="BA107" s="187"/>
    </row>
    <row r="108" spans="1:53" outlineLevel="1" x14ac:dyDescent="0.35">
      <c r="A108" s="6" t="s">
        <v>30</v>
      </c>
      <c r="Z108" s="6">
        <f>'Results - raw data ReCiPe (E)'!AA95</f>
        <v>1.7288481352921109E-3</v>
      </c>
      <c r="AB108" s="187"/>
      <c r="AC108" s="187"/>
      <c r="AD108" s="187"/>
      <c r="AE108" s="187"/>
      <c r="AF108" s="187"/>
      <c r="AG108" s="187"/>
      <c r="AH108" s="187"/>
      <c r="AI108" s="187"/>
      <c r="AJ108" s="187"/>
      <c r="AK108" s="187"/>
      <c r="AL108" s="187"/>
      <c r="AM108" s="187"/>
      <c r="AN108" s="187"/>
      <c r="AO108" s="187"/>
      <c r="AP108" s="187"/>
      <c r="AQ108" s="187"/>
      <c r="AR108" s="187"/>
      <c r="AS108" s="187"/>
      <c r="AT108" s="187"/>
      <c r="AU108" s="187"/>
      <c r="AV108" s="187"/>
      <c r="AW108" s="187"/>
      <c r="AX108" s="187"/>
      <c r="AY108" s="187"/>
      <c r="AZ108" s="187"/>
      <c r="BA108" s="187"/>
    </row>
    <row r="109" spans="1:53" outlineLevel="1" x14ac:dyDescent="0.35">
      <c r="A109" s="6" t="s">
        <v>32</v>
      </c>
      <c r="Z109" s="6">
        <f>'Results - raw data ReCiPe (E)'!AA96</f>
        <v>6.5388964562615557E-4</v>
      </c>
      <c r="AB109" s="187"/>
      <c r="AC109" s="187"/>
      <c r="AD109" s="187"/>
      <c r="AE109" s="187"/>
      <c r="AF109" s="187"/>
      <c r="AG109" s="187"/>
      <c r="AH109" s="187"/>
      <c r="AI109" s="187"/>
      <c r="AJ109" s="187"/>
      <c r="AK109" s="187"/>
      <c r="AL109" s="187"/>
      <c r="AM109" s="187"/>
      <c r="AN109" s="187"/>
      <c r="AO109" s="187"/>
      <c r="AP109" s="187"/>
      <c r="AQ109" s="187"/>
      <c r="AR109" s="187"/>
      <c r="AS109" s="187"/>
      <c r="AT109" s="187"/>
      <c r="AU109" s="187"/>
      <c r="AV109" s="187"/>
      <c r="AW109" s="187"/>
      <c r="AX109" s="187"/>
      <c r="AY109" s="187"/>
      <c r="AZ109" s="187"/>
      <c r="BA109" s="187"/>
    </row>
    <row r="110" spans="1:53" outlineLevel="1" x14ac:dyDescent="0.35">
      <c r="A110" s="6" t="s">
        <v>33</v>
      </c>
      <c r="Z110" s="6">
        <f>'Results - raw data ReCiPe (E)'!AA97</f>
        <v>4.3042154805294927E-4</v>
      </c>
      <c r="AB110" s="187"/>
      <c r="AC110" s="187"/>
      <c r="AD110" s="187"/>
      <c r="AE110" s="187"/>
      <c r="AF110" s="187"/>
      <c r="AG110" s="187"/>
      <c r="AH110" s="187"/>
      <c r="AI110" s="187"/>
      <c r="AJ110" s="187"/>
      <c r="AK110" s="187"/>
      <c r="AL110" s="187"/>
      <c r="AM110" s="187"/>
      <c r="AN110" s="187"/>
      <c r="AO110" s="187"/>
      <c r="AP110" s="187"/>
      <c r="AQ110" s="187"/>
      <c r="AR110" s="187"/>
      <c r="AS110" s="187"/>
      <c r="AT110" s="187"/>
      <c r="AU110" s="187"/>
      <c r="AV110" s="187"/>
      <c r="AW110" s="187"/>
      <c r="AX110" s="187"/>
      <c r="AY110" s="187"/>
      <c r="AZ110" s="187"/>
      <c r="BA110" s="187"/>
    </row>
    <row r="111" spans="1:53" outlineLevel="1" x14ac:dyDescent="0.35">
      <c r="A111" s="6" t="s">
        <v>35</v>
      </c>
      <c r="Z111" s="6">
        <f>'Results - raw data ReCiPe (E)'!AA98</f>
        <v>8.6084309610589865E-4</v>
      </c>
      <c r="AB111" s="187"/>
      <c r="AC111" s="187"/>
      <c r="AD111" s="187"/>
      <c r="AE111" s="187"/>
      <c r="AF111" s="187"/>
      <c r="AG111" s="187"/>
      <c r="AH111" s="187"/>
      <c r="AI111" s="187"/>
      <c r="AJ111" s="187"/>
      <c r="AK111" s="187"/>
      <c r="AL111" s="187"/>
      <c r="AM111" s="187"/>
      <c r="AN111" s="187"/>
      <c r="AO111" s="187"/>
      <c r="AP111" s="187"/>
      <c r="AQ111" s="187"/>
      <c r="AR111" s="187"/>
      <c r="AS111" s="187"/>
      <c r="AT111" s="187"/>
      <c r="AU111" s="187"/>
      <c r="AV111" s="187"/>
      <c r="AW111" s="187"/>
      <c r="AX111" s="187"/>
      <c r="AY111" s="187"/>
      <c r="AZ111" s="187"/>
      <c r="BA111" s="187"/>
    </row>
    <row r="112" spans="1:53" outlineLevel="1" x14ac:dyDescent="0.35">
      <c r="A112" s="6" t="s">
        <v>37</v>
      </c>
      <c r="Z112" s="6">
        <f>'Results - raw data ReCiPe (E)'!AA99</f>
        <v>2.4241291885713561E-3</v>
      </c>
      <c r="AB112" s="187"/>
      <c r="AC112" s="187"/>
      <c r="AD112" s="187"/>
      <c r="AE112" s="187"/>
      <c r="AF112" s="187"/>
      <c r="AG112" s="187"/>
      <c r="AH112" s="187"/>
      <c r="AI112" s="187"/>
      <c r="AJ112" s="187"/>
      <c r="AK112" s="187"/>
      <c r="AL112" s="187"/>
      <c r="AM112" s="187"/>
      <c r="AN112" s="187"/>
      <c r="AO112" s="187"/>
      <c r="AP112" s="187"/>
      <c r="AQ112" s="187"/>
      <c r="AR112" s="187"/>
      <c r="AS112" s="187"/>
      <c r="AT112" s="187"/>
      <c r="AU112" s="187"/>
      <c r="AV112" s="187"/>
      <c r="AW112" s="187"/>
      <c r="AX112" s="187"/>
      <c r="AY112" s="187"/>
      <c r="AZ112" s="187"/>
      <c r="BA112" s="187"/>
    </row>
    <row r="113" spans="1:53" outlineLevel="1" x14ac:dyDescent="0.35">
      <c r="A113" s="6" t="s">
        <v>40</v>
      </c>
      <c r="Z113" s="6">
        <f>'Results - raw data ReCiPe (E)'!AA100</f>
        <v>9.2664693224757608E-2</v>
      </c>
      <c r="AB113" s="187"/>
      <c r="AC113" s="187"/>
      <c r="AD113" s="187"/>
      <c r="AE113" s="187"/>
      <c r="AF113" s="187"/>
      <c r="AG113" s="187"/>
      <c r="AH113" s="187"/>
      <c r="AI113" s="187"/>
      <c r="AJ113" s="187"/>
      <c r="AK113" s="187"/>
      <c r="AL113" s="187"/>
      <c r="AM113" s="187"/>
      <c r="AN113" s="187"/>
      <c r="AO113" s="187"/>
      <c r="AP113" s="187"/>
      <c r="AQ113" s="187"/>
      <c r="AR113" s="187"/>
      <c r="AS113" s="187"/>
      <c r="AT113" s="187"/>
      <c r="AU113" s="187"/>
      <c r="AV113" s="187"/>
      <c r="AW113" s="187"/>
      <c r="AX113" s="187"/>
      <c r="AY113" s="187"/>
      <c r="AZ113" s="187"/>
      <c r="BA113" s="187"/>
    </row>
    <row r="114" spans="1:53" outlineLevel="1" x14ac:dyDescent="0.35">
      <c r="A114" s="6" t="s">
        <v>42</v>
      </c>
      <c r="Z114" s="6">
        <f>'Results - raw data ReCiPe (E)'!AA101</f>
        <v>1.3590189614152281E-3</v>
      </c>
    </row>
    <row r="115" spans="1:53" outlineLevel="1" x14ac:dyDescent="0.35">
      <c r="A115" s="6" t="s">
        <v>115</v>
      </c>
      <c r="Z115" s="6">
        <f>'Results - raw data ReCiPe (E)'!AA102</f>
        <v>1.9680264053241539E-2</v>
      </c>
    </row>
    <row r="116" spans="1:53" outlineLevel="1" x14ac:dyDescent="0.35">
      <c r="A116" s="6" t="s">
        <v>45</v>
      </c>
      <c r="Z116" s="6">
        <f>'Results - raw data ReCiPe (E)'!AA103*AC87*AC88</f>
        <v>1.7885085635986353E-3</v>
      </c>
    </row>
    <row r="117" spans="1:53" outlineLevel="1" x14ac:dyDescent="0.35">
      <c r="A117" s="6" t="s">
        <v>116</v>
      </c>
      <c r="B117" s="6">
        <f>'Results - raw data ReCiPe (E)'!C104</f>
        <v>0.13898838933965599</v>
      </c>
      <c r="C117" s="6">
        <f>'Results - raw data ReCiPe (E)'!D104</f>
        <v>0.138474787879075</v>
      </c>
      <c r="D117" s="6">
        <f>'Results - raw data ReCiPe (E)'!E104</f>
        <v>0.13795150681679641</v>
      </c>
      <c r="E117" s="6">
        <f>'Results - raw data ReCiPe (E)'!F104</f>
        <v>0.13744187952975451</v>
      </c>
      <c r="F117" s="6">
        <f>'Results - raw data ReCiPe (E)'!G104</f>
        <v>0.1368939635941302</v>
      </c>
      <c r="G117" s="6">
        <f>'Results - raw data ReCiPe (E)'!H104</f>
        <v>0.13633199563582901</v>
      </c>
      <c r="H117" s="6">
        <f>'Results - raw data ReCiPe (E)'!I104</f>
        <v>0.13624222837857081</v>
      </c>
      <c r="I117" s="6">
        <f>'Results - raw data ReCiPe (E)'!J104</f>
        <v>0.13615693040566229</v>
      </c>
      <c r="J117" s="6">
        <f>'Results - raw data ReCiPe (E)'!K104</f>
        <v>0.13616385284423879</v>
      </c>
      <c r="K117" s="6">
        <f>'Results - raw data ReCiPe (E)'!L104</f>
        <v>0.1360862547056324</v>
      </c>
      <c r="L117" s="6">
        <f>'Results - raw data ReCiPe (E)'!M104</f>
        <v>0.13601125441888631</v>
      </c>
      <c r="M117" s="6">
        <f>'Results - raw data ReCiPe (E)'!N104</f>
        <v>0.13605295891303071</v>
      </c>
      <c r="N117" s="6">
        <f>'Results - raw data ReCiPe (E)'!O104</f>
        <v>0.13609653546799161</v>
      </c>
      <c r="O117" s="6">
        <f>'Results - raw data ReCiPe (E)'!P104</f>
        <v>0.13620038443855961</v>
      </c>
      <c r="P117" s="6">
        <f>'Results - raw data ReCiPe (E)'!Q104</f>
        <v>0.13624614228801521</v>
      </c>
      <c r="Q117" s="6">
        <f>'Results - raw data ReCiPe (E)'!R104</f>
        <v>0.13629232675839831</v>
      </c>
      <c r="R117" s="6">
        <f>'Results - raw data ReCiPe (E)'!S104</f>
        <v>0.13627737653284691</v>
      </c>
      <c r="S117" s="6">
        <f>'Results - raw data ReCiPe (E)'!T104</f>
        <v>0.13626275890918199</v>
      </c>
      <c r="T117" s="6">
        <f>'Results - raw data ReCiPe (E)'!U104</f>
        <v>0.1362868893052214</v>
      </c>
      <c r="U117" s="6">
        <f>'Results - raw data ReCiPe (E)'!V104</f>
        <v>0.13627297235069449</v>
      </c>
      <c r="V117" s="6">
        <f>'Results - raw data ReCiPe (E)'!W104</f>
        <v>0.13625938225509571</v>
      </c>
      <c r="W117" s="6">
        <f>'Results - raw data ReCiPe (E)'!X104</f>
        <v>0.1362693875750155</v>
      </c>
      <c r="X117" s="6">
        <f>'Results - raw data ReCiPe (E)'!Y104</f>
        <v>0.13626901103046121</v>
      </c>
      <c r="Y117" s="6">
        <f>'Results - raw data ReCiPe (E)'!Z104</f>
        <v>0.1362686005427251</v>
      </c>
      <c r="Z117" s="6">
        <f>'Results - raw data ReCiPe (E)'!AA104</f>
        <v>0.13626815075790319</v>
      </c>
    </row>
    <row r="118" spans="1:53" outlineLevel="1" x14ac:dyDescent="0.35">
      <c r="A118" s="6" t="s">
        <v>758</v>
      </c>
      <c r="B118" s="6">
        <f>'Results - raw data ReCiPe (E)'!C105*$AC$87</f>
        <v>0.2417809387795547</v>
      </c>
      <c r="C118" s="6">
        <f>'Results - raw data ReCiPe (E)'!D105*$AC$87</f>
        <v>0.23705729033863418</v>
      </c>
      <c r="D118" s="6">
        <f>'Results - raw data ReCiPe (E)'!E105*$AC$87</f>
        <v>0.23233720055531518</v>
      </c>
      <c r="E118" s="6">
        <f>'Results - raw data ReCiPe (E)'!F105*$AC$87</f>
        <v>0.22765552006383027</v>
      </c>
      <c r="F118" s="6">
        <f>'Results - raw data ReCiPe (E)'!G105*$AC$87</f>
        <v>0.22293692659926032</v>
      </c>
      <c r="G118" s="6">
        <f>'Results - raw data ReCiPe (E)'!H105*$AC$87</f>
        <v>0.21821871908375601</v>
      </c>
      <c r="H118" s="6">
        <f>'Results - raw data ReCiPe (E)'!I105*$AC$87</f>
        <v>0.2183328752610379</v>
      </c>
      <c r="I118" s="6">
        <f>'Results - raw data ReCiPe (E)'!J105*$AC$87</f>
        <v>0.2184454726271664</v>
      </c>
      <c r="J118" s="6">
        <f>'Results - raw data ReCiPe (E)'!K105*$AC$87</f>
        <v>0.2186197885807338</v>
      </c>
      <c r="K118" s="6">
        <f>'Results - raw data ReCiPe (E)'!L105*$AC$87</f>
        <v>0.21872848466727821</v>
      </c>
      <c r="L118" s="6">
        <f>'Results - raw data ReCiPe (E)'!M105*$AC$87</f>
        <v>0.21883249764689899</v>
      </c>
      <c r="M118" s="6">
        <f>'Results - raw data ReCiPe (E)'!N105*$AC$87</f>
        <v>0.21841557921298049</v>
      </c>
      <c r="N118" s="6">
        <f>'Results - raw data ReCiPe (E)'!O105*$AC$87</f>
        <v>0.21800506941521089</v>
      </c>
      <c r="O118" s="6">
        <f>'Results - raw data ReCiPe (E)'!P105*$AC$87</f>
        <v>0.21764066730740861</v>
      </c>
      <c r="P118" s="6">
        <f>'Results - raw data ReCiPe (E)'!Q105*$AC$87</f>
        <v>0.21723706665984091</v>
      </c>
      <c r="Q118" s="6">
        <f>'Results - raw data ReCiPe (E)'!R105*$AC$87</f>
        <v>0.21683545808110291</v>
      </c>
      <c r="R118" s="6">
        <f>'Results - raw data ReCiPe (E)'!S105*$AC$87</f>
        <v>0.2170606194781684</v>
      </c>
      <c r="S118" s="6">
        <f>'Results - raw data ReCiPe (E)'!T105*$AC$87</f>
        <v>0.21728945931437202</v>
      </c>
      <c r="T118" s="6">
        <f>'Results - raw data ReCiPe (E)'!U105*$AC$87</f>
        <v>0.21754875047075201</v>
      </c>
      <c r="U118" s="6">
        <f>'Results - raw data ReCiPe (E)'!V105*$AC$87</f>
        <v>0.2177852629463648</v>
      </c>
      <c r="V118" s="6">
        <f>'Results - raw data ReCiPe (E)'!W105*$AC$87</f>
        <v>0.21802574197248531</v>
      </c>
      <c r="W118" s="6">
        <f>'Results - raw data ReCiPe (E)'!X105*$AC$87</f>
        <v>0.21817145768362151</v>
      </c>
      <c r="X118" s="6">
        <f>'Results - raw data ReCiPe (E)'!Y105*$AC$87</f>
        <v>0.21829169710501409</v>
      </c>
      <c r="Y118" s="6">
        <f>'Results - raw data ReCiPe (E)'!Z105*$AC$87</f>
        <v>0.21841282227465422</v>
      </c>
      <c r="Z118" s="6">
        <f>'Results - raw data ReCiPe (E)'!AA105*$AC$87</f>
        <v>0.21853442335682399</v>
      </c>
    </row>
    <row r="119" spans="1:53" outlineLevel="1" x14ac:dyDescent="0.35">
      <c r="A119" s="6" t="s">
        <v>759</v>
      </c>
      <c r="B119" s="6">
        <f>'Results - raw data ReCiPe (E)'!C106</f>
        <v>0</v>
      </c>
      <c r="C119" s="6">
        <f>'Results - raw data ReCiPe (E)'!D106</f>
        <v>0</v>
      </c>
      <c r="D119" s="6">
        <f>'Results - raw data ReCiPe (E)'!E106</f>
        <v>0</v>
      </c>
      <c r="E119" s="6">
        <f>'Results - raw data ReCiPe (E)'!F106</f>
        <v>0</v>
      </c>
      <c r="F119" s="6">
        <f>'Results - raw data ReCiPe (E)'!G106</f>
        <v>0</v>
      </c>
      <c r="G119" s="6">
        <f>'Results - raw data ReCiPe (E)'!H106</f>
        <v>0</v>
      </c>
      <c r="H119" s="6">
        <f>'Results - raw data ReCiPe (E)'!I106</f>
        <v>0</v>
      </c>
      <c r="I119" s="6">
        <f>'Results - raw data ReCiPe (E)'!J106</f>
        <v>0</v>
      </c>
      <c r="J119" s="6">
        <f>'Results - raw data ReCiPe (E)'!K106</f>
        <v>0</v>
      </c>
      <c r="K119" s="6">
        <f>'Results - raw data ReCiPe (E)'!L106</f>
        <v>0</v>
      </c>
      <c r="L119" s="6">
        <f>'Results - raw data ReCiPe (E)'!M106</f>
        <v>0</v>
      </c>
      <c r="M119" s="6">
        <f>'Results - raw data ReCiPe (E)'!N106</f>
        <v>0</v>
      </c>
      <c r="N119" s="6">
        <f>'Results - raw data ReCiPe (E)'!O106</f>
        <v>0</v>
      </c>
      <c r="O119" s="6">
        <f>'Results - raw data ReCiPe (E)'!P106</f>
        <v>0</v>
      </c>
      <c r="P119" s="6">
        <f>'Results - raw data ReCiPe (E)'!Q106</f>
        <v>0</v>
      </c>
      <c r="Q119" s="6">
        <f>'Results - raw data ReCiPe (E)'!R106</f>
        <v>0</v>
      </c>
      <c r="R119" s="6">
        <f>'Results - raw data ReCiPe (E)'!S106</f>
        <v>0</v>
      </c>
      <c r="S119" s="6">
        <f>'Results - raw data ReCiPe (E)'!T106</f>
        <v>0</v>
      </c>
      <c r="T119" s="6">
        <f>'Results - raw data ReCiPe (E)'!U106</f>
        <v>0</v>
      </c>
      <c r="U119" s="6">
        <f>'Results - raw data ReCiPe (E)'!V106</f>
        <v>0</v>
      </c>
      <c r="V119" s="6">
        <f>'Results - raw data ReCiPe (E)'!W106</f>
        <v>0</v>
      </c>
      <c r="W119" s="6">
        <f>'Results - raw data ReCiPe (E)'!X106</f>
        <v>0</v>
      </c>
      <c r="X119" s="6">
        <f>'Results - raw data ReCiPe (E)'!Y106</f>
        <v>0</v>
      </c>
      <c r="Y119" s="6">
        <f>'Results - raw data ReCiPe (E)'!Z106</f>
        <v>0</v>
      </c>
      <c r="Z119" s="6">
        <f>'Results - raw data ReCiPe (E)'!AA106</f>
        <v>0</v>
      </c>
    </row>
    <row r="120" spans="1:53" outlineLevel="1" x14ac:dyDescent="0.35">
      <c r="A120" s="6" t="s">
        <v>760</v>
      </c>
      <c r="B120" s="6">
        <f>'Results - raw data ReCiPe (E)'!C107</f>
        <v>1.2410258671384291</v>
      </c>
      <c r="C120" s="6">
        <f>'Results - raw data ReCiPe (E)'!D107</f>
        <v>1.1754394525629079</v>
      </c>
      <c r="D120" s="6">
        <f>'Results - raw data ReCiPe (E)'!E107</f>
        <v>1.1094921306977481</v>
      </c>
      <c r="E120" s="6">
        <f>'Results - raw data ReCiPe (E)'!F107</f>
        <v>1.043603475194528</v>
      </c>
      <c r="F120" s="6">
        <f>'Results - raw data ReCiPe (E)'!G107</f>
        <v>0.97687124184033713</v>
      </c>
      <c r="G120" s="6">
        <f>'Results - raw data ReCiPe (E)'!H107</f>
        <v>0.90974273495436997</v>
      </c>
      <c r="H120" s="6">
        <f>'Results - raw data ReCiPe (E)'!I107</f>
        <v>0.9086738299461985</v>
      </c>
      <c r="I120" s="6">
        <f>'Results - raw data ReCiPe (E)'!J107</f>
        <v>0.9075768556541548</v>
      </c>
      <c r="J120" s="6">
        <f>'Results - raw data ReCiPe (E)'!K107</f>
        <v>0.90720337453074484</v>
      </c>
      <c r="K120" s="6">
        <f>'Results - raw data ReCiPe (E)'!L107</f>
        <v>0.90604308663547184</v>
      </c>
      <c r="L120" s="6">
        <f>'Results - raw data ReCiPe (E)'!M107</f>
        <v>0.90481516323680544</v>
      </c>
      <c r="M120" s="6">
        <f>'Results - raw data ReCiPe (E)'!N107</f>
        <v>0.9007869416354618</v>
      </c>
      <c r="N120" s="6">
        <f>'Results - raw data ReCiPe (E)'!O107</f>
        <v>0.89683261107224954</v>
      </c>
      <c r="O120" s="6">
        <f>'Results - raw data ReCiPe (E)'!P107</f>
        <v>0.89342757963595631</v>
      </c>
      <c r="P120" s="6">
        <f>'Results - raw data ReCiPe (E)'!Q107</f>
        <v>0.88954634345497596</v>
      </c>
      <c r="Q120" s="6">
        <f>'Results - raw data ReCiPe (E)'!R107</f>
        <v>0.88568415674942536</v>
      </c>
      <c r="R120" s="6">
        <f>'Results - raw data ReCiPe (E)'!S107</f>
        <v>0.8964509259690433</v>
      </c>
      <c r="S120" s="6">
        <f>'Results - raw data ReCiPe (E)'!T107</f>
        <v>0.90712182905559435</v>
      </c>
      <c r="T120" s="6">
        <f>'Results - raw data ReCiPe (E)'!U107</f>
        <v>0.91801864453180304</v>
      </c>
      <c r="U120" s="6">
        <f>'Results - raw data ReCiPe (E)'!V107</f>
        <v>0.92850912822058418</v>
      </c>
      <c r="V120" s="6">
        <f>'Results - raw data ReCiPe (E)'!W107</f>
        <v>0.9389153896558331</v>
      </c>
      <c r="W120" s="6">
        <f>'Results - raw data ReCiPe (E)'!X107</f>
        <v>0.93884738706821258</v>
      </c>
      <c r="X120" s="6">
        <f>'Results - raw data ReCiPe (E)'!Y107</f>
        <v>0.93848166023486834</v>
      </c>
      <c r="Y120" s="6">
        <f>'Results - raw data ReCiPe (E)'!Z107</f>
        <v>0.93812632897589798</v>
      </c>
      <c r="Z120" s="6">
        <f>'Results - raw data ReCiPe (E)'!AA107</f>
        <v>0.93777781728756593</v>
      </c>
    </row>
    <row r="121" spans="1:53" outlineLevel="1" x14ac:dyDescent="0.35">
      <c r="A121" s="23" t="s">
        <v>125</v>
      </c>
      <c r="B121" s="17">
        <f t="shared" ref="B121:Z121" si="14">SUM(B90:B120)</f>
        <v>16.910836407879756</v>
      </c>
      <c r="C121" s="17">
        <f t="shared" si="14"/>
        <v>1.5509715307806171</v>
      </c>
      <c r="D121" s="17">
        <f t="shared" si="14"/>
        <v>1.4797808380698596</v>
      </c>
      <c r="E121" s="17">
        <f t="shared" si="14"/>
        <v>1.4087008747881127</v>
      </c>
      <c r="F121" s="17">
        <f t="shared" si="14"/>
        <v>1.3367021320337278</v>
      </c>
      <c r="G121" s="17">
        <f t="shared" si="14"/>
        <v>1.2642934496739548</v>
      </c>
      <c r="H121" s="17">
        <f t="shared" si="14"/>
        <v>1.2632489335858073</v>
      </c>
      <c r="I121" s="17">
        <f t="shared" si="14"/>
        <v>1.2621792586869836</v>
      </c>
      <c r="J121" s="17">
        <f t="shared" si="14"/>
        <v>1.2619870159557174</v>
      </c>
      <c r="K121" s="17">
        <f t="shared" si="14"/>
        <v>1.2608578260083825</v>
      </c>
      <c r="L121" s="17">
        <f t="shared" si="14"/>
        <v>1.2596589153025908</v>
      </c>
      <c r="M121" s="17">
        <f t="shared" si="14"/>
        <v>1.255255479761473</v>
      </c>
      <c r="N121" s="17">
        <f t="shared" si="14"/>
        <v>1.2509342159554522</v>
      </c>
      <c r="O121" s="17">
        <f t="shared" si="14"/>
        <v>1.2472686313819246</v>
      </c>
      <c r="P121" s="17">
        <f t="shared" si="14"/>
        <v>1.2430295524028321</v>
      </c>
      <c r="Q121" s="17">
        <f t="shared" si="14"/>
        <v>1.2388119415889265</v>
      </c>
      <c r="R121" s="17">
        <f t="shared" si="14"/>
        <v>1.2497889219800586</v>
      </c>
      <c r="S121" s="17">
        <f t="shared" si="14"/>
        <v>1.2606740472791484</v>
      </c>
      <c r="T121" s="17">
        <f t="shared" si="14"/>
        <v>1.2718542843077765</v>
      </c>
      <c r="U121" s="17">
        <f t="shared" si="14"/>
        <v>1.2825673635176433</v>
      </c>
      <c r="V121" s="17">
        <f t="shared" si="14"/>
        <v>1.2932005138834142</v>
      </c>
      <c r="W121" s="17">
        <f t="shared" si="14"/>
        <v>1.2932882323268495</v>
      </c>
      <c r="X121" s="17">
        <f t="shared" si="14"/>
        <v>1.2930423683703436</v>
      </c>
      <c r="Y121" s="17">
        <f t="shared" si="14"/>
        <v>1.2928077517932772</v>
      </c>
      <c r="Z121" s="17">
        <f t="shared" si="14"/>
        <v>1.4191861179573302</v>
      </c>
    </row>
    <row r="122" spans="1:53" s="26" customFormat="1" outlineLevel="1" x14ac:dyDescent="0.35"/>
    <row r="123" spans="1:53" s="221" customFormat="1" ht="21" x14ac:dyDescent="0.5">
      <c r="A123" s="229" t="s">
        <v>850</v>
      </c>
    </row>
    <row r="124" spans="1:53" s="18" customFormat="1" ht="21" x14ac:dyDescent="0.5">
      <c r="A124" s="18" t="s">
        <v>72</v>
      </c>
    </row>
    <row r="125" spans="1:53" s="20" customFormat="1" outlineLevel="1" x14ac:dyDescent="0.35">
      <c r="A125" s="19" t="s">
        <v>766</v>
      </c>
    </row>
    <row r="126" spans="1:53" s="16" customFormat="1" outlineLevel="1" x14ac:dyDescent="0.35">
      <c r="A126" s="21"/>
      <c r="AB126" s="16" t="s">
        <v>47</v>
      </c>
      <c r="AC126" s="16">
        <v>1.2500000000000001E-5</v>
      </c>
      <c r="AD126" s="16" t="s">
        <v>48</v>
      </c>
      <c r="AE126" s="15" t="s">
        <v>714</v>
      </c>
    </row>
    <row r="127" spans="1:53" s="16" customFormat="1" outlineLevel="1" x14ac:dyDescent="0.35">
      <c r="A127" s="22" t="s">
        <v>564</v>
      </c>
      <c r="AC127" s="16">
        <f>AC126*1000</f>
        <v>1.2500000000000001E-2</v>
      </c>
      <c r="AD127" s="16" t="s">
        <v>126</v>
      </c>
    </row>
    <row r="128" spans="1:53" s="16" customFormat="1" outlineLevel="1" x14ac:dyDescent="0.35">
      <c r="A128" s="22"/>
      <c r="AB128" s="16" t="s">
        <v>127</v>
      </c>
      <c r="AC128" s="16">
        <v>100</v>
      </c>
      <c r="AD128" s="16" t="s">
        <v>128</v>
      </c>
    </row>
    <row r="129" spans="1:53" s="16" customFormat="1" outlineLevel="1" x14ac:dyDescent="0.35">
      <c r="A129" s="230" t="s">
        <v>768</v>
      </c>
      <c r="AB129" s="16" t="s">
        <v>20</v>
      </c>
      <c r="AC129" s="16">
        <v>0.23</v>
      </c>
      <c r="AD129" s="16" t="s">
        <v>715</v>
      </c>
    </row>
    <row r="130" spans="1:53" s="16" customFormat="1" outlineLevel="1" x14ac:dyDescent="0.35">
      <c r="A130" s="22"/>
      <c r="AB130" s="16" t="s">
        <v>129</v>
      </c>
      <c r="AC130" s="16">
        <v>25</v>
      </c>
      <c r="AD130" s="16" t="s">
        <v>130</v>
      </c>
    </row>
    <row r="131" spans="1:53" outlineLevel="1" x14ac:dyDescent="0.35">
      <c r="B131" s="25">
        <v>2030</v>
      </c>
      <c r="C131" s="25">
        <v>2031</v>
      </c>
      <c r="D131" s="25">
        <v>2032</v>
      </c>
      <c r="E131" s="25">
        <v>2033</v>
      </c>
      <c r="F131" s="25">
        <v>2034</v>
      </c>
      <c r="G131" s="25">
        <v>2035</v>
      </c>
      <c r="H131" s="25">
        <v>2036</v>
      </c>
      <c r="I131" s="25">
        <v>2037</v>
      </c>
      <c r="J131" s="25">
        <v>2038</v>
      </c>
      <c r="K131" s="25">
        <v>2039</v>
      </c>
      <c r="L131" s="25">
        <v>2040</v>
      </c>
      <c r="M131" s="25">
        <v>2041</v>
      </c>
      <c r="N131" s="25">
        <v>2042</v>
      </c>
      <c r="O131" s="25">
        <v>2043</v>
      </c>
      <c r="P131" s="25">
        <v>2044</v>
      </c>
      <c r="Q131" s="25">
        <v>2045</v>
      </c>
      <c r="R131" s="25">
        <v>2046</v>
      </c>
      <c r="S131" s="25">
        <v>2047</v>
      </c>
      <c r="T131" s="25">
        <v>2048</v>
      </c>
      <c r="U131" s="25">
        <v>2049</v>
      </c>
      <c r="V131" s="25">
        <v>2050</v>
      </c>
      <c r="W131" s="25">
        <v>2051</v>
      </c>
      <c r="X131" s="25">
        <v>2052</v>
      </c>
      <c r="Y131" s="25">
        <v>2053</v>
      </c>
      <c r="Z131" s="25">
        <v>2054</v>
      </c>
      <c r="AC131" s="25">
        <v>2030</v>
      </c>
      <c r="AD131" s="25">
        <v>2031</v>
      </c>
      <c r="AE131" s="25">
        <v>2032</v>
      </c>
      <c r="AF131" s="25">
        <v>2033</v>
      </c>
      <c r="AG131" s="25">
        <v>2034</v>
      </c>
      <c r="AH131" s="25">
        <v>2035</v>
      </c>
      <c r="AI131" s="25">
        <v>2036</v>
      </c>
      <c r="AJ131" s="25">
        <v>2037</v>
      </c>
      <c r="AK131" s="25">
        <v>2038</v>
      </c>
      <c r="AL131" s="25">
        <v>2039</v>
      </c>
      <c r="AM131" s="25">
        <v>2040</v>
      </c>
      <c r="AN131" s="25">
        <v>2041</v>
      </c>
      <c r="AO131" s="25">
        <v>2042</v>
      </c>
      <c r="AP131" s="25">
        <v>2043</v>
      </c>
      <c r="AQ131" s="25">
        <v>2044</v>
      </c>
      <c r="AR131" s="25">
        <v>2045</v>
      </c>
      <c r="AS131" s="25">
        <v>2046</v>
      </c>
      <c r="AT131" s="25">
        <v>2047</v>
      </c>
      <c r="AU131" s="25">
        <v>2048</v>
      </c>
      <c r="AV131" s="25">
        <v>2049</v>
      </c>
      <c r="AW131" s="25">
        <v>2050</v>
      </c>
      <c r="AX131" s="25">
        <v>2051</v>
      </c>
      <c r="AY131" s="25">
        <v>2052</v>
      </c>
      <c r="AZ131" s="25">
        <v>2053</v>
      </c>
      <c r="BA131" s="25">
        <v>2054</v>
      </c>
    </row>
    <row r="132" spans="1:53" outlineLevel="1" x14ac:dyDescent="0.35">
      <c r="A132" s="6" t="s">
        <v>21</v>
      </c>
      <c r="B132" s="6">
        <f>'Results - raw data ReCiPe (E)'!C5</f>
        <v>0.21929805323875509</v>
      </c>
      <c r="AB132" s="6" t="s">
        <v>117</v>
      </c>
      <c r="AC132" s="6">
        <f>SUM(B132:B143)+B145</f>
        <v>15.464099749864513</v>
      </c>
    </row>
    <row r="133" spans="1:53" outlineLevel="1" x14ac:dyDescent="0.35">
      <c r="A133" s="6" t="s">
        <v>23</v>
      </c>
      <c r="B133" s="6">
        <f>'Results - raw data ReCiPe (E)'!C6</f>
        <v>0.47831707984653599</v>
      </c>
      <c r="AB133" s="6" t="s">
        <v>118</v>
      </c>
      <c r="AC133" s="6">
        <f>B144</f>
        <v>0.59342142429421851</v>
      </c>
    </row>
    <row r="134" spans="1:53" outlineLevel="1" x14ac:dyDescent="0.35">
      <c r="A134" s="6" t="s">
        <v>26</v>
      </c>
      <c r="B134" s="6">
        <f>'Results - raw data ReCiPe (E)'!C7</f>
        <v>0.92133956379952864</v>
      </c>
      <c r="AB134" s="6" t="s">
        <v>119</v>
      </c>
      <c r="BA134" s="6">
        <f>SUM(Z146:Z157)</f>
        <v>0.12953343012141194</v>
      </c>
    </row>
    <row r="135" spans="1:53" outlineLevel="1" x14ac:dyDescent="0.35">
      <c r="A135" s="6" t="s">
        <v>28</v>
      </c>
      <c r="B135" s="6">
        <f>'Results - raw data ReCiPe (E)'!C8</f>
        <v>0.87032443308263663</v>
      </c>
      <c r="AB135" s="6" t="s">
        <v>120</v>
      </c>
      <c r="BA135" s="6">
        <f>Z158</f>
        <v>1.8614484052655999E-3</v>
      </c>
    </row>
    <row r="136" spans="1:53" outlineLevel="1" x14ac:dyDescent="0.35">
      <c r="A136" s="6" t="s">
        <v>29</v>
      </c>
      <c r="B136" s="6">
        <f>'Results - raw data ReCiPe (E)'!C9</f>
        <v>0.92350966225007847</v>
      </c>
      <c r="AB136" s="6" t="s">
        <v>121</v>
      </c>
      <c r="AC136" s="6">
        <f>B159</f>
        <v>0.1490671536669359</v>
      </c>
      <c r="AF136" s="6">
        <f>E159</f>
        <v>0.14899675412380661</v>
      </c>
      <c r="AI136" s="6">
        <f>H159</f>
        <v>0.14913467370511721</v>
      </c>
      <c r="AL136" s="6">
        <f>K159</f>
        <v>0.14985420341785011</v>
      </c>
      <c r="AO136" s="6">
        <f>N159</f>
        <v>0.15079302716477189</v>
      </c>
      <c r="AR136" s="6">
        <f>Q159</f>
        <v>0.15199232647583841</v>
      </c>
      <c r="AU136" s="6">
        <f>T159</f>
        <v>0.15162753334670259</v>
      </c>
      <c r="AX136" s="6">
        <f>W159</f>
        <v>0.15096779974777791</v>
      </c>
      <c r="BA136" s="6">
        <f>Z159</f>
        <v>0.149756511690775</v>
      </c>
    </row>
    <row r="137" spans="1:53" outlineLevel="1" x14ac:dyDescent="0.35">
      <c r="A137" s="6" t="s">
        <v>31</v>
      </c>
      <c r="B137" s="6">
        <f>'Results - raw data ReCiPe (E)'!C10</f>
        <v>0.59002892080817404</v>
      </c>
      <c r="AB137" s="6" t="s">
        <v>122</v>
      </c>
      <c r="AC137" s="6">
        <f>B162+B161</f>
        <v>2.6779530402692235</v>
      </c>
      <c r="AD137" s="6">
        <f t="shared" ref="AD137:BA137" si="15">C162+C161</f>
        <v>2.6711133939070431</v>
      </c>
      <c r="AE137" s="6">
        <f t="shared" si="15"/>
        <v>2.6642022778663352</v>
      </c>
      <c r="AF137" s="6">
        <f t="shared" si="15"/>
        <v>2.6574829444117345</v>
      </c>
      <c r="AG137" s="6">
        <f t="shared" si="15"/>
        <v>2.6504476151124328</v>
      </c>
      <c r="AH137" s="6">
        <f t="shared" si="15"/>
        <v>2.6433548422512452</v>
      </c>
      <c r="AI137" s="6">
        <f t="shared" si="15"/>
        <v>2.8622674123810499</v>
      </c>
      <c r="AJ137" s="6">
        <f t="shared" si="15"/>
        <v>3.0809286550736013</v>
      </c>
      <c r="AK137" s="6">
        <f t="shared" si="15"/>
        <v>3.2998384516468273</v>
      </c>
      <c r="AL137" s="6">
        <f t="shared" si="15"/>
        <v>3.5181729821826742</v>
      </c>
      <c r="AM137" s="6">
        <f t="shared" si="15"/>
        <v>3.7362796469530806</v>
      </c>
      <c r="AN137" s="6">
        <f t="shared" si="15"/>
        <v>4.1628901159173468</v>
      </c>
      <c r="AO137" s="6">
        <f t="shared" si="15"/>
        <v>4.5905923627487404</v>
      </c>
      <c r="AP137" s="6">
        <f t="shared" si="15"/>
        <v>5.0197535397506963</v>
      </c>
      <c r="AQ137" s="6">
        <f t="shared" si="15"/>
        <v>5.4496283755714856</v>
      </c>
      <c r="AR137" s="6">
        <f t="shared" si="15"/>
        <v>5.8805874285765372</v>
      </c>
      <c r="AS137" s="6">
        <f t="shared" si="15"/>
        <v>5.9020377473721295</v>
      </c>
      <c r="AT137" s="6">
        <f t="shared" si="15"/>
        <v>5.923417014996482</v>
      </c>
      <c r="AU137" s="6">
        <f t="shared" si="15"/>
        <v>5.9449513003491044</v>
      </c>
      <c r="AV137" s="6">
        <f t="shared" si="15"/>
        <v>5.9661995691866618</v>
      </c>
      <c r="AW137" s="6">
        <f t="shared" si="15"/>
        <v>5.9873881739660968</v>
      </c>
      <c r="AX137" s="6">
        <f t="shared" si="15"/>
        <v>5.8098126432049355</v>
      </c>
      <c r="AY137" s="6">
        <f t="shared" si="15"/>
        <v>5.6293906790193295</v>
      </c>
      <c r="AZ137" s="6">
        <f t="shared" si="15"/>
        <v>5.4483423479140667</v>
      </c>
      <c r="BA137" s="6">
        <f t="shared" si="15"/>
        <v>5.2666620620839115</v>
      </c>
    </row>
    <row r="138" spans="1:53" outlineLevel="1" x14ac:dyDescent="0.35">
      <c r="A138" s="6" t="s">
        <v>34</v>
      </c>
      <c r="B138" s="6">
        <f>'Results - raw data ReCiPe (E)'!C11</f>
        <v>0.52079306403904313</v>
      </c>
      <c r="AB138" s="6" t="s">
        <v>123</v>
      </c>
      <c r="AC138" s="6">
        <f t="shared" ref="AC138:BA138" si="16">B160</f>
        <v>0.38654328795354098</v>
      </c>
      <c r="AD138" s="6">
        <f t="shared" si="16"/>
        <v>0.38572536393638751</v>
      </c>
      <c r="AE138" s="6">
        <f t="shared" si="16"/>
        <v>0.38490213454324318</v>
      </c>
      <c r="AF138" s="6">
        <f t="shared" si="16"/>
        <v>0.38410164623840737</v>
      </c>
      <c r="AG138" s="6">
        <f t="shared" si="16"/>
        <v>0.38326962225724048</v>
      </c>
      <c r="AH138" s="6">
        <f t="shared" si="16"/>
        <v>0.38243395251057855</v>
      </c>
      <c r="AI138" s="6">
        <f t="shared" si="16"/>
        <v>0.40410628117260966</v>
      </c>
      <c r="AJ138" s="6">
        <f t="shared" si="16"/>
        <v>0.42568870624606392</v>
      </c>
      <c r="AK138" s="6">
        <f t="shared" si="16"/>
        <v>0.44722979323323148</v>
      </c>
      <c r="AL138" s="6">
        <f t="shared" si="16"/>
        <v>0.46865143901779066</v>
      </c>
      <c r="AM138" s="6">
        <f t="shared" si="16"/>
        <v>0.48998711595877492</v>
      </c>
      <c r="AN138" s="6">
        <f t="shared" si="16"/>
        <v>0.53185488730925101</v>
      </c>
      <c r="AO138" s="6">
        <f t="shared" si="16"/>
        <v>0.57373251784576318</v>
      </c>
      <c r="AP138" s="6">
        <f t="shared" si="16"/>
        <v>0.61565370477593673</v>
      </c>
      <c r="AQ138" s="6">
        <f t="shared" si="16"/>
        <v>0.65754992958356884</v>
      </c>
      <c r="AR138" s="6">
        <f t="shared" si="16"/>
        <v>0.69945474454131396</v>
      </c>
      <c r="AS138" s="6">
        <f t="shared" si="16"/>
        <v>0.70116168458050809</v>
      </c>
      <c r="AT138" s="6">
        <f t="shared" si="16"/>
        <v>0.7028572038930373</v>
      </c>
      <c r="AU138" s="6">
        <f t="shared" si="16"/>
        <v>0.70456136311661077</v>
      </c>
      <c r="AV138" s="6">
        <f t="shared" si="16"/>
        <v>0.70623528072684383</v>
      </c>
      <c r="AW138" s="6">
        <f t="shared" si="16"/>
        <v>0.7078990325263127</v>
      </c>
      <c r="AX138" s="6">
        <f t="shared" si="16"/>
        <v>0.68978541699720153</v>
      </c>
      <c r="AY138" s="6">
        <f t="shared" si="16"/>
        <v>0.67146561505537805</v>
      </c>
      <c r="AZ138" s="6">
        <f t="shared" si="16"/>
        <v>0.65315610842109884</v>
      </c>
      <c r="BA138" s="6">
        <f t="shared" si="16"/>
        <v>0.63485651014893763</v>
      </c>
    </row>
    <row r="139" spans="1:53" outlineLevel="1" x14ac:dyDescent="0.35">
      <c r="A139" s="6" t="s">
        <v>36</v>
      </c>
      <c r="B139" s="6">
        <f>'Results - raw data ReCiPe (E)'!C12</f>
        <v>0.38509641321729721</v>
      </c>
      <c r="AB139" s="6" t="s">
        <v>124</v>
      </c>
      <c r="AC139" s="6">
        <f>-$AC$7*$AC$6</f>
        <v>-1.25</v>
      </c>
      <c r="AD139" s="6">
        <f t="shared" ref="AD139:BA139" si="17">-$AC$7*$AC$6</f>
        <v>-1.25</v>
      </c>
      <c r="AE139" s="6">
        <f t="shared" si="17"/>
        <v>-1.25</v>
      </c>
      <c r="AF139" s="6">
        <f t="shared" si="17"/>
        <v>-1.25</v>
      </c>
      <c r="AG139" s="6">
        <f t="shared" si="17"/>
        <v>-1.25</v>
      </c>
      <c r="AH139" s="6">
        <f t="shared" si="17"/>
        <v>-1.25</v>
      </c>
      <c r="AI139" s="6">
        <f t="shared" si="17"/>
        <v>-1.25</v>
      </c>
      <c r="AJ139" s="6">
        <f t="shared" si="17"/>
        <v>-1.25</v>
      </c>
      <c r="AK139" s="6">
        <f t="shared" si="17"/>
        <v>-1.25</v>
      </c>
      <c r="AL139" s="6">
        <f t="shared" si="17"/>
        <v>-1.25</v>
      </c>
      <c r="AM139" s="6">
        <f t="shared" si="17"/>
        <v>-1.25</v>
      </c>
      <c r="AN139" s="6">
        <f t="shared" si="17"/>
        <v>-1.25</v>
      </c>
      <c r="AO139" s="6">
        <f t="shared" si="17"/>
        <v>-1.25</v>
      </c>
      <c r="AP139" s="6">
        <f t="shared" si="17"/>
        <v>-1.25</v>
      </c>
      <c r="AQ139" s="6">
        <f t="shared" si="17"/>
        <v>-1.25</v>
      </c>
      <c r="AR139" s="6">
        <f t="shared" si="17"/>
        <v>-1.25</v>
      </c>
      <c r="AS139" s="6">
        <f t="shared" si="17"/>
        <v>-1.25</v>
      </c>
      <c r="AT139" s="6">
        <f t="shared" si="17"/>
        <v>-1.25</v>
      </c>
      <c r="AU139" s="6">
        <f t="shared" si="17"/>
        <v>-1.25</v>
      </c>
      <c r="AV139" s="6">
        <f t="shared" si="17"/>
        <v>-1.25</v>
      </c>
      <c r="AW139" s="6">
        <f t="shared" si="17"/>
        <v>-1.25</v>
      </c>
      <c r="AX139" s="6">
        <f t="shared" si="17"/>
        <v>-1.25</v>
      </c>
      <c r="AY139" s="6">
        <f t="shared" si="17"/>
        <v>-1.25</v>
      </c>
      <c r="AZ139" s="6">
        <f t="shared" si="17"/>
        <v>-1.25</v>
      </c>
      <c r="BA139" s="6">
        <f t="shared" si="17"/>
        <v>-1.25</v>
      </c>
    </row>
    <row r="140" spans="1:53" outlineLevel="1" x14ac:dyDescent="0.35">
      <c r="A140" s="6" t="s">
        <v>38</v>
      </c>
      <c r="B140" s="6">
        <f>'Results - raw data ReCiPe (E)'!C13</f>
        <v>1.1559612989447181</v>
      </c>
      <c r="AB140" s="23" t="s">
        <v>125</v>
      </c>
      <c r="AC140" s="17">
        <f t="shared" ref="AC140:BA140" si="18">SUM(AC132:AC139)</f>
        <v>18.02108465604843</v>
      </c>
      <c r="AD140" s="17">
        <f t="shared" si="18"/>
        <v>1.8068387578434306</v>
      </c>
      <c r="AE140" s="17">
        <f t="shared" si="18"/>
        <v>1.7991044124095783</v>
      </c>
      <c r="AF140" s="17">
        <f t="shared" si="18"/>
        <v>1.9405813447739484</v>
      </c>
      <c r="AG140" s="17">
        <f t="shared" si="18"/>
        <v>1.7837172373696735</v>
      </c>
      <c r="AH140" s="17">
        <f t="shared" si="18"/>
        <v>1.7757887947618238</v>
      </c>
      <c r="AI140" s="17">
        <f t="shared" si="18"/>
        <v>2.1655083672587767</v>
      </c>
      <c r="AJ140" s="17">
        <f t="shared" si="18"/>
        <v>2.2566173613196652</v>
      </c>
      <c r="AK140" s="17">
        <f t="shared" si="18"/>
        <v>2.497068244880059</v>
      </c>
      <c r="AL140" s="17">
        <f t="shared" si="18"/>
        <v>2.8866786246183151</v>
      </c>
      <c r="AM140" s="17">
        <f t="shared" si="18"/>
        <v>2.9762667629118553</v>
      </c>
      <c r="AN140" s="17">
        <f t="shared" si="18"/>
        <v>3.4447450032265978</v>
      </c>
      <c r="AO140" s="17">
        <f t="shared" si="18"/>
        <v>4.0651179077592756</v>
      </c>
      <c r="AP140" s="17">
        <f t="shared" si="18"/>
        <v>4.3854072445266326</v>
      </c>
      <c r="AQ140" s="17">
        <f t="shared" si="18"/>
        <v>4.8571783051550543</v>
      </c>
      <c r="AR140" s="17">
        <f t="shared" si="18"/>
        <v>5.4820344995936896</v>
      </c>
      <c r="AS140" s="17">
        <f t="shared" si="18"/>
        <v>5.3531994319526373</v>
      </c>
      <c r="AT140" s="17">
        <f t="shared" si="18"/>
        <v>5.3762742188895194</v>
      </c>
      <c r="AU140" s="17">
        <f t="shared" si="18"/>
        <v>5.5511401968124172</v>
      </c>
      <c r="AV140" s="17">
        <f t="shared" si="18"/>
        <v>5.4224348499135058</v>
      </c>
      <c r="AW140" s="17">
        <f t="shared" si="18"/>
        <v>5.4452872064924094</v>
      </c>
      <c r="AX140" s="17">
        <f t="shared" si="18"/>
        <v>5.4005658599499151</v>
      </c>
      <c r="AY140" s="17">
        <f t="shared" si="18"/>
        <v>5.0508562940747073</v>
      </c>
      <c r="AZ140" s="17">
        <f t="shared" si="18"/>
        <v>4.8514984563351655</v>
      </c>
      <c r="BA140" s="17">
        <f t="shared" si="18"/>
        <v>4.9326699624503014</v>
      </c>
    </row>
    <row r="141" spans="1:53" outlineLevel="1" x14ac:dyDescent="0.35">
      <c r="A141" s="6" t="s">
        <v>39</v>
      </c>
      <c r="B141" s="6">
        <f>'Results - raw data ReCiPe (E)'!C14</f>
        <v>8.6059324911248591</v>
      </c>
    </row>
    <row r="142" spans="1:53" outlineLevel="1" x14ac:dyDescent="0.35">
      <c r="A142" s="6" t="s">
        <v>41</v>
      </c>
      <c r="B142" s="6">
        <f>'Results - raw data ReCiPe (E)'!C15</f>
        <v>7.3175031120524259E-3</v>
      </c>
    </row>
    <row r="143" spans="1:53" outlineLevel="1" x14ac:dyDescent="0.35">
      <c r="A143" s="6" t="s">
        <v>43</v>
      </c>
      <c r="B143" s="6">
        <f>'Results - raw data ReCiPe (E)'!C16</f>
        <v>4.3736826575301237E-2</v>
      </c>
      <c r="AB143" s="219"/>
      <c r="AC143" s="219"/>
      <c r="AD143" s="219"/>
      <c r="AE143" s="219"/>
      <c r="AF143" s="219"/>
      <c r="AG143" s="219"/>
      <c r="AH143" s="219"/>
      <c r="AI143" s="219"/>
      <c r="AJ143" s="219"/>
      <c r="AK143" s="219"/>
      <c r="AL143" s="219"/>
      <c r="AM143" s="219"/>
      <c r="AN143" s="219"/>
      <c r="AO143" s="219"/>
      <c r="AP143" s="219"/>
      <c r="AQ143" s="219"/>
      <c r="AR143" s="219"/>
      <c r="AS143" s="219"/>
      <c r="AT143" s="219"/>
      <c r="AU143" s="219"/>
      <c r="AV143" s="219"/>
      <c r="AW143" s="219"/>
      <c r="AX143" s="219"/>
      <c r="AY143" s="219"/>
      <c r="AZ143" s="219"/>
      <c r="BA143" s="219"/>
    </row>
    <row r="144" spans="1:53" outlineLevel="1" x14ac:dyDescent="0.35">
      <c r="A144" s="6" t="s">
        <v>44</v>
      </c>
      <c r="B144" s="6">
        <f>'Results - raw data ReCiPe (E)'!C17*AC128*AC130</f>
        <v>0.59342142429421851</v>
      </c>
      <c r="AB144" s="219"/>
      <c r="AC144" s="219"/>
      <c r="AD144" s="219"/>
      <c r="AE144" s="219"/>
      <c r="AF144" s="219"/>
      <c r="AG144" s="219"/>
      <c r="AH144" s="219"/>
      <c r="AI144" s="219"/>
      <c r="AJ144" s="219"/>
      <c r="AK144" s="219"/>
      <c r="AL144" s="219"/>
      <c r="AM144" s="219"/>
      <c r="AN144" s="219"/>
      <c r="AO144" s="219"/>
      <c r="AP144" s="219"/>
      <c r="AQ144" s="219"/>
      <c r="AR144" s="219"/>
      <c r="AS144" s="219"/>
      <c r="AT144" s="219"/>
      <c r="AU144" s="219"/>
      <c r="AV144" s="219"/>
      <c r="AW144" s="219"/>
      <c r="AX144" s="219"/>
      <c r="AY144" s="219"/>
      <c r="AZ144" s="219"/>
      <c r="BA144" s="219"/>
    </row>
    <row r="145" spans="1:53" outlineLevel="1" x14ac:dyDescent="0.35">
      <c r="A145" s="6" t="s">
        <v>757</v>
      </c>
      <c r="B145" s="6">
        <f>'Results - raw data ReCiPe (E)'!C18*AC128*AC130</f>
        <v>0.74244443982553254</v>
      </c>
      <c r="AB145" s="219"/>
      <c r="AC145" s="219"/>
      <c r="AD145" s="219"/>
      <c r="AE145" s="219"/>
      <c r="AF145" s="219"/>
      <c r="AG145" s="219"/>
      <c r="AH145" s="219"/>
      <c r="AI145" s="219"/>
      <c r="AJ145" s="219"/>
      <c r="AK145" s="219"/>
      <c r="AL145" s="219"/>
      <c r="AM145" s="219"/>
      <c r="AN145" s="219"/>
      <c r="AO145" s="219"/>
      <c r="AP145" s="219"/>
      <c r="AQ145" s="219"/>
      <c r="AR145" s="219"/>
      <c r="AS145" s="219"/>
      <c r="AT145" s="219"/>
      <c r="AU145" s="219"/>
      <c r="AV145" s="219"/>
      <c r="AW145" s="219"/>
      <c r="AX145" s="219"/>
      <c r="AY145" s="219"/>
      <c r="AZ145" s="219"/>
      <c r="BA145" s="219"/>
    </row>
    <row r="146" spans="1:53" outlineLevel="1" x14ac:dyDescent="0.35">
      <c r="A146" s="6" t="s">
        <v>22</v>
      </c>
      <c r="Z146" s="6">
        <f>'Results - raw data ReCiPe (E)'!AA19</f>
        <v>1.343726090829159E-3</v>
      </c>
      <c r="AB146" s="219"/>
      <c r="AC146" s="219"/>
      <c r="AD146" s="219"/>
      <c r="AE146" s="219"/>
      <c r="AF146" s="219"/>
      <c r="AG146" s="219"/>
      <c r="AH146" s="219"/>
      <c r="AI146" s="219"/>
      <c r="AJ146" s="219"/>
      <c r="AK146" s="219"/>
      <c r="AL146" s="219"/>
      <c r="AM146" s="219"/>
      <c r="AN146" s="219"/>
      <c r="AO146" s="219"/>
      <c r="AP146" s="219"/>
      <c r="AQ146" s="219"/>
      <c r="AR146" s="219"/>
      <c r="AS146" s="219"/>
      <c r="AT146" s="219"/>
      <c r="AU146" s="219"/>
      <c r="AV146" s="219"/>
      <c r="AW146" s="219"/>
      <c r="AX146" s="219"/>
      <c r="AY146" s="219"/>
      <c r="AZ146" s="219"/>
      <c r="BA146" s="219"/>
    </row>
    <row r="147" spans="1:53" outlineLevel="1" x14ac:dyDescent="0.35">
      <c r="A147" s="6" t="s">
        <v>24</v>
      </c>
      <c r="Z147" s="6">
        <f>'Results - raw data ReCiPe (E)'!AA20</f>
        <v>6.5886015482857579E-4</v>
      </c>
      <c r="AB147" s="219"/>
      <c r="AC147" s="219"/>
      <c r="AD147" s="219"/>
      <c r="AE147" s="219"/>
      <c r="AF147" s="219"/>
      <c r="AG147" s="219"/>
      <c r="AH147" s="219"/>
      <c r="AI147" s="219"/>
      <c r="AJ147" s="219"/>
      <c r="AK147" s="219"/>
      <c r="AL147" s="219"/>
      <c r="AM147" s="219"/>
      <c r="AN147" s="219"/>
      <c r="AO147" s="219"/>
      <c r="AP147" s="219"/>
      <c r="AQ147" s="219"/>
      <c r="AR147" s="219"/>
      <c r="AS147" s="219"/>
      <c r="AT147" s="219"/>
      <c r="AU147" s="219"/>
      <c r="AV147" s="219"/>
      <c r="AW147" s="219"/>
      <c r="AX147" s="219"/>
      <c r="AY147" s="219"/>
      <c r="AZ147" s="219"/>
      <c r="BA147" s="219"/>
    </row>
    <row r="148" spans="1:53" outlineLevel="1" x14ac:dyDescent="0.35">
      <c r="A148" s="6" t="s">
        <v>25</v>
      </c>
      <c r="Z148" s="6">
        <f>'Results - raw data ReCiPe (E)'!AA21</f>
        <v>2.2860550403126468E-3</v>
      </c>
      <c r="AB148" s="219"/>
      <c r="AC148" s="219"/>
      <c r="AD148" s="219"/>
      <c r="AE148" s="219"/>
      <c r="AF148" s="219"/>
      <c r="AG148" s="219"/>
      <c r="AH148" s="219"/>
      <c r="AI148" s="219"/>
      <c r="AJ148" s="219"/>
      <c r="AK148" s="219"/>
      <c r="AL148" s="219"/>
      <c r="AM148" s="219"/>
      <c r="AN148" s="219"/>
      <c r="AO148" s="219"/>
      <c r="AP148" s="219"/>
      <c r="AQ148" s="219"/>
      <c r="AR148" s="219"/>
      <c r="AS148" s="219"/>
      <c r="AT148" s="219"/>
      <c r="AU148" s="219"/>
      <c r="AV148" s="219"/>
      <c r="AW148" s="219"/>
      <c r="AX148" s="219"/>
      <c r="AY148" s="219"/>
      <c r="AZ148" s="219"/>
      <c r="BA148" s="219"/>
    </row>
    <row r="149" spans="1:53" outlineLevel="1" x14ac:dyDescent="0.35">
      <c r="A149" s="6" t="s">
        <v>27</v>
      </c>
      <c r="Z149" s="6">
        <f>'Results - raw data ReCiPe (E)'!AA22</f>
        <v>1.0411294652998089E-3</v>
      </c>
      <c r="AB149" s="219"/>
      <c r="AC149" s="219"/>
      <c r="AD149" s="219"/>
      <c r="AE149" s="219"/>
      <c r="AF149" s="219"/>
      <c r="AG149" s="219"/>
      <c r="AH149" s="219"/>
      <c r="AI149" s="219"/>
      <c r="AJ149" s="219"/>
      <c r="AK149" s="219"/>
      <c r="AL149" s="219"/>
      <c r="AM149" s="219"/>
      <c r="AN149" s="219"/>
      <c r="AO149" s="219"/>
      <c r="AP149" s="219"/>
      <c r="AQ149" s="219"/>
      <c r="AR149" s="219"/>
      <c r="AS149" s="219"/>
      <c r="AT149" s="219"/>
      <c r="AU149" s="219"/>
      <c r="AV149" s="219"/>
      <c r="AW149" s="219"/>
      <c r="AX149" s="219"/>
      <c r="AY149" s="219"/>
      <c r="AZ149" s="219"/>
      <c r="BA149" s="219"/>
    </row>
    <row r="150" spans="1:53" outlineLevel="1" x14ac:dyDescent="0.35">
      <c r="A150" s="6" t="s">
        <v>30</v>
      </c>
      <c r="Z150" s="6">
        <f>'Results - raw data ReCiPe (E)'!AA23</f>
        <v>1.758089009492816E-3</v>
      </c>
      <c r="AB150" s="219"/>
      <c r="AC150" s="219"/>
      <c r="AD150" s="219"/>
      <c r="AE150" s="219"/>
      <c r="AF150" s="219"/>
      <c r="AG150" s="219"/>
      <c r="AH150" s="219"/>
      <c r="AI150" s="219"/>
      <c r="AJ150" s="219"/>
      <c r="AK150" s="219"/>
      <c r="AL150" s="219"/>
      <c r="AM150" s="219"/>
      <c r="AN150" s="219"/>
      <c r="AO150" s="219"/>
      <c r="AP150" s="219"/>
      <c r="AQ150" s="219"/>
      <c r="AR150" s="219"/>
      <c r="AS150" s="219"/>
      <c r="AT150" s="219"/>
      <c r="AU150" s="219"/>
      <c r="AV150" s="219"/>
      <c r="AW150" s="219"/>
      <c r="AX150" s="219"/>
      <c r="AY150" s="219"/>
      <c r="AZ150" s="219"/>
      <c r="BA150" s="219"/>
    </row>
    <row r="151" spans="1:53" outlineLevel="1" x14ac:dyDescent="0.35">
      <c r="A151" s="6" t="s">
        <v>32</v>
      </c>
      <c r="Z151" s="6">
        <f>'Results - raw data ReCiPe (E)'!AA24</f>
        <v>6.66883333608157E-4</v>
      </c>
      <c r="AB151" s="219"/>
      <c r="AC151" s="219"/>
      <c r="AD151" s="219"/>
      <c r="AE151" s="219"/>
      <c r="AF151" s="219"/>
      <c r="AG151" s="219"/>
      <c r="AH151" s="219"/>
      <c r="AI151" s="219"/>
      <c r="AJ151" s="219"/>
      <c r="AK151" s="219"/>
      <c r="AL151" s="219"/>
      <c r="AM151" s="219"/>
      <c r="AN151" s="219"/>
      <c r="AO151" s="219"/>
      <c r="AP151" s="219"/>
      <c r="AQ151" s="219"/>
      <c r="AR151" s="219"/>
      <c r="AS151" s="219"/>
      <c r="AT151" s="219"/>
      <c r="AU151" s="219"/>
      <c r="AV151" s="219"/>
      <c r="AW151" s="219"/>
      <c r="AX151" s="219"/>
      <c r="AY151" s="219"/>
      <c r="AZ151" s="219"/>
      <c r="BA151" s="219"/>
    </row>
    <row r="152" spans="1:53" outlineLevel="1" x14ac:dyDescent="0.35">
      <c r="A152" s="6" t="s">
        <v>33</v>
      </c>
      <c r="Z152" s="6">
        <f>'Results - raw data ReCiPe (E)'!AA25</f>
        <v>4.3925185887206151E-4</v>
      </c>
      <c r="AB152" s="219"/>
      <c r="AC152" s="219"/>
      <c r="AD152" s="219"/>
      <c r="AE152" s="219"/>
      <c r="AF152" s="219"/>
      <c r="AG152" s="219"/>
      <c r="AH152" s="219"/>
      <c r="AI152" s="219"/>
      <c r="AJ152" s="219"/>
      <c r="AK152" s="219"/>
      <c r="AL152" s="219"/>
      <c r="AM152" s="219"/>
      <c r="AN152" s="219"/>
      <c r="AO152" s="219"/>
      <c r="AP152" s="219"/>
      <c r="AQ152" s="219"/>
      <c r="AR152" s="219"/>
      <c r="AS152" s="219"/>
      <c r="AT152" s="219"/>
      <c r="AU152" s="219"/>
      <c r="AV152" s="219"/>
      <c r="AW152" s="219"/>
      <c r="AX152" s="219"/>
      <c r="AY152" s="219"/>
      <c r="AZ152" s="219"/>
      <c r="BA152" s="219"/>
    </row>
    <row r="153" spans="1:53" outlineLevel="1" x14ac:dyDescent="0.35">
      <c r="A153" s="6" t="s">
        <v>35</v>
      </c>
      <c r="Z153" s="6">
        <f>'Results - raw data ReCiPe (E)'!AA26</f>
        <v>8.7850371774412291E-4</v>
      </c>
      <c r="AB153" s="219"/>
      <c r="AC153" s="219"/>
      <c r="AD153" s="219"/>
      <c r="AE153" s="219"/>
      <c r="AF153" s="219"/>
      <c r="AG153" s="219"/>
      <c r="AH153" s="219"/>
      <c r="AI153" s="219"/>
      <c r="AJ153" s="219"/>
      <c r="AK153" s="219"/>
      <c r="AL153" s="219"/>
      <c r="AM153" s="219"/>
      <c r="AN153" s="219"/>
      <c r="AO153" s="219"/>
      <c r="AP153" s="219"/>
      <c r="AQ153" s="219"/>
      <c r="AR153" s="219"/>
      <c r="AS153" s="219"/>
      <c r="AT153" s="219"/>
      <c r="AU153" s="219"/>
      <c r="AV153" s="219"/>
      <c r="AW153" s="219"/>
      <c r="AX153" s="219"/>
      <c r="AY153" s="219"/>
      <c r="AZ153" s="219"/>
      <c r="BA153" s="219"/>
    </row>
    <row r="154" spans="1:53" outlineLevel="1" x14ac:dyDescent="0.35">
      <c r="A154" s="6" t="s">
        <v>37</v>
      </c>
      <c r="Z154" s="6">
        <f>'Results - raw data ReCiPe (E)'!AA27</f>
        <v>2.5913778922868631E-3</v>
      </c>
      <c r="AB154" s="219"/>
      <c r="AC154" s="219"/>
      <c r="AD154" s="219"/>
      <c r="AE154" s="219"/>
      <c r="AF154" s="219"/>
      <c r="AG154" s="219"/>
      <c r="AH154" s="219"/>
      <c r="AI154" s="219"/>
      <c r="AJ154" s="219"/>
      <c r="AK154" s="219"/>
      <c r="AL154" s="219"/>
      <c r="AM154" s="219"/>
      <c r="AN154" s="219"/>
      <c r="AO154" s="219"/>
      <c r="AP154" s="219"/>
      <c r="AQ154" s="219"/>
      <c r="AR154" s="219"/>
      <c r="AS154" s="219"/>
      <c r="AT154" s="219"/>
      <c r="AU154" s="219"/>
      <c r="AV154" s="219"/>
      <c r="AW154" s="219"/>
      <c r="AX154" s="219"/>
      <c r="AY154" s="219"/>
      <c r="AZ154" s="219"/>
      <c r="BA154" s="219"/>
    </row>
    <row r="155" spans="1:53" outlineLevel="1" x14ac:dyDescent="0.35">
      <c r="A155" s="6" t="s">
        <v>40</v>
      </c>
      <c r="Z155" s="6">
        <f>'Results - raw data ReCiPe (E)'!AA28</f>
        <v>9.300082599118692E-2</v>
      </c>
    </row>
    <row r="156" spans="1:53" outlineLevel="1" x14ac:dyDescent="0.35">
      <c r="A156" s="6" t="s">
        <v>42</v>
      </c>
      <c r="Z156" s="6">
        <f>'Results - raw data ReCiPe (E)'!AA29</f>
        <v>1.652255685400816E-3</v>
      </c>
    </row>
    <row r="157" spans="1:53" outlineLevel="1" x14ac:dyDescent="0.35">
      <c r="A157" s="6" t="s">
        <v>115</v>
      </c>
      <c r="Z157" s="6">
        <f>'Results - raw data ReCiPe (E)'!AA30</f>
        <v>2.3216471881549992E-2</v>
      </c>
    </row>
    <row r="158" spans="1:53" outlineLevel="1" x14ac:dyDescent="0.35">
      <c r="A158" s="6" t="s">
        <v>45</v>
      </c>
      <c r="Z158" s="6">
        <f>'Results - raw data ReCiPe (E)'!AA31*AC128*AC130</f>
        <v>1.8614484052655999E-3</v>
      </c>
    </row>
    <row r="159" spans="1:53" outlineLevel="1" x14ac:dyDescent="0.35">
      <c r="A159" s="6" t="s">
        <v>116</v>
      </c>
      <c r="B159" s="6">
        <f>'Results - raw data ReCiPe (E)'!C32</f>
        <v>0.1490671536669359</v>
      </c>
      <c r="C159" s="6">
        <f>'Results - raw data ReCiPe (E)'!D32</f>
        <v>0.14903552208451901</v>
      </c>
      <c r="D159" s="6">
        <f>'Results - raw data ReCiPe (E)'!E32</f>
        <v>0.14900409124176461</v>
      </c>
      <c r="E159" s="6">
        <f>'Results - raw data ReCiPe (E)'!F32</f>
        <v>0.14899675412380661</v>
      </c>
      <c r="F159" s="6">
        <f>'Results - raw data ReCiPe (E)'!G32</f>
        <v>0.1489647117300914</v>
      </c>
      <c r="G159" s="6">
        <f>'Results - raw data ReCiPe (E)'!H32</f>
        <v>0.14893252576017491</v>
      </c>
      <c r="H159" s="6">
        <f>'Results - raw data ReCiPe (E)'!I32</f>
        <v>0.14913467370511721</v>
      </c>
      <c r="I159" s="6">
        <f>'Results - raw data ReCiPe (E)'!J32</f>
        <v>0.149339481801325</v>
      </c>
      <c r="J159" s="6">
        <f>'Results - raw data ReCiPe (E)'!K32</f>
        <v>0.14964233019068271</v>
      </c>
      <c r="K159" s="6">
        <f>'Results - raw data ReCiPe (E)'!L32</f>
        <v>0.14985420341785011</v>
      </c>
      <c r="L159" s="6">
        <f>'Results - raw data ReCiPe (E)'!M32</f>
        <v>0.15006804233852261</v>
      </c>
      <c r="M159" s="6">
        <f>'Results - raw data ReCiPe (E)'!N32</f>
        <v>0.1504290310217074</v>
      </c>
      <c r="N159" s="6">
        <f>'Results - raw data ReCiPe (E)'!O32</f>
        <v>0.15079302716477189</v>
      </c>
      <c r="O159" s="6">
        <f>'Results - raw data ReCiPe (E)'!P32</f>
        <v>0.15124443040310401</v>
      </c>
      <c r="P159" s="6">
        <f>'Results - raw data ReCiPe (E)'!Q32</f>
        <v>0.151617050465884</v>
      </c>
      <c r="Q159" s="6">
        <f>'Results - raw data ReCiPe (E)'!R32</f>
        <v>0.15199232647583841</v>
      </c>
      <c r="R159" s="6">
        <f>'Results - raw data ReCiPe (E)'!S32</f>
        <v>0.15185481880401791</v>
      </c>
      <c r="S159" s="6">
        <f>'Results - raw data ReCiPe (E)'!T32</f>
        <v>0.1517160014958327</v>
      </c>
      <c r="T159" s="6">
        <f>'Results - raw data ReCiPe (E)'!U32</f>
        <v>0.15162753334670259</v>
      </c>
      <c r="U159" s="6">
        <f>'Results - raw data ReCiPe (E)'!V32</f>
        <v>0.1514859571713543</v>
      </c>
      <c r="V159" s="6">
        <f>'Results - raw data ReCiPe (E)'!W32</f>
        <v>0.15134294203733781</v>
      </c>
      <c r="W159" s="6">
        <f>'Results - raw data ReCiPe (E)'!X32</f>
        <v>0.15096779974777791</v>
      </c>
      <c r="X159" s="6">
        <f>'Results - raw data ReCiPe (E)'!Y32</f>
        <v>0.15056652186544831</v>
      </c>
      <c r="Y159" s="6">
        <f>'Results - raw data ReCiPe (E)'!Z32</f>
        <v>0.15016276939309101</v>
      </c>
      <c r="Z159" s="6">
        <f>'Results - raw data ReCiPe (E)'!AA32</f>
        <v>0.149756511690775</v>
      </c>
    </row>
    <row r="160" spans="1:53" outlineLevel="1" x14ac:dyDescent="0.35">
      <c r="A160" s="6" t="s">
        <v>758</v>
      </c>
      <c r="B160" s="6">
        <f>'Results - raw data ReCiPe (E)'!C33*$AC$128</f>
        <v>0.38654328795354098</v>
      </c>
      <c r="C160" s="6">
        <f>'Results - raw data ReCiPe (E)'!D33*$AC$128</f>
        <v>0.38572536393638751</v>
      </c>
      <c r="D160" s="6">
        <f>'Results - raw data ReCiPe (E)'!E33*$AC$128</f>
        <v>0.38490213454324318</v>
      </c>
      <c r="E160" s="6">
        <f>'Results - raw data ReCiPe (E)'!F33*$AC$128</f>
        <v>0.38410164623840737</v>
      </c>
      <c r="F160" s="6">
        <f>'Results - raw data ReCiPe (E)'!G33*$AC$128</f>
        <v>0.38326962225724048</v>
      </c>
      <c r="G160" s="6">
        <f>'Results - raw data ReCiPe (E)'!H33*$AC$128</f>
        <v>0.38243395251057855</v>
      </c>
      <c r="H160" s="6">
        <f>'Results - raw data ReCiPe (E)'!I33*$AC$128</f>
        <v>0.40410628117260966</v>
      </c>
      <c r="I160" s="6">
        <f>'Results - raw data ReCiPe (E)'!J33*$AC$128</f>
        <v>0.42568870624606392</v>
      </c>
      <c r="J160" s="6">
        <f>'Results - raw data ReCiPe (E)'!K33*$AC$128</f>
        <v>0.44722979323323148</v>
      </c>
      <c r="K160" s="6">
        <f>'Results - raw data ReCiPe (E)'!L33*$AC$128</f>
        <v>0.46865143901779066</v>
      </c>
      <c r="L160" s="6">
        <f>'Results - raw data ReCiPe (E)'!M33*$AC$128</f>
        <v>0.48998711595877492</v>
      </c>
      <c r="M160" s="6">
        <f>'Results - raw data ReCiPe (E)'!N33*$AC$128</f>
        <v>0.53185488730925101</v>
      </c>
      <c r="N160" s="6">
        <f>'Results - raw data ReCiPe (E)'!O33*$AC$128</f>
        <v>0.57373251784576318</v>
      </c>
      <c r="O160" s="6">
        <f>'Results - raw data ReCiPe (E)'!P33*$AC$128</f>
        <v>0.61565370477593673</v>
      </c>
      <c r="P160" s="6">
        <f>'Results - raw data ReCiPe (E)'!Q33*$AC$128</f>
        <v>0.65754992958356884</v>
      </c>
      <c r="Q160" s="6">
        <f>'Results - raw data ReCiPe (E)'!R33*$AC$128</f>
        <v>0.69945474454131396</v>
      </c>
      <c r="R160" s="6">
        <f>'Results - raw data ReCiPe (E)'!S33*$AC$128</f>
        <v>0.70116168458050809</v>
      </c>
      <c r="S160" s="6">
        <f>'Results - raw data ReCiPe (E)'!T33*$AC$128</f>
        <v>0.7028572038930373</v>
      </c>
      <c r="T160" s="6">
        <f>'Results - raw data ReCiPe (E)'!U33*$AC$128</f>
        <v>0.70456136311661077</v>
      </c>
      <c r="U160" s="6">
        <f>'Results - raw data ReCiPe (E)'!V33*$AC$128</f>
        <v>0.70623528072684383</v>
      </c>
      <c r="V160" s="6">
        <f>'Results - raw data ReCiPe (E)'!W33*$AC$128</f>
        <v>0.7078990325263127</v>
      </c>
      <c r="W160" s="6">
        <f>'Results - raw data ReCiPe (E)'!X33*$AC$128</f>
        <v>0.68978541699720153</v>
      </c>
      <c r="X160" s="6">
        <f>'Results - raw data ReCiPe (E)'!Y33*$AC$128</f>
        <v>0.67146561505537805</v>
      </c>
      <c r="Y160" s="6">
        <f>'Results - raw data ReCiPe (E)'!Z33*$AC$128</f>
        <v>0.65315610842109884</v>
      </c>
      <c r="Z160" s="6">
        <f>'Results - raw data ReCiPe (E)'!AA33*$AC$128</f>
        <v>0.63485651014893763</v>
      </c>
    </row>
    <row r="161" spans="1:53" outlineLevel="1" x14ac:dyDescent="0.35">
      <c r="A161" s="6" t="s">
        <v>759</v>
      </c>
      <c r="B161" s="6">
        <f>'Results - raw data ReCiPe (E)'!C34</f>
        <v>0</v>
      </c>
      <c r="C161" s="6">
        <f>'Results - raw data ReCiPe (E)'!D34</f>
        <v>0</v>
      </c>
      <c r="D161" s="6">
        <f>'Results - raw data ReCiPe (E)'!E34</f>
        <v>0</v>
      </c>
      <c r="E161" s="6">
        <f>'Results - raw data ReCiPe (E)'!F34</f>
        <v>0</v>
      </c>
      <c r="F161" s="6">
        <f>'Results - raw data ReCiPe (E)'!G34</f>
        <v>0</v>
      </c>
      <c r="G161" s="6">
        <f>'Results - raw data ReCiPe (E)'!H34</f>
        <v>0</v>
      </c>
      <c r="H161" s="6">
        <f>'Results - raw data ReCiPe (E)'!I34</f>
        <v>0</v>
      </c>
      <c r="I161" s="6">
        <f>'Results - raw data ReCiPe (E)'!J34</f>
        <v>0</v>
      </c>
      <c r="J161" s="6">
        <f>'Results - raw data ReCiPe (E)'!K34</f>
        <v>0</v>
      </c>
      <c r="K161" s="6">
        <f>'Results - raw data ReCiPe (E)'!L34</f>
        <v>0</v>
      </c>
      <c r="L161" s="6">
        <f>'Results - raw data ReCiPe (E)'!M34</f>
        <v>0</v>
      </c>
      <c r="M161" s="6">
        <f>'Results - raw data ReCiPe (E)'!N34</f>
        <v>0</v>
      </c>
      <c r="N161" s="6">
        <f>'Results - raw data ReCiPe (E)'!O34</f>
        <v>0</v>
      </c>
      <c r="O161" s="6">
        <f>'Results - raw data ReCiPe (E)'!P34</f>
        <v>0</v>
      </c>
      <c r="P161" s="6">
        <f>'Results - raw data ReCiPe (E)'!Q34</f>
        <v>0</v>
      </c>
      <c r="Q161" s="6">
        <f>'Results - raw data ReCiPe (E)'!R34</f>
        <v>0</v>
      </c>
      <c r="R161" s="6">
        <f>'Results - raw data ReCiPe (E)'!S34</f>
        <v>0</v>
      </c>
      <c r="S161" s="6">
        <f>'Results - raw data ReCiPe (E)'!T34</f>
        <v>0</v>
      </c>
      <c r="T161" s="6">
        <f>'Results - raw data ReCiPe (E)'!U34</f>
        <v>0</v>
      </c>
      <c r="U161" s="6">
        <f>'Results - raw data ReCiPe (E)'!V34</f>
        <v>0</v>
      </c>
      <c r="V161" s="6">
        <f>'Results - raw data ReCiPe (E)'!W34</f>
        <v>0</v>
      </c>
      <c r="W161" s="6">
        <f>'Results - raw data ReCiPe (E)'!X34</f>
        <v>0</v>
      </c>
      <c r="X161" s="6">
        <f>'Results - raw data ReCiPe (E)'!Y34</f>
        <v>0</v>
      </c>
      <c r="Y161" s="6">
        <f>'Results - raw data ReCiPe (E)'!Z34</f>
        <v>0</v>
      </c>
      <c r="Z161" s="6">
        <f>'Results - raw data ReCiPe (E)'!AA34</f>
        <v>0</v>
      </c>
    </row>
    <row r="162" spans="1:53" outlineLevel="1" x14ac:dyDescent="0.35">
      <c r="A162" s="6" t="s">
        <v>760</v>
      </c>
      <c r="B162" s="6">
        <f>150000*($AC$129*'Results - raw data ReCiPe (E)'!C114+(1-'Results ReCiPe (E) - HHD'!$AC$129)*'Results - raw data ReCiPe (E)'!C115)</f>
        <v>2.6779530402692235</v>
      </c>
      <c r="C162" s="6">
        <f>150000*($AC$129*'Results - raw data ReCiPe (E)'!D114+(1-'Results ReCiPe (E) - HHD'!$AC$129)*'Results - raw data ReCiPe (E)'!D115)</f>
        <v>2.6711133939070431</v>
      </c>
      <c r="D162" s="6">
        <f>150000*($AC$129*'Results - raw data ReCiPe (E)'!E114+(1-'Results ReCiPe (E) - HHD'!$AC$129)*'Results - raw data ReCiPe (E)'!E115)</f>
        <v>2.6642022778663352</v>
      </c>
      <c r="E162" s="6">
        <f>150000*($AC$129*'Results - raw data ReCiPe (E)'!F114+(1-'Results ReCiPe (E) - HHD'!$AC$129)*'Results - raw data ReCiPe (E)'!F115)</f>
        <v>2.6574829444117345</v>
      </c>
      <c r="F162" s="6">
        <f>150000*($AC$129*'Results - raw data ReCiPe (E)'!G114+(1-'Results ReCiPe (E) - HHD'!$AC$129)*'Results - raw data ReCiPe (E)'!G115)</f>
        <v>2.6504476151124328</v>
      </c>
      <c r="G162" s="6">
        <f>150000*($AC$129*'Results - raw data ReCiPe (E)'!H114+(1-'Results ReCiPe (E) - HHD'!$AC$129)*'Results - raw data ReCiPe (E)'!H115)</f>
        <v>2.6433548422512452</v>
      </c>
      <c r="H162" s="6">
        <f>150000*($AC$129*'Results - raw data ReCiPe (E)'!I114+(1-'Results ReCiPe (E) - HHD'!$AC$129)*'Results - raw data ReCiPe (E)'!I115)</f>
        <v>2.8622674123810499</v>
      </c>
      <c r="I162" s="6">
        <f>150000*($AC$129*'Results - raw data ReCiPe (E)'!J114+(1-'Results ReCiPe (E) - HHD'!$AC$129)*'Results - raw data ReCiPe (E)'!J115)</f>
        <v>3.0809286550736013</v>
      </c>
      <c r="J162" s="6">
        <f>150000*($AC$129*'Results - raw data ReCiPe (E)'!K114+(1-'Results ReCiPe (E) - HHD'!$AC$129)*'Results - raw data ReCiPe (E)'!K115)</f>
        <v>3.2998384516468273</v>
      </c>
      <c r="K162" s="6">
        <f>150000*($AC$129*'Results - raw data ReCiPe (E)'!L114+(1-'Results ReCiPe (E) - HHD'!$AC$129)*'Results - raw data ReCiPe (E)'!L115)</f>
        <v>3.5181729821826742</v>
      </c>
      <c r="L162" s="6">
        <f>150000*($AC$129*'Results - raw data ReCiPe (E)'!M114+(1-'Results ReCiPe (E) - HHD'!$AC$129)*'Results - raw data ReCiPe (E)'!M115)</f>
        <v>3.7362796469530806</v>
      </c>
      <c r="M162" s="6">
        <f>150000*($AC$129*'Results - raw data ReCiPe (E)'!N114+(1-'Results ReCiPe (E) - HHD'!$AC$129)*'Results - raw data ReCiPe (E)'!N115)</f>
        <v>4.1628901159173468</v>
      </c>
      <c r="N162" s="6">
        <f>150000*($AC$129*'Results - raw data ReCiPe (E)'!O114+(1-'Results ReCiPe (E) - HHD'!$AC$129)*'Results - raw data ReCiPe (E)'!O115)</f>
        <v>4.5905923627487404</v>
      </c>
      <c r="O162" s="6">
        <f>150000*($AC$129*'Results - raw data ReCiPe (E)'!P114+(1-'Results ReCiPe (E) - HHD'!$AC$129)*'Results - raw data ReCiPe (E)'!P115)</f>
        <v>5.0197535397506963</v>
      </c>
      <c r="P162" s="6">
        <f>150000*($AC$129*'Results - raw data ReCiPe (E)'!Q114+(1-'Results ReCiPe (E) - HHD'!$AC$129)*'Results - raw data ReCiPe (E)'!Q115)</f>
        <v>5.4496283755714856</v>
      </c>
      <c r="Q162" s="6">
        <f>150000*($AC$129*'Results - raw data ReCiPe (E)'!R114+(1-'Results ReCiPe (E) - HHD'!$AC$129)*'Results - raw data ReCiPe (E)'!R115)</f>
        <v>5.8805874285765372</v>
      </c>
      <c r="R162" s="6">
        <f>150000*($AC$129*'Results - raw data ReCiPe (E)'!S114+(1-'Results ReCiPe (E) - HHD'!$AC$129)*'Results - raw data ReCiPe (E)'!S115)</f>
        <v>5.9020377473721295</v>
      </c>
      <c r="S162" s="6">
        <f>150000*($AC$129*'Results - raw data ReCiPe (E)'!T114+(1-'Results ReCiPe (E) - HHD'!$AC$129)*'Results - raw data ReCiPe (E)'!T115)</f>
        <v>5.923417014996482</v>
      </c>
      <c r="T162" s="6">
        <f>150000*($AC$129*'Results - raw data ReCiPe (E)'!U114+(1-'Results ReCiPe (E) - HHD'!$AC$129)*'Results - raw data ReCiPe (E)'!U115)</f>
        <v>5.9449513003491044</v>
      </c>
      <c r="U162" s="6">
        <f>150000*($AC$129*'Results - raw data ReCiPe (E)'!V114+(1-'Results ReCiPe (E) - HHD'!$AC$129)*'Results - raw data ReCiPe (E)'!V115)</f>
        <v>5.9661995691866618</v>
      </c>
      <c r="V162" s="6">
        <f>150000*($AC$129*'Results - raw data ReCiPe (E)'!W114+(1-'Results ReCiPe (E) - HHD'!$AC$129)*'Results - raw data ReCiPe (E)'!W115)</f>
        <v>5.9873881739660968</v>
      </c>
      <c r="W162" s="6">
        <f>150000*($AC$129*'Results - raw data ReCiPe (E)'!X114+(1-'Results ReCiPe (E) - HHD'!$AC$129)*'Results - raw data ReCiPe (E)'!X115)</f>
        <v>5.8098126432049355</v>
      </c>
      <c r="X162" s="6">
        <f>150000*($AC$129*'Results - raw data ReCiPe (E)'!Y114+(1-'Results ReCiPe (E) - HHD'!$AC$129)*'Results - raw data ReCiPe (E)'!Y115)</f>
        <v>5.6293906790193295</v>
      </c>
      <c r="Y162" s="6">
        <f>150000*($AC$129*'Results - raw data ReCiPe (E)'!Z114+(1-'Results ReCiPe (E) - HHD'!$AC$129)*'Results - raw data ReCiPe (E)'!Z115)</f>
        <v>5.4483423479140667</v>
      </c>
      <c r="Z162" s="6">
        <f>150000*($AC$129*'Results - raw data ReCiPe (E)'!AA114+(1-'Results ReCiPe (E) - HHD'!$AC$129)*'Results - raw data ReCiPe (E)'!AA115)</f>
        <v>5.2666620620839115</v>
      </c>
    </row>
    <row r="163" spans="1:53" outlineLevel="1" x14ac:dyDescent="0.35">
      <c r="A163" s="23" t="s">
        <v>125</v>
      </c>
      <c r="B163" s="17">
        <f t="shared" ref="B163:Z163" si="19">SUM(B132:B162)</f>
        <v>19.27108465604843</v>
      </c>
      <c r="C163" s="17">
        <f t="shared" si="19"/>
        <v>3.2058742799279498</v>
      </c>
      <c r="D163" s="17">
        <f t="shared" si="19"/>
        <v>3.1981085036513432</v>
      </c>
      <c r="E163" s="17">
        <f t="shared" si="19"/>
        <v>3.1905813447739484</v>
      </c>
      <c r="F163" s="17">
        <f t="shared" si="19"/>
        <v>3.1826819490997647</v>
      </c>
      <c r="G163" s="17">
        <f t="shared" si="19"/>
        <v>3.1747213205219986</v>
      </c>
      <c r="H163" s="17">
        <f t="shared" si="19"/>
        <v>3.4155083672587767</v>
      </c>
      <c r="I163" s="17">
        <f t="shared" si="19"/>
        <v>3.6559568431209901</v>
      </c>
      <c r="J163" s="17">
        <f t="shared" si="19"/>
        <v>3.8967105750707414</v>
      </c>
      <c r="K163" s="17">
        <f t="shared" si="19"/>
        <v>4.1366786246183151</v>
      </c>
      <c r="L163" s="17">
        <f t="shared" si="19"/>
        <v>4.3763348052503783</v>
      </c>
      <c r="M163" s="17">
        <f t="shared" si="19"/>
        <v>4.8451740342483056</v>
      </c>
      <c r="N163" s="17">
        <f t="shared" si="19"/>
        <v>5.3151179077592756</v>
      </c>
      <c r="O163" s="17">
        <f t="shared" si="19"/>
        <v>5.786651674929737</v>
      </c>
      <c r="P163" s="17">
        <f t="shared" si="19"/>
        <v>6.2587953556209381</v>
      </c>
      <c r="Q163" s="17">
        <f t="shared" si="19"/>
        <v>6.7320344995936896</v>
      </c>
      <c r="R163" s="17">
        <f t="shared" si="19"/>
        <v>6.7550542507566558</v>
      </c>
      <c r="S163" s="17">
        <f t="shared" si="19"/>
        <v>6.7779902203853517</v>
      </c>
      <c r="T163" s="17">
        <f t="shared" si="19"/>
        <v>6.8011401968124172</v>
      </c>
      <c r="U163" s="17">
        <f t="shared" si="19"/>
        <v>6.8239208070848596</v>
      </c>
      <c r="V163" s="17">
        <f t="shared" si="19"/>
        <v>6.8466301485297469</v>
      </c>
      <c r="W163" s="17">
        <f t="shared" si="19"/>
        <v>6.6505658599499151</v>
      </c>
      <c r="X163" s="17">
        <f t="shared" si="19"/>
        <v>6.4514228159401554</v>
      </c>
      <c r="Y163" s="17">
        <f t="shared" si="19"/>
        <v>6.2516612257282569</v>
      </c>
      <c r="Z163" s="17">
        <f t="shared" si="19"/>
        <v>6.1826699624503014</v>
      </c>
    </row>
    <row r="164" spans="1:53" outlineLevel="1" x14ac:dyDescent="0.35"/>
    <row r="165" spans="1:53" s="18" customFormat="1" ht="21" x14ac:dyDescent="0.5">
      <c r="A165" s="18" t="s">
        <v>73</v>
      </c>
    </row>
    <row r="166" spans="1:53" s="20" customFormat="1" outlineLevel="1" x14ac:dyDescent="0.35">
      <c r="A166" s="19" t="s">
        <v>766</v>
      </c>
    </row>
    <row r="167" spans="1:53" s="16" customFormat="1" outlineLevel="1" x14ac:dyDescent="0.35">
      <c r="A167" s="21"/>
      <c r="AB167" s="16" t="s">
        <v>47</v>
      </c>
      <c r="AC167" s="16">
        <v>1.2500000000000001E-5</v>
      </c>
      <c r="AD167" s="16" t="s">
        <v>48</v>
      </c>
      <c r="AE167" s="15" t="s">
        <v>714</v>
      </c>
    </row>
    <row r="168" spans="1:53" s="16" customFormat="1" outlineLevel="1" x14ac:dyDescent="0.35">
      <c r="A168" s="22" t="s">
        <v>564</v>
      </c>
      <c r="AC168" s="16">
        <f>AC167*1000</f>
        <v>1.2500000000000001E-2</v>
      </c>
      <c r="AD168" s="16" t="s">
        <v>126</v>
      </c>
    </row>
    <row r="169" spans="1:53" s="16" customFormat="1" outlineLevel="1" x14ac:dyDescent="0.35">
      <c r="A169" s="22"/>
      <c r="AB169" s="16" t="s">
        <v>127</v>
      </c>
      <c r="AC169" s="16">
        <v>100</v>
      </c>
      <c r="AD169" s="16" t="s">
        <v>128</v>
      </c>
    </row>
    <row r="170" spans="1:53" s="16" customFormat="1" outlineLevel="1" x14ac:dyDescent="0.35">
      <c r="A170" s="230" t="s">
        <v>768</v>
      </c>
      <c r="AB170" s="16" t="s">
        <v>20</v>
      </c>
      <c r="AC170" s="16">
        <v>0.23</v>
      </c>
      <c r="AD170" s="16" t="s">
        <v>715</v>
      </c>
    </row>
    <row r="171" spans="1:53" s="16" customFormat="1" outlineLevel="1" x14ac:dyDescent="0.35">
      <c r="A171" s="22"/>
      <c r="AB171" s="16" t="s">
        <v>129</v>
      </c>
      <c r="AC171" s="16">
        <v>25</v>
      </c>
      <c r="AD171" s="16" t="s">
        <v>130</v>
      </c>
    </row>
    <row r="172" spans="1:53" outlineLevel="1" x14ac:dyDescent="0.35">
      <c r="B172" s="25">
        <v>2030</v>
      </c>
      <c r="C172" s="25">
        <v>2031</v>
      </c>
      <c r="D172" s="25">
        <v>2032</v>
      </c>
      <c r="E172" s="25">
        <v>2033</v>
      </c>
      <c r="F172" s="25">
        <v>2034</v>
      </c>
      <c r="G172" s="25">
        <v>2035</v>
      </c>
      <c r="H172" s="25">
        <v>2036</v>
      </c>
      <c r="I172" s="25">
        <v>2037</v>
      </c>
      <c r="J172" s="25">
        <v>2038</v>
      </c>
      <c r="K172" s="25">
        <v>2039</v>
      </c>
      <c r="L172" s="25">
        <v>2040</v>
      </c>
      <c r="M172" s="25">
        <v>2041</v>
      </c>
      <c r="N172" s="25">
        <v>2042</v>
      </c>
      <c r="O172" s="25">
        <v>2043</v>
      </c>
      <c r="P172" s="25">
        <v>2044</v>
      </c>
      <c r="Q172" s="25">
        <v>2045</v>
      </c>
      <c r="R172" s="25">
        <v>2046</v>
      </c>
      <c r="S172" s="25">
        <v>2047</v>
      </c>
      <c r="T172" s="25">
        <v>2048</v>
      </c>
      <c r="U172" s="25">
        <v>2049</v>
      </c>
      <c r="V172" s="25">
        <v>2050</v>
      </c>
      <c r="W172" s="25">
        <v>2051</v>
      </c>
      <c r="X172" s="25">
        <v>2052</v>
      </c>
      <c r="Y172" s="25">
        <v>2053</v>
      </c>
      <c r="Z172" s="25">
        <v>2054</v>
      </c>
      <c r="AC172" s="25">
        <v>2030</v>
      </c>
      <c r="AD172" s="25">
        <v>2031</v>
      </c>
      <c r="AE172" s="25">
        <v>2032</v>
      </c>
      <c r="AF172" s="25">
        <v>2033</v>
      </c>
      <c r="AG172" s="25">
        <v>2034</v>
      </c>
      <c r="AH172" s="25">
        <v>2035</v>
      </c>
      <c r="AI172" s="25">
        <v>2036</v>
      </c>
      <c r="AJ172" s="25">
        <v>2037</v>
      </c>
      <c r="AK172" s="25">
        <v>2038</v>
      </c>
      <c r="AL172" s="25">
        <v>2039</v>
      </c>
      <c r="AM172" s="25">
        <v>2040</v>
      </c>
      <c r="AN172" s="25">
        <v>2041</v>
      </c>
      <c r="AO172" s="25">
        <v>2042</v>
      </c>
      <c r="AP172" s="25">
        <v>2043</v>
      </c>
      <c r="AQ172" s="25">
        <v>2044</v>
      </c>
      <c r="AR172" s="25">
        <v>2045</v>
      </c>
      <c r="AS172" s="25">
        <v>2046</v>
      </c>
      <c r="AT172" s="25">
        <v>2047</v>
      </c>
      <c r="AU172" s="25">
        <v>2048</v>
      </c>
      <c r="AV172" s="25">
        <v>2049</v>
      </c>
      <c r="AW172" s="25">
        <v>2050</v>
      </c>
      <c r="AX172" s="25">
        <v>2051</v>
      </c>
      <c r="AY172" s="25">
        <v>2052</v>
      </c>
      <c r="AZ172" s="25">
        <v>2053</v>
      </c>
      <c r="BA172" s="25">
        <v>2054</v>
      </c>
    </row>
    <row r="173" spans="1:53" outlineLevel="1" x14ac:dyDescent="0.35">
      <c r="A173" s="6" t="s">
        <v>21</v>
      </c>
      <c r="B173" s="6">
        <f>'Results - raw data ReCiPe (E)'!C41</f>
        <v>0.20960548877827331</v>
      </c>
      <c r="AB173" s="6" t="s">
        <v>117</v>
      </c>
      <c r="AC173" s="6">
        <f>SUM(B173:B184)+B186</f>
        <v>15.163625338196166</v>
      </c>
    </row>
    <row r="174" spans="1:53" outlineLevel="1" x14ac:dyDescent="0.35">
      <c r="A174" s="6" t="s">
        <v>23</v>
      </c>
      <c r="B174" s="6">
        <f>'Results - raw data ReCiPe (E)'!C42</f>
        <v>0.46443428379104668</v>
      </c>
      <c r="AB174" s="6" t="s">
        <v>118</v>
      </c>
      <c r="AC174" s="6">
        <f>B185</f>
        <v>0.56825338316202001</v>
      </c>
    </row>
    <row r="175" spans="1:53" outlineLevel="1" x14ac:dyDescent="0.35">
      <c r="A175" s="6" t="s">
        <v>26</v>
      </c>
      <c r="B175" s="6">
        <f>'Results - raw data ReCiPe (E)'!C43</f>
        <v>0.87912064669183188</v>
      </c>
      <c r="AB175" s="6" t="s">
        <v>119</v>
      </c>
      <c r="BA175" s="6">
        <f>SUM(Z187:Z198)</f>
        <v>0.1255608424989286</v>
      </c>
    </row>
    <row r="176" spans="1:53" outlineLevel="1" x14ac:dyDescent="0.35">
      <c r="A176" s="6" t="s">
        <v>28</v>
      </c>
      <c r="B176" s="6">
        <f>'Results - raw data ReCiPe (E)'!C44</f>
        <v>0.84534301526053379</v>
      </c>
      <c r="AB176" s="6" t="s">
        <v>120</v>
      </c>
      <c r="BA176" s="6">
        <f>Z199</f>
        <v>1.8015168397394004E-3</v>
      </c>
    </row>
    <row r="177" spans="1:53" outlineLevel="1" x14ac:dyDescent="0.35">
      <c r="A177" s="6" t="s">
        <v>29</v>
      </c>
      <c r="B177" s="6">
        <f>'Results - raw data ReCiPe (E)'!C45</f>
        <v>0.91486801961645936</v>
      </c>
      <c r="AB177" s="6" t="s">
        <v>121</v>
      </c>
      <c r="AC177" s="6">
        <f>B200</f>
        <v>0.14634543908972419</v>
      </c>
      <c r="AF177" s="6">
        <f>E200</f>
        <v>0.144700117717494</v>
      </c>
      <c r="AI177" s="6">
        <f>H200</f>
        <v>0.14300322402923241</v>
      </c>
      <c r="AL177" s="6">
        <f>K200</f>
        <v>0.14146113160521259</v>
      </c>
      <c r="AO177" s="6">
        <f>N200</f>
        <v>0.13996239429028681</v>
      </c>
      <c r="AR177" s="6">
        <f>Q200</f>
        <v>0.13861595410465891</v>
      </c>
      <c r="AU177" s="6">
        <f>T200</f>
        <v>0.1378128975848889</v>
      </c>
      <c r="AX177" s="6">
        <f>W200</f>
        <v>0.13722954493495951</v>
      </c>
      <c r="BA177" s="6">
        <f>Z200</f>
        <v>0.13710363329546579</v>
      </c>
    </row>
    <row r="178" spans="1:53" outlineLevel="1" x14ac:dyDescent="0.35">
      <c r="A178" s="6" t="s">
        <v>31</v>
      </c>
      <c r="B178" s="6">
        <f>'Results - raw data ReCiPe (E)'!C46</f>
        <v>0.58407251169844387</v>
      </c>
      <c r="AB178" s="6" t="s">
        <v>122</v>
      </c>
      <c r="AC178" s="6">
        <f>B203+B202</f>
        <v>2.1604077240480404</v>
      </c>
      <c r="AD178" s="6">
        <f t="shared" ref="AD178:AV178" si="20">C203+C202</f>
        <v>2.0106721839032664</v>
      </c>
      <c r="AE178" s="6">
        <f t="shared" si="20"/>
        <v>1.8608020702576202</v>
      </c>
      <c r="AF178" s="6">
        <f t="shared" si="20"/>
        <v>1.7111027996621953</v>
      </c>
      <c r="AG178" s="6">
        <f t="shared" si="20"/>
        <v>1.560968595895031</v>
      </c>
      <c r="AH178" s="6">
        <f t="shared" si="20"/>
        <v>1.4106894684942946</v>
      </c>
      <c r="AI178" s="6">
        <f t="shared" si="20"/>
        <v>1.3557107874702083</v>
      </c>
      <c r="AJ178" s="6">
        <f t="shared" si="20"/>
        <v>1.3009939168117279</v>
      </c>
      <c r="AK178" s="6">
        <f t="shared" si="20"/>
        <v>1.2469274815087945</v>
      </c>
      <c r="AL178" s="6">
        <f t="shared" si="20"/>
        <v>1.1924814826139896</v>
      </c>
      <c r="AM178" s="6">
        <f t="shared" si="20"/>
        <v>1.1380996475297085</v>
      </c>
      <c r="AN178" s="6">
        <f t="shared" si="20"/>
        <v>1.1225234081703899</v>
      </c>
      <c r="AO178" s="6">
        <f t="shared" si="20"/>
        <v>1.1069345990408685</v>
      </c>
      <c r="AP178" s="6">
        <f t="shared" si="20"/>
        <v>1.0916424136438587</v>
      </c>
      <c r="AQ178" s="6">
        <f t="shared" si="20"/>
        <v>1.07596384741745</v>
      </c>
      <c r="AR178" s="6">
        <f t="shared" si="20"/>
        <v>1.0602168552742655</v>
      </c>
      <c r="AS178" s="6">
        <f t="shared" si="20"/>
        <v>1.0673320221656624</v>
      </c>
      <c r="AT178" s="6">
        <f t="shared" si="20"/>
        <v>1.0744033676233886</v>
      </c>
      <c r="AU178" s="6">
        <f t="shared" si="20"/>
        <v>1.0816456737452889</v>
      </c>
      <c r="AV178" s="6">
        <f t="shared" si="20"/>
        <v>1.088620792405826</v>
      </c>
      <c r="AW178" s="6">
        <f>V203</f>
        <v>1.0955455277657753</v>
      </c>
      <c r="AX178" s="6">
        <f>W203</f>
        <v>1.1014174295355212</v>
      </c>
      <c r="AY178" s="6">
        <f>X203</f>
        <v>1.1070849179665199</v>
      </c>
      <c r="AZ178" s="6">
        <f>Y203</f>
        <v>1.1127803227661135</v>
      </c>
      <c r="BA178" s="6">
        <f>Z203</f>
        <v>1.1185010127997319</v>
      </c>
    </row>
    <row r="179" spans="1:53" outlineLevel="1" x14ac:dyDescent="0.35">
      <c r="A179" s="6" t="s">
        <v>34</v>
      </c>
      <c r="B179" s="6">
        <f>'Results - raw data ReCiPe (E)'!C47</f>
        <v>0.51645180264350998</v>
      </c>
      <c r="AB179" s="6" t="s">
        <v>123</v>
      </c>
      <c r="AC179" s="6">
        <f t="shared" ref="AC179:BA179" si="21">B201</f>
        <v>0.33496960877119669</v>
      </c>
      <c r="AD179" s="6">
        <f t="shared" si="21"/>
        <v>0.31998154455019479</v>
      </c>
      <c r="AE179" s="6">
        <f t="shared" si="21"/>
        <v>0.30505085367021373</v>
      </c>
      <c r="AF179" s="6">
        <f t="shared" si="21"/>
        <v>0.29020866439963255</v>
      </c>
      <c r="AG179" s="6">
        <f t="shared" si="21"/>
        <v>0.27539292782227176</v>
      </c>
      <c r="AH179" s="6">
        <f t="shared" si="21"/>
        <v>0.2606338785022429</v>
      </c>
      <c r="AI179" s="6">
        <f t="shared" si="21"/>
        <v>0.25526106510858937</v>
      </c>
      <c r="AJ179" s="6">
        <f t="shared" si="21"/>
        <v>0.24991471438999321</v>
      </c>
      <c r="AK179" s="6">
        <f t="shared" si="21"/>
        <v>0.24463512752201841</v>
      </c>
      <c r="AL179" s="6">
        <f t="shared" si="21"/>
        <v>0.2393269071405254</v>
      </c>
      <c r="AM179" s="6">
        <f t="shared" si="21"/>
        <v>0.23403312355110722</v>
      </c>
      <c r="AN179" s="6">
        <f t="shared" si="21"/>
        <v>0.23243810228026307</v>
      </c>
      <c r="AO179" s="6">
        <f t="shared" si="21"/>
        <v>0.23083901682335423</v>
      </c>
      <c r="AP179" s="6">
        <f t="shared" si="21"/>
        <v>0.22926535867646819</v>
      </c>
      <c r="AQ179" s="6">
        <f t="shared" si="21"/>
        <v>0.2276542142571191</v>
      </c>
      <c r="AR179" s="6">
        <f t="shared" si="21"/>
        <v>0.2260356161254454</v>
      </c>
      <c r="AS179" s="6">
        <f t="shared" si="21"/>
        <v>0.22645689440946279</v>
      </c>
      <c r="AT179" s="6">
        <f t="shared" si="21"/>
        <v>0.22687918407877519</v>
      </c>
      <c r="AU179" s="6">
        <f t="shared" si="21"/>
        <v>0.22732236809434692</v>
      </c>
      <c r="AV179" s="6">
        <f t="shared" si="21"/>
        <v>0.2277460722875953</v>
      </c>
      <c r="AW179" s="6">
        <f t="shared" si="21"/>
        <v>0.22817018141708342</v>
      </c>
      <c r="AX179" s="6">
        <f t="shared" si="21"/>
        <v>0.2288755068743121</v>
      </c>
      <c r="AY179" s="6">
        <f t="shared" si="21"/>
        <v>0.2295579190194002</v>
      </c>
      <c r="AZ179" s="6">
        <f t="shared" si="21"/>
        <v>0.23024146468381021</v>
      </c>
      <c r="BA179" s="6">
        <f t="shared" si="21"/>
        <v>0.23092571499286862</v>
      </c>
    </row>
    <row r="180" spans="1:53" outlineLevel="1" x14ac:dyDescent="0.35">
      <c r="A180" s="6" t="s">
        <v>36</v>
      </c>
      <c r="B180" s="6">
        <f>'Results - raw data ReCiPe (E)'!C48</f>
        <v>0.37793592249524333</v>
      </c>
      <c r="AB180" s="6" t="s">
        <v>124</v>
      </c>
      <c r="AC180" s="6">
        <f>-$AC$7*$AC$6</f>
        <v>-1.25</v>
      </c>
      <c r="AD180" s="6">
        <f t="shared" ref="AD180:BA180" si="22">-$AC$7*$AC$6</f>
        <v>-1.25</v>
      </c>
      <c r="AE180" s="6">
        <f t="shared" si="22"/>
        <v>-1.25</v>
      </c>
      <c r="AF180" s="6">
        <f t="shared" si="22"/>
        <v>-1.25</v>
      </c>
      <c r="AG180" s="6">
        <f t="shared" si="22"/>
        <v>-1.25</v>
      </c>
      <c r="AH180" s="6">
        <f t="shared" si="22"/>
        <v>-1.25</v>
      </c>
      <c r="AI180" s="6">
        <f t="shared" si="22"/>
        <v>-1.25</v>
      </c>
      <c r="AJ180" s="6">
        <f t="shared" si="22"/>
        <v>-1.25</v>
      </c>
      <c r="AK180" s="6">
        <f t="shared" si="22"/>
        <v>-1.25</v>
      </c>
      <c r="AL180" s="6">
        <f t="shared" si="22"/>
        <v>-1.25</v>
      </c>
      <c r="AM180" s="6">
        <f t="shared" si="22"/>
        <v>-1.25</v>
      </c>
      <c r="AN180" s="6">
        <f t="shared" si="22"/>
        <v>-1.25</v>
      </c>
      <c r="AO180" s="6">
        <f t="shared" si="22"/>
        <v>-1.25</v>
      </c>
      <c r="AP180" s="6">
        <f t="shared" si="22"/>
        <v>-1.25</v>
      </c>
      <c r="AQ180" s="6">
        <f t="shared" si="22"/>
        <v>-1.25</v>
      </c>
      <c r="AR180" s="6">
        <f t="shared" si="22"/>
        <v>-1.25</v>
      </c>
      <c r="AS180" s="6">
        <f t="shared" si="22"/>
        <v>-1.25</v>
      </c>
      <c r="AT180" s="6">
        <f t="shared" si="22"/>
        <v>-1.25</v>
      </c>
      <c r="AU180" s="6">
        <f t="shared" si="22"/>
        <v>-1.25</v>
      </c>
      <c r="AV180" s="6">
        <f t="shared" si="22"/>
        <v>-1.25</v>
      </c>
      <c r="AW180" s="6">
        <f t="shared" si="22"/>
        <v>-1.25</v>
      </c>
      <c r="AX180" s="6">
        <f t="shared" si="22"/>
        <v>-1.25</v>
      </c>
      <c r="AY180" s="6">
        <f t="shared" si="22"/>
        <v>-1.25</v>
      </c>
      <c r="AZ180" s="6">
        <f t="shared" si="22"/>
        <v>-1.25</v>
      </c>
      <c r="BA180" s="6">
        <f t="shared" si="22"/>
        <v>-1.25</v>
      </c>
    </row>
    <row r="181" spans="1:53" outlineLevel="1" x14ac:dyDescent="0.35">
      <c r="A181" s="6" t="s">
        <v>38</v>
      </c>
      <c r="B181" s="6">
        <f>'Results - raw data ReCiPe (E)'!C49</f>
        <v>1.0661193001888549</v>
      </c>
      <c r="AB181" s="23" t="s">
        <v>125</v>
      </c>
      <c r="AC181" s="17">
        <f>SUM(AC173:AC180)</f>
        <v>17.123601493267145</v>
      </c>
      <c r="AD181" s="17">
        <f t="shared" ref="AD181:BA181" si="23">SUM(AD173:AD180)</f>
        <v>1.080653728453461</v>
      </c>
      <c r="AE181" s="17">
        <f t="shared" si="23"/>
        <v>0.91585292392783391</v>
      </c>
      <c r="AF181" s="17">
        <f t="shared" si="23"/>
        <v>0.89601158177932172</v>
      </c>
      <c r="AG181" s="17">
        <f t="shared" si="23"/>
        <v>0.58636152371730277</v>
      </c>
      <c r="AH181" s="17">
        <f t="shared" si="23"/>
        <v>0.4213233469965374</v>
      </c>
      <c r="AI181" s="17">
        <f t="shared" si="23"/>
        <v>0.5039750766080302</v>
      </c>
      <c r="AJ181" s="17">
        <f t="shared" si="23"/>
        <v>0.30090863120172107</v>
      </c>
      <c r="AK181" s="17">
        <f t="shared" si="23"/>
        <v>0.24156260903081295</v>
      </c>
      <c r="AL181" s="17">
        <f t="shared" si="23"/>
        <v>0.32326952135972764</v>
      </c>
      <c r="AM181" s="17">
        <f t="shared" si="23"/>
        <v>0.12213277108081577</v>
      </c>
      <c r="AN181" s="17">
        <f t="shared" si="23"/>
        <v>0.10496151045065294</v>
      </c>
      <c r="AO181" s="17">
        <f t="shared" si="23"/>
        <v>0.22773601015450962</v>
      </c>
      <c r="AP181" s="17">
        <f t="shared" si="23"/>
        <v>7.0907772320326856E-2</v>
      </c>
      <c r="AQ181" s="17">
        <f t="shared" si="23"/>
        <v>5.3618061674569173E-2</v>
      </c>
      <c r="AR181" s="17">
        <f t="shared" si="23"/>
        <v>0.17486842550436976</v>
      </c>
      <c r="AS181" s="17">
        <f t="shared" si="23"/>
        <v>4.378891657512507E-2</v>
      </c>
      <c r="AT181" s="17">
        <f t="shared" si="23"/>
        <v>5.1282551702163781E-2</v>
      </c>
      <c r="AU181" s="17">
        <f t="shared" si="23"/>
        <v>0.19678093942452479</v>
      </c>
      <c r="AV181" s="17">
        <f t="shared" si="23"/>
        <v>6.6366864693421235E-2</v>
      </c>
      <c r="AW181" s="17">
        <f t="shared" si="23"/>
        <v>7.3715709182858635E-2</v>
      </c>
      <c r="AX181" s="17">
        <f t="shared" si="23"/>
        <v>0.21752248134479268</v>
      </c>
      <c r="AY181" s="17">
        <f t="shared" si="23"/>
        <v>8.6642836985920013E-2</v>
      </c>
      <c r="AZ181" s="17">
        <f t="shared" si="23"/>
        <v>9.3021787449923732E-2</v>
      </c>
      <c r="BA181" s="17">
        <f t="shared" si="23"/>
        <v>0.36389272042673415</v>
      </c>
    </row>
    <row r="182" spans="1:53" outlineLevel="1" x14ac:dyDescent="0.35">
      <c r="A182" s="6" t="s">
        <v>39</v>
      </c>
      <c r="B182" s="6">
        <f>'Results - raw data ReCiPe (E)'!C50</f>
        <v>8.5200987946093978</v>
      </c>
    </row>
    <row r="183" spans="1:53" outlineLevel="1" x14ac:dyDescent="0.35">
      <c r="A183" s="6" t="s">
        <v>41</v>
      </c>
      <c r="B183" s="6">
        <f>'Results - raw data ReCiPe (E)'!C51</f>
        <v>6.7892939996938573E-3</v>
      </c>
    </row>
    <row r="184" spans="1:53" outlineLevel="1" x14ac:dyDescent="0.35">
      <c r="A184" s="6" t="s">
        <v>43</v>
      </c>
      <c r="B184" s="6">
        <f>'Results - raw data ReCiPe (E)'!C52</f>
        <v>4.2892454308277171E-2</v>
      </c>
      <c r="AB184" s="219"/>
      <c r="AC184" s="219"/>
      <c r="AD184" s="219"/>
      <c r="AE184" s="219"/>
      <c r="AF184" s="219"/>
      <c r="AG184" s="219"/>
      <c r="AH184" s="219"/>
      <c r="AI184" s="219"/>
      <c r="AJ184" s="219"/>
      <c r="AK184" s="219"/>
      <c r="AL184" s="219"/>
      <c r="AM184" s="219"/>
      <c r="AN184" s="219"/>
      <c r="AO184" s="219"/>
      <c r="AP184" s="219"/>
      <c r="AQ184" s="219"/>
      <c r="AR184" s="219"/>
      <c r="AS184" s="219"/>
      <c r="AT184" s="219"/>
      <c r="AU184" s="219"/>
      <c r="AV184" s="219"/>
      <c r="AW184" s="219"/>
      <c r="AX184" s="219"/>
      <c r="AY184" s="219"/>
      <c r="AZ184" s="219"/>
      <c r="BA184" s="219"/>
    </row>
    <row r="185" spans="1:53" outlineLevel="1" x14ac:dyDescent="0.35">
      <c r="A185" s="6" t="s">
        <v>44</v>
      </c>
      <c r="B185" s="6">
        <f>'Results - raw data ReCiPe (E)'!C53*AC169*AC171</f>
        <v>0.56825338316202001</v>
      </c>
      <c r="AB185" s="219"/>
      <c r="AC185" s="219"/>
      <c r="AD185" s="219"/>
      <c r="AE185" s="219"/>
      <c r="AF185" s="219"/>
      <c r="AG185" s="219"/>
      <c r="AH185" s="219"/>
      <c r="AI185" s="219"/>
      <c r="AJ185" s="219"/>
      <c r="AK185" s="219"/>
      <c r="AL185" s="219"/>
      <c r="AM185" s="219"/>
      <c r="AN185" s="219"/>
      <c r="AO185" s="219"/>
      <c r="AP185" s="219"/>
      <c r="AQ185" s="219"/>
      <c r="AR185" s="219"/>
      <c r="AS185" s="219"/>
      <c r="AT185" s="219"/>
      <c r="AU185" s="219"/>
      <c r="AV185" s="219"/>
      <c r="AW185" s="219"/>
      <c r="AX185" s="219"/>
      <c r="AY185" s="219"/>
      <c r="AZ185" s="219"/>
      <c r="BA185" s="219"/>
    </row>
    <row r="186" spans="1:53" outlineLevel="1" x14ac:dyDescent="0.35">
      <c r="A186" s="6" t="s">
        <v>757</v>
      </c>
      <c r="B186" s="6">
        <f>'Results - raw data ReCiPe (E)'!C54*AC169*AC171</f>
        <v>0.73589380411460081</v>
      </c>
      <c r="AB186" s="219"/>
      <c r="AC186" s="219"/>
      <c r="AD186" s="219"/>
      <c r="AE186" s="219"/>
      <c r="AF186" s="219"/>
      <c r="AG186" s="219"/>
      <c r="AH186" s="219"/>
      <c r="AI186" s="219"/>
      <c r="AJ186" s="219"/>
      <c r="AK186" s="219"/>
      <c r="AL186" s="219"/>
      <c r="AM186" s="219"/>
      <c r="AN186" s="219"/>
      <c r="AO186" s="219"/>
      <c r="AP186" s="219"/>
      <c r="AQ186" s="219"/>
      <c r="AR186" s="219"/>
      <c r="AS186" s="219"/>
      <c r="AT186" s="219"/>
      <c r="AU186" s="219"/>
      <c r="AV186" s="219"/>
      <c r="AW186" s="219"/>
      <c r="AX186" s="219"/>
      <c r="AY186" s="219"/>
      <c r="AZ186" s="219"/>
      <c r="BA186" s="219"/>
    </row>
    <row r="187" spans="1:53" outlineLevel="1" x14ac:dyDescent="0.35">
      <c r="A187" s="6" t="s">
        <v>22</v>
      </c>
      <c r="Z187" s="6">
        <f>'Results - raw data ReCiPe (E)'!AA55</f>
        <v>1.3251030746934389E-3</v>
      </c>
      <c r="AB187" s="219"/>
      <c r="AC187" s="219"/>
      <c r="AD187" s="219"/>
      <c r="AE187" s="219"/>
      <c r="AF187" s="219"/>
      <c r="AG187" s="219"/>
      <c r="AH187" s="219"/>
      <c r="AI187" s="219"/>
      <c r="AJ187" s="219"/>
      <c r="AK187" s="219"/>
      <c r="AL187" s="219"/>
      <c r="AM187" s="219"/>
      <c r="AN187" s="219"/>
      <c r="AO187" s="219"/>
      <c r="AP187" s="219"/>
      <c r="AQ187" s="219"/>
      <c r="AR187" s="219"/>
      <c r="AS187" s="219"/>
      <c r="AT187" s="219"/>
      <c r="AU187" s="219"/>
      <c r="AV187" s="219"/>
      <c r="AW187" s="219"/>
      <c r="AX187" s="219"/>
      <c r="AY187" s="219"/>
      <c r="AZ187" s="219"/>
      <c r="BA187" s="219"/>
    </row>
    <row r="188" spans="1:53" outlineLevel="1" x14ac:dyDescent="0.35">
      <c r="A188" s="6" t="s">
        <v>24</v>
      </c>
      <c r="Z188" s="6">
        <f>'Results - raw data ReCiPe (E)'!AA56</f>
        <v>6.3955514219959052E-4</v>
      </c>
      <c r="AB188" s="219"/>
      <c r="AC188" s="219"/>
      <c r="AD188" s="219"/>
      <c r="AE188" s="219"/>
      <c r="AF188" s="219"/>
      <c r="AG188" s="219"/>
      <c r="AH188" s="219"/>
      <c r="AI188" s="219"/>
      <c r="AJ188" s="219"/>
      <c r="AK188" s="219"/>
      <c r="AL188" s="219"/>
      <c r="AM188" s="219"/>
      <c r="AN188" s="219"/>
      <c r="AO188" s="219"/>
      <c r="AP188" s="219"/>
      <c r="AQ188" s="219"/>
      <c r="AR188" s="219"/>
      <c r="AS188" s="219"/>
      <c r="AT188" s="219"/>
      <c r="AU188" s="219"/>
      <c r="AV188" s="219"/>
      <c r="AW188" s="219"/>
      <c r="AX188" s="219"/>
      <c r="AY188" s="219"/>
      <c r="AZ188" s="219"/>
      <c r="BA188" s="219"/>
    </row>
    <row r="189" spans="1:53" outlineLevel="1" x14ac:dyDescent="0.35">
      <c r="A189" s="6" t="s">
        <v>25</v>
      </c>
      <c r="Z189" s="6">
        <f>'Results - raw data ReCiPe (E)'!AA57</f>
        <v>2.0930513190614889E-3</v>
      </c>
      <c r="AB189" s="219"/>
      <c r="AC189" s="219"/>
      <c r="AD189" s="219"/>
      <c r="AE189" s="219"/>
      <c r="AF189" s="219"/>
      <c r="AG189" s="219"/>
      <c r="AH189" s="219"/>
      <c r="AI189" s="219"/>
      <c r="AJ189" s="219"/>
      <c r="AK189" s="219"/>
      <c r="AL189" s="219"/>
      <c r="AM189" s="219"/>
      <c r="AN189" s="219"/>
      <c r="AO189" s="219"/>
      <c r="AP189" s="219"/>
      <c r="AQ189" s="219"/>
      <c r="AR189" s="219"/>
      <c r="AS189" s="219"/>
      <c r="AT189" s="219"/>
      <c r="AU189" s="219"/>
      <c r="AV189" s="219"/>
      <c r="AW189" s="219"/>
      <c r="AX189" s="219"/>
      <c r="AY189" s="219"/>
      <c r="AZ189" s="219"/>
      <c r="BA189" s="219"/>
    </row>
    <row r="190" spans="1:53" outlineLevel="1" x14ac:dyDescent="0.35">
      <c r="A190" s="6" t="s">
        <v>27</v>
      </c>
      <c r="Z190" s="6">
        <f>'Results - raw data ReCiPe (E)'!AA58</f>
        <v>9.9605819857726137E-4</v>
      </c>
      <c r="AB190" s="219"/>
      <c r="AC190" s="219"/>
      <c r="AD190" s="219"/>
      <c r="AE190" s="219"/>
      <c r="AF190" s="219"/>
      <c r="AG190" s="219"/>
      <c r="AH190" s="219"/>
      <c r="AI190" s="219"/>
      <c r="AJ190" s="219"/>
      <c r="AK190" s="219"/>
      <c r="AL190" s="219"/>
      <c r="AM190" s="219"/>
      <c r="AN190" s="219"/>
      <c r="AO190" s="219"/>
      <c r="AP190" s="219"/>
      <c r="AQ190" s="219"/>
      <c r="AR190" s="219"/>
      <c r="AS190" s="219"/>
      <c r="AT190" s="219"/>
      <c r="AU190" s="219"/>
      <c r="AV190" s="219"/>
      <c r="AW190" s="219"/>
      <c r="AX190" s="219"/>
      <c r="AY190" s="219"/>
      <c r="AZ190" s="219"/>
      <c r="BA190" s="219"/>
    </row>
    <row r="191" spans="1:53" outlineLevel="1" x14ac:dyDescent="0.35">
      <c r="A191" s="6" t="s">
        <v>30</v>
      </c>
      <c r="Z191" s="6">
        <f>'Results - raw data ReCiPe (E)'!AA59</f>
        <v>1.7330870984460761E-3</v>
      </c>
      <c r="AB191" s="219"/>
      <c r="AC191" s="219"/>
      <c r="AD191" s="219"/>
      <c r="AE191" s="219"/>
      <c r="AF191" s="219"/>
      <c r="AG191" s="219"/>
      <c r="AH191" s="219"/>
      <c r="AI191" s="219"/>
      <c r="AJ191" s="219"/>
      <c r="AK191" s="219"/>
      <c r="AL191" s="219"/>
      <c r="AM191" s="219"/>
      <c r="AN191" s="219"/>
      <c r="AO191" s="219"/>
      <c r="AP191" s="219"/>
      <c r="AQ191" s="219"/>
      <c r="AR191" s="219"/>
      <c r="AS191" s="219"/>
      <c r="AT191" s="219"/>
      <c r="AU191" s="219"/>
      <c r="AV191" s="219"/>
      <c r="AW191" s="219"/>
      <c r="AX191" s="219"/>
      <c r="AY191" s="219"/>
      <c r="AZ191" s="219"/>
      <c r="BA191" s="219"/>
    </row>
    <row r="192" spans="1:53" outlineLevel="1" x14ac:dyDescent="0.35">
      <c r="A192" s="6" t="s">
        <v>32</v>
      </c>
      <c r="Z192" s="6">
        <f>'Results - raw data ReCiPe (E)'!AA60</f>
        <v>6.5630319438792764E-4</v>
      </c>
      <c r="AB192" s="219"/>
      <c r="AC192" s="219"/>
      <c r="AD192" s="219"/>
      <c r="AE192" s="219"/>
      <c r="AF192" s="219"/>
      <c r="AG192" s="219"/>
      <c r="AH192" s="219"/>
      <c r="AI192" s="219"/>
      <c r="AJ192" s="219"/>
      <c r="AK192" s="219"/>
      <c r="AL192" s="219"/>
      <c r="AM192" s="219"/>
      <c r="AN192" s="219"/>
      <c r="AO192" s="219"/>
      <c r="AP192" s="219"/>
      <c r="AQ192" s="219"/>
      <c r="AR192" s="219"/>
      <c r="AS192" s="219"/>
      <c r="AT192" s="219"/>
      <c r="AU192" s="219"/>
      <c r="AV192" s="219"/>
      <c r="AW192" s="219"/>
      <c r="AX192" s="219"/>
      <c r="AY192" s="219"/>
      <c r="AZ192" s="219"/>
      <c r="BA192" s="219"/>
    </row>
    <row r="193" spans="1:53" outlineLevel="1" x14ac:dyDescent="0.35">
      <c r="A193" s="6" t="s">
        <v>33</v>
      </c>
      <c r="Z193" s="6">
        <f>'Results - raw data ReCiPe (E)'!AA61</f>
        <v>4.3155713161849529E-4</v>
      </c>
      <c r="AB193" s="219"/>
      <c r="AC193" s="219"/>
      <c r="AD193" s="219"/>
      <c r="AE193" s="219"/>
      <c r="AF193" s="219"/>
      <c r="AG193" s="219"/>
      <c r="AH193" s="219"/>
      <c r="AI193" s="219"/>
      <c r="AJ193" s="219"/>
      <c r="AK193" s="219"/>
      <c r="AL193" s="219"/>
      <c r="AM193" s="219"/>
      <c r="AN193" s="219"/>
      <c r="AO193" s="219"/>
      <c r="AP193" s="219"/>
      <c r="AQ193" s="219"/>
      <c r="AR193" s="219"/>
      <c r="AS193" s="219"/>
      <c r="AT193" s="219"/>
      <c r="AU193" s="219"/>
      <c r="AV193" s="219"/>
      <c r="AW193" s="219"/>
      <c r="AX193" s="219"/>
      <c r="AY193" s="219"/>
      <c r="AZ193" s="219"/>
      <c r="BA193" s="219"/>
    </row>
    <row r="194" spans="1:53" outlineLevel="1" x14ac:dyDescent="0.35">
      <c r="A194" s="6" t="s">
        <v>35</v>
      </c>
      <c r="Z194" s="6">
        <f>'Results - raw data ReCiPe (E)'!AA62</f>
        <v>8.6311426323699069E-4</v>
      </c>
      <c r="AB194" s="219"/>
      <c r="AC194" s="219"/>
      <c r="AD194" s="219"/>
      <c r="AE194" s="219"/>
      <c r="AF194" s="219"/>
      <c r="AG194" s="219"/>
      <c r="AH194" s="219"/>
      <c r="AI194" s="219"/>
      <c r="AJ194" s="219"/>
      <c r="AK194" s="219"/>
      <c r="AL194" s="219"/>
      <c r="AM194" s="219"/>
      <c r="AN194" s="219"/>
      <c r="AO194" s="219"/>
      <c r="AP194" s="219"/>
      <c r="AQ194" s="219"/>
      <c r="AR194" s="219"/>
      <c r="AS194" s="219"/>
      <c r="AT194" s="219"/>
      <c r="AU194" s="219"/>
      <c r="AV194" s="219"/>
      <c r="AW194" s="219"/>
      <c r="AX194" s="219"/>
      <c r="AY194" s="219"/>
      <c r="AZ194" s="219"/>
      <c r="BA194" s="219"/>
    </row>
    <row r="195" spans="1:53" outlineLevel="1" x14ac:dyDescent="0.35">
      <c r="A195" s="6" t="s">
        <v>37</v>
      </c>
      <c r="Z195" s="6">
        <f>'Results - raw data ReCiPe (E)'!AA63</f>
        <v>2.4543765248569191E-3</v>
      </c>
      <c r="AB195" s="219"/>
      <c r="AC195" s="219"/>
      <c r="AD195" s="219"/>
      <c r="AE195" s="219"/>
      <c r="AF195" s="219"/>
      <c r="AG195" s="219"/>
      <c r="AH195" s="219"/>
      <c r="AI195" s="219"/>
      <c r="AJ195" s="219"/>
      <c r="AK195" s="219"/>
      <c r="AL195" s="219"/>
      <c r="AM195" s="219"/>
      <c r="AN195" s="219"/>
      <c r="AO195" s="219"/>
      <c r="AP195" s="219"/>
      <c r="AQ195" s="219"/>
      <c r="AR195" s="219"/>
      <c r="AS195" s="219"/>
      <c r="AT195" s="219"/>
      <c r="AU195" s="219"/>
      <c r="AV195" s="219"/>
      <c r="AW195" s="219"/>
      <c r="AX195" s="219"/>
      <c r="AY195" s="219"/>
      <c r="AZ195" s="219"/>
      <c r="BA195" s="219"/>
    </row>
    <row r="196" spans="1:53" outlineLevel="1" x14ac:dyDescent="0.35">
      <c r="A196" s="6" t="s">
        <v>40</v>
      </c>
      <c r="Z196" s="6">
        <f>'Results - raw data ReCiPe (E)'!AA64</f>
        <v>9.2690812501355274E-2</v>
      </c>
    </row>
    <row r="197" spans="1:53" outlineLevel="1" x14ac:dyDescent="0.35">
      <c r="A197" s="6" t="s">
        <v>42</v>
      </c>
      <c r="Z197" s="6">
        <f>'Results - raw data ReCiPe (E)'!AA65</f>
        <v>1.3974082908951009E-3</v>
      </c>
    </row>
    <row r="198" spans="1:53" outlineLevel="1" x14ac:dyDescent="0.35">
      <c r="A198" s="6" t="s">
        <v>115</v>
      </c>
      <c r="Z198" s="6">
        <f>'Results - raw data ReCiPe (E)'!AA66</f>
        <v>2.0280415759600032E-2</v>
      </c>
    </row>
    <row r="199" spans="1:53" outlineLevel="1" x14ac:dyDescent="0.35">
      <c r="A199" s="6" t="s">
        <v>45</v>
      </c>
      <c r="Z199" s="6">
        <f>'Results - raw data ReCiPe (E)'!AA67*AC169*AC171</f>
        <v>1.8015168397394004E-3</v>
      </c>
    </row>
    <row r="200" spans="1:53" outlineLevel="1" x14ac:dyDescent="0.35">
      <c r="A200" s="6" t="s">
        <v>116</v>
      </c>
      <c r="B200" s="6">
        <f>'Results - raw data ReCiPe (E)'!C68</f>
        <v>0.14634543908972419</v>
      </c>
      <c r="C200" s="6">
        <f>'Results - raw data ReCiPe (E)'!D68</f>
        <v>0.14579663034043189</v>
      </c>
      <c r="D200" s="6">
        <f>'Results - raw data ReCiPe (E)'!E68</f>
        <v>0.1452403762482144</v>
      </c>
      <c r="E200" s="6">
        <f>'Results - raw data ReCiPe (E)'!F68</f>
        <v>0.144700117717494</v>
      </c>
      <c r="F200" s="6">
        <f>'Results - raw data ReCiPe (E)'!G68</f>
        <v>0.14412715742662441</v>
      </c>
      <c r="G200" s="6">
        <f>'Results - raw data ReCiPe (E)'!H68</f>
        <v>0.14354585844594669</v>
      </c>
      <c r="H200" s="6">
        <f>'Results - raw data ReCiPe (E)'!I68</f>
        <v>0.14300322402923241</v>
      </c>
      <c r="I200" s="6">
        <f>'Results - raw data ReCiPe (E)'!J68</f>
        <v>0.14246208632349619</v>
      </c>
      <c r="J200" s="6">
        <f>'Results - raw data ReCiPe (E)'!K68</f>
        <v>0.14200502565734541</v>
      </c>
      <c r="K200" s="6">
        <f>'Results - raw data ReCiPe (E)'!L68</f>
        <v>0.14146113160521259</v>
      </c>
      <c r="L200" s="6">
        <f>'Results - raw data ReCiPe (E)'!M68</f>
        <v>0.14091427334345921</v>
      </c>
      <c r="M200" s="6">
        <f>'Results - raw data ReCiPe (E)'!N68</f>
        <v>0.14043636373789661</v>
      </c>
      <c r="N200" s="6">
        <f>'Results - raw data ReCiPe (E)'!O68</f>
        <v>0.13996239429028681</v>
      </c>
      <c r="O200" s="6">
        <f>'Results - raw data ReCiPe (E)'!P68</f>
        <v>0.13954905709966489</v>
      </c>
      <c r="P200" s="6">
        <f>'Results - raw data ReCiPe (E)'!Q68</f>
        <v>0.13908129459722629</v>
      </c>
      <c r="Q200" s="6">
        <f>'Results - raw data ReCiPe (E)'!R68</f>
        <v>0.13861595410465891</v>
      </c>
      <c r="R200" s="6">
        <f>'Results - raw data ReCiPe (E)'!S68</f>
        <v>0.1383345288367499</v>
      </c>
      <c r="S200" s="6">
        <f>'Results - raw data ReCiPe (E)'!T68</f>
        <v>0.13805488615908901</v>
      </c>
      <c r="T200" s="6">
        <f>'Results - raw data ReCiPe (E)'!U68</f>
        <v>0.1378128975848889</v>
      </c>
      <c r="U200" s="6">
        <f>'Results - raw data ReCiPe (E)'!V68</f>
        <v>0.1375364909433909</v>
      </c>
      <c r="V200" s="6">
        <f>'Results - raw data ReCiPe (E)'!W68</f>
        <v>0.13726155351310909</v>
      </c>
      <c r="W200" s="6">
        <f>'Results - raw data ReCiPe (E)'!X68</f>
        <v>0.13722954493495951</v>
      </c>
      <c r="X200" s="6">
        <f>'Results - raw data ReCiPe (E)'!Y68</f>
        <v>0.13718706200929201</v>
      </c>
      <c r="Y200" s="6">
        <f>'Results - raw data ReCiPe (E)'!Z68</f>
        <v>0.13714509510066361</v>
      </c>
      <c r="Z200" s="6">
        <f>'Results - raw data ReCiPe (E)'!AA68</f>
        <v>0.13710363329546579</v>
      </c>
    </row>
    <row r="201" spans="1:53" outlineLevel="1" x14ac:dyDescent="0.35">
      <c r="A201" s="6" t="s">
        <v>758</v>
      </c>
      <c r="B201" s="6">
        <f>'Results - raw data ReCiPe (E)'!C69*$AC$169</f>
        <v>0.33496960877119669</v>
      </c>
      <c r="C201" s="6">
        <f>'Results - raw data ReCiPe (E)'!D69*$AC$169</f>
        <v>0.31998154455019479</v>
      </c>
      <c r="D201" s="6">
        <f>'Results - raw data ReCiPe (E)'!E69*$AC$169</f>
        <v>0.30505085367021373</v>
      </c>
      <c r="E201" s="6">
        <f>'Results - raw data ReCiPe (E)'!F69*$AC$169</f>
        <v>0.29020866439963255</v>
      </c>
      <c r="F201" s="6">
        <f>'Results - raw data ReCiPe (E)'!G69*$AC$169</f>
        <v>0.27539292782227176</v>
      </c>
      <c r="G201" s="6">
        <f>'Results - raw data ReCiPe (E)'!H69*$AC$169</f>
        <v>0.2606338785022429</v>
      </c>
      <c r="H201" s="6">
        <f>'Results - raw data ReCiPe (E)'!I69*$AC$169</f>
        <v>0.25526106510858937</v>
      </c>
      <c r="I201" s="6">
        <f>'Results - raw data ReCiPe (E)'!J69*$AC$169</f>
        <v>0.24991471438999321</v>
      </c>
      <c r="J201" s="6">
        <f>'Results - raw data ReCiPe (E)'!K69*$AC$169</f>
        <v>0.24463512752201841</v>
      </c>
      <c r="K201" s="6">
        <f>'Results - raw data ReCiPe (E)'!L69*$AC$169</f>
        <v>0.2393269071405254</v>
      </c>
      <c r="L201" s="6">
        <f>'Results - raw data ReCiPe (E)'!M69*$AC$169</f>
        <v>0.23403312355110722</v>
      </c>
      <c r="M201" s="6">
        <f>'Results - raw data ReCiPe (E)'!N69*$AC$169</f>
        <v>0.23243810228026307</v>
      </c>
      <c r="N201" s="6">
        <f>'Results - raw data ReCiPe (E)'!O69*$AC$169</f>
        <v>0.23083901682335423</v>
      </c>
      <c r="O201" s="6">
        <f>'Results - raw data ReCiPe (E)'!P69*$AC$169</f>
        <v>0.22926535867646819</v>
      </c>
      <c r="P201" s="6">
        <f>'Results - raw data ReCiPe (E)'!Q69*$AC$169</f>
        <v>0.2276542142571191</v>
      </c>
      <c r="Q201" s="6">
        <f>'Results - raw data ReCiPe (E)'!R69*$AC$169</f>
        <v>0.2260356161254454</v>
      </c>
      <c r="R201" s="6">
        <f>'Results - raw data ReCiPe (E)'!S69*$AC$169</f>
        <v>0.22645689440946279</v>
      </c>
      <c r="S201" s="6">
        <f>'Results - raw data ReCiPe (E)'!T69*$AC$169</f>
        <v>0.22687918407877519</v>
      </c>
      <c r="T201" s="6">
        <f>'Results - raw data ReCiPe (E)'!U69*$AC$169</f>
        <v>0.22732236809434692</v>
      </c>
      <c r="U201" s="6">
        <f>'Results - raw data ReCiPe (E)'!V69*$AC$169</f>
        <v>0.2277460722875953</v>
      </c>
      <c r="V201" s="6">
        <f>'Results - raw data ReCiPe (E)'!W69*$AC$169</f>
        <v>0.22817018141708342</v>
      </c>
      <c r="W201" s="6">
        <f>'Results - raw data ReCiPe (E)'!X69*$AC$169</f>
        <v>0.2288755068743121</v>
      </c>
      <c r="X201" s="6">
        <f>'Results - raw data ReCiPe (E)'!Y69*$AC$169</f>
        <v>0.2295579190194002</v>
      </c>
      <c r="Y201" s="6">
        <f>'Results - raw data ReCiPe (E)'!Z69*$AC$169</f>
        <v>0.23024146468381021</v>
      </c>
      <c r="Z201" s="6">
        <f>'Results - raw data ReCiPe (E)'!AA69*$AC$169</f>
        <v>0.23092571499286862</v>
      </c>
    </row>
    <row r="202" spans="1:53" outlineLevel="1" x14ac:dyDescent="0.35">
      <c r="A202" s="6" t="s">
        <v>759</v>
      </c>
      <c r="B202" s="6">
        <f>'Results - raw data ReCiPe (E)'!C70</f>
        <v>0</v>
      </c>
      <c r="C202" s="6">
        <f>'Results - raw data ReCiPe (E)'!D70</f>
        <v>0</v>
      </c>
      <c r="D202" s="6">
        <f>'Results - raw data ReCiPe (E)'!E70</f>
        <v>0</v>
      </c>
      <c r="E202" s="6">
        <f>'Results - raw data ReCiPe (E)'!F70</f>
        <v>0</v>
      </c>
      <c r="F202" s="6">
        <f>'Results - raw data ReCiPe (E)'!G70</f>
        <v>0</v>
      </c>
      <c r="G202" s="6">
        <f>'Results - raw data ReCiPe (E)'!H70</f>
        <v>0</v>
      </c>
      <c r="H202" s="6">
        <f>'Results - raw data ReCiPe (E)'!I70</f>
        <v>0</v>
      </c>
      <c r="I202" s="6">
        <f>'Results - raw data ReCiPe (E)'!J70</f>
        <v>0</v>
      </c>
      <c r="J202" s="6">
        <f>'Results - raw data ReCiPe (E)'!K70</f>
        <v>0</v>
      </c>
      <c r="K202" s="6">
        <f>'Results - raw data ReCiPe (E)'!L70</f>
        <v>0</v>
      </c>
      <c r="L202" s="6">
        <f>'Results - raw data ReCiPe (E)'!M70</f>
        <v>0</v>
      </c>
      <c r="M202" s="6">
        <f>'Results - raw data ReCiPe (E)'!N70</f>
        <v>0</v>
      </c>
      <c r="N202" s="6">
        <f>'Results - raw data ReCiPe (E)'!O70</f>
        <v>0</v>
      </c>
      <c r="O202" s="6">
        <f>'Results - raw data ReCiPe (E)'!P70</f>
        <v>0</v>
      </c>
      <c r="P202" s="6">
        <f>'Results - raw data ReCiPe (E)'!Q70</f>
        <v>0</v>
      </c>
      <c r="Q202" s="6">
        <f>'Results - raw data ReCiPe (E)'!R70</f>
        <v>0</v>
      </c>
      <c r="R202" s="6">
        <f>'Results - raw data ReCiPe (E)'!S70</f>
        <v>0</v>
      </c>
      <c r="S202" s="6">
        <f>'Results - raw data ReCiPe (E)'!T70</f>
        <v>0</v>
      </c>
      <c r="T202" s="6">
        <f>'Results - raw data ReCiPe (E)'!U70</f>
        <v>0</v>
      </c>
      <c r="U202" s="6">
        <f>'Results - raw data ReCiPe (E)'!V70</f>
        <v>0</v>
      </c>
      <c r="V202" s="6">
        <f>'Results - raw data ReCiPe (E)'!W70</f>
        <v>0</v>
      </c>
      <c r="W202" s="6">
        <f>'Results - raw data ReCiPe (E)'!X70</f>
        <v>0</v>
      </c>
      <c r="X202" s="6">
        <f>'Results - raw data ReCiPe (E)'!Y70</f>
        <v>0</v>
      </c>
      <c r="Y202" s="6">
        <f>'Results - raw data ReCiPe (E)'!Z70</f>
        <v>0</v>
      </c>
      <c r="Z202" s="6">
        <f>'Results - raw data ReCiPe (E)'!AA70</f>
        <v>0</v>
      </c>
    </row>
    <row r="203" spans="1:53" outlineLevel="1" x14ac:dyDescent="0.35">
      <c r="A203" s="6" t="s">
        <v>760</v>
      </c>
      <c r="B203" s="6">
        <f>150000*($AC$170*'Results - raw data ReCiPe (E)'!C121+(1-'Results ReCiPe (E) - HHD'!$AC$170)*'Results - raw data ReCiPe (E)'!C122)</f>
        <v>2.1604077240480404</v>
      </c>
      <c r="C203" s="6">
        <f>150000*($AC$170*'Results - raw data ReCiPe (E)'!D121+(1-'Results ReCiPe (E) - HHD'!$AC$170)*'Results - raw data ReCiPe (E)'!D122)</f>
        <v>2.0106721839032664</v>
      </c>
      <c r="D203" s="6">
        <f>150000*($AC$170*'Results - raw data ReCiPe (E)'!E121+(1-'Results ReCiPe (E) - HHD'!$AC$170)*'Results - raw data ReCiPe (E)'!E122)</f>
        <v>1.8608020702576202</v>
      </c>
      <c r="E203" s="6">
        <f>150000*($AC$170*'Results - raw data ReCiPe (E)'!F121+(1-'Results ReCiPe (E) - HHD'!$AC$170)*'Results - raw data ReCiPe (E)'!F122)</f>
        <v>1.7111027996621953</v>
      </c>
      <c r="F203" s="6">
        <f>150000*($AC$170*'Results - raw data ReCiPe (E)'!G121+(1-'Results ReCiPe (E) - HHD'!$AC$170)*'Results - raw data ReCiPe (E)'!G122)</f>
        <v>1.560968595895031</v>
      </c>
      <c r="G203" s="6">
        <f>150000*($AC$170*'Results - raw data ReCiPe (E)'!H121+(1-'Results ReCiPe (E) - HHD'!$AC$170)*'Results - raw data ReCiPe (E)'!H122)</f>
        <v>1.4106894684942946</v>
      </c>
      <c r="H203" s="6">
        <f>150000*($AC$170*'Results - raw data ReCiPe (E)'!I121+(1-'Results ReCiPe (E) - HHD'!$AC$170)*'Results - raw data ReCiPe (E)'!I122)</f>
        <v>1.3557107874702083</v>
      </c>
      <c r="I203" s="6">
        <f>150000*($AC$170*'Results - raw data ReCiPe (E)'!J121+(1-'Results ReCiPe (E) - HHD'!$AC$170)*'Results - raw data ReCiPe (E)'!J122)</f>
        <v>1.3009939168117279</v>
      </c>
      <c r="J203" s="6">
        <f>150000*($AC$170*'Results - raw data ReCiPe (E)'!K121+(1-'Results ReCiPe (E) - HHD'!$AC$170)*'Results - raw data ReCiPe (E)'!K122)</f>
        <v>1.2469274815087945</v>
      </c>
      <c r="K203" s="6">
        <f>150000*($AC$170*'Results - raw data ReCiPe (E)'!L121+(1-'Results ReCiPe (E) - HHD'!$AC$170)*'Results - raw data ReCiPe (E)'!L122)</f>
        <v>1.1924814826139896</v>
      </c>
      <c r="L203" s="6">
        <f>150000*($AC$170*'Results - raw data ReCiPe (E)'!M121+(1-'Results ReCiPe (E) - HHD'!$AC$170)*'Results - raw data ReCiPe (E)'!M122)</f>
        <v>1.1380996475297085</v>
      </c>
      <c r="M203" s="6">
        <f>150000*($AC$170*'Results - raw data ReCiPe (E)'!N121+(1-'Results ReCiPe (E) - HHD'!$AC$170)*'Results - raw data ReCiPe (E)'!N122)</f>
        <v>1.1225234081703899</v>
      </c>
      <c r="N203" s="6">
        <f>150000*($AC$170*'Results - raw data ReCiPe (E)'!O121+(1-'Results ReCiPe (E) - HHD'!$AC$170)*'Results - raw data ReCiPe (E)'!O122)</f>
        <v>1.1069345990408685</v>
      </c>
      <c r="O203" s="6">
        <f>150000*($AC$170*'Results - raw data ReCiPe (E)'!P121+(1-'Results ReCiPe (E) - HHD'!$AC$170)*'Results - raw data ReCiPe (E)'!P122)</f>
        <v>1.0916424136438587</v>
      </c>
      <c r="P203" s="6">
        <f>150000*($AC$170*'Results - raw data ReCiPe (E)'!Q121+(1-'Results ReCiPe (E) - HHD'!$AC$170)*'Results - raw data ReCiPe (E)'!Q122)</f>
        <v>1.07596384741745</v>
      </c>
      <c r="Q203" s="6">
        <f>150000*($AC$170*'Results - raw data ReCiPe (E)'!R121+(1-'Results ReCiPe (E) - HHD'!$AC$170)*'Results - raw data ReCiPe (E)'!R122)</f>
        <v>1.0602168552742655</v>
      </c>
      <c r="R203" s="6">
        <f>150000*($AC$170*'Results - raw data ReCiPe (E)'!S121+(1-'Results ReCiPe (E) - HHD'!$AC$170)*'Results - raw data ReCiPe (E)'!S122)</f>
        <v>1.0673320221656624</v>
      </c>
      <c r="S203" s="6">
        <f>150000*($AC$170*'Results - raw data ReCiPe (E)'!T121+(1-'Results ReCiPe (E) - HHD'!$AC$170)*'Results - raw data ReCiPe (E)'!T122)</f>
        <v>1.0744033676233886</v>
      </c>
      <c r="T203" s="6">
        <f>150000*($AC$170*'Results - raw data ReCiPe (E)'!U121+(1-'Results ReCiPe (E) - HHD'!$AC$170)*'Results - raw data ReCiPe (E)'!U122)</f>
        <v>1.0816456737452889</v>
      </c>
      <c r="U203" s="6">
        <f>150000*($AC$170*'Results - raw data ReCiPe (E)'!V121+(1-'Results ReCiPe (E) - HHD'!$AC$170)*'Results - raw data ReCiPe (E)'!V122)</f>
        <v>1.088620792405826</v>
      </c>
      <c r="V203" s="6">
        <f>150000*($AC$170*'Results - raw data ReCiPe (E)'!W121+(1-'Results ReCiPe (E) - HHD'!$AC$170)*'Results - raw data ReCiPe (E)'!W122)</f>
        <v>1.0955455277657753</v>
      </c>
      <c r="W203" s="6">
        <f>150000*($AC$170*'Results - raw data ReCiPe (E)'!X121+(1-'Results ReCiPe (E) - HHD'!$AC$170)*'Results - raw data ReCiPe (E)'!X122)</f>
        <v>1.1014174295355212</v>
      </c>
      <c r="X203" s="6">
        <f>150000*($AC$170*'Results - raw data ReCiPe (E)'!Y121+(1-'Results ReCiPe (E) - HHD'!$AC$170)*'Results - raw data ReCiPe (E)'!Y122)</f>
        <v>1.1070849179665199</v>
      </c>
      <c r="Y203" s="6">
        <f>150000*($AC$170*'Results - raw data ReCiPe (E)'!Z121+(1-'Results ReCiPe (E) - HHD'!$AC$170)*'Results - raw data ReCiPe (E)'!Z122)</f>
        <v>1.1127803227661135</v>
      </c>
      <c r="Z203" s="6">
        <f>150000*($AC$170*'Results - raw data ReCiPe (E)'!AA121+(1-'Results ReCiPe (E) - HHD'!$AC$170)*'Results - raw data ReCiPe (E)'!AA122)</f>
        <v>1.1185010127997319</v>
      </c>
    </row>
    <row r="204" spans="1:53" outlineLevel="1" x14ac:dyDescent="0.35">
      <c r="A204" s="23" t="s">
        <v>125</v>
      </c>
      <c r="B204" s="17">
        <f>SUM(B173:B203)</f>
        <v>18.373601493267145</v>
      </c>
      <c r="C204" s="17">
        <f t="shared" ref="C204:Z204" si="24">SUM(C173:C203)</f>
        <v>2.4764503587938931</v>
      </c>
      <c r="D204" s="17">
        <f t="shared" si="24"/>
        <v>2.3110933001760485</v>
      </c>
      <c r="E204" s="17">
        <f t="shared" si="24"/>
        <v>2.1460115817793217</v>
      </c>
      <c r="F204" s="17">
        <f t="shared" si="24"/>
        <v>1.9804886811439273</v>
      </c>
      <c r="G204" s="17">
        <f t="shared" si="24"/>
        <v>1.8148692054424842</v>
      </c>
      <c r="H204" s="17">
        <f t="shared" si="24"/>
        <v>1.7539750766080302</v>
      </c>
      <c r="I204" s="17">
        <f t="shared" si="24"/>
        <v>1.6933707175252173</v>
      </c>
      <c r="J204" s="17">
        <f t="shared" si="24"/>
        <v>1.6335676346881582</v>
      </c>
      <c r="K204" s="17">
        <f t="shared" si="24"/>
        <v>1.5732695213597276</v>
      </c>
      <c r="L204" s="17">
        <f t="shared" si="24"/>
        <v>1.513047044424275</v>
      </c>
      <c r="M204" s="17">
        <f t="shared" si="24"/>
        <v>1.4953978741885496</v>
      </c>
      <c r="N204" s="17">
        <f t="shared" si="24"/>
        <v>1.4777360101545096</v>
      </c>
      <c r="O204" s="17">
        <f t="shared" si="24"/>
        <v>1.4604568294199918</v>
      </c>
      <c r="P204" s="17">
        <f t="shared" si="24"/>
        <v>1.4426993562717954</v>
      </c>
      <c r="Q204" s="17">
        <f t="shared" si="24"/>
        <v>1.4248684255043698</v>
      </c>
      <c r="R204" s="17">
        <f t="shared" si="24"/>
        <v>1.4321234454118752</v>
      </c>
      <c r="S204" s="17">
        <f t="shared" si="24"/>
        <v>1.4393374378612527</v>
      </c>
      <c r="T204" s="17">
        <f t="shared" si="24"/>
        <v>1.4467809394245248</v>
      </c>
      <c r="U204" s="17">
        <f t="shared" si="24"/>
        <v>1.4539033556368122</v>
      </c>
      <c r="V204" s="17">
        <f t="shared" si="24"/>
        <v>1.4609772626959678</v>
      </c>
      <c r="W204" s="17">
        <f t="shared" si="24"/>
        <v>1.4675224813447929</v>
      </c>
      <c r="X204" s="17">
        <f t="shared" si="24"/>
        <v>1.4738298989952121</v>
      </c>
      <c r="Y204" s="17">
        <f t="shared" si="24"/>
        <v>1.4801668825505874</v>
      </c>
      <c r="Z204" s="17">
        <f t="shared" si="24"/>
        <v>1.6138927204267344</v>
      </c>
    </row>
    <row r="205" spans="1:53" outlineLevel="1" x14ac:dyDescent="0.35"/>
    <row r="206" spans="1:53" s="18" customFormat="1" ht="21" x14ac:dyDescent="0.5">
      <c r="A206" s="18" t="s">
        <v>94</v>
      </c>
    </row>
    <row r="207" spans="1:53" s="20" customFormat="1" outlineLevel="1" x14ac:dyDescent="0.35">
      <c r="A207" s="19" t="s">
        <v>766</v>
      </c>
    </row>
    <row r="208" spans="1:53" s="16" customFormat="1" outlineLevel="1" x14ac:dyDescent="0.35">
      <c r="A208" s="21"/>
      <c r="AB208" s="16" t="s">
        <v>47</v>
      </c>
      <c r="AC208" s="16">
        <v>1.2500000000000001E-5</v>
      </c>
      <c r="AD208" s="16" t="s">
        <v>48</v>
      </c>
      <c r="AE208" s="15" t="s">
        <v>714</v>
      </c>
    </row>
    <row r="209" spans="1:53" s="16" customFormat="1" outlineLevel="1" x14ac:dyDescent="0.35">
      <c r="A209" s="22" t="s">
        <v>564</v>
      </c>
      <c r="AC209" s="16">
        <f>AC208*1000</f>
        <v>1.2500000000000001E-2</v>
      </c>
      <c r="AD209" s="16" t="s">
        <v>126</v>
      </c>
    </row>
    <row r="210" spans="1:53" s="16" customFormat="1" outlineLevel="1" x14ac:dyDescent="0.35">
      <c r="A210" s="22"/>
      <c r="AB210" s="16" t="s">
        <v>127</v>
      </c>
      <c r="AC210" s="16">
        <v>100</v>
      </c>
      <c r="AD210" s="16" t="s">
        <v>128</v>
      </c>
    </row>
    <row r="211" spans="1:53" s="16" customFormat="1" outlineLevel="1" x14ac:dyDescent="0.35">
      <c r="A211" s="230" t="s">
        <v>768</v>
      </c>
      <c r="AB211" s="16" t="s">
        <v>20</v>
      </c>
      <c r="AC211" s="16">
        <v>0.23</v>
      </c>
      <c r="AD211" s="16" t="s">
        <v>715</v>
      </c>
    </row>
    <row r="212" spans="1:53" s="16" customFormat="1" outlineLevel="1" x14ac:dyDescent="0.35">
      <c r="A212" s="22"/>
      <c r="AB212" s="16" t="s">
        <v>129</v>
      </c>
      <c r="AC212" s="16">
        <v>25</v>
      </c>
      <c r="AD212" s="16" t="s">
        <v>130</v>
      </c>
    </row>
    <row r="213" spans="1:53" outlineLevel="1" x14ac:dyDescent="0.35">
      <c r="B213" s="25">
        <v>2030</v>
      </c>
      <c r="C213" s="25">
        <v>2031</v>
      </c>
      <c r="D213" s="25">
        <v>2032</v>
      </c>
      <c r="E213" s="25">
        <v>2033</v>
      </c>
      <c r="F213" s="25">
        <v>2034</v>
      </c>
      <c r="G213" s="25">
        <v>2035</v>
      </c>
      <c r="H213" s="25">
        <v>2036</v>
      </c>
      <c r="I213" s="25">
        <v>2037</v>
      </c>
      <c r="J213" s="25">
        <v>2038</v>
      </c>
      <c r="K213" s="25">
        <v>2039</v>
      </c>
      <c r="L213" s="25">
        <v>2040</v>
      </c>
      <c r="M213" s="25">
        <v>2041</v>
      </c>
      <c r="N213" s="25">
        <v>2042</v>
      </c>
      <c r="O213" s="25">
        <v>2043</v>
      </c>
      <c r="P213" s="25">
        <v>2044</v>
      </c>
      <c r="Q213" s="25">
        <v>2045</v>
      </c>
      <c r="R213" s="25">
        <v>2046</v>
      </c>
      <c r="S213" s="25">
        <v>2047</v>
      </c>
      <c r="T213" s="25">
        <v>2048</v>
      </c>
      <c r="U213" s="25">
        <v>2049</v>
      </c>
      <c r="V213" s="25">
        <v>2050</v>
      </c>
      <c r="W213" s="25">
        <v>2051</v>
      </c>
      <c r="X213" s="25">
        <v>2052</v>
      </c>
      <c r="Y213" s="25">
        <v>2053</v>
      </c>
      <c r="Z213" s="25">
        <v>2054</v>
      </c>
      <c r="AC213" s="25">
        <v>2030</v>
      </c>
      <c r="AD213" s="25">
        <v>2031</v>
      </c>
      <c r="AE213" s="25">
        <v>2032</v>
      </c>
      <c r="AF213" s="25">
        <v>2033</v>
      </c>
      <c r="AG213" s="25">
        <v>2034</v>
      </c>
      <c r="AH213" s="25">
        <v>2035</v>
      </c>
      <c r="AI213" s="25">
        <v>2036</v>
      </c>
      <c r="AJ213" s="25">
        <v>2037</v>
      </c>
      <c r="AK213" s="25">
        <v>2038</v>
      </c>
      <c r="AL213" s="25">
        <v>2039</v>
      </c>
      <c r="AM213" s="25">
        <v>2040</v>
      </c>
      <c r="AN213" s="25">
        <v>2041</v>
      </c>
      <c r="AO213" s="25">
        <v>2042</v>
      </c>
      <c r="AP213" s="25">
        <v>2043</v>
      </c>
      <c r="AQ213" s="25">
        <v>2044</v>
      </c>
      <c r="AR213" s="25">
        <v>2045</v>
      </c>
      <c r="AS213" s="25">
        <v>2046</v>
      </c>
      <c r="AT213" s="25">
        <v>2047</v>
      </c>
      <c r="AU213" s="25">
        <v>2048</v>
      </c>
      <c r="AV213" s="25">
        <v>2049</v>
      </c>
      <c r="AW213" s="25">
        <v>2050</v>
      </c>
      <c r="AX213" s="25">
        <v>2051</v>
      </c>
      <c r="AY213" s="25">
        <v>2052</v>
      </c>
      <c r="AZ213" s="25">
        <v>2053</v>
      </c>
      <c r="BA213" s="25">
        <v>2054</v>
      </c>
    </row>
    <row r="214" spans="1:53" outlineLevel="1" x14ac:dyDescent="0.35">
      <c r="A214" s="6" t="s">
        <v>21</v>
      </c>
      <c r="B214" s="6">
        <f>'Results - raw data ReCiPe (E)'!C77</f>
        <v>0.2008445742562068</v>
      </c>
      <c r="AB214" s="6" t="s">
        <v>117</v>
      </c>
      <c r="AC214" s="6">
        <f>SUM(B214:B225)+B227</f>
        <v>14.738379245035386</v>
      </c>
    </row>
    <row r="215" spans="1:53" outlineLevel="1" x14ac:dyDescent="0.35">
      <c r="A215" s="6" t="s">
        <v>23</v>
      </c>
      <c r="B215" s="6">
        <f>'Results - raw data ReCiPe (E)'!C78</f>
        <v>0.4525701334741718</v>
      </c>
      <c r="AB215" s="6" t="s">
        <v>118</v>
      </c>
      <c r="AC215" s="6">
        <f>B226</f>
        <v>0.55066196758672803</v>
      </c>
    </row>
    <row r="216" spans="1:53" outlineLevel="1" x14ac:dyDescent="0.35">
      <c r="A216" s="6" t="s">
        <v>26</v>
      </c>
      <c r="B216" s="6">
        <f>'Results - raw data ReCiPe (E)'!C79</f>
        <v>0.84951763224515786</v>
      </c>
      <c r="AB216" s="6" t="s">
        <v>119</v>
      </c>
      <c r="BA216" s="6">
        <f>SUM(Z228:Z239)</f>
        <v>0.12481721799143849</v>
      </c>
    </row>
    <row r="217" spans="1:53" outlineLevel="1" x14ac:dyDescent="0.35">
      <c r="A217" s="6" t="s">
        <v>28</v>
      </c>
      <c r="B217" s="6">
        <f>'Results - raw data ReCiPe (E)'!C80</f>
        <v>0.81642773406770175</v>
      </c>
      <c r="AB217" s="6" t="s">
        <v>120</v>
      </c>
      <c r="BA217" s="6">
        <f>Z240</f>
        <v>1.7885085635986353E-3</v>
      </c>
    </row>
    <row r="218" spans="1:53" outlineLevel="1" x14ac:dyDescent="0.35">
      <c r="A218" s="6" t="s">
        <v>29</v>
      </c>
      <c r="B218" s="6">
        <f>'Results - raw data ReCiPe (E)'!C81</f>
        <v>0.89483995377265024</v>
      </c>
      <c r="AB218" s="6" t="s">
        <v>121</v>
      </c>
      <c r="AC218" s="6">
        <f>B241</f>
        <v>0.13898838933965599</v>
      </c>
      <c r="AF218" s="6">
        <f>E241</f>
        <v>0.13744187952975451</v>
      </c>
      <c r="AI218" s="6">
        <f>H241</f>
        <v>0.13624222837857081</v>
      </c>
      <c r="AL218" s="6">
        <f>K241</f>
        <v>0.1360862547056324</v>
      </c>
      <c r="AO218" s="6">
        <f>N241</f>
        <v>0.13609653546799161</v>
      </c>
      <c r="AR218" s="6">
        <f>Q241</f>
        <v>0.13629232675839831</v>
      </c>
      <c r="AU218" s="6">
        <f>T241</f>
        <v>0.1362868893052214</v>
      </c>
      <c r="AX218" s="6">
        <f>W241</f>
        <v>0.1362693875750155</v>
      </c>
      <c r="BA218" s="6">
        <f>Z241</f>
        <v>0.13626815075790319</v>
      </c>
    </row>
    <row r="219" spans="1:53" outlineLevel="1" x14ac:dyDescent="0.35">
      <c r="A219" s="6" t="s">
        <v>31</v>
      </c>
      <c r="B219" s="6">
        <f>'Results - raw data ReCiPe (E)'!C82</f>
        <v>0.57438065398035343</v>
      </c>
      <c r="AB219" s="6" t="s">
        <v>122</v>
      </c>
      <c r="AC219" s="6">
        <f>B244+B243</f>
        <v>1.229489334904456</v>
      </c>
      <c r="AD219" s="6">
        <f t="shared" ref="AD219:BA219" si="25">C244+C243</f>
        <v>1.1791958110607643</v>
      </c>
      <c r="AE219" s="6">
        <f t="shared" si="25"/>
        <v>1.1286352451848003</v>
      </c>
      <c r="AF219" s="6">
        <f t="shared" si="25"/>
        <v>1.0781319415883399</v>
      </c>
      <c r="AG219" s="6">
        <f t="shared" si="25"/>
        <v>1.0269494668446761</v>
      </c>
      <c r="AH219" s="6">
        <f t="shared" si="25"/>
        <v>0.97546310641825584</v>
      </c>
      <c r="AI219" s="6">
        <f t="shared" si="25"/>
        <v>0.9742225067712833</v>
      </c>
      <c r="AJ219" s="6">
        <f t="shared" si="25"/>
        <v>0.97303390395430045</v>
      </c>
      <c r="AK219" s="6">
        <f t="shared" si="25"/>
        <v>0.97254418877538651</v>
      </c>
      <c r="AL219" s="6">
        <f t="shared" si="25"/>
        <v>0.97141362525418118</v>
      </c>
      <c r="AM219" s="6">
        <f t="shared" si="25"/>
        <v>0.97027335501280987</v>
      </c>
      <c r="AN219" s="6">
        <f t="shared" si="25"/>
        <v>0.96706780411037296</v>
      </c>
      <c r="AO219" s="6">
        <f t="shared" si="25"/>
        <v>0.96396691353389541</v>
      </c>
      <c r="AP219" s="6">
        <f t="shared" si="25"/>
        <v>0.96138367658592128</v>
      </c>
      <c r="AQ219" s="6">
        <f t="shared" si="25"/>
        <v>0.958400138417833</v>
      </c>
      <c r="AR219" s="6">
        <f t="shared" si="25"/>
        <v>0.9554503946177213</v>
      </c>
      <c r="AS219" s="6">
        <f t="shared" si="25"/>
        <v>0.96377662000720465</v>
      </c>
      <c r="AT219" s="6">
        <f t="shared" si="25"/>
        <v>0.97203032249541876</v>
      </c>
      <c r="AU219" s="6">
        <f t="shared" si="25"/>
        <v>0.98049842993224279</v>
      </c>
      <c r="AV219" s="6">
        <f t="shared" si="25"/>
        <v>0.98861231153492413</v>
      </c>
      <c r="AW219" s="6">
        <f t="shared" si="25"/>
        <v>0.99666250668507483</v>
      </c>
      <c r="AX219" s="6">
        <f t="shared" si="25"/>
        <v>0.99679125637163746</v>
      </c>
      <c r="AY219" s="6">
        <f t="shared" si="25"/>
        <v>0.99667432423016744</v>
      </c>
      <c r="AZ219" s="6">
        <f t="shared" si="25"/>
        <v>0.99656408737953184</v>
      </c>
      <c r="BA219" s="6">
        <f t="shared" si="25"/>
        <v>0.99645785639792517</v>
      </c>
    </row>
    <row r="220" spans="1:53" outlineLevel="1" x14ac:dyDescent="0.35">
      <c r="A220" s="6" t="s">
        <v>34</v>
      </c>
      <c r="B220" s="6">
        <f>'Results - raw data ReCiPe (E)'!C83</f>
        <v>0.50709268114645889</v>
      </c>
      <c r="AB220" s="6" t="s">
        <v>123</v>
      </c>
      <c r="AC220" s="6">
        <f>B242</f>
        <v>0.2417809387795547</v>
      </c>
      <c r="AD220" s="6">
        <f t="shared" ref="AD220:BA220" si="26">C242</f>
        <v>0.23705729033863418</v>
      </c>
      <c r="AE220" s="6">
        <f t="shared" si="26"/>
        <v>0.23233720055531518</v>
      </c>
      <c r="AF220" s="6">
        <f t="shared" si="26"/>
        <v>0.22765552006383027</v>
      </c>
      <c r="AG220" s="6">
        <f t="shared" si="26"/>
        <v>0.22293692659926032</v>
      </c>
      <c r="AH220" s="6">
        <f t="shared" si="26"/>
        <v>0.21821871908375601</v>
      </c>
      <c r="AI220" s="6">
        <f t="shared" si="26"/>
        <v>0.2183328752610379</v>
      </c>
      <c r="AJ220" s="6">
        <f t="shared" si="26"/>
        <v>0.2184454726271664</v>
      </c>
      <c r="AK220" s="6">
        <f t="shared" si="26"/>
        <v>0.2186197885807338</v>
      </c>
      <c r="AL220" s="6">
        <f t="shared" si="26"/>
        <v>0.21872848466727821</v>
      </c>
      <c r="AM220" s="6">
        <f t="shared" si="26"/>
        <v>0.21883249764689899</v>
      </c>
      <c r="AN220" s="6">
        <f t="shared" si="26"/>
        <v>0.21841557921298049</v>
      </c>
      <c r="AO220" s="6">
        <f t="shared" si="26"/>
        <v>0.21800506941521089</v>
      </c>
      <c r="AP220" s="6">
        <f t="shared" si="26"/>
        <v>0.21764066730740861</v>
      </c>
      <c r="AQ220" s="6">
        <f t="shared" si="26"/>
        <v>0.21723706665984091</v>
      </c>
      <c r="AR220" s="6">
        <f t="shared" si="26"/>
        <v>0.21683545808110291</v>
      </c>
      <c r="AS220" s="6">
        <f t="shared" si="26"/>
        <v>0.2170606194781684</v>
      </c>
      <c r="AT220" s="6">
        <f t="shared" si="26"/>
        <v>0.21728945931437202</v>
      </c>
      <c r="AU220" s="6">
        <f t="shared" si="26"/>
        <v>0.21754875047075201</v>
      </c>
      <c r="AV220" s="6">
        <f t="shared" si="26"/>
        <v>0.2177852629463648</v>
      </c>
      <c r="AW220" s="6">
        <f t="shared" si="26"/>
        <v>0.21802574197248531</v>
      </c>
      <c r="AX220" s="6">
        <f t="shared" si="26"/>
        <v>0.21817145768362151</v>
      </c>
      <c r="AY220" s="6">
        <f t="shared" si="26"/>
        <v>0.21829169710501409</v>
      </c>
      <c r="AZ220" s="6">
        <f t="shared" si="26"/>
        <v>0.21841282227465422</v>
      </c>
      <c r="BA220" s="6">
        <f t="shared" si="26"/>
        <v>0.21853442335682399</v>
      </c>
    </row>
    <row r="221" spans="1:53" outlineLevel="1" x14ac:dyDescent="0.35">
      <c r="A221" s="6" t="s">
        <v>36</v>
      </c>
      <c r="B221" s="6">
        <f>'Results - raw data ReCiPe (E)'!C84</f>
        <v>0.36772710336827552</v>
      </c>
      <c r="AB221" s="6" t="s">
        <v>124</v>
      </c>
      <c r="AC221" s="6">
        <f>-$AC$7*$AC$6</f>
        <v>-1.25</v>
      </c>
      <c r="AD221" s="6">
        <f t="shared" ref="AD221:BA221" si="27">-$AC$7*$AC$6</f>
        <v>-1.25</v>
      </c>
      <c r="AE221" s="6">
        <f t="shared" si="27"/>
        <v>-1.25</v>
      </c>
      <c r="AF221" s="6">
        <f t="shared" si="27"/>
        <v>-1.25</v>
      </c>
      <c r="AG221" s="6">
        <f t="shared" si="27"/>
        <v>-1.25</v>
      </c>
      <c r="AH221" s="6">
        <f t="shared" si="27"/>
        <v>-1.25</v>
      </c>
      <c r="AI221" s="6">
        <f t="shared" si="27"/>
        <v>-1.25</v>
      </c>
      <c r="AJ221" s="6">
        <f t="shared" si="27"/>
        <v>-1.25</v>
      </c>
      <c r="AK221" s="6">
        <f t="shared" si="27"/>
        <v>-1.25</v>
      </c>
      <c r="AL221" s="6">
        <f t="shared" si="27"/>
        <v>-1.25</v>
      </c>
      <c r="AM221" s="6">
        <f t="shared" si="27"/>
        <v>-1.25</v>
      </c>
      <c r="AN221" s="6">
        <f t="shared" si="27"/>
        <v>-1.25</v>
      </c>
      <c r="AO221" s="6">
        <f t="shared" si="27"/>
        <v>-1.25</v>
      </c>
      <c r="AP221" s="6">
        <f t="shared" si="27"/>
        <v>-1.25</v>
      </c>
      <c r="AQ221" s="6">
        <f t="shared" si="27"/>
        <v>-1.25</v>
      </c>
      <c r="AR221" s="6">
        <f t="shared" si="27"/>
        <v>-1.25</v>
      </c>
      <c r="AS221" s="6">
        <f t="shared" si="27"/>
        <v>-1.25</v>
      </c>
      <c r="AT221" s="6">
        <f t="shared" si="27"/>
        <v>-1.25</v>
      </c>
      <c r="AU221" s="6">
        <f t="shared" si="27"/>
        <v>-1.25</v>
      </c>
      <c r="AV221" s="6">
        <f t="shared" si="27"/>
        <v>-1.25</v>
      </c>
      <c r="AW221" s="6">
        <f t="shared" si="27"/>
        <v>-1.25</v>
      </c>
      <c r="AX221" s="6">
        <f t="shared" si="27"/>
        <v>-1.25</v>
      </c>
      <c r="AY221" s="6">
        <f t="shared" si="27"/>
        <v>-1.25</v>
      </c>
      <c r="AZ221" s="6">
        <f t="shared" si="27"/>
        <v>-1.25</v>
      </c>
      <c r="BA221" s="6">
        <f t="shared" si="27"/>
        <v>-1.25</v>
      </c>
    </row>
    <row r="222" spans="1:53" outlineLevel="1" x14ac:dyDescent="0.35">
      <c r="A222" s="6" t="s">
        <v>38</v>
      </c>
      <c r="B222" s="6">
        <f>'Results - raw data ReCiPe (E)'!C85</f>
        <v>1.0056262534197029</v>
      </c>
      <c r="AB222" s="23" t="s">
        <v>125</v>
      </c>
      <c r="AC222" s="17">
        <f>SUM(AC214:AC221)</f>
        <v>15.649299875645784</v>
      </c>
      <c r="AD222" s="17">
        <f t="shared" ref="AD222:BA222" si="28">SUM(AD214:AD221)</f>
        <v>0.16625310139939842</v>
      </c>
      <c r="AE222" s="17">
        <f t="shared" si="28"/>
        <v>0.11097244574011556</v>
      </c>
      <c r="AF222" s="17">
        <f t="shared" si="28"/>
        <v>0.19322934118192459</v>
      </c>
      <c r="AG222" s="17">
        <f t="shared" si="28"/>
        <v>-1.1360655606362791E-4</v>
      </c>
      <c r="AH222" s="17">
        <f t="shared" si="28"/>
        <v>-5.6318174497988149E-2</v>
      </c>
      <c r="AI222" s="17">
        <f t="shared" si="28"/>
        <v>7.8797610410892061E-2</v>
      </c>
      <c r="AJ222" s="17">
        <f t="shared" si="28"/>
        <v>-5.8520623418533146E-2</v>
      </c>
      <c r="AK222" s="17">
        <f t="shared" si="28"/>
        <v>-5.8836022643879771E-2</v>
      </c>
      <c r="AL222" s="17">
        <f t="shared" si="28"/>
        <v>7.6228364627091816E-2</v>
      </c>
      <c r="AM222" s="17">
        <f t="shared" si="28"/>
        <v>-6.0894147340291083E-2</v>
      </c>
      <c r="AN222" s="17">
        <f t="shared" si="28"/>
        <v>-6.4516616676646432E-2</v>
      </c>
      <c r="AO222" s="17">
        <f t="shared" si="28"/>
        <v>6.8068518417097934E-2</v>
      </c>
      <c r="AP222" s="17">
        <f t="shared" si="28"/>
        <v>-7.0975656106670115E-2</v>
      </c>
      <c r="AQ222" s="17">
        <f t="shared" si="28"/>
        <v>-7.4362794922326003E-2</v>
      </c>
      <c r="AR222" s="17">
        <f t="shared" si="28"/>
        <v>5.8578179457222657E-2</v>
      </c>
      <c r="AS222" s="17">
        <f t="shared" si="28"/>
        <v>-6.9162760514626997E-2</v>
      </c>
      <c r="AT222" s="17">
        <f t="shared" si="28"/>
        <v>-6.0680218190209301E-2</v>
      </c>
      <c r="AU222" s="17">
        <f t="shared" si="28"/>
        <v>8.4334069708216219E-2</v>
      </c>
      <c r="AV222" s="17">
        <f t="shared" si="28"/>
        <v>-4.3602425518711074E-2</v>
      </c>
      <c r="AW222" s="17">
        <f t="shared" si="28"/>
        <v>-3.5311751342439912E-2</v>
      </c>
      <c r="AX222" s="17">
        <f t="shared" si="28"/>
        <v>0.10123210163027441</v>
      </c>
      <c r="AY222" s="17">
        <f t="shared" si="28"/>
        <v>-3.5033978664818388E-2</v>
      </c>
      <c r="AZ222" s="17">
        <f t="shared" si="28"/>
        <v>-3.5023090345813968E-2</v>
      </c>
      <c r="BA222" s="17">
        <f t="shared" si="28"/>
        <v>0.22786615706768942</v>
      </c>
    </row>
    <row r="223" spans="1:53" outlineLevel="1" x14ac:dyDescent="0.35">
      <c r="A223" s="6" t="s">
        <v>39</v>
      </c>
      <c r="B223" s="6">
        <f>'Results - raw data ReCiPe (E)'!C86</f>
        <v>8.293874601762008</v>
      </c>
    </row>
    <row r="224" spans="1:53" outlineLevel="1" x14ac:dyDescent="0.35">
      <c r="A224" s="6" t="s">
        <v>41</v>
      </c>
      <c r="B224" s="6">
        <f>'Results - raw data ReCiPe (E)'!C87</f>
        <v>6.2903915692456673E-3</v>
      </c>
    </row>
    <row r="225" spans="1:53" outlineLevel="1" x14ac:dyDescent="0.35">
      <c r="A225" s="6" t="s">
        <v>43</v>
      </c>
      <c r="B225" s="6">
        <f>'Results - raw data ReCiPe (E)'!C88</f>
        <v>4.1510338187447218E-2</v>
      </c>
      <c r="AB225" s="219"/>
      <c r="AC225" s="219"/>
      <c r="AD225" s="219"/>
      <c r="AE225" s="219"/>
      <c r="AF225" s="219"/>
      <c r="AG225" s="219"/>
      <c r="AH225" s="219"/>
      <c r="AI225" s="219"/>
      <c r="AJ225" s="219"/>
      <c r="AK225" s="219"/>
      <c r="AL225" s="219"/>
      <c r="AM225" s="219"/>
      <c r="AN225" s="219"/>
      <c r="AO225" s="219"/>
      <c r="AP225" s="219"/>
      <c r="AQ225" s="219"/>
      <c r="AR225" s="219"/>
      <c r="AS225" s="219"/>
      <c r="AT225" s="219"/>
      <c r="AU225" s="219"/>
      <c r="AV225" s="219"/>
      <c r="AW225" s="219"/>
      <c r="AX225" s="219"/>
      <c r="AY225" s="219"/>
      <c r="AZ225" s="219"/>
      <c r="BA225" s="219"/>
    </row>
    <row r="226" spans="1:53" outlineLevel="1" x14ac:dyDescent="0.35">
      <c r="A226" s="6" t="s">
        <v>44</v>
      </c>
      <c r="B226" s="6">
        <f>'Results - raw data ReCiPe (E)'!C89*AC210*AC212</f>
        <v>0.55066196758672803</v>
      </c>
      <c r="AB226" s="219"/>
      <c r="AC226" s="219"/>
      <c r="AD226" s="219"/>
      <c r="AE226" s="219"/>
      <c r="AF226" s="219"/>
      <c r="AG226" s="219"/>
      <c r="AH226" s="219"/>
      <c r="AI226" s="219"/>
      <c r="AJ226" s="219"/>
      <c r="AK226" s="219"/>
      <c r="AL226" s="219"/>
      <c r="AM226" s="219"/>
      <c r="AN226" s="219"/>
      <c r="AO226" s="219"/>
      <c r="AP226" s="219"/>
      <c r="AQ226" s="219"/>
      <c r="AR226" s="219"/>
      <c r="AS226" s="219"/>
      <c r="AT226" s="219"/>
      <c r="AU226" s="219"/>
      <c r="AV226" s="219"/>
      <c r="AW226" s="219"/>
      <c r="AX226" s="219"/>
      <c r="AY226" s="219"/>
      <c r="AZ226" s="219"/>
      <c r="BA226" s="219"/>
    </row>
    <row r="227" spans="1:53" outlineLevel="1" x14ac:dyDescent="0.35">
      <c r="A227" s="6" t="s">
        <v>757</v>
      </c>
      <c r="B227" s="6">
        <f>'Results - raw data ReCiPe (E)'!C90*AC210*AC212</f>
        <v>0.72767719378600626</v>
      </c>
      <c r="AB227" s="219"/>
      <c r="AC227" s="219"/>
      <c r="AD227" s="219"/>
      <c r="AE227" s="219"/>
      <c r="AF227" s="219"/>
      <c r="AG227" s="219"/>
      <c r="AH227" s="219"/>
      <c r="AI227" s="219"/>
      <c r="AJ227" s="219"/>
      <c r="AK227" s="219"/>
      <c r="AL227" s="219"/>
      <c r="AM227" s="219"/>
      <c r="AN227" s="219"/>
      <c r="AO227" s="219"/>
      <c r="AP227" s="219"/>
      <c r="AQ227" s="219"/>
      <c r="AR227" s="219"/>
      <c r="AS227" s="219"/>
      <c r="AT227" s="219"/>
      <c r="AU227" s="219"/>
      <c r="AV227" s="219"/>
      <c r="AW227" s="219"/>
      <c r="AX227" s="219"/>
      <c r="AY227" s="219"/>
      <c r="AZ227" s="219"/>
      <c r="BA227" s="219"/>
    </row>
    <row r="228" spans="1:53" outlineLevel="1" x14ac:dyDescent="0.35">
      <c r="A228" s="6" t="s">
        <v>22</v>
      </c>
      <c r="Z228" s="6">
        <f>'Results - raw data ReCiPe (E)'!AA91</f>
        <v>1.3217091839655541E-3</v>
      </c>
      <c r="AB228" s="219"/>
      <c r="AC228" s="219"/>
      <c r="AD228" s="219"/>
      <c r="AE228" s="219"/>
      <c r="AF228" s="219"/>
      <c r="AG228" s="219"/>
      <c r="AH228" s="219"/>
      <c r="AI228" s="219"/>
      <c r="AJ228" s="219"/>
      <c r="AK228" s="219"/>
      <c r="AL228" s="219"/>
      <c r="AM228" s="219"/>
      <c r="AN228" s="219"/>
      <c r="AO228" s="219"/>
      <c r="AP228" s="219"/>
      <c r="AQ228" s="219"/>
      <c r="AR228" s="219"/>
      <c r="AS228" s="219"/>
      <c r="AT228" s="219"/>
      <c r="AU228" s="219"/>
      <c r="AV228" s="219"/>
      <c r="AW228" s="219"/>
      <c r="AX228" s="219"/>
      <c r="AY228" s="219"/>
      <c r="AZ228" s="219"/>
      <c r="BA228" s="219"/>
    </row>
    <row r="229" spans="1:53" outlineLevel="1" x14ac:dyDescent="0.35">
      <c r="A229" s="6" t="s">
        <v>24</v>
      </c>
      <c r="Z229" s="6">
        <f>'Results - raw data ReCiPe (E)'!AA92</f>
        <v>6.3585622505052202E-4</v>
      </c>
      <c r="AB229" s="219"/>
      <c r="AC229" s="219"/>
      <c r="AD229" s="219"/>
      <c r="AE229" s="219"/>
      <c r="AF229" s="219"/>
      <c r="AG229" s="219"/>
      <c r="AH229" s="219"/>
      <c r="AI229" s="219"/>
      <c r="AJ229" s="219"/>
      <c r="AK229" s="219"/>
      <c r="AL229" s="219"/>
      <c r="AM229" s="219"/>
      <c r="AN229" s="219"/>
      <c r="AO229" s="219"/>
      <c r="AP229" s="219"/>
      <c r="AQ229" s="219"/>
      <c r="AR229" s="219"/>
      <c r="AS229" s="219"/>
      <c r="AT229" s="219"/>
      <c r="AU229" s="219"/>
      <c r="AV229" s="219"/>
      <c r="AW229" s="219"/>
      <c r="AX229" s="219"/>
      <c r="AY229" s="219"/>
      <c r="AZ229" s="219"/>
      <c r="BA229" s="219"/>
    </row>
    <row r="230" spans="1:53" outlineLevel="1" x14ac:dyDescent="0.35">
      <c r="A230" s="6" t="s">
        <v>25</v>
      </c>
      <c r="Z230" s="6">
        <f>'Results - raw data ReCiPe (E)'!AA93</f>
        <v>2.0713872896946828E-3</v>
      </c>
      <c r="AB230" s="219"/>
      <c r="AC230" s="219"/>
      <c r="AD230" s="219"/>
      <c r="AE230" s="219"/>
      <c r="AF230" s="219"/>
      <c r="AG230" s="219"/>
      <c r="AH230" s="219"/>
      <c r="AI230" s="219"/>
      <c r="AJ230" s="219"/>
      <c r="AK230" s="219"/>
      <c r="AL230" s="219"/>
      <c r="AM230" s="219"/>
      <c r="AN230" s="219"/>
      <c r="AO230" s="219"/>
      <c r="AP230" s="219"/>
      <c r="AQ230" s="219"/>
      <c r="AR230" s="219"/>
      <c r="AS230" s="219"/>
      <c r="AT230" s="219"/>
      <c r="AU230" s="219"/>
      <c r="AV230" s="219"/>
      <c r="AW230" s="219"/>
      <c r="AX230" s="219"/>
      <c r="AY230" s="219"/>
      <c r="AZ230" s="219"/>
      <c r="BA230" s="219"/>
    </row>
    <row r="231" spans="1:53" outlineLevel="1" x14ac:dyDescent="0.35">
      <c r="A231" s="6" t="s">
        <v>27</v>
      </c>
      <c r="Z231" s="6">
        <f>'Results - raw data ReCiPe (E)'!AA94</f>
        <v>9.8615743966489725E-4</v>
      </c>
      <c r="AB231" s="219"/>
      <c r="AC231" s="219"/>
      <c r="AD231" s="219"/>
      <c r="AE231" s="219"/>
      <c r="AF231" s="219"/>
      <c r="AG231" s="219"/>
      <c r="AH231" s="219"/>
      <c r="AI231" s="219"/>
      <c r="AJ231" s="219"/>
      <c r="AK231" s="219"/>
      <c r="AL231" s="219"/>
      <c r="AM231" s="219"/>
      <c r="AN231" s="219"/>
      <c r="AO231" s="219"/>
      <c r="AP231" s="219"/>
      <c r="AQ231" s="219"/>
      <c r="AR231" s="219"/>
      <c r="AS231" s="219"/>
      <c r="AT231" s="219"/>
      <c r="AU231" s="219"/>
      <c r="AV231" s="219"/>
      <c r="AW231" s="219"/>
      <c r="AX231" s="219"/>
      <c r="AY231" s="219"/>
      <c r="AZ231" s="219"/>
      <c r="BA231" s="219"/>
    </row>
    <row r="232" spans="1:53" outlineLevel="1" x14ac:dyDescent="0.35">
      <c r="A232" s="6" t="s">
        <v>30</v>
      </c>
      <c r="Z232" s="6">
        <f>'Results - raw data ReCiPe (E)'!AA95</f>
        <v>1.7288481352921109E-3</v>
      </c>
      <c r="AB232" s="219"/>
      <c r="AC232" s="219"/>
      <c r="AD232" s="219"/>
      <c r="AE232" s="219"/>
      <c r="AF232" s="219"/>
      <c r="AG232" s="219"/>
      <c r="AH232" s="219"/>
      <c r="AI232" s="219"/>
      <c r="AJ232" s="219"/>
      <c r="AK232" s="219"/>
      <c r="AL232" s="219"/>
      <c r="AM232" s="219"/>
      <c r="AN232" s="219"/>
      <c r="AO232" s="219"/>
      <c r="AP232" s="219"/>
      <c r="AQ232" s="219"/>
      <c r="AR232" s="219"/>
      <c r="AS232" s="219"/>
      <c r="AT232" s="219"/>
      <c r="AU232" s="219"/>
      <c r="AV232" s="219"/>
      <c r="AW232" s="219"/>
      <c r="AX232" s="219"/>
      <c r="AY232" s="219"/>
      <c r="AZ232" s="219"/>
      <c r="BA232" s="219"/>
    </row>
    <row r="233" spans="1:53" outlineLevel="1" x14ac:dyDescent="0.35">
      <c r="A233" s="6" t="s">
        <v>32</v>
      </c>
      <c r="Z233" s="6">
        <f>'Results - raw data ReCiPe (E)'!AA96</f>
        <v>6.5388964562615557E-4</v>
      </c>
      <c r="AB233" s="219"/>
      <c r="AC233" s="219"/>
      <c r="AD233" s="219"/>
      <c r="AE233" s="219"/>
      <c r="AF233" s="219"/>
      <c r="AG233" s="219"/>
      <c r="AH233" s="219"/>
      <c r="AI233" s="219"/>
      <c r="AJ233" s="219"/>
      <c r="AK233" s="219"/>
      <c r="AL233" s="219"/>
      <c r="AM233" s="219"/>
      <c r="AN233" s="219"/>
      <c r="AO233" s="219"/>
      <c r="AP233" s="219"/>
      <c r="AQ233" s="219"/>
      <c r="AR233" s="219"/>
      <c r="AS233" s="219"/>
      <c r="AT233" s="219"/>
      <c r="AU233" s="219"/>
      <c r="AV233" s="219"/>
      <c r="AW233" s="219"/>
      <c r="AX233" s="219"/>
      <c r="AY233" s="219"/>
      <c r="AZ233" s="219"/>
      <c r="BA233" s="219"/>
    </row>
    <row r="234" spans="1:53" outlineLevel="1" x14ac:dyDescent="0.35">
      <c r="A234" s="6" t="s">
        <v>33</v>
      </c>
      <c r="Z234" s="6">
        <f>'Results - raw data ReCiPe (E)'!AA97</f>
        <v>4.3042154805294927E-4</v>
      </c>
      <c r="AB234" s="219"/>
      <c r="AC234" s="219"/>
      <c r="AD234" s="219"/>
      <c r="AE234" s="219"/>
      <c r="AF234" s="219"/>
      <c r="AG234" s="219"/>
      <c r="AH234" s="219"/>
      <c r="AI234" s="219"/>
      <c r="AJ234" s="219"/>
      <c r="AK234" s="219"/>
      <c r="AL234" s="219"/>
      <c r="AM234" s="219"/>
      <c r="AN234" s="219"/>
      <c r="AO234" s="219"/>
      <c r="AP234" s="219"/>
      <c r="AQ234" s="219"/>
      <c r="AR234" s="219"/>
      <c r="AS234" s="219"/>
      <c r="AT234" s="219"/>
      <c r="AU234" s="219"/>
      <c r="AV234" s="219"/>
      <c r="AW234" s="219"/>
      <c r="AX234" s="219"/>
      <c r="AY234" s="219"/>
      <c r="AZ234" s="219"/>
      <c r="BA234" s="219"/>
    </row>
    <row r="235" spans="1:53" outlineLevel="1" x14ac:dyDescent="0.35">
      <c r="A235" s="6" t="s">
        <v>35</v>
      </c>
      <c r="Z235" s="6">
        <f>'Results - raw data ReCiPe (E)'!AA98</f>
        <v>8.6084309610589865E-4</v>
      </c>
      <c r="AB235" s="219"/>
      <c r="AC235" s="219"/>
      <c r="AD235" s="219"/>
      <c r="AE235" s="219"/>
      <c r="AF235" s="219"/>
      <c r="AG235" s="219"/>
      <c r="AH235" s="219"/>
      <c r="AI235" s="219"/>
      <c r="AJ235" s="219"/>
      <c r="AK235" s="219"/>
      <c r="AL235" s="219"/>
      <c r="AM235" s="219"/>
      <c r="AN235" s="219"/>
      <c r="AO235" s="219"/>
      <c r="AP235" s="219"/>
      <c r="AQ235" s="219"/>
      <c r="AR235" s="219"/>
      <c r="AS235" s="219"/>
      <c r="AT235" s="219"/>
      <c r="AU235" s="219"/>
      <c r="AV235" s="219"/>
      <c r="AW235" s="219"/>
      <c r="AX235" s="219"/>
      <c r="AY235" s="219"/>
      <c r="AZ235" s="219"/>
      <c r="BA235" s="219"/>
    </row>
    <row r="236" spans="1:53" outlineLevel="1" x14ac:dyDescent="0.35">
      <c r="A236" s="6" t="s">
        <v>37</v>
      </c>
      <c r="Z236" s="6">
        <f>'Results - raw data ReCiPe (E)'!AA99</f>
        <v>2.4241291885713561E-3</v>
      </c>
      <c r="AB236" s="219"/>
      <c r="AC236" s="219"/>
      <c r="AD236" s="219"/>
      <c r="AE236" s="219"/>
      <c r="AF236" s="219"/>
      <c r="AG236" s="219"/>
      <c r="AH236" s="219"/>
      <c r="AI236" s="219"/>
      <c r="AJ236" s="219"/>
      <c r="AK236" s="219"/>
      <c r="AL236" s="219"/>
      <c r="AM236" s="219"/>
      <c r="AN236" s="219"/>
      <c r="AO236" s="219"/>
      <c r="AP236" s="219"/>
      <c r="AQ236" s="219"/>
      <c r="AR236" s="219"/>
      <c r="AS236" s="219"/>
      <c r="AT236" s="219"/>
      <c r="AU236" s="219"/>
      <c r="AV236" s="219"/>
      <c r="AW236" s="219"/>
      <c r="AX236" s="219"/>
      <c r="AY236" s="219"/>
      <c r="AZ236" s="219"/>
      <c r="BA236" s="219"/>
    </row>
    <row r="237" spans="1:53" outlineLevel="1" x14ac:dyDescent="0.35">
      <c r="A237" s="6" t="s">
        <v>40</v>
      </c>
      <c r="Z237" s="6">
        <f>'Results - raw data ReCiPe (E)'!AA100</f>
        <v>9.2664693224757608E-2</v>
      </c>
    </row>
    <row r="238" spans="1:53" outlineLevel="1" x14ac:dyDescent="0.35">
      <c r="A238" s="6" t="s">
        <v>42</v>
      </c>
      <c r="Z238" s="6">
        <f>'Results - raw data ReCiPe (E)'!AA101</f>
        <v>1.3590189614152281E-3</v>
      </c>
    </row>
    <row r="239" spans="1:53" outlineLevel="1" x14ac:dyDescent="0.35">
      <c r="A239" s="6" t="s">
        <v>115</v>
      </c>
      <c r="Z239" s="6">
        <f>'Results - raw data ReCiPe (E)'!AA102</f>
        <v>1.9680264053241539E-2</v>
      </c>
    </row>
    <row r="240" spans="1:53" outlineLevel="1" x14ac:dyDescent="0.35">
      <c r="A240" s="6" t="s">
        <v>45</v>
      </c>
      <c r="Z240" s="6">
        <f>'Results - raw data ReCiPe (E)'!AA103*AC210*AC212</f>
        <v>1.7885085635986353E-3</v>
      </c>
    </row>
    <row r="241" spans="1:26" outlineLevel="1" x14ac:dyDescent="0.35">
      <c r="A241" s="6" t="s">
        <v>116</v>
      </c>
      <c r="B241" s="6">
        <f>'Results - raw data ReCiPe (E)'!C104</f>
        <v>0.13898838933965599</v>
      </c>
      <c r="C241" s="6">
        <f>'Results - raw data ReCiPe (E)'!D104</f>
        <v>0.138474787879075</v>
      </c>
      <c r="D241" s="6">
        <f>'Results - raw data ReCiPe (E)'!E104</f>
        <v>0.13795150681679641</v>
      </c>
      <c r="E241" s="6">
        <f>'Results - raw data ReCiPe (E)'!F104</f>
        <v>0.13744187952975451</v>
      </c>
      <c r="F241" s="6">
        <f>'Results - raw data ReCiPe (E)'!G104</f>
        <v>0.1368939635941302</v>
      </c>
      <c r="G241" s="6">
        <f>'Results - raw data ReCiPe (E)'!H104</f>
        <v>0.13633199563582901</v>
      </c>
      <c r="H241" s="6">
        <f>'Results - raw data ReCiPe (E)'!I104</f>
        <v>0.13624222837857081</v>
      </c>
      <c r="I241" s="6">
        <f>'Results - raw data ReCiPe (E)'!J104</f>
        <v>0.13615693040566229</v>
      </c>
      <c r="J241" s="6">
        <f>'Results - raw data ReCiPe (E)'!K104</f>
        <v>0.13616385284423879</v>
      </c>
      <c r="K241" s="6">
        <f>'Results - raw data ReCiPe (E)'!L104</f>
        <v>0.1360862547056324</v>
      </c>
      <c r="L241" s="6">
        <f>'Results - raw data ReCiPe (E)'!M104</f>
        <v>0.13601125441888631</v>
      </c>
      <c r="M241" s="6">
        <f>'Results - raw data ReCiPe (E)'!N104</f>
        <v>0.13605295891303071</v>
      </c>
      <c r="N241" s="6">
        <f>'Results - raw data ReCiPe (E)'!O104</f>
        <v>0.13609653546799161</v>
      </c>
      <c r="O241" s="6">
        <f>'Results - raw data ReCiPe (E)'!P104</f>
        <v>0.13620038443855961</v>
      </c>
      <c r="P241" s="6">
        <f>'Results - raw data ReCiPe (E)'!Q104</f>
        <v>0.13624614228801521</v>
      </c>
      <c r="Q241" s="6">
        <f>'Results - raw data ReCiPe (E)'!R104</f>
        <v>0.13629232675839831</v>
      </c>
      <c r="R241" s="6">
        <f>'Results - raw data ReCiPe (E)'!S104</f>
        <v>0.13627737653284691</v>
      </c>
      <c r="S241" s="6">
        <f>'Results - raw data ReCiPe (E)'!T104</f>
        <v>0.13626275890918199</v>
      </c>
      <c r="T241" s="6">
        <f>'Results - raw data ReCiPe (E)'!U104</f>
        <v>0.1362868893052214</v>
      </c>
      <c r="U241" s="6">
        <f>'Results - raw data ReCiPe (E)'!V104</f>
        <v>0.13627297235069449</v>
      </c>
      <c r="V241" s="6">
        <f>'Results - raw data ReCiPe (E)'!W104</f>
        <v>0.13625938225509571</v>
      </c>
      <c r="W241" s="6">
        <f>'Results - raw data ReCiPe (E)'!X104</f>
        <v>0.1362693875750155</v>
      </c>
      <c r="X241" s="6">
        <f>'Results - raw data ReCiPe (E)'!Y104</f>
        <v>0.13626901103046121</v>
      </c>
      <c r="Y241" s="6">
        <f>'Results - raw data ReCiPe (E)'!Z104</f>
        <v>0.1362686005427251</v>
      </c>
      <c r="Z241" s="6">
        <f>'Results - raw data ReCiPe (E)'!AA104</f>
        <v>0.13626815075790319</v>
      </c>
    </row>
    <row r="242" spans="1:26" outlineLevel="1" x14ac:dyDescent="0.35">
      <c r="A242" s="6" t="s">
        <v>758</v>
      </c>
      <c r="B242" s="6">
        <f>'Results - raw data ReCiPe (E)'!C105*$AC$210</f>
        <v>0.2417809387795547</v>
      </c>
      <c r="C242" s="6">
        <f>'Results - raw data ReCiPe (E)'!D105*$AC$210</f>
        <v>0.23705729033863418</v>
      </c>
      <c r="D242" s="6">
        <f>'Results - raw data ReCiPe (E)'!E105*$AC$210</f>
        <v>0.23233720055531518</v>
      </c>
      <c r="E242" s="6">
        <f>'Results - raw data ReCiPe (E)'!F105*$AC$210</f>
        <v>0.22765552006383027</v>
      </c>
      <c r="F242" s="6">
        <f>'Results - raw data ReCiPe (E)'!G105*$AC$210</f>
        <v>0.22293692659926032</v>
      </c>
      <c r="G242" s="6">
        <f>'Results - raw data ReCiPe (E)'!H105*$AC$210</f>
        <v>0.21821871908375601</v>
      </c>
      <c r="H242" s="6">
        <f>'Results - raw data ReCiPe (E)'!I105*$AC$210</f>
        <v>0.2183328752610379</v>
      </c>
      <c r="I242" s="6">
        <f>'Results - raw data ReCiPe (E)'!J105*$AC$210</f>
        <v>0.2184454726271664</v>
      </c>
      <c r="J242" s="6">
        <f>'Results - raw data ReCiPe (E)'!K105*$AC$210</f>
        <v>0.2186197885807338</v>
      </c>
      <c r="K242" s="6">
        <f>'Results - raw data ReCiPe (E)'!L105*$AC$210</f>
        <v>0.21872848466727821</v>
      </c>
      <c r="L242" s="6">
        <f>'Results - raw data ReCiPe (E)'!M105*$AC$210</f>
        <v>0.21883249764689899</v>
      </c>
      <c r="M242" s="6">
        <f>'Results - raw data ReCiPe (E)'!N105*$AC$210</f>
        <v>0.21841557921298049</v>
      </c>
      <c r="N242" s="6">
        <f>'Results - raw data ReCiPe (E)'!O105*$AC$210</f>
        <v>0.21800506941521089</v>
      </c>
      <c r="O242" s="6">
        <f>'Results - raw data ReCiPe (E)'!P105*$AC$210</f>
        <v>0.21764066730740861</v>
      </c>
      <c r="P242" s="6">
        <f>'Results - raw data ReCiPe (E)'!Q105*$AC$210</f>
        <v>0.21723706665984091</v>
      </c>
      <c r="Q242" s="6">
        <f>'Results - raw data ReCiPe (E)'!R105*$AC$210</f>
        <v>0.21683545808110291</v>
      </c>
      <c r="R242" s="6">
        <f>'Results - raw data ReCiPe (E)'!S105*$AC$210</f>
        <v>0.2170606194781684</v>
      </c>
      <c r="S242" s="6">
        <f>'Results - raw data ReCiPe (E)'!T105*$AC$210</f>
        <v>0.21728945931437202</v>
      </c>
      <c r="T242" s="6">
        <f>'Results - raw data ReCiPe (E)'!U105*$AC$210</f>
        <v>0.21754875047075201</v>
      </c>
      <c r="U242" s="6">
        <f>'Results - raw data ReCiPe (E)'!V105*$AC$210</f>
        <v>0.2177852629463648</v>
      </c>
      <c r="V242" s="6">
        <f>'Results - raw data ReCiPe (E)'!W105*$AC$210</f>
        <v>0.21802574197248531</v>
      </c>
      <c r="W242" s="6">
        <f>'Results - raw data ReCiPe (E)'!X105*$AC$210</f>
        <v>0.21817145768362151</v>
      </c>
      <c r="X242" s="6">
        <f>'Results - raw data ReCiPe (E)'!Y105*$AC$210</f>
        <v>0.21829169710501409</v>
      </c>
      <c r="Y242" s="6">
        <f>'Results - raw data ReCiPe (E)'!Z105*$AC$210</f>
        <v>0.21841282227465422</v>
      </c>
      <c r="Z242" s="6">
        <f>'Results - raw data ReCiPe (E)'!AA105*$AC$210</f>
        <v>0.21853442335682399</v>
      </c>
    </row>
    <row r="243" spans="1:26" outlineLevel="1" x14ac:dyDescent="0.35">
      <c r="A243" s="6" t="s">
        <v>759</v>
      </c>
      <c r="B243" s="6">
        <f>'Results - raw data ReCiPe (E)'!C106</f>
        <v>0</v>
      </c>
      <c r="C243" s="6">
        <f>'Results - raw data ReCiPe (E)'!D106</f>
        <v>0</v>
      </c>
      <c r="D243" s="6">
        <f>'Results - raw data ReCiPe (E)'!E106</f>
        <v>0</v>
      </c>
      <c r="E243" s="6">
        <f>'Results - raw data ReCiPe (E)'!F106</f>
        <v>0</v>
      </c>
      <c r="F243" s="6">
        <f>'Results - raw data ReCiPe (E)'!G106</f>
        <v>0</v>
      </c>
      <c r="G243" s="6">
        <f>'Results - raw data ReCiPe (E)'!H106</f>
        <v>0</v>
      </c>
      <c r="H243" s="6">
        <f>'Results - raw data ReCiPe (E)'!I106</f>
        <v>0</v>
      </c>
      <c r="I243" s="6">
        <f>'Results - raw data ReCiPe (E)'!J106</f>
        <v>0</v>
      </c>
      <c r="J243" s="6">
        <f>'Results - raw data ReCiPe (E)'!K106</f>
        <v>0</v>
      </c>
      <c r="K243" s="6">
        <f>'Results - raw data ReCiPe (E)'!L106</f>
        <v>0</v>
      </c>
      <c r="L243" s="6">
        <f>'Results - raw data ReCiPe (E)'!M106</f>
        <v>0</v>
      </c>
      <c r="M243" s="6">
        <f>'Results - raw data ReCiPe (E)'!N106</f>
        <v>0</v>
      </c>
      <c r="N243" s="6">
        <f>'Results - raw data ReCiPe (E)'!O106</f>
        <v>0</v>
      </c>
      <c r="O243" s="6">
        <f>'Results - raw data ReCiPe (E)'!P106</f>
        <v>0</v>
      </c>
      <c r="P243" s="6">
        <f>'Results - raw data ReCiPe (E)'!Q106</f>
        <v>0</v>
      </c>
      <c r="Q243" s="6">
        <f>'Results - raw data ReCiPe (E)'!R106</f>
        <v>0</v>
      </c>
      <c r="R243" s="6">
        <f>'Results - raw data ReCiPe (E)'!S106</f>
        <v>0</v>
      </c>
      <c r="S243" s="6">
        <f>'Results - raw data ReCiPe (E)'!T106</f>
        <v>0</v>
      </c>
      <c r="T243" s="6">
        <f>'Results - raw data ReCiPe (E)'!U106</f>
        <v>0</v>
      </c>
      <c r="U243" s="6">
        <f>'Results - raw data ReCiPe (E)'!V106</f>
        <v>0</v>
      </c>
      <c r="V243" s="6">
        <f>'Results - raw data ReCiPe (E)'!W106</f>
        <v>0</v>
      </c>
      <c r="W243" s="6">
        <f>'Results - raw data ReCiPe (E)'!X106</f>
        <v>0</v>
      </c>
      <c r="X243" s="6">
        <f>'Results - raw data ReCiPe (E)'!Y106</f>
        <v>0</v>
      </c>
      <c r="Y243" s="6">
        <f>'Results - raw data ReCiPe (E)'!Z106</f>
        <v>0</v>
      </c>
      <c r="Z243" s="6">
        <f>'Results - raw data ReCiPe (E)'!AA106</f>
        <v>0</v>
      </c>
    </row>
    <row r="244" spans="1:26" outlineLevel="1" x14ac:dyDescent="0.35">
      <c r="A244" s="6" t="s">
        <v>760</v>
      </c>
      <c r="B244" s="6">
        <f>150000*($AC$211*'Results - raw data ReCiPe (E)'!C128+(1-$AC$211)*'Results - raw data ReCiPe (E)'!C129)</f>
        <v>1.229489334904456</v>
      </c>
      <c r="C244" s="6">
        <f>150000*($AC$211*'Results - raw data ReCiPe (E)'!D128+(1-$AC$211)*'Results - raw data ReCiPe (E)'!D129)</f>
        <v>1.1791958110607643</v>
      </c>
      <c r="D244" s="6">
        <f>150000*($AC$211*'Results - raw data ReCiPe (E)'!E128+(1-$AC$211)*'Results - raw data ReCiPe (E)'!E129)</f>
        <v>1.1286352451848003</v>
      </c>
      <c r="E244" s="6">
        <f>150000*($AC$211*'Results - raw data ReCiPe (E)'!F128+(1-$AC$211)*'Results - raw data ReCiPe (E)'!F129)</f>
        <v>1.0781319415883399</v>
      </c>
      <c r="F244" s="6">
        <f>150000*($AC$211*'Results - raw data ReCiPe (E)'!G128+(1-$AC$211)*'Results - raw data ReCiPe (E)'!G129)</f>
        <v>1.0269494668446761</v>
      </c>
      <c r="G244" s="6">
        <f>150000*($AC$211*'Results - raw data ReCiPe (E)'!H128+(1-$AC$211)*'Results - raw data ReCiPe (E)'!H129)</f>
        <v>0.97546310641825584</v>
      </c>
      <c r="H244" s="6">
        <f>150000*($AC$211*'Results - raw data ReCiPe (E)'!I128+(1-$AC$211)*'Results - raw data ReCiPe (E)'!I129)</f>
        <v>0.9742225067712833</v>
      </c>
      <c r="I244" s="6">
        <f>150000*($AC$211*'Results - raw data ReCiPe (E)'!J128+(1-$AC$211)*'Results - raw data ReCiPe (E)'!J129)</f>
        <v>0.97303390395430045</v>
      </c>
      <c r="J244" s="6">
        <f>150000*($AC$211*'Results - raw data ReCiPe (E)'!K128+(1-$AC$211)*'Results - raw data ReCiPe (E)'!K129)</f>
        <v>0.97254418877538651</v>
      </c>
      <c r="K244" s="6">
        <f>150000*($AC$211*'Results - raw data ReCiPe (E)'!L128+(1-$AC$211)*'Results - raw data ReCiPe (E)'!L129)</f>
        <v>0.97141362525418118</v>
      </c>
      <c r="L244" s="6">
        <f>150000*($AC$211*'Results - raw data ReCiPe (E)'!M128+(1-$AC$211)*'Results - raw data ReCiPe (E)'!M129)</f>
        <v>0.97027335501280987</v>
      </c>
      <c r="M244" s="6">
        <f>150000*($AC$211*'Results - raw data ReCiPe (E)'!N128+(1-$AC$211)*'Results - raw data ReCiPe (E)'!N129)</f>
        <v>0.96706780411037296</v>
      </c>
      <c r="N244" s="6">
        <f>150000*($AC$211*'Results - raw data ReCiPe (E)'!O128+(1-$AC$211)*'Results - raw data ReCiPe (E)'!O129)</f>
        <v>0.96396691353389541</v>
      </c>
      <c r="O244" s="6">
        <f>150000*($AC$211*'Results - raw data ReCiPe (E)'!P128+(1-$AC$211)*'Results - raw data ReCiPe (E)'!P129)</f>
        <v>0.96138367658592128</v>
      </c>
      <c r="P244" s="6">
        <f>150000*($AC$211*'Results - raw data ReCiPe (E)'!Q128+(1-$AC$211)*'Results - raw data ReCiPe (E)'!Q129)</f>
        <v>0.958400138417833</v>
      </c>
      <c r="Q244" s="6">
        <f>150000*($AC$211*'Results - raw data ReCiPe (E)'!R128+(1-$AC$211)*'Results - raw data ReCiPe (E)'!R129)</f>
        <v>0.9554503946177213</v>
      </c>
      <c r="R244" s="6">
        <f>150000*($AC$211*'Results - raw data ReCiPe (E)'!S128+(1-$AC$211)*'Results - raw data ReCiPe (E)'!S129)</f>
        <v>0.96377662000720465</v>
      </c>
      <c r="S244" s="6">
        <f>150000*($AC$211*'Results - raw data ReCiPe (E)'!T128+(1-$AC$211)*'Results - raw data ReCiPe (E)'!T129)</f>
        <v>0.97203032249541876</v>
      </c>
      <c r="T244" s="6">
        <f>150000*($AC$211*'Results - raw data ReCiPe (E)'!U128+(1-$AC$211)*'Results - raw data ReCiPe (E)'!U129)</f>
        <v>0.98049842993224279</v>
      </c>
      <c r="U244" s="6">
        <f>150000*($AC$211*'Results - raw data ReCiPe (E)'!V128+(1-$AC$211)*'Results - raw data ReCiPe (E)'!V129)</f>
        <v>0.98861231153492413</v>
      </c>
      <c r="V244" s="6">
        <f>150000*($AC$211*'Results - raw data ReCiPe (E)'!W128+(1-$AC$211)*'Results - raw data ReCiPe (E)'!W129)</f>
        <v>0.99666250668507483</v>
      </c>
      <c r="W244" s="6">
        <f>150000*($AC$211*'Results - raw data ReCiPe (E)'!X128+(1-$AC$211)*'Results - raw data ReCiPe (E)'!X129)</f>
        <v>0.99679125637163746</v>
      </c>
      <c r="X244" s="6">
        <f>150000*($AC$211*'Results - raw data ReCiPe (E)'!Y128+(1-$AC$211)*'Results - raw data ReCiPe (E)'!Y129)</f>
        <v>0.99667432423016744</v>
      </c>
      <c r="Y244" s="6">
        <f>150000*($AC$211*'Results - raw data ReCiPe (E)'!Z128+(1-$AC$211)*'Results - raw data ReCiPe (E)'!Z129)</f>
        <v>0.99656408737953184</v>
      </c>
      <c r="Z244" s="6">
        <f>150000*($AC$211*'Results - raw data ReCiPe (E)'!AA128+(1-$AC$211)*'Results - raw data ReCiPe (E)'!AA129)</f>
        <v>0.99645785639792517</v>
      </c>
    </row>
    <row r="245" spans="1:26" outlineLevel="1" x14ac:dyDescent="0.35">
      <c r="A245" s="23" t="s">
        <v>125</v>
      </c>
      <c r="B245" s="17">
        <f>SUM(B214:B244)</f>
        <v>16.899299875645781</v>
      </c>
      <c r="C245" s="17">
        <f t="shared" ref="C245:Z245" si="29">SUM(C214:C244)</f>
        <v>1.5547278892784735</v>
      </c>
      <c r="D245" s="17">
        <f t="shared" si="29"/>
        <v>1.498923952556912</v>
      </c>
      <c r="E245" s="17">
        <f t="shared" si="29"/>
        <v>1.4432293411819246</v>
      </c>
      <c r="F245" s="17">
        <f t="shared" si="29"/>
        <v>1.3867803570380666</v>
      </c>
      <c r="G245" s="17">
        <f t="shared" si="29"/>
        <v>1.3300138211378409</v>
      </c>
      <c r="H245" s="17">
        <f t="shared" si="29"/>
        <v>1.3287976104108921</v>
      </c>
      <c r="I245" s="17">
        <f t="shared" si="29"/>
        <v>1.3276363069871291</v>
      </c>
      <c r="J245" s="17">
        <f t="shared" si="29"/>
        <v>1.327327830200359</v>
      </c>
      <c r="K245" s="17">
        <f t="shared" si="29"/>
        <v>1.3262283646270918</v>
      </c>
      <c r="L245" s="17">
        <f t="shared" si="29"/>
        <v>1.3251171070785952</v>
      </c>
      <c r="M245" s="17">
        <f t="shared" si="29"/>
        <v>1.3215363422363842</v>
      </c>
      <c r="N245" s="17">
        <f t="shared" si="29"/>
        <v>1.3180685184170979</v>
      </c>
      <c r="O245" s="17">
        <f t="shared" si="29"/>
        <v>1.3152247283318896</v>
      </c>
      <c r="P245" s="17">
        <f t="shared" si="29"/>
        <v>1.311883347365689</v>
      </c>
      <c r="Q245" s="17">
        <f t="shared" si="29"/>
        <v>1.3085781794572227</v>
      </c>
      <c r="R245" s="17">
        <f t="shared" si="29"/>
        <v>1.3171146160182201</v>
      </c>
      <c r="S245" s="17">
        <f t="shared" si="29"/>
        <v>1.3255825407189727</v>
      </c>
      <c r="T245" s="17">
        <f t="shared" si="29"/>
        <v>1.3343340697082162</v>
      </c>
      <c r="U245" s="17">
        <f t="shared" si="29"/>
        <v>1.3426705468319833</v>
      </c>
      <c r="V245" s="17">
        <f t="shared" si="29"/>
        <v>1.3509476309126558</v>
      </c>
      <c r="W245" s="17">
        <f t="shared" si="29"/>
        <v>1.3512321016302744</v>
      </c>
      <c r="X245" s="17">
        <f t="shared" si="29"/>
        <v>1.3512350323656428</v>
      </c>
      <c r="Y245" s="17">
        <f t="shared" si="29"/>
        <v>1.3512455101969112</v>
      </c>
      <c r="Z245" s="17">
        <f t="shared" si="29"/>
        <v>1.4778661570676894</v>
      </c>
    </row>
    <row r="246" spans="1:26" s="26" customFormat="1" outlineLevel="1" x14ac:dyDescent="0.35"/>
    <row r="247" spans="1:26" s="221" customFormat="1" ht="21" x14ac:dyDescent="0.5">
      <c r="A247" s="229" t="s">
        <v>851</v>
      </c>
    </row>
    <row r="248" spans="1:26" s="18" customFormat="1" ht="21" x14ac:dyDescent="0.5">
      <c r="A248" s="18" t="s">
        <v>72</v>
      </c>
    </row>
    <row r="249" spans="1:26" s="20" customFormat="1" outlineLevel="1" x14ac:dyDescent="0.35">
      <c r="A249" s="19" t="s">
        <v>788</v>
      </c>
    </row>
    <row r="250" spans="1:26" s="20" customFormat="1" outlineLevel="1" x14ac:dyDescent="0.35">
      <c r="A250" s="273" t="s">
        <v>775</v>
      </c>
      <c r="B250" s="20">
        <v>1</v>
      </c>
      <c r="C250" s="274" t="s">
        <v>787</v>
      </c>
    </row>
    <row r="251" spans="1:26" s="20" customFormat="1" outlineLevel="1" x14ac:dyDescent="0.35">
      <c r="A251" s="273" t="s">
        <v>781</v>
      </c>
      <c r="B251" s="20">
        <v>100000</v>
      </c>
      <c r="C251" s="20" t="s">
        <v>782</v>
      </c>
      <c r="E251" s="274"/>
    </row>
    <row r="252" spans="1:26" s="20" customFormat="1" outlineLevel="1" x14ac:dyDescent="0.35">
      <c r="A252" s="273" t="s">
        <v>783</v>
      </c>
      <c r="B252" s="20">
        <v>1500</v>
      </c>
      <c r="C252" s="20" t="s">
        <v>592</v>
      </c>
    </row>
    <row r="253" spans="1:26" s="20" customFormat="1" outlineLevel="1" x14ac:dyDescent="0.35">
      <c r="A253" s="273" t="s">
        <v>784</v>
      </c>
      <c r="B253" s="20">
        <v>8760</v>
      </c>
      <c r="C253" s="20" t="s">
        <v>785</v>
      </c>
    </row>
    <row r="254" spans="1:26" s="20" customFormat="1" outlineLevel="1" x14ac:dyDescent="0.35">
      <c r="A254" s="273"/>
    </row>
    <row r="255" spans="1:26" s="20" customFormat="1" outlineLevel="1" x14ac:dyDescent="0.35">
      <c r="A255" s="275" t="s">
        <v>786</v>
      </c>
      <c r="B255" s="275">
        <f>(B251*B252)/(B253*B250)</f>
        <v>17123.287671232876</v>
      </c>
      <c r="C255" s="275" t="s">
        <v>749</v>
      </c>
    </row>
    <row r="256" spans="1:26" s="20" customFormat="1" outlineLevel="1" x14ac:dyDescent="0.35">
      <c r="A256" s="19"/>
    </row>
    <row r="257" spans="1:31" s="20" customFormat="1" outlineLevel="1" x14ac:dyDescent="0.35">
      <c r="A257" s="19" t="s">
        <v>793</v>
      </c>
    </row>
    <row r="258" spans="1:31" s="20" customFormat="1" outlineLevel="1" x14ac:dyDescent="0.35">
      <c r="A258" s="273" t="s">
        <v>789</v>
      </c>
      <c r="B258" s="20">
        <f>SUM('Results - raw data ReCiPe (E)'!C136:C137)+'Results - raw data ReCiPe (E)'!C140+SUM('Results - raw data ReCiPe (E)'!C138:C139)*AC267</f>
        <v>0.73507255902724455</v>
      </c>
      <c r="C258" s="20" t="s">
        <v>790</v>
      </c>
    </row>
    <row r="259" spans="1:31" s="20" customFormat="1" outlineLevel="1" x14ac:dyDescent="0.35">
      <c r="A259" s="20" t="s">
        <v>792</v>
      </c>
      <c r="B259" s="20">
        <f>B251*AC265</f>
        <v>50000</v>
      </c>
      <c r="C259" s="274" t="s">
        <v>795</v>
      </c>
    </row>
    <row r="260" spans="1:31" s="20" customFormat="1" outlineLevel="1" x14ac:dyDescent="0.35">
      <c r="A260" s="20" t="s">
        <v>791</v>
      </c>
      <c r="B260" s="20">
        <f>(B258*AC267*B255)/(B259*AC266)*(AC266/AC268)</f>
        <v>7.55211533247169E-2</v>
      </c>
      <c r="C260" s="20" t="s">
        <v>794</v>
      </c>
      <c r="E260" s="274" t="s">
        <v>796</v>
      </c>
    </row>
    <row r="261" spans="1:31" s="20" customFormat="1" outlineLevel="1" x14ac:dyDescent="0.35">
      <c r="A261" s="19"/>
    </row>
    <row r="262" spans="1:31" s="16" customFormat="1" outlineLevel="1" x14ac:dyDescent="0.35">
      <c r="A262" s="21"/>
      <c r="AB262" s="16" t="s">
        <v>47</v>
      </c>
      <c r="AC262" s="16">
        <v>1.2500000000000001E-5</v>
      </c>
      <c r="AD262" s="16" t="s">
        <v>48</v>
      </c>
      <c r="AE262" s="15" t="s">
        <v>714</v>
      </c>
    </row>
    <row r="263" spans="1:31" s="16" customFormat="1" outlineLevel="1" x14ac:dyDescent="0.35">
      <c r="A263" s="22" t="s">
        <v>564</v>
      </c>
      <c r="AC263" s="16">
        <f>AC262*1000</f>
        <v>1.2500000000000001E-2</v>
      </c>
      <c r="AD263" s="16" t="s">
        <v>126</v>
      </c>
    </row>
    <row r="264" spans="1:31" s="16" customFormat="1" outlineLevel="1" x14ac:dyDescent="0.35">
      <c r="A264" s="22"/>
      <c r="AB264" s="16" t="s">
        <v>127</v>
      </c>
      <c r="AC264" s="276">
        <f>100*AC265</f>
        <v>50</v>
      </c>
      <c r="AD264" s="16" t="s">
        <v>128</v>
      </c>
    </row>
    <row r="265" spans="1:31" s="16" customFormat="1" outlineLevel="1" x14ac:dyDescent="0.35">
      <c r="A265" s="230"/>
      <c r="AB265" s="16" t="s">
        <v>776</v>
      </c>
      <c r="AC265" s="276">
        <v>0.5</v>
      </c>
    </row>
    <row r="266" spans="1:31" s="16" customFormat="1" outlineLevel="1" x14ac:dyDescent="0.35">
      <c r="A266" s="230"/>
      <c r="AB266" s="16" t="s">
        <v>129</v>
      </c>
      <c r="AC266" s="276">
        <v>25</v>
      </c>
      <c r="AD266" s="16" t="s">
        <v>130</v>
      </c>
    </row>
    <row r="267" spans="1:31" s="16" customFormat="1" outlineLevel="1" x14ac:dyDescent="0.35">
      <c r="A267" s="230"/>
      <c r="AB267" s="16" t="s">
        <v>777</v>
      </c>
      <c r="AC267" s="276">
        <v>6</v>
      </c>
      <c r="AD267" s="16" t="s">
        <v>779</v>
      </c>
    </row>
    <row r="268" spans="1:31" s="16" customFormat="1" outlineLevel="1" x14ac:dyDescent="0.35">
      <c r="A268" s="22"/>
      <c r="AB268" s="16" t="s">
        <v>778</v>
      </c>
      <c r="AC268" s="276">
        <v>20</v>
      </c>
      <c r="AD268" s="16" t="s">
        <v>130</v>
      </c>
    </row>
    <row r="269" spans="1:31" s="16" customFormat="1" outlineLevel="1" x14ac:dyDescent="0.35">
      <c r="A269" s="22"/>
      <c r="AB269" s="16" t="s">
        <v>780</v>
      </c>
      <c r="AC269" s="276">
        <f>B255</f>
        <v>17123.287671232876</v>
      </c>
      <c r="AD269" s="16" t="s">
        <v>749</v>
      </c>
    </row>
    <row r="270" spans="1:31" s="16" customFormat="1" outlineLevel="1" x14ac:dyDescent="0.35">
      <c r="A270" s="22"/>
    </row>
    <row r="271" spans="1:31" s="16" customFormat="1" outlineLevel="1" x14ac:dyDescent="0.35">
      <c r="A271" s="22"/>
      <c r="AB271" s="16" t="s">
        <v>798</v>
      </c>
      <c r="AC271" s="16">
        <v>0.25</v>
      </c>
    </row>
    <row r="272" spans="1:31" s="16" customFormat="1" outlineLevel="1" x14ac:dyDescent="0.35">
      <c r="A272" s="22"/>
      <c r="AB272" s="16" t="s">
        <v>799</v>
      </c>
      <c r="AC272" s="16">
        <v>0.9</v>
      </c>
    </row>
    <row r="273" spans="1:53" outlineLevel="1" x14ac:dyDescent="0.35">
      <c r="B273" s="25">
        <v>2030</v>
      </c>
      <c r="C273" s="25">
        <v>2031</v>
      </c>
      <c r="D273" s="25">
        <v>2032</v>
      </c>
      <c r="E273" s="25">
        <v>2033</v>
      </c>
      <c r="F273" s="25">
        <v>2034</v>
      </c>
      <c r="G273" s="25">
        <v>2035</v>
      </c>
      <c r="H273" s="25">
        <v>2036</v>
      </c>
      <c r="I273" s="25">
        <v>2037</v>
      </c>
      <c r="J273" s="25">
        <v>2038</v>
      </c>
      <c r="K273" s="25">
        <v>2039</v>
      </c>
      <c r="L273" s="25">
        <v>2040</v>
      </c>
      <c r="M273" s="25">
        <v>2041</v>
      </c>
      <c r="N273" s="25">
        <v>2042</v>
      </c>
      <c r="O273" s="25">
        <v>2043</v>
      </c>
      <c r="P273" s="25">
        <v>2044</v>
      </c>
      <c r="Q273" s="25">
        <v>2045</v>
      </c>
      <c r="R273" s="25">
        <v>2046</v>
      </c>
      <c r="S273" s="25">
        <v>2047</v>
      </c>
      <c r="T273" s="25">
        <v>2048</v>
      </c>
      <c r="U273" s="25">
        <v>2049</v>
      </c>
      <c r="V273" s="25">
        <v>2050</v>
      </c>
      <c r="W273" s="25">
        <v>2051</v>
      </c>
      <c r="X273" s="25">
        <v>2052</v>
      </c>
      <c r="Y273" s="25">
        <v>2053</v>
      </c>
      <c r="Z273" s="25">
        <v>2054</v>
      </c>
      <c r="AC273" s="25">
        <v>2030</v>
      </c>
      <c r="AD273" s="25">
        <v>2031</v>
      </c>
      <c r="AE273" s="25">
        <v>2032</v>
      </c>
      <c r="AF273" s="25">
        <v>2033</v>
      </c>
      <c r="AG273" s="25">
        <v>2034</v>
      </c>
      <c r="AH273" s="25">
        <v>2035</v>
      </c>
      <c r="AI273" s="25">
        <v>2036</v>
      </c>
      <c r="AJ273" s="25">
        <v>2037</v>
      </c>
      <c r="AK273" s="25">
        <v>2038</v>
      </c>
      <c r="AL273" s="25">
        <v>2039</v>
      </c>
      <c r="AM273" s="25">
        <v>2040</v>
      </c>
      <c r="AN273" s="25">
        <v>2041</v>
      </c>
      <c r="AO273" s="25">
        <v>2042</v>
      </c>
      <c r="AP273" s="25">
        <v>2043</v>
      </c>
      <c r="AQ273" s="25">
        <v>2044</v>
      </c>
      <c r="AR273" s="25">
        <v>2045</v>
      </c>
      <c r="AS273" s="25">
        <v>2046</v>
      </c>
      <c r="AT273" s="25">
        <v>2047</v>
      </c>
      <c r="AU273" s="25">
        <v>2048</v>
      </c>
      <c r="AV273" s="25">
        <v>2049</v>
      </c>
      <c r="AW273" s="25">
        <v>2050</v>
      </c>
      <c r="AX273" s="25">
        <v>2051</v>
      </c>
      <c r="AY273" s="25">
        <v>2052</v>
      </c>
      <c r="AZ273" s="25">
        <v>2053</v>
      </c>
      <c r="BA273" s="25">
        <v>2054</v>
      </c>
    </row>
    <row r="274" spans="1:53" outlineLevel="1" x14ac:dyDescent="0.35">
      <c r="A274" s="6" t="s">
        <v>21</v>
      </c>
      <c r="B274" s="6">
        <f t="shared" ref="B274:B285" si="30">B10</f>
        <v>0.21929805323875509</v>
      </c>
      <c r="AB274" s="6" t="s">
        <v>117</v>
      </c>
      <c r="AC274" s="6">
        <f>SUM(B274:B285)+B287</f>
        <v>15.092877529951746</v>
      </c>
    </row>
    <row r="275" spans="1:53" outlineLevel="1" x14ac:dyDescent="0.35">
      <c r="A275" s="6" t="s">
        <v>23</v>
      </c>
      <c r="B275" s="6">
        <f t="shared" si="30"/>
        <v>0.47831707984653599</v>
      </c>
      <c r="AB275" s="6" t="s">
        <v>118</v>
      </c>
      <c r="AC275" s="6">
        <f>B286</f>
        <v>0.29671071214710926</v>
      </c>
    </row>
    <row r="276" spans="1:53" outlineLevel="1" x14ac:dyDescent="0.35">
      <c r="A276" s="6" t="s">
        <v>26</v>
      </c>
      <c r="B276" s="6">
        <f t="shared" si="30"/>
        <v>0.92133956379952864</v>
      </c>
      <c r="AB276" s="6" t="s">
        <v>119</v>
      </c>
      <c r="BA276" s="6">
        <f>SUM(Z288:Z299)</f>
        <v>0.12953343012141194</v>
      </c>
    </row>
    <row r="277" spans="1:53" outlineLevel="1" x14ac:dyDescent="0.35">
      <c r="A277" s="6" t="s">
        <v>28</v>
      </c>
      <c r="B277" s="6">
        <f t="shared" si="30"/>
        <v>0.87032443308263663</v>
      </c>
      <c r="AB277" s="6" t="s">
        <v>120</v>
      </c>
      <c r="BA277" s="6">
        <f>Z300</f>
        <v>9.3072420263279993E-4</v>
      </c>
    </row>
    <row r="278" spans="1:53" outlineLevel="1" x14ac:dyDescent="0.35">
      <c r="A278" s="6" t="s">
        <v>29</v>
      </c>
      <c r="B278" s="6">
        <f t="shared" si="30"/>
        <v>0.92350966225007847</v>
      </c>
      <c r="AB278" s="6" t="s">
        <v>121</v>
      </c>
      <c r="AC278" s="6">
        <f>B301</f>
        <v>0.1490671536669359</v>
      </c>
      <c r="AF278" s="6">
        <f>E301</f>
        <v>0.14899675412380661</v>
      </c>
      <c r="AI278" s="6">
        <f>H301</f>
        <v>0.14913467370511721</v>
      </c>
      <c r="AL278" s="6">
        <f>K301</f>
        <v>0.14985420341785011</v>
      </c>
      <c r="AO278" s="6">
        <f>N301</f>
        <v>0.15079302716477189</v>
      </c>
      <c r="AR278" s="6">
        <f>Q301</f>
        <v>0.15199232647583841</v>
      </c>
      <c r="AU278" s="6">
        <f>T301</f>
        <v>0.15162753334670259</v>
      </c>
      <c r="AX278" s="6">
        <f>W301</f>
        <v>0.15096779974777791</v>
      </c>
      <c r="BA278" s="6">
        <f>Z301</f>
        <v>0.149756511690775</v>
      </c>
    </row>
    <row r="279" spans="1:53" outlineLevel="1" x14ac:dyDescent="0.35">
      <c r="A279" s="6" t="s">
        <v>31</v>
      </c>
      <c r="B279" s="6">
        <f t="shared" si="30"/>
        <v>0.59002892080817404</v>
      </c>
      <c r="AB279" s="6" t="s">
        <v>797</v>
      </c>
      <c r="AC279" s="6">
        <f>B305</f>
        <v>3.7760576662358449</v>
      </c>
      <c r="AD279" s="6">
        <f t="shared" ref="AD279:BA279" si="31">C305</f>
        <v>3.7760576662358449</v>
      </c>
      <c r="AE279" s="6">
        <f t="shared" si="31"/>
        <v>3.7760576662358449</v>
      </c>
      <c r="AF279" s="6">
        <f t="shared" si="31"/>
        <v>3.7760576662358449</v>
      </c>
      <c r="AG279" s="6">
        <f t="shared" si="31"/>
        <v>3.7760576662358449</v>
      </c>
      <c r="AH279" s="6">
        <f t="shared" si="31"/>
        <v>3.7760576662358449</v>
      </c>
      <c r="AI279" s="6">
        <f t="shared" si="31"/>
        <v>3.7760576662358449</v>
      </c>
      <c r="AJ279" s="6">
        <f t="shared" si="31"/>
        <v>3.7760576662358449</v>
      </c>
      <c r="AK279" s="6">
        <f t="shared" si="31"/>
        <v>3.7760576662358449</v>
      </c>
      <c r="AL279" s="6">
        <f t="shared" si="31"/>
        <v>3.7760576662358449</v>
      </c>
      <c r="AM279" s="6">
        <f t="shared" si="31"/>
        <v>3.7760576662358449</v>
      </c>
      <c r="AN279" s="6">
        <f t="shared" si="31"/>
        <v>3.7760576662358449</v>
      </c>
      <c r="AO279" s="6">
        <f t="shared" si="31"/>
        <v>3.7760576662358449</v>
      </c>
      <c r="AP279" s="6">
        <f t="shared" si="31"/>
        <v>3.7760576662358449</v>
      </c>
      <c r="AQ279" s="6">
        <f t="shared" si="31"/>
        <v>3.7760576662358449</v>
      </c>
      <c r="AR279" s="6">
        <f t="shared" si="31"/>
        <v>3.7760576662358449</v>
      </c>
      <c r="AS279" s="6">
        <f t="shared" si="31"/>
        <v>3.7760576662358449</v>
      </c>
      <c r="AT279" s="6">
        <f t="shared" si="31"/>
        <v>3.7760576662358449</v>
      </c>
      <c r="AU279" s="6">
        <f t="shared" si="31"/>
        <v>3.7760576662358449</v>
      </c>
      <c r="AV279" s="6">
        <f t="shared" si="31"/>
        <v>3.7760576662358449</v>
      </c>
      <c r="AW279" s="6">
        <f t="shared" si="31"/>
        <v>3.7760576662358449</v>
      </c>
      <c r="AX279" s="6">
        <f t="shared" si="31"/>
        <v>3.7760576662358449</v>
      </c>
      <c r="AY279" s="6">
        <f t="shared" si="31"/>
        <v>3.7760576662358449</v>
      </c>
      <c r="AZ279" s="6">
        <f t="shared" si="31"/>
        <v>3.7760576662358449</v>
      </c>
      <c r="BA279" s="6">
        <f t="shared" si="31"/>
        <v>3.7760576662358449</v>
      </c>
    </row>
    <row r="280" spans="1:53" outlineLevel="1" x14ac:dyDescent="0.35">
      <c r="A280" s="6" t="s">
        <v>34</v>
      </c>
      <c r="B280" s="6">
        <f t="shared" si="30"/>
        <v>0.52079306403904313</v>
      </c>
      <c r="AB280" s="6" t="s">
        <v>122</v>
      </c>
      <c r="AC280" s="6">
        <f t="shared" ref="AC280:BA280" si="32">B304+B303</f>
        <v>2.1072634628634566</v>
      </c>
      <c r="AD280" s="6">
        <f t="shared" si="32"/>
        <v>2.108237112936683</v>
      </c>
      <c r="AE280" s="6">
        <f t="shared" si="32"/>
        <v>2.1092194018842267</v>
      </c>
      <c r="AF280" s="6">
        <f t="shared" si="32"/>
        <v>2.1102990594472635</v>
      </c>
      <c r="AG280" s="6">
        <f t="shared" si="32"/>
        <v>2.111290921628826</v>
      </c>
      <c r="AH280" s="6">
        <f t="shared" si="32"/>
        <v>2.1122799401936811</v>
      </c>
      <c r="AI280" s="6">
        <f t="shared" si="32"/>
        <v>2.1112000278180858</v>
      </c>
      <c r="AJ280" s="6">
        <f t="shared" si="32"/>
        <v>2.1103306798551515</v>
      </c>
      <c r="AK280" s="6">
        <f t="shared" si="32"/>
        <v>2.1101094951418742</v>
      </c>
      <c r="AL280" s="6">
        <f t="shared" si="32"/>
        <v>2.1096059383398926</v>
      </c>
      <c r="AM280" s="6">
        <f t="shared" si="32"/>
        <v>2.1092481585994376</v>
      </c>
      <c r="AN280" s="6">
        <f t="shared" si="32"/>
        <v>2.1097534689900965</v>
      </c>
      <c r="AO280" s="6">
        <f t="shared" si="32"/>
        <v>2.1104113308908192</v>
      </c>
      <c r="AP280" s="6">
        <f t="shared" si="32"/>
        <v>2.1116364299677408</v>
      </c>
      <c r="AQ280" s="6">
        <f t="shared" si="32"/>
        <v>2.1125587757518622</v>
      </c>
      <c r="AR280" s="6">
        <f t="shared" si="32"/>
        <v>2.1136062335559775</v>
      </c>
      <c r="AS280" s="6">
        <f t="shared" si="32"/>
        <v>2.1133532196437126</v>
      </c>
      <c r="AT280" s="6">
        <f t="shared" si="32"/>
        <v>2.1131063984322855</v>
      </c>
      <c r="AU280" s="6">
        <f t="shared" si="32"/>
        <v>2.1131415138814895</v>
      </c>
      <c r="AV280" s="6">
        <f t="shared" si="32"/>
        <v>2.1128995305593152</v>
      </c>
      <c r="AW280" s="6">
        <f t="shared" si="32"/>
        <v>2.1126573828893354</v>
      </c>
      <c r="AX280" s="6">
        <f t="shared" si="32"/>
        <v>2.1119413866548595</v>
      </c>
      <c r="AY280" s="6">
        <f t="shared" si="32"/>
        <v>2.1110335415794079</v>
      </c>
      <c r="AZ280" s="6">
        <f t="shared" si="32"/>
        <v>2.1101089434915443</v>
      </c>
      <c r="BA280" s="6">
        <f t="shared" si="32"/>
        <v>2.1091675389331486</v>
      </c>
    </row>
    <row r="281" spans="1:53" outlineLevel="1" x14ac:dyDescent="0.35">
      <c r="A281" s="6" t="s">
        <v>36</v>
      </c>
      <c r="B281" s="6">
        <f t="shared" si="30"/>
        <v>0.38509641321729721</v>
      </c>
      <c r="AB281" s="6" t="s">
        <v>123</v>
      </c>
      <c r="AC281" s="6">
        <f t="shared" ref="AC281:BA281" si="33">B302</f>
        <v>0.19327164397677049</v>
      </c>
      <c r="AD281" s="6">
        <f t="shared" si="33"/>
        <v>0.19286268196819376</v>
      </c>
      <c r="AE281" s="6">
        <f t="shared" si="33"/>
        <v>0.19245106727162159</v>
      </c>
      <c r="AF281" s="6">
        <f t="shared" si="33"/>
        <v>0.19205082311920368</v>
      </c>
      <c r="AG281" s="6">
        <f t="shared" si="33"/>
        <v>0.19163481112862024</v>
      </c>
      <c r="AH281" s="6">
        <f t="shared" si="33"/>
        <v>0.19121697625528927</v>
      </c>
      <c r="AI281" s="6">
        <f t="shared" si="33"/>
        <v>0.20205314058630483</v>
      </c>
      <c r="AJ281" s="6">
        <f t="shared" si="33"/>
        <v>0.21284435312303196</v>
      </c>
      <c r="AK281" s="6">
        <f t="shared" si="33"/>
        <v>0.22361489661661574</v>
      </c>
      <c r="AL281" s="6">
        <f t="shared" si="33"/>
        <v>0.23432571950889533</v>
      </c>
      <c r="AM281" s="6">
        <f t="shared" si="33"/>
        <v>0.24499355797938746</v>
      </c>
      <c r="AN281" s="6">
        <f t="shared" si="33"/>
        <v>0.26592744365462551</v>
      </c>
      <c r="AO281" s="6">
        <f t="shared" si="33"/>
        <v>0.28686625892288159</v>
      </c>
      <c r="AP281" s="6">
        <f t="shared" si="33"/>
        <v>0.30782685238796836</v>
      </c>
      <c r="AQ281" s="6">
        <f t="shared" si="33"/>
        <v>0.32877496479178442</v>
      </c>
      <c r="AR281" s="6">
        <f t="shared" si="33"/>
        <v>0.34972737227065698</v>
      </c>
      <c r="AS281" s="6">
        <f t="shared" si="33"/>
        <v>0.35058084229025405</v>
      </c>
      <c r="AT281" s="6">
        <f t="shared" si="33"/>
        <v>0.35142860194651865</v>
      </c>
      <c r="AU281" s="6">
        <f t="shared" si="33"/>
        <v>0.35228068155830539</v>
      </c>
      <c r="AV281" s="6">
        <f t="shared" si="33"/>
        <v>0.35311764036342191</v>
      </c>
      <c r="AW281" s="6">
        <f t="shared" si="33"/>
        <v>0.35394951626315635</v>
      </c>
      <c r="AX281" s="6">
        <f t="shared" si="33"/>
        <v>0.34489270849860076</v>
      </c>
      <c r="AY281" s="6">
        <f t="shared" si="33"/>
        <v>0.33573280752768903</v>
      </c>
      <c r="AZ281" s="6">
        <f t="shared" si="33"/>
        <v>0.32657805421054942</v>
      </c>
      <c r="BA281" s="6">
        <f t="shared" si="33"/>
        <v>0.31742825507446881</v>
      </c>
    </row>
    <row r="282" spans="1:53" outlineLevel="1" x14ac:dyDescent="0.35">
      <c r="A282" s="6" t="s">
        <v>38</v>
      </c>
      <c r="B282" s="6">
        <f t="shared" si="30"/>
        <v>1.1559612989447181</v>
      </c>
      <c r="AB282" s="6" t="s">
        <v>124</v>
      </c>
      <c r="AC282" s="6">
        <f>-$AC$264*$AC$263</f>
        <v>-0.625</v>
      </c>
      <c r="AD282" s="6">
        <f t="shared" ref="AD282:BA282" si="34">-$AC$264*$AC$263</f>
        <v>-0.625</v>
      </c>
      <c r="AE282" s="6">
        <f t="shared" si="34"/>
        <v>-0.625</v>
      </c>
      <c r="AF282" s="6">
        <f t="shared" si="34"/>
        <v>-0.625</v>
      </c>
      <c r="AG282" s="6">
        <f t="shared" si="34"/>
        <v>-0.625</v>
      </c>
      <c r="AH282" s="6">
        <f t="shared" si="34"/>
        <v>-0.625</v>
      </c>
      <c r="AI282" s="6">
        <f t="shared" si="34"/>
        <v>-0.625</v>
      </c>
      <c r="AJ282" s="6">
        <f t="shared" si="34"/>
        <v>-0.625</v>
      </c>
      <c r="AK282" s="6">
        <f t="shared" si="34"/>
        <v>-0.625</v>
      </c>
      <c r="AL282" s="6">
        <f t="shared" si="34"/>
        <v>-0.625</v>
      </c>
      <c r="AM282" s="6">
        <f t="shared" si="34"/>
        <v>-0.625</v>
      </c>
      <c r="AN282" s="6">
        <f t="shared" si="34"/>
        <v>-0.625</v>
      </c>
      <c r="AO282" s="6">
        <f t="shared" si="34"/>
        <v>-0.625</v>
      </c>
      <c r="AP282" s="6">
        <f t="shared" si="34"/>
        <v>-0.625</v>
      </c>
      <c r="AQ282" s="6">
        <f t="shared" si="34"/>
        <v>-0.625</v>
      </c>
      <c r="AR282" s="6">
        <f t="shared" si="34"/>
        <v>-0.625</v>
      </c>
      <c r="AS282" s="6">
        <f t="shared" si="34"/>
        <v>-0.625</v>
      </c>
      <c r="AT282" s="6">
        <f t="shared" si="34"/>
        <v>-0.625</v>
      </c>
      <c r="AU282" s="6">
        <f t="shared" si="34"/>
        <v>-0.625</v>
      </c>
      <c r="AV282" s="6">
        <f t="shared" si="34"/>
        <v>-0.625</v>
      </c>
      <c r="AW282" s="6">
        <f t="shared" si="34"/>
        <v>-0.625</v>
      </c>
      <c r="AX282" s="6">
        <f t="shared" si="34"/>
        <v>-0.625</v>
      </c>
      <c r="AY282" s="6">
        <f t="shared" si="34"/>
        <v>-0.625</v>
      </c>
      <c r="AZ282" s="6">
        <f t="shared" si="34"/>
        <v>-0.625</v>
      </c>
      <c r="BA282" s="6">
        <f t="shared" si="34"/>
        <v>-0.625</v>
      </c>
    </row>
    <row r="283" spans="1:53" outlineLevel="1" x14ac:dyDescent="0.35">
      <c r="A283" s="6" t="s">
        <v>39</v>
      </c>
      <c r="B283" s="6">
        <f t="shared" si="30"/>
        <v>8.6059324911248591</v>
      </c>
      <c r="AB283" s="23" t="s">
        <v>125</v>
      </c>
      <c r="AC283" s="17">
        <f t="shared" ref="AC283:BA283" si="35">SUM(AC274:AC282)</f>
        <v>20.990248168841866</v>
      </c>
      <c r="AD283" s="17">
        <f t="shared" si="35"/>
        <v>5.4521574611407218</v>
      </c>
      <c r="AE283" s="17">
        <f t="shared" si="35"/>
        <v>5.452728135391693</v>
      </c>
      <c r="AF283" s="17">
        <f t="shared" si="35"/>
        <v>5.6024043029261188</v>
      </c>
      <c r="AG283" s="17">
        <f t="shared" si="35"/>
        <v>5.4539833989932909</v>
      </c>
      <c r="AH283" s="17">
        <f t="shared" si="35"/>
        <v>5.454554582684815</v>
      </c>
      <c r="AI283" s="17">
        <f t="shared" si="35"/>
        <v>5.6134455083453521</v>
      </c>
      <c r="AJ283" s="17">
        <f t="shared" si="35"/>
        <v>5.4742326992140278</v>
      </c>
      <c r="AK283" s="17">
        <f t="shared" si="35"/>
        <v>5.4847820579943347</v>
      </c>
      <c r="AL283" s="17">
        <f t="shared" si="35"/>
        <v>5.6448435275024824</v>
      </c>
      <c r="AM283" s="17">
        <f t="shared" si="35"/>
        <v>5.5052993828146697</v>
      </c>
      <c r="AN283" s="17">
        <f t="shared" si="35"/>
        <v>5.5267385788805665</v>
      </c>
      <c r="AO283" s="17">
        <f t="shared" si="35"/>
        <v>5.6991282832143177</v>
      </c>
      <c r="AP283" s="17">
        <f t="shared" si="35"/>
        <v>5.5705209485915539</v>
      </c>
      <c r="AQ283" s="17">
        <f t="shared" si="35"/>
        <v>5.592391406779492</v>
      </c>
      <c r="AR283" s="17">
        <f t="shared" si="35"/>
        <v>5.7663835985383169</v>
      </c>
      <c r="AS283" s="17">
        <f t="shared" si="35"/>
        <v>5.6149917281698123</v>
      </c>
      <c r="AT283" s="17">
        <f t="shared" si="35"/>
        <v>5.6155926666146492</v>
      </c>
      <c r="AU283" s="17">
        <f t="shared" si="35"/>
        <v>5.7681073950223425</v>
      </c>
      <c r="AV283" s="17">
        <f t="shared" si="35"/>
        <v>5.6170748371585821</v>
      </c>
      <c r="AW283" s="17">
        <f t="shared" si="35"/>
        <v>5.6176645653883366</v>
      </c>
      <c r="AX283" s="17">
        <f t="shared" si="35"/>
        <v>5.7588595611370836</v>
      </c>
      <c r="AY283" s="17">
        <f t="shared" si="35"/>
        <v>5.5978240153429422</v>
      </c>
      <c r="AZ283" s="17">
        <f t="shared" si="35"/>
        <v>5.5877446639379391</v>
      </c>
      <c r="BA283" s="17">
        <f t="shared" si="35"/>
        <v>5.8578741262582819</v>
      </c>
    </row>
    <row r="284" spans="1:53" outlineLevel="1" x14ac:dyDescent="0.35">
      <c r="A284" s="6" t="s">
        <v>41</v>
      </c>
      <c r="B284" s="6">
        <f t="shared" si="30"/>
        <v>7.3175031120524259E-3</v>
      </c>
    </row>
    <row r="285" spans="1:53" outlineLevel="1" x14ac:dyDescent="0.35">
      <c r="A285" s="6" t="s">
        <v>43</v>
      </c>
      <c r="B285" s="6">
        <f t="shared" si="30"/>
        <v>4.3736826575301237E-2</v>
      </c>
      <c r="AB285" s="272"/>
      <c r="AC285" s="272"/>
      <c r="AD285" s="272"/>
      <c r="AE285" s="272"/>
      <c r="AF285" s="272"/>
      <c r="AG285" s="272"/>
      <c r="AH285" s="272"/>
      <c r="AI285" s="272"/>
      <c r="AJ285" s="272"/>
      <c r="AK285" s="272"/>
      <c r="AL285" s="272"/>
      <c r="AM285" s="272"/>
      <c r="AN285" s="272"/>
      <c r="AO285" s="272"/>
      <c r="AP285" s="272"/>
      <c r="AQ285" s="272"/>
      <c r="AR285" s="272"/>
      <c r="AS285" s="272"/>
      <c r="AT285" s="272"/>
      <c r="AU285" s="272"/>
      <c r="AV285" s="272"/>
      <c r="AW285" s="272"/>
      <c r="AX285" s="272"/>
      <c r="AY285" s="272"/>
      <c r="AZ285" s="272"/>
      <c r="BA285" s="272"/>
    </row>
    <row r="286" spans="1:53" outlineLevel="1" x14ac:dyDescent="0.35">
      <c r="A286" s="6" t="s">
        <v>44</v>
      </c>
      <c r="B286" s="6">
        <f>B22*AC265</f>
        <v>0.29671071214710926</v>
      </c>
      <c r="AB286" s="272"/>
      <c r="AC286" s="272"/>
      <c r="AD286" s="272"/>
      <c r="AE286" s="272"/>
      <c r="AF286" s="272"/>
      <c r="AG286" s="272"/>
      <c r="AH286" s="272"/>
      <c r="AI286" s="272"/>
      <c r="AJ286" s="272"/>
      <c r="AK286" s="272"/>
      <c r="AL286" s="272"/>
      <c r="AM286" s="272"/>
      <c r="AN286" s="272"/>
      <c r="AO286" s="272"/>
      <c r="AP286" s="272"/>
      <c r="AQ286" s="272"/>
      <c r="AR286" s="272"/>
      <c r="AS286" s="272"/>
      <c r="AT286" s="272"/>
      <c r="AU286" s="272"/>
      <c r="AV286" s="272"/>
      <c r="AW286" s="272"/>
      <c r="AX286" s="272"/>
      <c r="AY286" s="272"/>
      <c r="AZ286" s="272"/>
      <c r="BA286" s="272"/>
    </row>
    <row r="287" spans="1:53" outlineLevel="1" x14ac:dyDescent="0.35">
      <c r="A287" s="6" t="s">
        <v>757</v>
      </c>
      <c r="B287" s="6">
        <f>B23*AC265</f>
        <v>0.37122221991276627</v>
      </c>
      <c r="AB287" s="272"/>
      <c r="AC287" s="272"/>
      <c r="AD287" s="272"/>
      <c r="AE287" s="272"/>
      <c r="AF287" s="272"/>
      <c r="AG287" s="272"/>
      <c r="AH287" s="272"/>
      <c r="AI287" s="272"/>
      <c r="AJ287" s="272"/>
      <c r="AK287" s="272"/>
      <c r="AL287" s="272"/>
      <c r="AM287" s="272"/>
      <c r="AN287" s="272"/>
      <c r="AO287" s="272"/>
      <c r="AP287" s="272"/>
      <c r="AQ287" s="272"/>
      <c r="AR287" s="272"/>
      <c r="AS287" s="272"/>
      <c r="AT287" s="272"/>
      <c r="AU287" s="272"/>
      <c r="AV287" s="272"/>
      <c r="AW287" s="272"/>
      <c r="AX287" s="272"/>
      <c r="AY287" s="272"/>
      <c r="AZ287" s="272"/>
      <c r="BA287" s="272"/>
    </row>
    <row r="288" spans="1:53" outlineLevel="1" x14ac:dyDescent="0.35">
      <c r="A288" s="6" t="s">
        <v>22</v>
      </c>
      <c r="Z288" s="6">
        <f t="shared" ref="Z288:Z299" si="36">Z24</f>
        <v>1.343726090829159E-3</v>
      </c>
      <c r="AB288" s="272"/>
      <c r="AC288" s="272"/>
      <c r="AD288" s="272"/>
      <c r="AE288" s="272"/>
      <c r="AF288" s="272"/>
      <c r="AG288" s="272"/>
      <c r="AH288" s="272"/>
      <c r="AI288" s="272"/>
      <c r="AJ288" s="272"/>
      <c r="AK288" s="272"/>
      <c r="AL288" s="272"/>
      <c r="AM288" s="272"/>
      <c r="AN288" s="272"/>
      <c r="AO288" s="272"/>
      <c r="AP288" s="272"/>
      <c r="AQ288" s="272"/>
      <c r="AR288" s="272"/>
      <c r="AS288" s="272"/>
      <c r="AT288" s="272"/>
      <c r="AU288" s="272"/>
      <c r="AV288" s="272"/>
      <c r="AW288" s="272"/>
      <c r="AX288" s="272"/>
      <c r="AY288" s="272"/>
      <c r="AZ288" s="272"/>
      <c r="BA288" s="272"/>
    </row>
    <row r="289" spans="1:53" outlineLevel="1" x14ac:dyDescent="0.35">
      <c r="A289" s="6" t="s">
        <v>24</v>
      </c>
      <c r="Z289" s="6">
        <f t="shared" si="36"/>
        <v>6.5886015482857579E-4</v>
      </c>
      <c r="AB289" s="272"/>
      <c r="AC289" s="272"/>
      <c r="AD289" s="272"/>
      <c r="AE289" s="272"/>
      <c r="AF289" s="272"/>
      <c r="AG289" s="272"/>
      <c r="AH289" s="272"/>
      <c r="AI289" s="272"/>
      <c r="AJ289" s="272"/>
      <c r="AK289" s="272"/>
      <c r="AL289" s="272"/>
      <c r="AM289" s="272"/>
      <c r="AN289" s="272"/>
      <c r="AO289" s="272"/>
      <c r="AP289" s="272"/>
      <c r="AQ289" s="272"/>
      <c r="AR289" s="272"/>
      <c r="AS289" s="272"/>
      <c r="AT289" s="272"/>
      <c r="AU289" s="272"/>
      <c r="AV289" s="272"/>
      <c r="AW289" s="272"/>
      <c r="AX289" s="272"/>
      <c r="AY289" s="272"/>
      <c r="AZ289" s="272"/>
      <c r="BA289" s="272"/>
    </row>
    <row r="290" spans="1:53" outlineLevel="1" x14ac:dyDescent="0.35">
      <c r="A290" s="6" t="s">
        <v>25</v>
      </c>
      <c r="Z290" s="6">
        <f t="shared" si="36"/>
        <v>2.2860550403126468E-3</v>
      </c>
      <c r="AB290" s="272"/>
      <c r="AC290" s="272"/>
      <c r="AD290" s="272"/>
      <c r="AE290" s="272"/>
      <c r="AF290" s="272"/>
      <c r="AG290" s="272"/>
      <c r="AH290" s="272"/>
      <c r="AI290" s="272"/>
      <c r="AJ290" s="272"/>
      <c r="AK290" s="272"/>
      <c r="AL290" s="272"/>
      <c r="AM290" s="272"/>
      <c r="AN290" s="272"/>
      <c r="AO290" s="272"/>
      <c r="AP290" s="272"/>
      <c r="AQ290" s="272"/>
      <c r="AR290" s="272"/>
      <c r="AS290" s="272"/>
      <c r="AT290" s="272"/>
      <c r="AU290" s="272"/>
      <c r="AV290" s="272"/>
      <c r="AW290" s="272"/>
      <c r="AX290" s="272"/>
      <c r="AY290" s="272"/>
      <c r="AZ290" s="272"/>
      <c r="BA290" s="272"/>
    </row>
    <row r="291" spans="1:53" outlineLevel="1" x14ac:dyDescent="0.35">
      <c r="A291" s="6" t="s">
        <v>27</v>
      </c>
      <c r="Z291" s="6">
        <f t="shared" si="36"/>
        <v>1.0411294652998089E-3</v>
      </c>
      <c r="AB291" s="272"/>
      <c r="AC291" s="272"/>
      <c r="AD291" s="272"/>
      <c r="AE291" s="272"/>
      <c r="AF291" s="272"/>
      <c r="AG291" s="272"/>
      <c r="AH291" s="272"/>
      <c r="AI291" s="272"/>
      <c r="AJ291" s="272"/>
      <c r="AK291" s="272"/>
      <c r="AL291" s="272"/>
      <c r="AM291" s="272"/>
      <c r="AN291" s="272"/>
      <c r="AO291" s="272"/>
      <c r="AP291" s="272"/>
      <c r="AQ291" s="272"/>
      <c r="AR291" s="272"/>
      <c r="AS291" s="272"/>
      <c r="AT291" s="272"/>
      <c r="AU291" s="272"/>
      <c r="AV291" s="272"/>
      <c r="AW291" s="272"/>
      <c r="AX291" s="272"/>
      <c r="AY291" s="272"/>
      <c r="AZ291" s="272"/>
      <c r="BA291" s="272"/>
    </row>
    <row r="292" spans="1:53" outlineLevel="1" x14ac:dyDescent="0.35">
      <c r="A292" s="6" t="s">
        <v>30</v>
      </c>
      <c r="Z292" s="6">
        <f t="shared" si="36"/>
        <v>1.758089009492816E-3</v>
      </c>
      <c r="AB292" s="272"/>
      <c r="AC292" s="272"/>
      <c r="AD292" s="272"/>
      <c r="AE292" s="272"/>
      <c r="AF292" s="272"/>
      <c r="AG292" s="272"/>
      <c r="AH292" s="272"/>
      <c r="AI292" s="272"/>
      <c r="AJ292" s="272"/>
      <c r="AK292" s="272"/>
      <c r="AL292" s="272"/>
      <c r="AM292" s="272"/>
      <c r="AN292" s="272"/>
      <c r="AO292" s="272"/>
      <c r="AP292" s="272"/>
      <c r="AQ292" s="272"/>
      <c r="AR292" s="272"/>
      <c r="AS292" s="272"/>
      <c r="AT292" s="272"/>
      <c r="AU292" s="272"/>
      <c r="AV292" s="272"/>
      <c r="AW292" s="272"/>
      <c r="AX292" s="272"/>
      <c r="AY292" s="272"/>
      <c r="AZ292" s="272"/>
      <c r="BA292" s="272"/>
    </row>
    <row r="293" spans="1:53" outlineLevel="1" x14ac:dyDescent="0.35">
      <c r="A293" s="6" t="s">
        <v>32</v>
      </c>
      <c r="Z293" s="6">
        <f t="shared" si="36"/>
        <v>6.66883333608157E-4</v>
      </c>
      <c r="AB293" s="272"/>
      <c r="AC293" s="272"/>
      <c r="AD293" s="272"/>
      <c r="AE293" s="272"/>
      <c r="AF293" s="272"/>
      <c r="AG293" s="272"/>
      <c r="AH293" s="272"/>
      <c r="AI293" s="272"/>
      <c r="AJ293" s="272"/>
      <c r="AK293" s="272"/>
      <c r="AL293" s="272"/>
      <c r="AM293" s="272"/>
      <c r="AN293" s="272"/>
      <c r="AO293" s="272"/>
      <c r="AP293" s="272"/>
      <c r="AQ293" s="272"/>
      <c r="AR293" s="272"/>
      <c r="AS293" s="272"/>
      <c r="AT293" s="272"/>
      <c r="AU293" s="272"/>
      <c r="AV293" s="272"/>
      <c r="AW293" s="272"/>
      <c r="AX293" s="272"/>
      <c r="AY293" s="272"/>
      <c r="AZ293" s="272"/>
      <c r="BA293" s="272"/>
    </row>
    <row r="294" spans="1:53" outlineLevel="1" x14ac:dyDescent="0.35">
      <c r="A294" s="6" t="s">
        <v>33</v>
      </c>
      <c r="Z294" s="6">
        <f t="shared" si="36"/>
        <v>4.3925185887206151E-4</v>
      </c>
      <c r="AB294" s="272"/>
      <c r="AC294" s="272"/>
      <c r="AD294" s="272"/>
      <c r="AE294" s="272"/>
      <c r="AF294" s="272"/>
      <c r="AG294" s="272"/>
      <c r="AH294" s="272"/>
      <c r="AI294" s="272"/>
      <c r="AJ294" s="272"/>
      <c r="AK294" s="272"/>
      <c r="AL294" s="272"/>
      <c r="AM294" s="272"/>
      <c r="AN294" s="272"/>
      <c r="AO294" s="272"/>
      <c r="AP294" s="272"/>
      <c r="AQ294" s="272"/>
      <c r="AR294" s="272"/>
      <c r="AS294" s="272"/>
      <c r="AT294" s="272"/>
      <c r="AU294" s="272"/>
      <c r="AV294" s="272"/>
      <c r="AW294" s="272"/>
      <c r="AX294" s="272"/>
      <c r="AY294" s="272"/>
      <c r="AZ294" s="272"/>
      <c r="BA294" s="272"/>
    </row>
    <row r="295" spans="1:53" outlineLevel="1" x14ac:dyDescent="0.35">
      <c r="A295" s="6" t="s">
        <v>35</v>
      </c>
      <c r="Z295" s="6">
        <f t="shared" si="36"/>
        <v>8.7850371774412291E-4</v>
      </c>
      <c r="AB295" s="272"/>
      <c r="AC295" s="272"/>
      <c r="AD295" s="272"/>
      <c r="AE295" s="272"/>
      <c r="AF295" s="272"/>
      <c r="AG295" s="272"/>
      <c r="AH295" s="272"/>
      <c r="AI295" s="272"/>
      <c r="AJ295" s="272"/>
      <c r="AK295" s="272"/>
      <c r="AL295" s="272"/>
      <c r="AM295" s="272"/>
      <c r="AN295" s="272"/>
      <c r="AO295" s="272"/>
      <c r="AP295" s="272"/>
      <c r="AQ295" s="272"/>
      <c r="AR295" s="272"/>
      <c r="AS295" s="272"/>
      <c r="AT295" s="272"/>
      <c r="AU295" s="272"/>
      <c r="AV295" s="272"/>
      <c r="AW295" s="272"/>
      <c r="AX295" s="272"/>
      <c r="AY295" s="272"/>
      <c r="AZ295" s="272"/>
      <c r="BA295" s="272"/>
    </row>
    <row r="296" spans="1:53" outlineLevel="1" x14ac:dyDescent="0.35">
      <c r="A296" s="6" t="s">
        <v>37</v>
      </c>
      <c r="Z296" s="6">
        <f t="shared" si="36"/>
        <v>2.5913778922868631E-3</v>
      </c>
      <c r="AB296" s="272"/>
      <c r="AC296" s="272"/>
      <c r="AD296" s="272"/>
      <c r="AE296" s="272"/>
      <c r="AF296" s="272"/>
      <c r="AG296" s="272"/>
      <c r="AH296" s="272"/>
      <c r="AI296" s="272"/>
      <c r="AJ296" s="272"/>
      <c r="AK296" s="272"/>
      <c r="AL296" s="272"/>
      <c r="AM296" s="272"/>
      <c r="AN296" s="272"/>
      <c r="AO296" s="272"/>
      <c r="AP296" s="272"/>
      <c r="AQ296" s="272"/>
      <c r="AR296" s="272"/>
      <c r="AS296" s="272"/>
      <c r="AT296" s="272"/>
      <c r="AU296" s="272"/>
      <c r="AV296" s="272"/>
      <c r="AW296" s="272"/>
      <c r="AX296" s="272"/>
      <c r="AY296" s="272"/>
      <c r="AZ296" s="272"/>
      <c r="BA296" s="272"/>
    </row>
    <row r="297" spans="1:53" outlineLevel="1" x14ac:dyDescent="0.35">
      <c r="A297" s="6" t="s">
        <v>40</v>
      </c>
      <c r="Z297" s="6">
        <f t="shared" si="36"/>
        <v>9.300082599118692E-2</v>
      </c>
    </row>
    <row r="298" spans="1:53" outlineLevel="1" x14ac:dyDescent="0.35">
      <c r="A298" s="6" t="s">
        <v>42</v>
      </c>
      <c r="Z298" s="6">
        <f t="shared" si="36"/>
        <v>1.652255685400816E-3</v>
      </c>
    </row>
    <row r="299" spans="1:53" outlineLevel="1" x14ac:dyDescent="0.35">
      <c r="A299" s="6" t="s">
        <v>115</v>
      </c>
      <c r="Z299" s="6">
        <f t="shared" si="36"/>
        <v>2.3216471881549992E-2</v>
      </c>
    </row>
    <row r="300" spans="1:53" outlineLevel="1" x14ac:dyDescent="0.35">
      <c r="A300" s="6" t="s">
        <v>45</v>
      </c>
      <c r="Z300" s="6">
        <f>Z36*AC265</f>
        <v>9.3072420263279993E-4</v>
      </c>
    </row>
    <row r="301" spans="1:53" outlineLevel="1" x14ac:dyDescent="0.35">
      <c r="A301" s="6" t="s">
        <v>116</v>
      </c>
      <c r="B301" s="6">
        <f>B37</f>
        <v>0.1490671536669359</v>
      </c>
      <c r="C301" s="6">
        <f t="shared" ref="C301:Z301" si="37">C37</f>
        <v>0.14903552208451901</v>
      </c>
      <c r="D301" s="6">
        <f t="shared" si="37"/>
        <v>0.14900409124176461</v>
      </c>
      <c r="E301" s="6">
        <f t="shared" si="37"/>
        <v>0.14899675412380661</v>
      </c>
      <c r="F301" s="6">
        <f t="shared" si="37"/>
        <v>0.1489647117300914</v>
      </c>
      <c r="G301" s="6">
        <f t="shared" si="37"/>
        <v>0.14893252576017491</v>
      </c>
      <c r="H301" s="6">
        <f t="shared" si="37"/>
        <v>0.14913467370511721</v>
      </c>
      <c r="I301" s="6">
        <f t="shared" si="37"/>
        <v>0.149339481801325</v>
      </c>
      <c r="J301" s="6">
        <f t="shared" si="37"/>
        <v>0.14964233019068271</v>
      </c>
      <c r="K301" s="6">
        <f t="shared" si="37"/>
        <v>0.14985420341785011</v>
      </c>
      <c r="L301" s="6">
        <f t="shared" si="37"/>
        <v>0.15006804233852261</v>
      </c>
      <c r="M301" s="6">
        <f t="shared" si="37"/>
        <v>0.1504290310217074</v>
      </c>
      <c r="N301" s="6">
        <f t="shared" si="37"/>
        <v>0.15079302716477189</v>
      </c>
      <c r="O301" s="6">
        <f t="shared" si="37"/>
        <v>0.15124443040310401</v>
      </c>
      <c r="P301" s="6">
        <f t="shared" si="37"/>
        <v>0.151617050465884</v>
      </c>
      <c r="Q301" s="6">
        <f t="shared" si="37"/>
        <v>0.15199232647583841</v>
      </c>
      <c r="R301" s="6">
        <f t="shared" si="37"/>
        <v>0.15185481880401791</v>
      </c>
      <c r="S301" s="6">
        <f t="shared" si="37"/>
        <v>0.1517160014958327</v>
      </c>
      <c r="T301" s="6">
        <f t="shared" si="37"/>
        <v>0.15162753334670259</v>
      </c>
      <c r="U301" s="6">
        <f t="shared" si="37"/>
        <v>0.1514859571713543</v>
      </c>
      <c r="V301" s="6">
        <f t="shared" si="37"/>
        <v>0.15134294203733781</v>
      </c>
      <c r="W301" s="6">
        <f t="shared" si="37"/>
        <v>0.15096779974777791</v>
      </c>
      <c r="X301" s="6">
        <f t="shared" si="37"/>
        <v>0.15056652186544831</v>
      </c>
      <c r="Y301" s="6">
        <f t="shared" si="37"/>
        <v>0.15016276939309101</v>
      </c>
      <c r="Z301" s="6">
        <f t="shared" si="37"/>
        <v>0.149756511690775</v>
      </c>
    </row>
    <row r="302" spans="1:53" outlineLevel="1" x14ac:dyDescent="0.35">
      <c r="A302" s="6" t="s">
        <v>758</v>
      </c>
      <c r="B302" s="6">
        <f>B38*$AC$265</f>
        <v>0.19327164397677049</v>
      </c>
      <c r="C302" s="6">
        <f t="shared" ref="C302:Z303" si="38">C38*$AC$265</f>
        <v>0.19286268196819376</v>
      </c>
      <c r="D302" s="6">
        <f t="shared" si="38"/>
        <v>0.19245106727162159</v>
      </c>
      <c r="E302" s="6">
        <f t="shared" si="38"/>
        <v>0.19205082311920368</v>
      </c>
      <c r="F302" s="6">
        <f t="shared" si="38"/>
        <v>0.19163481112862024</v>
      </c>
      <c r="G302" s="6">
        <f t="shared" si="38"/>
        <v>0.19121697625528927</v>
      </c>
      <c r="H302" s="6">
        <f t="shared" si="38"/>
        <v>0.20205314058630483</v>
      </c>
      <c r="I302" s="6">
        <f t="shared" si="38"/>
        <v>0.21284435312303196</v>
      </c>
      <c r="J302" s="6">
        <f t="shared" si="38"/>
        <v>0.22361489661661574</v>
      </c>
      <c r="K302" s="6">
        <f t="shared" si="38"/>
        <v>0.23432571950889533</v>
      </c>
      <c r="L302" s="6">
        <f t="shared" si="38"/>
        <v>0.24499355797938746</v>
      </c>
      <c r="M302" s="6">
        <f t="shared" si="38"/>
        <v>0.26592744365462551</v>
      </c>
      <c r="N302" s="6">
        <f t="shared" si="38"/>
        <v>0.28686625892288159</v>
      </c>
      <c r="O302" s="6">
        <f t="shared" si="38"/>
        <v>0.30782685238796836</v>
      </c>
      <c r="P302" s="6">
        <f t="shared" si="38"/>
        <v>0.32877496479178442</v>
      </c>
      <c r="Q302" s="6">
        <f t="shared" si="38"/>
        <v>0.34972737227065698</v>
      </c>
      <c r="R302" s="6">
        <f t="shared" si="38"/>
        <v>0.35058084229025405</v>
      </c>
      <c r="S302" s="6">
        <f t="shared" si="38"/>
        <v>0.35142860194651865</v>
      </c>
      <c r="T302" s="6">
        <f t="shared" si="38"/>
        <v>0.35228068155830539</v>
      </c>
      <c r="U302" s="6">
        <f t="shared" si="38"/>
        <v>0.35311764036342191</v>
      </c>
      <c r="V302" s="6">
        <f t="shared" si="38"/>
        <v>0.35394951626315635</v>
      </c>
      <c r="W302" s="6">
        <f t="shared" si="38"/>
        <v>0.34489270849860076</v>
      </c>
      <c r="X302" s="6">
        <f t="shared" si="38"/>
        <v>0.33573280752768903</v>
      </c>
      <c r="Y302" s="6">
        <f t="shared" si="38"/>
        <v>0.32657805421054942</v>
      </c>
      <c r="Z302" s="6">
        <f t="shared" si="38"/>
        <v>0.31742825507446881</v>
      </c>
    </row>
    <row r="303" spans="1:53" outlineLevel="1" x14ac:dyDescent="0.35">
      <c r="A303" s="6" t="s">
        <v>759</v>
      </c>
      <c r="B303" s="6">
        <f>B39*$AC$265</f>
        <v>0</v>
      </c>
      <c r="C303" s="6">
        <f t="shared" si="38"/>
        <v>0</v>
      </c>
      <c r="D303" s="6">
        <f t="shared" si="38"/>
        <v>0</v>
      </c>
      <c r="E303" s="6">
        <f t="shared" si="38"/>
        <v>0</v>
      </c>
      <c r="F303" s="6">
        <f t="shared" si="38"/>
        <v>0</v>
      </c>
      <c r="G303" s="6">
        <f t="shared" si="38"/>
        <v>0</v>
      </c>
      <c r="H303" s="6">
        <f t="shared" si="38"/>
        <v>0</v>
      </c>
      <c r="I303" s="6">
        <f t="shared" si="38"/>
        <v>0</v>
      </c>
      <c r="J303" s="6">
        <f t="shared" si="38"/>
        <v>0</v>
      </c>
      <c r="K303" s="6">
        <f t="shared" si="38"/>
        <v>0</v>
      </c>
      <c r="L303" s="6">
        <f t="shared" si="38"/>
        <v>0</v>
      </c>
      <c r="M303" s="6">
        <f t="shared" si="38"/>
        <v>0</v>
      </c>
      <c r="N303" s="6">
        <f t="shared" si="38"/>
        <v>0</v>
      </c>
      <c r="O303" s="6">
        <f t="shared" si="38"/>
        <v>0</v>
      </c>
      <c r="P303" s="6">
        <f t="shared" si="38"/>
        <v>0</v>
      </c>
      <c r="Q303" s="6">
        <f t="shared" si="38"/>
        <v>0</v>
      </c>
      <c r="R303" s="6">
        <f t="shared" si="38"/>
        <v>0</v>
      </c>
      <c r="S303" s="6">
        <f t="shared" si="38"/>
        <v>0</v>
      </c>
      <c r="T303" s="6">
        <f t="shared" si="38"/>
        <v>0</v>
      </c>
      <c r="U303" s="6">
        <f t="shared" si="38"/>
        <v>0</v>
      </c>
      <c r="V303" s="6">
        <f t="shared" si="38"/>
        <v>0</v>
      </c>
      <c r="W303" s="6">
        <f t="shared" si="38"/>
        <v>0</v>
      </c>
      <c r="X303" s="6">
        <f t="shared" si="38"/>
        <v>0</v>
      </c>
      <c r="Y303" s="6">
        <f t="shared" si="38"/>
        <v>0</v>
      </c>
      <c r="Z303" s="6">
        <f t="shared" si="38"/>
        <v>0</v>
      </c>
    </row>
    <row r="304" spans="1:53" outlineLevel="1" x14ac:dyDescent="0.35">
      <c r="A304" s="6" t="s">
        <v>760</v>
      </c>
      <c r="B304" s="6">
        <f>$B$252*$AC$264*'Results - raw data ReCiPe (E)'!C114/(1-0.5)*(1+'Results ReCiPe (E) - HHD'!$AC$271/'Results ReCiPe (E) - HHD'!$AC$272-'Results ReCiPe (E) - HHD'!$AC$271)</f>
        <v>2.1072634628634566</v>
      </c>
      <c r="C304" s="6">
        <f>$B$252*$AC$264*'Results - raw data ReCiPe (E)'!D114/(1-0.5)*(1+'Results ReCiPe (E) - HHD'!$AC$271/'Results ReCiPe (E) - HHD'!$AC$272-'Results ReCiPe (E) - HHD'!$AC$271)</f>
        <v>2.108237112936683</v>
      </c>
      <c r="D304" s="6">
        <f>$B$252*$AC$264*'Results - raw data ReCiPe (E)'!E114/(1-0.5)*(1+'Results ReCiPe (E) - HHD'!$AC$271/'Results ReCiPe (E) - HHD'!$AC$272-'Results ReCiPe (E) - HHD'!$AC$271)</f>
        <v>2.1092194018842267</v>
      </c>
      <c r="E304" s="6">
        <f>$B$252*$AC$264*'Results - raw data ReCiPe (E)'!F114/(1-0.5)*(1+'Results ReCiPe (E) - HHD'!$AC$271/'Results ReCiPe (E) - HHD'!$AC$272-'Results ReCiPe (E) - HHD'!$AC$271)</f>
        <v>2.1102990594472635</v>
      </c>
      <c r="F304" s="6">
        <f>$B$252*$AC$264*'Results - raw data ReCiPe (E)'!G114/(1-0.5)*(1+'Results ReCiPe (E) - HHD'!$AC$271/'Results ReCiPe (E) - HHD'!$AC$272-'Results ReCiPe (E) - HHD'!$AC$271)</f>
        <v>2.111290921628826</v>
      </c>
      <c r="G304" s="6">
        <f>$B$252*$AC$264*'Results - raw data ReCiPe (E)'!H114/(1-0.5)*(1+'Results ReCiPe (E) - HHD'!$AC$271/'Results ReCiPe (E) - HHD'!$AC$272-'Results ReCiPe (E) - HHD'!$AC$271)</f>
        <v>2.1122799401936811</v>
      </c>
      <c r="H304" s="6">
        <f>$B$252*$AC$264*'Results - raw data ReCiPe (E)'!I114/(1-0.5)*(1+'Results ReCiPe (E) - HHD'!$AC$271/'Results ReCiPe (E) - HHD'!$AC$272-'Results ReCiPe (E) - HHD'!$AC$271)</f>
        <v>2.1112000278180858</v>
      </c>
      <c r="I304" s="6">
        <f>$B$252*$AC$264*'Results - raw data ReCiPe (E)'!J114/(1-0.5)*(1+'Results ReCiPe (E) - HHD'!$AC$271/'Results ReCiPe (E) - HHD'!$AC$272-'Results ReCiPe (E) - HHD'!$AC$271)</f>
        <v>2.1103306798551515</v>
      </c>
      <c r="J304" s="6">
        <f>$B$252*$AC$264*'Results - raw data ReCiPe (E)'!K114/(1-0.5)*(1+'Results ReCiPe (E) - HHD'!$AC$271/'Results ReCiPe (E) - HHD'!$AC$272-'Results ReCiPe (E) - HHD'!$AC$271)</f>
        <v>2.1101094951418742</v>
      </c>
      <c r="K304" s="6">
        <f>$B$252*$AC$264*'Results - raw data ReCiPe (E)'!L114/(1-0.5)*(1+'Results ReCiPe (E) - HHD'!$AC$271/'Results ReCiPe (E) - HHD'!$AC$272-'Results ReCiPe (E) - HHD'!$AC$271)</f>
        <v>2.1096059383398926</v>
      </c>
      <c r="L304" s="6">
        <f>$B$252*$AC$264*'Results - raw data ReCiPe (E)'!M114/(1-0.5)*(1+'Results ReCiPe (E) - HHD'!$AC$271/'Results ReCiPe (E) - HHD'!$AC$272-'Results ReCiPe (E) - HHD'!$AC$271)</f>
        <v>2.1092481585994376</v>
      </c>
      <c r="M304" s="6">
        <f>$B$252*$AC$264*'Results - raw data ReCiPe (E)'!N114/(1-0.5)*(1+'Results ReCiPe (E) - HHD'!$AC$271/'Results ReCiPe (E) - HHD'!$AC$272-'Results ReCiPe (E) - HHD'!$AC$271)</f>
        <v>2.1097534689900965</v>
      </c>
      <c r="N304" s="6">
        <f>$B$252*$AC$264*'Results - raw data ReCiPe (E)'!O114/(1-0.5)*(1+'Results ReCiPe (E) - HHD'!$AC$271/'Results ReCiPe (E) - HHD'!$AC$272-'Results ReCiPe (E) - HHD'!$AC$271)</f>
        <v>2.1104113308908192</v>
      </c>
      <c r="O304" s="6">
        <f>$B$252*$AC$264*'Results - raw data ReCiPe (E)'!P114/(1-0.5)*(1+'Results ReCiPe (E) - HHD'!$AC$271/'Results ReCiPe (E) - HHD'!$AC$272-'Results ReCiPe (E) - HHD'!$AC$271)</f>
        <v>2.1116364299677408</v>
      </c>
      <c r="P304" s="6">
        <f>$B$252*$AC$264*'Results - raw data ReCiPe (E)'!Q114/(1-0.5)*(1+'Results ReCiPe (E) - HHD'!$AC$271/'Results ReCiPe (E) - HHD'!$AC$272-'Results ReCiPe (E) - HHD'!$AC$271)</f>
        <v>2.1125587757518622</v>
      </c>
      <c r="Q304" s="6">
        <f>$B$252*$AC$264*'Results - raw data ReCiPe (E)'!R114/(1-0.5)*(1+'Results ReCiPe (E) - HHD'!$AC$271/'Results ReCiPe (E) - HHD'!$AC$272-'Results ReCiPe (E) - HHD'!$AC$271)</f>
        <v>2.1136062335559775</v>
      </c>
      <c r="R304" s="6">
        <f>$B$252*$AC$264*'Results - raw data ReCiPe (E)'!S114/(1-0.5)*(1+'Results ReCiPe (E) - HHD'!$AC$271/'Results ReCiPe (E) - HHD'!$AC$272-'Results ReCiPe (E) - HHD'!$AC$271)</f>
        <v>2.1133532196437126</v>
      </c>
      <c r="S304" s="6">
        <f>$B$252*$AC$264*'Results - raw data ReCiPe (E)'!T114/(1-0.5)*(1+'Results ReCiPe (E) - HHD'!$AC$271/'Results ReCiPe (E) - HHD'!$AC$272-'Results ReCiPe (E) - HHD'!$AC$271)</f>
        <v>2.1131063984322855</v>
      </c>
      <c r="T304" s="6">
        <f>$B$252*$AC$264*'Results - raw data ReCiPe (E)'!U114/(1-0.5)*(1+'Results ReCiPe (E) - HHD'!$AC$271/'Results ReCiPe (E) - HHD'!$AC$272-'Results ReCiPe (E) - HHD'!$AC$271)</f>
        <v>2.1131415138814895</v>
      </c>
      <c r="U304" s="6">
        <f>$B$252*$AC$264*'Results - raw data ReCiPe (E)'!V114/(1-0.5)*(1+'Results ReCiPe (E) - HHD'!$AC$271/'Results ReCiPe (E) - HHD'!$AC$272-'Results ReCiPe (E) - HHD'!$AC$271)</f>
        <v>2.1128995305593152</v>
      </c>
      <c r="V304" s="6">
        <f>$B$252*$AC$264*'Results - raw data ReCiPe (E)'!W114/(1-0.5)*(1+'Results ReCiPe (E) - HHD'!$AC$271/'Results ReCiPe (E) - HHD'!$AC$272-'Results ReCiPe (E) - HHD'!$AC$271)</f>
        <v>2.1126573828893354</v>
      </c>
      <c r="W304" s="6">
        <f>$B$252*$AC$264*'Results - raw data ReCiPe (E)'!X114/(1-0.5)*(1+'Results ReCiPe (E) - HHD'!$AC$271/'Results ReCiPe (E) - HHD'!$AC$272-'Results ReCiPe (E) - HHD'!$AC$271)</f>
        <v>2.1119413866548595</v>
      </c>
      <c r="X304" s="6">
        <f>$B$252*$AC$264*'Results - raw data ReCiPe (E)'!Y114/(1-0.5)*(1+'Results ReCiPe (E) - HHD'!$AC$271/'Results ReCiPe (E) - HHD'!$AC$272-'Results ReCiPe (E) - HHD'!$AC$271)</f>
        <v>2.1110335415794079</v>
      </c>
      <c r="Y304" s="6">
        <f>$B$252*$AC$264*'Results - raw data ReCiPe (E)'!Z114/(1-0.5)*(1+'Results ReCiPe (E) - HHD'!$AC$271/'Results ReCiPe (E) - HHD'!$AC$272-'Results ReCiPe (E) - HHD'!$AC$271)</f>
        <v>2.1101089434915443</v>
      </c>
      <c r="Z304" s="6">
        <f>$B$252*$AC$264*'Results - raw data ReCiPe (E)'!AA114/(1-0.5)*(1+'Results ReCiPe (E) - HHD'!$AC$271/'Results ReCiPe (E) - HHD'!$AC$272-'Results ReCiPe (E) - HHD'!$AC$271)</f>
        <v>2.1091675389331486</v>
      </c>
    </row>
    <row r="305" spans="1:26" outlineLevel="1" x14ac:dyDescent="0.35">
      <c r="A305" s="6" t="s">
        <v>797</v>
      </c>
      <c r="B305" s="6">
        <f>$B$260*$AC$264</f>
        <v>3.7760576662358449</v>
      </c>
      <c r="C305" s="6">
        <f t="shared" ref="C305:Z305" si="39">$B$260*$AC$264</f>
        <v>3.7760576662358449</v>
      </c>
      <c r="D305" s="6">
        <f t="shared" si="39"/>
        <v>3.7760576662358449</v>
      </c>
      <c r="E305" s="6">
        <f t="shared" si="39"/>
        <v>3.7760576662358449</v>
      </c>
      <c r="F305" s="6">
        <f t="shared" si="39"/>
        <v>3.7760576662358449</v>
      </c>
      <c r="G305" s="6">
        <f t="shared" si="39"/>
        <v>3.7760576662358449</v>
      </c>
      <c r="H305" s="6">
        <f t="shared" si="39"/>
        <v>3.7760576662358449</v>
      </c>
      <c r="I305" s="6">
        <f t="shared" si="39"/>
        <v>3.7760576662358449</v>
      </c>
      <c r="J305" s="6">
        <f t="shared" si="39"/>
        <v>3.7760576662358449</v>
      </c>
      <c r="K305" s="6">
        <f t="shared" si="39"/>
        <v>3.7760576662358449</v>
      </c>
      <c r="L305" s="6">
        <f t="shared" si="39"/>
        <v>3.7760576662358449</v>
      </c>
      <c r="M305" s="6">
        <f t="shared" si="39"/>
        <v>3.7760576662358449</v>
      </c>
      <c r="N305" s="6">
        <f t="shared" si="39"/>
        <v>3.7760576662358449</v>
      </c>
      <c r="O305" s="6">
        <f t="shared" si="39"/>
        <v>3.7760576662358449</v>
      </c>
      <c r="P305" s="6">
        <f t="shared" si="39"/>
        <v>3.7760576662358449</v>
      </c>
      <c r="Q305" s="6">
        <f t="shared" si="39"/>
        <v>3.7760576662358449</v>
      </c>
      <c r="R305" s="6">
        <f t="shared" si="39"/>
        <v>3.7760576662358449</v>
      </c>
      <c r="S305" s="6">
        <f t="shared" si="39"/>
        <v>3.7760576662358449</v>
      </c>
      <c r="T305" s="6">
        <f t="shared" si="39"/>
        <v>3.7760576662358449</v>
      </c>
      <c r="U305" s="6">
        <f t="shared" si="39"/>
        <v>3.7760576662358449</v>
      </c>
      <c r="V305" s="6">
        <f t="shared" si="39"/>
        <v>3.7760576662358449</v>
      </c>
      <c r="W305" s="6">
        <f t="shared" si="39"/>
        <v>3.7760576662358449</v>
      </c>
      <c r="X305" s="6">
        <f t="shared" si="39"/>
        <v>3.7760576662358449</v>
      </c>
      <c r="Y305" s="6">
        <f t="shared" si="39"/>
        <v>3.7760576662358449</v>
      </c>
      <c r="Z305" s="6">
        <f t="shared" si="39"/>
        <v>3.7760576662358449</v>
      </c>
    </row>
    <row r="306" spans="1:26" outlineLevel="1" x14ac:dyDescent="0.35">
      <c r="A306" s="23" t="s">
        <v>125</v>
      </c>
      <c r="B306" s="17">
        <f t="shared" ref="B306:Z306" si="40">SUM(B274:B304)</f>
        <v>17.839190502606016</v>
      </c>
      <c r="C306" s="17">
        <f t="shared" si="40"/>
        <v>2.450135316989396</v>
      </c>
      <c r="D306" s="17">
        <f t="shared" si="40"/>
        <v>2.450674560397613</v>
      </c>
      <c r="E306" s="17">
        <f t="shared" si="40"/>
        <v>2.4513466366902739</v>
      </c>
      <c r="F306" s="17">
        <f t="shared" si="40"/>
        <v>2.4518904444875376</v>
      </c>
      <c r="G306" s="17">
        <f t="shared" si="40"/>
        <v>2.4524294422091453</v>
      </c>
      <c r="H306" s="17">
        <f t="shared" si="40"/>
        <v>2.462387842109508</v>
      </c>
      <c r="I306" s="17">
        <f t="shared" si="40"/>
        <v>2.4725145147795087</v>
      </c>
      <c r="J306" s="17">
        <f t="shared" si="40"/>
        <v>2.4833667219491726</v>
      </c>
      <c r="K306" s="17">
        <f t="shared" si="40"/>
        <v>2.4937858612666379</v>
      </c>
      <c r="L306" s="17">
        <f t="shared" si="40"/>
        <v>2.5043097589173478</v>
      </c>
      <c r="M306" s="17">
        <f t="shared" si="40"/>
        <v>2.5261099436664294</v>
      </c>
      <c r="N306" s="17">
        <f t="shared" si="40"/>
        <v>2.5480706169784728</v>
      </c>
      <c r="O306" s="17">
        <f t="shared" si="40"/>
        <v>2.5707077127588134</v>
      </c>
      <c r="P306" s="17">
        <f t="shared" si="40"/>
        <v>2.5929507910095309</v>
      </c>
      <c r="Q306" s="17">
        <f t="shared" si="40"/>
        <v>2.6153259323024729</v>
      </c>
      <c r="R306" s="17">
        <f t="shared" si="40"/>
        <v>2.6157888807379845</v>
      </c>
      <c r="S306" s="17">
        <f t="shared" si="40"/>
        <v>2.616251001874637</v>
      </c>
      <c r="T306" s="17">
        <f t="shared" si="40"/>
        <v>2.6170497287864976</v>
      </c>
      <c r="U306" s="17">
        <f t="shared" si="40"/>
        <v>2.6175031280940915</v>
      </c>
      <c r="V306" s="17">
        <f t="shared" si="40"/>
        <v>2.6179498411898297</v>
      </c>
      <c r="W306" s="17">
        <f t="shared" si="40"/>
        <v>2.6078018949012383</v>
      </c>
      <c r="X306" s="17">
        <f t="shared" si="40"/>
        <v>2.5973328709725454</v>
      </c>
      <c r="Y306" s="17">
        <f t="shared" si="40"/>
        <v>2.5868497670951847</v>
      </c>
      <c r="Z306" s="17">
        <f t="shared" si="40"/>
        <v>2.7068164600224369</v>
      </c>
    </row>
    <row r="307" spans="1:26" outlineLevel="1" x14ac:dyDescent="0.35"/>
    <row r="308" spans="1:26" s="18" customFormat="1" ht="21" x14ac:dyDescent="0.5">
      <c r="A308" s="18" t="s">
        <v>73</v>
      </c>
    </row>
    <row r="309" spans="1:26" s="20" customFormat="1" outlineLevel="1" x14ac:dyDescent="0.35">
      <c r="A309" s="19" t="s">
        <v>788</v>
      </c>
    </row>
    <row r="310" spans="1:26" s="20" customFormat="1" outlineLevel="1" x14ac:dyDescent="0.35">
      <c r="A310" s="273" t="s">
        <v>775</v>
      </c>
      <c r="B310" s="20">
        <v>1</v>
      </c>
      <c r="C310" s="274" t="s">
        <v>787</v>
      </c>
    </row>
    <row r="311" spans="1:26" s="20" customFormat="1" outlineLevel="1" x14ac:dyDescent="0.35">
      <c r="A311" s="273" t="s">
        <v>781</v>
      </c>
      <c r="B311" s="20">
        <v>100000</v>
      </c>
      <c r="C311" s="20" t="s">
        <v>782</v>
      </c>
      <c r="E311" s="274"/>
    </row>
    <row r="312" spans="1:26" s="20" customFormat="1" outlineLevel="1" x14ac:dyDescent="0.35">
      <c r="A312" s="273" t="s">
        <v>783</v>
      </c>
      <c r="B312" s="20">
        <v>1500</v>
      </c>
      <c r="C312" s="20" t="s">
        <v>592</v>
      </c>
    </row>
    <row r="313" spans="1:26" s="20" customFormat="1" outlineLevel="1" x14ac:dyDescent="0.35">
      <c r="A313" s="273" t="s">
        <v>784</v>
      </c>
      <c r="B313" s="20">
        <v>8760</v>
      </c>
      <c r="C313" s="20" t="s">
        <v>785</v>
      </c>
    </row>
    <row r="314" spans="1:26" s="20" customFormat="1" outlineLevel="1" x14ac:dyDescent="0.35">
      <c r="A314" s="273"/>
    </row>
    <row r="315" spans="1:26" s="20" customFormat="1" outlineLevel="1" x14ac:dyDescent="0.35">
      <c r="A315" s="275" t="s">
        <v>786</v>
      </c>
      <c r="B315" s="275">
        <f>(B311*B312)/(B313*B310)</f>
        <v>17123.287671232876</v>
      </c>
      <c r="C315" s="275" t="s">
        <v>749</v>
      </c>
    </row>
    <row r="316" spans="1:26" s="20" customFormat="1" outlineLevel="1" x14ac:dyDescent="0.35">
      <c r="A316" s="19"/>
    </row>
    <row r="317" spans="1:26" s="20" customFormat="1" outlineLevel="1" x14ac:dyDescent="0.35">
      <c r="A317" s="19" t="s">
        <v>793</v>
      </c>
    </row>
    <row r="318" spans="1:26" s="20" customFormat="1" outlineLevel="1" x14ac:dyDescent="0.35">
      <c r="A318" s="273" t="s">
        <v>789</v>
      </c>
      <c r="B318" s="20">
        <f>SUM('Results - raw data ReCiPe (E)'!C146:C147)+'Results - raw data ReCiPe (E)'!C150+SUM('Results - raw data ReCiPe (E)'!C148:C149)*AC267</f>
        <v>0.72798742705495445</v>
      </c>
      <c r="C318" s="20" t="s">
        <v>790</v>
      </c>
    </row>
    <row r="319" spans="1:26" s="20" customFormat="1" outlineLevel="1" x14ac:dyDescent="0.35">
      <c r="A319" s="20" t="s">
        <v>792</v>
      </c>
      <c r="B319" s="20">
        <f>B311*AC325</f>
        <v>50000</v>
      </c>
      <c r="C319" s="274" t="s">
        <v>795</v>
      </c>
    </row>
    <row r="320" spans="1:26" s="20" customFormat="1" outlineLevel="1" x14ac:dyDescent="0.35">
      <c r="A320" s="20" t="s">
        <v>791</v>
      </c>
      <c r="B320" s="20">
        <f>(B318*AC327*B315)/(B319*AC326)*(AC326/AC328)</f>
        <v>7.479322880701586E-2</v>
      </c>
      <c r="C320" s="20" t="s">
        <v>794</v>
      </c>
      <c r="E320" s="274" t="s">
        <v>796</v>
      </c>
    </row>
    <row r="321" spans="1:53" s="20" customFormat="1" outlineLevel="1" x14ac:dyDescent="0.35">
      <c r="A321" s="19"/>
    </row>
    <row r="322" spans="1:53" s="16" customFormat="1" outlineLevel="1" x14ac:dyDescent="0.35">
      <c r="A322" s="21"/>
      <c r="AB322" s="16" t="s">
        <v>47</v>
      </c>
      <c r="AC322" s="16">
        <v>1.2500000000000001E-5</v>
      </c>
      <c r="AD322" s="16" t="s">
        <v>48</v>
      </c>
      <c r="AE322" s="15" t="s">
        <v>714</v>
      </c>
    </row>
    <row r="323" spans="1:53" s="16" customFormat="1" outlineLevel="1" x14ac:dyDescent="0.35">
      <c r="A323" s="22" t="s">
        <v>564</v>
      </c>
      <c r="AC323" s="16">
        <f>AC322*1000</f>
        <v>1.2500000000000001E-2</v>
      </c>
      <c r="AD323" s="16" t="s">
        <v>126</v>
      </c>
    </row>
    <row r="324" spans="1:53" s="16" customFormat="1" outlineLevel="1" x14ac:dyDescent="0.35">
      <c r="A324" s="22"/>
      <c r="AB324" s="16" t="s">
        <v>127</v>
      </c>
      <c r="AC324" s="16">
        <f>100*AC325</f>
        <v>50</v>
      </c>
      <c r="AD324" s="16" t="s">
        <v>128</v>
      </c>
    </row>
    <row r="325" spans="1:53" s="16" customFormat="1" outlineLevel="1" x14ac:dyDescent="0.35">
      <c r="A325" s="230"/>
      <c r="AB325" s="16" t="s">
        <v>776</v>
      </c>
      <c r="AC325" s="16">
        <v>0.5</v>
      </c>
    </row>
    <row r="326" spans="1:53" s="16" customFormat="1" outlineLevel="1" x14ac:dyDescent="0.35">
      <c r="A326" s="21"/>
      <c r="AB326" s="16" t="s">
        <v>129</v>
      </c>
      <c r="AC326" s="16">
        <v>25</v>
      </c>
      <c r="AD326" s="16" t="s">
        <v>130</v>
      </c>
    </row>
    <row r="327" spans="1:53" s="16" customFormat="1" outlineLevel="1" x14ac:dyDescent="0.35">
      <c r="A327" s="21"/>
      <c r="AB327" s="16" t="s">
        <v>777</v>
      </c>
      <c r="AC327" s="16">
        <v>6</v>
      </c>
      <c r="AD327" s="16" t="s">
        <v>779</v>
      </c>
    </row>
    <row r="328" spans="1:53" s="16" customFormat="1" outlineLevel="1" x14ac:dyDescent="0.35">
      <c r="A328" s="21"/>
      <c r="AB328" s="16" t="s">
        <v>778</v>
      </c>
      <c r="AC328" s="16">
        <v>20</v>
      </c>
      <c r="AD328" s="16" t="s">
        <v>130</v>
      </c>
    </row>
    <row r="329" spans="1:53" s="16" customFormat="1" outlineLevel="1" x14ac:dyDescent="0.35">
      <c r="AB329" s="16" t="s">
        <v>780</v>
      </c>
      <c r="AC329" s="16">
        <f>B315</f>
        <v>17123.287671232876</v>
      </c>
      <c r="AD329" s="16" t="s">
        <v>749</v>
      </c>
    </row>
    <row r="330" spans="1:53" s="16" customFormat="1" outlineLevel="1" x14ac:dyDescent="0.35"/>
    <row r="331" spans="1:53" s="16" customFormat="1" outlineLevel="1" x14ac:dyDescent="0.35">
      <c r="AB331" s="16" t="s">
        <v>798</v>
      </c>
      <c r="AC331" s="16">
        <v>0.25</v>
      </c>
    </row>
    <row r="332" spans="1:53" s="16" customFormat="1" outlineLevel="1" x14ac:dyDescent="0.35">
      <c r="A332" s="22"/>
      <c r="AB332" s="16" t="s">
        <v>799</v>
      </c>
      <c r="AC332" s="16">
        <v>0.9</v>
      </c>
    </row>
    <row r="333" spans="1:53" outlineLevel="1" x14ac:dyDescent="0.35">
      <c r="B333" s="25">
        <v>2030</v>
      </c>
      <c r="C333" s="25">
        <v>2031</v>
      </c>
      <c r="D333" s="25">
        <v>2032</v>
      </c>
      <c r="E333" s="25">
        <v>2033</v>
      </c>
      <c r="F333" s="25">
        <v>2034</v>
      </c>
      <c r="G333" s="25">
        <v>2035</v>
      </c>
      <c r="H333" s="25">
        <v>2036</v>
      </c>
      <c r="I333" s="25">
        <v>2037</v>
      </c>
      <c r="J333" s="25">
        <v>2038</v>
      </c>
      <c r="K333" s="25">
        <v>2039</v>
      </c>
      <c r="L333" s="25">
        <v>2040</v>
      </c>
      <c r="M333" s="25">
        <v>2041</v>
      </c>
      <c r="N333" s="25">
        <v>2042</v>
      </c>
      <c r="O333" s="25">
        <v>2043</v>
      </c>
      <c r="P333" s="25">
        <v>2044</v>
      </c>
      <c r="Q333" s="25">
        <v>2045</v>
      </c>
      <c r="R333" s="25">
        <v>2046</v>
      </c>
      <c r="S333" s="25">
        <v>2047</v>
      </c>
      <c r="T333" s="25">
        <v>2048</v>
      </c>
      <c r="U333" s="25">
        <v>2049</v>
      </c>
      <c r="V333" s="25">
        <v>2050</v>
      </c>
      <c r="W333" s="25">
        <v>2051</v>
      </c>
      <c r="X333" s="25">
        <v>2052</v>
      </c>
      <c r="Y333" s="25">
        <v>2053</v>
      </c>
      <c r="Z333" s="25">
        <v>2054</v>
      </c>
      <c r="AC333" s="25">
        <v>2030</v>
      </c>
      <c r="AD333" s="25">
        <v>2031</v>
      </c>
      <c r="AE333" s="25">
        <v>2032</v>
      </c>
      <c r="AF333" s="25">
        <v>2033</v>
      </c>
      <c r="AG333" s="25">
        <v>2034</v>
      </c>
      <c r="AH333" s="25">
        <v>2035</v>
      </c>
      <c r="AI333" s="25">
        <v>2036</v>
      </c>
      <c r="AJ333" s="25">
        <v>2037</v>
      </c>
      <c r="AK333" s="25">
        <v>2038</v>
      </c>
      <c r="AL333" s="25">
        <v>2039</v>
      </c>
      <c r="AM333" s="25">
        <v>2040</v>
      </c>
      <c r="AN333" s="25">
        <v>2041</v>
      </c>
      <c r="AO333" s="25">
        <v>2042</v>
      </c>
      <c r="AP333" s="25">
        <v>2043</v>
      </c>
      <c r="AQ333" s="25">
        <v>2044</v>
      </c>
      <c r="AR333" s="25">
        <v>2045</v>
      </c>
      <c r="AS333" s="25">
        <v>2046</v>
      </c>
      <c r="AT333" s="25">
        <v>2047</v>
      </c>
      <c r="AU333" s="25">
        <v>2048</v>
      </c>
      <c r="AV333" s="25">
        <v>2049</v>
      </c>
      <c r="AW333" s="25">
        <v>2050</v>
      </c>
      <c r="AX333" s="25">
        <v>2051</v>
      </c>
      <c r="AY333" s="25">
        <v>2052</v>
      </c>
      <c r="AZ333" s="25">
        <v>2053</v>
      </c>
      <c r="BA333" s="25">
        <v>2054</v>
      </c>
    </row>
    <row r="334" spans="1:53" outlineLevel="1" x14ac:dyDescent="0.35">
      <c r="A334" s="6" t="s">
        <v>21</v>
      </c>
      <c r="B334" s="6">
        <f>B50</f>
        <v>0.20960548877827331</v>
      </c>
      <c r="AB334" s="6" t="s">
        <v>117</v>
      </c>
      <c r="AC334" s="6">
        <f>SUM(B334:B345)+B347</f>
        <v>14.795678436138864</v>
      </c>
    </row>
    <row r="335" spans="1:53" outlineLevel="1" x14ac:dyDescent="0.35">
      <c r="A335" s="6" t="s">
        <v>23</v>
      </c>
      <c r="B335" s="6">
        <f t="shared" ref="B335:B345" si="41">B51</f>
        <v>0.46443428379104668</v>
      </c>
      <c r="AB335" s="6" t="s">
        <v>118</v>
      </c>
      <c r="AC335" s="6">
        <f>B346</f>
        <v>0.28412669158101</v>
      </c>
    </row>
    <row r="336" spans="1:53" outlineLevel="1" x14ac:dyDescent="0.35">
      <c r="A336" s="6" t="s">
        <v>26</v>
      </c>
      <c r="B336" s="6">
        <f t="shared" si="41"/>
        <v>0.87912064669183188</v>
      </c>
      <c r="AB336" s="6" t="s">
        <v>119</v>
      </c>
      <c r="BA336" s="6">
        <f>SUM(Z348:Z359)</f>
        <v>0.1255608424989286</v>
      </c>
    </row>
    <row r="337" spans="1:53" outlineLevel="1" x14ac:dyDescent="0.35">
      <c r="A337" s="6" t="s">
        <v>28</v>
      </c>
      <c r="B337" s="6">
        <f t="shared" si="41"/>
        <v>0.84534301526053379</v>
      </c>
      <c r="AB337" s="6" t="s">
        <v>120</v>
      </c>
      <c r="BA337" s="6">
        <f>Z360</f>
        <v>9.0075841986970019E-4</v>
      </c>
    </row>
    <row r="338" spans="1:53" outlineLevel="1" x14ac:dyDescent="0.35">
      <c r="A338" s="6" t="s">
        <v>29</v>
      </c>
      <c r="B338" s="6">
        <f t="shared" si="41"/>
        <v>0.91486801961645936</v>
      </c>
      <c r="AB338" s="6" t="s">
        <v>121</v>
      </c>
      <c r="AC338" s="6">
        <f>B361</f>
        <v>0.14634543908972419</v>
      </c>
      <c r="AF338" s="6">
        <f>E361</f>
        <v>0.144700117717494</v>
      </c>
      <c r="AI338" s="6">
        <f>H361</f>
        <v>0.14300322402923241</v>
      </c>
      <c r="AL338" s="6">
        <f>K361</f>
        <v>0.14146113160521259</v>
      </c>
      <c r="AO338" s="6">
        <f>N361</f>
        <v>0.13996239429028681</v>
      </c>
      <c r="AR338" s="6">
        <f>Q361</f>
        <v>0.13861595410465891</v>
      </c>
      <c r="AU338" s="6">
        <f>T361</f>
        <v>0.1378128975848889</v>
      </c>
      <c r="AX338" s="6">
        <f>W361</f>
        <v>0.13722954493495951</v>
      </c>
      <c r="BA338" s="6">
        <f>Z361</f>
        <v>0.13710363329546579</v>
      </c>
    </row>
    <row r="339" spans="1:53" outlineLevel="1" x14ac:dyDescent="0.35">
      <c r="A339" s="6" t="s">
        <v>31</v>
      </c>
      <c r="B339" s="6">
        <f t="shared" si="41"/>
        <v>0.58407251169844387</v>
      </c>
      <c r="AB339" s="6" t="s">
        <v>797</v>
      </c>
      <c r="AC339" s="6">
        <f>B365</f>
        <v>3.7396614403507931</v>
      </c>
      <c r="AD339" s="6">
        <f t="shared" ref="AD339:BA339" si="42">C365</f>
        <v>3.7396614403507931</v>
      </c>
      <c r="AE339" s="6">
        <f t="shared" si="42"/>
        <v>3.7396614403507931</v>
      </c>
      <c r="AF339" s="6">
        <f t="shared" si="42"/>
        <v>3.7396614403507931</v>
      </c>
      <c r="AG339" s="6">
        <f t="shared" si="42"/>
        <v>3.7396614403507931</v>
      </c>
      <c r="AH339" s="6">
        <f t="shared" si="42"/>
        <v>3.7396614403507931</v>
      </c>
      <c r="AI339" s="6">
        <f t="shared" si="42"/>
        <v>3.7396614403507931</v>
      </c>
      <c r="AJ339" s="6">
        <f t="shared" si="42"/>
        <v>3.7396614403507931</v>
      </c>
      <c r="AK339" s="6">
        <f t="shared" si="42"/>
        <v>3.7396614403507931</v>
      </c>
      <c r="AL339" s="6">
        <f t="shared" si="42"/>
        <v>3.7396614403507931</v>
      </c>
      <c r="AM339" s="6">
        <f t="shared" si="42"/>
        <v>3.7396614403507931</v>
      </c>
      <c r="AN339" s="6">
        <f t="shared" si="42"/>
        <v>3.7396614403507931</v>
      </c>
      <c r="AO339" s="6">
        <f t="shared" si="42"/>
        <v>3.7396614403507931</v>
      </c>
      <c r="AP339" s="6">
        <f t="shared" si="42"/>
        <v>3.7396614403507931</v>
      </c>
      <c r="AQ339" s="6">
        <f t="shared" si="42"/>
        <v>3.7396614403507931</v>
      </c>
      <c r="AR339" s="6">
        <f t="shared" si="42"/>
        <v>3.7396614403507931</v>
      </c>
      <c r="AS339" s="6">
        <f t="shared" si="42"/>
        <v>3.7396614403507931</v>
      </c>
      <c r="AT339" s="6">
        <f t="shared" si="42"/>
        <v>3.7396614403507931</v>
      </c>
      <c r="AU339" s="6">
        <f t="shared" si="42"/>
        <v>3.7396614403507931</v>
      </c>
      <c r="AV339" s="6">
        <f t="shared" si="42"/>
        <v>3.7396614403507931</v>
      </c>
      <c r="AW339" s="6">
        <f t="shared" si="42"/>
        <v>3.7396614403507931</v>
      </c>
      <c r="AX339" s="6">
        <f t="shared" si="42"/>
        <v>3.7396614403507931</v>
      </c>
      <c r="AY339" s="6">
        <f t="shared" si="42"/>
        <v>3.7396614403507931</v>
      </c>
      <c r="AZ339" s="6">
        <f t="shared" si="42"/>
        <v>3.7396614403507931</v>
      </c>
      <c r="BA339" s="6">
        <f t="shared" si="42"/>
        <v>3.7396614403507931</v>
      </c>
    </row>
    <row r="340" spans="1:53" outlineLevel="1" x14ac:dyDescent="0.35">
      <c r="A340" s="6" t="s">
        <v>34</v>
      </c>
      <c r="B340" s="6">
        <f t="shared" si="41"/>
        <v>0.51645180264350998</v>
      </c>
      <c r="AB340" s="6" t="s">
        <v>122</v>
      </c>
      <c r="AC340" s="6">
        <f t="shared" ref="AC340:AV340" si="43">B364+B363</f>
        <v>2.073735385446061</v>
      </c>
      <c r="AD340" s="6">
        <f t="shared" si="43"/>
        <v>2.0723269293441566</v>
      </c>
      <c r="AE340" s="6">
        <f t="shared" si="43"/>
        <v>2.0708394464562403</v>
      </c>
      <c r="AF340" s="6">
        <f t="shared" si="43"/>
        <v>2.069407206525177</v>
      </c>
      <c r="AG340" s="6">
        <f t="shared" si="43"/>
        <v>2.0677700702206296</v>
      </c>
      <c r="AH340" s="6">
        <f t="shared" si="43"/>
        <v>2.0660394984001305</v>
      </c>
      <c r="AI340" s="6">
        <f t="shared" si="43"/>
        <v>2.0619568411872993</v>
      </c>
      <c r="AJ340" s="6">
        <f t="shared" si="43"/>
        <v>2.0583630361223038</v>
      </c>
      <c r="AK340" s="6">
        <f t="shared" si="43"/>
        <v>2.0555005881205095</v>
      </c>
      <c r="AL340" s="6">
        <f t="shared" si="43"/>
        <v>2.0523707830233451</v>
      </c>
      <c r="AM340" s="6">
        <f t="shared" si="43"/>
        <v>2.0493501551521645</v>
      </c>
      <c r="AN340" s="6">
        <f t="shared" si="43"/>
        <v>2.0472949331862784</v>
      </c>
      <c r="AO340" s="6">
        <f t="shared" si="43"/>
        <v>2.0454557189937885</v>
      </c>
      <c r="AP340" s="6">
        <f t="shared" si="43"/>
        <v>2.044085706640157</v>
      </c>
      <c r="AQ340" s="6">
        <f t="shared" si="43"/>
        <v>2.0425458555931888</v>
      </c>
      <c r="AR340" s="6">
        <f t="shared" si="43"/>
        <v>2.0411060381969137</v>
      </c>
      <c r="AS340" s="6">
        <f t="shared" si="43"/>
        <v>2.0408548125544494</v>
      </c>
      <c r="AT340" s="6">
        <f t="shared" si="43"/>
        <v>2.0406351217620973</v>
      </c>
      <c r="AU340" s="6">
        <f t="shared" si="43"/>
        <v>2.0406297771036921</v>
      </c>
      <c r="AV340" s="6">
        <f t="shared" si="43"/>
        <v>2.0404436526318186</v>
      </c>
      <c r="AW340" s="6">
        <f>V364</f>
        <v>2.0402685062554737</v>
      </c>
      <c r="AX340" s="6">
        <f>W364</f>
        <v>2.0409903505460636</v>
      </c>
      <c r="AY340" s="6">
        <f>X364</f>
        <v>2.0415758041470018</v>
      </c>
      <c r="AZ340" s="6">
        <f>Y364</f>
        <v>2.0421563197890236</v>
      </c>
      <c r="BA340" s="6">
        <f>Z364</f>
        <v>2.0427323831114288</v>
      </c>
    </row>
    <row r="341" spans="1:53" outlineLevel="1" x14ac:dyDescent="0.35">
      <c r="A341" s="6" t="s">
        <v>36</v>
      </c>
      <c r="B341" s="6">
        <f t="shared" si="41"/>
        <v>0.37793592249524333</v>
      </c>
      <c r="AB341" s="6" t="s">
        <v>123</v>
      </c>
      <c r="AC341" s="6">
        <f t="shared" ref="AC341:BA341" si="44">B362</f>
        <v>1.6748480438559836E-3</v>
      </c>
      <c r="AD341" s="6">
        <f t="shared" si="44"/>
        <v>0.15999077227509739</v>
      </c>
      <c r="AE341" s="6">
        <f t="shared" si="44"/>
        <v>0.15252542683510686</v>
      </c>
      <c r="AF341" s="6">
        <f t="shared" si="44"/>
        <v>0.14510433219981628</v>
      </c>
      <c r="AG341" s="6">
        <f t="shared" si="44"/>
        <v>0.13769646391113588</v>
      </c>
      <c r="AH341" s="6">
        <f t="shared" si="44"/>
        <v>0.13031693925112145</v>
      </c>
      <c r="AI341" s="6">
        <f t="shared" si="44"/>
        <v>0.12763053255429468</v>
      </c>
      <c r="AJ341" s="6">
        <f t="shared" si="44"/>
        <v>0.12495735719499661</v>
      </c>
      <c r="AK341" s="6">
        <f t="shared" si="44"/>
        <v>0.1223175637610092</v>
      </c>
      <c r="AL341" s="6">
        <f t="shared" si="44"/>
        <v>0.1196634535702627</v>
      </c>
      <c r="AM341" s="6">
        <f t="shared" si="44"/>
        <v>0.11701656177555361</v>
      </c>
      <c r="AN341" s="6">
        <f t="shared" si="44"/>
        <v>0.11621905114013154</v>
      </c>
      <c r="AO341" s="6">
        <f t="shared" si="44"/>
        <v>0.11541950841167711</v>
      </c>
      <c r="AP341" s="6">
        <f t="shared" si="44"/>
        <v>0.11463267933823409</v>
      </c>
      <c r="AQ341" s="6">
        <f t="shared" si="44"/>
        <v>0.11382710712855955</v>
      </c>
      <c r="AR341" s="6">
        <f t="shared" si="44"/>
        <v>0.1130178080627227</v>
      </c>
      <c r="AS341" s="6">
        <f t="shared" si="44"/>
        <v>0.11322844720473139</v>
      </c>
      <c r="AT341" s="6">
        <f t="shared" si="44"/>
        <v>0.1134395920393876</v>
      </c>
      <c r="AU341" s="6">
        <f t="shared" si="44"/>
        <v>0.11366118404717346</v>
      </c>
      <c r="AV341" s="6">
        <f t="shared" si="44"/>
        <v>0.11387303614379765</v>
      </c>
      <c r="AW341" s="6">
        <f t="shared" si="44"/>
        <v>0.11408509070854171</v>
      </c>
      <c r="AX341" s="6">
        <f t="shared" si="44"/>
        <v>0.11443775343715605</v>
      </c>
      <c r="AY341" s="6">
        <f t="shared" si="44"/>
        <v>0.1147789595097001</v>
      </c>
      <c r="AZ341" s="6">
        <f t="shared" si="44"/>
        <v>0.1151207323419051</v>
      </c>
      <c r="BA341" s="6">
        <f t="shared" si="44"/>
        <v>0.11546285749643431</v>
      </c>
    </row>
    <row r="342" spans="1:53" outlineLevel="1" x14ac:dyDescent="0.35">
      <c r="A342" s="6" t="s">
        <v>38</v>
      </c>
      <c r="B342" s="6">
        <f t="shared" si="41"/>
        <v>1.0661193001888549</v>
      </c>
      <c r="AB342" s="6" t="s">
        <v>124</v>
      </c>
      <c r="AC342" s="6">
        <f>-$AC$323*$AC$324</f>
        <v>-0.625</v>
      </c>
      <c r="AD342" s="6">
        <f t="shared" ref="AD342:BA342" si="45">-$AC$323*$AC$324</f>
        <v>-0.625</v>
      </c>
      <c r="AE342" s="6">
        <f t="shared" si="45"/>
        <v>-0.625</v>
      </c>
      <c r="AF342" s="6">
        <f t="shared" si="45"/>
        <v>-0.625</v>
      </c>
      <c r="AG342" s="6">
        <f t="shared" si="45"/>
        <v>-0.625</v>
      </c>
      <c r="AH342" s="6">
        <f t="shared" si="45"/>
        <v>-0.625</v>
      </c>
      <c r="AI342" s="6">
        <f t="shared" si="45"/>
        <v>-0.625</v>
      </c>
      <c r="AJ342" s="6">
        <f t="shared" si="45"/>
        <v>-0.625</v>
      </c>
      <c r="AK342" s="6">
        <f t="shared" si="45"/>
        <v>-0.625</v>
      </c>
      <c r="AL342" s="6">
        <f t="shared" si="45"/>
        <v>-0.625</v>
      </c>
      <c r="AM342" s="6">
        <f t="shared" si="45"/>
        <v>-0.625</v>
      </c>
      <c r="AN342" s="6">
        <f t="shared" si="45"/>
        <v>-0.625</v>
      </c>
      <c r="AO342" s="6">
        <f t="shared" si="45"/>
        <v>-0.625</v>
      </c>
      <c r="AP342" s="6">
        <f t="shared" si="45"/>
        <v>-0.625</v>
      </c>
      <c r="AQ342" s="6">
        <f t="shared" si="45"/>
        <v>-0.625</v>
      </c>
      <c r="AR342" s="6">
        <f t="shared" si="45"/>
        <v>-0.625</v>
      </c>
      <c r="AS342" s="6">
        <f t="shared" si="45"/>
        <v>-0.625</v>
      </c>
      <c r="AT342" s="6">
        <f t="shared" si="45"/>
        <v>-0.625</v>
      </c>
      <c r="AU342" s="6">
        <f t="shared" si="45"/>
        <v>-0.625</v>
      </c>
      <c r="AV342" s="6">
        <f t="shared" si="45"/>
        <v>-0.625</v>
      </c>
      <c r="AW342" s="6">
        <f t="shared" si="45"/>
        <v>-0.625</v>
      </c>
      <c r="AX342" s="6">
        <f t="shared" si="45"/>
        <v>-0.625</v>
      </c>
      <c r="AY342" s="6">
        <f t="shared" si="45"/>
        <v>-0.625</v>
      </c>
      <c r="AZ342" s="6">
        <f t="shared" si="45"/>
        <v>-0.625</v>
      </c>
      <c r="BA342" s="6">
        <f t="shared" si="45"/>
        <v>-0.625</v>
      </c>
    </row>
    <row r="343" spans="1:53" outlineLevel="1" x14ac:dyDescent="0.35">
      <c r="A343" s="6" t="s">
        <v>39</v>
      </c>
      <c r="B343" s="6">
        <f t="shared" si="41"/>
        <v>8.5200987946093978</v>
      </c>
      <c r="AB343" s="23" t="s">
        <v>125</v>
      </c>
      <c r="AC343" s="17">
        <f t="shared" ref="AC343:BA343" si="46">SUM(AC334:AC342)</f>
        <v>20.416222240650306</v>
      </c>
      <c r="AD343" s="17">
        <f t="shared" si="46"/>
        <v>5.3469791419700474</v>
      </c>
      <c r="AE343" s="17">
        <f t="shared" si="46"/>
        <v>5.33802631364214</v>
      </c>
      <c r="AF343" s="17">
        <f t="shared" si="46"/>
        <v>5.4738730967932803</v>
      </c>
      <c r="AG343" s="17">
        <f t="shared" si="46"/>
        <v>5.3201279744825589</v>
      </c>
      <c r="AH343" s="17">
        <f t="shared" si="46"/>
        <v>5.3110178780020458</v>
      </c>
      <c r="AI343" s="17">
        <f t="shared" si="46"/>
        <v>5.4472520381216194</v>
      </c>
      <c r="AJ343" s="17">
        <f t="shared" si="46"/>
        <v>5.2979818336680937</v>
      </c>
      <c r="AK343" s="17">
        <f t="shared" si="46"/>
        <v>5.2924795922323122</v>
      </c>
      <c r="AL343" s="17">
        <f t="shared" si="46"/>
        <v>5.4281568085496135</v>
      </c>
      <c r="AM343" s="17">
        <f t="shared" si="46"/>
        <v>5.2810281572785112</v>
      </c>
      <c r="AN343" s="17">
        <f t="shared" si="46"/>
        <v>5.2781754246772028</v>
      </c>
      <c r="AO343" s="17">
        <f t="shared" si="46"/>
        <v>5.4154990620465453</v>
      </c>
      <c r="AP343" s="17">
        <f t="shared" si="46"/>
        <v>5.273379826329184</v>
      </c>
      <c r="AQ343" s="17">
        <f t="shared" si="46"/>
        <v>5.2710344030725418</v>
      </c>
      <c r="AR343" s="17">
        <f t="shared" si="46"/>
        <v>5.407401240715088</v>
      </c>
      <c r="AS343" s="17">
        <f t="shared" si="46"/>
        <v>5.2687447001099734</v>
      </c>
      <c r="AT343" s="17">
        <f t="shared" si="46"/>
        <v>5.2687361541522781</v>
      </c>
      <c r="AU343" s="17">
        <f t="shared" si="46"/>
        <v>5.4067652990865476</v>
      </c>
      <c r="AV343" s="17">
        <f t="shared" si="46"/>
        <v>5.2689781291264097</v>
      </c>
      <c r="AW343" s="17">
        <f t="shared" si="46"/>
        <v>5.2690150373148077</v>
      </c>
      <c r="AX343" s="17">
        <f t="shared" si="46"/>
        <v>5.407319089268972</v>
      </c>
      <c r="AY343" s="17">
        <f t="shared" si="46"/>
        <v>5.2710162040074957</v>
      </c>
      <c r="AZ343" s="17">
        <f t="shared" si="46"/>
        <v>5.2719384924817216</v>
      </c>
      <c r="BA343" s="17">
        <f t="shared" si="46"/>
        <v>5.5364219151729204</v>
      </c>
    </row>
    <row r="344" spans="1:53" outlineLevel="1" x14ac:dyDescent="0.35">
      <c r="A344" s="6" t="s">
        <v>41</v>
      </c>
      <c r="B344" s="6">
        <f t="shared" si="41"/>
        <v>6.7892939996938573E-3</v>
      </c>
    </row>
    <row r="345" spans="1:53" outlineLevel="1" x14ac:dyDescent="0.35">
      <c r="A345" s="6" t="s">
        <v>43</v>
      </c>
      <c r="B345" s="6">
        <f t="shared" si="41"/>
        <v>4.2892454308277171E-2</v>
      </c>
      <c r="AB345" s="272"/>
      <c r="AC345" s="272"/>
      <c r="AD345" s="272"/>
      <c r="AE345" s="272"/>
      <c r="AF345" s="272"/>
      <c r="AG345" s="272"/>
      <c r="AH345" s="272"/>
      <c r="AI345" s="272"/>
      <c r="AJ345" s="272"/>
      <c r="AK345" s="272"/>
      <c r="AL345" s="272"/>
      <c r="AM345" s="272"/>
      <c r="AN345" s="272"/>
      <c r="AO345" s="272"/>
      <c r="AP345" s="272"/>
      <c r="AQ345" s="272"/>
      <c r="AR345" s="272"/>
      <c r="AS345" s="272"/>
      <c r="AT345" s="272"/>
      <c r="AU345" s="272"/>
      <c r="AV345" s="272"/>
      <c r="AW345" s="272"/>
      <c r="AX345" s="272"/>
      <c r="AY345" s="272"/>
      <c r="AZ345" s="272"/>
      <c r="BA345" s="272"/>
    </row>
    <row r="346" spans="1:53" outlineLevel="1" x14ac:dyDescent="0.35">
      <c r="A346" s="6" t="s">
        <v>44</v>
      </c>
      <c r="B346" s="6">
        <f>B62*AC325</f>
        <v>0.28412669158101</v>
      </c>
      <c r="AB346" s="272"/>
      <c r="AC346" s="272"/>
      <c r="AD346" s="272"/>
      <c r="AE346" s="272"/>
      <c r="AF346" s="272"/>
      <c r="AG346" s="272"/>
      <c r="AH346" s="272"/>
      <c r="AI346" s="272"/>
      <c r="AJ346" s="272"/>
      <c r="AK346" s="272"/>
      <c r="AL346" s="272"/>
      <c r="AM346" s="272"/>
      <c r="AN346" s="272"/>
      <c r="AO346" s="272"/>
      <c r="AP346" s="272"/>
      <c r="AQ346" s="272"/>
      <c r="AR346" s="272"/>
      <c r="AS346" s="272"/>
      <c r="AT346" s="272"/>
      <c r="AU346" s="272"/>
      <c r="AV346" s="272"/>
      <c r="AW346" s="272"/>
      <c r="AX346" s="272"/>
      <c r="AY346" s="272"/>
      <c r="AZ346" s="272"/>
      <c r="BA346" s="272"/>
    </row>
    <row r="347" spans="1:53" outlineLevel="1" x14ac:dyDescent="0.35">
      <c r="A347" s="6" t="s">
        <v>757</v>
      </c>
      <c r="B347" s="6">
        <f>B63*AC325</f>
        <v>0.36794690205730041</v>
      </c>
      <c r="AB347" s="272"/>
      <c r="AC347" s="272"/>
      <c r="AD347" s="272"/>
      <c r="AE347" s="272"/>
      <c r="AF347" s="272"/>
      <c r="AG347" s="272"/>
      <c r="AH347" s="272"/>
      <c r="AI347" s="272"/>
      <c r="AJ347" s="272"/>
      <c r="AK347" s="272"/>
      <c r="AL347" s="272"/>
      <c r="AM347" s="272"/>
      <c r="AN347" s="272"/>
      <c r="AO347" s="272"/>
      <c r="AP347" s="272"/>
      <c r="AQ347" s="272"/>
      <c r="AR347" s="272"/>
      <c r="AS347" s="272"/>
      <c r="AT347" s="272"/>
      <c r="AU347" s="272"/>
      <c r="AV347" s="272"/>
      <c r="AW347" s="272"/>
      <c r="AX347" s="272"/>
      <c r="AY347" s="272"/>
      <c r="AZ347" s="272"/>
      <c r="BA347" s="272"/>
    </row>
    <row r="348" spans="1:53" outlineLevel="1" x14ac:dyDescent="0.35">
      <c r="A348" s="6" t="s">
        <v>22</v>
      </c>
      <c r="Z348" s="6">
        <f>Z64</f>
        <v>1.3251030746934389E-3</v>
      </c>
      <c r="AB348" s="272"/>
      <c r="AC348" s="272"/>
      <c r="AD348" s="272"/>
      <c r="AE348" s="272"/>
      <c r="AF348" s="272"/>
      <c r="AG348" s="272"/>
      <c r="AH348" s="272"/>
      <c r="AI348" s="272"/>
      <c r="AJ348" s="272"/>
      <c r="AK348" s="272"/>
      <c r="AL348" s="272"/>
      <c r="AM348" s="272"/>
      <c r="AN348" s="272"/>
      <c r="AO348" s="272"/>
      <c r="AP348" s="272"/>
      <c r="AQ348" s="272"/>
      <c r="AR348" s="272"/>
      <c r="AS348" s="272"/>
      <c r="AT348" s="272"/>
      <c r="AU348" s="272"/>
      <c r="AV348" s="272"/>
      <c r="AW348" s="272"/>
      <c r="AX348" s="272"/>
      <c r="AY348" s="272"/>
      <c r="AZ348" s="272"/>
      <c r="BA348" s="272"/>
    </row>
    <row r="349" spans="1:53" outlineLevel="1" x14ac:dyDescent="0.35">
      <c r="A349" s="6" t="s">
        <v>24</v>
      </c>
      <c r="Z349" s="6">
        <f t="shared" ref="Z349:Z359" si="47">Z65</f>
        <v>6.3955514219959052E-4</v>
      </c>
      <c r="AB349" s="272"/>
      <c r="AC349" s="272"/>
      <c r="AD349" s="272"/>
      <c r="AE349" s="272"/>
      <c r="AF349" s="272"/>
      <c r="AG349" s="272"/>
      <c r="AH349" s="272"/>
      <c r="AI349" s="272"/>
      <c r="AJ349" s="272"/>
      <c r="AK349" s="272"/>
      <c r="AL349" s="272"/>
      <c r="AM349" s="272"/>
      <c r="AN349" s="272"/>
      <c r="AO349" s="272"/>
      <c r="AP349" s="272"/>
      <c r="AQ349" s="272"/>
      <c r="AR349" s="272"/>
      <c r="AS349" s="272"/>
      <c r="AT349" s="272"/>
      <c r="AU349" s="272"/>
      <c r="AV349" s="272"/>
      <c r="AW349" s="272"/>
      <c r="AX349" s="272"/>
      <c r="AY349" s="272"/>
      <c r="AZ349" s="272"/>
      <c r="BA349" s="272"/>
    </row>
    <row r="350" spans="1:53" outlineLevel="1" x14ac:dyDescent="0.35">
      <c r="A350" s="6" t="s">
        <v>25</v>
      </c>
      <c r="Z350" s="6">
        <f t="shared" si="47"/>
        <v>2.0930513190614889E-3</v>
      </c>
      <c r="AB350" s="272"/>
      <c r="AC350" s="272"/>
      <c r="AD350" s="272"/>
      <c r="AE350" s="272"/>
      <c r="AF350" s="272"/>
      <c r="AG350" s="272"/>
      <c r="AH350" s="272"/>
      <c r="AI350" s="272"/>
      <c r="AJ350" s="272"/>
      <c r="AK350" s="272"/>
      <c r="AL350" s="272"/>
      <c r="AM350" s="272"/>
      <c r="AN350" s="272"/>
      <c r="AO350" s="272"/>
      <c r="AP350" s="272"/>
      <c r="AQ350" s="272"/>
      <c r="AR350" s="272"/>
      <c r="AS350" s="272"/>
      <c r="AT350" s="272"/>
      <c r="AU350" s="272"/>
      <c r="AV350" s="272"/>
      <c r="AW350" s="272"/>
      <c r="AX350" s="272"/>
      <c r="AY350" s="272"/>
      <c r="AZ350" s="272"/>
      <c r="BA350" s="272"/>
    </row>
    <row r="351" spans="1:53" outlineLevel="1" x14ac:dyDescent="0.35">
      <c r="A351" s="6" t="s">
        <v>27</v>
      </c>
      <c r="Z351" s="6">
        <f t="shared" si="47"/>
        <v>9.9605819857726137E-4</v>
      </c>
      <c r="AB351" s="272"/>
      <c r="AC351" s="272"/>
      <c r="AD351" s="272"/>
      <c r="AE351" s="272"/>
      <c r="AF351" s="272"/>
      <c r="AG351" s="272"/>
      <c r="AH351" s="272"/>
      <c r="AI351" s="272"/>
      <c r="AJ351" s="272"/>
      <c r="AK351" s="272"/>
      <c r="AL351" s="272"/>
      <c r="AM351" s="272"/>
      <c r="AN351" s="272"/>
      <c r="AO351" s="272"/>
      <c r="AP351" s="272"/>
      <c r="AQ351" s="272"/>
      <c r="AR351" s="272"/>
      <c r="AS351" s="272"/>
      <c r="AT351" s="272"/>
      <c r="AU351" s="272"/>
      <c r="AV351" s="272"/>
      <c r="AW351" s="272"/>
      <c r="AX351" s="272"/>
      <c r="AY351" s="272"/>
      <c r="AZ351" s="272"/>
      <c r="BA351" s="272"/>
    </row>
    <row r="352" spans="1:53" outlineLevel="1" x14ac:dyDescent="0.35">
      <c r="A352" s="6" t="s">
        <v>30</v>
      </c>
      <c r="Z352" s="6">
        <f t="shared" si="47"/>
        <v>1.7330870984460761E-3</v>
      </c>
      <c r="AB352" s="272"/>
      <c r="AC352" s="272"/>
      <c r="AD352" s="272"/>
      <c r="AE352" s="272"/>
      <c r="AF352" s="272"/>
      <c r="AG352" s="272"/>
      <c r="AH352" s="272"/>
      <c r="AI352" s="272"/>
      <c r="AJ352" s="272"/>
      <c r="AK352" s="272"/>
      <c r="AL352" s="272"/>
      <c r="AM352" s="272"/>
      <c r="AN352" s="272"/>
      <c r="AO352" s="272"/>
      <c r="AP352" s="272"/>
      <c r="AQ352" s="272"/>
      <c r="AR352" s="272"/>
      <c r="AS352" s="272"/>
      <c r="AT352" s="272"/>
      <c r="AU352" s="272"/>
      <c r="AV352" s="272"/>
      <c r="AW352" s="272"/>
      <c r="AX352" s="272"/>
      <c r="AY352" s="272"/>
      <c r="AZ352" s="272"/>
      <c r="BA352" s="272"/>
    </row>
    <row r="353" spans="1:53" outlineLevel="1" x14ac:dyDescent="0.35">
      <c r="A353" s="6" t="s">
        <v>32</v>
      </c>
      <c r="Z353" s="6">
        <f t="shared" si="47"/>
        <v>6.5630319438792764E-4</v>
      </c>
      <c r="AB353" s="272"/>
      <c r="AC353" s="272"/>
      <c r="AD353" s="272"/>
      <c r="AE353" s="272"/>
      <c r="AF353" s="272"/>
      <c r="AG353" s="272"/>
      <c r="AH353" s="272"/>
      <c r="AI353" s="272"/>
      <c r="AJ353" s="272"/>
      <c r="AK353" s="272"/>
      <c r="AL353" s="272"/>
      <c r="AM353" s="272"/>
      <c r="AN353" s="272"/>
      <c r="AO353" s="272"/>
      <c r="AP353" s="272"/>
      <c r="AQ353" s="272"/>
      <c r="AR353" s="272"/>
      <c r="AS353" s="272"/>
      <c r="AT353" s="272"/>
      <c r="AU353" s="272"/>
      <c r="AV353" s="272"/>
      <c r="AW353" s="272"/>
      <c r="AX353" s="272"/>
      <c r="AY353" s="272"/>
      <c r="AZ353" s="272"/>
      <c r="BA353" s="272"/>
    </row>
    <row r="354" spans="1:53" outlineLevel="1" x14ac:dyDescent="0.35">
      <c r="A354" s="6" t="s">
        <v>33</v>
      </c>
      <c r="Z354" s="6">
        <f t="shared" si="47"/>
        <v>4.3155713161849529E-4</v>
      </c>
      <c r="AB354" s="272"/>
      <c r="AC354" s="272"/>
      <c r="AD354" s="272"/>
      <c r="AE354" s="272"/>
      <c r="AF354" s="272"/>
      <c r="AG354" s="272"/>
      <c r="AH354" s="272"/>
      <c r="AI354" s="272"/>
      <c r="AJ354" s="272"/>
      <c r="AK354" s="272"/>
      <c r="AL354" s="272"/>
      <c r="AM354" s="272"/>
      <c r="AN354" s="272"/>
      <c r="AO354" s="272"/>
      <c r="AP354" s="272"/>
      <c r="AQ354" s="272"/>
      <c r="AR354" s="272"/>
      <c r="AS354" s="272"/>
      <c r="AT354" s="272"/>
      <c r="AU354" s="272"/>
      <c r="AV354" s="272"/>
      <c r="AW354" s="272"/>
      <c r="AX354" s="272"/>
      <c r="AY354" s="272"/>
      <c r="AZ354" s="272"/>
      <c r="BA354" s="272"/>
    </row>
    <row r="355" spans="1:53" outlineLevel="1" x14ac:dyDescent="0.35">
      <c r="A355" s="6" t="s">
        <v>35</v>
      </c>
      <c r="Z355" s="6">
        <f t="shared" si="47"/>
        <v>8.6311426323699069E-4</v>
      </c>
      <c r="AB355" s="272"/>
      <c r="AC355" s="272"/>
      <c r="AD355" s="272"/>
      <c r="AE355" s="272"/>
      <c r="AF355" s="272"/>
      <c r="AG355" s="272"/>
      <c r="AH355" s="272"/>
      <c r="AI355" s="272"/>
      <c r="AJ355" s="272"/>
      <c r="AK355" s="272"/>
      <c r="AL355" s="272"/>
      <c r="AM355" s="272"/>
      <c r="AN355" s="272"/>
      <c r="AO355" s="272"/>
      <c r="AP355" s="272"/>
      <c r="AQ355" s="272"/>
      <c r="AR355" s="272"/>
      <c r="AS355" s="272"/>
      <c r="AT355" s="272"/>
      <c r="AU355" s="272"/>
      <c r="AV355" s="272"/>
      <c r="AW355" s="272"/>
      <c r="AX355" s="272"/>
      <c r="AY355" s="272"/>
      <c r="AZ355" s="272"/>
      <c r="BA355" s="272"/>
    </row>
    <row r="356" spans="1:53" outlineLevel="1" x14ac:dyDescent="0.35">
      <c r="A356" s="6" t="s">
        <v>37</v>
      </c>
      <c r="Z356" s="6">
        <f t="shared" si="47"/>
        <v>2.4543765248569191E-3</v>
      </c>
      <c r="AB356" s="272"/>
      <c r="AC356" s="272"/>
      <c r="AD356" s="272"/>
      <c r="AE356" s="272"/>
      <c r="AF356" s="272"/>
      <c r="AG356" s="272"/>
      <c r="AH356" s="272"/>
      <c r="AI356" s="272"/>
      <c r="AJ356" s="272"/>
      <c r="AK356" s="272"/>
      <c r="AL356" s="272"/>
      <c r="AM356" s="272"/>
      <c r="AN356" s="272"/>
      <c r="AO356" s="272"/>
      <c r="AP356" s="272"/>
      <c r="AQ356" s="272"/>
      <c r="AR356" s="272"/>
      <c r="AS356" s="272"/>
      <c r="AT356" s="272"/>
      <c r="AU356" s="272"/>
      <c r="AV356" s="272"/>
      <c r="AW356" s="272"/>
      <c r="AX356" s="272"/>
      <c r="AY356" s="272"/>
      <c r="AZ356" s="272"/>
      <c r="BA356" s="272"/>
    </row>
    <row r="357" spans="1:53" outlineLevel="1" x14ac:dyDescent="0.35">
      <c r="A357" s="6" t="s">
        <v>40</v>
      </c>
      <c r="Z357" s="6">
        <f t="shared" si="47"/>
        <v>9.2690812501355274E-2</v>
      </c>
    </row>
    <row r="358" spans="1:53" outlineLevel="1" x14ac:dyDescent="0.35">
      <c r="A358" s="6" t="s">
        <v>42</v>
      </c>
      <c r="Z358" s="6">
        <f t="shared" si="47"/>
        <v>1.3974082908951009E-3</v>
      </c>
    </row>
    <row r="359" spans="1:53" outlineLevel="1" x14ac:dyDescent="0.35">
      <c r="A359" s="6" t="s">
        <v>115</v>
      </c>
      <c r="Z359" s="6">
        <f t="shared" si="47"/>
        <v>2.0280415759600032E-2</v>
      </c>
    </row>
    <row r="360" spans="1:53" outlineLevel="1" x14ac:dyDescent="0.35">
      <c r="A360" s="6" t="s">
        <v>45</v>
      </c>
      <c r="Z360" s="6">
        <f>Z76*AC325</f>
        <v>9.0075841986970019E-4</v>
      </c>
    </row>
    <row r="361" spans="1:53" outlineLevel="1" x14ac:dyDescent="0.35">
      <c r="A361" s="6" t="s">
        <v>116</v>
      </c>
      <c r="B361" s="6">
        <f>B77</f>
        <v>0.14634543908972419</v>
      </c>
      <c r="C361" s="6">
        <f t="shared" ref="C361:Z361" si="48">C77</f>
        <v>0.14579663034043189</v>
      </c>
      <c r="D361" s="6">
        <f t="shared" si="48"/>
        <v>0.1452403762482144</v>
      </c>
      <c r="E361" s="6">
        <f t="shared" si="48"/>
        <v>0.144700117717494</v>
      </c>
      <c r="F361" s="6">
        <f t="shared" si="48"/>
        <v>0.14412715742662441</v>
      </c>
      <c r="G361" s="6">
        <f t="shared" si="48"/>
        <v>0.14354585844594669</v>
      </c>
      <c r="H361" s="6">
        <f t="shared" si="48"/>
        <v>0.14300322402923241</v>
      </c>
      <c r="I361" s="6">
        <f t="shared" si="48"/>
        <v>0.14246208632349619</v>
      </c>
      <c r="J361" s="6">
        <f t="shared" si="48"/>
        <v>0.14200502565734541</v>
      </c>
      <c r="K361" s="6">
        <f t="shared" si="48"/>
        <v>0.14146113160521259</v>
      </c>
      <c r="L361" s="6">
        <f t="shared" si="48"/>
        <v>0.14091427334345921</v>
      </c>
      <c r="M361" s="6">
        <f t="shared" si="48"/>
        <v>0.14043636373789661</v>
      </c>
      <c r="N361" s="6">
        <f t="shared" si="48"/>
        <v>0.13996239429028681</v>
      </c>
      <c r="O361" s="6">
        <f t="shared" si="48"/>
        <v>0.13954905709966489</v>
      </c>
      <c r="P361" s="6">
        <f t="shared" si="48"/>
        <v>0.13908129459722629</v>
      </c>
      <c r="Q361" s="6">
        <f t="shared" si="48"/>
        <v>0.13861595410465891</v>
      </c>
      <c r="R361" s="6">
        <f t="shared" si="48"/>
        <v>0.1383345288367499</v>
      </c>
      <c r="S361" s="6">
        <f t="shared" si="48"/>
        <v>0.13805488615908901</v>
      </c>
      <c r="T361" s="6">
        <f t="shared" si="48"/>
        <v>0.1378128975848889</v>
      </c>
      <c r="U361" s="6">
        <f t="shared" si="48"/>
        <v>0.1375364909433909</v>
      </c>
      <c r="V361" s="6">
        <f t="shared" si="48"/>
        <v>0.13726155351310909</v>
      </c>
      <c r="W361" s="6">
        <f t="shared" si="48"/>
        <v>0.13722954493495951</v>
      </c>
      <c r="X361" s="6">
        <f t="shared" si="48"/>
        <v>0.13718706200929201</v>
      </c>
      <c r="Y361" s="6">
        <f t="shared" si="48"/>
        <v>0.13714509510066361</v>
      </c>
      <c r="Z361" s="6">
        <f t="shared" si="48"/>
        <v>0.13710363329546579</v>
      </c>
    </row>
    <row r="362" spans="1:53" outlineLevel="1" x14ac:dyDescent="0.35">
      <c r="A362" s="6" t="s">
        <v>758</v>
      </c>
      <c r="B362" s="6">
        <f>B78*$AC$325</f>
        <v>1.6748480438559836E-3</v>
      </c>
      <c r="C362" s="6">
        <f t="shared" ref="C362:Z363" si="49">C78*$AC$325</f>
        <v>0.15999077227509739</v>
      </c>
      <c r="D362" s="6">
        <f t="shared" si="49"/>
        <v>0.15252542683510686</v>
      </c>
      <c r="E362" s="6">
        <f t="shared" si="49"/>
        <v>0.14510433219981628</v>
      </c>
      <c r="F362" s="6">
        <f t="shared" si="49"/>
        <v>0.13769646391113588</v>
      </c>
      <c r="G362" s="6">
        <f t="shared" si="49"/>
        <v>0.13031693925112145</v>
      </c>
      <c r="H362" s="6">
        <f t="shared" si="49"/>
        <v>0.12763053255429468</v>
      </c>
      <c r="I362" s="6">
        <f t="shared" si="49"/>
        <v>0.12495735719499661</v>
      </c>
      <c r="J362" s="6">
        <f t="shared" si="49"/>
        <v>0.1223175637610092</v>
      </c>
      <c r="K362" s="6">
        <f t="shared" si="49"/>
        <v>0.1196634535702627</v>
      </c>
      <c r="L362" s="6">
        <f t="shared" si="49"/>
        <v>0.11701656177555361</v>
      </c>
      <c r="M362" s="6">
        <f t="shared" si="49"/>
        <v>0.11621905114013154</v>
      </c>
      <c r="N362" s="6">
        <f t="shared" si="49"/>
        <v>0.11541950841167711</v>
      </c>
      <c r="O362" s="6">
        <f t="shared" si="49"/>
        <v>0.11463267933823409</v>
      </c>
      <c r="P362" s="6">
        <f t="shared" si="49"/>
        <v>0.11382710712855955</v>
      </c>
      <c r="Q362" s="6">
        <f t="shared" si="49"/>
        <v>0.1130178080627227</v>
      </c>
      <c r="R362" s="6">
        <f t="shared" si="49"/>
        <v>0.11322844720473139</v>
      </c>
      <c r="S362" s="6">
        <f t="shared" si="49"/>
        <v>0.1134395920393876</v>
      </c>
      <c r="T362" s="6">
        <f t="shared" si="49"/>
        <v>0.11366118404717346</v>
      </c>
      <c r="U362" s="6">
        <f t="shared" si="49"/>
        <v>0.11387303614379765</v>
      </c>
      <c r="V362" s="6">
        <f t="shared" si="49"/>
        <v>0.11408509070854171</v>
      </c>
      <c r="W362" s="6">
        <f t="shared" si="49"/>
        <v>0.11443775343715605</v>
      </c>
      <c r="X362" s="6">
        <f t="shared" si="49"/>
        <v>0.1147789595097001</v>
      </c>
      <c r="Y362" s="6">
        <f t="shared" si="49"/>
        <v>0.1151207323419051</v>
      </c>
      <c r="Z362" s="6">
        <f t="shared" si="49"/>
        <v>0.11546285749643431</v>
      </c>
    </row>
    <row r="363" spans="1:53" outlineLevel="1" x14ac:dyDescent="0.35">
      <c r="A363" s="6" t="s">
        <v>759</v>
      </c>
      <c r="B363" s="6">
        <f>B79*$AC$325</f>
        <v>0</v>
      </c>
      <c r="C363" s="6">
        <f t="shared" si="49"/>
        <v>0</v>
      </c>
      <c r="D363" s="6">
        <f t="shared" si="49"/>
        <v>0</v>
      </c>
      <c r="E363" s="6">
        <f t="shared" si="49"/>
        <v>0</v>
      </c>
      <c r="F363" s="6">
        <f t="shared" si="49"/>
        <v>0</v>
      </c>
      <c r="G363" s="6">
        <f t="shared" si="49"/>
        <v>0</v>
      </c>
      <c r="H363" s="6">
        <f t="shared" si="49"/>
        <v>0</v>
      </c>
      <c r="I363" s="6">
        <f t="shared" si="49"/>
        <v>0</v>
      </c>
      <c r="J363" s="6">
        <f t="shared" si="49"/>
        <v>0</v>
      </c>
      <c r="K363" s="6">
        <f t="shared" si="49"/>
        <v>0</v>
      </c>
      <c r="L363" s="6">
        <f t="shared" si="49"/>
        <v>0</v>
      </c>
      <c r="M363" s="6">
        <f t="shared" si="49"/>
        <v>0</v>
      </c>
      <c r="N363" s="6">
        <f t="shared" si="49"/>
        <v>0</v>
      </c>
      <c r="O363" s="6">
        <f t="shared" si="49"/>
        <v>0</v>
      </c>
      <c r="P363" s="6">
        <f t="shared" si="49"/>
        <v>0</v>
      </c>
      <c r="Q363" s="6">
        <f t="shared" si="49"/>
        <v>0</v>
      </c>
      <c r="R363" s="6">
        <f t="shared" si="49"/>
        <v>0</v>
      </c>
      <c r="S363" s="6">
        <f t="shared" si="49"/>
        <v>0</v>
      </c>
      <c r="T363" s="6">
        <f t="shared" si="49"/>
        <v>0</v>
      </c>
      <c r="U363" s="6">
        <f t="shared" si="49"/>
        <v>0</v>
      </c>
      <c r="V363" s="6">
        <f t="shared" si="49"/>
        <v>0</v>
      </c>
      <c r="W363" s="6">
        <f t="shared" si="49"/>
        <v>0</v>
      </c>
      <c r="X363" s="6">
        <f t="shared" si="49"/>
        <v>0</v>
      </c>
      <c r="Y363" s="6">
        <f t="shared" si="49"/>
        <v>0</v>
      </c>
      <c r="Z363" s="6">
        <f t="shared" si="49"/>
        <v>0</v>
      </c>
    </row>
    <row r="364" spans="1:53" outlineLevel="1" x14ac:dyDescent="0.35">
      <c r="A364" s="6" t="s">
        <v>760</v>
      </c>
      <c r="B364" s="6">
        <f>$B$252*$AC$324*'Results - raw data ReCiPe (E)'!C121/(1-0.5)*(1+'Results ReCiPe (E) - HHD'!$AC$271/'Results ReCiPe (E) - HHD'!$AC$272-'Results ReCiPe (E) - HHD'!$AC$271)</f>
        <v>2.073735385446061</v>
      </c>
      <c r="C364" s="6">
        <f>$B$252*$AC$324*'Results - raw data ReCiPe (E)'!D121/(1-0.5)*(1+'Results ReCiPe (E) - HHD'!$AC$271/'Results ReCiPe (E) - HHD'!$AC$272-'Results ReCiPe (E) - HHD'!$AC$271)</f>
        <v>2.0723269293441566</v>
      </c>
      <c r="D364" s="6">
        <f>$B$252*$AC$324*'Results - raw data ReCiPe (E)'!E121/(1-0.5)*(1+'Results ReCiPe (E) - HHD'!$AC$271/'Results ReCiPe (E) - HHD'!$AC$272-'Results ReCiPe (E) - HHD'!$AC$271)</f>
        <v>2.0708394464562403</v>
      </c>
      <c r="E364" s="6">
        <f>$B$252*$AC$324*'Results - raw data ReCiPe (E)'!F121/(1-0.5)*(1+'Results ReCiPe (E) - HHD'!$AC$271/'Results ReCiPe (E) - HHD'!$AC$272-'Results ReCiPe (E) - HHD'!$AC$271)</f>
        <v>2.069407206525177</v>
      </c>
      <c r="F364" s="6">
        <f>$B$252*$AC$324*'Results - raw data ReCiPe (E)'!G121/(1-0.5)*(1+'Results ReCiPe (E) - HHD'!$AC$271/'Results ReCiPe (E) - HHD'!$AC$272-'Results ReCiPe (E) - HHD'!$AC$271)</f>
        <v>2.0677700702206296</v>
      </c>
      <c r="G364" s="6">
        <f>$B$252*$AC$324*'Results - raw data ReCiPe (E)'!H121/(1-0.5)*(1+'Results ReCiPe (E) - HHD'!$AC$271/'Results ReCiPe (E) - HHD'!$AC$272-'Results ReCiPe (E) - HHD'!$AC$271)</f>
        <v>2.0660394984001305</v>
      </c>
      <c r="H364" s="6">
        <f>$B$252*$AC$324*'Results - raw data ReCiPe (E)'!I121/(1-0.5)*(1+'Results ReCiPe (E) - HHD'!$AC$271/'Results ReCiPe (E) - HHD'!$AC$272-'Results ReCiPe (E) - HHD'!$AC$271)</f>
        <v>2.0619568411872993</v>
      </c>
      <c r="I364" s="6">
        <f>$B$252*$AC$324*'Results - raw data ReCiPe (E)'!J121/(1-0.5)*(1+'Results ReCiPe (E) - HHD'!$AC$271/'Results ReCiPe (E) - HHD'!$AC$272-'Results ReCiPe (E) - HHD'!$AC$271)</f>
        <v>2.0583630361223038</v>
      </c>
      <c r="J364" s="6">
        <f>$B$252*$AC$324*'Results - raw data ReCiPe (E)'!K121/(1-0.5)*(1+'Results ReCiPe (E) - HHD'!$AC$271/'Results ReCiPe (E) - HHD'!$AC$272-'Results ReCiPe (E) - HHD'!$AC$271)</f>
        <v>2.0555005881205095</v>
      </c>
      <c r="K364" s="6">
        <f>$B$252*$AC$324*'Results - raw data ReCiPe (E)'!L121/(1-0.5)*(1+'Results ReCiPe (E) - HHD'!$AC$271/'Results ReCiPe (E) - HHD'!$AC$272-'Results ReCiPe (E) - HHD'!$AC$271)</f>
        <v>2.0523707830233451</v>
      </c>
      <c r="L364" s="6">
        <f>$B$252*$AC$324*'Results - raw data ReCiPe (E)'!M121/(1-0.5)*(1+'Results ReCiPe (E) - HHD'!$AC$271/'Results ReCiPe (E) - HHD'!$AC$272-'Results ReCiPe (E) - HHD'!$AC$271)</f>
        <v>2.0493501551521645</v>
      </c>
      <c r="M364" s="6">
        <f>$B$252*$AC$324*'Results - raw data ReCiPe (E)'!N121/(1-0.5)*(1+'Results ReCiPe (E) - HHD'!$AC$271/'Results ReCiPe (E) - HHD'!$AC$272-'Results ReCiPe (E) - HHD'!$AC$271)</f>
        <v>2.0472949331862784</v>
      </c>
      <c r="N364" s="6">
        <f>$B$252*$AC$324*'Results - raw data ReCiPe (E)'!O121/(1-0.5)*(1+'Results ReCiPe (E) - HHD'!$AC$271/'Results ReCiPe (E) - HHD'!$AC$272-'Results ReCiPe (E) - HHD'!$AC$271)</f>
        <v>2.0454557189937885</v>
      </c>
      <c r="O364" s="6">
        <f>$B$252*$AC$324*'Results - raw data ReCiPe (E)'!P121/(1-0.5)*(1+'Results ReCiPe (E) - HHD'!$AC$271/'Results ReCiPe (E) - HHD'!$AC$272-'Results ReCiPe (E) - HHD'!$AC$271)</f>
        <v>2.044085706640157</v>
      </c>
      <c r="P364" s="6">
        <f>$B$252*$AC$324*'Results - raw data ReCiPe (E)'!Q121/(1-0.5)*(1+'Results ReCiPe (E) - HHD'!$AC$271/'Results ReCiPe (E) - HHD'!$AC$272-'Results ReCiPe (E) - HHD'!$AC$271)</f>
        <v>2.0425458555931888</v>
      </c>
      <c r="Q364" s="6">
        <f>$B$252*$AC$324*'Results - raw data ReCiPe (E)'!R121/(1-0.5)*(1+'Results ReCiPe (E) - HHD'!$AC$271/'Results ReCiPe (E) - HHD'!$AC$272-'Results ReCiPe (E) - HHD'!$AC$271)</f>
        <v>2.0411060381969137</v>
      </c>
      <c r="R364" s="6">
        <f>$B$252*$AC$324*'Results - raw data ReCiPe (E)'!S121/(1-0.5)*(1+'Results ReCiPe (E) - HHD'!$AC$271/'Results ReCiPe (E) - HHD'!$AC$272-'Results ReCiPe (E) - HHD'!$AC$271)</f>
        <v>2.0408548125544494</v>
      </c>
      <c r="S364" s="6">
        <f>$B$252*$AC$324*'Results - raw data ReCiPe (E)'!T121/(1-0.5)*(1+'Results ReCiPe (E) - HHD'!$AC$271/'Results ReCiPe (E) - HHD'!$AC$272-'Results ReCiPe (E) - HHD'!$AC$271)</f>
        <v>2.0406351217620973</v>
      </c>
      <c r="T364" s="6">
        <f>$B$252*$AC$324*'Results - raw data ReCiPe (E)'!U121/(1-0.5)*(1+'Results ReCiPe (E) - HHD'!$AC$271/'Results ReCiPe (E) - HHD'!$AC$272-'Results ReCiPe (E) - HHD'!$AC$271)</f>
        <v>2.0406297771036921</v>
      </c>
      <c r="U364" s="6">
        <f>$B$252*$AC$324*'Results - raw data ReCiPe (E)'!V121/(1-0.5)*(1+'Results ReCiPe (E) - HHD'!$AC$271/'Results ReCiPe (E) - HHD'!$AC$272-'Results ReCiPe (E) - HHD'!$AC$271)</f>
        <v>2.0404436526318186</v>
      </c>
      <c r="V364" s="6">
        <f>$B$252*$AC$324*'Results - raw data ReCiPe (E)'!W121/(1-0.5)*(1+'Results ReCiPe (E) - HHD'!$AC$271/'Results ReCiPe (E) - HHD'!$AC$272-'Results ReCiPe (E) - HHD'!$AC$271)</f>
        <v>2.0402685062554737</v>
      </c>
      <c r="W364" s="6">
        <f>$B$252*$AC$324*'Results - raw data ReCiPe (E)'!X121/(1-0.5)*(1+'Results ReCiPe (E) - HHD'!$AC$271/'Results ReCiPe (E) - HHD'!$AC$272-'Results ReCiPe (E) - HHD'!$AC$271)</f>
        <v>2.0409903505460636</v>
      </c>
      <c r="X364" s="6">
        <f>$B$252*$AC$324*'Results - raw data ReCiPe (E)'!Y121/(1-0.5)*(1+'Results ReCiPe (E) - HHD'!$AC$271/'Results ReCiPe (E) - HHD'!$AC$272-'Results ReCiPe (E) - HHD'!$AC$271)</f>
        <v>2.0415758041470018</v>
      </c>
      <c r="Y364" s="6">
        <f>$B$252*$AC$324*'Results - raw data ReCiPe (E)'!Z121/(1-0.5)*(1+'Results ReCiPe (E) - HHD'!$AC$271/'Results ReCiPe (E) - HHD'!$AC$272-'Results ReCiPe (E) - HHD'!$AC$271)</f>
        <v>2.0421563197890236</v>
      </c>
      <c r="Z364" s="6">
        <f>$B$252*$AC$324*'Results - raw data ReCiPe (E)'!AA121/(1-0.5)*(1+'Results ReCiPe (E) - HHD'!$AC$271/'Results ReCiPe (E) - HHD'!$AC$272-'Results ReCiPe (E) - HHD'!$AC$271)</f>
        <v>2.0427323831114288</v>
      </c>
    </row>
    <row r="365" spans="1:53" outlineLevel="1" x14ac:dyDescent="0.35">
      <c r="A365" s="6" t="s">
        <v>797</v>
      </c>
      <c r="B365" s="6">
        <f>$B$320*$AC$324</f>
        <v>3.7396614403507931</v>
      </c>
      <c r="C365" s="6">
        <f t="shared" ref="C365:Z365" si="50">$B$320*$AC$324</f>
        <v>3.7396614403507931</v>
      </c>
      <c r="D365" s="6">
        <f t="shared" si="50"/>
        <v>3.7396614403507931</v>
      </c>
      <c r="E365" s="6">
        <f t="shared" si="50"/>
        <v>3.7396614403507931</v>
      </c>
      <c r="F365" s="6">
        <f t="shared" si="50"/>
        <v>3.7396614403507931</v>
      </c>
      <c r="G365" s="6">
        <f t="shared" si="50"/>
        <v>3.7396614403507931</v>
      </c>
      <c r="H365" s="6">
        <f t="shared" si="50"/>
        <v>3.7396614403507931</v>
      </c>
      <c r="I365" s="6">
        <f t="shared" si="50"/>
        <v>3.7396614403507931</v>
      </c>
      <c r="J365" s="6">
        <f t="shared" si="50"/>
        <v>3.7396614403507931</v>
      </c>
      <c r="K365" s="6">
        <f t="shared" si="50"/>
        <v>3.7396614403507931</v>
      </c>
      <c r="L365" s="6">
        <f t="shared" si="50"/>
        <v>3.7396614403507931</v>
      </c>
      <c r="M365" s="6">
        <f t="shared" si="50"/>
        <v>3.7396614403507931</v>
      </c>
      <c r="N365" s="6">
        <f t="shared" si="50"/>
        <v>3.7396614403507931</v>
      </c>
      <c r="O365" s="6">
        <f t="shared" si="50"/>
        <v>3.7396614403507931</v>
      </c>
      <c r="P365" s="6">
        <f t="shared" si="50"/>
        <v>3.7396614403507931</v>
      </c>
      <c r="Q365" s="6">
        <f t="shared" si="50"/>
        <v>3.7396614403507931</v>
      </c>
      <c r="R365" s="6">
        <f t="shared" si="50"/>
        <v>3.7396614403507931</v>
      </c>
      <c r="S365" s="6">
        <f t="shared" si="50"/>
        <v>3.7396614403507931</v>
      </c>
      <c r="T365" s="6">
        <f t="shared" si="50"/>
        <v>3.7396614403507931</v>
      </c>
      <c r="U365" s="6">
        <f t="shared" si="50"/>
        <v>3.7396614403507931</v>
      </c>
      <c r="V365" s="6">
        <f t="shared" si="50"/>
        <v>3.7396614403507931</v>
      </c>
      <c r="W365" s="6">
        <f t="shared" si="50"/>
        <v>3.7396614403507931</v>
      </c>
      <c r="X365" s="6">
        <f t="shared" si="50"/>
        <v>3.7396614403507931</v>
      </c>
      <c r="Y365" s="6">
        <f t="shared" si="50"/>
        <v>3.7396614403507931</v>
      </c>
      <c r="Z365" s="6">
        <f t="shared" si="50"/>
        <v>3.7396614403507931</v>
      </c>
    </row>
    <row r="366" spans="1:53" outlineLevel="1" x14ac:dyDescent="0.35">
      <c r="A366" s="23" t="s">
        <v>125</v>
      </c>
      <c r="B366" s="17">
        <f>SUM(B334:B364)</f>
        <v>17.301560800299516</v>
      </c>
      <c r="C366" s="17">
        <f t="shared" ref="C366:Z366" si="51">SUM(C334:C364)</f>
        <v>2.378114331959686</v>
      </c>
      <c r="D366" s="17">
        <f t="shared" si="51"/>
        <v>2.3686052495395615</v>
      </c>
      <c r="E366" s="17">
        <f t="shared" si="51"/>
        <v>2.3592116564424872</v>
      </c>
      <c r="F366" s="17">
        <f t="shared" si="51"/>
        <v>2.3495936915583897</v>
      </c>
      <c r="G366" s="17">
        <f t="shared" si="51"/>
        <v>2.3399022960971987</v>
      </c>
      <c r="H366" s="17">
        <f t="shared" si="51"/>
        <v>2.3325905977708263</v>
      </c>
      <c r="I366" s="17">
        <f t="shared" si="51"/>
        <v>2.3257824796407967</v>
      </c>
      <c r="J366" s="17">
        <f t="shared" si="51"/>
        <v>2.319823177538864</v>
      </c>
      <c r="K366" s="17">
        <f t="shared" si="51"/>
        <v>2.3134953681988204</v>
      </c>
      <c r="L366" s="17">
        <f t="shared" si="51"/>
        <v>2.3072809902711775</v>
      </c>
      <c r="M366" s="17">
        <f t="shared" si="51"/>
        <v>2.3039503480643067</v>
      </c>
      <c r="N366" s="17">
        <f t="shared" si="51"/>
        <v>2.3008376216957522</v>
      </c>
      <c r="O366" s="17">
        <f t="shared" si="51"/>
        <v>2.2982674430780561</v>
      </c>
      <c r="P366" s="17">
        <f t="shared" si="51"/>
        <v>2.2954542573189745</v>
      </c>
      <c r="Q366" s="17">
        <f t="shared" si="51"/>
        <v>2.2927398003642954</v>
      </c>
      <c r="R366" s="17">
        <f t="shared" si="51"/>
        <v>2.2924177885959307</v>
      </c>
      <c r="S366" s="17">
        <f t="shared" si="51"/>
        <v>2.2921295999605737</v>
      </c>
      <c r="T366" s="17">
        <f t="shared" si="51"/>
        <v>2.2921038587357545</v>
      </c>
      <c r="U366" s="17">
        <f t="shared" si="51"/>
        <v>2.2918531797190074</v>
      </c>
      <c r="V366" s="17">
        <f t="shared" si="51"/>
        <v>2.2916151504771247</v>
      </c>
      <c r="W366" s="17">
        <f t="shared" si="51"/>
        <v>2.2926576489181789</v>
      </c>
      <c r="X366" s="17">
        <f t="shared" si="51"/>
        <v>2.2935418256659941</v>
      </c>
      <c r="Y366" s="17">
        <f t="shared" si="51"/>
        <v>2.2944221472315922</v>
      </c>
      <c r="Z366" s="17">
        <f t="shared" si="51"/>
        <v>2.4217604748221273</v>
      </c>
    </row>
    <row r="367" spans="1:53" outlineLevel="1" x14ac:dyDescent="0.35"/>
    <row r="368" spans="1:53" s="18" customFormat="1" ht="21" x14ac:dyDescent="0.5">
      <c r="A368" s="18" t="s">
        <v>94</v>
      </c>
    </row>
    <row r="369" spans="1:31" s="20" customFormat="1" outlineLevel="1" x14ac:dyDescent="0.35">
      <c r="A369" s="19" t="s">
        <v>788</v>
      </c>
    </row>
    <row r="370" spans="1:31" s="20" customFormat="1" outlineLevel="1" x14ac:dyDescent="0.35">
      <c r="A370" s="273" t="s">
        <v>775</v>
      </c>
      <c r="B370" s="20">
        <v>1</v>
      </c>
      <c r="C370" s="274" t="s">
        <v>787</v>
      </c>
    </row>
    <row r="371" spans="1:31" s="20" customFormat="1" outlineLevel="1" x14ac:dyDescent="0.35">
      <c r="A371" s="273" t="s">
        <v>781</v>
      </c>
      <c r="B371" s="20">
        <v>100000</v>
      </c>
      <c r="C371" s="20" t="s">
        <v>782</v>
      </c>
      <c r="E371" s="274"/>
    </row>
    <row r="372" spans="1:31" s="20" customFormat="1" outlineLevel="1" x14ac:dyDescent="0.35">
      <c r="A372" s="273" t="s">
        <v>783</v>
      </c>
      <c r="B372" s="20">
        <v>1500</v>
      </c>
      <c r="C372" s="20" t="s">
        <v>592</v>
      </c>
    </row>
    <row r="373" spans="1:31" s="20" customFormat="1" outlineLevel="1" x14ac:dyDescent="0.35">
      <c r="A373" s="273" t="s">
        <v>784</v>
      </c>
      <c r="B373" s="20">
        <v>8760</v>
      </c>
      <c r="C373" s="20" t="s">
        <v>785</v>
      </c>
    </row>
    <row r="374" spans="1:31" s="20" customFormat="1" outlineLevel="1" x14ac:dyDescent="0.35">
      <c r="A374" s="273"/>
    </row>
    <row r="375" spans="1:31" s="20" customFormat="1" outlineLevel="1" x14ac:dyDescent="0.35">
      <c r="A375" s="275" t="s">
        <v>786</v>
      </c>
      <c r="B375" s="275">
        <f>(B371*B372)/(B373*B370)</f>
        <v>17123.287671232876</v>
      </c>
      <c r="C375" s="275" t="s">
        <v>749</v>
      </c>
    </row>
    <row r="376" spans="1:31" s="20" customFormat="1" outlineLevel="1" x14ac:dyDescent="0.35">
      <c r="A376" s="19"/>
    </row>
    <row r="377" spans="1:31" s="20" customFormat="1" outlineLevel="1" x14ac:dyDescent="0.35">
      <c r="A377" s="19" t="s">
        <v>793</v>
      </c>
    </row>
    <row r="378" spans="1:31" s="20" customFormat="1" outlineLevel="1" x14ac:dyDescent="0.35">
      <c r="A378" s="273" t="s">
        <v>789</v>
      </c>
      <c r="B378" s="20">
        <f>SUM('Results - raw data ReCiPe (E)'!C156:C157)+'Results - raw data ReCiPe (E)'!C160+SUM('Results - raw data ReCiPe (E)'!C158:C159)*AC387</f>
        <v>0.71445114300462553</v>
      </c>
      <c r="C378" s="20" t="s">
        <v>790</v>
      </c>
    </row>
    <row r="379" spans="1:31" s="20" customFormat="1" outlineLevel="1" x14ac:dyDescent="0.35">
      <c r="A379" s="20" t="s">
        <v>792</v>
      </c>
      <c r="B379" s="20">
        <f>B371*AC385</f>
        <v>50000</v>
      </c>
      <c r="C379" s="274" t="s">
        <v>795</v>
      </c>
    </row>
    <row r="380" spans="1:31" s="20" customFormat="1" outlineLevel="1" x14ac:dyDescent="0.35">
      <c r="A380" s="20" t="s">
        <v>791</v>
      </c>
      <c r="B380" s="20">
        <f>(B378*AC387*B375)/(B379*AC386)*(AC386/AC388)</f>
        <v>7.340251469225606E-2</v>
      </c>
      <c r="C380" s="20" t="s">
        <v>794</v>
      </c>
      <c r="E380" s="274" t="s">
        <v>796</v>
      </c>
    </row>
    <row r="381" spans="1:31" s="20" customFormat="1" outlineLevel="1" x14ac:dyDescent="0.35">
      <c r="A381" s="19"/>
    </row>
    <row r="382" spans="1:31" s="16" customFormat="1" outlineLevel="1" x14ac:dyDescent="0.35">
      <c r="A382" s="21"/>
      <c r="AB382" s="16" t="s">
        <v>47</v>
      </c>
      <c r="AC382" s="16">
        <v>1.2500000000000001E-5</v>
      </c>
      <c r="AD382" s="16" t="s">
        <v>48</v>
      </c>
      <c r="AE382" s="15" t="s">
        <v>714</v>
      </c>
    </row>
    <row r="383" spans="1:31" s="16" customFormat="1" outlineLevel="1" x14ac:dyDescent="0.35">
      <c r="A383" s="22" t="s">
        <v>564</v>
      </c>
      <c r="AC383" s="16">
        <f>AC382*1000</f>
        <v>1.2500000000000001E-2</v>
      </c>
      <c r="AD383" s="16" t="s">
        <v>126</v>
      </c>
    </row>
    <row r="384" spans="1:31" s="16" customFormat="1" outlineLevel="1" x14ac:dyDescent="0.35">
      <c r="A384" s="22"/>
      <c r="AB384" s="16" t="s">
        <v>127</v>
      </c>
      <c r="AC384" s="16">
        <f>100*AC385</f>
        <v>50</v>
      </c>
      <c r="AD384" s="16" t="s">
        <v>128</v>
      </c>
    </row>
    <row r="385" spans="1:53" s="16" customFormat="1" outlineLevel="1" x14ac:dyDescent="0.35">
      <c r="A385" s="230"/>
      <c r="AB385" s="16" t="s">
        <v>776</v>
      </c>
      <c r="AC385" s="16">
        <v>0.5</v>
      </c>
    </row>
    <row r="386" spans="1:53" s="16" customFormat="1" outlineLevel="1" x14ac:dyDescent="0.35">
      <c r="A386" s="21"/>
      <c r="AB386" s="16" t="s">
        <v>129</v>
      </c>
      <c r="AC386" s="16">
        <v>25</v>
      </c>
      <c r="AD386" s="16" t="s">
        <v>130</v>
      </c>
    </row>
    <row r="387" spans="1:53" s="16" customFormat="1" outlineLevel="1" x14ac:dyDescent="0.35">
      <c r="A387" s="21"/>
      <c r="AB387" s="16" t="s">
        <v>777</v>
      </c>
      <c r="AC387" s="16">
        <v>6</v>
      </c>
      <c r="AD387" s="16" t="s">
        <v>779</v>
      </c>
    </row>
    <row r="388" spans="1:53" s="16" customFormat="1" outlineLevel="1" x14ac:dyDescent="0.35">
      <c r="A388" s="21"/>
      <c r="AB388" s="16" t="s">
        <v>778</v>
      </c>
      <c r="AC388" s="16">
        <v>20</v>
      </c>
      <c r="AD388" s="16" t="s">
        <v>130</v>
      </c>
    </row>
    <row r="389" spans="1:53" s="16" customFormat="1" outlineLevel="1" x14ac:dyDescent="0.35">
      <c r="AB389" s="16" t="s">
        <v>780</v>
      </c>
      <c r="AC389" s="16">
        <f>B375</f>
        <v>17123.287671232876</v>
      </c>
      <c r="AD389" s="16" t="s">
        <v>749</v>
      </c>
    </row>
    <row r="390" spans="1:53" s="16" customFormat="1" outlineLevel="1" x14ac:dyDescent="0.35"/>
    <row r="391" spans="1:53" s="16" customFormat="1" outlineLevel="1" x14ac:dyDescent="0.35">
      <c r="AB391" s="16" t="s">
        <v>798</v>
      </c>
      <c r="AC391" s="16">
        <v>0.25</v>
      </c>
    </row>
    <row r="392" spans="1:53" s="16" customFormat="1" outlineLevel="1" x14ac:dyDescent="0.35">
      <c r="A392" s="22"/>
      <c r="AB392" s="16" t="s">
        <v>799</v>
      </c>
      <c r="AC392" s="16">
        <v>0.9</v>
      </c>
    </row>
    <row r="393" spans="1:53" s="16" customFormat="1" outlineLevel="1" x14ac:dyDescent="0.35">
      <c r="A393" s="22"/>
    </row>
    <row r="394" spans="1:53" outlineLevel="1" x14ac:dyDescent="0.35">
      <c r="B394" s="25">
        <v>2030</v>
      </c>
      <c r="C394" s="25">
        <v>2031</v>
      </c>
      <c r="D394" s="25">
        <v>2032</v>
      </c>
      <c r="E394" s="25">
        <v>2033</v>
      </c>
      <c r="F394" s="25">
        <v>2034</v>
      </c>
      <c r="G394" s="25">
        <v>2035</v>
      </c>
      <c r="H394" s="25">
        <v>2036</v>
      </c>
      <c r="I394" s="25">
        <v>2037</v>
      </c>
      <c r="J394" s="25">
        <v>2038</v>
      </c>
      <c r="K394" s="25">
        <v>2039</v>
      </c>
      <c r="L394" s="25">
        <v>2040</v>
      </c>
      <c r="M394" s="25">
        <v>2041</v>
      </c>
      <c r="N394" s="25">
        <v>2042</v>
      </c>
      <c r="O394" s="25">
        <v>2043</v>
      </c>
      <c r="P394" s="25">
        <v>2044</v>
      </c>
      <c r="Q394" s="25">
        <v>2045</v>
      </c>
      <c r="R394" s="25">
        <v>2046</v>
      </c>
      <c r="S394" s="25">
        <v>2047</v>
      </c>
      <c r="T394" s="25">
        <v>2048</v>
      </c>
      <c r="U394" s="25">
        <v>2049</v>
      </c>
      <c r="V394" s="25">
        <v>2050</v>
      </c>
      <c r="W394" s="25">
        <v>2051</v>
      </c>
      <c r="X394" s="25">
        <v>2052</v>
      </c>
      <c r="Y394" s="25">
        <v>2053</v>
      </c>
      <c r="Z394" s="25">
        <v>2054</v>
      </c>
      <c r="AC394" s="25">
        <v>2030</v>
      </c>
      <c r="AD394" s="25">
        <v>2031</v>
      </c>
      <c r="AE394" s="25">
        <v>2032</v>
      </c>
      <c r="AF394" s="25">
        <v>2033</v>
      </c>
      <c r="AG394" s="25">
        <v>2034</v>
      </c>
      <c r="AH394" s="25">
        <v>2035</v>
      </c>
      <c r="AI394" s="25">
        <v>2036</v>
      </c>
      <c r="AJ394" s="25">
        <v>2037</v>
      </c>
      <c r="AK394" s="25">
        <v>2038</v>
      </c>
      <c r="AL394" s="25">
        <v>2039</v>
      </c>
      <c r="AM394" s="25">
        <v>2040</v>
      </c>
      <c r="AN394" s="25">
        <v>2041</v>
      </c>
      <c r="AO394" s="25">
        <v>2042</v>
      </c>
      <c r="AP394" s="25">
        <v>2043</v>
      </c>
      <c r="AQ394" s="25">
        <v>2044</v>
      </c>
      <c r="AR394" s="25">
        <v>2045</v>
      </c>
      <c r="AS394" s="25">
        <v>2046</v>
      </c>
      <c r="AT394" s="25">
        <v>2047</v>
      </c>
      <c r="AU394" s="25">
        <v>2048</v>
      </c>
      <c r="AV394" s="25">
        <v>2049</v>
      </c>
      <c r="AW394" s="25">
        <v>2050</v>
      </c>
      <c r="AX394" s="25">
        <v>2051</v>
      </c>
      <c r="AY394" s="25">
        <v>2052</v>
      </c>
      <c r="AZ394" s="25">
        <v>2053</v>
      </c>
      <c r="BA394" s="25">
        <v>2054</v>
      </c>
    </row>
    <row r="395" spans="1:53" outlineLevel="1" x14ac:dyDescent="0.35">
      <c r="A395" s="6" t="s">
        <v>21</v>
      </c>
      <c r="B395" s="6">
        <f>B90</f>
        <v>0.2008445742562068</v>
      </c>
      <c r="AB395" s="6" t="s">
        <v>117</v>
      </c>
      <c r="AC395" s="6">
        <f>SUM(B395:B406)+B408</f>
        <v>14.374540648142384</v>
      </c>
    </row>
    <row r="396" spans="1:53" outlineLevel="1" x14ac:dyDescent="0.35">
      <c r="A396" s="6" t="s">
        <v>23</v>
      </c>
      <c r="B396" s="6">
        <f t="shared" ref="B396:B406" si="52">B91</f>
        <v>0.4525701334741718</v>
      </c>
      <c r="AB396" s="6" t="s">
        <v>118</v>
      </c>
      <c r="AC396" s="6">
        <f>B407</f>
        <v>0.27533098379336401</v>
      </c>
    </row>
    <row r="397" spans="1:53" outlineLevel="1" x14ac:dyDescent="0.35">
      <c r="A397" s="6" t="s">
        <v>26</v>
      </c>
      <c r="B397" s="6">
        <f t="shared" si="52"/>
        <v>0.84951763224515786</v>
      </c>
      <c r="AB397" s="6" t="s">
        <v>119</v>
      </c>
      <c r="BA397" s="6">
        <f>SUM(Z409:Z420)</f>
        <v>0.12481721799143849</v>
      </c>
    </row>
    <row r="398" spans="1:53" outlineLevel="1" x14ac:dyDescent="0.35">
      <c r="A398" s="6" t="s">
        <v>28</v>
      </c>
      <c r="B398" s="6">
        <f t="shared" si="52"/>
        <v>0.81642773406770175</v>
      </c>
      <c r="AB398" s="6" t="s">
        <v>120</v>
      </c>
      <c r="BA398" s="6">
        <f>Z421</f>
        <v>8.9425428179931764E-4</v>
      </c>
    </row>
    <row r="399" spans="1:53" outlineLevel="1" x14ac:dyDescent="0.35">
      <c r="A399" s="6" t="s">
        <v>29</v>
      </c>
      <c r="B399" s="6">
        <f t="shared" si="52"/>
        <v>0.89483995377265024</v>
      </c>
      <c r="AB399" s="6" t="s">
        <v>121</v>
      </c>
      <c r="AC399" s="6">
        <f>B422</f>
        <v>0.13898838933965599</v>
      </c>
      <c r="AF399" s="6">
        <f>E422</f>
        <v>0.13744187952975451</v>
      </c>
      <c r="AI399" s="6">
        <f>H422</f>
        <v>0.13624222837857081</v>
      </c>
      <c r="AL399" s="6">
        <f>K422</f>
        <v>0.1360862547056324</v>
      </c>
      <c r="AO399" s="6">
        <f>N422</f>
        <v>0.13609653546799161</v>
      </c>
      <c r="AR399" s="6">
        <f>Q422</f>
        <v>0.13629232675839831</v>
      </c>
      <c r="AU399" s="6">
        <f>T422</f>
        <v>0.1362868893052214</v>
      </c>
      <c r="AX399" s="6">
        <f>W422</f>
        <v>0.1362693875750155</v>
      </c>
      <c r="BA399" s="6">
        <f>Z422</f>
        <v>0.13626815075790319</v>
      </c>
    </row>
    <row r="400" spans="1:53" outlineLevel="1" x14ac:dyDescent="0.35">
      <c r="A400" s="6" t="s">
        <v>31</v>
      </c>
      <c r="B400" s="6">
        <f t="shared" si="52"/>
        <v>0.57438065398035343</v>
      </c>
      <c r="AB400" s="6" t="s">
        <v>797</v>
      </c>
      <c r="AC400" s="6">
        <f>B426</f>
        <v>3.6701257346128031</v>
      </c>
      <c r="AD400" s="6">
        <f t="shared" ref="AD400:BA400" si="53">C426</f>
        <v>3.6701257346128031</v>
      </c>
      <c r="AE400" s="6">
        <f t="shared" si="53"/>
        <v>3.6701257346128031</v>
      </c>
      <c r="AF400" s="6">
        <f t="shared" si="53"/>
        <v>3.6701257346128031</v>
      </c>
      <c r="AG400" s="6">
        <f t="shared" si="53"/>
        <v>3.6701257346128031</v>
      </c>
      <c r="AH400" s="6">
        <f t="shared" si="53"/>
        <v>3.6701257346128031</v>
      </c>
      <c r="AI400" s="6">
        <f t="shared" si="53"/>
        <v>3.6701257346128031</v>
      </c>
      <c r="AJ400" s="6">
        <f t="shared" si="53"/>
        <v>3.6701257346128031</v>
      </c>
      <c r="AK400" s="6">
        <f t="shared" si="53"/>
        <v>3.6701257346128031</v>
      </c>
      <c r="AL400" s="6">
        <f t="shared" si="53"/>
        <v>3.6701257346128031</v>
      </c>
      <c r="AM400" s="6">
        <f t="shared" si="53"/>
        <v>3.6701257346128031</v>
      </c>
      <c r="AN400" s="6">
        <f t="shared" si="53"/>
        <v>3.6701257346128031</v>
      </c>
      <c r="AO400" s="6">
        <f t="shared" si="53"/>
        <v>3.6701257346128031</v>
      </c>
      <c r="AP400" s="6">
        <f t="shared" si="53"/>
        <v>3.6701257346128031</v>
      </c>
      <c r="AQ400" s="6">
        <f t="shared" si="53"/>
        <v>3.6701257346128031</v>
      </c>
      <c r="AR400" s="6">
        <f t="shared" si="53"/>
        <v>3.6701257346128031</v>
      </c>
      <c r="AS400" s="6">
        <f t="shared" si="53"/>
        <v>3.6701257346128031</v>
      </c>
      <c r="AT400" s="6">
        <f t="shared" si="53"/>
        <v>3.6701257346128031</v>
      </c>
      <c r="AU400" s="6">
        <f t="shared" si="53"/>
        <v>3.6701257346128031</v>
      </c>
      <c r="AV400" s="6">
        <f t="shared" si="53"/>
        <v>3.6701257346128031</v>
      </c>
      <c r="AW400" s="6">
        <f t="shared" si="53"/>
        <v>3.6701257346128031</v>
      </c>
      <c r="AX400" s="6">
        <f t="shared" si="53"/>
        <v>3.6701257346128031</v>
      </c>
      <c r="AY400" s="6">
        <f t="shared" si="53"/>
        <v>3.6701257346128031</v>
      </c>
      <c r="AZ400" s="6">
        <f t="shared" si="53"/>
        <v>3.6701257346128031</v>
      </c>
      <c r="BA400" s="6">
        <f t="shared" si="53"/>
        <v>3.6701257346128031</v>
      </c>
    </row>
    <row r="401" spans="1:53" outlineLevel="1" x14ac:dyDescent="0.35">
      <c r="A401" s="6" t="s">
        <v>34</v>
      </c>
      <c r="B401" s="6">
        <f t="shared" si="52"/>
        <v>0.50709268114645889</v>
      </c>
      <c r="AB401" s="6" t="s">
        <v>122</v>
      </c>
      <c r="AC401" s="6">
        <f t="shared" ref="AC401:BA401" si="54">B425+B424</f>
        <v>2.0370310158907654</v>
      </c>
      <c r="AD401" s="6">
        <f t="shared" si="54"/>
        <v>2.035562239861672</v>
      </c>
      <c r="AE401" s="6">
        <f t="shared" si="54"/>
        <v>2.0341239029172664</v>
      </c>
      <c r="AF401" s="6">
        <f t="shared" si="54"/>
        <v>2.0327469247730865</v>
      </c>
      <c r="AG401" s="6">
        <f t="shared" si="54"/>
        <v>2.031185688987271</v>
      </c>
      <c r="AH401" s="6">
        <f t="shared" si="54"/>
        <v>2.0296097307494785</v>
      </c>
      <c r="AI401" s="6">
        <f t="shared" si="54"/>
        <v>2.0276371714030947</v>
      </c>
      <c r="AJ401" s="6">
        <f t="shared" si="54"/>
        <v>2.0259958028278868</v>
      </c>
      <c r="AK401" s="6">
        <f t="shared" si="54"/>
        <v>2.0250512292003391</v>
      </c>
      <c r="AL401" s="6">
        <f t="shared" si="54"/>
        <v>2.0238902252066224</v>
      </c>
      <c r="AM401" s="6">
        <f t="shared" si="54"/>
        <v>2.0229182891752449</v>
      </c>
      <c r="AN401" s="6">
        <f t="shared" si="54"/>
        <v>2.0223267850812991</v>
      </c>
      <c r="AO401" s="6">
        <f t="shared" si="54"/>
        <v>2.0219526798705716</v>
      </c>
      <c r="AP401" s="6">
        <f t="shared" si="54"/>
        <v>2.0220447512823188</v>
      </c>
      <c r="AQ401" s="6">
        <f t="shared" si="54"/>
        <v>2.0219478808537779</v>
      </c>
      <c r="AR401" s="6">
        <f t="shared" si="54"/>
        <v>2.0219376258625901</v>
      </c>
      <c r="AS401" s="6">
        <f t="shared" si="54"/>
        <v>2.0224363541583661</v>
      </c>
      <c r="AT401" s="6">
        <f t="shared" si="54"/>
        <v>2.0229379969536541</v>
      </c>
      <c r="AU401" s="6">
        <f t="shared" si="54"/>
        <v>2.0236433830310849</v>
      </c>
      <c r="AV401" s="6">
        <f t="shared" si="54"/>
        <v>2.0241356107942909</v>
      </c>
      <c r="AW401" s="6">
        <f t="shared" si="54"/>
        <v>2.0246305546485606</v>
      </c>
      <c r="AX401" s="6">
        <f t="shared" si="54"/>
        <v>2.0254922813327489</v>
      </c>
      <c r="AY401" s="6">
        <f t="shared" si="54"/>
        <v>2.0262136437440201</v>
      </c>
      <c r="AZ401" s="6">
        <f t="shared" si="54"/>
        <v>2.0269295658103705</v>
      </c>
      <c r="BA401" s="6">
        <f t="shared" si="54"/>
        <v>2.0276402153618314</v>
      </c>
    </row>
    <row r="402" spans="1:53" outlineLevel="1" x14ac:dyDescent="0.35">
      <c r="A402" s="6" t="s">
        <v>36</v>
      </c>
      <c r="B402" s="6">
        <f t="shared" si="52"/>
        <v>0.36772710336827552</v>
      </c>
      <c r="AB402" s="6" t="s">
        <v>123</v>
      </c>
      <c r="AC402" s="6">
        <f t="shared" ref="AC402:BA402" si="55">B423</f>
        <v>0.12089046938977735</v>
      </c>
      <c r="AD402" s="6">
        <f t="shared" si="55"/>
        <v>0.11852864516931709</v>
      </c>
      <c r="AE402" s="6">
        <f t="shared" si="55"/>
        <v>0.11616860027765759</v>
      </c>
      <c r="AF402" s="6">
        <f t="shared" si="55"/>
        <v>0.11382776003191514</v>
      </c>
      <c r="AG402" s="6">
        <f t="shared" si="55"/>
        <v>0.11146846329963016</v>
      </c>
      <c r="AH402" s="6">
        <f t="shared" si="55"/>
        <v>0.109109359541878</v>
      </c>
      <c r="AI402" s="6">
        <f t="shared" si="55"/>
        <v>0.10916643763051895</v>
      </c>
      <c r="AJ402" s="6">
        <f t="shared" si="55"/>
        <v>0.1092227363135832</v>
      </c>
      <c r="AK402" s="6">
        <f t="shared" si="55"/>
        <v>0.1093098942903669</v>
      </c>
      <c r="AL402" s="6">
        <f t="shared" si="55"/>
        <v>0.1093642423336391</v>
      </c>
      <c r="AM402" s="6">
        <f t="shared" si="55"/>
        <v>0.1094162488234495</v>
      </c>
      <c r="AN402" s="6">
        <f t="shared" si="55"/>
        <v>0.10920778960649025</v>
      </c>
      <c r="AO402" s="6">
        <f t="shared" si="55"/>
        <v>0.10900253470760544</v>
      </c>
      <c r="AP402" s="6">
        <f t="shared" si="55"/>
        <v>0.1088203336537043</v>
      </c>
      <c r="AQ402" s="6">
        <f t="shared" si="55"/>
        <v>0.10861853332992046</v>
      </c>
      <c r="AR402" s="6">
        <f t="shared" si="55"/>
        <v>0.10841772904055146</v>
      </c>
      <c r="AS402" s="6">
        <f t="shared" si="55"/>
        <v>0.1085303097390842</v>
      </c>
      <c r="AT402" s="6">
        <f t="shared" si="55"/>
        <v>0.10864472965718601</v>
      </c>
      <c r="AU402" s="6">
        <f t="shared" si="55"/>
        <v>0.108774375235376</v>
      </c>
      <c r="AV402" s="6">
        <f t="shared" si="55"/>
        <v>0.1088926314731824</v>
      </c>
      <c r="AW402" s="6">
        <f t="shared" si="55"/>
        <v>0.10901287098624265</v>
      </c>
      <c r="AX402" s="6">
        <f t="shared" si="55"/>
        <v>0.10908572884181075</v>
      </c>
      <c r="AY402" s="6">
        <f t="shared" si="55"/>
        <v>0.10914584855250704</v>
      </c>
      <c r="AZ402" s="6">
        <f t="shared" si="55"/>
        <v>0.10920641113732711</v>
      </c>
      <c r="BA402" s="6">
        <f t="shared" si="55"/>
        <v>0.109267211678412</v>
      </c>
    </row>
    <row r="403" spans="1:53" outlineLevel="1" x14ac:dyDescent="0.35">
      <c r="A403" s="6" t="s">
        <v>38</v>
      </c>
      <c r="B403" s="6">
        <f t="shared" si="52"/>
        <v>1.0056262534197029</v>
      </c>
      <c r="AB403" s="6" t="s">
        <v>124</v>
      </c>
      <c r="AC403" s="6">
        <f>-$AC$384*$AC$383</f>
        <v>-0.625</v>
      </c>
      <c r="AD403" s="6">
        <f t="shared" ref="AD403:BA403" si="56">-$AC$384*$AC$383</f>
        <v>-0.625</v>
      </c>
      <c r="AE403" s="6">
        <f t="shared" si="56"/>
        <v>-0.625</v>
      </c>
      <c r="AF403" s="6">
        <f t="shared" si="56"/>
        <v>-0.625</v>
      </c>
      <c r="AG403" s="6">
        <f t="shared" si="56"/>
        <v>-0.625</v>
      </c>
      <c r="AH403" s="6">
        <f t="shared" si="56"/>
        <v>-0.625</v>
      </c>
      <c r="AI403" s="6">
        <f t="shared" si="56"/>
        <v>-0.625</v>
      </c>
      <c r="AJ403" s="6">
        <f t="shared" si="56"/>
        <v>-0.625</v>
      </c>
      <c r="AK403" s="6">
        <f t="shared" si="56"/>
        <v>-0.625</v>
      </c>
      <c r="AL403" s="6">
        <f t="shared" si="56"/>
        <v>-0.625</v>
      </c>
      <c r="AM403" s="6">
        <f t="shared" si="56"/>
        <v>-0.625</v>
      </c>
      <c r="AN403" s="6">
        <f t="shared" si="56"/>
        <v>-0.625</v>
      </c>
      <c r="AO403" s="6">
        <f t="shared" si="56"/>
        <v>-0.625</v>
      </c>
      <c r="AP403" s="6">
        <f t="shared" si="56"/>
        <v>-0.625</v>
      </c>
      <c r="AQ403" s="6">
        <f t="shared" si="56"/>
        <v>-0.625</v>
      </c>
      <c r="AR403" s="6">
        <f t="shared" si="56"/>
        <v>-0.625</v>
      </c>
      <c r="AS403" s="6">
        <f t="shared" si="56"/>
        <v>-0.625</v>
      </c>
      <c r="AT403" s="6">
        <f t="shared" si="56"/>
        <v>-0.625</v>
      </c>
      <c r="AU403" s="6">
        <f t="shared" si="56"/>
        <v>-0.625</v>
      </c>
      <c r="AV403" s="6">
        <f t="shared" si="56"/>
        <v>-0.625</v>
      </c>
      <c r="AW403" s="6">
        <f t="shared" si="56"/>
        <v>-0.625</v>
      </c>
      <c r="AX403" s="6">
        <f t="shared" si="56"/>
        <v>-0.625</v>
      </c>
      <c r="AY403" s="6">
        <f t="shared" si="56"/>
        <v>-0.625</v>
      </c>
      <c r="AZ403" s="6">
        <f t="shared" si="56"/>
        <v>-0.625</v>
      </c>
      <c r="BA403" s="6">
        <f t="shared" si="56"/>
        <v>-0.625</v>
      </c>
    </row>
    <row r="404" spans="1:53" outlineLevel="1" x14ac:dyDescent="0.35">
      <c r="A404" s="6" t="s">
        <v>39</v>
      </c>
      <c r="B404" s="6">
        <f t="shared" si="52"/>
        <v>8.293874601762008</v>
      </c>
      <c r="AB404" s="23" t="s">
        <v>125</v>
      </c>
      <c r="AC404" s="17">
        <f t="shared" ref="AC404:BA404" si="57">SUM(AC395:AC403)</f>
        <v>19.99190724116875</v>
      </c>
      <c r="AD404" s="17">
        <f t="shared" si="57"/>
        <v>5.199216619643793</v>
      </c>
      <c r="AE404" s="17">
        <f t="shared" si="57"/>
        <v>5.1954182378077274</v>
      </c>
      <c r="AF404" s="17">
        <f t="shared" si="57"/>
        <v>5.3291422989475592</v>
      </c>
      <c r="AG404" s="17">
        <f t="shared" si="57"/>
        <v>5.1877798868997047</v>
      </c>
      <c r="AH404" s="17">
        <f t="shared" si="57"/>
        <v>5.1838448249041598</v>
      </c>
      <c r="AI404" s="17">
        <f t="shared" si="57"/>
        <v>5.3181715720249869</v>
      </c>
      <c r="AJ404" s="17">
        <f t="shared" si="57"/>
        <v>5.1803442737542733</v>
      </c>
      <c r="AK404" s="17">
        <f t="shared" si="57"/>
        <v>5.179486858103509</v>
      </c>
      <c r="AL404" s="17">
        <f t="shared" si="57"/>
        <v>5.3144664568586961</v>
      </c>
      <c r="AM404" s="17">
        <f t="shared" si="57"/>
        <v>5.1774602726114969</v>
      </c>
      <c r="AN404" s="17">
        <f t="shared" si="57"/>
        <v>5.1766603093005923</v>
      </c>
      <c r="AO404" s="17">
        <f t="shared" si="57"/>
        <v>5.3121774846589718</v>
      </c>
      <c r="AP404" s="17">
        <f t="shared" si="57"/>
        <v>5.1759908195488267</v>
      </c>
      <c r="AQ404" s="17">
        <f t="shared" si="57"/>
        <v>5.175692148796502</v>
      </c>
      <c r="AR404" s="17">
        <f t="shared" si="57"/>
        <v>5.3117734162743435</v>
      </c>
      <c r="AS404" s="17">
        <f t="shared" si="57"/>
        <v>5.1760923985102529</v>
      </c>
      <c r="AT404" s="17">
        <f t="shared" si="57"/>
        <v>5.1767084612236438</v>
      </c>
      <c r="AU404" s="17">
        <f t="shared" si="57"/>
        <v>5.3138303821844852</v>
      </c>
      <c r="AV404" s="17">
        <f t="shared" si="57"/>
        <v>5.1781539768802762</v>
      </c>
      <c r="AW404" s="17">
        <f t="shared" si="57"/>
        <v>5.1787691602476063</v>
      </c>
      <c r="AX404" s="17">
        <f t="shared" si="57"/>
        <v>5.3159731323623785</v>
      </c>
      <c r="AY404" s="17">
        <f t="shared" si="57"/>
        <v>5.1804852269093304</v>
      </c>
      <c r="AZ404" s="17">
        <f t="shared" si="57"/>
        <v>5.1812617115605004</v>
      </c>
      <c r="BA404" s="17">
        <f t="shared" si="57"/>
        <v>5.4440127846841877</v>
      </c>
    </row>
    <row r="405" spans="1:53" outlineLevel="1" x14ac:dyDescent="0.35">
      <c r="A405" s="6" t="s">
        <v>41</v>
      </c>
      <c r="B405" s="6">
        <f t="shared" si="52"/>
        <v>6.2903915692456673E-3</v>
      </c>
    </row>
    <row r="406" spans="1:53" outlineLevel="1" x14ac:dyDescent="0.35">
      <c r="A406" s="6" t="s">
        <v>43</v>
      </c>
      <c r="B406" s="6">
        <f t="shared" si="52"/>
        <v>4.1510338187447218E-2</v>
      </c>
      <c r="AB406" s="272"/>
      <c r="AC406" s="272"/>
      <c r="AD406" s="272"/>
      <c r="AE406" s="272"/>
      <c r="AF406" s="272"/>
      <c r="AG406" s="272"/>
      <c r="AH406" s="272"/>
      <c r="AI406" s="272"/>
      <c r="AJ406" s="272"/>
      <c r="AK406" s="272"/>
      <c r="AL406" s="272"/>
      <c r="AM406" s="272"/>
      <c r="AN406" s="272"/>
      <c r="AO406" s="272"/>
      <c r="AP406" s="272"/>
      <c r="AQ406" s="272"/>
      <c r="AR406" s="272"/>
      <c r="AS406" s="272"/>
      <c r="AT406" s="272"/>
      <c r="AU406" s="272"/>
      <c r="AV406" s="272"/>
      <c r="AW406" s="272"/>
      <c r="AX406" s="272"/>
      <c r="AY406" s="272"/>
      <c r="AZ406" s="272"/>
      <c r="BA406" s="272"/>
    </row>
    <row r="407" spans="1:53" outlineLevel="1" x14ac:dyDescent="0.35">
      <c r="A407" s="6" t="s">
        <v>44</v>
      </c>
      <c r="B407" s="6">
        <f>B102*AC385</f>
        <v>0.27533098379336401</v>
      </c>
      <c r="AB407" s="272"/>
      <c r="AC407" s="272"/>
      <c r="AD407" s="272"/>
      <c r="AE407" s="272"/>
      <c r="AF407" s="272"/>
      <c r="AG407" s="272"/>
      <c r="AH407" s="272"/>
      <c r="AI407" s="272"/>
      <c r="AJ407" s="272"/>
      <c r="AK407" s="272"/>
      <c r="AL407" s="272"/>
      <c r="AM407" s="272"/>
      <c r="AN407" s="272"/>
      <c r="AO407" s="272"/>
      <c r="AP407" s="272"/>
      <c r="AQ407" s="272"/>
      <c r="AR407" s="272"/>
      <c r="AS407" s="272"/>
      <c r="AT407" s="272"/>
      <c r="AU407" s="272"/>
      <c r="AV407" s="272"/>
      <c r="AW407" s="272"/>
      <c r="AX407" s="272"/>
      <c r="AY407" s="272"/>
      <c r="AZ407" s="272"/>
      <c r="BA407" s="272"/>
    </row>
    <row r="408" spans="1:53" outlineLevel="1" x14ac:dyDescent="0.35">
      <c r="A408" s="6" t="s">
        <v>757</v>
      </c>
      <c r="B408" s="6">
        <f>B103*AC385</f>
        <v>0.36383859689300313</v>
      </c>
      <c r="AB408" s="272"/>
      <c r="AC408" s="272"/>
      <c r="AD408" s="272"/>
      <c r="AE408" s="272"/>
      <c r="AF408" s="272"/>
      <c r="AG408" s="272"/>
      <c r="AH408" s="272"/>
      <c r="AI408" s="272"/>
      <c r="AJ408" s="272"/>
      <c r="AK408" s="272"/>
      <c r="AL408" s="272"/>
      <c r="AM408" s="272"/>
      <c r="AN408" s="272"/>
      <c r="AO408" s="272"/>
      <c r="AP408" s="272"/>
      <c r="AQ408" s="272"/>
      <c r="AR408" s="272"/>
      <c r="AS408" s="272"/>
      <c r="AT408" s="272"/>
      <c r="AU408" s="272"/>
      <c r="AV408" s="272"/>
      <c r="AW408" s="272"/>
      <c r="AX408" s="272"/>
      <c r="AY408" s="272"/>
      <c r="AZ408" s="272"/>
      <c r="BA408" s="272"/>
    </row>
    <row r="409" spans="1:53" outlineLevel="1" x14ac:dyDescent="0.35">
      <c r="A409" s="6" t="s">
        <v>22</v>
      </c>
      <c r="Z409" s="6">
        <f>Z104</f>
        <v>1.3217091839655541E-3</v>
      </c>
      <c r="AB409" s="272"/>
      <c r="AC409" s="272"/>
      <c r="AD409" s="272"/>
      <c r="AE409" s="272"/>
      <c r="AF409" s="272"/>
      <c r="AG409" s="272"/>
      <c r="AH409" s="272"/>
      <c r="AI409" s="272"/>
      <c r="AJ409" s="272"/>
      <c r="AK409" s="272"/>
      <c r="AL409" s="272"/>
      <c r="AM409" s="272"/>
      <c r="AN409" s="272"/>
      <c r="AO409" s="272"/>
      <c r="AP409" s="272"/>
      <c r="AQ409" s="272"/>
      <c r="AR409" s="272"/>
      <c r="AS409" s="272"/>
      <c r="AT409" s="272"/>
      <c r="AU409" s="272"/>
      <c r="AV409" s="272"/>
      <c r="AW409" s="272"/>
      <c r="AX409" s="272"/>
      <c r="AY409" s="272"/>
      <c r="AZ409" s="272"/>
      <c r="BA409" s="272"/>
    </row>
    <row r="410" spans="1:53" outlineLevel="1" x14ac:dyDescent="0.35">
      <c r="A410" s="6" t="s">
        <v>24</v>
      </c>
      <c r="Z410" s="6">
        <f t="shared" ref="Z410:Z420" si="58">Z105</f>
        <v>6.3585622505052202E-4</v>
      </c>
      <c r="AB410" s="272"/>
      <c r="AC410" s="272"/>
      <c r="AD410" s="272"/>
      <c r="AE410" s="272"/>
      <c r="AF410" s="272"/>
      <c r="AG410" s="272"/>
      <c r="AH410" s="272"/>
      <c r="AI410" s="272"/>
      <c r="AJ410" s="272"/>
      <c r="AK410" s="272"/>
      <c r="AL410" s="272"/>
      <c r="AM410" s="272"/>
      <c r="AN410" s="272"/>
      <c r="AO410" s="272"/>
      <c r="AP410" s="272"/>
      <c r="AQ410" s="272"/>
      <c r="AR410" s="272"/>
      <c r="AS410" s="272"/>
      <c r="AT410" s="272"/>
      <c r="AU410" s="272"/>
      <c r="AV410" s="272"/>
      <c r="AW410" s="272"/>
      <c r="AX410" s="272"/>
      <c r="AY410" s="272"/>
      <c r="AZ410" s="272"/>
      <c r="BA410" s="272"/>
    </row>
    <row r="411" spans="1:53" outlineLevel="1" x14ac:dyDescent="0.35">
      <c r="A411" s="6" t="s">
        <v>25</v>
      </c>
      <c r="Z411" s="6">
        <f t="shared" si="58"/>
        <v>2.0713872896946828E-3</v>
      </c>
      <c r="AB411" s="272"/>
      <c r="AC411" s="272"/>
      <c r="AD411" s="272"/>
      <c r="AE411" s="272"/>
      <c r="AF411" s="272"/>
      <c r="AG411" s="272"/>
      <c r="AH411" s="272"/>
      <c r="AI411" s="272"/>
      <c r="AJ411" s="272"/>
      <c r="AK411" s="272"/>
      <c r="AL411" s="272"/>
      <c r="AM411" s="272"/>
      <c r="AN411" s="272"/>
      <c r="AO411" s="272"/>
      <c r="AP411" s="272"/>
      <c r="AQ411" s="272"/>
      <c r="AR411" s="272"/>
      <c r="AS411" s="272"/>
      <c r="AT411" s="272"/>
      <c r="AU411" s="272"/>
      <c r="AV411" s="272"/>
      <c r="AW411" s="272"/>
      <c r="AX411" s="272"/>
      <c r="AY411" s="272"/>
      <c r="AZ411" s="272"/>
      <c r="BA411" s="272"/>
    </row>
    <row r="412" spans="1:53" outlineLevel="1" x14ac:dyDescent="0.35">
      <c r="A412" s="6" t="s">
        <v>27</v>
      </c>
      <c r="Z412" s="6">
        <f t="shared" si="58"/>
        <v>9.8615743966489725E-4</v>
      </c>
      <c r="AB412" s="272"/>
      <c r="AC412" s="272"/>
      <c r="AD412" s="272"/>
      <c r="AE412" s="272"/>
      <c r="AF412" s="272"/>
      <c r="AG412" s="272"/>
      <c r="AH412" s="272"/>
      <c r="AI412" s="272"/>
      <c r="AJ412" s="272"/>
      <c r="AK412" s="272"/>
      <c r="AL412" s="272"/>
      <c r="AM412" s="272"/>
      <c r="AN412" s="272"/>
      <c r="AO412" s="272"/>
      <c r="AP412" s="272"/>
      <c r="AQ412" s="272"/>
      <c r="AR412" s="272"/>
      <c r="AS412" s="272"/>
      <c r="AT412" s="272"/>
      <c r="AU412" s="272"/>
      <c r="AV412" s="272"/>
      <c r="AW412" s="272"/>
      <c r="AX412" s="272"/>
      <c r="AY412" s="272"/>
      <c r="AZ412" s="272"/>
      <c r="BA412" s="272"/>
    </row>
    <row r="413" spans="1:53" outlineLevel="1" x14ac:dyDescent="0.35">
      <c r="A413" s="6" t="s">
        <v>30</v>
      </c>
      <c r="Z413" s="6">
        <f t="shared" si="58"/>
        <v>1.7288481352921109E-3</v>
      </c>
      <c r="AB413" s="272"/>
      <c r="AC413" s="272"/>
      <c r="AD413" s="272"/>
      <c r="AE413" s="272"/>
      <c r="AF413" s="272"/>
      <c r="AG413" s="272"/>
      <c r="AH413" s="272"/>
      <c r="AI413" s="272"/>
      <c r="AJ413" s="272"/>
      <c r="AK413" s="272"/>
      <c r="AL413" s="272"/>
      <c r="AM413" s="272"/>
      <c r="AN413" s="272"/>
      <c r="AO413" s="272"/>
      <c r="AP413" s="272"/>
      <c r="AQ413" s="272"/>
      <c r="AR413" s="272"/>
      <c r="AS413" s="272"/>
      <c r="AT413" s="272"/>
      <c r="AU413" s="272"/>
      <c r="AV413" s="272"/>
      <c r="AW413" s="272"/>
      <c r="AX413" s="272"/>
      <c r="AY413" s="272"/>
      <c r="AZ413" s="272"/>
      <c r="BA413" s="272"/>
    </row>
    <row r="414" spans="1:53" outlineLevel="1" x14ac:dyDescent="0.35">
      <c r="A414" s="6" t="s">
        <v>32</v>
      </c>
      <c r="Z414" s="6">
        <f t="shared" si="58"/>
        <v>6.5388964562615557E-4</v>
      </c>
      <c r="AB414" s="272"/>
      <c r="AC414" s="272"/>
      <c r="AD414" s="272"/>
      <c r="AE414" s="272"/>
      <c r="AF414" s="272"/>
      <c r="AG414" s="272"/>
      <c r="AH414" s="272"/>
      <c r="AI414" s="272"/>
      <c r="AJ414" s="272"/>
      <c r="AK414" s="272"/>
      <c r="AL414" s="272"/>
      <c r="AM414" s="272"/>
      <c r="AN414" s="272"/>
      <c r="AO414" s="272"/>
      <c r="AP414" s="272"/>
      <c r="AQ414" s="272"/>
      <c r="AR414" s="272"/>
      <c r="AS414" s="272"/>
      <c r="AT414" s="272"/>
      <c r="AU414" s="272"/>
      <c r="AV414" s="272"/>
      <c r="AW414" s="272"/>
      <c r="AX414" s="272"/>
      <c r="AY414" s="272"/>
      <c r="AZ414" s="272"/>
      <c r="BA414" s="272"/>
    </row>
    <row r="415" spans="1:53" outlineLevel="1" x14ac:dyDescent="0.35">
      <c r="A415" s="6" t="s">
        <v>33</v>
      </c>
      <c r="Z415" s="6">
        <f t="shared" si="58"/>
        <v>4.3042154805294927E-4</v>
      </c>
      <c r="AB415" s="272"/>
      <c r="AC415" s="272"/>
      <c r="AD415" s="272"/>
      <c r="AE415" s="272"/>
      <c r="AF415" s="272"/>
      <c r="AG415" s="272"/>
      <c r="AH415" s="272"/>
      <c r="AI415" s="272"/>
      <c r="AJ415" s="272"/>
      <c r="AK415" s="272"/>
      <c r="AL415" s="272"/>
      <c r="AM415" s="272"/>
      <c r="AN415" s="272"/>
      <c r="AO415" s="272"/>
      <c r="AP415" s="272"/>
      <c r="AQ415" s="272"/>
      <c r="AR415" s="272"/>
      <c r="AS415" s="272"/>
      <c r="AT415" s="272"/>
      <c r="AU415" s="272"/>
      <c r="AV415" s="272"/>
      <c r="AW415" s="272"/>
      <c r="AX415" s="272"/>
      <c r="AY415" s="272"/>
      <c r="AZ415" s="272"/>
      <c r="BA415" s="272"/>
    </row>
    <row r="416" spans="1:53" outlineLevel="1" x14ac:dyDescent="0.35">
      <c r="A416" s="6" t="s">
        <v>35</v>
      </c>
      <c r="Z416" s="6">
        <f t="shared" si="58"/>
        <v>8.6084309610589865E-4</v>
      </c>
      <c r="AB416" s="272"/>
      <c r="AC416" s="272"/>
      <c r="AD416" s="272"/>
      <c r="AE416" s="272"/>
      <c r="AF416" s="272"/>
      <c r="AG416" s="272"/>
      <c r="AH416" s="272"/>
      <c r="AI416" s="272"/>
      <c r="AJ416" s="272"/>
      <c r="AK416" s="272"/>
      <c r="AL416" s="272"/>
      <c r="AM416" s="272"/>
      <c r="AN416" s="272"/>
      <c r="AO416" s="272"/>
      <c r="AP416" s="272"/>
      <c r="AQ416" s="272"/>
      <c r="AR416" s="272"/>
      <c r="AS416" s="272"/>
      <c r="AT416" s="272"/>
      <c r="AU416" s="272"/>
      <c r="AV416" s="272"/>
      <c r="AW416" s="272"/>
      <c r="AX416" s="272"/>
      <c r="AY416" s="272"/>
      <c r="AZ416" s="272"/>
      <c r="BA416" s="272"/>
    </row>
    <row r="417" spans="1:53" outlineLevel="1" x14ac:dyDescent="0.35">
      <c r="A417" s="6" t="s">
        <v>37</v>
      </c>
      <c r="Z417" s="6">
        <f t="shared" si="58"/>
        <v>2.4241291885713561E-3</v>
      </c>
      <c r="AB417" s="272"/>
      <c r="AC417" s="272"/>
      <c r="AD417" s="272"/>
      <c r="AE417" s="272"/>
      <c r="AF417" s="272"/>
      <c r="AG417" s="272"/>
      <c r="AH417" s="272"/>
      <c r="AI417" s="272"/>
      <c r="AJ417" s="272"/>
      <c r="AK417" s="272"/>
      <c r="AL417" s="272"/>
      <c r="AM417" s="272"/>
      <c r="AN417" s="272"/>
      <c r="AO417" s="272"/>
      <c r="AP417" s="272"/>
      <c r="AQ417" s="272"/>
      <c r="AR417" s="272"/>
      <c r="AS417" s="272"/>
      <c r="AT417" s="272"/>
      <c r="AU417" s="272"/>
      <c r="AV417" s="272"/>
      <c r="AW417" s="272"/>
      <c r="AX417" s="272"/>
      <c r="AY417" s="272"/>
      <c r="AZ417" s="272"/>
      <c r="BA417" s="272"/>
    </row>
    <row r="418" spans="1:53" outlineLevel="1" x14ac:dyDescent="0.35">
      <c r="A418" s="6" t="s">
        <v>40</v>
      </c>
      <c r="Z418" s="6">
        <f t="shared" si="58"/>
        <v>9.2664693224757608E-2</v>
      </c>
    </row>
    <row r="419" spans="1:53" outlineLevel="1" x14ac:dyDescent="0.35">
      <c r="A419" s="6" t="s">
        <v>42</v>
      </c>
      <c r="Z419" s="6">
        <f t="shared" si="58"/>
        <v>1.3590189614152281E-3</v>
      </c>
    </row>
    <row r="420" spans="1:53" outlineLevel="1" x14ac:dyDescent="0.35">
      <c r="A420" s="6" t="s">
        <v>115</v>
      </c>
      <c r="Z420" s="6">
        <f t="shared" si="58"/>
        <v>1.9680264053241539E-2</v>
      </c>
    </row>
    <row r="421" spans="1:53" outlineLevel="1" x14ac:dyDescent="0.35">
      <c r="A421" s="6" t="s">
        <v>45</v>
      </c>
      <c r="Z421" s="6">
        <f>Z116*AC385</f>
        <v>8.9425428179931764E-4</v>
      </c>
    </row>
    <row r="422" spans="1:53" outlineLevel="1" x14ac:dyDescent="0.35">
      <c r="A422" s="6" t="s">
        <v>116</v>
      </c>
      <c r="B422" s="6">
        <f>B117</f>
        <v>0.13898838933965599</v>
      </c>
      <c r="C422" s="6">
        <f t="shared" ref="C422:Z422" si="59">C117</f>
        <v>0.138474787879075</v>
      </c>
      <c r="D422" s="6">
        <f t="shared" si="59"/>
        <v>0.13795150681679641</v>
      </c>
      <c r="E422" s="6">
        <f t="shared" si="59"/>
        <v>0.13744187952975451</v>
      </c>
      <c r="F422" s="6">
        <f t="shared" si="59"/>
        <v>0.1368939635941302</v>
      </c>
      <c r="G422" s="6">
        <f t="shared" si="59"/>
        <v>0.13633199563582901</v>
      </c>
      <c r="H422" s="6">
        <f t="shared" si="59"/>
        <v>0.13624222837857081</v>
      </c>
      <c r="I422" s="6">
        <f t="shared" si="59"/>
        <v>0.13615693040566229</v>
      </c>
      <c r="J422" s="6">
        <f t="shared" si="59"/>
        <v>0.13616385284423879</v>
      </c>
      <c r="K422" s="6">
        <f t="shared" si="59"/>
        <v>0.1360862547056324</v>
      </c>
      <c r="L422" s="6">
        <f t="shared" si="59"/>
        <v>0.13601125441888631</v>
      </c>
      <c r="M422" s="6">
        <f t="shared" si="59"/>
        <v>0.13605295891303071</v>
      </c>
      <c r="N422" s="6">
        <f t="shared" si="59"/>
        <v>0.13609653546799161</v>
      </c>
      <c r="O422" s="6">
        <f t="shared" si="59"/>
        <v>0.13620038443855961</v>
      </c>
      <c r="P422" s="6">
        <f t="shared" si="59"/>
        <v>0.13624614228801521</v>
      </c>
      <c r="Q422" s="6">
        <f t="shared" si="59"/>
        <v>0.13629232675839831</v>
      </c>
      <c r="R422" s="6">
        <f t="shared" si="59"/>
        <v>0.13627737653284691</v>
      </c>
      <c r="S422" s="6">
        <f t="shared" si="59"/>
        <v>0.13626275890918199</v>
      </c>
      <c r="T422" s="6">
        <f t="shared" si="59"/>
        <v>0.1362868893052214</v>
      </c>
      <c r="U422" s="6">
        <f t="shared" si="59"/>
        <v>0.13627297235069449</v>
      </c>
      <c r="V422" s="6">
        <f t="shared" si="59"/>
        <v>0.13625938225509571</v>
      </c>
      <c r="W422" s="6">
        <f t="shared" si="59"/>
        <v>0.1362693875750155</v>
      </c>
      <c r="X422" s="6">
        <f t="shared" si="59"/>
        <v>0.13626901103046121</v>
      </c>
      <c r="Y422" s="6">
        <f t="shared" si="59"/>
        <v>0.1362686005427251</v>
      </c>
      <c r="Z422" s="6">
        <f t="shared" si="59"/>
        <v>0.13626815075790319</v>
      </c>
    </row>
    <row r="423" spans="1:53" outlineLevel="1" x14ac:dyDescent="0.35">
      <c r="A423" s="6" t="s">
        <v>758</v>
      </c>
      <c r="B423" s="6">
        <f>B118*$AC$385</f>
        <v>0.12089046938977735</v>
      </c>
      <c r="C423" s="6">
        <f t="shared" ref="C423:Z424" si="60">C118*$AC$385</f>
        <v>0.11852864516931709</v>
      </c>
      <c r="D423" s="6">
        <f t="shared" si="60"/>
        <v>0.11616860027765759</v>
      </c>
      <c r="E423" s="6">
        <f t="shared" si="60"/>
        <v>0.11382776003191514</v>
      </c>
      <c r="F423" s="6">
        <f t="shared" si="60"/>
        <v>0.11146846329963016</v>
      </c>
      <c r="G423" s="6">
        <f t="shared" si="60"/>
        <v>0.109109359541878</v>
      </c>
      <c r="H423" s="6">
        <f t="shared" si="60"/>
        <v>0.10916643763051895</v>
      </c>
      <c r="I423" s="6">
        <f t="shared" si="60"/>
        <v>0.1092227363135832</v>
      </c>
      <c r="J423" s="6">
        <f t="shared" si="60"/>
        <v>0.1093098942903669</v>
      </c>
      <c r="K423" s="6">
        <f t="shared" si="60"/>
        <v>0.1093642423336391</v>
      </c>
      <c r="L423" s="6">
        <f t="shared" si="60"/>
        <v>0.1094162488234495</v>
      </c>
      <c r="M423" s="6">
        <f t="shared" si="60"/>
        <v>0.10920778960649025</v>
      </c>
      <c r="N423" s="6">
        <f t="shared" si="60"/>
        <v>0.10900253470760544</v>
      </c>
      <c r="O423" s="6">
        <f t="shared" si="60"/>
        <v>0.1088203336537043</v>
      </c>
      <c r="P423" s="6">
        <f t="shared" si="60"/>
        <v>0.10861853332992046</v>
      </c>
      <c r="Q423" s="6">
        <f t="shared" si="60"/>
        <v>0.10841772904055146</v>
      </c>
      <c r="R423" s="6">
        <f t="shared" si="60"/>
        <v>0.1085303097390842</v>
      </c>
      <c r="S423" s="6">
        <f t="shared" si="60"/>
        <v>0.10864472965718601</v>
      </c>
      <c r="T423" s="6">
        <f t="shared" si="60"/>
        <v>0.108774375235376</v>
      </c>
      <c r="U423" s="6">
        <f t="shared" si="60"/>
        <v>0.1088926314731824</v>
      </c>
      <c r="V423" s="6">
        <f t="shared" si="60"/>
        <v>0.10901287098624265</v>
      </c>
      <c r="W423" s="6">
        <f t="shared" si="60"/>
        <v>0.10908572884181075</v>
      </c>
      <c r="X423" s="6">
        <f t="shared" si="60"/>
        <v>0.10914584855250704</v>
      </c>
      <c r="Y423" s="6">
        <f t="shared" si="60"/>
        <v>0.10920641113732711</v>
      </c>
      <c r="Z423" s="6">
        <f t="shared" si="60"/>
        <v>0.109267211678412</v>
      </c>
    </row>
    <row r="424" spans="1:53" outlineLevel="1" x14ac:dyDescent="0.35">
      <c r="A424" s="6" t="s">
        <v>759</v>
      </c>
      <c r="B424" s="6">
        <f>B119*$AC$385</f>
        <v>0</v>
      </c>
      <c r="C424" s="6">
        <f t="shared" si="60"/>
        <v>0</v>
      </c>
      <c r="D424" s="6">
        <f t="shared" si="60"/>
        <v>0</v>
      </c>
      <c r="E424" s="6">
        <f t="shared" si="60"/>
        <v>0</v>
      </c>
      <c r="F424" s="6">
        <f t="shared" si="60"/>
        <v>0</v>
      </c>
      <c r="G424" s="6">
        <f t="shared" si="60"/>
        <v>0</v>
      </c>
      <c r="H424" s="6">
        <f t="shared" si="60"/>
        <v>0</v>
      </c>
      <c r="I424" s="6">
        <f t="shared" si="60"/>
        <v>0</v>
      </c>
      <c r="J424" s="6">
        <f t="shared" si="60"/>
        <v>0</v>
      </c>
      <c r="K424" s="6">
        <f t="shared" si="60"/>
        <v>0</v>
      </c>
      <c r="L424" s="6">
        <f t="shared" si="60"/>
        <v>0</v>
      </c>
      <c r="M424" s="6">
        <f t="shared" si="60"/>
        <v>0</v>
      </c>
      <c r="N424" s="6">
        <f t="shared" si="60"/>
        <v>0</v>
      </c>
      <c r="O424" s="6">
        <f t="shared" si="60"/>
        <v>0</v>
      </c>
      <c r="P424" s="6">
        <f t="shared" si="60"/>
        <v>0</v>
      </c>
      <c r="Q424" s="6">
        <f t="shared" si="60"/>
        <v>0</v>
      </c>
      <c r="R424" s="6">
        <f t="shared" si="60"/>
        <v>0</v>
      </c>
      <c r="S424" s="6">
        <f t="shared" si="60"/>
        <v>0</v>
      </c>
      <c r="T424" s="6">
        <f t="shared" si="60"/>
        <v>0</v>
      </c>
      <c r="U424" s="6">
        <f t="shared" si="60"/>
        <v>0</v>
      </c>
      <c r="V424" s="6">
        <f t="shared" si="60"/>
        <v>0</v>
      </c>
      <c r="W424" s="6">
        <f t="shared" si="60"/>
        <v>0</v>
      </c>
      <c r="X424" s="6">
        <f t="shared" si="60"/>
        <v>0</v>
      </c>
      <c r="Y424" s="6">
        <f t="shared" si="60"/>
        <v>0</v>
      </c>
      <c r="Z424" s="6">
        <f t="shared" si="60"/>
        <v>0</v>
      </c>
    </row>
    <row r="425" spans="1:53" outlineLevel="1" x14ac:dyDescent="0.35">
      <c r="A425" s="6" t="s">
        <v>760</v>
      </c>
      <c r="B425" s="6">
        <f>$B$252*$AC$384*'Results - raw data ReCiPe (E)'!C128/(1-0.5)*(1+'Results ReCiPe (E) - HHD'!$AC$271/'Results ReCiPe (E) - HHD'!$AC$272-'Results ReCiPe (E) - HHD'!$AC$271)</f>
        <v>2.0370310158907654</v>
      </c>
      <c r="C425" s="6">
        <f>$B$252*$AC$384*'Results - raw data ReCiPe (E)'!D128/(1-0.5)*(1+'Results ReCiPe (E) - HHD'!$AC$271/'Results ReCiPe (E) - HHD'!$AC$272-'Results ReCiPe (E) - HHD'!$AC$271)</f>
        <v>2.035562239861672</v>
      </c>
      <c r="D425" s="6">
        <f>$B$252*$AC$384*'Results - raw data ReCiPe (E)'!E128/(1-0.5)*(1+'Results ReCiPe (E) - HHD'!$AC$271/'Results ReCiPe (E) - HHD'!$AC$272-'Results ReCiPe (E) - HHD'!$AC$271)</f>
        <v>2.0341239029172664</v>
      </c>
      <c r="E425" s="6">
        <f>$B$252*$AC$384*'Results - raw data ReCiPe (E)'!F128/(1-0.5)*(1+'Results ReCiPe (E) - HHD'!$AC$271/'Results ReCiPe (E) - HHD'!$AC$272-'Results ReCiPe (E) - HHD'!$AC$271)</f>
        <v>2.0327469247730865</v>
      </c>
      <c r="F425" s="6">
        <f>$B$252*$AC$384*'Results - raw data ReCiPe (E)'!G128/(1-0.5)*(1+'Results ReCiPe (E) - HHD'!$AC$271/'Results ReCiPe (E) - HHD'!$AC$272-'Results ReCiPe (E) - HHD'!$AC$271)</f>
        <v>2.031185688987271</v>
      </c>
      <c r="G425" s="6">
        <f>$B$252*$AC$384*'Results - raw data ReCiPe (E)'!H128/(1-0.5)*(1+'Results ReCiPe (E) - HHD'!$AC$271/'Results ReCiPe (E) - HHD'!$AC$272-'Results ReCiPe (E) - HHD'!$AC$271)</f>
        <v>2.0296097307494785</v>
      </c>
      <c r="H425" s="6">
        <f>$B$252*$AC$384*'Results - raw data ReCiPe (E)'!I128/(1-0.5)*(1+'Results ReCiPe (E) - HHD'!$AC$271/'Results ReCiPe (E) - HHD'!$AC$272-'Results ReCiPe (E) - HHD'!$AC$271)</f>
        <v>2.0276371714030947</v>
      </c>
      <c r="I425" s="6">
        <f>$B$252*$AC$384*'Results - raw data ReCiPe (E)'!J128/(1-0.5)*(1+'Results ReCiPe (E) - HHD'!$AC$271/'Results ReCiPe (E) - HHD'!$AC$272-'Results ReCiPe (E) - HHD'!$AC$271)</f>
        <v>2.0259958028278868</v>
      </c>
      <c r="J425" s="6">
        <f>$B$252*$AC$384*'Results - raw data ReCiPe (E)'!K128/(1-0.5)*(1+'Results ReCiPe (E) - HHD'!$AC$271/'Results ReCiPe (E) - HHD'!$AC$272-'Results ReCiPe (E) - HHD'!$AC$271)</f>
        <v>2.0250512292003391</v>
      </c>
      <c r="K425" s="6">
        <f>$B$252*$AC$384*'Results - raw data ReCiPe (E)'!L128/(1-0.5)*(1+'Results ReCiPe (E) - HHD'!$AC$271/'Results ReCiPe (E) - HHD'!$AC$272-'Results ReCiPe (E) - HHD'!$AC$271)</f>
        <v>2.0238902252066224</v>
      </c>
      <c r="L425" s="6">
        <f>$B$252*$AC$384*'Results - raw data ReCiPe (E)'!M128/(1-0.5)*(1+'Results ReCiPe (E) - HHD'!$AC$271/'Results ReCiPe (E) - HHD'!$AC$272-'Results ReCiPe (E) - HHD'!$AC$271)</f>
        <v>2.0229182891752449</v>
      </c>
      <c r="M425" s="6">
        <f>$B$252*$AC$384*'Results - raw data ReCiPe (E)'!N128/(1-0.5)*(1+'Results ReCiPe (E) - HHD'!$AC$271/'Results ReCiPe (E) - HHD'!$AC$272-'Results ReCiPe (E) - HHD'!$AC$271)</f>
        <v>2.0223267850812991</v>
      </c>
      <c r="N425" s="6">
        <f>$B$252*$AC$384*'Results - raw data ReCiPe (E)'!O128/(1-0.5)*(1+'Results ReCiPe (E) - HHD'!$AC$271/'Results ReCiPe (E) - HHD'!$AC$272-'Results ReCiPe (E) - HHD'!$AC$271)</f>
        <v>2.0219526798705716</v>
      </c>
      <c r="O425" s="6">
        <f>$B$252*$AC$384*'Results - raw data ReCiPe (E)'!P128/(1-0.5)*(1+'Results ReCiPe (E) - HHD'!$AC$271/'Results ReCiPe (E) - HHD'!$AC$272-'Results ReCiPe (E) - HHD'!$AC$271)</f>
        <v>2.0220447512823188</v>
      </c>
      <c r="P425" s="6">
        <f>$B$252*$AC$384*'Results - raw data ReCiPe (E)'!Q128/(1-0.5)*(1+'Results ReCiPe (E) - HHD'!$AC$271/'Results ReCiPe (E) - HHD'!$AC$272-'Results ReCiPe (E) - HHD'!$AC$271)</f>
        <v>2.0219478808537779</v>
      </c>
      <c r="Q425" s="6">
        <f>$B$252*$AC$384*'Results - raw data ReCiPe (E)'!R128/(1-0.5)*(1+'Results ReCiPe (E) - HHD'!$AC$271/'Results ReCiPe (E) - HHD'!$AC$272-'Results ReCiPe (E) - HHD'!$AC$271)</f>
        <v>2.0219376258625901</v>
      </c>
      <c r="R425" s="6">
        <f>$B$252*$AC$384*'Results - raw data ReCiPe (E)'!S128/(1-0.5)*(1+'Results ReCiPe (E) - HHD'!$AC$271/'Results ReCiPe (E) - HHD'!$AC$272-'Results ReCiPe (E) - HHD'!$AC$271)</f>
        <v>2.0224363541583661</v>
      </c>
      <c r="S425" s="6">
        <f>$B$252*$AC$384*'Results - raw data ReCiPe (E)'!T128/(1-0.5)*(1+'Results ReCiPe (E) - HHD'!$AC$271/'Results ReCiPe (E) - HHD'!$AC$272-'Results ReCiPe (E) - HHD'!$AC$271)</f>
        <v>2.0229379969536541</v>
      </c>
      <c r="T425" s="6">
        <f>$B$252*$AC$384*'Results - raw data ReCiPe (E)'!U128/(1-0.5)*(1+'Results ReCiPe (E) - HHD'!$AC$271/'Results ReCiPe (E) - HHD'!$AC$272-'Results ReCiPe (E) - HHD'!$AC$271)</f>
        <v>2.0236433830310849</v>
      </c>
      <c r="U425" s="6">
        <f>$B$252*$AC$384*'Results - raw data ReCiPe (E)'!V128/(1-0.5)*(1+'Results ReCiPe (E) - HHD'!$AC$271/'Results ReCiPe (E) - HHD'!$AC$272-'Results ReCiPe (E) - HHD'!$AC$271)</f>
        <v>2.0241356107942909</v>
      </c>
      <c r="V425" s="6">
        <f>$B$252*$AC$384*'Results - raw data ReCiPe (E)'!W128/(1-0.5)*(1+'Results ReCiPe (E) - HHD'!$AC$271/'Results ReCiPe (E) - HHD'!$AC$272-'Results ReCiPe (E) - HHD'!$AC$271)</f>
        <v>2.0246305546485606</v>
      </c>
      <c r="W425" s="6">
        <f>$B$252*$AC$384*'Results - raw data ReCiPe (E)'!X128/(1-0.5)*(1+'Results ReCiPe (E) - HHD'!$AC$271/'Results ReCiPe (E) - HHD'!$AC$272-'Results ReCiPe (E) - HHD'!$AC$271)</f>
        <v>2.0254922813327489</v>
      </c>
      <c r="X425" s="6">
        <f>$B$252*$AC$384*'Results - raw data ReCiPe (E)'!Y128/(1-0.5)*(1+'Results ReCiPe (E) - HHD'!$AC$271/'Results ReCiPe (E) - HHD'!$AC$272-'Results ReCiPe (E) - HHD'!$AC$271)</f>
        <v>2.0262136437440201</v>
      </c>
      <c r="Y425" s="6">
        <f>$B$252*$AC$384*'Results - raw data ReCiPe (E)'!Z128/(1-0.5)*(1+'Results ReCiPe (E) - HHD'!$AC$271/'Results ReCiPe (E) - HHD'!$AC$272-'Results ReCiPe (E) - HHD'!$AC$271)</f>
        <v>2.0269295658103705</v>
      </c>
      <c r="Z425" s="6">
        <f>$B$252*$AC$384*'Results - raw data ReCiPe (E)'!AA128/(1-0.5)*(1+'Results ReCiPe (E) - HHD'!$AC$271/'Results ReCiPe (E) - HHD'!$AC$272-'Results ReCiPe (E) - HHD'!$AC$271)</f>
        <v>2.0276402153618314</v>
      </c>
    </row>
    <row r="426" spans="1:53" outlineLevel="1" x14ac:dyDescent="0.35">
      <c r="A426" s="6" t="s">
        <v>797</v>
      </c>
      <c r="B426" s="6">
        <f>$B$380*$AC$384</f>
        <v>3.6701257346128031</v>
      </c>
      <c r="C426" s="6">
        <f t="shared" ref="C426:Z426" si="61">$B$380*$AC$384</f>
        <v>3.6701257346128031</v>
      </c>
      <c r="D426" s="6">
        <f t="shared" si="61"/>
        <v>3.6701257346128031</v>
      </c>
      <c r="E426" s="6">
        <f t="shared" si="61"/>
        <v>3.6701257346128031</v>
      </c>
      <c r="F426" s="6">
        <f t="shared" si="61"/>
        <v>3.6701257346128031</v>
      </c>
      <c r="G426" s="6">
        <f t="shared" si="61"/>
        <v>3.6701257346128031</v>
      </c>
      <c r="H426" s="6">
        <f t="shared" si="61"/>
        <v>3.6701257346128031</v>
      </c>
      <c r="I426" s="6">
        <f t="shared" si="61"/>
        <v>3.6701257346128031</v>
      </c>
      <c r="J426" s="6">
        <f t="shared" si="61"/>
        <v>3.6701257346128031</v>
      </c>
      <c r="K426" s="6">
        <f t="shared" si="61"/>
        <v>3.6701257346128031</v>
      </c>
      <c r="L426" s="6">
        <f t="shared" si="61"/>
        <v>3.6701257346128031</v>
      </c>
      <c r="M426" s="6">
        <f t="shared" si="61"/>
        <v>3.6701257346128031</v>
      </c>
      <c r="N426" s="6">
        <f t="shared" si="61"/>
        <v>3.6701257346128031</v>
      </c>
      <c r="O426" s="6">
        <f t="shared" si="61"/>
        <v>3.6701257346128031</v>
      </c>
      <c r="P426" s="6">
        <f t="shared" si="61"/>
        <v>3.6701257346128031</v>
      </c>
      <c r="Q426" s="6">
        <f t="shared" si="61"/>
        <v>3.6701257346128031</v>
      </c>
      <c r="R426" s="6">
        <f t="shared" si="61"/>
        <v>3.6701257346128031</v>
      </c>
      <c r="S426" s="6">
        <f t="shared" si="61"/>
        <v>3.6701257346128031</v>
      </c>
      <c r="T426" s="6">
        <f t="shared" si="61"/>
        <v>3.6701257346128031</v>
      </c>
      <c r="U426" s="6">
        <f t="shared" si="61"/>
        <v>3.6701257346128031</v>
      </c>
      <c r="V426" s="6">
        <f t="shared" si="61"/>
        <v>3.6701257346128031</v>
      </c>
      <c r="W426" s="6">
        <f t="shared" si="61"/>
        <v>3.6701257346128031</v>
      </c>
      <c r="X426" s="6">
        <f t="shared" si="61"/>
        <v>3.6701257346128031</v>
      </c>
      <c r="Y426" s="6">
        <f t="shared" si="61"/>
        <v>3.6701257346128031</v>
      </c>
      <c r="Z426" s="6">
        <f t="shared" si="61"/>
        <v>3.6701257346128031</v>
      </c>
    </row>
    <row r="427" spans="1:53" outlineLevel="1" x14ac:dyDescent="0.35">
      <c r="A427" s="23" t="s">
        <v>125</v>
      </c>
      <c r="B427" s="17">
        <f>SUM(B395:B425)</f>
        <v>16.946781506555947</v>
      </c>
      <c r="C427" s="17">
        <f t="shared" ref="C427:Z427" si="62">SUM(C395:C425)</f>
        <v>2.2925656729100639</v>
      </c>
      <c r="D427" s="17">
        <f t="shared" si="62"/>
        <v>2.2882440100117205</v>
      </c>
      <c r="E427" s="17">
        <f t="shared" si="62"/>
        <v>2.2840165643347561</v>
      </c>
      <c r="F427" s="17">
        <f t="shared" si="62"/>
        <v>2.2795481158810316</v>
      </c>
      <c r="G427" s="17">
        <f t="shared" si="62"/>
        <v>2.2750510859271853</v>
      </c>
      <c r="H427" s="17">
        <f t="shared" si="62"/>
        <v>2.2730458374121847</v>
      </c>
      <c r="I427" s="17">
        <f t="shared" si="62"/>
        <v>2.2713754695471322</v>
      </c>
      <c r="J427" s="17">
        <f t="shared" si="62"/>
        <v>2.2705249763349449</v>
      </c>
      <c r="K427" s="17">
        <f t="shared" si="62"/>
        <v>2.2693407222458939</v>
      </c>
      <c r="L427" s="17">
        <f t="shared" si="62"/>
        <v>2.2683457924175805</v>
      </c>
      <c r="M427" s="17">
        <f t="shared" si="62"/>
        <v>2.2675875336008202</v>
      </c>
      <c r="N427" s="17">
        <f t="shared" si="62"/>
        <v>2.2670517500461687</v>
      </c>
      <c r="O427" s="17">
        <f t="shared" si="62"/>
        <v>2.2670654693745829</v>
      </c>
      <c r="P427" s="17">
        <f t="shared" si="62"/>
        <v>2.2668125564717134</v>
      </c>
      <c r="Q427" s="17">
        <f t="shared" si="62"/>
        <v>2.26664768166154</v>
      </c>
      <c r="R427" s="17">
        <f t="shared" si="62"/>
        <v>2.2672440404302971</v>
      </c>
      <c r="S427" s="17">
        <f t="shared" si="62"/>
        <v>2.2678454855200219</v>
      </c>
      <c r="T427" s="17">
        <f t="shared" si="62"/>
        <v>2.2687046475716821</v>
      </c>
      <c r="U427" s="17">
        <f t="shared" si="62"/>
        <v>2.2693012146181677</v>
      </c>
      <c r="V427" s="17">
        <f t="shared" si="62"/>
        <v>2.2699028078898991</v>
      </c>
      <c r="W427" s="17">
        <f t="shared" si="62"/>
        <v>2.2708473977495753</v>
      </c>
      <c r="X427" s="17">
        <f t="shared" si="62"/>
        <v>2.2716285033269883</v>
      </c>
      <c r="Y427" s="17">
        <f t="shared" si="62"/>
        <v>2.2724045774904229</v>
      </c>
      <c r="Z427" s="17">
        <f t="shared" si="62"/>
        <v>2.3988870500713846</v>
      </c>
    </row>
    <row r="428" spans="1:53" s="26" customFormat="1" outlineLevel="1" x14ac:dyDescent="0.35"/>
    <row r="429" spans="1:53" s="236" customFormat="1" ht="21" x14ac:dyDescent="0.5">
      <c r="A429" s="236" t="s">
        <v>136</v>
      </c>
    </row>
    <row r="432" spans="1:53" x14ac:dyDescent="0.35">
      <c r="A432" s="331" t="s">
        <v>131</v>
      </c>
      <c r="B432" s="331"/>
      <c r="C432" s="331"/>
      <c r="D432" s="331"/>
      <c r="E432" s="331"/>
      <c r="F432" s="331"/>
      <c r="G432" s="331"/>
      <c r="H432" s="331"/>
      <c r="I432" s="331"/>
      <c r="J432" s="331"/>
      <c r="K432" s="331"/>
    </row>
    <row r="433" spans="1:11" x14ac:dyDescent="0.35">
      <c r="A433" s="6" t="s">
        <v>132</v>
      </c>
    </row>
    <row r="434" spans="1:11" x14ac:dyDescent="0.35">
      <c r="B434" s="6" t="s">
        <v>889</v>
      </c>
      <c r="C434" s="6" t="s">
        <v>891</v>
      </c>
      <c r="D434" s="6" t="s">
        <v>890</v>
      </c>
      <c r="E434" s="6" t="s">
        <v>892</v>
      </c>
      <c r="F434" s="6" t="s">
        <v>893</v>
      </c>
      <c r="G434" s="6" t="s">
        <v>894</v>
      </c>
      <c r="H434" s="6" t="s">
        <v>896</v>
      </c>
      <c r="I434" s="6" t="s">
        <v>897</v>
      </c>
      <c r="J434" s="6" t="s">
        <v>895</v>
      </c>
    </row>
    <row r="435" spans="1:11" x14ac:dyDescent="0.35">
      <c r="A435" s="6" t="s">
        <v>117</v>
      </c>
      <c r="B435" s="6">
        <f>SUM(AC10:BA10)</f>
        <v>15.464099749864513</v>
      </c>
      <c r="C435" s="6">
        <f>SUM(AC50:BA50)</f>
        <v>15.163625338196166</v>
      </c>
      <c r="D435" s="6">
        <f>SUM(AC90:BA90)</f>
        <v>14.738379245035386</v>
      </c>
      <c r="E435" s="6">
        <f>SUM(AC132:BA132)</f>
        <v>15.464099749864513</v>
      </c>
      <c r="F435" s="6">
        <f>SUM(AC173:BA173)</f>
        <v>15.163625338196166</v>
      </c>
      <c r="G435" s="6">
        <f>SUM(AC214:BA214)</f>
        <v>14.738379245035386</v>
      </c>
      <c r="H435" s="6">
        <f>SUM(AC274:BA274)</f>
        <v>15.092877529951746</v>
      </c>
      <c r="I435" s="6">
        <f>SUM(AC334:BA334)</f>
        <v>14.795678436138864</v>
      </c>
      <c r="J435" s="6">
        <f>SUM(AC395:BA395)</f>
        <v>14.374540648142384</v>
      </c>
    </row>
    <row r="436" spans="1:11" x14ac:dyDescent="0.35">
      <c r="A436" s="6" t="s">
        <v>118</v>
      </c>
      <c r="B436" s="6">
        <f>SUM(AC11:BA11)</f>
        <v>0.59342142429421851</v>
      </c>
      <c r="C436" s="6">
        <f>SUM(AC51:BA51)</f>
        <v>0.56825338316202001</v>
      </c>
      <c r="D436" s="6">
        <f>SUM(AC91:BA91)</f>
        <v>0.55066196758672803</v>
      </c>
      <c r="E436" s="6">
        <f>SUM(AC133:BA133)</f>
        <v>0.59342142429421851</v>
      </c>
      <c r="F436" s="6">
        <f>SUM(AC174:BA174)</f>
        <v>0.56825338316202001</v>
      </c>
      <c r="G436" s="6">
        <f>SUM(AC215:BA215)</f>
        <v>0.55066196758672803</v>
      </c>
      <c r="H436" s="6">
        <f t="shared" ref="H436:H444" si="63">SUM(AC275:BA275)</f>
        <v>0.29671071214710926</v>
      </c>
      <c r="I436" s="6">
        <f t="shared" ref="I436:I444" si="64">SUM(AC335:BA335)</f>
        <v>0.28412669158101</v>
      </c>
      <c r="J436" s="6">
        <f t="shared" ref="J436:J444" si="65">SUM(AC396:BA396)</f>
        <v>0.27533098379336401</v>
      </c>
    </row>
    <row r="437" spans="1:11" x14ac:dyDescent="0.35">
      <c r="A437" s="6" t="s">
        <v>119</v>
      </c>
      <c r="B437" s="6">
        <f>SUM(AC12:BA12)</f>
        <v>0.12953343012141194</v>
      </c>
      <c r="C437" s="6">
        <f>SUM(AC52:BA52)</f>
        <v>0.1255608424989286</v>
      </c>
      <c r="D437" s="6">
        <f>SUM(AC92:BA92)</f>
        <v>0.12481721799143849</v>
      </c>
      <c r="E437" s="6">
        <f>SUM(AC134:BA134)</f>
        <v>0.12953343012141194</v>
      </c>
      <c r="F437" s="6">
        <f>SUM(AC175:BA175)</f>
        <v>0.1255608424989286</v>
      </c>
      <c r="G437" s="6">
        <f>SUM(AC216:BA216)</f>
        <v>0.12481721799143849</v>
      </c>
      <c r="H437" s="6">
        <f t="shared" si="63"/>
        <v>0.12953343012141194</v>
      </c>
      <c r="I437" s="6">
        <f t="shared" si="64"/>
        <v>0.1255608424989286</v>
      </c>
      <c r="J437" s="6">
        <f t="shared" si="65"/>
        <v>0.12481721799143849</v>
      </c>
    </row>
    <row r="438" spans="1:11" x14ac:dyDescent="0.35">
      <c r="A438" s="6" t="s">
        <v>120</v>
      </c>
      <c r="B438" s="6">
        <f>SUM(AC13:BA13)</f>
        <v>1.8614484052655999E-3</v>
      </c>
      <c r="C438" s="6">
        <f>SUM(AC53:BA53)</f>
        <v>1.8015168397394004E-3</v>
      </c>
      <c r="D438" s="6">
        <f>SUM(AC93:BA93)</f>
        <v>1.7885085635986353E-3</v>
      </c>
      <c r="E438" s="6">
        <f>SUM(AC135:BA135)</f>
        <v>1.8614484052655999E-3</v>
      </c>
      <c r="F438" s="6">
        <f>SUM(AC176:BA176)</f>
        <v>1.8015168397394004E-3</v>
      </c>
      <c r="G438" s="6">
        <f>SUM(AC217:BA217)</f>
        <v>1.7885085635986353E-3</v>
      </c>
      <c r="H438" s="6">
        <f t="shared" si="63"/>
        <v>9.3072420263279993E-4</v>
      </c>
      <c r="I438" s="6">
        <f t="shared" si="64"/>
        <v>9.0075841986970019E-4</v>
      </c>
      <c r="J438" s="6">
        <f t="shared" si="65"/>
        <v>8.9425428179931764E-4</v>
      </c>
    </row>
    <row r="439" spans="1:11" x14ac:dyDescent="0.35">
      <c r="A439" s="6" t="s">
        <v>121</v>
      </c>
      <c r="B439" s="6">
        <f>SUM(AC14:BA14)</f>
        <v>1.3521899833395759</v>
      </c>
      <c r="C439" s="6">
        <f>SUM(AC54:BA54)</f>
        <v>1.2662343366519231</v>
      </c>
      <c r="D439" s="6">
        <f>SUM(AC94:BA94)</f>
        <v>1.2299720418181435</v>
      </c>
      <c r="E439" s="6">
        <f>SUM(AC136:BA136)</f>
        <v>1.3521899833395759</v>
      </c>
      <c r="F439" s="6">
        <f>SUM(AC177:BA177)</f>
        <v>1.2662343366519231</v>
      </c>
      <c r="G439" s="6">
        <f>SUM(AC218:BA218)</f>
        <v>1.2299720418181435</v>
      </c>
      <c r="H439" s="6">
        <f t="shared" si="63"/>
        <v>1.3521899833395759</v>
      </c>
      <c r="I439" s="6">
        <f t="shared" si="64"/>
        <v>1.2662343366519231</v>
      </c>
      <c r="J439" s="6">
        <f t="shared" si="65"/>
        <v>1.2299720418181435</v>
      </c>
    </row>
    <row r="440" spans="1:11" x14ac:dyDescent="0.35">
      <c r="A440" s="6" t="s">
        <v>800</v>
      </c>
      <c r="H440" s="6">
        <f t="shared" si="63"/>
        <v>94.401441655896093</v>
      </c>
      <c r="I440" s="6">
        <f t="shared" si="64"/>
        <v>93.491536008769785</v>
      </c>
      <c r="J440" s="6">
        <f t="shared" si="65"/>
        <v>91.753143365320113</v>
      </c>
    </row>
    <row r="441" spans="1:11" x14ac:dyDescent="0.35">
      <c r="A441" s="6" t="s">
        <v>122</v>
      </c>
      <c r="B441" s="6">
        <f>SUM(AC15:BA15)</f>
        <v>133.70009508708503</v>
      </c>
      <c r="C441" s="6">
        <f>SUM(AC55:BA55)</f>
        <v>32.910995346745842</v>
      </c>
      <c r="D441" s="6">
        <f>SUM(AC95:BA95)</f>
        <v>23.799013955939159</v>
      </c>
      <c r="E441" s="6">
        <f>SUM(AC137:BA137)</f>
        <v>109.44369462271275</v>
      </c>
      <c r="F441" s="6">
        <f>SUM(AC178:BA178)</f>
        <v>32.25346834851554</v>
      </c>
      <c r="G441" s="6">
        <f>SUM(AC219:BA219)</f>
        <v>25.173689128069125</v>
      </c>
      <c r="H441" s="6">
        <f t="shared" si="63"/>
        <v>52.774459893930192</v>
      </c>
      <c r="I441" s="6">
        <f t="shared" si="64"/>
        <v>51.288434920509388</v>
      </c>
      <c r="J441" s="6">
        <f t="shared" si="65"/>
        <v>50.660021549778207</v>
      </c>
    </row>
    <row r="442" spans="1:11" x14ac:dyDescent="0.35">
      <c r="A442" s="6" t="s">
        <v>123</v>
      </c>
      <c r="B442" s="6">
        <f>SUM(AC16:BA16)</f>
        <v>13.792863342589634</v>
      </c>
      <c r="C442" s="6">
        <f>SUM(AC56:BA56)</f>
        <v>5.8801961167648056</v>
      </c>
      <c r="D442" s="6">
        <f>SUM(AC96:BA96)</f>
        <v>5.5221997894822676</v>
      </c>
      <c r="E442" s="6">
        <f>SUM(AC138:BA138)</f>
        <v>13.792863342589634</v>
      </c>
      <c r="F442" s="6">
        <f>SUM(AC179:BA179)</f>
        <v>6.2118160294482907</v>
      </c>
      <c r="G442" s="6">
        <f>SUM(AC220:BA220)</f>
        <v>5.5221997894822676</v>
      </c>
      <c r="H442" s="6">
        <f t="shared" si="63"/>
        <v>6.8964316712948168</v>
      </c>
      <c r="I442" s="6">
        <f t="shared" si="64"/>
        <v>2.9400980583824028</v>
      </c>
      <c r="J442" s="6">
        <f t="shared" si="65"/>
        <v>2.7610998947411338</v>
      </c>
    </row>
    <row r="443" spans="1:11" x14ac:dyDescent="0.35">
      <c r="A443" s="6" t="s">
        <v>124</v>
      </c>
      <c r="B443" s="6">
        <f>SUM(AC17:BA17)</f>
        <v>-31.25</v>
      </c>
      <c r="C443" s="6">
        <f>SUM(AC57:BA57)</f>
        <v>-31.25</v>
      </c>
      <c r="D443" s="6">
        <f>SUM(AC97:BA97)</f>
        <v>-31.25</v>
      </c>
      <c r="E443" s="6">
        <f>SUM(AC139:BA139)</f>
        <v>-31.25</v>
      </c>
      <c r="F443" s="6">
        <f>SUM(AC180:BA180)</f>
        <v>-31.25</v>
      </c>
      <c r="G443" s="6">
        <f>SUM(AC221:BA221)</f>
        <v>-31.25</v>
      </c>
      <c r="H443" s="6">
        <f t="shared" si="63"/>
        <v>-15.625</v>
      </c>
      <c r="I443" s="6">
        <f t="shared" si="64"/>
        <v>-15.625</v>
      </c>
      <c r="J443" s="6">
        <f t="shared" si="65"/>
        <v>-15.625</v>
      </c>
    </row>
    <row r="444" spans="1:11" x14ac:dyDescent="0.35">
      <c r="A444" s="6" t="s">
        <v>137</v>
      </c>
      <c r="B444" s="6">
        <f>SUM(AC18:BA18)</f>
        <v>133.78406446569969</v>
      </c>
      <c r="C444" s="6">
        <f>SUM(AC58:BA58)</f>
        <v>24.666666880859424</v>
      </c>
      <c r="D444" s="6">
        <f>SUM(AC98:BA98)</f>
        <v>14.716832726416733</v>
      </c>
      <c r="E444" s="6">
        <f>SUM(AC140:BA140)</f>
        <v>109.52766400132738</v>
      </c>
      <c r="F444" s="6">
        <f>SUM(AC181:BA181)</f>
        <v>24.340759795312607</v>
      </c>
      <c r="G444" s="6">
        <f>SUM(AC222:BA222)</f>
        <v>16.091507898546684</v>
      </c>
      <c r="H444" s="6">
        <f t="shared" si="63"/>
        <v>155.31957560088358</v>
      </c>
      <c r="I444" s="6">
        <f t="shared" si="64"/>
        <v>148.56757005295225</v>
      </c>
      <c r="J444" s="6">
        <f t="shared" si="65"/>
        <v>145.55481995586655</v>
      </c>
    </row>
    <row r="446" spans="1:11" x14ac:dyDescent="0.35">
      <c r="A446" s="331" t="s">
        <v>133</v>
      </c>
      <c r="B446" s="331"/>
      <c r="C446" s="331"/>
      <c r="D446" s="331"/>
      <c r="E446" s="331"/>
      <c r="F446" s="331"/>
      <c r="G446" s="331"/>
      <c r="H446" s="331"/>
      <c r="I446" s="331"/>
      <c r="J446" s="331"/>
      <c r="K446" s="331"/>
    </row>
    <row r="447" spans="1:11" x14ac:dyDescent="0.35">
      <c r="A447" s="6" t="s">
        <v>134</v>
      </c>
    </row>
    <row r="448" spans="1:11" x14ac:dyDescent="0.35">
      <c r="B448" s="6" t="s">
        <v>889</v>
      </c>
      <c r="C448" s="6" t="s">
        <v>891</v>
      </c>
      <c r="D448" s="6" t="s">
        <v>890</v>
      </c>
      <c r="E448" s="6" t="s">
        <v>892</v>
      </c>
      <c r="F448" s="6" t="s">
        <v>893</v>
      </c>
      <c r="G448" s="6" t="s">
        <v>894</v>
      </c>
      <c r="H448" s="6" t="s">
        <v>896</v>
      </c>
      <c r="I448" s="6" t="s">
        <v>897</v>
      </c>
      <c r="J448" s="6" t="s">
        <v>895</v>
      </c>
    </row>
    <row r="449" spans="1:11" x14ac:dyDescent="0.35">
      <c r="A449" s="6" t="s">
        <v>117</v>
      </c>
      <c r="B449" s="6">
        <f>B435/25</f>
        <v>0.61856398999458051</v>
      </c>
      <c r="C449" s="6">
        <f t="shared" ref="C449:J449" si="66">C435/25</f>
        <v>0.60654501352784662</v>
      </c>
      <c r="D449" s="6">
        <f t="shared" si="66"/>
        <v>0.5895351698014154</v>
      </c>
      <c r="E449" s="6">
        <f t="shared" si="66"/>
        <v>0.61856398999458051</v>
      </c>
      <c r="F449" s="6">
        <f t="shared" si="66"/>
        <v>0.60654501352784662</v>
      </c>
      <c r="G449" s="6">
        <f t="shared" si="66"/>
        <v>0.5895351698014154</v>
      </c>
      <c r="H449" s="6">
        <f t="shared" si="66"/>
        <v>0.60371510119806981</v>
      </c>
      <c r="I449" s="6">
        <f t="shared" si="66"/>
        <v>0.5918271374455546</v>
      </c>
      <c r="J449" s="6">
        <f t="shared" si="66"/>
        <v>0.57498162592569535</v>
      </c>
    </row>
    <row r="450" spans="1:11" x14ac:dyDescent="0.35">
      <c r="A450" s="6" t="s">
        <v>118</v>
      </c>
      <c r="B450" s="6">
        <f t="shared" ref="B450:J458" si="67">B436/25</f>
        <v>2.3736856971768739E-2</v>
      </c>
      <c r="C450" s="6">
        <f t="shared" si="67"/>
        <v>2.2730135326480799E-2</v>
      </c>
      <c r="D450" s="6">
        <f t="shared" si="67"/>
        <v>2.2026478703469122E-2</v>
      </c>
      <c r="E450" s="6">
        <f t="shared" si="67"/>
        <v>2.3736856971768739E-2</v>
      </c>
      <c r="F450" s="6">
        <f t="shared" si="67"/>
        <v>2.2730135326480799E-2</v>
      </c>
      <c r="G450" s="6">
        <f t="shared" si="67"/>
        <v>2.2026478703469122E-2</v>
      </c>
      <c r="H450" s="6">
        <f t="shared" si="67"/>
        <v>1.186842848588437E-2</v>
      </c>
      <c r="I450" s="6">
        <f t="shared" si="67"/>
        <v>1.13650676632404E-2</v>
      </c>
      <c r="J450" s="6">
        <f t="shared" si="67"/>
        <v>1.1013239351734561E-2</v>
      </c>
    </row>
    <row r="451" spans="1:11" x14ac:dyDescent="0.35">
      <c r="A451" s="6" t="s">
        <v>119</v>
      </c>
      <c r="B451" s="6">
        <f t="shared" si="67"/>
        <v>5.1813372048564775E-3</v>
      </c>
      <c r="C451" s="6">
        <f t="shared" si="67"/>
        <v>5.0224336999571441E-3</v>
      </c>
      <c r="D451" s="6">
        <f t="shared" si="67"/>
        <v>4.9926887196575396E-3</v>
      </c>
      <c r="E451" s="6">
        <f t="shared" si="67"/>
        <v>5.1813372048564775E-3</v>
      </c>
      <c r="F451" s="6">
        <f t="shared" si="67"/>
        <v>5.0224336999571441E-3</v>
      </c>
      <c r="G451" s="6">
        <f t="shared" si="67"/>
        <v>4.9926887196575396E-3</v>
      </c>
      <c r="H451" s="6">
        <f t="shared" si="67"/>
        <v>5.1813372048564775E-3</v>
      </c>
      <c r="I451" s="6">
        <f t="shared" si="67"/>
        <v>5.0224336999571441E-3</v>
      </c>
      <c r="J451" s="6">
        <f t="shared" si="67"/>
        <v>4.9926887196575396E-3</v>
      </c>
    </row>
    <row r="452" spans="1:11" x14ac:dyDescent="0.35">
      <c r="A452" s="6" t="s">
        <v>120</v>
      </c>
      <c r="B452" s="6">
        <f t="shared" si="67"/>
        <v>7.4457936210623995E-5</v>
      </c>
      <c r="C452" s="6">
        <f t="shared" si="67"/>
        <v>7.2060673589576015E-5</v>
      </c>
      <c r="D452" s="6">
        <f t="shared" si="67"/>
        <v>7.1540342543945407E-5</v>
      </c>
      <c r="E452" s="6">
        <f t="shared" si="67"/>
        <v>7.4457936210623995E-5</v>
      </c>
      <c r="F452" s="6">
        <f t="shared" si="67"/>
        <v>7.2060673589576015E-5</v>
      </c>
      <c r="G452" s="6">
        <f t="shared" si="67"/>
        <v>7.1540342543945407E-5</v>
      </c>
      <c r="H452" s="6">
        <f t="shared" si="67"/>
        <v>3.7228968105311997E-5</v>
      </c>
      <c r="I452" s="6">
        <f t="shared" si="67"/>
        <v>3.6030336794788007E-5</v>
      </c>
      <c r="J452" s="6">
        <f t="shared" si="67"/>
        <v>3.5770171271972704E-5</v>
      </c>
    </row>
    <row r="453" spans="1:11" x14ac:dyDescent="0.35">
      <c r="A453" s="6" t="s">
        <v>121</v>
      </c>
      <c r="B453" s="6">
        <f t="shared" si="67"/>
        <v>5.4087599333583036E-2</v>
      </c>
      <c r="C453" s="6">
        <f t="shared" si="67"/>
        <v>5.0649373466076925E-2</v>
      </c>
      <c r="D453" s="6">
        <f t="shared" si="67"/>
        <v>4.9198881672725736E-2</v>
      </c>
      <c r="E453" s="6">
        <f t="shared" si="67"/>
        <v>5.4087599333583036E-2</v>
      </c>
      <c r="F453" s="6">
        <f t="shared" si="67"/>
        <v>5.0649373466076925E-2</v>
      </c>
      <c r="G453" s="6">
        <f t="shared" si="67"/>
        <v>4.9198881672725736E-2</v>
      </c>
      <c r="H453" s="6">
        <f t="shared" si="67"/>
        <v>5.4087599333583036E-2</v>
      </c>
      <c r="I453" s="6">
        <f t="shared" si="67"/>
        <v>5.0649373466076925E-2</v>
      </c>
      <c r="J453" s="6">
        <f t="shared" si="67"/>
        <v>4.9198881672725736E-2</v>
      </c>
    </row>
    <row r="454" spans="1:11" x14ac:dyDescent="0.35">
      <c r="A454" s="6" t="s">
        <v>800</v>
      </c>
      <c r="B454" s="6">
        <f t="shared" si="67"/>
        <v>0</v>
      </c>
      <c r="C454" s="6">
        <f t="shared" si="67"/>
        <v>0</v>
      </c>
      <c r="D454" s="6">
        <f t="shared" si="67"/>
        <v>0</v>
      </c>
      <c r="E454" s="6">
        <f t="shared" si="67"/>
        <v>0</v>
      </c>
      <c r="F454" s="6">
        <f t="shared" si="67"/>
        <v>0</v>
      </c>
      <c r="G454" s="6">
        <f t="shared" si="67"/>
        <v>0</v>
      </c>
      <c r="H454" s="6">
        <f t="shared" si="67"/>
        <v>3.7760576662358436</v>
      </c>
      <c r="I454" s="6">
        <f t="shared" si="67"/>
        <v>3.7396614403507913</v>
      </c>
      <c r="J454" s="6">
        <f t="shared" si="67"/>
        <v>3.6701257346128044</v>
      </c>
    </row>
    <row r="455" spans="1:11" x14ac:dyDescent="0.35">
      <c r="A455" s="6" t="s">
        <v>122</v>
      </c>
      <c r="B455" s="6">
        <f t="shared" si="67"/>
        <v>5.348003803483401</v>
      </c>
      <c r="C455" s="6">
        <f t="shared" si="67"/>
        <v>1.3164398138698337</v>
      </c>
      <c r="D455" s="6">
        <f t="shared" si="67"/>
        <v>0.95196055823756642</v>
      </c>
      <c r="E455" s="6">
        <f t="shared" si="67"/>
        <v>4.37774778490851</v>
      </c>
      <c r="F455" s="6">
        <f t="shared" si="67"/>
        <v>1.2901387339406216</v>
      </c>
      <c r="G455" s="6">
        <f t="shared" si="67"/>
        <v>1.0069475651227651</v>
      </c>
      <c r="H455" s="6">
        <f t="shared" si="67"/>
        <v>2.1109783957572077</v>
      </c>
      <c r="I455" s="6">
        <f t="shared" si="67"/>
        <v>2.0515373968203754</v>
      </c>
      <c r="J455" s="6">
        <f t="shared" si="67"/>
        <v>2.0264008619911285</v>
      </c>
    </row>
    <row r="456" spans="1:11" x14ac:dyDescent="0.35">
      <c r="A456" s="6" t="s">
        <v>123</v>
      </c>
      <c r="B456" s="6">
        <f t="shared" si="67"/>
        <v>0.55171453370358536</v>
      </c>
      <c r="C456" s="6">
        <f t="shared" si="67"/>
        <v>0.23520784467059222</v>
      </c>
      <c r="D456" s="6">
        <f t="shared" si="67"/>
        <v>0.2208879915792907</v>
      </c>
      <c r="E456" s="6">
        <f t="shared" si="67"/>
        <v>0.55171453370358536</v>
      </c>
      <c r="F456" s="6">
        <f t="shared" si="67"/>
        <v>0.24847264117793164</v>
      </c>
      <c r="G456" s="6">
        <f t="shared" si="67"/>
        <v>0.2208879915792907</v>
      </c>
      <c r="H456" s="6">
        <f t="shared" si="67"/>
        <v>0.27585726685179268</v>
      </c>
      <c r="I456" s="6">
        <f t="shared" si="67"/>
        <v>0.11760392233529611</v>
      </c>
      <c r="J456" s="6">
        <f t="shared" si="67"/>
        <v>0.11044399578964535</v>
      </c>
    </row>
    <row r="457" spans="1:11" x14ac:dyDescent="0.35">
      <c r="A457" s="6" t="s">
        <v>124</v>
      </c>
      <c r="B457" s="6">
        <f t="shared" si="67"/>
        <v>-1.25</v>
      </c>
      <c r="C457" s="6">
        <f t="shared" si="67"/>
        <v>-1.25</v>
      </c>
      <c r="D457" s="6">
        <f t="shared" si="67"/>
        <v>-1.25</v>
      </c>
      <c r="E457" s="6">
        <f t="shared" si="67"/>
        <v>-1.25</v>
      </c>
      <c r="F457" s="6">
        <f t="shared" si="67"/>
        <v>-1.25</v>
      </c>
      <c r="G457" s="6">
        <f t="shared" si="67"/>
        <v>-1.25</v>
      </c>
      <c r="H457" s="6">
        <f t="shared" si="67"/>
        <v>-0.625</v>
      </c>
      <c r="I457" s="6">
        <f t="shared" si="67"/>
        <v>-0.625</v>
      </c>
      <c r="J457" s="6">
        <f t="shared" si="67"/>
        <v>-0.625</v>
      </c>
    </row>
    <row r="458" spans="1:11" x14ac:dyDescent="0.35">
      <c r="A458" s="6" t="s">
        <v>137</v>
      </c>
      <c r="B458" s="6">
        <f t="shared" si="67"/>
        <v>5.3513625786279873</v>
      </c>
      <c r="C458" s="6">
        <f t="shared" si="67"/>
        <v>0.9866666752343769</v>
      </c>
      <c r="D458" s="6">
        <f t="shared" si="67"/>
        <v>0.58867330905666937</v>
      </c>
      <c r="E458" s="6">
        <f t="shared" si="67"/>
        <v>4.3811065600530954</v>
      </c>
      <c r="F458" s="6">
        <f t="shared" si="67"/>
        <v>0.97363039181250433</v>
      </c>
      <c r="G458" s="6">
        <f t="shared" si="67"/>
        <v>0.64366031594186734</v>
      </c>
      <c r="H458" s="6">
        <f t="shared" si="67"/>
        <v>6.2127830240353434</v>
      </c>
      <c r="I458" s="6">
        <f t="shared" si="67"/>
        <v>5.9427028021180899</v>
      </c>
      <c r="J458" s="6">
        <f t="shared" si="67"/>
        <v>5.8221927982346617</v>
      </c>
    </row>
    <row r="461" spans="1:11" x14ac:dyDescent="0.35">
      <c r="A461" s="331" t="s">
        <v>135</v>
      </c>
      <c r="B461" s="331"/>
      <c r="C461" s="331"/>
      <c r="D461" s="331"/>
      <c r="E461" s="331"/>
      <c r="F461" s="331"/>
      <c r="G461" s="331"/>
      <c r="H461" s="331"/>
      <c r="I461" s="331"/>
      <c r="J461" s="331"/>
      <c r="K461" s="331"/>
    </row>
    <row r="462" spans="1:11" x14ac:dyDescent="0.35">
      <c r="A462" s="6" t="s">
        <v>138</v>
      </c>
    </row>
    <row r="463" spans="1:11" x14ac:dyDescent="0.35">
      <c r="A463" s="6" t="s">
        <v>139</v>
      </c>
      <c r="B463" s="6">
        <v>100</v>
      </c>
      <c r="C463" s="6" t="s">
        <v>128</v>
      </c>
    </row>
    <row r="464" spans="1:11" x14ac:dyDescent="0.35">
      <c r="A464" s="6" t="s">
        <v>140</v>
      </c>
      <c r="B464" s="6">
        <v>50</v>
      </c>
      <c r="C464" s="6" t="s">
        <v>128</v>
      </c>
    </row>
    <row r="466" spans="1:12" x14ac:dyDescent="0.35">
      <c r="B466" s="6" t="s">
        <v>889</v>
      </c>
      <c r="C466" s="6" t="s">
        <v>891</v>
      </c>
      <c r="D466" s="6" t="s">
        <v>890</v>
      </c>
      <c r="E466" s="6" t="s">
        <v>892</v>
      </c>
      <c r="F466" s="6" t="s">
        <v>893</v>
      </c>
      <c r="G466" s="6" t="s">
        <v>894</v>
      </c>
      <c r="H466" s="6" t="s">
        <v>896</v>
      </c>
      <c r="I466" s="6" t="s">
        <v>897</v>
      </c>
      <c r="J466" s="6" t="s">
        <v>895</v>
      </c>
    </row>
    <row r="467" spans="1:12" x14ac:dyDescent="0.35">
      <c r="A467" s="6" t="s">
        <v>117</v>
      </c>
      <c r="B467" s="6">
        <f t="shared" ref="B467:G467" si="68">B449/$B$463</f>
        <v>6.1856398999458051E-3</v>
      </c>
      <c r="C467" s="6">
        <f t="shared" si="68"/>
        <v>6.0654501352784664E-3</v>
      </c>
      <c r="D467" s="6">
        <f t="shared" si="68"/>
        <v>5.8953516980141544E-3</v>
      </c>
      <c r="E467" s="6">
        <f t="shared" si="68"/>
        <v>6.1856398999458051E-3</v>
      </c>
      <c r="F467" s="6">
        <f t="shared" si="68"/>
        <v>6.0654501352784664E-3</v>
      </c>
      <c r="G467" s="6">
        <f t="shared" si="68"/>
        <v>5.8953516980141544E-3</v>
      </c>
      <c r="H467" s="6">
        <f>H449/$B$464</f>
        <v>1.2074302023961396E-2</v>
      </c>
      <c r="I467" s="6">
        <f>I449/$B$464</f>
        <v>1.1836542748911091E-2</v>
      </c>
      <c r="J467" s="6">
        <f>J449/$B$464</f>
        <v>1.1499632518513906E-2</v>
      </c>
    </row>
    <row r="468" spans="1:12" x14ac:dyDescent="0.35">
      <c r="A468" s="6" t="s">
        <v>118</v>
      </c>
      <c r="B468" s="6">
        <f t="shared" ref="B468:G476" si="69">B450/$B$463</f>
        <v>2.373685697176874E-4</v>
      </c>
      <c r="C468" s="6">
        <f t="shared" si="69"/>
        <v>2.2730135326480799E-4</v>
      </c>
      <c r="D468" s="6">
        <f t="shared" si="69"/>
        <v>2.2026478703469121E-4</v>
      </c>
      <c r="E468" s="6">
        <f t="shared" si="69"/>
        <v>2.373685697176874E-4</v>
      </c>
      <c r="F468" s="6">
        <f t="shared" si="69"/>
        <v>2.2730135326480799E-4</v>
      </c>
      <c r="G468" s="6">
        <f t="shared" si="69"/>
        <v>2.2026478703469121E-4</v>
      </c>
      <c r="H468" s="6">
        <f t="shared" ref="H468:J476" si="70">H450/$B$464</f>
        <v>2.373685697176874E-4</v>
      </c>
      <c r="I468" s="6">
        <f t="shared" si="70"/>
        <v>2.2730135326480799E-4</v>
      </c>
      <c r="J468" s="6">
        <f t="shared" si="70"/>
        <v>2.2026478703469121E-4</v>
      </c>
    </row>
    <row r="469" spans="1:12" x14ac:dyDescent="0.35">
      <c r="A469" s="6" t="s">
        <v>119</v>
      </c>
      <c r="B469" s="6">
        <f t="shared" si="69"/>
        <v>5.1813372048564774E-5</v>
      </c>
      <c r="C469" s="6">
        <f t="shared" si="69"/>
        <v>5.0224336999571443E-5</v>
      </c>
      <c r="D469" s="6">
        <f t="shared" si="69"/>
        <v>4.9926887196575397E-5</v>
      </c>
      <c r="E469" s="6">
        <f t="shared" si="69"/>
        <v>5.1813372048564774E-5</v>
      </c>
      <c r="F469" s="6">
        <f t="shared" si="69"/>
        <v>5.0224336999571443E-5</v>
      </c>
      <c r="G469" s="6">
        <f t="shared" si="69"/>
        <v>4.9926887196575397E-5</v>
      </c>
      <c r="H469" s="6">
        <f t="shared" si="70"/>
        <v>1.0362674409712955E-4</v>
      </c>
      <c r="I469" s="6">
        <f t="shared" si="70"/>
        <v>1.0044867399914289E-4</v>
      </c>
      <c r="J469" s="6">
        <f t="shared" si="70"/>
        <v>9.9853774393150795E-5</v>
      </c>
    </row>
    <row r="470" spans="1:12" x14ac:dyDescent="0.35">
      <c r="A470" s="6" t="s">
        <v>120</v>
      </c>
      <c r="B470" s="6">
        <f t="shared" si="69"/>
        <v>7.4457936210623998E-7</v>
      </c>
      <c r="C470" s="6">
        <f t="shared" si="69"/>
        <v>7.2060673589576011E-7</v>
      </c>
      <c r="D470" s="6">
        <f t="shared" si="69"/>
        <v>7.1540342543945403E-7</v>
      </c>
      <c r="E470" s="6">
        <f t="shared" si="69"/>
        <v>7.4457936210623998E-7</v>
      </c>
      <c r="F470" s="6">
        <f t="shared" si="69"/>
        <v>7.2060673589576011E-7</v>
      </c>
      <c r="G470" s="6">
        <f t="shared" si="69"/>
        <v>7.1540342543945403E-7</v>
      </c>
      <c r="H470" s="6">
        <f t="shared" si="70"/>
        <v>7.4457936210623998E-7</v>
      </c>
      <c r="I470" s="6">
        <f t="shared" si="70"/>
        <v>7.2060673589576011E-7</v>
      </c>
      <c r="J470" s="6">
        <f t="shared" si="70"/>
        <v>7.1540342543945403E-7</v>
      </c>
    </row>
    <row r="471" spans="1:12" x14ac:dyDescent="0.35">
      <c r="A471" s="6" t="s">
        <v>121</v>
      </c>
      <c r="B471" s="6">
        <f t="shared" si="69"/>
        <v>5.4087599333583038E-4</v>
      </c>
      <c r="C471" s="6">
        <f t="shared" si="69"/>
        <v>5.0649373466076929E-4</v>
      </c>
      <c r="D471" s="6">
        <f t="shared" si="69"/>
        <v>4.9198881672725739E-4</v>
      </c>
      <c r="E471" s="6">
        <f t="shared" si="69"/>
        <v>5.4087599333583038E-4</v>
      </c>
      <c r="F471" s="6">
        <f t="shared" si="69"/>
        <v>5.0649373466076929E-4</v>
      </c>
      <c r="G471" s="6">
        <f t="shared" si="69"/>
        <v>4.9198881672725739E-4</v>
      </c>
      <c r="H471" s="6">
        <f t="shared" si="70"/>
        <v>1.0817519866716608E-3</v>
      </c>
      <c r="I471" s="6">
        <f t="shared" si="70"/>
        <v>1.0129874693215386E-3</v>
      </c>
      <c r="J471" s="6">
        <f t="shared" si="70"/>
        <v>9.8397763345451478E-4</v>
      </c>
    </row>
    <row r="472" spans="1:12" x14ac:dyDescent="0.35">
      <c r="A472" s="6" t="s">
        <v>800</v>
      </c>
      <c r="B472" s="6">
        <f t="shared" si="69"/>
        <v>0</v>
      </c>
      <c r="C472" s="6">
        <f t="shared" si="69"/>
        <v>0</v>
      </c>
      <c r="D472" s="6">
        <f t="shared" si="69"/>
        <v>0</v>
      </c>
      <c r="E472" s="6">
        <f t="shared" si="69"/>
        <v>0</v>
      </c>
      <c r="F472" s="6">
        <f t="shared" si="69"/>
        <v>0</v>
      </c>
      <c r="G472" s="6">
        <f t="shared" si="69"/>
        <v>0</v>
      </c>
      <c r="H472" s="6">
        <f t="shared" si="70"/>
        <v>7.5521153324716872E-2</v>
      </c>
      <c r="I472" s="6">
        <f t="shared" si="70"/>
        <v>7.4793228807015832E-2</v>
      </c>
      <c r="J472" s="6">
        <f t="shared" si="70"/>
        <v>7.3402514692256088E-2</v>
      </c>
    </row>
    <row r="473" spans="1:12" x14ac:dyDescent="0.35">
      <c r="A473" s="6" t="s">
        <v>122</v>
      </c>
      <c r="B473" s="6">
        <f t="shared" si="69"/>
        <v>5.3480038034834011E-2</v>
      </c>
      <c r="C473" s="6">
        <f t="shared" si="69"/>
        <v>1.3164398138698337E-2</v>
      </c>
      <c r="D473" s="6">
        <f t="shared" si="69"/>
        <v>9.5196055823756637E-3</v>
      </c>
      <c r="E473" s="6">
        <f t="shared" si="69"/>
        <v>4.3777477849085103E-2</v>
      </c>
      <c r="F473" s="6">
        <f t="shared" si="69"/>
        <v>1.2901387339406217E-2</v>
      </c>
      <c r="G473" s="6">
        <f t="shared" si="69"/>
        <v>1.0069475651227651E-2</v>
      </c>
      <c r="H473" s="6">
        <f t="shared" si="70"/>
        <v>4.2219567915144154E-2</v>
      </c>
      <c r="I473" s="6">
        <f t="shared" si="70"/>
        <v>4.1030747936407506E-2</v>
      </c>
      <c r="J473" s="6">
        <f t="shared" si="70"/>
        <v>4.0528017239822571E-2</v>
      </c>
      <c r="L473" s="1"/>
    </row>
    <row r="474" spans="1:12" x14ac:dyDescent="0.35">
      <c r="A474" s="6" t="s">
        <v>123</v>
      </c>
      <c r="B474" s="6">
        <f t="shared" si="69"/>
        <v>5.5171453370358534E-3</v>
      </c>
      <c r="C474" s="6">
        <f t="shared" si="69"/>
        <v>2.3520784467059223E-3</v>
      </c>
      <c r="D474" s="6">
        <f t="shared" si="69"/>
        <v>2.2088799157929072E-3</v>
      </c>
      <c r="E474" s="6">
        <f t="shared" si="69"/>
        <v>5.5171453370358534E-3</v>
      </c>
      <c r="F474" s="6">
        <f t="shared" si="69"/>
        <v>2.4847264117793164E-3</v>
      </c>
      <c r="G474" s="6">
        <f t="shared" si="69"/>
        <v>2.2088799157929072E-3</v>
      </c>
      <c r="H474" s="6">
        <f t="shared" si="70"/>
        <v>5.5171453370358534E-3</v>
      </c>
      <c r="I474" s="6">
        <f t="shared" si="70"/>
        <v>2.3520784467059223E-3</v>
      </c>
      <c r="J474" s="6">
        <f t="shared" si="70"/>
        <v>2.2088799157929072E-3</v>
      </c>
    </row>
    <row r="475" spans="1:12" x14ac:dyDescent="0.35">
      <c r="A475" s="6" t="s">
        <v>124</v>
      </c>
      <c r="B475" s="6">
        <f t="shared" si="69"/>
        <v>-1.2500000000000001E-2</v>
      </c>
      <c r="C475" s="6">
        <f t="shared" si="69"/>
        <v>-1.2500000000000001E-2</v>
      </c>
      <c r="D475" s="6">
        <f t="shared" si="69"/>
        <v>-1.2500000000000001E-2</v>
      </c>
      <c r="E475" s="6">
        <f t="shared" si="69"/>
        <v>-1.2500000000000001E-2</v>
      </c>
      <c r="F475" s="6">
        <f t="shared" si="69"/>
        <v>-1.2500000000000001E-2</v>
      </c>
      <c r="G475" s="6">
        <f t="shared" si="69"/>
        <v>-1.2500000000000001E-2</v>
      </c>
      <c r="H475" s="6">
        <f t="shared" si="70"/>
        <v>-1.2500000000000001E-2</v>
      </c>
      <c r="I475" s="6">
        <f t="shared" si="70"/>
        <v>-1.2500000000000001E-2</v>
      </c>
      <c r="J475" s="6">
        <f t="shared" si="70"/>
        <v>-1.2500000000000001E-2</v>
      </c>
    </row>
    <row r="476" spans="1:12" x14ac:dyDescent="0.35">
      <c r="A476" s="6" t="s">
        <v>137</v>
      </c>
      <c r="B476" s="6">
        <f t="shared" si="69"/>
        <v>5.351362578627987E-2</v>
      </c>
      <c r="C476" s="6">
        <f t="shared" si="69"/>
        <v>9.8666667523437685E-3</v>
      </c>
      <c r="D476" s="6">
        <f t="shared" si="69"/>
        <v>5.8867330905666938E-3</v>
      </c>
      <c r="E476" s="6">
        <f t="shared" si="69"/>
        <v>4.3811065600530955E-2</v>
      </c>
      <c r="F476" s="6">
        <f t="shared" si="69"/>
        <v>9.736303918125043E-3</v>
      </c>
      <c r="G476" s="6">
        <f t="shared" si="69"/>
        <v>6.4366031594186735E-3</v>
      </c>
      <c r="H476" s="6">
        <f t="shared" si="70"/>
        <v>0.12425566048070687</v>
      </c>
      <c r="I476" s="6">
        <f t="shared" si="70"/>
        <v>0.11885405604236179</v>
      </c>
      <c r="J476" s="6">
        <f t="shared" si="70"/>
        <v>0.11644385596469324</v>
      </c>
    </row>
  </sheetData>
  <mergeCells count="3">
    <mergeCell ref="A461:K461"/>
    <mergeCell ref="A432:K432"/>
    <mergeCell ref="A446:K446"/>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D63F1-4DB9-45A0-836E-CEDDCC7FFBAD}">
  <sheetPr>
    <tabColor theme="5" tint="-0.249977111117893"/>
  </sheetPr>
  <dimension ref="A1:BA476"/>
  <sheetViews>
    <sheetView topLeftCell="A403" zoomScale="50" zoomScaleNormal="50" workbookViewId="0">
      <selection activeCell="Z241" sqref="Z241"/>
    </sheetView>
  </sheetViews>
  <sheetFormatPr defaultColWidth="8.54296875" defaultRowHeight="14.5" outlineLevelRow="1" x14ac:dyDescent="0.35"/>
  <cols>
    <col min="1" max="1" width="37.54296875" style="6" customWidth="1"/>
    <col min="2" max="2" width="16.453125" style="6" bestFit="1" customWidth="1"/>
    <col min="3" max="14" width="10.54296875" style="6" bestFit="1" customWidth="1"/>
    <col min="15" max="16" width="10.1796875" style="6" bestFit="1" customWidth="1"/>
    <col min="17" max="24" width="10.54296875" style="6" bestFit="1" customWidth="1"/>
    <col min="25" max="25" width="10.1796875" style="6" bestFit="1" customWidth="1"/>
    <col min="26" max="26" width="16.453125" style="6" bestFit="1" customWidth="1"/>
    <col min="27" max="27" width="8.54296875" style="6"/>
    <col min="28" max="28" width="35" style="6" bestFit="1" customWidth="1"/>
    <col min="29" max="29" width="16.453125" style="6" bestFit="1" customWidth="1"/>
    <col min="30" max="53" width="12.81640625" style="6" bestFit="1" customWidth="1"/>
    <col min="54" max="16384" width="8.54296875" style="6"/>
  </cols>
  <sheetData>
    <row r="1" spans="1:53" s="139" customFormat="1" ht="21" x14ac:dyDescent="0.5">
      <c r="A1" s="138" t="s">
        <v>695</v>
      </c>
    </row>
    <row r="2" spans="1:53" s="221" customFormat="1" ht="21" x14ac:dyDescent="0.5">
      <c r="A2" s="229" t="s">
        <v>849</v>
      </c>
    </row>
    <row r="3" spans="1:53" s="18" customFormat="1" ht="21" x14ac:dyDescent="0.5">
      <c r="A3" s="18" t="s">
        <v>72</v>
      </c>
    </row>
    <row r="4" spans="1:53" s="20" customFormat="1" outlineLevel="1" x14ac:dyDescent="0.35">
      <c r="A4" s="19" t="s">
        <v>767</v>
      </c>
    </row>
    <row r="5" spans="1:53" s="16" customFormat="1" outlineLevel="1" x14ac:dyDescent="0.35">
      <c r="A5" s="21"/>
      <c r="AA5" s="15"/>
      <c r="AB5" s="15" t="s">
        <v>143</v>
      </c>
      <c r="AC5" s="16">
        <f>0.000000025+0.000000000000682</f>
        <v>2.5000681999999998E-8</v>
      </c>
      <c r="AD5" s="16" t="s">
        <v>916</v>
      </c>
      <c r="AE5" s="15" t="s">
        <v>714</v>
      </c>
    </row>
    <row r="6" spans="1:53" s="16" customFormat="1" outlineLevel="1" x14ac:dyDescent="0.35">
      <c r="A6" s="22" t="s">
        <v>917</v>
      </c>
      <c r="AC6" s="16">
        <f>AC5*1000</f>
        <v>2.5000681999999997E-5</v>
      </c>
      <c r="AD6" s="16" t="s">
        <v>918</v>
      </c>
    </row>
    <row r="7" spans="1:53" s="16" customFormat="1" outlineLevel="1" x14ac:dyDescent="0.35">
      <c r="A7" s="22"/>
      <c r="AB7" s="16" t="s">
        <v>127</v>
      </c>
      <c r="AC7" s="16">
        <v>100</v>
      </c>
      <c r="AD7" s="16" t="s">
        <v>128</v>
      </c>
    </row>
    <row r="8" spans="1:53" s="16" customFormat="1" outlineLevel="1" x14ac:dyDescent="0.35">
      <c r="A8" s="22"/>
      <c r="AB8" s="16" t="s">
        <v>129</v>
      </c>
      <c r="AC8" s="16">
        <v>25</v>
      </c>
      <c r="AD8" s="16" t="s">
        <v>130</v>
      </c>
    </row>
    <row r="9" spans="1:53" outlineLevel="1" x14ac:dyDescent="0.35">
      <c r="B9" s="25">
        <v>2030</v>
      </c>
      <c r="C9" s="25">
        <v>2031</v>
      </c>
      <c r="D9" s="25">
        <v>2032</v>
      </c>
      <c r="E9" s="25">
        <v>2033</v>
      </c>
      <c r="F9" s="25">
        <v>2034</v>
      </c>
      <c r="G9" s="25">
        <v>2035</v>
      </c>
      <c r="H9" s="25">
        <v>2036</v>
      </c>
      <c r="I9" s="25">
        <v>2037</v>
      </c>
      <c r="J9" s="25">
        <v>2038</v>
      </c>
      <c r="K9" s="25">
        <v>2039</v>
      </c>
      <c r="L9" s="25">
        <v>2040</v>
      </c>
      <c r="M9" s="25">
        <v>2041</v>
      </c>
      <c r="N9" s="25">
        <v>2042</v>
      </c>
      <c r="O9" s="25">
        <v>2043</v>
      </c>
      <c r="P9" s="25">
        <v>2044</v>
      </c>
      <c r="Q9" s="25">
        <v>2045</v>
      </c>
      <c r="R9" s="25">
        <v>2046</v>
      </c>
      <c r="S9" s="25">
        <v>2047</v>
      </c>
      <c r="T9" s="25">
        <v>2048</v>
      </c>
      <c r="U9" s="25">
        <v>2049</v>
      </c>
      <c r="V9" s="25">
        <v>2050</v>
      </c>
      <c r="W9" s="25">
        <v>2051</v>
      </c>
      <c r="X9" s="25">
        <v>2052</v>
      </c>
      <c r="Y9" s="25">
        <v>2053</v>
      </c>
      <c r="Z9" s="25">
        <v>2054</v>
      </c>
      <c r="AC9" s="189">
        <v>2030</v>
      </c>
      <c r="AD9" s="189">
        <v>2031</v>
      </c>
      <c r="AE9" s="189">
        <v>2032</v>
      </c>
      <c r="AF9" s="189">
        <v>2033</v>
      </c>
      <c r="AG9" s="189">
        <v>2034</v>
      </c>
      <c r="AH9" s="189">
        <v>2035</v>
      </c>
      <c r="AI9" s="189">
        <v>2036</v>
      </c>
      <c r="AJ9" s="189">
        <v>2037</v>
      </c>
      <c r="AK9" s="189">
        <v>2038</v>
      </c>
      <c r="AL9" s="189">
        <v>2039</v>
      </c>
      <c r="AM9" s="189">
        <v>2040</v>
      </c>
      <c r="AN9" s="189">
        <v>2041</v>
      </c>
      <c r="AO9" s="189">
        <v>2042</v>
      </c>
      <c r="AP9" s="189">
        <v>2043</v>
      </c>
      <c r="AQ9" s="189">
        <v>2044</v>
      </c>
      <c r="AR9" s="189">
        <v>2045</v>
      </c>
      <c r="AS9" s="189">
        <v>2046</v>
      </c>
      <c r="AT9" s="189">
        <v>2047</v>
      </c>
      <c r="AU9" s="189">
        <v>2048</v>
      </c>
      <c r="AV9" s="189">
        <v>2049</v>
      </c>
      <c r="AW9" s="189">
        <v>2050</v>
      </c>
      <c r="AX9" s="189">
        <v>2051</v>
      </c>
      <c r="AY9" s="189">
        <v>2052</v>
      </c>
      <c r="AZ9" s="189">
        <v>2053</v>
      </c>
      <c r="BA9" s="189">
        <v>2054</v>
      </c>
    </row>
    <row r="10" spans="1:53" outlineLevel="1" x14ac:dyDescent="0.35">
      <c r="A10" s="6" t="s">
        <v>21</v>
      </c>
      <c r="B10" s="6">
        <f>'Results - raw data ReCiPe (E)'!AC5</f>
        <v>1.002788540668134E-4</v>
      </c>
      <c r="AB10" s="6" t="s">
        <v>117</v>
      </c>
      <c r="AC10" s="6">
        <f>SUM(B10:B21)+B23</f>
        <v>7.5205433444198531E-3</v>
      </c>
    </row>
    <row r="11" spans="1:53" outlineLevel="1" x14ac:dyDescent="0.35">
      <c r="A11" s="6" t="s">
        <v>23</v>
      </c>
      <c r="B11" s="6">
        <f>'Results - raw data ReCiPe (E)'!AC6</f>
        <v>1.894301368876283E-4</v>
      </c>
      <c r="AB11" s="6" t="s">
        <v>118</v>
      </c>
      <c r="AC11" s="6">
        <f>B22</f>
        <v>2.1953654340738595E-4</v>
      </c>
    </row>
    <row r="12" spans="1:53" outlineLevel="1" x14ac:dyDescent="0.35">
      <c r="A12" s="6" t="s">
        <v>26</v>
      </c>
      <c r="B12" s="6">
        <f>'Results - raw data ReCiPe (E)'!AC7</f>
        <v>4.0249601495511561E-4</v>
      </c>
      <c r="AB12" s="6" t="s">
        <v>119</v>
      </c>
      <c r="BA12" s="6">
        <f>SUM(Z24:Z35)</f>
        <v>9.2556580539513285E-5</v>
      </c>
    </row>
    <row r="13" spans="1:53" outlineLevel="1" x14ac:dyDescent="0.35">
      <c r="A13" s="6" t="s">
        <v>28</v>
      </c>
      <c r="B13" s="6">
        <f>'Results - raw data ReCiPe (E)'!AC8</f>
        <v>1.8239184765488E-4</v>
      </c>
      <c r="AB13" s="6" t="s">
        <v>120</v>
      </c>
      <c r="BA13" s="6">
        <f>Z36</f>
        <v>1.6915974917172185E-6</v>
      </c>
    </row>
    <row r="14" spans="1:53" outlineLevel="1" x14ac:dyDescent="0.35">
      <c r="A14" s="6" t="s">
        <v>29</v>
      </c>
      <c r="B14" s="6">
        <f>'Results - raw data ReCiPe (E)'!AC9</f>
        <v>3.1594695418384348E-4</v>
      </c>
      <c r="AB14" s="6" t="s">
        <v>121</v>
      </c>
      <c r="AC14" s="6">
        <f>B37</f>
        <v>9.6070786883955476E-5</v>
      </c>
      <c r="AF14" s="6">
        <f>E37</f>
        <v>9.5821625581055684E-5</v>
      </c>
      <c r="AI14" s="6">
        <f>H37</f>
        <v>9.5829318269014544E-5</v>
      </c>
      <c r="AL14" s="6">
        <f>K37</f>
        <v>9.6195219555553151E-5</v>
      </c>
      <c r="AO14" s="6">
        <f>N37</f>
        <v>9.671044208302645E-5</v>
      </c>
      <c r="AR14" s="6">
        <f>Q37</f>
        <v>9.7352908438601063E-5</v>
      </c>
      <c r="AU14" s="6">
        <f>T37</f>
        <v>9.6952281836548256E-5</v>
      </c>
      <c r="AX14" s="6">
        <f>W37</f>
        <v>9.6376407293463591E-5</v>
      </c>
      <c r="BA14" s="6">
        <f>Z37</f>
        <v>9.5439879467151915E-5</v>
      </c>
    </row>
    <row r="15" spans="1:53" outlineLevel="1" x14ac:dyDescent="0.35">
      <c r="A15" s="6" t="s">
        <v>31</v>
      </c>
      <c r="B15" s="6">
        <f>'Results - raw data ReCiPe (E)'!AC10</f>
        <v>2.3697363961662989E-4</v>
      </c>
      <c r="AB15" s="6" t="s">
        <v>122</v>
      </c>
      <c r="AC15" s="6">
        <f>B40+B39</f>
        <v>2.0285493247131133E-3</v>
      </c>
      <c r="AD15" s="6">
        <f t="shared" ref="AD15:BA15" si="0">C40+C39</f>
        <v>2.0227560747096171E-3</v>
      </c>
      <c r="AE15" s="6">
        <f t="shared" si="0"/>
        <v>2.0169377144366031E-3</v>
      </c>
      <c r="AF15" s="6">
        <f t="shared" si="0"/>
        <v>2.0107844251752711E-3</v>
      </c>
      <c r="AG15" s="6">
        <f t="shared" si="0"/>
        <v>2.0049129582609512E-3</v>
      </c>
      <c r="AH15" s="6">
        <f t="shared" si="0"/>
        <v>1.9990139827895893E-3</v>
      </c>
      <c r="AI15" s="6">
        <f t="shared" si="0"/>
        <v>2.1757251135861404E-3</v>
      </c>
      <c r="AJ15" s="6">
        <f t="shared" si="0"/>
        <v>2.3521875183295164E-3</v>
      </c>
      <c r="AK15" s="6">
        <f t="shared" si="0"/>
        <v>2.5284977912987043E-3</v>
      </c>
      <c r="AL15" s="6">
        <f t="shared" si="0"/>
        <v>2.7046482439993004E-3</v>
      </c>
      <c r="AM15" s="6">
        <f t="shared" si="0"/>
        <v>2.880579337628393E-3</v>
      </c>
      <c r="AN15" s="6">
        <f t="shared" si="0"/>
        <v>3.2162600814456674E-3</v>
      </c>
      <c r="AO15" s="6">
        <f t="shared" si="0"/>
        <v>3.5527526363136391E-3</v>
      </c>
      <c r="AP15" s="6">
        <f t="shared" si="0"/>
        <v>3.8902418896006553E-3</v>
      </c>
      <c r="AQ15" s="6">
        <f t="shared" si="0"/>
        <v>4.2283675486641786E-3</v>
      </c>
      <c r="AR15" s="6">
        <f t="shared" si="0"/>
        <v>4.5673195052132482E-3</v>
      </c>
      <c r="AS15" s="6">
        <f t="shared" si="0"/>
        <v>4.5935158356993928E-3</v>
      </c>
      <c r="AT15" s="6">
        <f t="shared" si="0"/>
        <v>4.6196929712370126E-3</v>
      </c>
      <c r="AU15" s="6">
        <f t="shared" si="0"/>
        <v>4.6459661144363429E-3</v>
      </c>
      <c r="AV15" s="6">
        <f t="shared" si="0"/>
        <v>4.6721065016722078E-3</v>
      </c>
      <c r="AW15" s="6">
        <f t="shared" si="0"/>
        <v>4.6982310457680428E-3</v>
      </c>
      <c r="AX15" s="6">
        <f t="shared" si="0"/>
        <v>4.5628315336206145E-3</v>
      </c>
      <c r="AY15" s="6">
        <f t="shared" si="0"/>
        <v>4.4211892298138093E-3</v>
      </c>
      <c r="AZ15" s="6">
        <f t="shared" si="0"/>
        <v>4.279063600557108E-3</v>
      </c>
      <c r="BA15" s="6">
        <f t="shared" si="0"/>
        <v>4.1364501544981069E-3</v>
      </c>
    </row>
    <row r="16" spans="1:53" outlineLevel="1" x14ac:dyDescent="0.35">
      <c r="A16" s="6" t="s">
        <v>34</v>
      </c>
      <c r="B16" s="6">
        <f>'Results - raw data ReCiPe (E)'!AC11</f>
        <v>2.1009548515794709E-4</v>
      </c>
      <c r="AB16" s="6" t="s">
        <v>123</v>
      </c>
      <c r="AC16" s="6">
        <f>B38</f>
        <v>2.4219263815059068E-4</v>
      </c>
      <c r="AD16" s="6">
        <f t="shared" ref="AD16:BA16" si="1">C38</f>
        <v>2.4164687599320309E-4</v>
      </c>
      <c r="AE16" s="6">
        <f t="shared" si="1"/>
        <v>2.4110044331989472E-4</v>
      </c>
      <c r="AF16" s="6">
        <f t="shared" si="1"/>
        <v>2.4052361669729241E-4</v>
      </c>
      <c r="AG16" s="6">
        <f t="shared" si="1"/>
        <v>2.3997546813756359E-4</v>
      </c>
      <c r="AH16" s="6">
        <f t="shared" si="1"/>
        <v>2.394264053946725E-4</v>
      </c>
      <c r="AI16" s="6">
        <f t="shared" si="1"/>
        <v>2.5273051797618273E-4</v>
      </c>
      <c r="AJ16" s="6">
        <f t="shared" si="1"/>
        <v>2.6597849749189918E-4</v>
      </c>
      <c r="AK16" s="6">
        <f t="shared" si="1"/>
        <v>2.7917880097149398E-4</v>
      </c>
      <c r="AL16" s="6">
        <f t="shared" si="1"/>
        <v>2.923288294485455E-4</v>
      </c>
      <c r="AM16" s="6">
        <f t="shared" si="1"/>
        <v>3.0542509811774192E-4</v>
      </c>
      <c r="AN16" s="6">
        <f t="shared" si="1"/>
        <v>3.3053713521866661E-4</v>
      </c>
      <c r="AO16" s="6">
        <f t="shared" si="1"/>
        <v>3.5565339972491906E-4</v>
      </c>
      <c r="AP16" s="6">
        <f t="shared" si="1"/>
        <v>3.8079028632170023E-4</v>
      </c>
      <c r="AQ16" s="6">
        <f t="shared" si="1"/>
        <v>4.0591519104639883E-4</v>
      </c>
      <c r="AR16" s="6">
        <f t="shared" si="1"/>
        <v>4.3104478287483701E-4</v>
      </c>
      <c r="AS16" s="6">
        <f t="shared" si="1"/>
        <v>4.3273631101758872E-4</v>
      </c>
      <c r="AT16" s="6">
        <f t="shared" si="1"/>
        <v>4.3442245309916101E-4</v>
      </c>
      <c r="AU16" s="6">
        <f t="shared" si="1"/>
        <v>4.3611347078169468E-4</v>
      </c>
      <c r="AV16" s="6">
        <f t="shared" si="1"/>
        <v>4.3778891953574089E-4</v>
      </c>
      <c r="AW16" s="6">
        <f t="shared" si="1"/>
        <v>4.3945919428111388E-4</v>
      </c>
      <c r="AX16" s="6">
        <f t="shared" si="1"/>
        <v>4.288470478321375E-4</v>
      </c>
      <c r="AY16" s="6">
        <f t="shared" si="1"/>
        <v>4.1780690585363608E-4</v>
      </c>
      <c r="AZ16" s="6">
        <f t="shared" si="1"/>
        <v>4.0677323302082662E-4</v>
      </c>
      <c r="BA16" s="6">
        <f t="shared" si="1"/>
        <v>3.9574578124018379E-4</v>
      </c>
    </row>
    <row r="17" spans="1:53" outlineLevel="1" x14ac:dyDescent="0.35">
      <c r="A17" s="6" t="s">
        <v>36</v>
      </c>
      <c r="B17" s="6">
        <f>'Results - raw data ReCiPe (E)'!AC12</f>
        <v>1.8816871110084919E-4</v>
      </c>
      <c r="AB17" s="6" t="s">
        <v>124</v>
      </c>
      <c r="AC17" s="6">
        <f>-$AC$7*$AC$6</f>
        <v>-2.5000681999999995E-3</v>
      </c>
      <c r="AD17" s="6">
        <f t="shared" ref="AD17:BA17" si="2">-$AC$7*$AC$6</f>
        <v>-2.5000681999999995E-3</v>
      </c>
      <c r="AE17" s="6">
        <f t="shared" si="2"/>
        <v>-2.5000681999999995E-3</v>
      </c>
      <c r="AF17" s="6">
        <f t="shared" si="2"/>
        <v>-2.5000681999999995E-3</v>
      </c>
      <c r="AG17" s="6">
        <f t="shared" si="2"/>
        <v>-2.5000681999999995E-3</v>
      </c>
      <c r="AH17" s="6">
        <f t="shared" si="2"/>
        <v>-2.5000681999999995E-3</v>
      </c>
      <c r="AI17" s="6">
        <f t="shared" si="2"/>
        <v>-2.5000681999999995E-3</v>
      </c>
      <c r="AJ17" s="6">
        <f t="shared" si="2"/>
        <v>-2.5000681999999995E-3</v>
      </c>
      <c r="AK17" s="6">
        <f t="shared" si="2"/>
        <v>-2.5000681999999995E-3</v>
      </c>
      <c r="AL17" s="6">
        <f t="shared" si="2"/>
        <v>-2.5000681999999995E-3</v>
      </c>
      <c r="AM17" s="6">
        <f t="shared" si="2"/>
        <v>-2.5000681999999995E-3</v>
      </c>
      <c r="AN17" s="6">
        <f t="shared" si="2"/>
        <v>-2.5000681999999995E-3</v>
      </c>
      <c r="AO17" s="6">
        <f t="shared" si="2"/>
        <v>-2.5000681999999995E-3</v>
      </c>
      <c r="AP17" s="6">
        <f t="shared" si="2"/>
        <v>-2.5000681999999995E-3</v>
      </c>
      <c r="AQ17" s="6">
        <f t="shared" si="2"/>
        <v>-2.5000681999999995E-3</v>
      </c>
      <c r="AR17" s="6">
        <f t="shared" si="2"/>
        <v>-2.5000681999999995E-3</v>
      </c>
      <c r="AS17" s="6">
        <f t="shared" si="2"/>
        <v>-2.5000681999999995E-3</v>
      </c>
      <c r="AT17" s="6">
        <f t="shared" si="2"/>
        <v>-2.5000681999999995E-3</v>
      </c>
      <c r="AU17" s="6">
        <f t="shared" si="2"/>
        <v>-2.5000681999999995E-3</v>
      </c>
      <c r="AV17" s="6">
        <f t="shared" si="2"/>
        <v>-2.5000681999999995E-3</v>
      </c>
      <c r="AW17" s="6">
        <f t="shared" si="2"/>
        <v>-2.5000681999999995E-3</v>
      </c>
      <c r="AX17" s="6">
        <f t="shared" si="2"/>
        <v>-2.5000681999999995E-3</v>
      </c>
      <c r="AY17" s="6">
        <f t="shared" si="2"/>
        <v>-2.5000681999999995E-3</v>
      </c>
      <c r="AZ17" s="6">
        <f t="shared" si="2"/>
        <v>-2.5000681999999995E-3</v>
      </c>
      <c r="BA17" s="6">
        <f t="shared" si="2"/>
        <v>-2.5000681999999995E-3</v>
      </c>
    </row>
    <row r="18" spans="1:53" outlineLevel="1" x14ac:dyDescent="0.35">
      <c r="A18" s="6" t="s">
        <v>38</v>
      </c>
      <c r="B18" s="6">
        <f>'Results - raw data ReCiPe (E)'!AC13</f>
        <v>4.1583412360390951E-4</v>
      </c>
      <c r="AB18" s="23" t="s">
        <v>125</v>
      </c>
      <c r="AC18" s="17">
        <f>SUM(AC10:AC17)</f>
        <v>7.6068244375748989E-3</v>
      </c>
      <c r="AD18" s="17">
        <f t="shared" ref="AD18:BA18" si="3">SUM(AD10:AD17)</f>
        <v>-2.3566524929717917E-4</v>
      </c>
      <c r="AE18" s="17">
        <f t="shared" si="3"/>
        <v>-2.4203004224350151E-4</v>
      </c>
      <c r="AF18" s="17">
        <f>SUM(AF10:AF17)</f>
        <v>-1.5293853254638029E-4</v>
      </c>
      <c r="AG18" s="17">
        <f t="shared" si="3"/>
        <v>-2.5517977360148443E-4</v>
      </c>
      <c r="AH18" s="17">
        <f t="shared" si="3"/>
        <v>-2.6162781181573785E-4</v>
      </c>
      <c r="AI18" s="17">
        <f>SUM(AI10:AI17)</f>
        <v>2.4216749831338161E-5</v>
      </c>
      <c r="AJ18" s="17">
        <f t="shared" si="3"/>
        <v>1.1809781582141623E-4</v>
      </c>
      <c r="AK18" s="17">
        <f t="shared" si="3"/>
        <v>3.0760839227019898E-4</v>
      </c>
      <c r="AL18" s="17">
        <f t="shared" si="3"/>
        <v>5.931040930033998E-4</v>
      </c>
      <c r="AM18" s="17">
        <f t="shared" si="3"/>
        <v>6.8593623574613556E-4</v>
      </c>
      <c r="AN18" s="17">
        <f t="shared" si="3"/>
        <v>1.0467290166643346E-3</v>
      </c>
      <c r="AO18" s="17">
        <f t="shared" si="3"/>
        <v>1.5050482781215849E-3</v>
      </c>
      <c r="AP18" s="17">
        <f t="shared" si="3"/>
        <v>1.7709639759223563E-3</v>
      </c>
      <c r="AQ18" s="17">
        <f t="shared" si="3"/>
        <v>2.134214539710578E-3</v>
      </c>
      <c r="AR18" s="17">
        <f t="shared" si="3"/>
        <v>2.5956489965266874E-3</v>
      </c>
      <c r="AS18" s="17">
        <f t="shared" si="3"/>
        <v>2.5261839467169821E-3</v>
      </c>
      <c r="AT18" s="17">
        <f t="shared" si="3"/>
        <v>2.554047224336174E-3</v>
      </c>
      <c r="AU18" s="17">
        <f t="shared" si="3"/>
        <v>2.6789636670545864E-3</v>
      </c>
      <c r="AV18" s="17">
        <f t="shared" si="3"/>
        <v>2.609827221207949E-3</v>
      </c>
      <c r="AW18" s="17">
        <f t="shared" si="3"/>
        <v>2.6376220400491568E-3</v>
      </c>
      <c r="AX18" s="17">
        <f t="shared" si="3"/>
        <v>2.5879867887462155E-3</v>
      </c>
      <c r="AY18" s="17">
        <f t="shared" si="3"/>
        <v>2.3389279356674456E-3</v>
      </c>
      <c r="AZ18" s="17">
        <f t="shared" si="3"/>
        <v>2.1857686335779352E-3</v>
      </c>
      <c r="BA18" s="17">
        <f t="shared" si="3"/>
        <v>2.2218157932366736E-3</v>
      </c>
    </row>
    <row r="19" spans="1:53" outlineLevel="1" x14ac:dyDescent="0.35">
      <c r="A19" s="6" t="s">
        <v>39</v>
      </c>
      <c r="B19" s="6">
        <f>'Results - raw data ReCiPe (E)'!AC14</f>
        <v>4.8429542666931476E-3</v>
      </c>
    </row>
    <row r="20" spans="1:53" outlineLevel="1" x14ac:dyDescent="0.35">
      <c r="A20" s="6" t="s">
        <v>41</v>
      </c>
      <c r="B20" s="6">
        <f>'Results - raw data ReCiPe (E)'!AC15</f>
        <v>5.2645581004914617E-6</v>
      </c>
    </row>
    <row r="21" spans="1:53" outlineLevel="1" x14ac:dyDescent="0.35">
      <c r="A21" s="6" t="s">
        <v>43</v>
      </c>
      <c r="B21" s="6">
        <f>'Results - raw data ReCiPe (E)'!AC16</f>
        <v>2.9425891567082932E-5</v>
      </c>
      <c r="AB21" s="187"/>
      <c r="AC21" s="187"/>
      <c r="AD21" s="187"/>
      <c r="AE21" s="187"/>
      <c r="AF21" s="187"/>
      <c r="AG21" s="187"/>
      <c r="AH21" s="187"/>
      <c r="AI21" s="187"/>
      <c r="AJ21" s="187"/>
      <c r="AK21" s="187"/>
      <c r="AL21" s="187"/>
      <c r="AM21" s="187"/>
      <c r="AN21" s="187"/>
      <c r="AO21" s="187"/>
      <c r="AP21" s="187"/>
      <c r="AQ21" s="187"/>
      <c r="AR21" s="187"/>
      <c r="AS21" s="187"/>
      <c r="AT21" s="187"/>
      <c r="AU21" s="187"/>
      <c r="AV21" s="187"/>
      <c r="AW21" s="187"/>
      <c r="AX21" s="187"/>
      <c r="AY21" s="187"/>
      <c r="AZ21" s="187"/>
      <c r="BA21" s="187"/>
    </row>
    <row r="22" spans="1:53" outlineLevel="1" x14ac:dyDescent="0.35">
      <c r="A22" s="6" t="s">
        <v>44</v>
      </c>
      <c r="B22" s="6">
        <f>'Results - raw data ReCiPe (E)'!AC17*AC7*AC8</f>
        <v>2.1953654340738595E-4</v>
      </c>
      <c r="AB22" s="187"/>
      <c r="AC22" s="187"/>
      <c r="AD22" s="187"/>
      <c r="AE22" s="187"/>
      <c r="AF22" s="187"/>
      <c r="AG22" s="187"/>
      <c r="AH22" s="187"/>
      <c r="AI22" s="187"/>
      <c r="AJ22" s="187"/>
      <c r="AK22" s="187"/>
      <c r="AL22" s="187"/>
      <c r="AM22" s="187"/>
      <c r="AN22" s="187"/>
      <c r="AO22" s="187"/>
      <c r="AP22" s="187"/>
      <c r="AQ22" s="187"/>
      <c r="AR22" s="187"/>
      <c r="AS22" s="187"/>
      <c r="AT22" s="187"/>
      <c r="AU22" s="187"/>
      <c r="AV22" s="187"/>
      <c r="AW22" s="187"/>
      <c r="AX22" s="187"/>
      <c r="AY22" s="187"/>
      <c r="AZ22" s="187"/>
      <c r="BA22" s="187"/>
    </row>
    <row r="23" spans="1:53" outlineLevel="1" x14ac:dyDescent="0.35">
      <c r="A23" s="6" t="s">
        <v>757</v>
      </c>
      <c r="B23" s="6">
        <f>'Results - raw data ReCiPe (E)'!AC18*AC8*AC7</f>
        <v>4.01282860831515E-4</v>
      </c>
      <c r="AB23" s="187"/>
      <c r="AC23" s="187"/>
      <c r="AD23" s="187"/>
      <c r="AE23" s="187"/>
      <c r="AF23" s="187"/>
      <c r="AG23" s="187"/>
      <c r="AH23" s="187"/>
      <c r="AI23" s="187"/>
      <c r="AJ23" s="187"/>
      <c r="AK23" s="187"/>
      <c r="AL23" s="187"/>
      <c r="AM23" s="187"/>
      <c r="AN23" s="187"/>
      <c r="AO23" s="187"/>
      <c r="AP23" s="187"/>
      <c r="AQ23" s="187"/>
      <c r="AR23" s="187"/>
      <c r="AS23" s="187"/>
      <c r="AT23" s="187"/>
      <c r="AU23" s="187"/>
      <c r="AV23" s="187"/>
      <c r="AW23" s="187"/>
      <c r="AX23" s="187"/>
      <c r="AY23" s="187"/>
      <c r="AZ23" s="187"/>
      <c r="BA23" s="187"/>
    </row>
    <row r="24" spans="1:53" outlineLevel="1" x14ac:dyDescent="0.35">
      <c r="A24" s="6" t="s">
        <v>22</v>
      </c>
      <c r="Z24" s="6">
        <f>'Results - raw data ReCiPe (E)'!BA19</f>
        <v>1.5678617807268961E-6</v>
      </c>
      <c r="AB24" s="187"/>
      <c r="AC24" s="187"/>
      <c r="AD24" s="187"/>
      <c r="AE24" s="187"/>
      <c r="AF24" s="187"/>
      <c r="AG24" s="187"/>
      <c r="AH24" s="187"/>
      <c r="AI24" s="187"/>
      <c r="AJ24" s="187"/>
      <c r="AK24" s="187"/>
      <c r="AL24" s="187"/>
      <c r="AM24" s="187"/>
      <c r="AN24" s="187"/>
      <c r="AO24" s="187"/>
      <c r="AP24" s="187"/>
      <c r="AQ24" s="187"/>
      <c r="AR24" s="187"/>
      <c r="AS24" s="187"/>
      <c r="AT24" s="187"/>
      <c r="AU24" s="187"/>
      <c r="AV24" s="187"/>
      <c r="AW24" s="187"/>
      <c r="AX24" s="187"/>
      <c r="AY24" s="187"/>
      <c r="AZ24" s="187"/>
      <c r="BA24" s="187"/>
    </row>
    <row r="25" spans="1:53" outlineLevel="1" x14ac:dyDescent="0.35">
      <c r="A25" s="6" t="s">
        <v>24</v>
      </c>
      <c r="Z25" s="6">
        <f>'Results - raw data ReCiPe (E)'!BA20</f>
        <v>9.5822677874573218E-7</v>
      </c>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row>
    <row r="26" spans="1:53" outlineLevel="1" x14ac:dyDescent="0.35">
      <c r="A26" s="6" t="s">
        <v>25</v>
      </c>
      <c r="Z26" s="6">
        <f>'Results - raw data ReCiPe (E)'!BA21</f>
        <v>3.2060490294522179E-6</v>
      </c>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row>
    <row r="27" spans="1:53" outlineLevel="1" x14ac:dyDescent="0.35">
      <c r="A27" s="6" t="s">
        <v>27</v>
      </c>
      <c r="Z27" s="6">
        <f>'Results - raw data ReCiPe (E)'!BA22</f>
        <v>9.848667252392114E-7</v>
      </c>
      <c r="AB27" s="187"/>
      <c r="AC27" s="187"/>
      <c r="AD27" s="187"/>
      <c r="AE27" s="187"/>
      <c r="AF27" s="187"/>
      <c r="AG27" s="187"/>
      <c r="AH27" s="187"/>
      <c r="AI27" s="187"/>
      <c r="AJ27" s="187"/>
      <c r="AK27" s="187"/>
      <c r="AL27" s="187"/>
      <c r="AM27" s="187"/>
      <c r="AN27" s="187"/>
      <c r="AO27" s="187"/>
      <c r="AP27" s="187"/>
      <c r="AQ27" s="187"/>
      <c r="AR27" s="187"/>
      <c r="AS27" s="187"/>
      <c r="AT27" s="187"/>
      <c r="AU27" s="187"/>
      <c r="AV27" s="187"/>
      <c r="AW27" s="187"/>
      <c r="AX27" s="187"/>
      <c r="AY27" s="187"/>
      <c r="AZ27" s="187"/>
      <c r="BA27" s="187"/>
    </row>
    <row r="28" spans="1:53" outlineLevel="1" x14ac:dyDescent="0.35">
      <c r="A28" s="6" t="s">
        <v>30</v>
      </c>
      <c r="Z28" s="6">
        <f>'Results - raw data ReCiPe (E)'!BA23</f>
        <v>2.287161932949592E-6</v>
      </c>
      <c r="AB28" s="187"/>
      <c r="AC28" s="187"/>
      <c r="AD28" s="187"/>
      <c r="AE28" s="187"/>
      <c r="AF28" s="187"/>
      <c r="AG28" s="187"/>
      <c r="AH28" s="187"/>
      <c r="AI28" s="187"/>
      <c r="AJ28" s="187"/>
      <c r="AK28" s="187"/>
      <c r="AL28" s="187"/>
      <c r="AM28" s="187"/>
      <c r="AN28" s="187"/>
      <c r="AO28" s="187"/>
      <c r="AP28" s="187"/>
      <c r="AQ28" s="187"/>
      <c r="AR28" s="187"/>
      <c r="AS28" s="187"/>
      <c r="AT28" s="187"/>
      <c r="AU28" s="187"/>
      <c r="AV28" s="187"/>
      <c r="AW28" s="187"/>
      <c r="AX28" s="187"/>
      <c r="AY28" s="187"/>
      <c r="AZ28" s="187"/>
      <c r="BA28" s="187"/>
    </row>
    <row r="29" spans="1:53" outlineLevel="1" x14ac:dyDescent="0.35">
      <c r="A29" s="6" t="s">
        <v>32</v>
      </c>
      <c r="Z29" s="6">
        <f>'Results - raw data ReCiPe (E)'!BA24</f>
        <v>4.0104756096575658E-7</v>
      </c>
      <c r="AB29" s="187"/>
      <c r="AC29" s="187"/>
      <c r="AD29" s="187"/>
      <c r="AE29" s="187"/>
      <c r="AF29" s="187"/>
      <c r="AG29" s="187"/>
      <c r="AH29" s="187"/>
      <c r="AI29" s="187"/>
      <c r="AJ29" s="187"/>
      <c r="AK29" s="187"/>
      <c r="AL29" s="187"/>
      <c r="AM29" s="187"/>
      <c r="AN29" s="187"/>
      <c r="AO29" s="187"/>
      <c r="AP29" s="187"/>
      <c r="AQ29" s="187"/>
      <c r="AR29" s="187"/>
      <c r="AS29" s="187"/>
      <c r="AT29" s="187"/>
      <c r="AU29" s="187"/>
      <c r="AV29" s="187"/>
      <c r="AW29" s="187"/>
      <c r="AX29" s="187"/>
      <c r="AY29" s="187"/>
      <c r="AZ29" s="187"/>
      <c r="BA29" s="187"/>
    </row>
    <row r="30" spans="1:53" outlineLevel="1" x14ac:dyDescent="0.35">
      <c r="A30" s="6" t="s">
        <v>33</v>
      </c>
      <c r="Z30" s="6">
        <f>'Results - raw data ReCiPe (E)'!BA25</f>
        <v>7.436220243837267E-7</v>
      </c>
      <c r="AB30" s="187"/>
      <c r="AC30" s="187"/>
      <c r="AD30" s="187"/>
      <c r="AE30" s="187"/>
      <c r="AF30" s="187"/>
      <c r="AG30" s="187"/>
      <c r="AH30" s="187"/>
      <c r="AI30" s="187"/>
      <c r="AJ30" s="187"/>
      <c r="AK30" s="187"/>
      <c r="AL30" s="187"/>
      <c r="AM30" s="187"/>
      <c r="AN30" s="187"/>
      <c r="AO30" s="187"/>
      <c r="AP30" s="187"/>
      <c r="AQ30" s="187"/>
      <c r="AR30" s="187"/>
      <c r="AS30" s="187"/>
      <c r="AT30" s="187"/>
      <c r="AU30" s="187"/>
      <c r="AV30" s="187"/>
      <c r="AW30" s="187"/>
      <c r="AX30" s="187"/>
      <c r="AY30" s="187"/>
      <c r="AZ30" s="187"/>
      <c r="BA30" s="187"/>
    </row>
    <row r="31" spans="1:53" outlineLevel="1" x14ac:dyDescent="0.35">
      <c r="A31" s="6" t="s">
        <v>35</v>
      </c>
      <c r="Z31" s="6">
        <f>'Results - raw data ReCiPe (E)'!BA26</f>
        <v>1.487244048767453E-6</v>
      </c>
      <c r="AB31" s="187"/>
      <c r="AC31" s="187"/>
      <c r="AD31" s="187"/>
      <c r="AE31" s="187"/>
      <c r="AF31" s="187"/>
      <c r="AG31" s="187"/>
      <c r="AH31" s="187"/>
      <c r="AI31" s="187"/>
      <c r="AJ31" s="187"/>
      <c r="AK31" s="187"/>
      <c r="AL31" s="187"/>
      <c r="AM31" s="187"/>
      <c r="AN31" s="187"/>
      <c r="AO31" s="187"/>
      <c r="AP31" s="187"/>
      <c r="AQ31" s="187"/>
      <c r="AR31" s="187"/>
      <c r="AS31" s="187"/>
      <c r="AT31" s="187"/>
      <c r="AU31" s="187"/>
      <c r="AV31" s="187"/>
      <c r="AW31" s="187"/>
      <c r="AX31" s="187"/>
      <c r="AY31" s="187"/>
      <c r="AZ31" s="187"/>
      <c r="BA31" s="187"/>
    </row>
    <row r="32" spans="1:53" outlineLevel="1" x14ac:dyDescent="0.35">
      <c r="A32" s="6" t="s">
        <v>37</v>
      </c>
      <c r="Z32" s="6">
        <f>'Results - raw data ReCiPe (E)'!BA27</f>
        <v>2.5323361014716719E-6</v>
      </c>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row>
    <row r="33" spans="1:53" outlineLevel="1" x14ac:dyDescent="0.35">
      <c r="A33" s="6" t="s">
        <v>40</v>
      </c>
      <c r="Z33" s="6">
        <f>'Results - raw data ReCiPe (E)'!BA28</f>
        <v>6.1461976001350634E-5</v>
      </c>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row>
    <row r="34" spans="1:53" outlineLevel="1" x14ac:dyDescent="0.35">
      <c r="A34" s="6" t="s">
        <v>42</v>
      </c>
      <c r="Z34" s="6">
        <f>'Results - raw data ReCiPe (E)'!BA29</f>
        <v>1.7086922788577119E-6</v>
      </c>
    </row>
    <row r="35" spans="1:53" outlineLevel="1" x14ac:dyDescent="0.35">
      <c r="A35" s="6" t="s">
        <v>115</v>
      </c>
      <c r="Z35" s="6">
        <f>'Results - raw data ReCiPe (E)'!BA30</f>
        <v>1.521749627660268E-5</v>
      </c>
    </row>
    <row r="36" spans="1:53" outlineLevel="1" x14ac:dyDescent="0.35">
      <c r="A36" s="6" t="s">
        <v>45</v>
      </c>
      <c r="Z36" s="6">
        <f>'Results - raw data ReCiPe (E)'!BA31*AC7*AC8</f>
        <v>1.6915974917172185E-6</v>
      </c>
    </row>
    <row r="37" spans="1:53" outlineLevel="1" x14ac:dyDescent="0.35">
      <c r="A37" s="6" t="s">
        <v>116</v>
      </c>
      <c r="B37" s="6">
        <f>'Results - raw data ReCiPe (E)'!AC32</f>
        <v>9.6070786883955476E-5</v>
      </c>
      <c r="C37" s="6">
        <f>'Results - raw data ReCiPe (E)'!AD32</f>
        <v>9.6016428409601275E-5</v>
      </c>
      <c r="D37" s="6">
        <f>'Results - raw data ReCiPe (E)'!AE32</f>
        <v>9.5962527890161163E-5</v>
      </c>
      <c r="E37" s="6">
        <f>'Results - raw data ReCiPe (E)'!AF32</f>
        <v>9.5821625581055684E-5</v>
      </c>
      <c r="F37" s="6">
        <f>'Results - raw data ReCiPe (E)'!AG32</f>
        <v>9.5768194891296198E-5</v>
      </c>
      <c r="G37" s="6">
        <f>'Results - raw data ReCiPe (E)'!AH32</f>
        <v>9.5714894517826495E-5</v>
      </c>
      <c r="H37" s="6">
        <f>'Results - raw data ReCiPe (E)'!AI32</f>
        <v>9.5829318269014544E-5</v>
      </c>
      <c r="I37" s="6">
        <f>'Results - raw data ReCiPe (E)'!AJ32</f>
        <v>9.5944316101698841E-5</v>
      </c>
      <c r="J37" s="6">
        <f>'Results - raw data ReCiPe (E)'!AK32</f>
        <v>9.6077521965996801E-5</v>
      </c>
      <c r="K37" s="6">
        <f>'Results - raw data ReCiPe (E)'!AL32</f>
        <v>9.6195219555553151E-5</v>
      </c>
      <c r="L37" s="6">
        <f>'Results - raw data ReCiPe (E)'!AM32</f>
        <v>9.6313368095030094E-5</v>
      </c>
      <c r="M37" s="6">
        <f>'Results - raw data ReCiPe (E)'!AN32</f>
        <v>9.6511421650812896E-5</v>
      </c>
      <c r="N37" s="6">
        <f>'Results - raw data ReCiPe (E)'!AO32</f>
        <v>9.671044208302645E-5</v>
      </c>
      <c r="O37" s="6">
        <f>'Results - raw data ReCiPe (E)'!AP32</f>
        <v>9.6946278507602522E-5</v>
      </c>
      <c r="P37" s="6">
        <f>'Results - raw data ReCiPe (E)'!AQ32</f>
        <v>9.7149093242206546E-5</v>
      </c>
      <c r="Q37" s="6">
        <f>'Results - raw data ReCiPe (E)'!AR32</f>
        <v>9.7352908438601063E-5</v>
      </c>
      <c r="R37" s="6">
        <f>'Results - raw data ReCiPe (E)'!AS32</f>
        <v>9.7212532427216441E-5</v>
      </c>
      <c r="S37" s="6">
        <f>'Results - raw data ReCiPe (E)'!AT32</f>
        <v>9.7071207211998637E-5</v>
      </c>
      <c r="T37" s="6">
        <f>'Results - raw data ReCiPe (E)'!AU32</f>
        <v>9.6952281836548256E-5</v>
      </c>
      <c r="U37" s="6">
        <f>'Results - raw data ReCiPe (E)'!AV32</f>
        <v>9.6808926553165625E-5</v>
      </c>
      <c r="V37" s="6">
        <f>'Results - raw data ReCiPe (E)'!AW32</f>
        <v>9.6664412972092932E-5</v>
      </c>
      <c r="W37" s="6">
        <f>'Results - raw data ReCiPe (E)'!AX32</f>
        <v>9.6376407293463591E-5</v>
      </c>
      <c r="X37" s="6">
        <f>'Results - raw data ReCiPe (E)'!AY32</f>
        <v>9.6065907940071931E-5</v>
      </c>
      <c r="Y37" s="6">
        <f>'Results - raw data ReCiPe (E)'!AZ32</f>
        <v>9.5753741921939916E-5</v>
      </c>
      <c r="Z37" s="6">
        <f>'Results - raw data ReCiPe (E)'!BA32</f>
        <v>9.5439879467151915E-5</v>
      </c>
    </row>
    <row r="38" spans="1:53" outlineLevel="1" x14ac:dyDescent="0.35">
      <c r="A38" s="6" t="s">
        <v>758</v>
      </c>
      <c r="B38" s="6">
        <f>'Results - raw data ReCiPe (E)'!AC33*$AC$7</f>
        <v>2.4219263815059068E-4</v>
      </c>
      <c r="C38" s="6">
        <f>'Results - raw data ReCiPe (E)'!AD33*$AC$7</f>
        <v>2.4164687599320309E-4</v>
      </c>
      <c r="D38" s="6">
        <f>'Results - raw data ReCiPe (E)'!AE33*$AC$7</f>
        <v>2.4110044331989472E-4</v>
      </c>
      <c r="E38" s="6">
        <f>'Results - raw data ReCiPe (E)'!AF33*$AC$7</f>
        <v>2.4052361669729241E-4</v>
      </c>
      <c r="F38" s="6">
        <f>'Results - raw data ReCiPe (E)'!AG33*$AC$7</f>
        <v>2.3997546813756359E-4</v>
      </c>
      <c r="G38" s="6">
        <f>'Results - raw data ReCiPe (E)'!AH33*$AC$7</f>
        <v>2.394264053946725E-4</v>
      </c>
      <c r="H38" s="6">
        <f>'Results - raw data ReCiPe (E)'!AI33*$AC$7</f>
        <v>2.5273051797618273E-4</v>
      </c>
      <c r="I38" s="6">
        <f>'Results - raw data ReCiPe (E)'!AJ33*$AC$7</f>
        <v>2.6597849749189918E-4</v>
      </c>
      <c r="J38" s="6">
        <f>'Results - raw data ReCiPe (E)'!AK33*$AC$7</f>
        <v>2.7917880097149398E-4</v>
      </c>
      <c r="K38" s="6">
        <f>'Results - raw data ReCiPe (E)'!AL33*$AC$7</f>
        <v>2.923288294485455E-4</v>
      </c>
      <c r="L38" s="6">
        <f>'Results - raw data ReCiPe (E)'!AM33*$AC$7</f>
        <v>3.0542509811774192E-4</v>
      </c>
      <c r="M38" s="6">
        <f>'Results - raw data ReCiPe (E)'!AN33*$AC$7</f>
        <v>3.3053713521866661E-4</v>
      </c>
      <c r="N38" s="6">
        <f>'Results - raw data ReCiPe (E)'!AO33*$AC$7</f>
        <v>3.5565339972491906E-4</v>
      </c>
      <c r="O38" s="6">
        <f>'Results - raw data ReCiPe (E)'!AP33*$AC$7</f>
        <v>3.8079028632170023E-4</v>
      </c>
      <c r="P38" s="6">
        <f>'Results - raw data ReCiPe (E)'!AQ33*$AC$7</f>
        <v>4.0591519104639883E-4</v>
      </c>
      <c r="Q38" s="6">
        <f>'Results - raw data ReCiPe (E)'!AR33*$AC$7</f>
        <v>4.3104478287483701E-4</v>
      </c>
      <c r="R38" s="6">
        <f>'Results - raw data ReCiPe (E)'!AS33*$AC$7</f>
        <v>4.3273631101758872E-4</v>
      </c>
      <c r="S38" s="6">
        <f>'Results - raw data ReCiPe (E)'!AT33*$AC$7</f>
        <v>4.3442245309916101E-4</v>
      </c>
      <c r="T38" s="6">
        <f>'Results - raw data ReCiPe (E)'!AU33*$AC$7</f>
        <v>4.3611347078169468E-4</v>
      </c>
      <c r="U38" s="6">
        <f>'Results - raw data ReCiPe (E)'!AV33*$AC$7</f>
        <v>4.3778891953574089E-4</v>
      </c>
      <c r="V38" s="6">
        <f>'Results - raw data ReCiPe (E)'!AW33*$AC$7</f>
        <v>4.3945919428111388E-4</v>
      </c>
      <c r="W38" s="6">
        <f>'Results - raw data ReCiPe (E)'!AX33*$AC$7</f>
        <v>4.288470478321375E-4</v>
      </c>
      <c r="X38" s="6">
        <f>'Results - raw data ReCiPe (E)'!AY33*$AC$7</f>
        <v>4.1780690585363608E-4</v>
      </c>
      <c r="Y38" s="6">
        <f>'Results - raw data ReCiPe (E)'!AZ33*$AC$7</f>
        <v>4.0677323302082662E-4</v>
      </c>
      <c r="Z38" s="6">
        <f>'Results - raw data ReCiPe (E)'!BA33*$AC$7</f>
        <v>3.9574578124018379E-4</v>
      </c>
    </row>
    <row r="39" spans="1:53" outlineLevel="1" x14ac:dyDescent="0.35">
      <c r="A39" s="6" t="s">
        <v>759</v>
      </c>
      <c r="B39" s="6">
        <f>'Results - raw data ReCiPe (E)'!AC34</f>
        <v>2.0736000294618859E-7</v>
      </c>
      <c r="C39" s="6">
        <f>'Results - raw data ReCiPe (E)'!AD34</f>
        <v>2.0736000294618859E-7</v>
      </c>
      <c r="D39" s="6">
        <f>'Results - raw data ReCiPe (E)'!AE34</f>
        <v>2.0736000294618859E-7</v>
      </c>
      <c r="E39" s="6">
        <f>'Results - raw data ReCiPe (E)'!AF34</f>
        <v>2.0736000294618859E-7</v>
      </c>
      <c r="F39" s="6">
        <f>'Results - raw data ReCiPe (E)'!AG34</f>
        <v>2.0736000294618859E-7</v>
      </c>
      <c r="G39" s="6">
        <f>'Results - raw data ReCiPe (E)'!AH34</f>
        <v>2.0736000294618859E-7</v>
      </c>
      <c r="H39" s="6">
        <f>'Results - raw data ReCiPe (E)'!AI34</f>
        <v>2.0736000294618859E-7</v>
      </c>
      <c r="I39" s="6">
        <f>'Results - raw data ReCiPe (E)'!AJ34</f>
        <v>2.0736000294618859E-7</v>
      </c>
      <c r="J39" s="6">
        <f>'Results - raw data ReCiPe (E)'!AK34</f>
        <v>2.0736000294618859E-7</v>
      </c>
      <c r="K39" s="6">
        <f>'Results - raw data ReCiPe (E)'!AL34</f>
        <v>2.0736000294618859E-7</v>
      </c>
      <c r="L39" s="6">
        <f>'Results - raw data ReCiPe (E)'!AM34</f>
        <v>2.0736000294618859E-7</v>
      </c>
      <c r="M39" s="6">
        <f>'Results - raw data ReCiPe (E)'!AN34</f>
        <v>2.0736000294618859E-7</v>
      </c>
      <c r="N39" s="6">
        <f>'Results - raw data ReCiPe (E)'!AO34</f>
        <v>2.0736000294618859E-7</v>
      </c>
      <c r="O39" s="6">
        <f>'Results - raw data ReCiPe (E)'!AP34</f>
        <v>2.0736000294618859E-7</v>
      </c>
      <c r="P39" s="6">
        <f>'Results - raw data ReCiPe (E)'!AQ34</f>
        <v>2.0736000294618859E-7</v>
      </c>
      <c r="Q39" s="6">
        <f>'Results - raw data ReCiPe (E)'!AR34</f>
        <v>2.0736000294618859E-7</v>
      </c>
      <c r="R39" s="6">
        <f>'Results - raw data ReCiPe (E)'!AS34</f>
        <v>2.0736000294618859E-7</v>
      </c>
      <c r="S39" s="6">
        <f>'Results - raw data ReCiPe (E)'!AT34</f>
        <v>2.0736000294618859E-7</v>
      </c>
      <c r="T39" s="6">
        <f>'Results - raw data ReCiPe (E)'!AU34</f>
        <v>2.0736000294618859E-7</v>
      </c>
      <c r="U39" s="6">
        <f>'Results - raw data ReCiPe (E)'!AV34</f>
        <v>2.0736000294618859E-7</v>
      </c>
      <c r="V39" s="6">
        <f>'Results - raw data ReCiPe (E)'!AW34</f>
        <v>2.0736000294618859E-7</v>
      </c>
      <c r="W39" s="6">
        <f>'Results - raw data ReCiPe (E)'!AX34</f>
        <v>2.0736000294618859E-7</v>
      </c>
      <c r="X39" s="6">
        <f>'Results - raw data ReCiPe (E)'!AY34</f>
        <v>2.0736000294618859E-7</v>
      </c>
      <c r="Y39" s="6">
        <f>'Results - raw data ReCiPe (E)'!AZ34</f>
        <v>2.0736000294618859E-7</v>
      </c>
      <c r="Z39" s="6">
        <f>'Results - raw data ReCiPe (E)'!BA34</f>
        <v>2.0736000294618859E-7</v>
      </c>
    </row>
    <row r="40" spans="1:53" outlineLevel="1" x14ac:dyDescent="0.35">
      <c r="A40" s="6" t="s">
        <v>760</v>
      </c>
      <c r="B40" s="6">
        <f>'Results - raw data ReCiPe (E)'!AC35</f>
        <v>2.0283419647101671E-3</v>
      </c>
      <c r="C40" s="6">
        <f>'Results - raw data ReCiPe (E)'!AD35</f>
        <v>2.0225487147066709E-3</v>
      </c>
      <c r="D40" s="6">
        <f>'Results - raw data ReCiPe (E)'!AE35</f>
        <v>2.0167303544336569E-3</v>
      </c>
      <c r="E40" s="6">
        <f>'Results - raw data ReCiPe (E)'!AF35</f>
        <v>2.0105770651723249E-3</v>
      </c>
      <c r="F40" s="6">
        <f>'Results - raw data ReCiPe (E)'!AG35</f>
        <v>2.0047055982580051E-3</v>
      </c>
      <c r="G40" s="6">
        <f>'Results - raw data ReCiPe (E)'!AH35</f>
        <v>1.9988066227866431E-3</v>
      </c>
      <c r="H40" s="6">
        <f>'Results - raw data ReCiPe (E)'!AI35</f>
        <v>2.1755177535831942E-3</v>
      </c>
      <c r="I40" s="6">
        <f>'Results - raw data ReCiPe (E)'!AJ35</f>
        <v>2.3519801583265702E-3</v>
      </c>
      <c r="J40" s="6">
        <f>'Results - raw data ReCiPe (E)'!AK35</f>
        <v>2.5282904312957581E-3</v>
      </c>
      <c r="K40" s="6">
        <f>'Results - raw data ReCiPe (E)'!AL35</f>
        <v>2.7044408839963542E-3</v>
      </c>
      <c r="L40" s="6">
        <f>'Results - raw data ReCiPe (E)'!AM35</f>
        <v>2.8803719776254468E-3</v>
      </c>
      <c r="M40" s="6">
        <f>'Results - raw data ReCiPe (E)'!AN35</f>
        <v>3.2160527214427212E-3</v>
      </c>
      <c r="N40" s="6">
        <f>'Results - raw data ReCiPe (E)'!AO35</f>
        <v>3.5525452763106929E-3</v>
      </c>
      <c r="O40" s="6">
        <f>'Results - raw data ReCiPe (E)'!AP35</f>
        <v>3.8900345295977091E-3</v>
      </c>
      <c r="P40" s="6">
        <f>'Results - raw data ReCiPe (E)'!AQ35</f>
        <v>4.2281601886612324E-3</v>
      </c>
      <c r="Q40" s="6">
        <f>'Results - raw data ReCiPe (E)'!AR35</f>
        <v>4.567112145210302E-3</v>
      </c>
      <c r="R40" s="6">
        <f>'Results - raw data ReCiPe (E)'!AS35</f>
        <v>4.5933084756964466E-3</v>
      </c>
      <c r="S40" s="6">
        <f>'Results - raw data ReCiPe (E)'!AT35</f>
        <v>4.6194856112340664E-3</v>
      </c>
      <c r="T40" s="6">
        <f>'Results - raw data ReCiPe (E)'!AU35</f>
        <v>4.6457587544333967E-3</v>
      </c>
      <c r="U40" s="6">
        <f>'Results - raw data ReCiPe (E)'!AV35</f>
        <v>4.6718991416692616E-3</v>
      </c>
      <c r="V40" s="6">
        <f>'Results - raw data ReCiPe (E)'!AW35</f>
        <v>4.6980236857650966E-3</v>
      </c>
      <c r="W40" s="6">
        <f>'Results - raw data ReCiPe (E)'!AX35</f>
        <v>4.5626241736176684E-3</v>
      </c>
      <c r="X40" s="6">
        <f>'Results - raw data ReCiPe (E)'!AY35</f>
        <v>4.4209818698108631E-3</v>
      </c>
      <c r="Y40" s="6">
        <f>'Results - raw data ReCiPe (E)'!AZ35</f>
        <v>4.2788562405541618E-3</v>
      </c>
      <c r="Z40" s="6">
        <f>'Results - raw data ReCiPe (E)'!BA35</f>
        <v>4.1362427944951607E-3</v>
      </c>
    </row>
    <row r="41" spans="1:53" outlineLevel="1" x14ac:dyDescent="0.35">
      <c r="A41" s="23" t="s">
        <v>125</v>
      </c>
      <c r="B41" s="17">
        <f>SUM(B10:B40)</f>
        <v>1.0106892637574898E-2</v>
      </c>
      <c r="C41" s="17">
        <f>SUM(C10:C40)</f>
        <v>2.3604193791124215E-3</v>
      </c>
      <c r="D41" s="17">
        <f>SUM(D10:D40)</f>
        <v>2.354000685646659E-3</v>
      </c>
      <c r="E41" s="17">
        <f>SUM(E10:E40)</f>
        <v>2.3471296674536192E-3</v>
      </c>
      <c r="F41" s="17">
        <f>SUM(F10:F40)</f>
        <v>2.3406566212898113E-3</v>
      </c>
      <c r="G41" s="17">
        <f t="shared" ref="G41:Z41" si="4">SUM(G10:G40)</f>
        <v>2.3341552827020884E-3</v>
      </c>
      <c r="H41" s="17">
        <f t="shared" si="4"/>
        <v>2.5242849498313376E-3</v>
      </c>
      <c r="I41" s="17">
        <f t="shared" si="4"/>
        <v>2.7141103319231145E-3</v>
      </c>
      <c r="J41" s="17">
        <f t="shared" si="4"/>
        <v>2.9037541142361949E-3</v>
      </c>
      <c r="K41" s="17">
        <f t="shared" si="4"/>
        <v>3.0931722930033993E-3</v>
      </c>
      <c r="L41" s="17">
        <f t="shared" si="4"/>
        <v>3.2823178038411649E-3</v>
      </c>
      <c r="M41" s="17">
        <f t="shared" si="4"/>
        <v>3.6433086383151469E-3</v>
      </c>
      <c r="N41" s="17">
        <f t="shared" si="4"/>
        <v>4.0051164781215844E-3</v>
      </c>
      <c r="O41" s="17">
        <f t="shared" si="4"/>
        <v>4.3679784544299579E-3</v>
      </c>
      <c r="P41" s="17">
        <f t="shared" si="4"/>
        <v>4.7314318329527844E-3</v>
      </c>
      <c r="Q41" s="17">
        <f t="shared" si="4"/>
        <v>5.095717196526686E-3</v>
      </c>
      <c r="R41" s="17">
        <f t="shared" si="4"/>
        <v>5.1234646791441978E-3</v>
      </c>
      <c r="S41" s="17">
        <f t="shared" si="4"/>
        <v>5.1511866315481726E-3</v>
      </c>
      <c r="T41" s="17">
        <f t="shared" si="4"/>
        <v>5.1790318670545859E-3</v>
      </c>
      <c r="U41" s="17">
        <f t="shared" si="4"/>
        <v>5.2067043477611145E-3</v>
      </c>
      <c r="V41" s="17">
        <f t="shared" si="4"/>
        <v>5.23435465302125E-3</v>
      </c>
      <c r="W41" s="17">
        <f t="shared" si="4"/>
        <v>5.0880549887462158E-3</v>
      </c>
      <c r="X41" s="17">
        <f t="shared" si="4"/>
        <v>4.9350620436075174E-3</v>
      </c>
      <c r="Y41" s="17">
        <f t="shared" si="4"/>
        <v>4.7815905754998748E-3</v>
      </c>
      <c r="Z41" s="17">
        <f t="shared" si="4"/>
        <v>4.7218839932366731E-3</v>
      </c>
    </row>
    <row r="42" spans="1:53" outlineLevel="1" x14ac:dyDescent="0.35"/>
    <row r="43" spans="1:53" s="18" customFormat="1" ht="21" x14ac:dyDescent="0.5">
      <c r="A43" s="18" t="s">
        <v>73</v>
      </c>
    </row>
    <row r="44" spans="1:53" s="20" customFormat="1" outlineLevel="1" x14ac:dyDescent="0.35">
      <c r="A44" s="19" t="s">
        <v>767</v>
      </c>
    </row>
    <row r="45" spans="1:53" s="16" customFormat="1" outlineLevel="1" x14ac:dyDescent="0.35">
      <c r="A45" s="21"/>
      <c r="AB45" s="15" t="s">
        <v>143</v>
      </c>
      <c r="AC45" s="16">
        <f>0.000000025+0.000000000000682</f>
        <v>2.5000681999999998E-8</v>
      </c>
      <c r="AD45" s="16" t="s">
        <v>916</v>
      </c>
      <c r="AE45" s="15" t="s">
        <v>714</v>
      </c>
    </row>
    <row r="46" spans="1:53" s="16" customFormat="1" outlineLevel="1" x14ac:dyDescent="0.35">
      <c r="A46" s="22" t="s">
        <v>917</v>
      </c>
      <c r="AC46" s="16">
        <f>AC45*1000</f>
        <v>2.5000681999999997E-5</v>
      </c>
      <c r="AD46" s="16" t="s">
        <v>918</v>
      </c>
    </row>
    <row r="47" spans="1:53" s="16" customFormat="1" outlineLevel="1" x14ac:dyDescent="0.35">
      <c r="A47" s="22"/>
      <c r="AB47" s="16" t="s">
        <v>127</v>
      </c>
      <c r="AC47" s="16">
        <v>100</v>
      </c>
      <c r="AD47" s="16" t="s">
        <v>128</v>
      </c>
    </row>
    <row r="48" spans="1:53" s="16" customFormat="1" outlineLevel="1" x14ac:dyDescent="0.35">
      <c r="A48" s="22"/>
      <c r="AB48" s="16" t="s">
        <v>129</v>
      </c>
      <c r="AC48" s="16">
        <v>25</v>
      </c>
      <c r="AD48" s="16" t="s">
        <v>130</v>
      </c>
    </row>
    <row r="49" spans="1:53" outlineLevel="1" x14ac:dyDescent="0.35">
      <c r="B49" s="25">
        <v>2030</v>
      </c>
      <c r="C49" s="25">
        <v>2031</v>
      </c>
      <c r="D49" s="25">
        <v>2032</v>
      </c>
      <c r="E49" s="25">
        <v>2033</v>
      </c>
      <c r="F49" s="25">
        <v>2034</v>
      </c>
      <c r="G49" s="25">
        <v>2035</v>
      </c>
      <c r="H49" s="25">
        <v>2036</v>
      </c>
      <c r="I49" s="25">
        <v>2037</v>
      </c>
      <c r="J49" s="25">
        <v>2038</v>
      </c>
      <c r="K49" s="25">
        <v>2039</v>
      </c>
      <c r="L49" s="25">
        <v>2040</v>
      </c>
      <c r="M49" s="25">
        <v>2041</v>
      </c>
      <c r="N49" s="25">
        <v>2042</v>
      </c>
      <c r="O49" s="25">
        <v>2043</v>
      </c>
      <c r="P49" s="25">
        <v>2044</v>
      </c>
      <c r="Q49" s="25">
        <v>2045</v>
      </c>
      <c r="R49" s="25">
        <v>2046</v>
      </c>
      <c r="S49" s="25">
        <v>2047</v>
      </c>
      <c r="T49" s="25">
        <v>2048</v>
      </c>
      <c r="U49" s="25">
        <v>2049</v>
      </c>
      <c r="V49" s="25">
        <v>2050</v>
      </c>
      <c r="W49" s="25">
        <v>2051</v>
      </c>
      <c r="X49" s="25">
        <v>2052</v>
      </c>
      <c r="Y49" s="25">
        <v>2053</v>
      </c>
      <c r="Z49" s="25">
        <v>2054</v>
      </c>
      <c r="AC49" s="25">
        <v>2030</v>
      </c>
      <c r="AD49" s="25">
        <v>2031</v>
      </c>
      <c r="AE49" s="25">
        <v>2032</v>
      </c>
      <c r="AF49" s="25">
        <v>2033</v>
      </c>
      <c r="AG49" s="25">
        <v>2034</v>
      </c>
      <c r="AH49" s="25">
        <v>2035</v>
      </c>
      <c r="AI49" s="25">
        <v>2036</v>
      </c>
      <c r="AJ49" s="25">
        <v>2037</v>
      </c>
      <c r="AK49" s="25">
        <v>2038</v>
      </c>
      <c r="AL49" s="25">
        <v>2039</v>
      </c>
      <c r="AM49" s="25">
        <v>2040</v>
      </c>
      <c r="AN49" s="25">
        <v>2041</v>
      </c>
      <c r="AO49" s="25">
        <v>2042</v>
      </c>
      <c r="AP49" s="25">
        <v>2043</v>
      </c>
      <c r="AQ49" s="25">
        <v>2044</v>
      </c>
      <c r="AR49" s="25">
        <v>2045</v>
      </c>
      <c r="AS49" s="25">
        <v>2046</v>
      </c>
      <c r="AT49" s="25">
        <v>2047</v>
      </c>
      <c r="AU49" s="25">
        <v>2048</v>
      </c>
      <c r="AV49" s="25">
        <v>2049</v>
      </c>
      <c r="AW49" s="25">
        <v>2050</v>
      </c>
      <c r="AX49" s="25">
        <v>2051</v>
      </c>
      <c r="AY49" s="25">
        <v>2052</v>
      </c>
      <c r="AZ49" s="25">
        <v>2053</v>
      </c>
      <c r="BA49" s="25">
        <v>2054</v>
      </c>
    </row>
    <row r="50" spans="1:53" outlineLevel="1" x14ac:dyDescent="0.35">
      <c r="A50" s="6" t="s">
        <v>21</v>
      </c>
      <c r="B50" s="6">
        <f>'Results - raw data ReCiPe (E)'!AC41</f>
        <v>9.7008535980434044E-5</v>
      </c>
      <c r="AB50" s="6" t="s">
        <v>117</v>
      </c>
      <c r="AC50" s="6">
        <f>SUM(B50:B61)+B63</f>
        <v>7.3912740668568159E-3</v>
      </c>
    </row>
    <row r="51" spans="1:53" outlineLevel="1" x14ac:dyDescent="0.35">
      <c r="A51" s="6" t="s">
        <v>23</v>
      </c>
      <c r="B51" s="6">
        <f>'Results - raw data ReCiPe (E)'!AC42</f>
        <v>1.853860983464347E-4</v>
      </c>
      <c r="AB51" s="6" t="s">
        <v>118</v>
      </c>
      <c r="AC51" s="6">
        <f>B62</f>
        <v>2.1252840683002016E-4</v>
      </c>
    </row>
    <row r="52" spans="1:53" outlineLevel="1" x14ac:dyDescent="0.35">
      <c r="A52" s="6" t="s">
        <v>26</v>
      </c>
      <c r="B52" s="6">
        <f>'Results - raw data ReCiPe (E)'!AC43</f>
        <v>3.8975441725594911E-4</v>
      </c>
      <c r="AB52" s="6" t="s">
        <v>119</v>
      </c>
      <c r="BA52" s="6">
        <f>SUM(Z64:Z75)</f>
        <v>8.8841262894916216E-5</v>
      </c>
    </row>
    <row r="53" spans="1:53" outlineLevel="1" x14ac:dyDescent="0.35">
      <c r="A53" s="6" t="s">
        <v>28</v>
      </c>
      <c r="B53" s="6">
        <f>'Results - raw data ReCiPe (E)'!AC44</f>
        <v>1.725424049662343E-4</v>
      </c>
      <c r="AB53" s="6" t="s">
        <v>120</v>
      </c>
      <c r="BA53" s="6">
        <f>Z76</f>
        <v>1.6394591401967032E-6</v>
      </c>
    </row>
    <row r="54" spans="1:53" outlineLevel="1" x14ac:dyDescent="0.35">
      <c r="A54" s="6" t="s">
        <v>29</v>
      </c>
      <c r="B54" s="6">
        <f>'Results - raw data ReCiPe (E)'!AC45</f>
        <v>3.1064510616099662E-4</v>
      </c>
      <c r="AB54" s="6" t="s">
        <v>121</v>
      </c>
      <c r="AC54" s="6">
        <f>B77</f>
        <v>9.4301611037095288E-5</v>
      </c>
      <c r="AF54" s="6">
        <f>E77</f>
        <v>9.2886477686598764E-5</v>
      </c>
      <c r="AI54" s="6">
        <f>H77</f>
        <v>9.1489785996520763E-5</v>
      </c>
      <c r="AL54" s="6">
        <f>K77</f>
        <v>9.0033315985642623E-5</v>
      </c>
      <c r="AO54" s="6">
        <f>N77</f>
        <v>8.8459173995158276E-5</v>
      </c>
      <c r="AR54" s="6">
        <f>Q77</f>
        <v>8.68753434169571E-5</v>
      </c>
      <c r="AU54" s="6">
        <f>T77</f>
        <v>8.5817679992132394E-5</v>
      </c>
      <c r="AX54" s="6">
        <f>W77</f>
        <v>8.506043847028737E-5</v>
      </c>
      <c r="BA54" s="6">
        <f>Z77</f>
        <v>8.4860138497287434E-5</v>
      </c>
    </row>
    <row r="55" spans="1:53" outlineLevel="1" x14ac:dyDescent="0.35">
      <c r="A55" s="6" t="s">
        <v>31</v>
      </c>
      <c r="B55" s="6">
        <f>'Results - raw data ReCiPe (E)'!AC46</f>
        <v>2.3411381129342671E-4</v>
      </c>
      <c r="AB55" s="6" t="s">
        <v>122</v>
      </c>
      <c r="AC55" s="6">
        <f>B80+B79</f>
        <v>1.6388449095534811E-3</v>
      </c>
      <c r="AD55" s="6">
        <f t="shared" ref="AD55:BA55" si="5">C80+C79</f>
        <v>1.5114389926514421E-3</v>
      </c>
      <c r="AE55" s="6">
        <f t="shared" si="5"/>
        <v>1.3839617570356093E-3</v>
      </c>
      <c r="AF55" s="6">
        <f t="shared" si="5"/>
        <v>1.2560914504172083E-3</v>
      </c>
      <c r="AG55" s="6">
        <f t="shared" si="5"/>
        <v>1.1284522245580111E-3</v>
      </c>
      <c r="AH55" s="6">
        <f t="shared" si="5"/>
        <v>1.0007230863636181E-3</v>
      </c>
      <c r="AI55" s="6">
        <f t="shared" si="5"/>
        <v>9.3671952493029555E-4</v>
      </c>
      <c r="AJ55" s="6">
        <f t="shared" si="5"/>
        <v>8.7279060352807736E-4</v>
      </c>
      <c r="AK55" s="6">
        <f t="shared" si="5"/>
        <v>8.0890569121409329E-4</v>
      </c>
      <c r="AL55" s="6">
        <f t="shared" si="5"/>
        <v>7.4499681046711697E-4</v>
      </c>
      <c r="AM55" s="6">
        <f t="shared" si="5"/>
        <v>6.8106531479763892E-4</v>
      </c>
      <c r="AN55" s="6">
        <f t="shared" si="5"/>
        <v>6.4590060879210671E-4</v>
      </c>
      <c r="AO55" s="6">
        <f t="shared" si="5"/>
        <v>6.1054554571127553E-4</v>
      </c>
      <c r="AP55" s="6">
        <f t="shared" si="5"/>
        <v>5.7517415722291103E-4</v>
      </c>
      <c r="AQ55" s="6">
        <f t="shared" si="5"/>
        <v>5.3943675283083328E-4</v>
      </c>
      <c r="AR55" s="6">
        <f t="shared" si="5"/>
        <v>5.0351334261852852E-4</v>
      </c>
      <c r="AS55" s="6">
        <f t="shared" si="5"/>
        <v>4.9216162924598406E-4</v>
      </c>
      <c r="AT55" s="6">
        <f t="shared" si="5"/>
        <v>4.8078361562913478E-4</v>
      </c>
      <c r="AU55" s="6">
        <f t="shared" si="5"/>
        <v>4.695340126327621E-4</v>
      </c>
      <c r="AV55" s="6">
        <f t="shared" si="5"/>
        <v>4.5810710926448008E-4</v>
      </c>
      <c r="AW55" s="6">
        <f t="shared" si="5"/>
        <v>4.4666011819133929E-4</v>
      </c>
      <c r="AX55" s="6">
        <f t="shared" si="5"/>
        <v>4.439478940423447E-4</v>
      </c>
      <c r="AY55" s="6">
        <f t="shared" si="5"/>
        <v>4.4043203840609557E-4</v>
      </c>
      <c r="AZ55" s="6">
        <f t="shared" si="5"/>
        <v>4.3690973678293178E-4</v>
      </c>
      <c r="BA55" s="6">
        <f t="shared" si="5"/>
        <v>4.3337871379180246E-4</v>
      </c>
    </row>
    <row r="56" spans="1:53" outlineLevel="1" x14ac:dyDescent="0.35">
      <c r="A56" s="6" t="s">
        <v>34</v>
      </c>
      <c r="B56" s="6">
        <f>'Results - raw data ReCiPe (E)'!AC47</f>
        <v>2.076012401221968E-4</v>
      </c>
      <c r="AB56" s="6" t="s">
        <v>123</v>
      </c>
      <c r="AC56" s="6">
        <f t="shared" ref="AC56:BA56" si="6">B78</f>
        <v>2.120021097697083E-4</v>
      </c>
      <c r="AD56" s="6">
        <f t="shared" si="6"/>
        <v>2.0219329214032439E-4</v>
      </c>
      <c r="AE56" s="6">
        <f t="shared" si="6"/>
        <v>1.924236728188017E-4</v>
      </c>
      <c r="AF56" s="6">
        <f t="shared" si="6"/>
        <v>1.8266256716692499E-4</v>
      </c>
      <c r="AG56" s="6">
        <f t="shared" si="6"/>
        <v>1.729698184006383E-4</v>
      </c>
      <c r="AH56" s="6">
        <f t="shared" si="6"/>
        <v>1.6331480338540569E-4</v>
      </c>
      <c r="AI56" s="6">
        <f t="shared" si="6"/>
        <v>1.5844085244589779E-4</v>
      </c>
      <c r="AJ56" s="6">
        <f t="shared" si="6"/>
        <v>1.535826360101849E-4</v>
      </c>
      <c r="AK56" s="6">
        <f t="shared" si="6"/>
        <v>1.4873828006524911E-4</v>
      </c>
      <c r="AL56" s="6">
        <f t="shared" si="6"/>
        <v>1.4390124218459661E-4</v>
      </c>
      <c r="AM56" s="6">
        <f t="shared" si="6"/>
        <v>1.390721664601473E-4</v>
      </c>
      <c r="AN56" s="6">
        <f t="shared" si="6"/>
        <v>1.3634472983147989E-4</v>
      </c>
      <c r="AO56" s="6">
        <f t="shared" si="6"/>
        <v>1.3360425053166489E-4</v>
      </c>
      <c r="AP56" s="6">
        <f t="shared" si="6"/>
        <v>1.3086525381570782E-4</v>
      </c>
      <c r="AQ56" s="6">
        <f t="shared" si="6"/>
        <v>1.2809837865377949E-4</v>
      </c>
      <c r="AR56" s="6">
        <f t="shared" si="6"/>
        <v>1.2531858742970202E-4</v>
      </c>
      <c r="AS56" s="6">
        <f t="shared" si="6"/>
        <v>1.2427361778355651E-4</v>
      </c>
      <c r="AT56" s="6">
        <f t="shared" si="6"/>
        <v>1.232258982316461E-4</v>
      </c>
      <c r="AU56" s="6">
        <f t="shared" si="6"/>
        <v>1.2218822595044411E-4</v>
      </c>
      <c r="AV56" s="6">
        <f t="shared" si="6"/>
        <v>1.211350362366374E-4</v>
      </c>
      <c r="AW56" s="6">
        <f t="shared" si="6"/>
        <v>1.2007929971726739E-4</v>
      </c>
      <c r="AX56" s="6">
        <f t="shared" si="6"/>
        <v>1.199677485319364E-4</v>
      </c>
      <c r="AY56" s="6">
        <f t="shared" si="6"/>
        <v>1.1978950932135159E-4</v>
      </c>
      <c r="AZ56" s="6">
        <f t="shared" si="6"/>
        <v>1.1961159270020919E-4</v>
      </c>
      <c r="BA56" s="6">
        <f t="shared" si="6"/>
        <v>1.1943374966630739E-4</v>
      </c>
    </row>
    <row r="57" spans="1:53" outlineLevel="1" x14ac:dyDescent="0.35">
      <c r="A57" s="6" t="s">
        <v>36</v>
      </c>
      <c r="B57" s="6">
        <f>'Results - raw data ReCiPe (E)'!AC48</f>
        <v>1.8505843425287521E-4</v>
      </c>
      <c r="AB57" s="6" t="s">
        <v>124</v>
      </c>
      <c r="AC57" s="6">
        <f>-$AC$7*$AC$6</f>
        <v>-2.5000681999999995E-3</v>
      </c>
      <c r="AD57" s="6">
        <f t="shared" ref="AD57:BA57" si="7">-$AC$7*$AC$6</f>
        <v>-2.5000681999999995E-3</v>
      </c>
      <c r="AE57" s="6">
        <f t="shared" si="7"/>
        <v>-2.5000681999999995E-3</v>
      </c>
      <c r="AF57" s="6">
        <f t="shared" si="7"/>
        <v>-2.5000681999999995E-3</v>
      </c>
      <c r="AG57" s="6">
        <f t="shared" si="7"/>
        <v>-2.5000681999999995E-3</v>
      </c>
      <c r="AH57" s="6">
        <f t="shared" si="7"/>
        <v>-2.5000681999999995E-3</v>
      </c>
      <c r="AI57" s="6">
        <f t="shared" si="7"/>
        <v>-2.5000681999999995E-3</v>
      </c>
      <c r="AJ57" s="6">
        <f t="shared" si="7"/>
        <v>-2.5000681999999995E-3</v>
      </c>
      <c r="AK57" s="6">
        <f t="shared" si="7"/>
        <v>-2.5000681999999995E-3</v>
      </c>
      <c r="AL57" s="6">
        <f t="shared" si="7"/>
        <v>-2.5000681999999995E-3</v>
      </c>
      <c r="AM57" s="6">
        <f t="shared" si="7"/>
        <v>-2.5000681999999995E-3</v>
      </c>
      <c r="AN57" s="6">
        <f t="shared" si="7"/>
        <v>-2.5000681999999995E-3</v>
      </c>
      <c r="AO57" s="6">
        <f t="shared" si="7"/>
        <v>-2.5000681999999995E-3</v>
      </c>
      <c r="AP57" s="6">
        <f t="shared" si="7"/>
        <v>-2.5000681999999995E-3</v>
      </c>
      <c r="AQ57" s="6">
        <f t="shared" si="7"/>
        <v>-2.5000681999999995E-3</v>
      </c>
      <c r="AR57" s="6">
        <f t="shared" si="7"/>
        <v>-2.5000681999999995E-3</v>
      </c>
      <c r="AS57" s="6">
        <f t="shared" si="7"/>
        <v>-2.5000681999999995E-3</v>
      </c>
      <c r="AT57" s="6">
        <f t="shared" si="7"/>
        <v>-2.5000681999999995E-3</v>
      </c>
      <c r="AU57" s="6">
        <f t="shared" si="7"/>
        <v>-2.5000681999999995E-3</v>
      </c>
      <c r="AV57" s="6">
        <f t="shared" si="7"/>
        <v>-2.5000681999999995E-3</v>
      </c>
      <c r="AW57" s="6">
        <f t="shared" si="7"/>
        <v>-2.5000681999999995E-3</v>
      </c>
      <c r="AX57" s="6">
        <f t="shared" si="7"/>
        <v>-2.5000681999999995E-3</v>
      </c>
      <c r="AY57" s="6">
        <f t="shared" si="7"/>
        <v>-2.5000681999999995E-3</v>
      </c>
      <c r="AZ57" s="6">
        <f t="shared" si="7"/>
        <v>-2.5000681999999995E-3</v>
      </c>
      <c r="BA57" s="6">
        <f t="shared" si="7"/>
        <v>-2.5000681999999995E-3</v>
      </c>
    </row>
    <row r="58" spans="1:53" outlineLevel="1" x14ac:dyDescent="0.35">
      <c r="A58" s="6" t="s">
        <v>38</v>
      </c>
      <c r="B58" s="6">
        <f>'Results - raw data ReCiPe (E)'!AC49</f>
        <v>3.8929690933302958E-4</v>
      </c>
      <c r="AB58" s="23" t="s">
        <v>125</v>
      </c>
      <c r="AC58" s="17">
        <f t="shared" ref="AC58:BA58" si="8">SUM(AC50:AC57)</f>
        <v>7.0488829040471221E-3</v>
      </c>
      <c r="AD58" s="17">
        <f t="shared" si="8"/>
        <v>-7.8643591520823303E-4</v>
      </c>
      <c r="AE58" s="17">
        <f t="shared" si="8"/>
        <v>-9.2368277014558847E-4</v>
      </c>
      <c r="AF58" s="17">
        <f t="shared" si="8"/>
        <v>-9.6842770472926735E-4</v>
      </c>
      <c r="AG58" s="17">
        <f t="shared" si="8"/>
        <v>-1.19864615704135E-3</v>
      </c>
      <c r="AH58" s="17">
        <f t="shared" si="8"/>
        <v>-1.3360303102509757E-3</v>
      </c>
      <c r="AI58" s="17">
        <f t="shared" si="8"/>
        <v>-1.3134180366272852E-3</v>
      </c>
      <c r="AJ58" s="17">
        <f t="shared" si="8"/>
        <v>-1.4736949604617373E-3</v>
      </c>
      <c r="AK58" s="17">
        <f t="shared" si="8"/>
        <v>-1.5424242287206571E-3</v>
      </c>
      <c r="AL58" s="17">
        <f t="shared" si="8"/>
        <v>-1.5211368313626432E-3</v>
      </c>
      <c r="AM58" s="17">
        <f t="shared" si="8"/>
        <v>-1.6799307187422134E-3</v>
      </c>
      <c r="AN58" s="17">
        <f t="shared" si="8"/>
        <v>-1.7178228613764128E-3</v>
      </c>
      <c r="AO58" s="17">
        <f t="shared" si="8"/>
        <v>-1.6674592297619007E-3</v>
      </c>
      <c r="AP58" s="17">
        <f t="shared" si="8"/>
        <v>-1.7940287889613806E-3</v>
      </c>
      <c r="AQ58" s="17">
        <f t="shared" si="8"/>
        <v>-1.8325330685153866E-3</v>
      </c>
      <c r="AR58" s="17">
        <f t="shared" si="8"/>
        <v>-1.7843609265348118E-3</v>
      </c>
      <c r="AS58" s="17">
        <f t="shared" si="8"/>
        <v>-1.8836329529704589E-3</v>
      </c>
      <c r="AT58" s="17">
        <f t="shared" si="8"/>
        <v>-1.8960586861392185E-3</v>
      </c>
      <c r="AU58" s="17">
        <f t="shared" si="8"/>
        <v>-1.8225282814246608E-3</v>
      </c>
      <c r="AV58" s="17">
        <f t="shared" si="8"/>
        <v>-1.920826054498882E-3</v>
      </c>
      <c r="AW58" s="17">
        <f t="shared" si="8"/>
        <v>-1.9333287820913927E-3</v>
      </c>
      <c r="AX58" s="17">
        <f t="shared" si="8"/>
        <v>-1.8510921189554309E-3</v>
      </c>
      <c r="AY58" s="17">
        <f t="shared" si="8"/>
        <v>-1.9398466522725522E-3</v>
      </c>
      <c r="AZ58" s="17">
        <f t="shared" si="8"/>
        <v>-1.9435468705168585E-3</v>
      </c>
      <c r="BA58" s="17">
        <f t="shared" si="8"/>
        <v>-1.7719148760094892E-3</v>
      </c>
    </row>
    <row r="59" spans="1:53" outlineLevel="1" x14ac:dyDescent="0.35">
      <c r="A59" s="6" t="s">
        <v>39</v>
      </c>
      <c r="B59" s="6">
        <f>'Results - raw data ReCiPe (E)'!AC50</f>
        <v>4.7872271562175396E-3</v>
      </c>
    </row>
    <row r="60" spans="1:53" outlineLevel="1" x14ac:dyDescent="0.35">
      <c r="A60" s="6" t="s">
        <v>41</v>
      </c>
      <c r="B60" s="6">
        <f>'Results - raw data ReCiPe (E)'!AC51</f>
        <v>4.9195167421687214E-6</v>
      </c>
    </row>
    <row r="61" spans="1:53" outlineLevel="1" x14ac:dyDescent="0.35">
      <c r="A61" s="6" t="s">
        <v>43</v>
      </c>
      <c r="B61" s="6">
        <f>'Results - raw data ReCiPe (E)'!AC52</f>
        <v>2.8938947844086161E-5</v>
      </c>
      <c r="AB61" s="187"/>
      <c r="AC61" s="187"/>
      <c r="AD61" s="187"/>
      <c r="AE61" s="187"/>
      <c r="AF61" s="187"/>
      <c r="AG61" s="187"/>
      <c r="AH61" s="187"/>
      <c r="AI61" s="187"/>
      <c r="AJ61" s="187"/>
      <c r="AK61" s="187"/>
      <c r="AL61" s="187"/>
      <c r="AM61" s="187"/>
      <c r="AN61" s="187"/>
      <c r="AO61" s="187"/>
      <c r="AP61" s="187"/>
      <c r="AQ61" s="187"/>
      <c r="AR61" s="187"/>
      <c r="AS61" s="187"/>
      <c r="AT61" s="187"/>
      <c r="AU61" s="187"/>
      <c r="AV61" s="187"/>
      <c r="AW61" s="187"/>
      <c r="AX61" s="187"/>
      <c r="AY61" s="187"/>
      <c r="AZ61" s="187"/>
      <c r="BA61" s="187"/>
    </row>
    <row r="62" spans="1:53" outlineLevel="1" x14ac:dyDescent="0.35">
      <c r="A62" s="6" t="s">
        <v>44</v>
      </c>
      <c r="B62" s="6">
        <f>'Results - raw data ReCiPe (E)'!AC53*AC47*AC48</f>
        <v>2.1252840683002016E-4</v>
      </c>
      <c r="AB62" s="187"/>
      <c r="AC62" s="187"/>
      <c r="AD62" s="187"/>
      <c r="AE62" s="187"/>
      <c r="AF62" s="187"/>
      <c r="AG62" s="187"/>
      <c r="AH62" s="187"/>
      <c r="AI62" s="187"/>
      <c r="AJ62" s="187"/>
      <c r="AK62" s="187"/>
      <c r="AL62" s="187"/>
      <c r="AM62" s="187"/>
      <c r="AN62" s="187"/>
      <c r="AO62" s="187"/>
      <c r="AP62" s="187"/>
      <c r="AQ62" s="187"/>
      <c r="AR62" s="187"/>
      <c r="AS62" s="187"/>
      <c r="AT62" s="187"/>
      <c r="AU62" s="187"/>
      <c r="AV62" s="187"/>
      <c r="AW62" s="187"/>
      <c r="AX62" s="187"/>
      <c r="AY62" s="187"/>
      <c r="AZ62" s="187"/>
      <c r="BA62" s="187"/>
    </row>
    <row r="63" spans="1:53" outlineLevel="1" x14ac:dyDescent="0.35">
      <c r="A63" s="6" t="s">
        <v>757</v>
      </c>
      <c r="B63" s="6">
        <f>'Results - raw data ReCiPe (E)'!AC54*AC48*AC47</f>
        <v>3.9878148834144396E-4</v>
      </c>
      <c r="AB63" s="187"/>
      <c r="AC63" s="187"/>
      <c r="AD63" s="187"/>
      <c r="AE63" s="187"/>
      <c r="AF63" s="187"/>
      <c r="AG63" s="187"/>
      <c r="AH63" s="187"/>
      <c r="AI63" s="187"/>
      <c r="AJ63" s="187"/>
      <c r="AK63" s="187"/>
      <c r="AL63" s="187"/>
      <c r="AM63" s="187"/>
      <c r="AN63" s="187"/>
      <c r="AO63" s="187"/>
      <c r="AP63" s="187"/>
      <c r="AQ63" s="187"/>
      <c r="AR63" s="187"/>
      <c r="AS63" s="187"/>
      <c r="AT63" s="187"/>
      <c r="AU63" s="187"/>
      <c r="AV63" s="187"/>
      <c r="AW63" s="187"/>
      <c r="AX63" s="187"/>
      <c r="AY63" s="187"/>
      <c r="AZ63" s="187"/>
      <c r="BA63" s="187"/>
    </row>
    <row r="64" spans="1:53" outlineLevel="1" x14ac:dyDescent="0.35">
      <c r="A64" s="6" t="s">
        <v>22</v>
      </c>
      <c r="Z64" s="6">
        <f>'Results - raw data ReCiPe (E)'!BA55</f>
        <v>1.551760227943872E-6</v>
      </c>
      <c r="AB64" s="187"/>
      <c r="AC64" s="187"/>
      <c r="AD64" s="187"/>
      <c r="AE64" s="187"/>
      <c r="AF64" s="187"/>
      <c r="AG64" s="187"/>
      <c r="AH64" s="187"/>
      <c r="AI64" s="187"/>
      <c r="AJ64" s="187"/>
      <c r="AK64" s="187"/>
      <c r="AL64" s="187"/>
      <c r="AM64" s="187"/>
      <c r="AN64" s="187"/>
      <c r="AO64" s="187"/>
      <c r="AP64" s="187"/>
      <c r="AQ64" s="187"/>
      <c r="AR64" s="187"/>
      <c r="AS64" s="187"/>
      <c r="AT64" s="187"/>
      <c r="AU64" s="187"/>
      <c r="AV64" s="187"/>
      <c r="AW64" s="187"/>
      <c r="AX64" s="187"/>
      <c r="AY64" s="187"/>
      <c r="AZ64" s="187"/>
      <c r="BA64" s="187"/>
    </row>
    <row r="65" spans="1:53" outlineLevel="1" x14ac:dyDescent="0.35">
      <c r="A65" s="6" t="s">
        <v>24</v>
      </c>
      <c r="Z65" s="6">
        <f>'Results - raw data ReCiPe (E)'!BA56</f>
        <v>9.4162511551661784E-7</v>
      </c>
      <c r="AB65" s="187"/>
      <c r="AC65" s="187"/>
      <c r="AD65" s="187"/>
      <c r="AE65" s="187"/>
      <c r="AF65" s="187"/>
      <c r="AG65" s="187"/>
      <c r="AH65" s="187"/>
      <c r="AI65" s="187"/>
      <c r="AJ65" s="187"/>
      <c r="AK65" s="187"/>
      <c r="AL65" s="187"/>
      <c r="AM65" s="187"/>
      <c r="AN65" s="187"/>
      <c r="AO65" s="187"/>
      <c r="AP65" s="187"/>
      <c r="AQ65" s="187"/>
      <c r="AR65" s="187"/>
      <c r="AS65" s="187"/>
      <c r="AT65" s="187"/>
      <c r="AU65" s="187"/>
      <c r="AV65" s="187"/>
      <c r="AW65" s="187"/>
      <c r="AX65" s="187"/>
      <c r="AY65" s="187"/>
      <c r="AZ65" s="187"/>
      <c r="BA65" s="187"/>
    </row>
    <row r="66" spans="1:53" outlineLevel="1" x14ac:dyDescent="0.35">
      <c r="A66" s="6" t="s">
        <v>25</v>
      </c>
      <c r="Z66" s="6">
        <f>'Results - raw data ReCiPe (E)'!BA57</f>
        <v>3.0456788673111499E-6</v>
      </c>
      <c r="AB66" s="187"/>
      <c r="AC66" s="187"/>
      <c r="AD66" s="187"/>
      <c r="AE66" s="187"/>
      <c r="AF66" s="187"/>
      <c r="AG66" s="187"/>
      <c r="AH66" s="187"/>
      <c r="AI66" s="187"/>
      <c r="AJ66" s="187"/>
      <c r="AK66" s="187"/>
      <c r="AL66" s="187"/>
      <c r="AM66" s="187"/>
      <c r="AN66" s="187"/>
      <c r="AO66" s="187"/>
      <c r="AP66" s="187"/>
      <c r="AQ66" s="187"/>
      <c r="AR66" s="187"/>
      <c r="AS66" s="187"/>
      <c r="AT66" s="187"/>
      <c r="AU66" s="187"/>
      <c r="AV66" s="187"/>
      <c r="AW66" s="187"/>
      <c r="AX66" s="187"/>
      <c r="AY66" s="187"/>
      <c r="AZ66" s="187"/>
      <c r="BA66" s="187"/>
    </row>
    <row r="67" spans="1:53" outlineLevel="1" x14ac:dyDescent="0.35">
      <c r="A67" s="6" t="s">
        <v>27</v>
      </c>
      <c r="Z67" s="6">
        <f>'Results - raw data ReCiPe (E)'!BA58</f>
        <v>9.4580487214481723E-7</v>
      </c>
      <c r="AB67" s="187"/>
      <c r="AC67" s="187"/>
      <c r="AD67" s="187"/>
      <c r="AE67" s="187"/>
      <c r="AF67" s="187"/>
      <c r="AG67" s="187"/>
      <c r="AH67" s="187"/>
      <c r="AI67" s="187"/>
      <c r="AJ67" s="187"/>
      <c r="AK67" s="187"/>
      <c r="AL67" s="187"/>
      <c r="AM67" s="187"/>
      <c r="AN67" s="187"/>
      <c r="AO67" s="187"/>
      <c r="AP67" s="187"/>
      <c r="AQ67" s="187"/>
      <c r="AR67" s="187"/>
      <c r="AS67" s="187"/>
      <c r="AT67" s="187"/>
      <c r="AU67" s="187"/>
      <c r="AV67" s="187"/>
      <c r="AW67" s="187"/>
      <c r="AX67" s="187"/>
      <c r="AY67" s="187"/>
      <c r="AZ67" s="187"/>
      <c r="BA67" s="187"/>
    </row>
    <row r="68" spans="1:53" outlineLevel="1" x14ac:dyDescent="0.35">
      <c r="A68" s="6" t="s">
        <v>30</v>
      </c>
      <c r="Z68" s="6">
        <f>'Results - raw data ReCiPe (E)'!BA59</f>
        <v>2.265672978316104E-6</v>
      </c>
      <c r="AB68" s="187"/>
      <c r="AC68" s="187"/>
      <c r="AD68" s="187"/>
      <c r="AE68" s="187"/>
      <c r="AF68" s="187"/>
      <c r="AG68" s="187"/>
      <c r="AH68" s="187"/>
      <c r="AI68" s="187"/>
      <c r="AJ68" s="187"/>
      <c r="AK68" s="187"/>
      <c r="AL68" s="187"/>
      <c r="AM68" s="187"/>
      <c r="AN68" s="187"/>
      <c r="AO68" s="187"/>
      <c r="AP68" s="187"/>
      <c r="AQ68" s="187"/>
      <c r="AR68" s="187"/>
      <c r="AS68" s="187"/>
      <c r="AT68" s="187"/>
      <c r="AU68" s="187"/>
      <c r="AV68" s="187"/>
      <c r="AW68" s="187"/>
      <c r="AX68" s="187"/>
      <c r="AY68" s="187"/>
      <c r="AZ68" s="187"/>
      <c r="BA68" s="187"/>
    </row>
    <row r="69" spans="1:53" outlineLevel="1" x14ac:dyDescent="0.35">
      <c r="A69" s="6" t="s">
        <v>32</v>
      </c>
      <c r="Z69" s="6">
        <f>'Results - raw data ReCiPe (E)'!BA60</f>
        <v>3.9207019239858951E-7</v>
      </c>
      <c r="AB69" s="187"/>
      <c r="AC69" s="187"/>
      <c r="AD69" s="187"/>
      <c r="AE69" s="187"/>
      <c r="AF69" s="187"/>
      <c r="AG69" s="187"/>
      <c r="AH69" s="187"/>
      <c r="AI69" s="187"/>
      <c r="AJ69" s="187"/>
      <c r="AK69" s="187"/>
      <c r="AL69" s="187"/>
      <c r="AM69" s="187"/>
      <c r="AN69" s="187"/>
      <c r="AO69" s="187"/>
      <c r="AP69" s="187"/>
      <c r="AQ69" s="187"/>
      <c r="AR69" s="187"/>
      <c r="AS69" s="187"/>
      <c r="AT69" s="187"/>
      <c r="AU69" s="187"/>
      <c r="AV69" s="187"/>
      <c r="AW69" s="187"/>
      <c r="AX69" s="187"/>
      <c r="AY69" s="187"/>
      <c r="AZ69" s="187"/>
      <c r="BA69" s="187"/>
    </row>
    <row r="70" spans="1:53" outlineLevel="1" x14ac:dyDescent="0.35">
      <c r="A70" s="6" t="s">
        <v>33</v>
      </c>
      <c r="Z70" s="6">
        <f>'Results - raw data ReCiPe (E)'!BA61</f>
        <v>7.3709305101567413E-7</v>
      </c>
      <c r="AB70" s="187"/>
      <c r="AC70" s="187"/>
      <c r="AD70" s="187"/>
      <c r="AE70" s="187"/>
      <c r="AF70" s="187"/>
      <c r="AG70" s="187"/>
      <c r="AH70" s="187"/>
      <c r="AI70" s="187"/>
      <c r="AJ70" s="187"/>
      <c r="AK70" s="187"/>
      <c r="AL70" s="187"/>
      <c r="AM70" s="187"/>
      <c r="AN70" s="187"/>
      <c r="AO70" s="187"/>
      <c r="AP70" s="187"/>
      <c r="AQ70" s="187"/>
      <c r="AR70" s="187"/>
      <c r="AS70" s="187"/>
      <c r="AT70" s="187"/>
      <c r="AU70" s="187"/>
      <c r="AV70" s="187"/>
      <c r="AW70" s="187"/>
      <c r="AX70" s="187"/>
      <c r="AY70" s="187"/>
      <c r="AZ70" s="187"/>
      <c r="BA70" s="187"/>
    </row>
    <row r="71" spans="1:53" outlineLevel="1" x14ac:dyDescent="0.35">
      <c r="A71" s="6" t="s">
        <v>35</v>
      </c>
      <c r="Z71" s="6">
        <f>'Results - raw data ReCiPe (E)'!BA62</f>
        <v>1.474186102031348E-6</v>
      </c>
      <c r="AB71" s="187"/>
      <c r="AC71" s="187"/>
      <c r="AD71" s="187"/>
      <c r="AE71" s="187"/>
      <c r="AF71" s="187"/>
      <c r="AG71" s="187"/>
      <c r="AH71" s="187"/>
      <c r="AI71" s="187"/>
      <c r="AJ71" s="187"/>
      <c r="AK71" s="187"/>
      <c r="AL71" s="187"/>
      <c r="AM71" s="187"/>
      <c r="AN71" s="187"/>
      <c r="AO71" s="187"/>
      <c r="AP71" s="187"/>
      <c r="AQ71" s="187"/>
      <c r="AR71" s="187"/>
      <c r="AS71" s="187"/>
      <c r="AT71" s="187"/>
      <c r="AU71" s="187"/>
      <c r="AV71" s="187"/>
      <c r="AW71" s="187"/>
      <c r="AX71" s="187"/>
      <c r="AY71" s="187"/>
      <c r="AZ71" s="187"/>
      <c r="BA71" s="187"/>
    </row>
    <row r="72" spans="1:53" outlineLevel="1" x14ac:dyDescent="0.35">
      <c r="A72" s="6" t="s">
        <v>37</v>
      </c>
      <c r="Z72" s="6">
        <f>'Results - raw data ReCiPe (E)'!BA63</f>
        <v>2.4134783611111282E-6</v>
      </c>
      <c r="AB72" s="187"/>
      <c r="AC72" s="187"/>
      <c r="AD72" s="187"/>
      <c r="AE72" s="187"/>
      <c r="AF72" s="187"/>
      <c r="AG72" s="187"/>
      <c r="AH72" s="187"/>
      <c r="AI72" s="187"/>
      <c r="AJ72" s="187"/>
      <c r="AK72" s="187"/>
      <c r="AL72" s="187"/>
      <c r="AM72" s="187"/>
      <c r="AN72" s="187"/>
      <c r="AO72" s="187"/>
      <c r="AP72" s="187"/>
      <c r="AQ72" s="187"/>
      <c r="AR72" s="187"/>
      <c r="AS72" s="187"/>
      <c r="AT72" s="187"/>
      <c r="AU72" s="187"/>
      <c r="AV72" s="187"/>
      <c r="AW72" s="187"/>
      <c r="AX72" s="187"/>
      <c r="AY72" s="187"/>
      <c r="AZ72" s="187"/>
      <c r="BA72" s="187"/>
    </row>
    <row r="73" spans="1:53" outlineLevel="1" x14ac:dyDescent="0.35">
      <c r="A73" s="6" t="s">
        <v>40</v>
      </c>
      <c r="Z73" s="6">
        <f>'Results - raw data ReCiPe (E)'!BA64</f>
        <v>6.1202664613666457E-5</v>
      </c>
    </row>
    <row r="74" spans="1:53" outlineLevel="1" x14ac:dyDescent="0.35">
      <c r="A74" s="6" t="s">
        <v>42</v>
      </c>
      <c r="Z74" s="6">
        <f>'Results - raw data ReCiPe (E)'!BA65</f>
        <v>1.49005299861832E-6</v>
      </c>
    </row>
    <row r="75" spans="1:53" outlineLevel="1" x14ac:dyDescent="0.35">
      <c r="A75" s="6" t="s">
        <v>115</v>
      </c>
      <c r="Z75" s="6">
        <f>'Results - raw data ReCiPe (E)'!BA66</f>
        <v>1.238117551484213E-5</v>
      </c>
    </row>
    <row r="76" spans="1:53" outlineLevel="1" x14ac:dyDescent="0.35">
      <c r="A76" s="6" t="s">
        <v>45</v>
      </c>
      <c r="Z76" s="6">
        <f>'Results - raw data ReCiPe (E)'!BA67*AC47*AC48</f>
        <v>1.6394591401967032E-6</v>
      </c>
    </row>
    <row r="77" spans="1:53" outlineLevel="1" x14ac:dyDescent="0.35">
      <c r="A77" s="6" t="s">
        <v>116</v>
      </c>
      <c r="B77" s="6">
        <f>'Results - raw data ReCiPe (E)'!AC68</f>
        <v>9.4301611037095288E-5</v>
      </c>
      <c r="C77" s="6">
        <f>'Results - raw data ReCiPe (E)'!AD68</f>
        <v>9.3864145744962737E-5</v>
      </c>
      <c r="D77" s="6">
        <f>'Results - raw data ReCiPe (E)'!AE68</f>
        <v>9.3422048900439864E-5</v>
      </c>
      <c r="E77" s="6">
        <f>'Results - raw data ReCiPe (E)'!AF68</f>
        <v>9.2886477686598764E-5</v>
      </c>
      <c r="F77" s="6">
        <f>'Results - raw data ReCiPe (E)'!AG68</f>
        <v>9.2434191272579524E-5</v>
      </c>
      <c r="G77" s="6">
        <f>'Results - raw data ReCiPe (E)'!AH68</f>
        <v>9.1976527115636379E-5</v>
      </c>
      <c r="H77" s="6">
        <f>'Results - raw data ReCiPe (E)'!AI68</f>
        <v>9.1489785996520763E-5</v>
      </c>
      <c r="I77" s="6">
        <f>'Results - raw data ReCiPe (E)'!AJ68</f>
        <v>9.1002418870964329E-5</v>
      </c>
      <c r="J77" s="6">
        <f>'Results - raw data ReCiPe (E)'!AK68</f>
        <v>9.0524842144070261E-5</v>
      </c>
      <c r="K77" s="6">
        <f>'Results - raw data ReCiPe (E)'!AL68</f>
        <v>9.0033315985642623E-5</v>
      </c>
      <c r="L77" s="6">
        <f>'Results - raw data ReCiPe (E)'!AM68</f>
        <v>8.9538585067318346E-5</v>
      </c>
      <c r="M77" s="6">
        <f>'Results - raw data ReCiPe (E)'!AN68</f>
        <v>8.8997809850082694E-5</v>
      </c>
      <c r="N77" s="6">
        <f>'Results - raw data ReCiPe (E)'!AO68</f>
        <v>8.8459173995158276E-5</v>
      </c>
      <c r="O77" s="6">
        <f>'Results - raw data ReCiPe (E)'!AP68</f>
        <v>8.7942263850055729E-5</v>
      </c>
      <c r="P77" s="6">
        <f>'Results - raw data ReCiPe (E)'!AQ68</f>
        <v>8.7407884953832191E-5</v>
      </c>
      <c r="Q77" s="6">
        <f>'Results - raw data ReCiPe (E)'!AR68</f>
        <v>8.68753434169571E-5</v>
      </c>
      <c r="R77" s="6">
        <f>'Results - raw data ReCiPe (E)'!AS68</f>
        <v>8.6515555867659608E-5</v>
      </c>
      <c r="S77" s="6">
        <f>'Results - raw data ReCiPe (E)'!AT68</f>
        <v>8.6157782439075603E-5</v>
      </c>
      <c r="T77" s="6">
        <f>'Results - raw data ReCiPe (E)'!AU68</f>
        <v>8.5817679992132394E-5</v>
      </c>
      <c r="U77" s="6">
        <f>'Results - raw data ReCiPe (E)'!AV68</f>
        <v>8.5464125521544947E-5</v>
      </c>
      <c r="V77" s="6">
        <f>'Results - raw data ReCiPe (E)'!AW68</f>
        <v>8.5112521757604929E-5</v>
      </c>
      <c r="W77" s="6">
        <f>'Results - raw data ReCiPe (E)'!AX68</f>
        <v>8.506043847028737E-5</v>
      </c>
      <c r="X77" s="6">
        <f>'Results - raw data ReCiPe (E)'!AY68</f>
        <v>8.499309053467297E-5</v>
      </c>
      <c r="Y77" s="6">
        <f>'Results - raw data ReCiPe (E)'!AZ68</f>
        <v>8.4926327573248345E-5</v>
      </c>
      <c r="Z77" s="6">
        <f>'Results - raw data ReCiPe (E)'!BA68</f>
        <v>8.4860138497287434E-5</v>
      </c>
    </row>
    <row r="78" spans="1:53" outlineLevel="1" x14ac:dyDescent="0.35">
      <c r="A78" s="6" t="s">
        <v>758</v>
      </c>
      <c r="B78" s="6">
        <f>'Results - raw data ReCiPe (E)'!AC69*$AC$47</f>
        <v>2.120021097697083E-4</v>
      </c>
      <c r="C78" s="6">
        <f>'Results - raw data ReCiPe (E)'!AD69*$AC$47</f>
        <v>2.0219329214032439E-4</v>
      </c>
      <c r="D78" s="6">
        <f>'Results - raw data ReCiPe (E)'!AE69*$AC$47</f>
        <v>1.924236728188017E-4</v>
      </c>
      <c r="E78" s="6">
        <f>'Results - raw data ReCiPe (E)'!AF69*$AC$47</f>
        <v>1.8266256716692499E-4</v>
      </c>
      <c r="F78" s="6">
        <f>'Results - raw data ReCiPe (E)'!AG69*$AC$47</f>
        <v>1.729698184006383E-4</v>
      </c>
      <c r="G78" s="6">
        <f>'Results - raw data ReCiPe (E)'!AH69*$AC$47</f>
        <v>1.6331480338540569E-4</v>
      </c>
      <c r="H78" s="6">
        <f>'Results - raw data ReCiPe (E)'!AI69*$AC$47</f>
        <v>1.5844085244589779E-4</v>
      </c>
      <c r="I78" s="6">
        <f>'Results - raw data ReCiPe (E)'!AJ69*$AC$47</f>
        <v>1.535826360101849E-4</v>
      </c>
      <c r="J78" s="6">
        <f>'Results - raw data ReCiPe (E)'!AK69*$AC$47</f>
        <v>1.4873828006524911E-4</v>
      </c>
      <c r="K78" s="6">
        <f>'Results - raw data ReCiPe (E)'!AL69*$AC$47</f>
        <v>1.4390124218459661E-4</v>
      </c>
      <c r="L78" s="6">
        <f>'Results - raw data ReCiPe (E)'!AM69*$AC$47</f>
        <v>1.390721664601473E-4</v>
      </c>
      <c r="M78" s="6">
        <f>'Results - raw data ReCiPe (E)'!AN69*$AC$47</f>
        <v>1.3634472983147989E-4</v>
      </c>
      <c r="N78" s="6">
        <f>'Results - raw data ReCiPe (E)'!AO69*$AC$47</f>
        <v>1.3360425053166489E-4</v>
      </c>
      <c r="O78" s="6">
        <f>'Results - raw data ReCiPe (E)'!AP69*$AC$47</f>
        <v>1.3086525381570782E-4</v>
      </c>
      <c r="P78" s="6">
        <f>'Results - raw data ReCiPe (E)'!AQ69*$AC$47</f>
        <v>1.2809837865377949E-4</v>
      </c>
      <c r="Q78" s="6">
        <f>'Results - raw data ReCiPe (E)'!AR69*$AC$47</f>
        <v>1.2531858742970202E-4</v>
      </c>
      <c r="R78" s="6">
        <f>'Results - raw data ReCiPe (E)'!AS69*$AC$47</f>
        <v>1.2427361778355651E-4</v>
      </c>
      <c r="S78" s="6">
        <f>'Results - raw data ReCiPe (E)'!AT69*$AC$47</f>
        <v>1.232258982316461E-4</v>
      </c>
      <c r="T78" s="6">
        <f>'Results - raw data ReCiPe (E)'!AU69*$AC$47</f>
        <v>1.2218822595044411E-4</v>
      </c>
      <c r="U78" s="6">
        <f>'Results - raw data ReCiPe (E)'!AV69*$AC$47</f>
        <v>1.211350362366374E-4</v>
      </c>
      <c r="V78" s="6">
        <f>'Results - raw data ReCiPe (E)'!AW69*$AC$47</f>
        <v>1.2007929971726739E-4</v>
      </c>
      <c r="W78" s="6">
        <f>'Results - raw data ReCiPe (E)'!AX69*$AC$47</f>
        <v>1.199677485319364E-4</v>
      </c>
      <c r="X78" s="6">
        <f>'Results - raw data ReCiPe (E)'!AY69*$AC$47</f>
        <v>1.1978950932135159E-4</v>
      </c>
      <c r="Y78" s="6">
        <f>'Results - raw data ReCiPe (E)'!AZ69*$AC$47</f>
        <v>1.1961159270020919E-4</v>
      </c>
      <c r="Z78" s="6">
        <f>'Results - raw data ReCiPe (E)'!BA69*$AC$47</f>
        <v>1.1943374966630739E-4</v>
      </c>
    </row>
    <row r="79" spans="1:53" outlineLevel="1" x14ac:dyDescent="0.35">
      <c r="A79" s="6" t="s">
        <v>759</v>
      </c>
      <c r="B79" s="6">
        <f>'Results - raw data ReCiPe (E)'!AC70</f>
        <v>2.0736000294618859E-7</v>
      </c>
      <c r="C79" s="6">
        <f>'Results - raw data ReCiPe (E)'!AD70</f>
        <v>2.0736000294618859E-7</v>
      </c>
      <c r="D79" s="6">
        <f>'Results - raw data ReCiPe (E)'!AE70</f>
        <v>2.0736000294618859E-7</v>
      </c>
      <c r="E79" s="6">
        <f>'Results - raw data ReCiPe (E)'!AF70</f>
        <v>2.0736000294618859E-7</v>
      </c>
      <c r="F79" s="6">
        <f>'Results - raw data ReCiPe (E)'!AG70</f>
        <v>2.0736000294618859E-7</v>
      </c>
      <c r="G79" s="6">
        <f>'Results - raw data ReCiPe (E)'!AH70</f>
        <v>2.0736000294618859E-7</v>
      </c>
      <c r="H79" s="6">
        <f>'Results - raw data ReCiPe (E)'!AI70</f>
        <v>2.0736000294618859E-7</v>
      </c>
      <c r="I79" s="6">
        <f>'Results - raw data ReCiPe (E)'!AJ70</f>
        <v>2.0736000294618859E-7</v>
      </c>
      <c r="J79" s="6">
        <f>'Results - raw data ReCiPe (E)'!AK70</f>
        <v>2.0736000294618859E-7</v>
      </c>
      <c r="K79" s="6">
        <f>'Results - raw data ReCiPe (E)'!AL70</f>
        <v>2.0736000294618859E-7</v>
      </c>
      <c r="L79" s="6">
        <f>'Results - raw data ReCiPe (E)'!AM70</f>
        <v>2.0736000294618859E-7</v>
      </c>
      <c r="M79" s="6">
        <f>'Results - raw data ReCiPe (E)'!AN70</f>
        <v>2.0736000294618859E-7</v>
      </c>
      <c r="N79" s="6">
        <f>'Results - raw data ReCiPe (E)'!AO70</f>
        <v>2.0736000294618859E-7</v>
      </c>
      <c r="O79" s="6">
        <f>'Results - raw data ReCiPe (E)'!AP70</f>
        <v>2.0736000294618859E-7</v>
      </c>
      <c r="P79" s="6">
        <f>'Results - raw data ReCiPe (E)'!AQ70</f>
        <v>2.0736000294618859E-7</v>
      </c>
      <c r="Q79" s="6">
        <f>'Results - raw data ReCiPe (E)'!AR70</f>
        <v>2.0736000294618859E-7</v>
      </c>
      <c r="R79" s="6">
        <f>'Results - raw data ReCiPe (E)'!AS70</f>
        <v>2.0736000294618859E-7</v>
      </c>
      <c r="S79" s="6">
        <f>'Results - raw data ReCiPe (E)'!AT70</f>
        <v>2.0736000294618859E-7</v>
      </c>
      <c r="T79" s="6">
        <f>'Results - raw data ReCiPe (E)'!AU70</f>
        <v>2.0736000294618859E-7</v>
      </c>
      <c r="U79" s="6">
        <f>'Results - raw data ReCiPe (E)'!AV70</f>
        <v>2.0736000294618859E-7</v>
      </c>
      <c r="V79" s="6">
        <f>'Results - raw data ReCiPe (E)'!AW70</f>
        <v>2.0736000294618859E-7</v>
      </c>
      <c r="W79" s="6">
        <f>'Results - raw data ReCiPe (E)'!AX70</f>
        <v>2.0736000294618859E-7</v>
      </c>
      <c r="X79" s="6">
        <f>'Results - raw data ReCiPe (E)'!AY70</f>
        <v>2.0736000294618859E-7</v>
      </c>
      <c r="Y79" s="6">
        <f>'Results - raw data ReCiPe (E)'!AZ70</f>
        <v>2.0736000294618859E-7</v>
      </c>
      <c r="Z79" s="6">
        <f>'Results - raw data ReCiPe (E)'!BA70</f>
        <v>2.0736000294618859E-7</v>
      </c>
    </row>
    <row r="80" spans="1:53" outlineLevel="1" x14ac:dyDescent="0.35">
      <c r="A80" s="6" t="s">
        <v>760</v>
      </c>
      <c r="B80" s="6">
        <f>'Results - raw data ReCiPe (E)'!AC71</f>
        <v>1.6386375495505349E-3</v>
      </c>
      <c r="C80" s="6">
        <f>'Results - raw data ReCiPe (E)'!AD71</f>
        <v>1.5112316326484959E-3</v>
      </c>
      <c r="D80" s="6">
        <f>'Results - raw data ReCiPe (E)'!AE71</f>
        <v>1.3837543970326631E-3</v>
      </c>
      <c r="E80" s="6">
        <f>'Results - raw data ReCiPe (E)'!AF71</f>
        <v>1.2558840904142621E-3</v>
      </c>
      <c r="F80" s="6">
        <f>'Results - raw data ReCiPe (E)'!AG71</f>
        <v>1.1282448645550649E-3</v>
      </c>
      <c r="G80" s="6">
        <f>'Results - raw data ReCiPe (E)'!AH71</f>
        <v>1.0005157263606719E-3</v>
      </c>
      <c r="H80" s="6">
        <f>'Results - raw data ReCiPe (E)'!AI71</f>
        <v>9.3651216492734936E-4</v>
      </c>
      <c r="I80" s="6">
        <f>'Results - raw data ReCiPe (E)'!AJ71</f>
        <v>8.7258324352513118E-4</v>
      </c>
      <c r="J80" s="6">
        <f>'Results - raw data ReCiPe (E)'!AK71</f>
        <v>8.0869833121114711E-4</v>
      </c>
      <c r="K80" s="6">
        <f>'Results - raw data ReCiPe (E)'!AL71</f>
        <v>7.4478945046417078E-4</v>
      </c>
      <c r="L80" s="6">
        <f>'Results - raw data ReCiPe (E)'!AM71</f>
        <v>6.8085795479469273E-4</v>
      </c>
      <c r="M80" s="6">
        <f>'Results - raw data ReCiPe (E)'!AN71</f>
        <v>6.4569324878916052E-4</v>
      </c>
      <c r="N80" s="6">
        <f>'Results - raw data ReCiPe (E)'!AO71</f>
        <v>6.1033818570832934E-4</v>
      </c>
      <c r="O80" s="6">
        <f>'Results - raw data ReCiPe (E)'!AP71</f>
        <v>5.7496679721996484E-4</v>
      </c>
      <c r="P80" s="6">
        <f>'Results - raw data ReCiPe (E)'!AQ71</f>
        <v>5.3922939282788709E-4</v>
      </c>
      <c r="Q80" s="6">
        <f>'Results - raw data ReCiPe (E)'!AR71</f>
        <v>5.0330598261558233E-4</v>
      </c>
      <c r="R80" s="6">
        <f>'Results - raw data ReCiPe (E)'!AS71</f>
        <v>4.9195426924303787E-4</v>
      </c>
      <c r="S80" s="6">
        <f>'Results - raw data ReCiPe (E)'!AT71</f>
        <v>4.8057625562618859E-4</v>
      </c>
      <c r="T80" s="6">
        <f>'Results - raw data ReCiPe (E)'!AU71</f>
        <v>4.6932665262981591E-4</v>
      </c>
      <c r="U80" s="6">
        <f>'Results - raw data ReCiPe (E)'!AV71</f>
        <v>4.5789974926153389E-4</v>
      </c>
      <c r="V80" s="6">
        <f>'Results - raw data ReCiPe (E)'!AW71</f>
        <v>4.464527581883931E-4</v>
      </c>
      <c r="W80" s="6">
        <f>'Results - raw data ReCiPe (E)'!AX71</f>
        <v>4.4374053403939851E-4</v>
      </c>
      <c r="X80" s="6">
        <f>'Results - raw data ReCiPe (E)'!AY71</f>
        <v>4.4022467840314938E-4</v>
      </c>
      <c r="Y80" s="6">
        <f>'Results - raw data ReCiPe (E)'!AZ71</f>
        <v>4.367023767799856E-4</v>
      </c>
      <c r="Z80" s="6">
        <f>'Results - raw data ReCiPe (E)'!BA71</f>
        <v>4.3317135378885627E-4</v>
      </c>
    </row>
    <row r="81" spans="1:53" outlineLevel="1" x14ac:dyDescent="0.35">
      <c r="A81" s="23" t="s">
        <v>125</v>
      </c>
      <c r="B81" s="17">
        <f t="shared" ref="B81:Z81" si="9">SUM(B50:B80)</f>
        <v>9.5489511040471216E-3</v>
      </c>
      <c r="C81" s="17">
        <f t="shared" si="9"/>
        <v>1.8074964305367291E-3</v>
      </c>
      <c r="D81" s="17">
        <f t="shared" si="9"/>
        <v>1.6698074787548508E-3</v>
      </c>
      <c r="E81" s="17">
        <f t="shared" si="9"/>
        <v>1.5316404952707321E-3</v>
      </c>
      <c r="F81" s="17">
        <f t="shared" si="9"/>
        <v>1.393856234231229E-3</v>
      </c>
      <c r="G81" s="17">
        <f t="shared" si="9"/>
        <v>1.2560144168646602E-3</v>
      </c>
      <c r="H81" s="17">
        <f t="shared" si="9"/>
        <v>1.186650163372714E-3</v>
      </c>
      <c r="I81" s="17">
        <f t="shared" si="9"/>
        <v>1.1173756584092265E-3</v>
      </c>
      <c r="J81" s="17">
        <f t="shared" si="9"/>
        <v>1.0481688134234128E-3</v>
      </c>
      <c r="K81" s="17">
        <f t="shared" si="9"/>
        <v>9.7893136863735626E-4</v>
      </c>
      <c r="L81" s="17">
        <f t="shared" si="9"/>
        <v>9.0967606632510458E-4</v>
      </c>
      <c r="M81" s="17">
        <f t="shared" si="9"/>
        <v>8.7124314847366929E-4</v>
      </c>
      <c r="N81" s="17">
        <f t="shared" si="9"/>
        <v>8.3260897023809872E-4</v>
      </c>
      <c r="O81" s="17">
        <f t="shared" si="9"/>
        <v>7.9398167488867459E-4</v>
      </c>
      <c r="P81" s="17">
        <f t="shared" si="9"/>
        <v>7.549430164384449E-4</v>
      </c>
      <c r="Q81" s="17">
        <f t="shared" si="9"/>
        <v>7.1570727346518767E-4</v>
      </c>
      <c r="R81" s="17">
        <f t="shared" si="9"/>
        <v>7.0295080289720015E-4</v>
      </c>
      <c r="S81" s="17">
        <f t="shared" si="9"/>
        <v>6.901672962998565E-4</v>
      </c>
      <c r="T81" s="17">
        <f t="shared" si="9"/>
        <v>6.7753991857533863E-4</v>
      </c>
      <c r="U81" s="17">
        <f t="shared" si="9"/>
        <v>6.6470627102266236E-4</v>
      </c>
      <c r="V81" s="17">
        <f t="shared" si="9"/>
        <v>6.5185193966621154E-4</v>
      </c>
      <c r="W81" s="17">
        <f t="shared" si="9"/>
        <v>6.4897608104456852E-4</v>
      </c>
      <c r="X81" s="17">
        <f t="shared" si="9"/>
        <v>6.452146382621201E-4</v>
      </c>
      <c r="Y81" s="17">
        <f t="shared" si="9"/>
        <v>6.4144765705638929E-4</v>
      </c>
      <c r="Z81" s="17">
        <f t="shared" si="9"/>
        <v>7.2815332399051025E-4</v>
      </c>
    </row>
    <row r="82" spans="1:53" outlineLevel="1" x14ac:dyDescent="0.35"/>
    <row r="83" spans="1:53" s="18" customFormat="1" ht="21" x14ac:dyDescent="0.5">
      <c r="A83" s="18" t="s">
        <v>94</v>
      </c>
    </row>
    <row r="84" spans="1:53" s="20" customFormat="1" outlineLevel="1" x14ac:dyDescent="0.35">
      <c r="A84" s="19" t="s">
        <v>767</v>
      </c>
    </row>
    <row r="85" spans="1:53" s="16" customFormat="1" outlineLevel="1" x14ac:dyDescent="0.35">
      <c r="A85" s="21"/>
      <c r="AB85" s="15" t="s">
        <v>143</v>
      </c>
      <c r="AC85" s="16">
        <f>0.000000025+0.000000000000682</f>
        <v>2.5000681999999998E-8</v>
      </c>
      <c r="AD85" s="16" t="s">
        <v>916</v>
      </c>
      <c r="AE85" s="15" t="s">
        <v>714</v>
      </c>
    </row>
    <row r="86" spans="1:53" s="16" customFormat="1" outlineLevel="1" x14ac:dyDescent="0.35">
      <c r="A86" s="22" t="s">
        <v>917</v>
      </c>
      <c r="AC86" s="16">
        <f>AC85*1000</f>
        <v>2.5000681999999997E-5</v>
      </c>
      <c r="AD86" s="16" t="s">
        <v>918</v>
      </c>
    </row>
    <row r="87" spans="1:53" s="16" customFormat="1" outlineLevel="1" x14ac:dyDescent="0.35">
      <c r="A87" s="22"/>
      <c r="AB87" s="16" t="s">
        <v>127</v>
      </c>
      <c r="AC87" s="16">
        <v>100</v>
      </c>
      <c r="AD87" s="16" t="s">
        <v>128</v>
      </c>
    </row>
    <row r="88" spans="1:53" s="16" customFormat="1" outlineLevel="1" x14ac:dyDescent="0.35">
      <c r="A88" s="22"/>
      <c r="AB88" s="16" t="s">
        <v>129</v>
      </c>
      <c r="AC88" s="16">
        <v>25</v>
      </c>
      <c r="AD88" s="16" t="s">
        <v>130</v>
      </c>
    </row>
    <row r="89" spans="1:53" outlineLevel="1" x14ac:dyDescent="0.35">
      <c r="B89" s="25">
        <v>2030</v>
      </c>
      <c r="C89" s="25">
        <v>2031</v>
      </c>
      <c r="D89" s="25">
        <v>2032</v>
      </c>
      <c r="E89" s="25">
        <v>2033</v>
      </c>
      <c r="F89" s="25">
        <v>2034</v>
      </c>
      <c r="G89" s="25">
        <v>2035</v>
      </c>
      <c r="H89" s="25">
        <v>2036</v>
      </c>
      <c r="I89" s="25">
        <v>2037</v>
      </c>
      <c r="J89" s="25">
        <v>2038</v>
      </c>
      <c r="K89" s="25">
        <v>2039</v>
      </c>
      <c r="L89" s="25">
        <v>2040</v>
      </c>
      <c r="M89" s="25">
        <v>2041</v>
      </c>
      <c r="N89" s="25">
        <v>2042</v>
      </c>
      <c r="O89" s="25">
        <v>2043</v>
      </c>
      <c r="P89" s="25">
        <v>2044</v>
      </c>
      <c r="Q89" s="25">
        <v>2045</v>
      </c>
      <c r="R89" s="25">
        <v>2046</v>
      </c>
      <c r="S89" s="25">
        <v>2047</v>
      </c>
      <c r="T89" s="25">
        <v>2048</v>
      </c>
      <c r="U89" s="25">
        <v>2049</v>
      </c>
      <c r="V89" s="25">
        <v>2050</v>
      </c>
      <c r="W89" s="25">
        <v>2051</v>
      </c>
      <c r="X89" s="25">
        <v>2052</v>
      </c>
      <c r="Y89" s="25">
        <v>2053</v>
      </c>
      <c r="Z89" s="25">
        <v>2054</v>
      </c>
      <c r="AC89" s="25">
        <v>2030</v>
      </c>
      <c r="AD89" s="25">
        <v>2031</v>
      </c>
      <c r="AE89" s="25">
        <v>2032</v>
      </c>
      <c r="AF89" s="25">
        <v>2033</v>
      </c>
      <c r="AG89" s="25">
        <v>2034</v>
      </c>
      <c r="AH89" s="25">
        <v>2035</v>
      </c>
      <c r="AI89" s="25">
        <v>2036</v>
      </c>
      <c r="AJ89" s="25">
        <v>2037</v>
      </c>
      <c r="AK89" s="25">
        <v>2038</v>
      </c>
      <c r="AL89" s="25">
        <v>2039</v>
      </c>
      <c r="AM89" s="25">
        <v>2040</v>
      </c>
      <c r="AN89" s="25">
        <v>2041</v>
      </c>
      <c r="AO89" s="25">
        <v>2042</v>
      </c>
      <c r="AP89" s="25">
        <v>2043</v>
      </c>
      <c r="AQ89" s="25">
        <v>2044</v>
      </c>
      <c r="AR89" s="25">
        <v>2045</v>
      </c>
      <c r="AS89" s="25">
        <v>2046</v>
      </c>
      <c r="AT89" s="25">
        <v>2047</v>
      </c>
      <c r="AU89" s="25">
        <v>2048</v>
      </c>
      <c r="AV89" s="25">
        <v>2049</v>
      </c>
      <c r="AW89" s="25">
        <v>2050</v>
      </c>
      <c r="AX89" s="25">
        <v>2051</v>
      </c>
      <c r="AY89" s="25">
        <v>2052</v>
      </c>
      <c r="AZ89" s="25">
        <v>2053</v>
      </c>
      <c r="BA89" s="25">
        <v>2054</v>
      </c>
    </row>
    <row r="90" spans="1:53" outlineLevel="1" x14ac:dyDescent="0.35">
      <c r="A90" s="6" t="s">
        <v>21</v>
      </c>
      <c r="B90" s="6">
        <f>'Results - raw data ReCiPe (E)'!AC77</f>
        <v>9.1407716310991399E-5</v>
      </c>
      <c r="AB90" s="6" t="s">
        <v>117</v>
      </c>
      <c r="AC90" s="6">
        <f>SUM(B90:B101)+B103</f>
        <v>7.0848469196898647E-3</v>
      </c>
    </row>
    <row r="91" spans="1:53" outlineLevel="1" x14ac:dyDescent="0.35">
      <c r="A91" s="6" t="s">
        <v>23</v>
      </c>
      <c r="B91" s="6">
        <f>'Results - raw data ReCiPe (E)'!AC78</f>
        <v>1.7765909001794011E-4</v>
      </c>
      <c r="AB91" s="6" t="s">
        <v>118</v>
      </c>
      <c r="AC91" s="6">
        <f>B102</f>
        <v>2.0171086658104479E-4</v>
      </c>
    </row>
    <row r="92" spans="1:53" outlineLevel="1" x14ac:dyDescent="0.35">
      <c r="A92" s="6" t="s">
        <v>26</v>
      </c>
      <c r="B92" s="6">
        <f>'Results - raw data ReCiPe (E)'!AC79</f>
        <v>3.728222862533076E-4</v>
      </c>
      <c r="AB92" s="6" t="s">
        <v>119</v>
      </c>
      <c r="BA92" s="6">
        <f>SUM(Z104:Z115)</f>
        <v>8.7284618353200512E-5</v>
      </c>
    </row>
    <row r="93" spans="1:53" outlineLevel="1" x14ac:dyDescent="0.35">
      <c r="A93" s="6" t="s">
        <v>28</v>
      </c>
      <c r="B93" s="6">
        <f>'Results - raw data ReCiPe (E)'!AC80</f>
        <v>1.5285847323858511E-4</v>
      </c>
      <c r="AB93" s="6" t="s">
        <v>120</v>
      </c>
      <c r="BA93" s="6">
        <f>Z116</f>
        <v>1.614429119184463E-6</v>
      </c>
    </row>
    <row r="94" spans="1:53" outlineLevel="1" x14ac:dyDescent="0.35">
      <c r="A94" s="6" t="s">
        <v>29</v>
      </c>
      <c r="B94" s="6">
        <f>'Results - raw data ReCiPe (E)'!AC81</f>
        <v>2.9511762011667639E-4</v>
      </c>
      <c r="AB94" s="6" t="s">
        <v>121</v>
      </c>
      <c r="AC94" s="6">
        <f>B117</f>
        <v>8.7945321917406969E-5</v>
      </c>
      <c r="AF94" s="6">
        <f>E117</f>
        <v>8.6080196213763786E-5</v>
      </c>
      <c r="AI94" s="6">
        <f>H117</f>
        <v>8.4701027712607356E-5</v>
      </c>
      <c r="AL94" s="6">
        <f>K117</f>
        <v>8.4330044138947001E-5</v>
      </c>
      <c r="AO94" s="6">
        <f>N117</f>
        <v>8.4172574646746671E-5</v>
      </c>
      <c r="AR94" s="6">
        <f>Q117</f>
        <v>8.4149742944760532E-5</v>
      </c>
      <c r="AU94" s="6">
        <f>T117</f>
        <v>8.4022324846170663E-5</v>
      </c>
      <c r="AX94" s="6">
        <f>W117</f>
        <v>8.3912901277463149E-5</v>
      </c>
      <c r="BA94" s="6">
        <f>Z117</f>
        <v>8.3823048059039279E-5</v>
      </c>
    </row>
    <row r="95" spans="1:53" outlineLevel="1" x14ac:dyDescent="0.35">
      <c r="A95" s="6" t="s">
        <v>31</v>
      </c>
      <c r="B95" s="6">
        <f>'Results - raw data ReCiPe (E)'!AC82</f>
        <v>2.2702198560539731E-4</v>
      </c>
      <c r="AB95" s="6" t="s">
        <v>122</v>
      </c>
      <c r="AC95" s="6">
        <f>B120+B119</f>
        <v>7.7842015872899516E-4</v>
      </c>
      <c r="AD95" s="6">
        <f t="shared" ref="AD95:BA95" si="10">C120+C119</f>
        <v>7.0576981209729563E-4</v>
      </c>
      <c r="AE95" s="6">
        <f t="shared" si="10"/>
        <v>6.328917986540768E-4</v>
      </c>
      <c r="AF95" s="6">
        <f t="shared" si="10"/>
        <v>5.5947403866482147E-4</v>
      </c>
      <c r="AG95" s="6">
        <f t="shared" si="10"/>
        <v>4.8608199091221358E-4</v>
      </c>
      <c r="AH95" s="6">
        <f t="shared" si="10"/>
        <v>4.1243163869631469E-4</v>
      </c>
      <c r="AI95" s="6">
        <f t="shared" si="10"/>
        <v>3.9927243755658796E-4</v>
      </c>
      <c r="AJ95" s="6">
        <f t="shared" si="10"/>
        <v>3.8600857030315986E-4</v>
      </c>
      <c r="AK95" s="6">
        <f t="shared" si="10"/>
        <v>3.7277638177652289E-4</v>
      </c>
      <c r="AL95" s="6">
        <f t="shared" si="10"/>
        <v>3.5932277305028679E-4</v>
      </c>
      <c r="AM95" s="6">
        <f t="shared" si="10"/>
        <v>3.4576636806251147E-4</v>
      </c>
      <c r="AN95" s="6">
        <f t="shared" si="10"/>
        <v>3.3525264997527409E-4</v>
      </c>
      <c r="AO95" s="6">
        <f t="shared" si="10"/>
        <v>3.247556150564606E-4</v>
      </c>
      <c r="AP95" s="6">
        <f t="shared" si="10"/>
        <v>3.1454986231331181E-4</v>
      </c>
      <c r="AQ95" s="6">
        <f t="shared" si="10"/>
        <v>3.0406411515718971E-4</v>
      </c>
      <c r="AR95" s="6">
        <f t="shared" si="10"/>
        <v>2.9358419681528016E-4</v>
      </c>
      <c r="AS95" s="6">
        <f t="shared" si="10"/>
        <v>2.8662199528050648E-4</v>
      </c>
      <c r="AT95" s="6">
        <f t="shared" si="10"/>
        <v>2.7970167088526378E-4</v>
      </c>
      <c r="AU95" s="6">
        <f t="shared" si="10"/>
        <v>2.7306526020859151E-4</v>
      </c>
      <c r="AV95" s="6">
        <f t="shared" si="10"/>
        <v>2.662347853325039E-4</v>
      </c>
      <c r="AW95" s="6">
        <f t="shared" si="10"/>
        <v>2.5944743979057521E-4</v>
      </c>
      <c r="AX95" s="6">
        <f t="shared" si="10"/>
        <v>2.49705515251174E-4</v>
      </c>
      <c r="AY95" s="6">
        <f t="shared" si="10"/>
        <v>2.3906647893478939E-4</v>
      </c>
      <c r="AZ95" s="6">
        <f t="shared" si="10"/>
        <v>2.2840295138079828E-4</v>
      </c>
      <c r="BA95" s="6">
        <f t="shared" si="10"/>
        <v>2.1771265023379279E-4</v>
      </c>
    </row>
    <row r="96" spans="1:53" outlineLevel="1" x14ac:dyDescent="0.35">
      <c r="A96" s="6" t="s">
        <v>34</v>
      </c>
      <c r="B96" s="6">
        <f>'Results - raw data ReCiPe (E)'!AC83</f>
        <v>2.003508604774799E-4</v>
      </c>
      <c r="AB96" s="6" t="s">
        <v>123</v>
      </c>
      <c r="AC96" s="6">
        <f t="shared" ref="AC96:BA96" si="11">B118</f>
        <v>1.456084525219708E-4</v>
      </c>
      <c r="AD96" s="6">
        <f t="shared" si="11"/>
        <v>1.4017468893098069E-4</v>
      </c>
      <c r="AE96" s="6">
        <f t="shared" si="11"/>
        <v>1.3475952580976081E-4</v>
      </c>
      <c r="AF96" s="6">
        <f t="shared" si="11"/>
        <v>1.293335500761272E-4</v>
      </c>
      <c r="AG96" s="6">
        <f t="shared" si="11"/>
        <v>1.2395062622680859E-4</v>
      </c>
      <c r="AH96" s="6">
        <f t="shared" si="11"/>
        <v>1.185834295987205E-4</v>
      </c>
      <c r="AI96" s="6">
        <f t="shared" si="11"/>
        <v>1.1771060585217591E-4</v>
      </c>
      <c r="AJ96" s="6">
        <f t="shared" si="11"/>
        <v>1.16833943721544E-4</v>
      </c>
      <c r="AK96" s="6">
        <f t="shared" si="11"/>
        <v>1.159652418509333E-4</v>
      </c>
      <c r="AL96" s="6">
        <f t="shared" si="11"/>
        <v>1.1508263612706489E-4</v>
      </c>
      <c r="AM96" s="6">
        <f t="shared" si="11"/>
        <v>1.141964847306081E-4</v>
      </c>
      <c r="AN96" s="6">
        <f t="shared" si="11"/>
        <v>1.133380361355944E-4</v>
      </c>
      <c r="AO96" s="6">
        <f t="shared" si="11"/>
        <v>1.124802198269645E-4</v>
      </c>
      <c r="AP96" s="6">
        <f t="shared" si="11"/>
        <v>1.1164524655020241E-4</v>
      </c>
      <c r="AQ96" s="6">
        <f t="shared" si="11"/>
        <v>1.10787010495255E-4</v>
      </c>
      <c r="AR96" s="6">
        <f t="shared" si="11"/>
        <v>1.099285088707221E-4</v>
      </c>
      <c r="AS96" s="6">
        <f t="shared" si="11"/>
        <v>1.0901691646877621E-4</v>
      </c>
      <c r="AT96" s="6">
        <f t="shared" si="11"/>
        <v>1.081053784874311E-4</v>
      </c>
      <c r="AU96" s="6">
        <f t="shared" si="11"/>
        <v>1.072136947078792E-4</v>
      </c>
      <c r="AV96" s="6">
        <f t="shared" si="11"/>
        <v>1.0630277243236071E-4</v>
      </c>
      <c r="AW96" s="6">
        <f t="shared" si="11"/>
        <v>1.0539194848440001E-4</v>
      </c>
      <c r="AX96" s="6">
        <f t="shared" si="11"/>
        <v>1.0476727799141969E-4</v>
      </c>
      <c r="AY96" s="6">
        <f t="shared" si="11"/>
        <v>1.0406991524002318E-4</v>
      </c>
      <c r="AZ96" s="6">
        <f t="shared" si="11"/>
        <v>1.0337310314103419E-4</v>
      </c>
      <c r="BA96" s="6">
        <f t="shared" si="11"/>
        <v>1.0267660315129621E-4</v>
      </c>
    </row>
    <row r="97" spans="1:53" outlineLevel="1" x14ac:dyDescent="0.35">
      <c r="A97" s="6" t="s">
        <v>36</v>
      </c>
      <c r="B97" s="6">
        <f>'Results - raw data ReCiPe (E)'!AC84</f>
        <v>1.7796088726191011E-4</v>
      </c>
      <c r="AB97" s="6" t="s">
        <v>124</v>
      </c>
      <c r="AC97" s="6">
        <f>-$AC$7*$AC$6</f>
        <v>-2.5000681999999995E-3</v>
      </c>
      <c r="AD97" s="6">
        <f t="shared" ref="AD97:BA97" si="12">-$AC$7*$AC$6</f>
        <v>-2.5000681999999995E-3</v>
      </c>
      <c r="AE97" s="6">
        <f t="shared" si="12"/>
        <v>-2.5000681999999995E-3</v>
      </c>
      <c r="AF97" s="6">
        <f t="shared" si="12"/>
        <v>-2.5000681999999995E-3</v>
      </c>
      <c r="AG97" s="6">
        <f t="shared" si="12"/>
        <v>-2.5000681999999995E-3</v>
      </c>
      <c r="AH97" s="6">
        <f t="shared" si="12"/>
        <v>-2.5000681999999995E-3</v>
      </c>
      <c r="AI97" s="6">
        <f t="shared" si="12"/>
        <v>-2.5000681999999995E-3</v>
      </c>
      <c r="AJ97" s="6">
        <f t="shared" si="12"/>
        <v>-2.5000681999999995E-3</v>
      </c>
      <c r="AK97" s="6">
        <f t="shared" si="12"/>
        <v>-2.5000681999999995E-3</v>
      </c>
      <c r="AL97" s="6">
        <f t="shared" si="12"/>
        <v>-2.5000681999999995E-3</v>
      </c>
      <c r="AM97" s="6">
        <f t="shared" si="12"/>
        <v>-2.5000681999999995E-3</v>
      </c>
      <c r="AN97" s="6">
        <f t="shared" si="12"/>
        <v>-2.5000681999999995E-3</v>
      </c>
      <c r="AO97" s="6">
        <f t="shared" si="12"/>
        <v>-2.5000681999999995E-3</v>
      </c>
      <c r="AP97" s="6">
        <f t="shared" si="12"/>
        <v>-2.5000681999999995E-3</v>
      </c>
      <c r="AQ97" s="6">
        <f t="shared" si="12"/>
        <v>-2.5000681999999995E-3</v>
      </c>
      <c r="AR97" s="6">
        <f t="shared" si="12"/>
        <v>-2.5000681999999995E-3</v>
      </c>
      <c r="AS97" s="6">
        <f t="shared" si="12"/>
        <v>-2.5000681999999995E-3</v>
      </c>
      <c r="AT97" s="6">
        <f t="shared" si="12"/>
        <v>-2.5000681999999995E-3</v>
      </c>
      <c r="AU97" s="6">
        <f t="shared" si="12"/>
        <v>-2.5000681999999995E-3</v>
      </c>
      <c r="AV97" s="6">
        <f t="shared" si="12"/>
        <v>-2.5000681999999995E-3</v>
      </c>
      <c r="AW97" s="6">
        <f t="shared" si="12"/>
        <v>-2.5000681999999995E-3</v>
      </c>
      <c r="AX97" s="6">
        <f t="shared" si="12"/>
        <v>-2.5000681999999995E-3</v>
      </c>
      <c r="AY97" s="6">
        <f t="shared" si="12"/>
        <v>-2.5000681999999995E-3</v>
      </c>
      <c r="AZ97" s="6">
        <f t="shared" si="12"/>
        <v>-2.5000681999999995E-3</v>
      </c>
      <c r="BA97" s="6">
        <f t="shared" si="12"/>
        <v>-2.5000681999999995E-3</v>
      </c>
    </row>
    <row r="98" spans="1:53" outlineLevel="1" x14ac:dyDescent="0.35">
      <c r="A98" s="6" t="s">
        <v>38</v>
      </c>
      <c r="B98" s="6">
        <f>'Results - raw data ReCiPe (E)'!AC85</f>
        <v>3.5546587858732069E-4</v>
      </c>
      <c r="AB98" s="23" t="s">
        <v>125</v>
      </c>
      <c r="AC98" s="17">
        <f t="shared" ref="AC98:BA98" si="13">SUM(AC90:AC97)</f>
        <v>5.7984635194392826E-3</v>
      </c>
      <c r="AD98" s="17">
        <f t="shared" si="13"/>
        <v>-1.6541236989717231E-3</v>
      </c>
      <c r="AE98" s="17">
        <f t="shared" si="13"/>
        <v>-1.7324168755361619E-3</v>
      </c>
      <c r="AF98" s="17">
        <f t="shared" si="13"/>
        <v>-1.725180415045287E-3</v>
      </c>
      <c r="AG98" s="17">
        <f t="shared" si="13"/>
        <v>-1.8900355828609773E-3</v>
      </c>
      <c r="AH98" s="17">
        <f t="shared" si="13"/>
        <v>-1.9690531317049643E-3</v>
      </c>
      <c r="AI98" s="17">
        <f t="shared" si="13"/>
        <v>-1.8983841288786282E-3</v>
      </c>
      <c r="AJ98" s="17">
        <f t="shared" si="13"/>
        <v>-1.9972256859752957E-3</v>
      </c>
      <c r="AK98" s="17">
        <f t="shared" si="13"/>
        <v>-2.0113265763725434E-3</v>
      </c>
      <c r="AL98" s="17">
        <f t="shared" si="13"/>
        <v>-1.9413327466837008E-3</v>
      </c>
      <c r="AM98" s="17">
        <f t="shared" si="13"/>
        <v>-2.04010534720688E-3</v>
      </c>
      <c r="AN98" s="17">
        <f t="shared" si="13"/>
        <v>-2.0514775138891308E-3</v>
      </c>
      <c r="AO98" s="17">
        <f t="shared" si="13"/>
        <v>-1.9786597904698274E-3</v>
      </c>
      <c r="AP98" s="17">
        <f t="shared" si="13"/>
        <v>-2.073873091136485E-3</v>
      </c>
      <c r="AQ98" s="17">
        <f t="shared" si="13"/>
        <v>-2.0852170743475549E-3</v>
      </c>
      <c r="AR98" s="17">
        <f t="shared" si="13"/>
        <v>-2.0124057513692365E-3</v>
      </c>
      <c r="AS98" s="17">
        <f t="shared" si="13"/>
        <v>-2.1044292882507168E-3</v>
      </c>
      <c r="AT98" s="17">
        <f t="shared" si="13"/>
        <v>-2.1122611506273047E-3</v>
      </c>
      <c r="AU98" s="17">
        <f t="shared" si="13"/>
        <v>-2.0357669202373582E-3</v>
      </c>
      <c r="AV98" s="17">
        <f t="shared" si="13"/>
        <v>-2.1275306422351347E-3</v>
      </c>
      <c r="AW98" s="17">
        <f t="shared" si="13"/>
        <v>-2.1352288117250243E-3</v>
      </c>
      <c r="AX98" s="17">
        <f t="shared" si="13"/>
        <v>-2.0616825054799426E-3</v>
      </c>
      <c r="AY98" s="17">
        <f t="shared" si="13"/>
        <v>-2.1569318058251869E-3</v>
      </c>
      <c r="AZ98" s="17">
        <f t="shared" si="13"/>
        <v>-2.1682921454781669E-3</v>
      </c>
      <c r="BA98" s="17">
        <f t="shared" si="13"/>
        <v>-2.0069568510834865E-3</v>
      </c>
    </row>
    <row r="99" spans="1:53" outlineLevel="1" x14ac:dyDescent="0.35">
      <c r="A99" s="6" t="s">
        <v>39</v>
      </c>
      <c r="B99" s="6">
        <f>'Results - raw data ReCiPe (E)'!AC86</f>
        <v>4.609356238257833E-3</v>
      </c>
    </row>
    <row r="100" spans="1:53" outlineLevel="1" x14ac:dyDescent="0.35">
      <c r="A100" s="6" t="s">
        <v>41</v>
      </c>
      <c r="B100" s="6">
        <f>'Results - raw data ReCiPe (E)'!AC87</f>
        <v>4.4670454668324006E-6</v>
      </c>
    </row>
    <row r="101" spans="1:53" outlineLevel="1" x14ac:dyDescent="0.35">
      <c r="A101" s="6" t="s">
        <v>43</v>
      </c>
      <c r="B101" s="6">
        <f>'Results - raw data ReCiPe (E)'!AC88</f>
        <v>2.7602690065614942E-5</v>
      </c>
      <c r="AB101" s="24"/>
    </row>
    <row r="102" spans="1:53" outlineLevel="1" x14ac:dyDescent="0.35">
      <c r="A102" s="6" t="s">
        <v>44</v>
      </c>
      <c r="B102" s="6">
        <f>'Results - raw data ReCiPe (E)'!AC89*AC87*AC88</f>
        <v>2.0171086658104479E-4</v>
      </c>
      <c r="AC102" s="187"/>
      <c r="AD102" s="187"/>
      <c r="AE102" s="187"/>
      <c r="AF102" s="187"/>
      <c r="AG102" s="187"/>
      <c r="AH102" s="187"/>
      <c r="AI102" s="187"/>
      <c r="AJ102" s="187"/>
      <c r="AK102" s="187"/>
      <c r="AL102" s="187"/>
      <c r="AM102" s="187"/>
      <c r="AN102" s="187"/>
      <c r="AO102" s="187"/>
      <c r="AP102" s="187"/>
      <c r="AQ102" s="187"/>
      <c r="AR102" s="187"/>
      <c r="AS102" s="187"/>
      <c r="AT102" s="187"/>
      <c r="AU102" s="187"/>
      <c r="AV102" s="187"/>
      <c r="AW102" s="187"/>
      <c r="AX102" s="187"/>
      <c r="AY102" s="187"/>
      <c r="AZ102" s="187"/>
      <c r="BA102" s="187"/>
    </row>
    <row r="103" spans="1:53" outlineLevel="1" x14ac:dyDescent="0.35">
      <c r="A103" s="6" t="s">
        <v>757</v>
      </c>
      <c r="B103" s="6">
        <f>'Results - raw data ReCiPe (E)'!AC90*AC88*AC87</f>
        <v>3.9275614802997545E-4</v>
      </c>
      <c r="AD103" s="27"/>
      <c r="AE103" s="27"/>
      <c r="AF103" s="27"/>
      <c r="AG103" s="27"/>
      <c r="AH103" s="27"/>
      <c r="AI103" s="27"/>
      <c r="AJ103" s="27"/>
      <c r="AK103" s="27"/>
      <c r="AL103" s="27"/>
      <c r="AM103" s="27"/>
      <c r="AN103" s="27"/>
      <c r="AO103" s="27"/>
      <c r="AP103" s="27"/>
      <c r="AQ103" s="27"/>
      <c r="AR103" s="27"/>
      <c r="AS103" s="27"/>
      <c r="AT103" s="27"/>
      <c r="AU103" s="27"/>
      <c r="AV103" s="27"/>
      <c r="AW103" s="27"/>
      <c r="AX103" s="27"/>
      <c r="AY103" s="27"/>
      <c r="AZ103" s="27"/>
      <c r="BA103" s="27"/>
    </row>
    <row r="104" spans="1:53" outlineLevel="1" x14ac:dyDescent="0.35">
      <c r="A104" s="6" t="s">
        <v>22</v>
      </c>
      <c r="Z104" s="6">
        <f>'Results - raw data ReCiPe (E)'!BA91</f>
        <v>1.545560979437975E-6</v>
      </c>
    </row>
    <row r="105" spans="1:53" outlineLevel="1" x14ac:dyDescent="0.35">
      <c r="A105" s="6" t="s">
        <v>24</v>
      </c>
      <c r="Z105" s="6">
        <f>'Results - raw data ReCiPe (E)'!BA92</f>
        <v>9.3465848653713397E-7</v>
      </c>
    </row>
    <row r="106" spans="1:53" outlineLevel="1" x14ac:dyDescent="0.35">
      <c r="A106" s="6" t="s">
        <v>25</v>
      </c>
      <c r="Z106" s="6">
        <f>'Results - raw data ReCiPe (E)'!BA93</f>
        <v>3.0098420730375761E-6</v>
      </c>
    </row>
    <row r="107" spans="1:53" outlineLevel="1" x14ac:dyDescent="0.35">
      <c r="A107" s="6" t="s">
        <v>27</v>
      </c>
      <c r="Z107" s="6">
        <f>'Results - raw data ReCiPe (E)'!BA94</f>
        <v>9.2668024250964073E-7</v>
      </c>
    </row>
    <row r="108" spans="1:53" outlineLevel="1" x14ac:dyDescent="0.35">
      <c r="A108" s="6" t="s">
        <v>30</v>
      </c>
      <c r="Z108" s="6">
        <f>'Results - raw data ReCiPe (E)'!BA95</f>
        <v>2.258038942088552E-6</v>
      </c>
    </row>
    <row r="109" spans="1:53" outlineLevel="1" x14ac:dyDescent="0.35">
      <c r="A109" s="6" t="s">
        <v>32</v>
      </c>
      <c r="Z109" s="6">
        <f>'Results - raw data ReCiPe (E)'!BA96</f>
        <v>3.8838856300837962E-7</v>
      </c>
    </row>
    <row r="110" spans="1:53" outlineLevel="1" x14ac:dyDescent="0.35">
      <c r="A110" s="6" t="s">
        <v>33</v>
      </c>
      <c r="Z110" s="6">
        <f>'Results - raw data ReCiPe (E)'!BA97</f>
        <v>7.3509514172885058E-7</v>
      </c>
    </row>
    <row r="111" spans="1:53" outlineLevel="1" x14ac:dyDescent="0.35">
      <c r="A111" s="6" t="s">
        <v>35</v>
      </c>
      <c r="Z111" s="6">
        <f>'Results - raw data ReCiPe (E)'!BA98</f>
        <v>1.470190283457701E-6</v>
      </c>
    </row>
    <row r="112" spans="1:53" outlineLevel="1" x14ac:dyDescent="0.35">
      <c r="A112" s="6" t="s">
        <v>37</v>
      </c>
      <c r="Z112" s="6">
        <f>'Results - raw data ReCiPe (E)'!BA99</f>
        <v>2.3548474687377391E-6</v>
      </c>
    </row>
    <row r="113" spans="1:31" outlineLevel="1" x14ac:dyDescent="0.35">
      <c r="A113" s="6" t="s">
        <v>40</v>
      </c>
      <c r="Z113" s="6">
        <f>'Results - raw data ReCiPe (E)'!BA100</f>
        <v>6.116738723743368E-5</v>
      </c>
    </row>
    <row r="114" spans="1:31" outlineLevel="1" x14ac:dyDescent="0.35">
      <c r="A114" s="6" t="s">
        <v>42</v>
      </c>
      <c r="Z114" s="6">
        <f>'Results - raw data ReCiPe (E)'!BA101</f>
        <v>1.4176426125740861E-6</v>
      </c>
    </row>
    <row r="115" spans="1:31" outlineLevel="1" x14ac:dyDescent="0.35">
      <c r="A115" s="6" t="s">
        <v>115</v>
      </c>
      <c r="Z115" s="6">
        <f>'Results - raw data ReCiPe (E)'!BA102</f>
        <v>1.1076286322649199E-5</v>
      </c>
    </row>
    <row r="116" spans="1:31" outlineLevel="1" x14ac:dyDescent="0.35">
      <c r="A116" s="6" t="s">
        <v>45</v>
      </c>
      <c r="Z116" s="6">
        <f>'Results - raw data ReCiPe (E)'!BA103*AC87*AC88</f>
        <v>1.614429119184463E-6</v>
      </c>
    </row>
    <row r="117" spans="1:31" outlineLevel="1" x14ac:dyDescent="0.35">
      <c r="A117" s="6" t="s">
        <v>116</v>
      </c>
      <c r="B117" s="6">
        <f>'Results - raw data ReCiPe (E)'!AC104</f>
        <v>8.7945321917406969E-5</v>
      </c>
      <c r="C117" s="6">
        <f>'Results - raw data ReCiPe (E)'!AD104</f>
        <v>8.7360235411899532E-5</v>
      </c>
      <c r="D117" s="6">
        <f>'Results - raw data ReCiPe (E)'!AE104</f>
        <v>8.6765503824792284E-5</v>
      </c>
      <c r="E117" s="6">
        <f>'Results - raw data ReCiPe (E)'!AF104</f>
        <v>8.6080196213763786E-5</v>
      </c>
      <c r="F117" s="6">
        <f>'Results - raw data ReCiPe (E)'!AG104</f>
        <v>8.5464054794002432E-5</v>
      </c>
      <c r="G117" s="6">
        <f>'Results - raw data ReCiPe (E)'!AH104</f>
        <v>8.4834713089503808E-5</v>
      </c>
      <c r="H117" s="6">
        <f>'Results - raw data ReCiPe (E)'!AI104</f>
        <v>8.4701027712607356E-5</v>
      </c>
      <c r="I117" s="6">
        <f>'Results - raw data ReCiPe (E)'!AJ104</f>
        <v>8.4568621138586455E-5</v>
      </c>
      <c r="J117" s="6">
        <f>'Results - raw data ReCiPe (E)'!AK104</f>
        <v>8.4458761190899453E-5</v>
      </c>
      <c r="K117" s="6">
        <f>'Results - raw data ReCiPe (E)'!AL104</f>
        <v>8.4330044138947001E-5</v>
      </c>
      <c r="L117" s="6">
        <f>'Results - raw data ReCiPe (E)'!AM104</f>
        <v>8.4202367591460354E-5</v>
      </c>
      <c r="M117" s="6">
        <f>'Results - raw data ReCiPe (E)'!AN104</f>
        <v>8.4187554397060824E-5</v>
      </c>
      <c r="N117" s="6">
        <f>'Results - raw data ReCiPe (E)'!AO104</f>
        <v>8.4172574646746671E-5</v>
      </c>
      <c r="O117" s="6">
        <f>'Results - raw data ReCiPe (E)'!AP104</f>
        <v>8.4180254077178415E-5</v>
      </c>
      <c r="P117" s="6">
        <f>'Results - raw data ReCiPe (E)'!AQ104</f>
        <v>8.4165188620623885E-5</v>
      </c>
      <c r="Q117" s="6">
        <f>'Results - raw data ReCiPe (E)'!AR104</f>
        <v>8.4149742944760532E-5</v>
      </c>
      <c r="R117" s="6">
        <f>'Results - raw data ReCiPe (E)'!AS104</f>
        <v>8.4100171097197348E-5</v>
      </c>
      <c r="S117" s="6">
        <f>'Results - raw data ReCiPe (E)'!AT104</f>
        <v>8.4051075894570141E-5</v>
      </c>
      <c r="T117" s="6">
        <f>'Results - raw data ReCiPe (E)'!AU104</f>
        <v>8.4022324846170663E-5</v>
      </c>
      <c r="U117" s="6">
        <f>'Results - raw data ReCiPe (E)'!AV104</f>
        <v>8.3974643200084739E-5</v>
      </c>
      <c r="V117" s="6">
        <f>'Results - raw data ReCiPe (E)'!AW104</f>
        <v>8.3927396701806331E-5</v>
      </c>
      <c r="W117" s="6">
        <f>'Results - raw data ReCiPe (E)'!AX104</f>
        <v>8.3912901277463149E-5</v>
      </c>
      <c r="X117" s="6">
        <f>'Results - raw data ReCiPe (E)'!AY104</f>
        <v>8.388285103802466E-5</v>
      </c>
      <c r="Y117" s="6">
        <f>'Results - raw data ReCiPe (E)'!AZ104</f>
        <v>8.3852901737358851E-5</v>
      </c>
      <c r="Z117" s="6">
        <f>'Results - raw data ReCiPe (E)'!BA104</f>
        <v>8.3823048059039279E-5</v>
      </c>
    </row>
    <row r="118" spans="1:31" outlineLevel="1" x14ac:dyDescent="0.35">
      <c r="A118" s="6" t="s">
        <v>758</v>
      </c>
      <c r="B118" s="6">
        <f>'Results - raw data ReCiPe (E)'!AC105*$AC$87</f>
        <v>1.456084525219708E-4</v>
      </c>
      <c r="C118" s="6">
        <f>'Results - raw data ReCiPe (E)'!AD105*$AC$87</f>
        <v>1.4017468893098069E-4</v>
      </c>
      <c r="D118" s="6">
        <f>'Results - raw data ReCiPe (E)'!AE105*$AC$87</f>
        <v>1.3475952580976081E-4</v>
      </c>
      <c r="E118" s="6">
        <f>'Results - raw data ReCiPe (E)'!AF105*$AC$87</f>
        <v>1.293335500761272E-4</v>
      </c>
      <c r="F118" s="6">
        <f>'Results - raw data ReCiPe (E)'!AG105*$AC$87</f>
        <v>1.2395062622680859E-4</v>
      </c>
      <c r="G118" s="6">
        <f>'Results - raw data ReCiPe (E)'!AH105*$AC$87</f>
        <v>1.185834295987205E-4</v>
      </c>
      <c r="H118" s="6">
        <f>'Results - raw data ReCiPe (E)'!AI105*$AC$87</f>
        <v>1.1771060585217591E-4</v>
      </c>
      <c r="I118" s="6">
        <f>'Results - raw data ReCiPe (E)'!AJ105*$AC$87</f>
        <v>1.16833943721544E-4</v>
      </c>
      <c r="J118" s="6">
        <f>'Results - raw data ReCiPe (E)'!AK105*$AC$87</f>
        <v>1.159652418509333E-4</v>
      </c>
      <c r="K118" s="6">
        <f>'Results - raw data ReCiPe (E)'!AL105*$AC$87</f>
        <v>1.1508263612706489E-4</v>
      </c>
      <c r="L118" s="6">
        <f>'Results - raw data ReCiPe (E)'!AM105*$AC$87</f>
        <v>1.141964847306081E-4</v>
      </c>
      <c r="M118" s="6">
        <f>'Results - raw data ReCiPe (E)'!AN105*$AC$87</f>
        <v>1.133380361355944E-4</v>
      </c>
      <c r="N118" s="6">
        <f>'Results - raw data ReCiPe (E)'!AO105*$AC$87</f>
        <v>1.124802198269645E-4</v>
      </c>
      <c r="O118" s="6">
        <f>'Results - raw data ReCiPe (E)'!AP105*$AC$87</f>
        <v>1.1164524655020241E-4</v>
      </c>
      <c r="P118" s="6">
        <f>'Results - raw data ReCiPe (E)'!AQ105*$AC$87</f>
        <v>1.10787010495255E-4</v>
      </c>
      <c r="Q118" s="6">
        <f>'Results - raw data ReCiPe (E)'!AR105*$AC$87</f>
        <v>1.099285088707221E-4</v>
      </c>
      <c r="R118" s="6">
        <f>'Results - raw data ReCiPe (E)'!AS105*$AC$87</f>
        <v>1.0901691646877621E-4</v>
      </c>
      <c r="S118" s="6">
        <f>'Results - raw data ReCiPe (E)'!AT105*$AC$87</f>
        <v>1.081053784874311E-4</v>
      </c>
      <c r="T118" s="6">
        <f>'Results - raw data ReCiPe (E)'!AU105*$AC$87</f>
        <v>1.072136947078792E-4</v>
      </c>
      <c r="U118" s="6">
        <f>'Results - raw data ReCiPe (E)'!AV105*$AC$87</f>
        <v>1.0630277243236071E-4</v>
      </c>
      <c r="V118" s="6">
        <f>'Results - raw data ReCiPe (E)'!AW105*$AC$87</f>
        <v>1.0539194848440001E-4</v>
      </c>
      <c r="W118" s="6">
        <f>'Results - raw data ReCiPe (E)'!AX105*$AC$87</f>
        <v>1.0476727799141969E-4</v>
      </c>
      <c r="X118" s="6">
        <f>'Results - raw data ReCiPe (E)'!AY105*$AC$87</f>
        <v>1.0406991524002318E-4</v>
      </c>
      <c r="Y118" s="6">
        <f>'Results - raw data ReCiPe (E)'!AZ105*$AC$87</f>
        <v>1.0337310314103419E-4</v>
      </c>
      <c r="Z118" s="6">
        <f>'Results - raw data ReCiPe (E)'!BA105*$AC$87</f>
        <v>1.0267660315129621E-4</v>
      </c>
    </row>
    <row r="119" spans="1:31" outlineLevel="1" x14ac:dyDescent="0.35">
      <c r="A119" s="6" t="s">
        <v>759</v>
      </c>
      <c r="B119" s="6">
        <f>'Results - raw data ReCiPe (E)'!AC106</f>
        <v>2.0736000294618859E-7</v>
      </c>
      <c r="C119" s="6">
        <f>'Results - raw data ReCiPe (E)'!AD106</f>
        <v>2.0736000294618859E-7</v>
      </c>
      <c r="D119" s="6">
        <f>'Results - raw data ReCiPe (E)'!AE106</f>
        <v>2.0736000294618859E-7</v>
      </c>
      <c r="E119" s="6">
        <f>'Results - raw data ReCiPe (E)'!AF106</f>
        <v>2.0736000294618859E-7</v>
      </c>
      <c r="F119" s="6">
        <f>'Results - raw data ReCiPe (E)'!AG106</f>
        <v>2.0736000294618859E-7</v>
      </c>
      <c r="G119" s="6">
        <f>'Results - raw data ReCiPe (E)'!AH106</f>
        <v>2.0736000294618859E-7</v>
      </c>
      <c r="H119" s="6">
        <f>'Results - raw data ReCiPe (E)'!AI106</f>
        <v>2.0736000294618859E-7</v>
      </c>
      <c r="I119" s="6">
        <f>'Results - raw data ReCiPe (E)'!AJ106</f>
        <v>2.0736000294618859E-7</v>
      </c>
      <c r="J119" s="6">
        <f>'Results - raw data ReCiPe (E)'!AK106</f>
        <v>2.0736000294618859E-7</v>
      </c>
      <c r="K119" s="6">
        <f>'Results - raw data ReCiPe (E)'!AL106</f>
        <v>2.0736000294618859E-7</v>
      </c>
      <c r="L119" s="6">
        <f>'Results - raw data ReCiPe (E)'!AM106</f>
        <v>2.0736000294618859E-7</v>
      </c>
      <c r="M119" s="6">
        <f>'Results - raw data ReCiPe (E)'!AN106</f>
        <v>2.0736000294618859E-7</v>
      </c>
      <c r="N119" s="6">
        <f>'Results - raw data ReCiPe (E)'!AO106</f>
        <v>2.0736000294618859E-7</v>
      </c>
      <c r="O119" s="6">
        <f>'Results - raw data ReCiPe (E)'!AP106</f>
        <v>2.0736000294618859E-7</v>
      </c>
      <c r="P119" s="6">
        <f>'Results - raw data ReCiPe (E)'!AQ106</f>
        <v>2.0736000294618859E-7</v>
      </c>
      <c r="Q119" s="6">
        <f>'Results - raw data ReCiPe (E)'!AR106</f>
        <v>2.0736000294618859E-7</v>
      </c>
      <c r="R119" s="6">
        <f>'Results - raw data ReCiPe (E)'!AS106</f>
        <v>2.0736000294618859E-7</v>
      </c>
      <c r="S119" s="6">
        <f>'Results - raw data ReCiPe (E)'!AT106</f>
        <v>2.0736000294618859E-7</v>
      </c>
      <c r="T119" s="6">
        <f>'Results - raw data ReCiPe (E)'!AU106</f>
        <v>2.0736000294618859E-7</v>
      </c>
      <c r="U119" s="6">
        <f>'Results - raw data ReCiPe (E)'!AV106</f>
        <v>2.0736000294618859E-7</v>
      </c>
      <c r="V119" s="6">
        <f>'Results - raw data ReCiPe (E)'!AW106</f>
        <v>2.0736000294618859E-7</v>
      </c>
      <c r="W119" s="6">
        <f>'Results - raw data ReCiPe (E)'!AX106</f>
        <v>2.0736000294618859E-7</v>
      </c>
      <c r="X119" s="6">
        <f>'Results - raw data ReCiPe (E)'!AY106</f>
        <v>2.0736000294618859E-7</v>
      </c>
      <c r="Y119" s="6">
        <f>'Results - raw data ReCiPe (E)'!AZ106</f>
        <v>2.0736000294618859E-7</v>
      </c>
      <c r="Z119" s="6">
        <f>'Results - raw data ReCiPe (E)'!BA106</f>
        <v>2.0736000294618859E-7</v>
      </c>
    </row>
    <row r="120" spans="1:31" outlineLevel="1" x14ac:dyDescent="0.35">
      <c r="A120" s="6" t="s">
        <v>760</v>
      </c>
      <c r="B120" s="6">
        <f>'Results - raw data ReCiPe (E)'!AC107</f>
        <v>7.7821279872604897E-4</v>
      </c>
      <c r="C120" s="6">
        <f>'Results - raw data ReCiPe (E)'!AD107</f>
        <v>7.0556245209434944E-4</v>
      </c>
      <c r="D120" s="6">
        <f>'Results - raw data ReCiPe (E)'!AE107</f>
        <v>6.3268443865113061E-4</v>
      </c>
      <c r="E120" s="6">
        <f>'Results - raw data ReCiPe (E)'!AF107</f>
        <v>5.5926667866187528E-4</v>
      </c>
      <c r="F120" s="6">
        <f>'Results - raw data ReCiPe (E)'!AG107</f>
        <v>4.8587463090926739E-4</v>
      </c>
      <c r="G120" s="6">
        <f>'Results - raw data ReCiPe (E)'!AH107</f>
        <v>4.122242786933685E-4</v>
      </c>
      <c r="H120" s="6">
        <f>'Results - raw data ReCiPe (E)'!AI107</f>
        <v>3.9906507755364177E-4</v>
      </c>
      <c r="I120" s="6">
        <f>'Results - raw data ReCiPe (E)'!AJ107</f>
        <v>3.8580121030021367E-4</v>
      </c>
      <c r="J120" s="6">
        <f>'Results - raw data ReCiPe (E)'!AK107</f>
        <v>3.7256902177357671E-4</v>
      </c>
      <c r="K120" s="6">
        <f>'Results - raw data ReCiPe (E)'!AL107</f>
        <v>3.591154130473406E-4</v>
      </c>
      <c r="L120" s="6">
        <f>'Results - raw data ReCiPe (E)'!AM107</f>
        <v>3.4555900805956528E-4</v>
      </c>
      <c r="M120" s="6">
        <f>'Results - raw data ReCiPe (E)'!AN107</f>
        <v>3.350452899723279E-4</v>
      </c>
      <c r="N120" s="6">
        <f>'Results - raw data ReCiPe (E)'!AO107</f>
        <v>3.2454825505351441E-4</v>
      </c>
      <c r="O120" s="6">
        <f>'Results - raw data ReCiPe (E)'!AP107</f>
        <v>3.1434250231036562E-4</v>
      </c>
      <c r="P120" s="6">
        <f>'Results - raw data ReCiPe (E)'!AQ107</f>
        <v>3.0385675515424353E-4</v>
      </c>
      <c r="Q120" s="6">
        <f>'Results - raw data ReCiPe (E)'!AR107</f>
        <v>2.9337683681233398E-4</v>
      </c>
      <c r="R120" s="6">
        <f>'Results - raw data ReCiPe (E)'!AS107</f>
        <v>2.8641463527756029E-4</v>
      </c>
      <c r="S120" s="6">
        <f>'Results - raw data ReCiPe (E)'!AT107</f>
        <v>2.7949431088231759E-4</v>
      </c>
      <c r="T120" s="6">
        <f>'Results - raw data ReCiPe (E)'!AU107</f>
        <v>2.7285790020564532E-4</v>
      </c>
      <c r="U120" s="6">
        <f>'Results - raw data ReCiPe (E)'!AV107</f>
        <v>2.6602742532955771E-4</v>
      </c>
      <c r="V120" s="6">
        <f>'Results - raw data ReCiPe (E)'!AW107</f>
        <v>2.5924007978762902E-4</v>
      </c>
      <c r="W120" s="6">
        <f>'Results - raw data ReCiPe (E)'!AX107</f>
        <v>2.4949815524822781E-4</v>
      </c>
      <c r="X120" s="6">
        <f>'Results - raw data ReCiPe (E)'!AY107</f>
        <v>2.388591189318432E-4</v>
      </c>
      <c r="Y120" s="6">
        <f>'Results - raw data ReCiPe (E)'!AZ107</f>
        <v>2.2819559137785209E-4</v>
      </c>
      <c r="Z120" s="6">
        <f>'Results - raw data ReCiPe (E)'!BA107</f>
        <v>2.175052902308466E-4</v>
      </c>
    </row>
    <row r="121" spans="1:31" outlineLevel="1" x14ac:dyDescent="0.35">
      <c r="A121" s="23" t="s">
        <v>125</v>
      </c>
      <c r="B121" s="17">
        <f t="shared" ref="B121:Z121" si="14">SUM(B90:B120)</f>
        <v>8.2985317194392821E-3</v>
      </c>
      <c r="C121" s="17">
        <f t="shared" si="14"/>
        <v>9.333047364401758E-4</v>
      </c>
      <c r="D121" s="17">
        <f t="shared" si="14"/>
        <v>8.5441682828862994E-4</v>
      </c>
      <c r="E121" s="17">
        <f t="shared" si="14"/>
        <v>7.7488778495471249E-4</v>
      </c>
      <c r="F121" s="17">
        <f t="shared" si="14"/>
        <v>6.9549667193302461E-4</v>
      </c>
      <c r="G121" s="17">
        <f t="shared" si="14"/>
        <v>6.1584978138453901E-4</v>
      </c>
      <c r="H121" s="17">
        <f t="shared" si="14"/>
        <v>6.0168407112137128E-4</v>
      </c>
      <c r="I121" s="17">
        <f t="shared" si="14"/>
        <v>5.8741113516329031E-4</v>
      </c>
      <c r="J121" s="17">
        <f t="shared" si="14"/>
        <v>5.7320038481835562E-4</v>
      </c>
      <c r="K121" s="17">
        <f t="shared" si="14"/>
        <v>5.5873545331629865E-4</v>
      </c>
      <c r="L121" s="17">
        <f t="shared" si="14"/>
        <v>5.4416522038457993E-4</v>
      </c>
      <c r="M121" s="17">
        <f t="shared" si="14"/>
        <v>5.3277824050792935E-4</v>
      </c>
      <c r="N121" s="17">
        <f t="shared" si="14"/>
        <v>5.2140840953017182E-4</v>
      </c>
      <c r="O121" s="17">
        <f t="shared" si="14"/>
        <v>5.1037536294069267E-4</v>
      </c>
      <c r="P121" s="17">
        <f t="shared" si="14"/>
        <v>4.9901631427306864E-4</v>
      </c>
      <c r="Q121" s="17">
        <f t="shared" si="14"/>
        <v>4.8766244863076278E-4</v>
      </c>
      <c r="R121" s="17">
        <f t="shared" si="14"/>
        <v>4.7973908284648002E-4</v>
      </c>
      <c r="S121" s="17">
        <f t="shared" si="14"/>
        <v>4.7185812526726501E-4</v>
      </c>
      <c r="T121" s="17">
        <f t="shared" si="14"/>
        <v>4.6430127976264136E-4</v>
      </c>
      <c r="U121" s="17">
        <f t="shared" si="14"/>
        <v>4.5651220096494934E-4</v>
      </c>
      <c r="V121" s="17">
        <f t="shared" si="14"/>
        <v>4.4876678497678157E-4</v>
      </c>
      <c r="W121" s="17">
        <f t="shared" si="14"/>
        <v>4.3838569452005682E-4</v>
      </c>
      <c r="X121" s="17">
        <f t="shared" si="14"/>
        <v>4.2701924521283723E-4</v>
      </c>
      <c r="Y121" s="17">
        <f t="shared" si="14"/>
        <v>4.1562895625919132E-4</v>
      </c>
      <c r="Z121" s="17">
        <f t="shared" si="14"/>
        <v>4.9311134891651327E-4</v>
      </c>
    </row>
    <row r="122" spans="1:31" s="26" customFormat="1" outlineLevel="1" x14ac:dyDescent="0.35"/>
    <row r="123" spans="1:31" s="221" customFormat="1" ht="21" x14ac:dyDescent="0.5">
      <c r="A123" s="229" t="s">
        <v>850</v>
      </c>
    </row>
    <row r="124" spans="1:31" s="18" customFormat="1" ht="21" x14ac:dyDescent="0.5">
      <c r="A124" s="18" t="s">
        <v>72</v>
      </c>
    </row>
    <row r="125" spans="1:31" s="20" customFormat="1" outlineLevel="1" x14ac:dyDescent="0.35">
      <c r="A125" s="19" t="s">
        <v>766</v>
      </c>
    </row>
    <row r="126" spans="1:31" s="16" customFormat="1" outlineLevel="1" x14ac:dyDescent="0.35">
      <c r="A126" s="21"/>
      <c r="AB126" s="15" t="s">
        <v>143</v>
      </c>
      <c r="AC126" s="16">
        <f>0.000000025+0.000000000000682</f>
        <v>2.5000681999999998E-8</v>
      </c>
      <c r="AD126" s="16" t="s">
        <v>916</v>
      </c>
      <c r="AE126" s="15" t="s">
        <v>714</v>
      </c>
    </row>
    <row r="127" spans="1:31" s="16" customFormat="1" outlineLevel="1" x14ac:dyDescent="0.35">
      <c r="A127" s="22" t="s">
        <v>917</v>
      </c>
      <c r="AC127" s="16">
        <f>AC126*1000</f>
        <v>2.5000681999999997E-5</v>
      </c>
      <c r="AD127" s="16" t="s">
        <v>918</v>
      </c>
    </row>
    <row r="128" spans="1:31" s="16" customFormat="1" outlineLevel="1" x14ac:dyDescent="0.35">
      <c r="A128" s="22"/>
      <c r="AB128" s="16" t="s">
        <v>127</v>
      </c>
      <c r="AC128" s="16">
        <v>100</v>
      </c>
      <c r="AD128" s="16" t="s">
        <v>128</v>
      </c>
    </row>
    <row r="129" spans="1:53" s="16" customFormat="1" outlineLevel="1" x14ac:dyDescent="0.35">
      <c r="A129" s="230" t="s">
        <v>768</v>
      </c>
      <c r="AB129" s="16" t="s">
        <v>20</v>
      </c>
      <c r="AC129" s="16">
        <v>0.23</v>
      </c>
      <c r="AD129" s="16" t="s">
        <v>715</v>
      </c>
    </row>
    <row r="130" spans="1:53" s="16" customFormat="1" outlineLevel="1" x14ac:dyDescent="0.35">
      <c r="A130" s="22"/>
      <c r="AB130" s="16" t="s">
        <v>129</v>
      </c>
      <c r="AC130" s="16">
        <v>25</v>
      </c>
      <c r="AD130" s="16" t="s">
        <v>130</v>
      </c>
    </row>
    <row r="131" spans="1:53" outlineLevel="1" x14ac:dyDescent="0.35">
      <c r="B131" s="25">
        <v>2030</v>
      </c>
      <c r="C131" s="25">
        <v>2031</v>
      </c>
      <c r="D131" s="25">
        <v>2032</v>
      </c>
      <c r="E131" s="25">
        <v>2033</v>
      </c>
      <c r="F131" s="25">
        <v>2034</v>
      </c>
      <c r="G131" s="25">
        <v>2035</v>
      </c>
      <c r="H131" s="25">
        <v>2036</v>
      </c>
      <c r="I131" s="25">
        <v>2037</v>
      </c>
      <c r="J131" s="25">
        <v>2038</v>
      </c>
      <c r="K131" s="25">
        <v>2039</v>
      </c>
      <c r="L131" s="25">
        <v>2040</v>
      </c>
      <c r="M131" s="25">
        <v>2041</v>
      </c>
      <c r="N131" s="25">
        <v>2042</v>
      </c>
      <c r="O131" s="25">
        <v>2043</v>
      </c>
      <c r="P131" s="25">
        <v>2044</v>
      </c>
      <c r="Q131" s="25">
        <v>2045</v>
      </c>
      <c r="R131" s="25">
        <v>2046</v>
      </c>
      <c r="S131" s="25">
        <v>2047</v>
      </c>
      <c r="T131" s="25">
        <v>2048</v>
      </c>
      <c r="U131" s="25">
        <v>2049</v>
      </c>
      <c r="V131" s="25">
        <v>2050</v>
      </c>
      <c r="W131" s="25">
        <v>2051</v>
      </c>
      <c r="X131" s="25">
        <v>2052</v>
      </c>
      <c r="Y131" s="25">
        <v>2053</v>
      </c>
      <c r="Z131" s="25">
        <v>2054</v>
      </c>
      <c r="AC131" s="25">
        <v>2030</v>
      </c>
      <c r="AD131" s="25">
        <v>2031</v>
      </c>
      <c r="AE131" s="25">
        <v>2032</v>
      </c>
      <c r="AF131" s="25">
        <v>2033</v>
      </c>
      <c r="AG131" s="25">
        <v>2034</v>
      </c>
      <c r="AH131" s="25">
        <v>2035</v>
      </c>
      <c r="AI131" s="25">
        <v>2036</v>
      </c>
      <c r="AJ131" s="25">
        <v>2037</v>
      </c>
      <c r="AK131" s="25">
        <v>2038</v>
      </c>
      <c r="AL131" s="25">
        <v>2039</v>
      </c>
      <c r="AM131" s="25">
        <v>2040</v>
      </c>
      <c r="AN131" s="25">
        <v>2041</v>
      </c>
      <c r="AO131" s="25">
        <v>2042</v>
      </c>
      <c r="AP131" s="25">
        <v>2043</v>
      </c>
      <c r="AQ131" s="25">
        <v>2044</v>
      </c>
      <c r="AR131" s="25">
        <v>2045</v>
      </c>
      <c r="AS131" s="25">
        <v>2046</v>
      </c>
      <c r="AT131" s="25">
        <v>2047</v>
      </c>
      <c r="AU131" s="25">
        <v>2048</v>
      </c>
      <c r="AV131" s="25">
        <v>2049</v>
      </c>
      <c r="AW131" s="25">
        <v>2050</v>
      </c>
      <c r="AX131" s="25">
        <v>2051</v>
      </c>
      <c r="AY131" s="25">
        <v>2052</v>
      </c>
      <c r="AZ131" s="25">
        <v>2053</v>
      </c>
      <c r="BA131" s="25">
        <v>2054</v>
      </c>
    </row>
    <row r="132" spans="1:53" outlineLevel="1" x14ac:dyDescent="0.35">
      <c r="A132" s="6" t="s">
        <v>21</v>
      </c>
      <c r="B132" s="6">
        <f>'Results - raw data ReCiPe (E)'!AC5</f>
        <v>1.002788540668134E-4</v>
      </c>
      <c r="AB132" s="6" t="s">
        <v>117</v>
      </c>
      <c r="AC132" s="6">
        <f>SUM(B132:B143)+B145</f>
        <v>7.5205433444198531E-3</v>
      </c>
    </row>
    <row r="133" spans="1:53" outlineLevel="1" x14ac:dyDescent="0.35">
      <c r="A133" s="6" t="s">
        <v>23</v>
      </c>
      <c r="B133" s="6">
        <f>'Results - raw data ReCiPe (E)'!AC6</f>
        <v>1.894301368876283E-4</v>
      </c>
      <c r="AB133" s="6" t="s">
        <v>118</v>
      </c>
      <c r="AC133" s="6">
        <f>B144</f>
        <v>2.1953654340738595E-4</v>
      </c>
    </row>
    <row r="134" spans="1:53" outlineLevel="1" x14ac:dyDescent="0.35">
      <c r="A134" s="6" t="s">
        <v>26</v>
      </c>
      <c r="B134" s="6">
        <f>'Results - raw data ReCiPe (E)'!AC7</f>
        <v>4.0249601495511561E-4</v>
      </c>
      <c r="AB134" s="6" t="s">
        <v>119</v>
      </c>
      <c r="BA134" s="6">
        <f>SUM(Z146:Z157)</f>
        <v>9.2556580539513285E-5</v>
      </c>
    </row>
    <row r="135" spans="1:53" outlineLevel="1" x14ac:dyDescent="0.35">
      <c r="A135" s="6" t="s">
        <v>28</v>
      </c>
      <c r="B135" s="6">
        <f>'Results - raw data ReCiPe (E)'!AC8</f>
        <v>1.8239184765488E-4</v>
      </c>
      <c r="AB135" s="6" t="s">
        <v>120</v>
      </c>
      <c r="BA135" s="6">
        <f>Z158</f>
        <v>1.6915974917172185E-6</v>
      </c>
    </row>
    <row r="136" spans="1:53" outlineLevel="1" x14ac:dyDescent="0.35">
      <c r="A136" s="6" t="s">
        <v>29</v>
      </c>
      <c r="B136" s="6">
        <f>'Results - raw data ReCiPe (E)'!AC9</f>
        <v>3.1594695418384348E-4</v>
      </c>
      <c r="AB136" s="6" t="s">
        <v>121</v>
      </c>
      <c r="AC136" s="6">
        <f>B159</f>
        <v>9.6070786883955476E-5</v>
      </c>
      <c r="AF136" s="6">
        <f>E159</f>
        <v>9.5821625581055684E-5</v>
      </c>
      <c r="AI136" s="6">
        <f>H159</f>
        <v>9.5829318269014544E-5</v>
      </c>
      <c r="AL136" s="6">
        <f>K159</f>
        <v>9.6195219555553151E-5</v>
      </c>
      <c r="AO136" s="6">
        <f>N159</f>
        <v>9.671044208302645E-5</v>
      </c>
      <c r="AR136" s="6">
        <f>Q159</f>
        <v>9.7352908438601063E-5</v>
      </c>
      <c r="AU136" s="6">
        <f>T159</f>
        <v>9.6952281836548256E-5</v>
      </c>
      <c r="AX136" s="6">
        <f>W159</f>
        <v>9.6376407293463591E-5</v>
      </c>
      <c r="BA136" s="6">
        <f>Z159</f>
        <v>9.5439879467151915E-5</v>
      </c>
    </row>
    <row r="137" spans="1:53" outlineLevel="1" x14ac:dyDescent="0.35">
      <c r="A137" s="6" t="s">
        <v>31</v>
      </c>
      <c r="B137" s="6">
        <f>'Results - raw data ReCiPe (E)'!AC10</f>
        <v>2.3697363961662989E-4</v>
      </c>
      <c r="AB137" s="6" t="s">
        <v>122</v>
      </c>
      <c r="AC137" s="6">
        <f>B162+B161</f>
        <v>1.7130098203942637E-3</v>
      </c>
      <c r="AD137" s="6">
        <f t="shared" ref="AD137:BA137" si="15">C162+C161</f>
        <v>1.7085103746382454E-3</v>
      </c>
      <c r="AE137" s="6">
        <f t="shared" si="15"/>
        <v>1.7039953474628832E-3</v>
      </c>
      <c r="AF137" s="6">
        <f t="shared" si="15"/>
        <v>1.6991407612738472E-3</v>
      </c>
      <c r="AG137" s="6">
        <f t="shared" si="15"/>
        <v>1.6945930439044915E-3</v>
      </c>
      <c r="AH137" s="6">
        <f t="shared" si="15"/>
        <v>1.6900267152200178E-3</v>
      </c>
      <c r="AI137" s="6">
        <f t="shared" si="15"/>
        <v>1.8248178162741683E-3</v>
      </c>
      <c r="AJ137" s="6">
        <f t="shared" si="15"/>
        <v>1.9594280491649217E-3</v>
      </c>
      <c r="AK137" s="6">
        <f t="shared" si="15"/>
        <v>2.0939463807402919E-3</v>
      </c>
      <c r="AL137" s="6">
        <f t="shared" si="15"/>
        <v>2.2283349713968972E-3</v>
      </c>
      <c r="AM137" s="6">
        <f t="shared" si="15"/>
        <v>2.3625624356746603E-3</v>
      </c>
      <c r="AN137" s="6">
        <f t="shared" si="15"/>
        <v>2.6187212840031874E-3</v>
      </c>
      <c r="AO137" s="6">
        <f t="shared" si="15"/>
        <v>2.8755064710469813E-3</v>
      </c>
      <c r="AP137" s="6">
        <f t="shared" si="15"/>
        <v>3.1330984840610872E-3</v>
      </c>
      <c r="AQ137" s="6">
        <f t="shared" si="15"/>
        <v>3.3911433304197693E-3</v>
      </c>
      <c r="AR137" s="6">
        <f t="shared" si="15"/>
        <v>3.6498277507463922E-3</v>
      </c>
      <c r="AS137" s="6">
        <f t="shared" si="15"/>
        <v>3.6697062788360185E-3</v>
      </c>
      <c r="AT137" s="6">
        <f t="shared" si="15"/>
        <v>3.6895699852511907E-3</v>
      </c>
      <c r="AU137" s="6">
        <f t="shared" si="15"/>
        <v>3.7095341901348233E-3</v>
      </c>
      <c r="AV137" s="6">
        <f t="shared" si="15"/>
        <v>3.7293689194388253E-3</v>
      </c>
      <c r="AW137" s="6">
        <f t="shared" si="15"/>
        <v>3.7491908583130139E-3</v>
      </c>
      <c r="AX137" s="6">
        <f t="shared" si="15"/>
        <v>3.6457130044412864E-3</v>
      </c>
      <c r="AY137" s="6">
        <f t="shared" si="15"/>
        <v>3.5374462610666072E-3</v>
      </c>
      <c r="AZ137" s="6">
        <f t="shared" si="15"/>
        <v>3.4288096152501049E-3</v>
      </c>
      <c r="BA137" s="6">
        <f t="shared" si="15"/>
        <v>3.3197995781245695E-3</v>
      </c>
    </row>
    <row r="138" spans="1:53" outlineLevel="1" x14ac:dyDescent="0.35">
      <c r="A138" s="6" t="s">
        <v>34</v>
      </c>
      <c r="B138" s="6">
        <f>'Results - raw data ReCiPe (E)'!AC11</f>
        <v>2.1009548515794709E-4</v>
      </c>
      <c r="AB138" s="6" t="s">
        <v>123</v>
      </c>
      <c r="AC138" s="6">
        <f t="shared" ref="AC138:BA138" si="16">B160</f>
        <v>5.5704306774635861E-7</v>
      </c>
      <c r="AD138" s="6">
        <f t="shared" si="16"/>
        <v>5.5578781478436711E-7</v>
      </c>
      <c r="AE138" s="6">
        <f t="shared" si="16"/>
        <v>5.5453101963575786E-7</v>
      </c>
      <c r="AF138" s="6">
        <f t="shared" si="16"/>
        <v>5.532043184037725E-7</v>
      </c>
      <c r="AG138" s="6">
        <f t="shared" si="16"/>
        <v>5.5194357671639628E-7</v>
      </c>
      <c r="AH138" s="6">
        <f t="shared" si="16"/>
        <v>5.506807324077468E-7</v>
      </c>
      <c r="AI138" s="6">
        <f t="shared" si="16"/>
        <v>5.8128019134522022E-7</v>
      </c>
      <c r="AJ138" s="6">
        <f t="shared" si="16"/>
        <v>6.1175054423136818E-7</v>
      </c>
      <c r="AK138" s="6">
        <f t="shared" si="16"/>
        <v>6.4211124223443625E-7</v>
      </c>
      <c r="AL138" s="6">
        <f t="shared" si="16"/>
        <v>6.7235630773165469E-7</v>
      </c>
      <c r="AM138" s="6">
        <f t="shared" si="16"/>
        <v>7.024777256708064E-7</v>
      </c>
      <c r="AN138" s="6">
        <f t="shared" si="16"/>
        <v>7.6023541100293324E-7</v>
      </c>
      <c r="AO138" s="6">
        <f t="shared" si="16"/>
        <v>8.1800281936731393E-7</v>
      </c>
      <c r="AP138" s="6">
        <f t="shared" si="16"/>
        <v>8.7581765853991049E-7</v>
      </c>
      <c r="AQ138" s="6">
        <f t="shared" si="16"/>
        <v>9.3360493940671723E-7</v>
      </c>
      <c r="AR138" s="6">
        <f t="shared" si="16"/>
        <v>9.9140300061212511E-7</v>
      </c>
      <c r="AS138" s="6">
        <f t="shared" si="16"/>
        <v>9.9529351534045399E-7</v>
      </c>
      <c r="AT138" s="6">
        <f t="shared" si="16"/>
        <v>9.9917164212807048E-7</v>
      </c>
      <c r="AU138" s="6">
        <f t="shared" si="16"/>
        <v>1.0030609827978977E-6</v>
      </c>
      <c r="AV138" s="6">
        <f t="shared" si="16"/>
        <v>1.006914514932204E-6</v>
      </c>
      <c r="AW138" s="6">
        <f t="shared" si="16"/>
        <v>1.0107561468465621E-6</v>
      </c>
      <c r="AX138" s="6">
        <f t="shared" si="16"/>
        <v>9.8634821001391628E-7</v>
      </c>
      <c r="AY138" s="6">
        <f t="shared" si="16"/>
        <v>9.6095588346336296E-7</v>
      </c>
      <c r="AZ138" s="6">
        <f t="shared" si="16"/>
        <v>9.3557843594790124E-7</v>
      </c>
      <c r="BA138" s="6">
        <f t="shared" si="16"/>
        <v>9.1021529685242282E-7</v>
      </c>
    </row>
    <row r="139" spans="1:53" outlineLevel="1" x14ac:dyDescent="0.35">
      <c r="A139" s="6" t="s">
        <v>36</v>
      </c>
      <c r="B139" s="6">
        <f>'Results - raw data ReCiPe (E)'!AC12</f>
        <v>1.8816871110084919E-4</v>
      </c>
      <c r="AB139" s="6" t="s">
        <v>124</v>
      </c>
      <c r="AC139" s="6">
        <f>-$AC$6*$AC$7</f>
        <v>-2.5000681999999995E-3</v>
      </c>
      <c r="AD139" s="6">
        <f t="shared" ref="AD139:BA139" si="17">-$AC$6*$AC$7</f>
        <v>-2.5000681999999995E-3</v>
      </c>
      <c r="AE139" s="6">
        <f t="shared" si="17"/>
        <v>-2.5000681999999995E-3</v>
      </c>
      <c r="AF139" s="6">
        <f t="shared" si="17"/>
        <v>-2.5000681999999995E-3</v>
      </c>
      <c r="AG139" s="6">
        <f t="shared" si="17"/>
        <v>-2.5000681999999995E-3</v>
      </c>
      <c r="AH139" s="6">
        <f t="shared" si="17"/>
        <v>-2.5000681999999995E-3</v>
      </c>
      <c r="AI139" s="6">
        <f t="shared" si="17"/>
        <v>-2.5000681999999995E-3</v>
      </c>
      <c r="AJ139" s="6">
        <f t="shared" si="17"/>
        <v>-2.5000681999999995E-3</v>
      </c>
      <c r="AK139" s="6">
        <f t="shared" si="17"/>
        <v>-2.5000681999999995E-3</v>
      </c>
      <c r="AL139" s="6">
        <f t="shared" si="17"/>
        <v>-2.5000681999999995E-3</v>
      </c>
      <c r="AM139" s="6">
        <f t="shared" si="17"/>
        <v>-2.5000681999999995E-3</v>
      </c>
      <c r="AN139" s="6">
        <f t="shared" si="17"/>
        <v>-2.5000681999999995E-3</v>
      </c>
      <c r="AO139" s="6">
        <f t="shared" si="17"/>
        <v>-2.5000681999999995E-3</v>
      </c>
      <c r="AP139" s="6">
        <f t="shared" si="17"/>
        <v>-2.5000681999999995E-3</v>
      </c>
      <c r="AQ139" s="6">
        <f t="shared" si="17"/>
        <v>-2.5000681999999995E-3</v>
      </c>
      <c r="AR139" s="6">
        <f t="shared" si="17"/>
        <v>-2.5000681999999995E-3</v>
      </c>
      <c r="AS139" s="6">
        <f t="shared" si="17"/>
        <v>-2.5000681999999995E-3</v>
      </c>
      <c r="AT139" s="6">
        <f t="shared" si="17"/>
        <v>-2.5000681999999995E-3</v>
      </c>
      <c r="AU139" s="6">
        <f t="shared" si="17"/>
        <v>-2.5000681999999995E-3</v>
      </c>
      <c r="AV139" s="6">
        <f t="shared" si="17"/>
        <v>-2.5000681999999995E-3</v>
      </c>
      <c r="AW139" s="6">
        <f t="shared" si="17"/>
        <v>-2.5000681999999995E-3</v>
      </c>
      <c r="AX139" s="6">
        <f t="shared" si="17"/>
        <v>-2.5000681999999995E-3</v>
      </c>
      <c r="AY139" s="6">
        <f t="shared" si="17"/>
        <v>-2.5000681999999995E-3</v>
      </c>
      <c r="AZ139" s="6">
        <f t="shared" si="17"/>
        <v>-2.5000681999999995E-3</v>
      </c>
      <c r="BA139" s="6">
        <f t="shared" si="17"/>
        <v>-2.5000681999999995E-3</v>
      </c>
    </row>
    <row r="140" spans="1:53" outlineLevel="1" x14ac:dyDescent="0.35">
      <c r="A140" s="6" t="s">
        <v>38</v>
      </c>
      <c r="B140" s="6">
        <f>'Results - raw data ReCiPe (E)'!AC13</f>
        <v>4.1583412360390951E-4</v>
      </c>
      <c r="AB140" s="23" t="s">
        <v>125</v>
      </c>
      <c r="AC140" s="17">
        <f t="shared" ref="AC140:BA140" si="18">SUM(AC132:AC139)</f>
        <v>7.0496493381732054E-3</v>
      </c>
      <c r="AD140" s="17">
        <f t="shared" si="18"/>
        <v>-7.9100203754696972E-4</v>
      </c>
      <c r="AE140" s="17">
        <f t="shared" si="18"/>
        <v>-7.9551832151748044E-4</v>
      </c>
      <c r="AF140" s="17">
        <f t="shared" si="18"/>
        <v>-7.0455260882669284E-4</v>
      </c>
      <c r="AG140" s="17">
        <f t="shared" si="18"/>
        <v>-8.0492321251879155E-4</v>
      </c>
      <c r="AH140" s="17">
        <f t="shared" si="18"/>
        <v>-8.0949080404757391E-4</v>
      </c>
      <c r="AI140" s="17">
        <f t="shared" si="18"/>
        <v>-5.7883978526547118E-4</v>
      </c>
      <c r="AJ140" s="17">
        <f t="shared" si="18"/>
        <v>-5.4002840029084617E-4</v>
      </c>
      <c r="AK140" s="17">
        <f t="shared" si="18"/>
        <v>-4.0547970801747303E-4</v>
      </c>
      <c r="AL140" s="17">
        <f t="shared" si="18"/>
        <v>-1.7486565273981724E-4</v>
      </c>
      <c r="AM140" s="17">
        <f t="shared" si="18"/>
        <v>-1.3680328659966849E-4</v>
      </c>
      <c r="AN140" s="17">
        <f t="shared" si="18"/>
        <v>1.1941331941419091E-4</v>
      </c>
      <c r="AO140" s="17">
        <f t="shared" si="18"/>
        <v>4.7296671594937532E-4</v>
      </c>
      <c r="AP140" s="17">
        <f t="shared" si="18"/>
        <v>6.3390610171962757E-4</v>
      </c>
      <c r="AQ140" s="17">
        <f t="shared" si="18"/>
        <v>8.9200873535917645E-4</v>
      </c>
      <c r="AR140" s="17">
        <f t="shared" si="18"/>
        <v>1.2481038621856059E-3</v>
      </c>
      <c r="AS140" s="17">
        <f t="shared" si="18"/>
        <v>1.1706333723513597E-3</v>
      </c>
      <c r="AT140" s="17">
        <f t="shared" si="18"/>
        <v>1.1905009568933195E-3</v>
      </c>
      <c r="AU140" s="17">
        <f t="shared" si="18"/>
        <v>1.3074213329541703E-3</v>
      </c>
      <c r="AV140" s="17">
        <f t="shared" si="18"/>
        <v>1.2303076339537579E-3</v>
      </c>
      <c r="AW140" s="17">
        <f t="shared" si="18"/>
        <v>1.250133414459861E-3</v>
      </c>
      <c r="AX140" s="17">
        <f t="shared" si="18"/>
        <v>1.2430075599447646E-3</v>
      </c>
      <c r="AY140" s="17">
        <f t="shared" si="18"/>
        <v>1.0383390169500712E-3</v>
      </c>
      <c r="AZ140" s="17">
        <f t="shared" si="18"/>
        <v>9.2967699368605352E-4</v>
      </c>
      <c r="BA140" s="17">
        <f t="shared" si="18"/>
        <v>1.010329650919805E-3</v>
      </c>
    </row>
    <row r="141" spans="1:53" outlineLevel="1" x14ac:dyDescent="0.35">
      <c r="A141" s="6" t="s">
        <v>39</v>
      </c>
      <c r="B141" s="6">
        <f>'Results - raw data ReCiPe (E)'!AC14</f>
        <v>4.8429542666931476E-3</v>
      </c>
    </row>
    <row r="142" spans="1:53" outlineLevel="1" x14ac:dyDescent="0.35">
      <c r="A142" s="6" t="s">
        <v>41</v>
      </c>
      <c r="B142" s="6">
        <f>'Results - raw data ReCiPe (E)'!AC15</f>
        <v>5.2645581004914617E-6</v>
      </c>
    </row>
    <row r="143" spans="1:53" outlineLevel="1" x14ac:dyDescent="0.35">
      <c r="A143" s="6" t="s">
        <v>43</v>
      </c>
      <c r="B143" s="6">
        <f>'Results - raw data ReCiPe (E)'!AC16</f>
        <v>2.9425891567082932E-5</v>
      </c>
      <c r="AB143" s="219"/>
      <c r="AC143" s="219"/>
      <c r="AD143" s="219"/>
      <c r="AE143" s="219"/>
      <c r="AF143" s="219"/>
      <c r="AG143" s="219"/>
      <c r="AH143" s="219"/>
      <c r="AI143" s="219"/>
      <c r="AJ143" s="219"/>
      <c r="AK143" s="219"/>
      <c r="AL143" s="219"/>
      <c r="AM143" s="219"/>
      <c r="AN143" s="219"/>
      <c r="AO143" s="219"/>
      <c r="AP143" s="219"/>
      <c r="AQ143" s="219"/>
      <c r="AR143" s="219"/>
      <c r="AS143" s="219"/>
      <c r="AT143" s="219"/>
      <c r="AU143" s="219"/>
      <c r="AV143" s="219"/>
      <c r="AW143" s="219"/>
      <c r="AX143" s="219"/>
      <c r="AY143" s="219"/>
      <c r="AZ143" s="219"/>
      <c r="BA143" s="219"/>
    </row>
    <row r="144" spans="1:53" outlineLevel="1" x14ac:dyDescent="0.35">
      <c r="A144" s="6" t="s">
        <v>44</v>
      </c>
      <c r="B144" s="6">
        <f>'Results - raw data ReCiPe (E)'!AC17*AC128*AC130</f>
        <v>2.1953654340738595E-4</v>
      </c>
      <c r="AB144" s="219"/>
      <c r="AC144" s="219"/>
      <c r="AD144" s="219"/>
      <c r="AE144" s="219"/>
      <c r="AF144" s="219"/>
      <c r="AG144" s="219"/>
      <c r="AH144" s="219"/>
      <c r="AI144" s="219"/>
      <c r="AJ144" s="219"/>
      <c r="AK144" s="219"/>
      <c r="AL144" s="219"/>
      <c r="AM144" s="219"/>
      <c r="AN144" s="219"/>
      <c r="AO144" s="219"/>
      <c r="AP144" s="219"/>
      <c r="AQ144" s="219"/>
      <c r="AR144" s="219"/>
      <c r="AS144" s="219"/>
      <c r="AT144" s="219"/>
      <c r="AU144" s="219"/>
      <c r="AV144" s="219"/>
      <c r="AW144" s="219"/>
      <c r="AX144" s="219"/>
      <c r="AY144" s="219"/>
      <c r="AZ144" s="219"/>
      <c r="BA144" s="219"/>
    </row>
    <row r="145" spans="1:53" outlineLevel="1" x14ac:dyDescent="0.35">
      <c r="A145" s="6" t="s">
        <v>757</v>
      </c>
      <c r="B145" s="6">
        <f>'Results - raw data ReCiPe (E)'!AC18*AC128*AC130</f>
        <v>4.01282860831515E-4</v>
      </c>
      <c r="AB145" s="219"/>
      <c r="AC145" s="219"/>
      <c r="AD145" s="219"/>
      <c r="AE145" s="219"/>
      <c r="AF145" s="219"/>
      <c r="AG145" s="219"/>
      <c r="AH145" s="219"/>
      <c r="AI145" s="219"/>
      <c r="AJ145" s="219"/>
      <c r="AK145" s="219"/>
      <c r="AL145" s="219"/>
      <c r="AM145" s="219"/>
      <c r="AN145" s="219"/>
      <c r="AO145" s="219"/>
      <c r="AP145" s="219"/>
      <c r="AQ145" s="219"/>
      <c r="AR145" s="219"/>
      <c r="AS145" s="219"/>
      <c r="AT145" s="219"/>
      <c r="AU145" s="219"/>
      <c r="AV145" s="219"/>
      <c r="AW145" s="219"/>
      <c r="AX145" s="219"/>
      <c r="AY145" s="219"/>
      <c r="AZ145" s="219"/>
      <c r="BA145" s="219"/>
    </row>
    <row r="146" spans="1:53" outlineLevel="1" x14ac:dyDescent="0.35">
      <c r="A146" s="6" t="s">
        <v>22</v>
      </c>
      <c r="Z146" s="6">
        <f>'Results - raw data ReCiPe (E)'!BA19</f>
        <v>1.5678617807268961E-6</v>
      </c>
      <c r="AB146" s="219"/>
      <c r="AC146" s="219"/>
      <c r="AD146" s="219"/>
      <c r="AE146" s="219"/>
      <c r="AF146" s="219"/>
      <c r="AG146" s="219"/>
      <c r="AH146" s="219"/>
      <c r="AI146" s="219"/>
      <c r="AJ146" s="219"/>
      <c r="AK146" s="219"/>
      <c r="AL146" s="219"/>
      <c r="AM146" s="219"/>
      <c r="AN146" s="219"/>
      <c r="AO146" s="219"/>
      <c r="AP146" s="219"/>
      <c r="AQ146" s="219"/>
      <c r="AR146" s="219"/>
      <c r="AS146" s="219"/>
      <c r="AT146" s="219"/>
      <c r="AU146" s="219"/>
      <c r="AV146" s="219"/>
      <c r="AW146" s="219"/>
      <c r="AX146" s="219"/>
      <c r="AY146" s="219"/>
      <c r="AZ146" s="219"/>
      <c r="BA146" s="219"/>
    </row>
    <row r="147" spans="1:53" outlineLevel="1" x14ac:dyDescent="0.35">
      <c r="A147" s="6" t="s">
        <v>24</v>
      </c>
      <c r="Z147" s="6">
        <f>'Results - raw data ReCiPe (E)'!BA20</f>
        <v>9.5822677874573218E-7</v>
      </c>
      <c r="AB147" s="219"/>
      <c r="AC147" s="219"/>
      <c r="AD147" s="219"/>
      <c r="AE147" s="219"/>
      <c r="AF147" s="219"/>
      <c r="AG147" s="219"/>
      <c r="AH147" s="219"/>
      <c r="AI147" s="219"/>
      <c r="AJ147" s="219"/>
      <c r="AK147" s="219"/>
      <c r="AL147" s="219"/>
      <c r="AM147" s="219"/>
      <c r="AN147" s="219"/>
      <c r="AO147" s="219"/>
      <c r="AP147" s="219"/>
      <c r="AQ147" s="219"/>
      <c r="AR147" s="219"/>
      <c r="AS147" s="219"/>
      <c r="AT147" s="219"/>
      <c r="AU147" s="219"/>
      <c r="AV147" s="219"/>
      <c r="AW147" s="219"/>
      <c r="AX147" s="219"/>
      <c r="AY147" s="219"/>
      <c r="AZ147" s="219"/>
      <c r="BA147" s="219"/>
    </row>
    <row r="148" spans="1:53" outlineLevel="1" x14ac:dyDescent="0.35">
      <c r="A148" s="6" t="s">
        <v>25</v>
      </c>
      <c r="Z148" s="6">
        <f>'Results - raw data ReCiPe (E)'!BA21</f>
        <v>3.2060490294522179E-6</v>
      </c>
      <c r="AB148" s="219"/>
      <c r="AC148" s="219"/>
      <c r="AD148" s="219"/>
      <c r="AE148" s="219"/>
      <c r="AF148" s="219"/>
      <c r="AG148" s="219"/>
      <c r="AH148" s="219"/>
      <c r="AI148" s="219"/>
      <c r="AJ148" s="219"/>
      <c r="AK148" s="219"/>
      <c r="AL148" s="219"/>
      <c r="AM148" s="219"/>
      <c r="AN148" s="219"/>
      <c r="AO148" s="219"/>
      <c r="AP148" s="219"/>
      <c r="AQ148" s="219"/>
      <c r="AR148" s="219"/>
      <c r="AS148" s="219"/>
      <c r="AT148" s="219"/>
      <c r="AU148" s="219"/>
      <c r="AV148" s="219"/>
      <c r="AW148" s="219"/>
      <c r="AX148" s="219"/>
      <c r="AY148" s="219"/>
      <c r="AZ148" s="219"/>
      <c r="BA148" s="219"/>
    </row>
    <row r="149" spans="1:53" outlineLevel="1" x14ac:dyDescent="0.35">
      <c r="A149" s="6" t="s">
        <v>27</v>
      </c>
      <c r="Z149" s="6">
        <f>'Results - raw data ReCiPe (E)'!BA22</f>
        <v>9.848667252392114E-7</v>
      </c>
      <c r="AB149" s="219"/>
      <c r="AC149" s="219"/>
      <c r="AD149" s="219"/>
      <c r="AE149" s="219"/>
      <c r="AF149" s="219"/>
      <c r="AG149" s="219"/>
      <c r="AH149" s="219"/>
      <c r="AI149" s="219"/>
      <c r="AJ149" s="219"/>
      <c r="AK149" s="219"/>
      <c r="AL149" s="219"/>
      <c r="AM149" s="219"/>
      <c r="AN149" s="219"/>
      <c r="AO149" s="219"/>
      <c r="AP149" s="219"/>
      <c r="AQ149" s="219"/>
      <c r="AR149" s="219"/>
      <c r="AS149" s="219"/>
      <c r="AT149" s="219"/>
      <c r="AU149" s="219"/>
      <c r="AV149" s="219"/>
      <c r="AW149" s="219"/>
      <c r="AX149" s="219"/>
      <c r="AY149" s="219"/>
      <c r="AZ149" s="219"/>
      <c r="BA149" s="219"/>
    </row>
    <row r="150" spans="1:53" outlineLevel="1" x14ac:dyDescent="0.35">
      <c r="A150" s="6" t="s">
        <v>30</v>
      </c>
      <c r="Z150" s="6">
        <f>'Results - raw data ReCiPe (E)'!BA23</f>
        <v>2.287161932949592E-6</v>
      </c>
      <c r="AB150" s="219"/>
      <c r="AC150" s="219"/>
      <c r="AD150" s="219"/>
      <c r="AE150" s="219"/>
      <c r="AF150" s="219"/>
      <c r="AG150" s="219"/>
      <c r="AH150" s="219"/>
      <c r="AI150" s="219"/>
      <c r="AJ150" s="219"/>
      <c r="AK150" s="219"/>
      <c r="AL150" s="219"/>
      <c r="AM150" s="219"/>
      <c r="AN150" s="219"/>
      <c r="AO150" s="219"/>
      <c r="AP150" s="219"/>
      <c r="AQ150" s="219"/>
      <c r="AR150" s="219"/>
      <c r="AS150" s="219"/>
      <c r="AT150" s="219"/>
      <c r="AU150" s="219"/>
      <c r="AV150" s="219"/>
      <c r="AW150" s="219"/>
      <c r="AX150" s="219"/>
      <c r="AY150" s="219"/>
      <c r="AZ150" s="219"/>
      <c r="BA150" s="219"/>
    </row>
    <row r="151" spans="1:53" outlineLevel="1" x14ac:dyDescent="0.35">
      <c r="A151" s="6" t="s">
        <v>32</v>
      </c>
      <c r="Z151" s="6">
        <f>'Results - raw data ReCiPe (E)'!BA24</f>
        <v>4.0104756096575658E-7</v>
      </c>
      <c r="AB151" s="219"/>
      <c r="AC151" s="219"/>
      <c r="AD151" s="219"/>
      <c r="AE151" s="219"/>
      <c r="AF151" s="219"/>
      <c r="AG151" s="219"/>
      <c r="AH151" s="219"/>
      <c r="AI151" s="219"/>
      <c r="AJ151" s="219"/>
      <c r="AK151" s="219"/>
      <c r="AL151" s="219"/>
      <c r="AM151" s="219"/>
      <c r="AN151" s="219"/>
      <c r="AO151" s="219"/>
      <c r="AP151" s="219"/>
      <c r="AQ151" s="219"/>
      <c r="AR151" s="219"/>
      <c r="AS151" s="219"/>
      <c r="AT151" s="219"/>
      <c r="AU151" s="219"/>
      <c r="AV151" s="219"/>
      <c r="AW151" s="219"/>
      <c r="AX151" s="219"/>
      <c r="AY151" s="219"/>
      <c r="AZ151" s="219"/>
      <c r="BA151" s="219"/>
    </row>
    <row r="152" spans="1:53" outlineLevel="1" x14ac:dyDescent="0.35">
      <c r="A152" s="6" t="s">
        <v>33</v>
      </c>
      <c r="Z152" s="6">
        <f>'Results - raw data ReCiPe (E)'!BA25</f>
        <v>7.436220243837267E-7</v>
      </c>
      <c r="AB152" s="219"/>
      <c r="AC152" s="219"/>
      <c r="AD152" s="219"/>
      <c r="AE152" s="219"/>
      <c r="AF152" s="219"/>
      <c r="AG152" s="219"/>
      <c r="AH152" s="219"/>
      <c r="AI152" s="219"/>
      <c r="AJ152" s="219"/>
      <c r="AK152" s="219"/>
      <c r="AL152" s="219"/>
      <c r="AM152" s="219"/>
      <c r="AN152" s="219"/>
      <c r="AO152" s="219"/>
      <c r="AP152" s="219"/>
      <c r="AQ152" s="219"/>
      <c r="AR152" s="219"/>
      <c r="AS152" s="219"/>
      <c r="AT152" s="219"/>
      <c r="AU152" s="219"/>
      <c r="AV152" s="219"/>
      <c r="AW152" s="219"/>
      <c r="AX152" s="219"/>
      <c r="AY152" s="219"/>
      <c r="AZ152" s="219"/>
      <c r="BA152" s="219"/>
    </row>
    <row r="153" spans="1:53" outlineLevel="1" x14ac:dyDescent="0.35">
      <c r="A153" s="6" t="s">
        <v>35</v>
      </c>
      <c r="Z153" s="6">
        <f>'Results - raw data ReCiPe (E)'!BA26</f>
        <v>1.487244048767453E-6</v>
      </c>
      <c r="AB153" s="219"/>
      <c r="AC153" s="219"/>
      <c r="AD153" s="219"/>
      <c r="AE153" s="219"/>
      <c r="AF153" s="219"/>
      <c r="AG153" s="219"/>
      <c r="AH153" s="219"/>
      <c r="AI153" s="219"/>
      <c r="AJ153" s="219"/>
      <c r="AK153" s="219"/>
      <c r="AL153" s="219"/>
      <c r="AM153" s="219"/>
      <c r="AN153" s="219"/>
      <c r="AO153" s="219"/>
      <c r="AP153" s="219"/>
      <c r="AQ153" s="219"/>
      <c r="AR153" s="219"/>
      <c r="AS153" s="219"/>
      <c r="AT153" s="219"/>
      <c r="AU153" s="219"/>
      <c r="AV153" s="219"/>
      <c r="AW153" s="219"/>
      <c r="AX153" s="219"/>
      <c r="AY153" s="219"/>
      <c r="AZ153" s="219"/>
      <c r="BA153" s="219"/>
    </row>
    <row r="154" spans="1:53" outlineLevel="1" x14ac:dyDescent="0.35">
      <c r="A154" s="6" t="s">
        <v>37</v>
      </c>
      <c r="Z154" s="6">
        <f>'Results - raw data ReCiPe (E)'!BA27</f>
        <v>2.5323361014716719E-6</v>
      </c>
      <c r="AB154" s="219"/>
      <c r="AC154" s="219"/>
      <c r="AD154" s="219"/>
      <c r="AE154" s="219"/>
      <c r="AF154" s="219"/>
      <c r="AG154" s="219"/>
      <c r="AH154" s="219"/>
      <c r="AI154" s="219"/>
      <c r="AJ154" s="219"/>
      <c r="AK154" s="219"/>
      <c r="AL154" s="219"/>
      <c r="AM154" s="219"/>
      <c r="AN154" s="219"/>
      <c r="AO154" s="219"/>
      <c r="AP154" s="219"/>
      <c r="AQ154" s="219"/>
      <c r="AR154" s="219"/>
      <c r="AS154" s="219"/>
      <c r="AT154" s="219"/>
      <c r="AU154" s="219"/>
      <c r="AV154" s="219"/>
      <c r="AW154" s="219"/>
      <c r="AX154" s="219"/>
      <c r="AY154" s="219"/>
      <c r="AZ154" s="219"/>
      <c r="BA154" s="219"/>
    </row>
    <row r="155" spans="1:53" outlineLevel="1" x14ac:dyDescent="0.35">
      <c r="A155" s="6" t="s">
        <v>40</v>
      </c>
      <c r="Z155" s="6">
        <f>'Results - raw data ReCiPe (E)'!BA28</f>
        <v>6.1461976001350634E-5</v>
      </c>
    </row>
    <row r="156" spans="1:53" outlineLevel="1" x14ac:dyDescent="0.35">
      <c r="A156" s="6" t="s">
        <v>42</v>
      </c>
      <c r="Z156" s="6">
        <f>'Results - raw data ReCiPe (E)'!BA29</f>
        <v>1.7086922788577119E-6</v>
      </c>
    </row>
    <row r="157" spans="1:53" outlineLevel="1" x14ac:dyDescent="0.35">
      <c r="A157" s="6" t="s">
        <v>115</v>
      </c>
      <c r="Z157" s="6">
        <f>'Results - raw data ReCiPe (E)'!BA30</f>
        <v>1.521749627660268E-5</v>
      </c>
    </row>
    <row r="158" spans="1:53" outlineLevel="1" x14ac:dyDescent="0.35">
      <c r="A158" s="6" t="s">
        <v>45</v>
      </c>
      <c r="Z158" s="6">
        <f>'Results - raw data ReCiPe (E)'!BA31*AC128*AC130</f>
        <v>1.6915974917172185E-6</v>
      </c>
    </row>
    <row r="159" spans="1:53" outlineLevel="1" x14ac:dyDescent="0.35">
      <c r="A159" s="6" t="s">
        <v>116</v>
      </c>
      <c r="B159" s="6">
        <f>'Results - raw data ReCiPe (E)'!AC32</f>
        <v>9.6070786883955476E-5</v>
      </c>
      <c r="C159" s="6">
        <f>'Results - raw data ReCiPe (E)'!AD32</f>
        <v>9.6016428409601275E-5</v>
      </c>
      <c r="D159" s="6">
        <f>'Results - raw data ReCiPe (E)'!AE32</f>
        <v>9.5962527890161163E-5</v>
      </c>
      <c r="E159" s="6">
        <f>'Results - raw data ReCiPe (E)'!AF32</f>
        <v>9.5821625581055684E-5</v>
      </c>
      <c r="F159" s="6">
        <f>'Results - raw data ReCiPe (E)'!AG32</f>
        <v>9.5768194891296198E-5</v>
      </c>
      <c r="G159" s="6">
        <f>'Results - raw data ReCiPe (E)'!AH32</f>
        <v>9.5714894517826495E-5</v>
      </c>
      <c r="H159" s="6">
        <f>'Results - raw data ReCiPe (E)'!AI32</f>
        <v>9.5829318269014544E-5</v>
      </c>
      <c r="I159" s="6">
        <f>'Results - raw data ReCiPe (E)'!AJ32</f>
        <v>9.5944316101698841E-5</v>
      </c>
      <c r="J159" s="6">
        <f>'Results - raw data ReCiPe (E)'!AK32</f>
        <v>9.6077521965996801E-5</v>
      </c>
      <c r="K159" s="6">
        <f>'Results - raw data ReCiPe (E)'!AL32</f>
        <v>9.6195219555553151E-5</v>
      </c>
      <c r="L159" s="6">
        <f>'Results - raw data ReCiPe (E)'!AM32</f>
        <v>9.6313368095030094E-5</v>
      </c>
      <c r="M159" s="6">
        <f>'Results - raw data ReCiPe (E)'!AN32</f>
        <v>9.6511421650812896E-5</v>
      </c>
      <c r="N159" s="6">
        <f>'Results - raw data ReCiPe (E)'!AO32</f>
        <v>9.671044208302645E-5</v>
      </c>
      <c r="O159" s="6">
        <f>'Results - raw data ReCiPe (E)'!AP32</f>
        <v>9.6946278507602522E-5</v>
      </c>
      <c r="P159" s="6">
        <f>'Results - raw data ReCiPe (E)'!AQ32</f>
        <v>9.7149093242206546E-5</v>
      </c>
      <c r="Q159" s="6">
        <f>'Results - raw data ReCiPe (E)'!AR32</f>
        <v>9.7352908438601063E-5</v>
      </c>
      <c r="R159" s="6">
        <f>'Results - raw data ReCiPe (E)'!AS32</f>
        <v>9.7212532427216441E-5</v>
      </c>
      <c r="S159" s="6">
        <f>'Results - raw data ReCiPe (E)'!AT32</f>
        <v>9.7071207211998637E-5</v>
      </c>
      <c r="T159" s="6">
        <f>'Results - raw data ReCiPe (E)'!AU32</f>
        <v>9.6952281836548256E-5</v>
      </c>
      <c r="U159" s="6">
        <f>'Results - raw data ReCiPe (E)'!AV32</f>
        <v>9.6808926553165625E-5</v>
      </c>
      <c r="V159" s="6">
        <f>'Results - raw data ReCiPe (E)'!AW32</f>
        <v>9.6664412972092932E-5</v>
      </c>
      <c r="W159" s="6">
        <f>'Results - raw data ReCiPe (E)'!AX32</f>
        <v>9.6376407293463591E-5</v>
      </c>
      <c r="X159" s="6">
        <f>'Results - raw data ReCiPe (E)'!AY32</f>
        <v>9.6065907940071931E-5</v>
      </c>
      <c r="Y159" s="6">
        <f>'Results - raw data ReCiPe (E)'!AZ32</f>
        <v>9.5753741921939916E-5</v>
      </c>
      <c r="Z159" s="6">
        <f>'Results - raw data ReCiPe (E)'!BA32</f>
        <v>9.5439879467151915E-5</v>
      </c>
    </row>
    <row r="160" spans="1:53" outlineLevel="1" x14ac:dyDescent="0.35">
      <c r="A160" s="6" t="s">
        <v>758</v>
      </c>
      <c r="B160" s="6">
        <f>'Results - raw data ReCiPe (E)'!AC33*$AC$129</f>
        <v>5.5704306774635861E-7</v>
      </c>
      <c r="C160" s="6">
        <f>'Results - raw data ReCiPe (E)'!AD33*$AC$129</f>
        <v>5.5578781478436711E-7</v>
      </c>
      <c r="D160" s="6">
        <f>'Results - raw data ReCiPe (E)'!AE33*$AC$129</f>
        <v>5.5453101963575786E-7</v>
      </c>
      <c r="E160" s="6">
        <f>'Results - raw data ReCiPe (E)'!AF33*$AC$129</f>
        <v>5.532043184037725E-7</v>
      </c>
      <c r="F160" s="6">
        <f>'Results - raw data ReCiPe (E)'!AG33*$AC$129</f>
        <v>5.5194357671639628E-7</v>
      </c>
      <c r="G160" s="6">
        <f>'Results - raw data ReCiPe (E)'!AH33*$AC$129</f>
        <v>5.506807324077468E-7</v>
      </c>
      <c r="H160" s="6">
        <f>'Results - raw data ReCiPe (E)'!AI33*$AC$129</f>
        <v>5.8128019134522022E-7</v>
      </c>
      <c r="I160" s="6">
        <f>'Results - raw data ReCiPe (E)'!AJ33*$AC$129</f>
        <v>6.1175054423136818E-7</v>
      </c>
      <c r="J160" s="6">
        <f>'Results - raw data ReCiPe (E)'!AK33*$AC$129</f>
        <v>6.4211124223443625E-7</v>
      </c>
      <c r="K160" s="6">
        <f>'Results - raw data ReCiPe (E)'!AL33*$AC$129</f>
        <v>6.7235630773165469E-7</v>
      </c>
      <c r="L160" s="6">
        <f>'Results - raw data ReCiPe (E)'!AM33*$AC$129</f>
        <v>7.024777256708064E-7</v>
      </c>
      <c r="M160" s="6">
        <f>'Results - raw data ReCiPe (E)'!AN33*$AC$129</f>
        <v>7.6023541100293324E-7</v>
      </c>
      <c r="N160" s="6">
        <f>'Results - raw data ReCiPe (E)'!AO33*$AC$129</f>
        <v>8.1800281936731393E-7</v>
      </c>
      <c r="O160" s="6">
        <f>'Results - raw data ReCiPe (E)'!AP33*$AC$129</f>
        <v>8.7581765853991049E-7</v>
      </c>
      <c r="P160" s="6">
        <f>'Results - raw data ReCiPe (E)'!AQ33*$AC$129</f>
        <v>9.3360493940671723E-7</v>
      </c>
      <c r="Q160" s="6">
        <f>'Results - raw data ReCiPe (E)'!AR33*$AC$129</f>
        <v>9.9140300061212511E-7</v>
      </c>
      <c r="R160" s="6">
        <f>'Results - raw data ReCiPe (E)'!AS33*$AC$129</f>
        <v>9.9529351534045399E-7</v>
      </c>
      <c r="S160" s="6">
        <f>'Results - raw data ReCiPe (E)'!AT33*$AC$129</f>
        <v>9.9917164212807048E-7</v>
      </c>
      <c r="T160" s="6">
        <f>'Results - raw data ReCiPe (E)'!AU33*$AC$129</f>
        <v>1.0030609827978977E-6</v>
      </c>
      <c r="U160" s="6">
        <f>'Results - raw data ReCiPe (E)'!AV33*$AC$129</f>
        <v>1.006914514932204E-6</v>
      </c>
      <c r="V160" s="6">
        <f>'Results - raw data ReCiPe (E)'!AW33*$AC$129</f>
        <v>1.0107561468465621E-6</v>
      </c>
      <c r="W160" s="6">
        <f>'Results - raw data ReCiPe (E)'!AX33*$AC$129</f>
        <v>9.8634821001391628E-7</v>
      </c>
      <c r="X160" s="6">
        <f>'Results - raw data ReCiPe (E)'!AY33*$AC$129</f>
        <v>9.6095588346336296E-7</v>
      </c>
      <c r="Y160" s="6">
        <f>'Results - raw data ReCiPe (E)'!AZ33*$AC$129</f>
        <v>9.3557843594790124E-7</v>
      </c>
      <c r="Z160" s="6">
        <f>'Results - raw data ReCiPe (E)'!BA33*$AC$129</f>
        <v>9.1021529685242282E-7</v>
      </c>
    </row>
    <row r="161" spans="1:53" outlineLevel="1" x14ac:dyDescent="0.35">
      <c r="A161" s="6" t="s">
        <v>759</v>
      </c>
      <c r="B161" s="6">
        <f>'Results - raw data ReCiPe (E)'!AC34</f>
        <v>2.0736000294618859E-7</v>
      </c>
      <c r="C161" s="6">
        <f>'Results - raw data ReCiPe (E)'!AD34</f>
        <v>2.0736000294618859E-7</v>
      </c>
      <c r="D161" s="6">
        <f>'Results - raw data ReCiPe (E)'!AE34</f>
        <v>2.0736000294618859E-7</v>
      </c>
      <c r="E161" s="6">
        <f>'Results - raw data ReCiPe (E)'!AF34</f>
        <v>2.0736000294618859E-7</v>
      </c>
      <c r="F161" s="6">
        <f>'Results - raw data ReCiPe (E)'!AG34</f>
        <v>2.0736000294618859E-7</v>
      </c>
      <c r="G161" s="6">
        <f>'Results - raw data ReCiPe (E)'!AH34</f>
        <v>2.0736000294618859E-7</v>
      </c>
      <c r="H161" s="6">
        <f>'Results - raw data ReCiPe (E)'!AI34</f>
        <v>2.0736000294618859E-7</v>
      </c>
      <c r="I161" s="6">
        <f>'Results - raw data ReCiPe (E)'!AJ34</f>
        <v>2.0736000294618859E-7</v>
      </c>
      <c r="J161" s="6">
        <f>'Results - raw data ReCiPe (E)'!AK34</f>
        <v>2.0736000294618859E-7</v>
      </c>
      <c r="K161" s="6">
        <f>'Results - raw data ReCiPe (E)'!AL34</f>
        <v>2.0736000294618859E-7</v>
      </c>
      <c r="L161" s="6">
        <f>'Results - raw data ReCiPe (E)'!AM34</f>
        <v>2.0736000294618859E-7</v>
      </c>
      <c r="M161" s="6">
        <f>'Results - raw data ReCiPe (E)'!AN34</f>
        <v>2.0736000294618859E-7</v>
      </c>
      <c r="N161" s="6">
        <f>'Results - raw data ReCiPe (E)'!AO34</f>
        <v>2.0736000294618859E-7</v>
      </c>
      <c r="O161" s="6">
        <f>'Results - raw data ReCiPe (E)'!AP34</f>
        <v>2.0736000294618859E-7</v>
      </c>
      <c r="P161" s="6">
        <f>'Results - raw data ReCiPe (E)'!AQ34</f>
        <v>2.0736000294618859E-7</v>
      </c>
      <c r="Q161" s="6">
        <f>'Results - raw data ReCiPe (E)'!AR34</f>
        <v>2.0736000294618859E-7</v>
      </c>
      <c r="R161" s="6">
        <f>'Results - raw data ReCiPe (E)'!AS34</f>
        <v>2.0736000294618859E-7</v>
      </c>
      <c r="S161" s="6">
        <f>'Results - raw data ReCiPe (E)'!AT34</f>
        <v>2.0736000294618859E-7</v>
      </c>
      <c r="T161" s="6">
        <f>'Results - raw data ReCiPe (E)'!AU34</f>
        <v>2.0736000294618859E-7</v>
      </c>
      <c r="U161" s="6">
        <f>'Results - raw data ReCiPe (E)'!AV34</f>
        <v>2.0736000294618859E-7</v>
      </c>
      <c r="V161" s="6">
        <f>'Results - raw data ReCiPe (E)'!AW34</f>
        <v>2.0736000294618859E-7</v>
      </c>
      <c r="W161" s="6">
        <f>'Results - raw data ReCiPe (E)'!AX34</f>
        <v>2.0736000294618859E-7</v>
      </c>
      <c r="X161" s="6">
        <f>'Results - raw data ReCiPe (E)'!AY34</f>
        <v>2.0736000294618859E-7</v>
      </c>
      <c r="Y161" s="6">
        <f>'Results - raw data ReCiPe (E)'!AZ34</f>
        <v>2.0736000294618859E-7</v>
      </c>
      <c r="Z161" s="6">
        <f>'Results - raw data ReCiPe (E)'!BA34</f>
        <v>2.0736000294618859E-7</v>
      </c>
    </row>
    <row r="162" spans="1:53" outlineLevel="1" x14ac:dyDescent="0.35">
      <c r="A162" s="6" t="s">
        <v>760</v>
      </c>
      <c r="B162" s="6">
        <f>150000*($AC$129*'Results - raw data ReCiPe (E)'!AC114+(1-'Results ReCiPe (E) - HHD'!$AC$129)*'Results - raw data ReCiPe (E)'!AC115)</f>
        <v>1.7128024603913175E-3</v>
      </c>
      <c r="C162" s="6">
        <f>150000*($AC$129*'Results - raw data ReCiPe (E)'!AD114+(1-'Results ReCiPe (E) - HHD'!$AC$129)*'Results - raw data ReCiPe (E)'!AD115)</f>
        <v>1.7083030146352993E-3</v>
      </c>
      <c r="D162" s="6">
        <f>150000*($AC$129*'Results - raw data ReCiPe (E)'!AE114+(1-'Results ReCiPe (E) - HHD'!$AC$129)*'Results - raw data ReCiPe (E)'!AE115)</f>
        <v>1.703787987459937E-3</v>
      </c>
      <c r="E162" s="6">
        <f>150000*($AC$129*'Results - raw data ReCiPe (E)'!AF114+(1-'Results ReCiPe (E) - HHD'!$AC$129)*'Results - raw data ReCiPe (E)'!AF115)</f>
        <v>1.698933401270901E-3</v>
      </c>
      <c r="F162" s="6">
        <f>150000*($AC$129*'Results - raw data ReCiPe (E)'!AG114+(1-'Results ReCiPe (E) - HHD'!$AC$129)*'Results - raw data ReCiPe (E)'!AG115)</f>
        <v>1.6943856839015453E-3</v>
      </c>
      <c r="G162" s="6">
        <f>150000*($AC$129*'Results - raw data ReCiPe (E)'!AH114+(1-'Results ReCiPe (E) - HHD'!$AC$129)*'Results - raw data ReCiPe (E)'!AH115)</f>
        <v>1.6898193552170716E-3</v>
      </c>
      <c r="H162" s="6">
        <f>150000*($AC$129*'Results - raw data ReCiPe (E)'!AI114+(1-'Results ReCiPe (E) - HHD'!$AC$129)*'Results - raw data ReCiPe (E)'!AI115)</f>
        <v>1.8246104562712221E-3</v>
      </c>
      <c r="I162" s="6">
        <f>150000*($AC$129*'Results - raw data ReCiPe (E)'!AJ114+(1-'Results ReCiPe (E) - HHD'!$AC$129)*'Results - raw data ReCiPe (E)'!AJ115)</f>
        <v>1.9592206891619755E-3</v>
      </c>
      <c r="J162" s="6">
        <f>150000*($AC$129*'Results - raw data ReCiPe (E)'!AK114+(1-'Results ReCiPe (E) - HHD'!$AC$129)*'Results - raw data ReCiPe (E)'!AK115)</f>
        <v>2.0937390207373457E-3</v>
      </c>
      <c r="K162" s="6">
        <f>150000*($AC$129*'Results - raw data ReCiPe (E)'!AL114+(1-'Results ReCiPe (E) - HHD'!$AC$129)*'Results - raw data ReCiPe (E)'!AL115)</f>
        <v>2.228127611393951E-3</v>
      </c>
      <c r="L162" s="6">
        <f>150000*($AC$129*'Results - raw data ReCiPe (E)'!AM114+(1-'Results ReCiPe (E) - HHD'!$AC$129)*'Results - raw data ReCiPe (E)'!AM115)</f>
        <v>2.3623550756717141E-3</v>
      </c>
      <c r="M162" s="6">
        <f>150000*($AC$129*'Results - raw data ReCiPe (E)'!AN114+(1-'Results ReCiPe (E) - HHD'!$AC$129)*'Results - raw data ReCiPe (E)'!AN115)</f>
        <v>2.6185139240002412E-3</v>
      </c>
      <c r="N162" s="6">
        <f>150000*($AC$129*'Results - raw data ReCiPe (E)'!AO114+(1-'Results ReCiPe (E) - HHD'!$AC$129)*'Results - raw data ReCiPe (E)'!AO115)</f>
        <v>2.8752991110440351E-3</v>
      </c>
      <c r="O162" s="6">
        <f>150000*($AC$129*'Results - raw data ReCiPe (E)'!AP114+(1-'Results ReCiPe (E) - HHD'!$AC$129)*'Results - raw data ReCiPe (E)'!AP115)</f>
        <v>3.132891124058141E-3</v>
      </c>
      <c r="P162" s="6">
        <f>150000*($AC$129*'Results - raw data ReCiPe (E)'!AQ114+(1-'Results ReCiPe (E) - HHD'!$AC$129)*'Results - raw data ReCiPe (E)'!AQ115)</f>
        <v>3.3909359704168232E-3</v>
      </c>
      <c r="Q162" s="6">
        <f>150000*($AC$129*'Results - raw data ReCiPe (E)'!AR114+(1-'Results ReCiPe (E) - HHD'!$AC$129)*'Results - raw data ReCiPe (E)'!AR115)</f>
        <v>3.649620390743446E-3</v>
      </c>
      <c r="R162" s="6">
        <f>150000*($AC$129*'Results - raw data ReCiPe (E)'!AS114+(1-'Results ReCiPe (E) - HHD'!$AC$129)*'Results - raw data ReCiPe (E)'!AS115)</f>
        <v>3.6694989188330723E-3</v>
      </c>
      <c r="S162" s="6">
        <f>150000*($AC$129*'Results - raw data ReCiPe (E)'!AT114+(1-'Results ReCiPe (E) - HHD'!$AC$129)*'Results - raw data ReCiPe (E)'!AT115)</f>
        <v>3.6893626252482445E-3</v>
      </c>
      <c r="T162" s="6">
        <f>150000*($AC$129*'Results - raw data ReCiPe (E)'!AU114+(1-'Results ReCiPe (E) - HHD'!$AC$129)*'Results - raw data ReCiPe (E)'!AU115)</f>
        <v>3.7093268301318771E-3</v>
      </c>
      <c r="U162" s="6">
        <f>150000*($AC$129*'Results - raw data ReCiPe (E)'!AV114+(1-'Results ReCiPe (E) - HHD'!$AC$129)*'Results - raw data ReCiPe (E)'!AV115)</f>
        <v>3.7291615594358791E-3</v>
      </c>
      <c r="V162" s="6">
        <f>150000*($AC$129*'Results - raw data ReCiPe (E)'!AW114+(1-'Results ReCiPe (E) - HHD'!$AC$129)*'Results - raw data ReCiPe (E)'!AW115)</f>
        <v>3.7489834983100677E-3</v>
      </c>
      <c r="W162" s="6">
        <f>150000*($AC$129*'Results - raw data ReCiPe (E)'!AX114+(1-'Results ReCiPe (E) - HHD'!$AC$129)*'Results - raw data ReCiPe (E)'!AX115)</f>
        <v>3.6455056444383402E-3</v>
      </c>
      <c r="X162" s="6">
        <f>150000*($AC$129*'Results - raw data ReCiPe (E)'!AY114+(1-'Results ReCiPe (E) - HHD'!$AC$129)*'Results - raw data ReCiPe (E)'!AY115)</f>
        <v>3.537238901063661E-3</v>
      </c>
      <c r="Y162" s="6">
        <f>150000*($AC$129*'Results - raw data ReCiPe (E)'!AZ114+(1-'Results ReCiPe (E) - HHD'!$AC$129)*'Results - raw data ReCiPe (E)'!AZ115)</f>
        <v>3.4286022552471587E-3</v>
      </c>
      <c r="Z162" s="6">
        <f>150000*($AC$129*'Results - raw data ReCiPe (E)'!BA114+(1-'Results ReCiPe (E) - HHD'!$AC$129)*'Results - raw data ReCiPe (E)'!BA115)</f>
        <v>3.3195922181216233E-3</v>
      </c>
    </row>
    <row r="163" spans="1:53" outlineLevel="1" x14ac:dyDescent="0.35">
      <c r="A163" s="23" t="s">
        <v>125</v>
      </c>
      <c r="B163" s="17">
        <f t="shared" ref="B163:Z163" si="19">SUM(B132:B162)</f>
        <v>9.5497175381732049E-3</v>
      </c>
      <c r="C163" s="17">
        <f t="shared" si="19"/>
        <v>1.8050825908626311E-3</v>
      </c>
      <c r="D163" s="17">
        <f t="shared" si="19"/>
        <v>1.8005124063726801E-3</v>
      </c>
      <c r="E163" s="17">
        <f t="shared" si="19"/>
        <v>1.7955155911733066E-3</v>
      </c>
      <c r="F163" s="17">
        <f t="shared" si="19"/>
        <v>1.7909131823725041E-3</v>
      </c>
      <c r="G163" s="17">
        <f t="shared" si="19"/>
        <v>1.7862922904702521E-3</v>
      </c>
      <c r="H163" s="17">
        <f t="shared" si="19"/>
        <v>1.9212284147345281E-3</v>
      </c>
      <c r="I163" s="17">
        <f t="shared" si="19"/>
        <v>2.0559841158108521E-3</v>
      </c>
      <c r="J163" s="17">
        <f t="shared" si="19"/>
        <v>2.1906660139485233E-3</v>
      </c>
      <c r="K163" s="17">
        <f t="shared" si="19"/>
        <v>2.3252025472601818E-3</v>
      </c>
      <c r="L163" s="17">
        <f t="shared" si="19"/>
        <v>2.4595782814953613E-3</v>
      </c>
      <c r="M163" s="17">
        <f t="shared" si="19"/>
        <v>2.7159929410650032E-3</v>
      </c>
      <c r="N163" s="17">
        <f t="shared" si="19"/>
        <v>2.9730349159493752E-3</v>
      </c>
      <c r="O163" s="17">
        <f t="shared" si="19"/>
        <v>3.2309205802272295E-3</v>
      </c>
      <c r="P163" s="17">
        <f t="shared" si="19"/>
        <v>3.4892260286013828E-3</v>
      </c>
      <c r="Q163" s="17">
        <f t="shared" si="19"/>
        <v>3.7481720621856053E-3</v>
      </c>
      <c r="R163" s="17">
        <f t="shared" si="19"/>
        <v>3.7679141047785754E-3</v>
      </c>
      <c r="S163" s="17">
        <f t="shared" si="19"/>
        <v>3.7876403641053176E-3</v>
      </c>
      <c r="T163" s="17">
        <f t="shared" si="19"/>
        <v>3.8074895329541694E-3</v>
      </c>
      <c r="U163" s="17">
        <f t="shared" si="19"/>
        <v>3.827184760506923E-3</v>
      </c>
      <c r="V163" s="17">
        <f t="shared" si="19"/>
        <v>3.8468660274319534E-3</v>
      </c>
      <c r="W163" s="17">
        <f t="shared" si="19"/>
        <v>3.743075759944764E-3</v>
      </c>
      <c r="X163" s="17">
        <f t="shared" si="19"/>
        <v>3.6344731248901425E-3</v>
      </c>
      <c r="Y163" s="17">
        <f t="shared" si="19"/>
        <v>3.5254989356079927E-3</v>
      </c>
      <c r="Z163" s="17">
        <f t="shared" si="19"/>
        <v>3.5103978509198044E-3</v>
      </c>
    </row>
    <row r="164" spans="1:53" outlineLevel="1" x14ac:dyDescent="0.35"/>
    <row r="165" spans="1:53" s="18" customFormat="1" ht="21" x14ac:dyDescent="0.5">
      <c r="A165" s="18" t="s">
        <v>73</v>
      </c>
    </row>
    <row r="166" spans="1:53" s="20" customFormat="1" outlineLevel="1" x14ac:dyDescent="0.35">
      <c r="A166" s="19" t="s">
        <v>766</v>
      </c>
    </row>
    <row r="167" spans="1:53" s="16" customFormat="1" outlineLevel="1" x14ac:dyDescent="0.35">
      <c r="A167" s="21"/>
      <c r="AB167" s="15" t="s">
        <v>143</v>
      </c>
      <c r="AC167" s="16">
        <f>0.000000025+0.000000000000682</f>
        <v>2.5000681999999998E-8</v>
      </c>
      <c r="AD167" s="16" t="s">
        <v>916</v>
      </c>
      <c r="AE167" s="15" t="s">
        <v>714</v>
      </c>
    </row>
    <row r="168" spans="1:53" s="16" customFormat="1" outlineLevel="1" x14ac:dyDescent="0.35">
      <c r="A168" s="22" t="s">
        <v>917</v>
      </c>
      <c r="AC168" s="16">
        <f>AC167*1000</f>
        <v>2.5000681999999997E-5</v>
      </c>
      <c r="AD168" s="16" t="s">
        <v>918</v>
      </c>
    </row>
    <row r="169" spans="1:53" s="16" customFormat="1" outlineLevel="1" x14ac:dyDescent="0.35">
      <c r="A169" s="22"/>
      <c r="AB169" s="16" t="s">
        <v>127</v>
      </c>
      <c r="AC169" s="16">
        <v>100</v>
      </c>
      <c r="AD169" s="16" t="s">
        <v>128</v>
      </c>
    </row>
    <row r="170" spans="1:53" s="16" customFormat="1" outlineLevel="1" x14ac:dyDescent="0.35">
      <c r="A170" s="230" t="s">
        <v>768</v>
      </c>
      <c r="AB170" s="16" t="s">
        <v>20</v>
      </c>
      <c r="AC170" s="16">
        <v>0.23</v>
      </c>
      <c r="AD170" s="16" t="s">
        <v>715</v>
      </c>
    </row>
    <row r="171" spans="1:53" s="16" customFormat="1" outlineLevel="1" x14ac:dyDescent="0.35">
      <c r="A171" s="22"/>
      <c r="AB171" s="16" t="s">
        <v>129</v>
      </c>
      <c r="AC171" s="16">
        <v>25</v>
      </c>
      <c r="AD171" s="16" t="s">
        <v>130</v>
      </c>
    </row>
    <row r="172" spans="1:53" outlineLevel="1" x14ac:dyDescent="0.35">
      <c r="B172" s="25">
        <v>2030</v>
      </c>
      <c r="C172" s="25">
        <v>2031</v>
      </c>
      <c r="D172" s="25">
        <v>2032</v>
      </c>
      <c r="E172" s="25">
        <v>2033</v>
      </c>
      <c r="F172" s="25">
        <v>2034</v>
      </c>
      <c r="G172" s="25">
        <v>2035</v>
      </c>
      <c r="H172" s="25">
        <v>2036</v>
      </c>
      <c r="I172" s="25">
        <v>2037</v>
      </c>
      <c r="J172" s="25">
        <v>2038</v>
      </c>
      <c r="K172" s="25">
        <v>2039</v>
      </c>
      <c r="L172" s="25">
        <v>2040</v>
      </c>
      <c r="M172" s="25">
        <v>2041</v>
      </c>
      <c r="N172" s="25">
        <v>2042</v>
      </c>
      <c r="O172" s="25">
        <v>2043</v>
      </c>
      <c r="P172" s="25">
        <v>2044</v>
      </c>
      <c r="Q172" s="25">
        <v>2045</v>
      </c>
      <c r="R172" s="25">
        <v>2046</v>
      </c>
      <c r="S172" s="25">
        <v>2047</v>
      </c>
      <c r="T172" s="25">
        <v>2048</v>
      </c>
      <c r="U172" s="25">
        <v>2049</v>
      </c>
      <c r="V172" s="25">
        <v>2050</v>
      </c>
      <c r="W172" s="25">
        <v>2051</v>
      </c>
      <c r="X172" s="25">
        <v>2052</v>
      </c>
      <c r="Y172" s="25">
        <v>2053</v>
      </c>
      <c r="Z172" s="25">
        <v>2054</v>
      </c>
      <c r="AC172" s="25">
        <v>2030</v>
      </c>
      <c r="AD172" s="25">
        <v>2031</v>
      </c>
      <c r="AE172" s="25">
        <v>2032</v>
      </c>
      <c r="AF172" s="25">
        <v>2033</v>
      </c>
      <c r="AG172" s="25">
        <v>2034</v>
      </c>
      <c r="AH172" s="25">
        <v>2035</v>
      </c>
      <c r="AI172" s="25">
        <v>2036</v>
      </c>
      <c r="AJ172" s="25">
        <v>2037</v>
      </c>
      <c r="AK172" s="25">
        <v>2038</v>
      </c>
      <c r="AL172" s="25">
        <v>2039</v>
      </c>
      <c r="AM172" s="25">
        <v>2040</v>
      </c>
      <c r="AN172" s="25">
        <v>2041</v>
      </c>
      <c r="AO172" s="25">
        <v>2042</v>
      </c>
      <c r="AP172" s="25">
        <v>2043</v>
      </c>
      <c r="AQ172" s="25">
        <v>2044</v>
      </c>
      <c r="AR172" s="25">
        <v>2045</v>
      </c>
      <c r="AS172" s="25">
        <v>2046</v>
      </c>
      <c r="AT172" s="25">
        <v>2047</v>
      </c>
      <c r="AU172" s="25">
        <v>2048</v>
      </c>
      <c r="AV172" s="25">
        <v>2049</v>
      </c>
      <c r="AW172" s="25">
        <v>2050</v>
      </c>
      <c r="AX172" s="25">
        <v>2051</v>
      </c>
      <c r="AY172" s="25">
        <v>2052</v>
      </c>
      <c r="AZ172" s="25">
        <v>2053</v>
      </c>
      <c r="BA172" s="25">
        <v>2054</v>
      </c>
    </row>
    <row r="173" spans="1:53" outlineLevel="1" x14ac:dyDescent="0.35">
      <c r="A173" s="6" t="s">
        <v>21</v>
      </c>
      <c r="B173" s="6">
        <f>'Results - raw data ReCiPe (E)'!AC41</f>
        <v>9.7008535980434044E-5</v>
      </c>
      <c r="AB173" s="6" t="s">
        <v>117</v>
      </c>
      <c r="AC173" s="6">
        <f>SUM(B173:B184)+B186</f>
        <v>7.3912740668568159E-3</v>
      </c>
    </row>
    <row r="174" spans="1:53" outlineLevel="1" x14ac:dyDescent="0.35">
      <c r="A174" s="6" t="s">
        <v>23</v>
      </c>
      <c r="B174" s="6">
        <f>'Results - raw data ReCiPe (E)'!AC42</f>
        <v>1.853860983464347E-4</v>
      </c>
      <c r="AB174" s="6" t="s">
        <v>118</v>
      </c>
      <c r="AC174" s="6">
        <f>B185</f>
        <v>2.1252840683002016E-4</v>
      </c>
    </row>
    <row r="175" spans="1:53" outlineLevel="1" x14ac:dyDescent="0.35">
      <c r="A175" s="6" t="s">
        <v>26</v>
      </c>
      <c r="B175" s="6">
        <f>'Results - raw data ReCiPe (E)'!AC43</f>
        <v>3.8975441725594911E-4</v>
      </c>
      <c r="AB175" s="6" t="s">
        <v>119</v>
      </c>
      <c r="BA175" s="6">
        <f>SUM(Z187:Z198)</f>
        <v>8.8841262894916216E-5</v>
      </c>
    </row>
    <row r="176" spans="1:53" outlineLevel="1" x14ac:dyDescent="0.35">
      <c r="A176" s="6" t="s">
        <v>28</v>
      </c>
      <c r="B176" s="6">
        <f>'Results - raw data ReCiPe (E)'!AC44</f>
        <v>1.725424049662343E-4</v>
      </c>
      <c r="AB176" s="6" t="s">
        <v>120</v>
      </c>
      <c r="BA176" s="6">
        <f>Z199</f>
        <v>1.6394591401967032E-6</v>
      </c>
    </row>
    <row r="177" spans="1:53" outlineLevel="1" x14ac:dyDescent="0.35">
      <c r="A177" s="6" t="s">
        <v>29</v>
      </c>
      <c r="B177" s="6">
        <f>'Results - raw data ReCiPe (E)'!AC45</f>
        <v>3.1064510616099662E-4</v>
      </c>
      <c r="AB177" s="6" t="s">
        <v>121</v>
      </c>
      <c r="AC177" s="6">
        <f>B200</f>
        <v>9.4301611037095288E-5</v>
      </c>
      <c r="AF177" s="6">
        <f>E200</f>
        <v>9.2886477686598764E-5</v>
      </c>
      <c r="AI177" s="6">
        <f>H200</f>
        <v>9.1489785996520763E-5</v>
      </c>
      <c r="AL177" s="6">
        <f>K200</f>
        <v>9.0033315985642623E-5</v>
      </c>
      <c r="AO177" s="6">
        <f>N200</f>
        <v>8.8459173995158276E-5</v>
      </c>
      <c r="AR177" s="6">
        <f>Q200</f>
        <v>8.68753434169571E-5</v>
      </c>
      <c r="AU177" s="6">
        <f>T200</f>
        <v>8.5817679992132394E-5</v>
      </c>
      <c r="AX177" s="6">
        <f>W200</f>
        <v>8.506043847028737E-5</v>
      </c>
      <c r="BA177" s="6">
        <f>Z200</f>
        <v>8.4860138497287434E-5</v>
      </c>
    </row>
    <row r="178" spans="1:53" outlineLevel="1" x14ac:dyDescent="0.35">
      <c r="A178" s="6" t="s">
        <v>31</v>
      </c>
      <c r="B178" s="6">
        <f>'Results - raw data ReCiPe (E)'!AC46</f>
        <v>2.3411381129342671E-4</v>
      </c>
      <c r="AB178" s="6" t="s">
        <v>122</v>
      </c>
      <c r="AC178" s="6">
        <f>B203+B202</f>
        <v>1.412833224446726E-3</v>
      </c>
      <c r="AD178" s="6">
        <f t="shared" ref="AD178:AV178" si="20">C203+C202</f>
        <v>1.3150924256803585E-3</v>
      </c>
      <c r="AE178" s="6">
        <f t="shared" si="20"/>
        <v>1.2172900141901419E-3</v>
      </c>
      <c r="AF178" s="6">
        <f t="shared" si="20"/>
        <v>1.1190965811557557E-3</v>
      </c>
      <c r="AG178" s="6">
        <f t="shared" si="20"/>
        <v>1.0211577997747568E-3</v>
      </c>
      <c r="AH178" s="6">
        <f t="shared" si="20"/>
        <v>9.2314260445759905E-4</v>
      </c>
      <c r="AI178" s="6">
        <f t="shared" si="20"/>
        <v>8.7380404340124326E-4</v>
      </c>
      <c r="AJ178" s="6">
        <f t="shared" si="20"/>
        <v>8.2456490090684507E-4</v>
      </c>
      <c r="AK178" s="6">
        <f t="shared" si="20"/>
        <v>7.7539105978102643E-4</v>
      </c>
      <c r="AL178" s="6">
        <f t="shared" si="20"/>
        <v>7.2618509644425803E-4</v>
      </c>
      <c r="AM178" s="6">
        <f t="shared" si="20"/>
        <v>6.7695754938268892E-4</v>
      </c>
      <c r="AN178" s="6">
        <f t="shared" si="20"/>
        <v>6.4977584537856306E-4</v>
      </c>
      <c r="AO178" s="6">
        <f t="shared" si="20"/>
        <v>6.2245325104523551E-4</v>
      </c>
      <c r="AP178" s="6">
        <f t="shared" si="20"/>
        <v>5.9514579514316197E-4</v>
      </c>
      <c r="AQ178" s="6">
        <f t="shared" si="20"/>
        <v>5.6753894895164223E-4</v>
      </c>
      <c r="AR178" s="6">
        <f t="shared" si="20"/>
        <v>5.3979331545927361E-4</v>
      </c>
      <c r="AS178" s="6">
        <f t="shared" si="20"/>
        <v>5.3091929467888441E-4</v>
      </c>
      <c r="AT178" s="6">
        <f t="shared" si="20"/>
        <v>5.2203085308281006E-4</v>
      </c>
      <c r="AU178" s="6">
        <f t="shared" si="20"/>
        <v>5.1326376252432593E-4</v>
      </c>
      <c r="AV178" s="6">
        <f t="shared" si="20"/>
        <v>5.0434878736568909E-4</v>
      </c>
      <c r="AW178" s="6">
        <f>V203</f>
        <v>4.9521940393169568E-4</v>
      </c>
      <c r="AX178" s="6">
        <f>W203</f>
        <v>4.9311579350245485E-4</v>
      </c>
      <c r="AY178" s="6">
        <f>X203</f>
        <v>4.9037830707349822E-4</v>
      </c>
      <c r="AZ178" s="6">
        <f>Y203</f>
        <v>4.876365437249069E-4</v>
      </c>
      <c r="BA178" s="6">
        <f>Z203</f>
        <v>4.8488881793507394E-4</v>
      </c>
    </row>
    <row r="179" spans="1:53" outlineLevel="1" x14ac:dyDescent="0.35">
      <c r="A179" s="6" t="s">
        <v>34</v>
      </c>
      <c r="B179" s="6">
        <f>'Results - raw data ReCiPe (E)'!AC47</f>
        <v>2.076012401221968E-4</v>
      </c>
      <c r="AB179" s="6" t="s">
        <v>123</v>
      </c>
      <c r="AC179" s="6">
        <f t="shared" ref="AC179:BA179" si="21">B201</f>
        <v>4.8760485247032904E-7</v>
      </c>
      <c r="AD179" s="6">
        <f t="shared" si="21"/>
        <v>4.6504457192274615E-7</v>
      </c>
      <c r="AE179" s="6">
        <f t="shared" si="21"/>
        <v>4.4257444748324395E-7</v>
      </c>
      <c r="AF179" s="6">
        <f t="shared" si="21"/>
        <v>4.201239044839275E-7</v>
      </c>
      <c r="AG179" s="6">
        <f t="shared" si="21"/>
        <v>3.9783058232146812E-7</v>
      </c>
      <c r="AH179" s="6">
        <f t="shared" si="21"/>
        <v>3.7562404778643313E-7</v>
      </c>
      <c r="AI179" s="6">
        <f t="shared" si="21"/>
        <v>3.6441396062556494E-7</v>
      </c>
      <c r="AJ179" s="6">
        <f t="shared" si="21"/>
        <v>3.5324006282342531E-7</v>
      </c>
      <c r="AK179" s="6">
        <f t="shared" si="21"/>
        <v>3.4209804415007298E-7</v>
      </c>
      <c r="AL179" s="6">
        <f t="shared" si="21"/>
        <v>3.3097285702457221E-7</v>
      </c>
      <c r="AM179" s="6">
        <f t="shared" si="21"/>
        <v>3.1986598285833877E-7</v>
      </c>
      <c r="AN179" s="6">
        <f t="shared" si="21"/>
        <v>3.1359287861240376E-7</v>
      </c>
      <c r="AO179" s="6">
        <f t="shared" si="21"/>
        <v>3.072897762228293E-7</v>
      </c>
      <c r="AP179" s="6">
        <f t="shared" si="21"/>
        <v>3.0099008377612796E-7</v>
      </c>
      <c r="AQ179" s="6">
        <f t="shared" si="21"/>
        <v>2.9462627090369284E-7</v>
      </c>
      <c r="AR179" s="6">
        <f t="shared" si="21"/>
        <v>2.8823275108831463E-7</v>
      </c>
      <c r="AS179" s="6">
        <f t="shared" si="21"/>
        <v>2.8582932090217996E-7</v>
      </c>
      <c r="AT179" s="6">
        <f t="shared" si="21"/>
        <v>2.8341956593278602E-7</v>
      </c>
      <c r="AU179" s="6">
        <f t="shared" si="21"/>
        <v>2.8103291968602143E-7</v>
      </c>
      <c r="AV179" s="6">
        <f t="shared" si="21"/>
        <v>2.7861058334426603E-7</v>
      </c>
      <c r="AW179" s="6">
        <f t="shared" si="21"/>
        <v>2.7618238934971503E-7</v>
      </c>
      <c r="AX179" s="6">
        <f t="shared" si="21"/>
        <v>2.7592582162345372E-7</v>
      </c>
      <c r="AY179" s="6">
        <f t="shared" si="21"/>
        <v>2.7551587143910868E-7</v>
      </c>
      <c r="AZ179" s="6">
        <f t="shared" si="21"/>
        <v>2.7510666321048117E-7</v>
      </c>
      <c r="BA179" s="6">
        <f t="shared" si="21"/>
        <v>2.74697624232507E-7</v>
      </c>
    </row>
    <row r="180" spans="1:53" outlineLevel="1" x14ac:dyDescent="0.35">
      <c r="A180" s="6" t="s">
        <v>36</v>
      </c>
      <c r="B180" s="6">
        <f>'Results - raw data ReCiPe (E)'!AC48</f>
        <v>1.8505843425287521E-4</v>
      </c>
      <c r="AB180" s="6" t="s">
        <v>124</v>
      </c>
      <c r="AC180" s="6">
        <f>-$AC$6*$AC$7</f>
        <v>-2.5000681999999995E-3</v>
      </c>
      <c r="AD180" s="6">
        <f t="shared" ref="AD180:BA180" si="22">-$AC$6*$AC$7</f>
        <v>-2.5000681999999995E-3</v>
      </c>
      <c r="AE180" s="6">
        <f t="shared" si="22"/>
        <v>-2.5000681999999995E-3</v>
      </c>
      <c r="AF180" s="6">
        <f t="shared" si="22"/>
        <v>-2.5000681999999995E-3</v>
      </c>
      <c r="AG180" s="6">
        <f t="shared" si="22"/>
        <v>-2.5000681999999995E-3</v>
      </c>
      <c r="AH180" s="6">
        <f t="shared" si="22"/>
        <v>-2.5000681999999995E-3</v>
      </c>
      <c r="AI180" s="6">
        <f t="shared" si="22"/>
        <v>-2.5000681999999995E-3</v>
      </c>
      <c r="AJ180" s="6">
        <f t="shared" si="22"/>
        <v>-2.5000681999999995E-3</v>
      </c>
      <c r="AK180" s="6">
        <f t="shared" si="22"/>
        <v>-2.5000681999999995E-3</v>
      </c>
      <c r="AL180" s="6">
        <f t="shared" si="22"/>
        <v>-2.5000681999999995E-3</v>
      </c>
      <c r="AM180" s="6">
        <f t="shared" si="22"/>
        <v>-2.5000681999999995E-3</v>
      </c>
      <c r="AN180" s="6">
        <f t="shared" si="22"/>
        <v>-2.5000681999999995E-3</v>
      </c>
      <c r="AO180" s="6">
        <f t="shared" si="22"/>
        <v>-2.5000681999999995E-3</v>
      </c>
      <c r="AP180" s="6">
        <f t="shared" si="22"/>
        <v>-2.5000681999999995E-3</v>
      </c>
      <c r="AQ180" s="6">
        <f t="shared" si="22"/>
        <v>-2.5000681999999995E-3</v>
      </c>
      <c r="AR180" s="6">
        <f t="shared" si="22"/>
        <v>-2.5000681999999995E-3</v>
      </c>
      <c r="AS180" s="6">
        <f t="shared" si="22"/>
        <v>-2.5000681999999995E-3</v>
      </c>
      <c r="AT180" s="6">
        <f t="shared" si="22"/>
        <v>-2.5000681999999995E-3</v>
      </c>
      <c r="AU180" s="6">
        <f t="shared" si="22"/>
        <v>-2.5000681999999995E-3</v>
      </c>
      <c r="AV180" s="6">
        <f t="shared" si="22"/>
        <v>-2.5000681999999995E-3</v>
      </c>
      <c r="AW180" s="6">
        <f t="shared" si="22"/>
        <v>-2.5000681999999995E-3</v>
      </c>
      <c r="AX180" s="6">
        <f t="shared" si="22"/>
        <v>-2.5000681999999995E-3</v>
      </c>
      <c r="AY180" s="6">
        <f t="shared" si="22"/>
        <v>-2.5000681999999995E-3</v>
      </c>
      <c r="AZ180" s="6">
        <f t="shared" si="22"/>
        <v>-2.5000681999999995E-3</v>
      </c>
      <c r="BA180" s="6">
        <f t="shared" si="22"/>
        <v>-2.5000681999999995E-3</v>
      </c>
    </row>
    <row r="181" spans="1:53" outlineLevel="1" x14ac:dyDescent="0.35">
      <c r="A181" s="6" t="s">
        <v>38</v>
      </c>
      <c r="B181" s="6">
        <f>'Results - raw data ReCiPe (E)'!AC49</f>
        <v>3.8929690933302958E-4</v>
      </c>
      <c r="AB181" s="23" t="s">
        <v>125</v>
      </c>
      <c r="AC181" s="17">
        <f>SUM(AC173:AC180)</f>
        <v>6.6113567140231285E-3</v>
      </c>
      <c r="AD181" s="17">
        <f t="shared" ref="AD181:BA181" si="23">SUM(AD173:AD180)</f>
        <v>-1.1845107297477181E-3</v>
      </c>
      <c r="AE181" s="17">
        <f t="shared" si="23"/>
        <v>-1.2823356113623743E-3</v>
      </c>
      <c r="AF181" s="17">
        <f t="shared" si="23"/>
        <v>-1.287665017253161E-3</v>
      </c>
      <c r="AG181" s="17">
        <f t="shared" si="23"/>
        <v>-1.4785125696429211E-3</v>
      </c>
      <c r="AH181" s="17">
        <f t="shared" si="23"/>
        <v>-1.5765499714946139E-3</v>
      </c>
      <c r="AI181" s="17">
        <f t="shared" si="23"/>
        <v>-1.5344099566416099E-3</v>
      </c>
      <c r="AJ181" s="17">
        <f t="shared" si="23"/>
        <v>-1.675150059030331E-3</v>
      </c>
      <c r="AK181" s="17">
        <f t="shared" si="23"/>
        <v>-1.7243350421748231E-3</v>
      </c>
      <c r="AL181" s="17">
        <f t="shared" si="23"/>
        <v>-1.6835188147130743E-3</v>
      </c>
      <c r="AM181" s="17">
        <f t="shared" si="23"/>
        <v>-1.8227907846344522E-3</v>
      </c>
      <c r="AN181" s="17">
        <f t="shared" si="23"/>
        <v>-1.8499787617428242E-3</v>
      </c>
      <c r="AO181" s="17">
        <f t="shared" si="23"/>
        <v>-1.7888484851833828E-3</v>
      </c>
      <c r="AP181" s="17">
        <f t="shared" si="23"/>
        <v>-1.9046214147730614E-3</v>
      </c>
      <c r="AQ181" s="17">
        <f t="shared" si="23"/>
        <v>-1.9322346247774534E-3</v>
      </c>
      <c r="AR181" s="17">
        <f t="shared" si="23"/>
        <v>-1.8731113083726805E-3</v>
      </c>
      <c r="AS181" s="17">
        <f t="shared" si="23"/>
        <v>-1.968863076000213E-3</v>
      </c>
      <c r="AT181" s="17">
        <f t="shared" si="23"/>
        <v>-1.9777539273512566E-3</v>
      </c>
      <c r="AU181" s="17">
        <f t="shared" si="23"/>
        <v>-1.900705724563855E-3</v>
      </c>
      <c r="AV181" s="17">
        <f t="shared" si="23"/>
        <v>-1.9954408020509662E-3</v>
      </c>
      <c r="AW181" s="17">
        <f t="shared" si="23"/>
        <v>-2.004572613678954E-3</v>
      </c>
      <c r="AX181" s="17">
        <f t="shared" si="23"/>
        <v>-1.9216160422056336E-3</v>
      </c>
      <c r="AY181" s="17">
        <f t="shared" si="23"/>
        <v>-2.0094143770550623E-3</v>
      </c>
      <c r="AZ181" s="17">
        <f t="shared" si="23"/>
        <v>-2.0121565496118822E-3</v>
      </c>
      <c r="BA181" s="17">
        <f t="shared" si="23"/>
        <v>-1.8395638239082925E-3</v>
      </c>
    </row>
    <row r="182" spans="1:53" outlineLevel="1" x14ac:dyDescent="0.35">
      <c r="A182" s="6" t="s">
        <v>39</v>
      </c>
      <c r="B182" s="6">
        <f>'Results - raw data ReCiPe (E)'!AC50</f>
        <v>4.7872271562175396E-3</v>
      </c>
    </row>
    <row r="183" spans="1:53" outlineLevel="1" x14ac:dyDescent="0.35">
      <c r="A183" s="6" t="s">
        <v>41</v>
      </c>
      <c r="B183" s="6">
        <f>'Results - raw data ReCiPe (E)'!AC51</f>
        <v>4.9195167421687214E-6</v>
      </c>
    </row>
    <row r="184" spans="1:53" outlineLevel="1" x14ac:dyDescent="0.35">
      <c r="A184" s="6" t="s">
        <v>43</v>
      </c>
      <c r="B184" s="6">
        <f>'Results - raw data ReCiPe (E)'!AC52</f>
        <v>2.8938947844086161E-5</v>
      </c>
      <c r="AB184" s="219"/>
      <c r="AC184" s="219"/>
      <c r="AD184" s="219"/>
      <c r="AE184" s="219"/>
      <c r="AF184" s="219"/>
      <c r="AG184" s="219"/>
      <c r="AH184" s="219"/>
      <c r="AI184" s="219"/>
      <c r="AJ184" s="219"/>
      <c r="AK184" s="219"/>
      <c r="AL184" s="219"/>
      <c r="AM184" s="219"/>
      <c r="AN184" s="219"/>
      <c r="AO184" s="219"/>
      <c r="AP184" s="219"/>
      <c r="AQ184" s="219"/>
      <c r="AR184" s="219"/>
      <c r="AS184" s="219"/>
      <c r="AT184" s="219"/>
      <c r="AU184" s="219"/>
      <c r="AV184" s="219"/>
      <c r="AW184" s="219"/>
      <c r="AX184" s="219"/>
      <c r="AY184" s="219"/>
      <c r="AZ184" s="219"/>
      <c r="BA184" s="219"/>
    </row>
    <row r="185" spans="1:53" outlineLevel="1" x14ac:dyDescent="0.35">
      <c r="A185" s="6" t="s">
        <v>44</v>
      </c>
      <c r="B185" s="6">
        <f>'Results - raw data ReCiPe (E)'!AC53*AC169*AC171</f>
        <v>2.1252840683002016E-4</v>
      </c>
      <c r="AB185" s="219"/>
      <c r="AC185" s="219"/>
      <c r="AD185" s="219"/>
      <c r="AE185" s="219"/>
      <c r="AF185" s="219"/>
      <c r="AG185" s="219"/>
      <c r="AH185" s="219"/>
      <c r="AI185" s="219"/>
      <c r="AJ185" s="219"/>
      <c r="AK185" s="219"/>
      <c r="AL185" s="219"/>
      <c r="AM185" s="219"/>
      <c r="AN185" s="219"/>
      <c r="AO185" s="219"/>
      <c r="AP185" s="219"/>
      <c r="AQ185" s="219"/>
      <c r="AR185" s="219"/>
      <c r="AS185" s="219"/>
      <c r="AT185" s="219"/>
      <c r="AU185" s="219"/>
      <c r="AV185" s="219"/>
      <c r="AW185" s="219"/>
      <c r="AX185" s="219"/>
      <c r="AY185" s="219"/>
      <c r="AZ185" s="219"/>
      <c r="BA185" s="219"/>
    </row>
    <row r="186" spans="1:53" outlineLevel="1" x14ac:dyDescent="0.35">
      <c r="A186" s="6" t="s">
        <v>757</v>
      </c>
      <c r="B186" s="6">
        <f>'Results - raw data ReCiPe (E)'!AC54*AC169*AC171</f>
        <v>3.9878148834144396E-4</v>
      </c>
      <c r="AB186" s="219"/>
      <c r="AC186" s="219"/>
      <c r="AD186" s="219"/>
      <c r="AE186" s="219"/>
      <c r="AF186" s="219"/>
      <c r="AG186" s="219"/>
      <c r="AH186" s="219"/>
      <c r="AI186" s="219"/>
      <c r="AJ186" s="219"/>
      <c r="AK186" s="219"/>
      <c r="AL186" s="219"/>
      <c r="AM186" s="219"/>
      <c r="AN186" s="219"/>
      <c r="AO186" s="219"/>
      <c r="AP186" s="219"/>
      <c r="AQ186" s="219"/>
      <c r="AR186" s="219"/>
      <c r="AS186" s="219"/>
      <c r="AT186" s="219"/>
      <c r="AU186" s="219"/>
      <c r="AV186" s="219"/>
      <c r="AW186" s="219"/>
      <c r="AX186" s="219"/>
      <c r="AY186" s="219"/>
      <c r="AZ186" s="219"/>
      <c r="BA186" s="219"/>
    </row>
    <row r="187" spans="1:53" outlineLevel="1" x14ac:dyDescent="0.35">
      <c r="A187" s="6" t="s">
        <v>22</v>
      </c>
      <c r="Z187" s="6">
        <f>'Results - raw data ReCiPe (E)'!BA55</f>
        <v>1.551760227943872E-6</v>
      </c>
      <c r="AB187" s="219"/>
      <c r="AC187" s="219"/>
      <c r="AD187" s="219"/>
      <c r="AE187" s="219"/>
      <c r="AF187" s="219"/>
      <c r="AG187" s="219"/>
      <c r="AH187" s="219"/>
      <c r="AI187" s="219"/>
      <c r="AJ187" s="219"/>
      <c r="AK187" s="219"/>
      <c r="AL187" s="219"/>
      <c r="AM187" s="219"/>
      <c r="AN187" s="219"/>
      <c r="AO187" s="219"/>
      <c r="AP187" s="219"/>
      <c r="AQ187" s="219"/>
      <c r="AR187" s="219"/>
      <c r="AS187" s="219"/>
      <c r="AT187" s="219"/>
      <c r="AU187" s="219"/>
      <c r="AV187" s="219"/>
      <c r="AW187" s="219"/>
      <c r="AX187" s="219"/>
      <c r="AY187" s="219"/>
      <c r="AZ187" s="219"/>
      <c r="BA187" s="219"/>
    </row>
    <row r="188" spans="1:53" outlineLevel="1" x14ac:dyDescent="0.35">
      <c r="A188" s="6" t="s">
        <v>24</v>
      </c>
      <c r="Z188" s="6">
        <f>'Results - raw data ReCiPe (E)'!BA56</f>
        <v>9.4162511551661784E-7</v>
      </c>
      <c r="AB188" s="219"/>
      <c r="AC188" s="219"/>
      <c r="AD188" s="219"/>
      <c r="AE188" s="219"/>
      <c r="AF188" s="219"/>
      <c r="AG188" s="219"/>
      <c r="AH188" s="219"/>
      <c r="AI188" s="219"/>
      <c r="AJ188" s="219"/>
      <c r="AK188" s="219"/>
      <c r="AL188" s="219"/>
      <c r="AM188" s="219"/>
      <c r="AN188" s="219"/>
      <c r="AO188" s="219"/>
      <c r="AP188" s="219"/>
      <c r="AQ188" s="219"/>
      <c r="AR188" s="219"/>
      <c r="AS188" s="219"/>
      <c r="AT188" s="219"/>
      <c r="AU188" s="219"/>
      <c r="AV188" s="219"/>
      <c r="AW188" s="219"/>
      <c r="AX188" s="219"/>
      <c r="AY188" s="219"/>
      <c r="AZ188" s="219"/>
      <c r="BA188" s="219"/>
    </row>
    <row r="189" spans="1:53" outlineLevel="1" x14ac:dyDescent="0.35">
      <c r="A189" s="6" t="s">
        <v>25</v>
      </c>
      <c r="Z189" s="6">
        <f>'Results - raw data ReCiPe (E)'!BA57</f>
        <v>3.0456788673111499E-6</v>
      </c>
      <c r="AB189" s="219"/>
      <c r="AC189" s="219"/>
      <c r="AD189" s="219"/>
      <c r="AE189" s="219"/>
      <c r="AF189" s="219"/>
      <c r="AG189" s="219"/>
      <c r="AH189" s="219"/>
      <c r="AI189" s="219"/>
      <c r="AJ189" s="219"/>
      <c r="AK189" s="219"/>
      <c r="AL189" s="219"/>
      <c r="AM189" s="219"/>
      <c r="AN189" s="219"/>
      <c r="AO189" s="219"/>
      <c r="AP189" s="219"/>
      <c r="AQ189" s="219"/>
      <c r="AR189" s="219"/>
      <c r="AS189" s="219"/>
      <c r="AT189" s="219"/>
      <c r="AU189" s="219"/>
      <c r="AV189" s="219"/>
      <c r="AW189" s="219"/>
      <c r="AX189" s="219"/>
      <c r="AY189" s="219"/>
      <c r="AZ189" s="219"/>
      <c r="BA189" s="219"/>
    </row>
    <row r="190" spans="1:53" outlineLevel="1" x14ac:dyDescent="0.35">
      <c r="A190" s="6" t="s">
        <v>27</v>
      </c>
      <c r="Z190" s="6">
        <f>'Results - raw data ReCiPe (E)'!BA58</f>
        <v>9.4580487214481723E-7</v>
      </c>
      <c r="AB190" s="219"/>
      <c r="AC190" s="219"/>
      <c r="AD190" s="219"/>
      <c r="AE190" s="219"/>
      <c r="AF190" s="219"/>
      <c r="AG190" s="219"/>
      <c r="AH190" s="219"/>
      <c r="AI190" s="219"/>
      <c r="AJ190" s="219"/>
      <c r="AK190" s="219"/>
      <c r="AL190" s="219"/>
      <c r="AM190" s="219"/>
      <c r="AN190" s="219"/>
      <c r="AO190" s="219"/>
      <c r="AP190" s="219"/>
      <c r="AQ190" s="219"/>
      <c r="AR190" s="219"/>
      <c r="AS190" s="219"/>
      <c r="AT190" s="219"/>
      <c r="AU190" s="219"/>
      <c r="AV190" s="219"/>
      <c r="AW190" s="219"/>
      <c r="AX190" s="219"/>
      <c r="AY190" s="219"/>
      <c r="AZ190" s="219"/>
      <c r="BA190" s="219"/>
    </row>
    <row r="191" spans="1:53" outlineLevel="1" x14ac:dyDescent="0.35">
      <c r="A191" s="6" t="s">
        <v>30</v>
      </c>
      <c r="Z191" s="6">
        <f>'Results - raw data ReCiPe (E)'!BA59</f>
        <v>2.265672978316104E-6</v>
      </c>
      <c r="AB191" s="219"/>
      <c r="AC191" s="219"/>
      <c r="AD191" s="219"/>
      <c r="AE191" s="219"/>
      <c r="AF191" s="219"/>
      <c r="AG191" s="219"/>
      <c r="AH191" s="219"/>
      <c r="AI191" s="219"/>
      <c r="AJ191" s="219"/>
      <c r="AK191" s="219"/>
      <c r="AL191" s="219"/>
      <c r="AM191" s="219"/>
      <c r="AN191" s="219"/>
      <c r="AO191" s="219"/>
      <c r="AP191" s="219"/>
      <c r="AQ191" s="219"/>
      <c r="AR191" s="219"/>
      <c r="AS191" s="219"/>
      <c r="AT191" s="219"/>
      <c r="AU191" s="219"/>
      <c r="AV191" s="219"/>
      <c r="AW191" s="219"/>
      <c r="AX191" s="219"/>
      <c r="AY191" s="219"/>
      <c r="AZ191" s="219"/>
      <c r="BA191" s="219"/>
    </row>
    <row r="192" spans="1:53" outlineLevel="1" x14ac:dyDescent="0.35">
      <c r="A192" s="6" t="s">
        <v>32</v>
      </c>
      <c r="Z192" s="6">
        <f>'Results - raw data ReCiPe (E)'!BA60</f>
        <v>3.9207019239858951E-7</v>
      </c>
      <c r="AB192" s="219"/>
      <c r="AC192" s="219"/>
      <c r="AD192" s="219"/>
      <c r="AE192" s="219"/>
      <c r="AF192" s="219"/>
      <c r="AG192" s="219"/>
      <c r="AH192" s="219"/>
      <c r="AI192" s="219"/>
      <c r="AJ192" s="219"/>
      <c r="AK192" s="219"/>
      <c r="AL192" s="219"/>
      <c r="AM192" s="219"/>
      <c r="AN192" s="219"/>
      <c r="AO192" s="219"/>
      <c r="AP192" s="219"/>
      <c r="AQ192" s="219"/>
      <c r="AR192" s="219"/>
      <c r="AS192" s="219"/>
      <c r="AT192" s="219"/>
      <c r="AU192" s="219"/>
      <c r="AV192" s="219"/>
      <c r="AW192" s="219"/>
      <c r="AX192" s="219"/>
      <c r="AY192" s="219"/>
      <c r="AZ192" s="219"/>
      <c r="BA192" s="219"/>
    </row>
    <row r="193" spans="1:53" outlineLevel="1" x14ac:dyDescent="0.35">
      <c r="A193" s="6" t="s">
        <v>33</v>
      </c>
      <c r="Z193" s="6">
        <f>'Results - raw data ReCiPe (E)'!BA61</f>
        <v>7.3709305101567413E-7</v>
      </c>
      <c r="AB193" s="219"/>
      <c r="AC193" s="219"/>
      <c r="AD193" s="219"/>
      <c r="AE193" s="219"/>
      <c r="AF193" s="219"/>
      <c r="AG193" s="219"/>
      <c r="AH193" s="219"/>
      <c r="AI193" s="219"/>
      <c r="AJ193" s="219"/>
      <c r="AK193" s="219"/>
      <c r="AL193" s="219"/>
      <c r="AM193" s="219"/>
      <c r="AN193" s="219"/>
      <c r="AO193" s="219"/>
      <c r="AP193" s="219"/>
      <c r="AQ193" s="219"/>
      <c r="AR193" s="219"/>
      <c r="AS193" s="219"/>
      <c r="AT193" s="219"/>
      <c r="AU193" s="219"/>
      <c r="AV193" s="219"/>
      <c r="AW193" s="219"/>
      <c r="AX193" s="219"/>
      <c r="AY193" s="219"/>
      <c r="AZ193" s="219"/>
      <c r="BA193" s="219"/>
    </row>
    <row r="194" spans="1:53" outlineLevel="1" x14ac:dyDescent="0.35">
      <c r="A194" s="6" t="s">
        <v>35</v>
      </c>
      <c r="Z194" s="6">
        <f>'Results - raw data ReCiPe (E)'!BA62</f>
        <v>1.474186102031348E-6</v>
      </c>
      <c r="AB194" s="219"/>
      <c r="AC194" s="219"/>
      <c r="AD194" s="219"/>
      <c r="AE194" s="219"/>
      <c r="AF194" s="219"/>
      <c r="AG194" s="219"/>
      <c r="AH194" s="219"/>
      <c r="AI194" s="219"/>
      <c r="AJ194" s="219"/>
      <c r="AK194" s="219"/>
      <c r="AL194" s="219"/>
      <c r="AM194" s="219"/>
      <c r="AN194" s="219"/>
      <c r="AO194" s="219"/>
      <c r="AP194" s="219"/>
      <c r="AQ194" s="219"/>
      <c r="AR194" s="219"/>
      <c r="AS194" s="219"/>
      <c r="AT194" s="219"/>
      <c r="AU194" s="219"/>
      <c r="AV194" s="219"/>
      <c r="AW194" s="219"/>
      <c r="AX194" s="219"/>
      <c r="AY194" s="219"/>
      <c r="AZ194" s="219"/>
      <c r="BA194" s="219"/>
    </row>
    <row r="195" spans="1:53" outlineLevel="1" x14ac:dyDescent="0.35">
      <c r="A195" s="6" t="s">
        <v>37</v>
      </c>
      <c r="Z195" s="6">
        <f>'Results - raw data ReCiPe (E)'!BA63</f>
        <v>2.4134783611111282E-6</v>
      </c>
      <c r="AB195" s="219"/>
      <c r="AC195" s="219"/>
      <c r="AD195" s="219"/>
      <c r="AE195" s="219"/>
      <c r="AF195" s="219"/>
      <c r="AG195" s="219"/>
      <c r="AH195" s="219"/>
      <c r="AI195" s="219"/>
      <c r="AJ195" s="219"/>
      <c r="AK195" s="219"/>
      <c r="AL195" s="219"/>
      <c r="AM195" s="219"/>
      <c r="AN195" s="219"/>
      <c r="AO195" s="219"/>
      <c r="AP195" s="219"/>
      <c r="AQ195" s="219"/>
      <c r="AR195" s="219"/>
      <c r="AS195" s="219"/>
      <c r="AT195" s="219"/>
      <c r="AU195" s="219"/>
      <c r="AV195" s="219"/>
      <c r="AW195" s="219"/>
      <c r="AX195" s="219"/>
      <c r="AY195" s="219"/>
      <c r="AZ195" s="219"/>
      <c r="BA195" s="219"/>
    </row>
    <row r="196" spans="1:53" outlineLevel="1" x14ac:dyDescent="0.35">
      <c r="A196" s="6" t="s">
        <v>40</v>
      </c>
      <c r="Z196" s="6">
        <f>'Results - raw data ReCiPe (E)'!BA64</f>
        <v>6.1202664613666457E-5</v>
      </c>
    </row>
    <row r="197" spans="1:53" outlineLevel="1" x14ac:dyDescent="0.35">
      <c r="A197" s="6" t="s">
        <v>42</v>
      </c>
      <c r="Z197" s="6">
        <f>'Results - raw data ReCiPe (E)'!BA65</f>
        <v>1.49005299861832E-6</v>
      </c>
    </row>
    <row r="198" spans="1:53" outlineLevel="1" x14ac:dyDescent="0.35">
      <c r="A198" s="6" t="s">
        <v>115</v>
      </c>
      <c r="Z198" s="6">
        <f>'Results - raw data ReCiPe (E)'!BA66</f>
        <v>1.238117551484213E-5</v>
      </c>
    </row>
    <row r="199" spans="1:53" outlineLevel="1" x14ac:dyDescent="0.35">
      <c r="A199" s="6" t="s">
        <v>45</v>
      </c>
      <c r="Z199" s="6">
        <f>'Results - raw data ReCiPe (E)'!BA67*AC169*AC171</f>
        <v>1.6394591401967032E-6</v>
      </c>
    </row>
    <row r="200" spans="1:53" outlineLevel="1" x14ac:dyDescent="0.35">
      <c r="A200" s="6" t="s">
        <v>116</v>
      </c>
      <c r="B200" s="6">
        <f>'Results - raw data ReCiPe (E)'!AC68</f>
        <v>9.4301611037095288E-5</v>
      </c>
      <c r="C200" s="6">
        <f>'Results - raw data ReCiPe (E)'!AD68</f>
        <v>9.3864145744962737E-5</v>
      </c>
      <c r="D200" s="6">
        <f>'Results - raw data ReCiPe (E)'!AE68</f>
        <v>9.3422048900439864E-5</v>
      </c>
      <c r="E200" s="6">
        <f>'Results - raw data ReCiPe (E)'!AF68</f>
        <v>9.2886477686598764E-5</v>
      </c>
      <c r="F200" s="6">
        <f>'Results - raw data ReCiPe (E)'!AG68</f>
        <v>9.2434191272579524E-5</v>
      </c>
      <c r="G200" s="6">
        <f>'Results - raw data ReCiPe (E)'!AH68</f>
        <v>9.1976527115636379E-5</v>
      </c>
      <c r="H200" s="6">
        <f>'Results - raw data ReCiPe (E)'!AI68</f>
        <v>9.1489785996520763E-5</v>
      </c>
      <c r="I200" s="6">
        <f>'Results - raw data ReCiPe (E)'!AJ68</f>
        <v>9.1002418870964329E-5</v>
      </c>
      <c r="J200" s="6">
        <f>'Results - raw data ReCiPe (E)'!AK68</f>
        <v>9.0524842144070261E-5</v>
      </c>
      <c r="K200" s="6">
        <f>'Results - raw data ReCiPe (E)'!AL68</f>
        <v>9.0033315985642623E-5</v>
      </c>
      <c r="L200" s="6">
        <f>'Results - raw data ReCiPe (E)'!AM68</f>
        <v>8.9538585067318346E-5</v>
      </c>
      <c r="M200" s="6">
        <f>'Results - raw data ReCiPe (E)'!AN68</f>
        <v>8.8997809850082694E-5</v>
      </c>
      <c r="N200" s="6">
        <f>'Results - raw data ReCiPe (E)'!AO68</f>
        <v>8.8459173995158276E-5</v>
      </c>
      <c r="O200" s="6">
        <f>'Results - raw data ReCiPe (E)'!AP68</f>
        <v>8.7942263850055729E-5</v>
      </c>
      <c r="P200" s="6">
        <f>'Results - raw data ReCiPe (E)'!AQ68</f>
        <v>8.7407884953832191E-5</v>
      </c>
      <c r="Q200" s="6">
        <f>'Results - raw data ReCiPe (E)'!AR68</f>
        <v>8.68753434169571E-5</v>
      </c>
      <c r="R200" s="6">
        <f>'Results - raw data ReCiPe (E)'!AS68</f>
        <v>8.6515555867659608E-5</v>
      </c>
      <c r="S200" s="6">
        <f>'Results - raw data ReCiPe (E)'!AT68</f>
        <v>8.6157782439075603E-5</v>
      </c>
      <c r="T200" s="6">
        <f>'Results - raw data ReCiPe (E)'!AU68</f>
        <v>8.5817679992132394E-5</v>
      </c>
      <c r="U200" s="6">
        <f>'Results - raw data ReCiPe (E)'!AV68</f>
        <v>8.5464125521544947E-5</v>
      </c>
      <c r="V200" s="6">
        <f>'Results - raw data ReCiPe (E)'!AW68</f>
        <v>8.5112521757604929E-5</v>
      </c>
      <c r="W200" s="6">
        <f>'Results - raw data ReCiPe (E)'!AX68</f>
        <v>8.506043847028737E-5</v>
      </c>
      <c r="X200" s="6">
        <f>'Results - raw data ReCiPe (E)'!AY68</f>
        <v>8.499309053467297E-5</v>
      </c>
      <c r="Y200" s="6">
        <f>'Results - raw data ReCiPe (E)'!AZ68</f>
        <v>8.4926327573248345E-5</v>
      </c>
      <c r="Z200" s="6">
        <f>'Results - raw data ReCiPe (E)'!BA68</f>
        <v>8.4860138497287434E-5</v>
      </c>
    </row>
    <row r="201" spans="1:53" outlineLevel="1" x14ac:dyDescent="0.35">
      <c r="A201" s="6" t="s">
        <v>758</v>
      </c>
      <c r="B201" s="6">
        <f>'Results - raw data ReCiPe (E)'!AC69*$AC$170</f>
        <v>4.8760485247032904E-7</v>
      </c>
      <c r="C201" s="6">
        <f>'Results - raw data ReCiPe (E)'!AD69*$AC$170</f>
        <v>4.6504457192274615E-7</v>
      </c>
      <c r="D201" s="6">
        <f>'Results - raw data ReCiPe (E)'!AE69*$AC$170</f>
        <v>4.4257444748324395E-7</v>
      </c>
      <c r="E201" s="6">
        <f>'Results - raw data ReCiPe (E)'!AF69*$AC$170</f>
        <v>4.201239044839275E-7</v>
      </c>
      <c r="F201" s="6">
        <f>'Results - raw data ReCiPe (E)'!AG69*$AC$170</f>
        <v>3.9783058232146812E-7</v>
      </c>
      <c r="G201" s="6">
        <f>'Results - raw data ReCiPe (E)'!AH69*$AC$170</f>
        <v>3.7562404778643313E-7</v>
      </c>
      <c r="H201" s="6">
        <f>'Results - raw data ReCiPe (E)'!AI69*$AC$170</f>
        <v>3.6441396062556494E-7</v>
      </c>
      <c r="I201" s="6">
        <f>'Results - raw data ReCiPe (E)'!AJ69*$AC$170</f>
        <v>3.5324006282342531E-7</v>
      </c>
      <c r="J201" s="6">
        <f>'Results - raw data ReCiPe (E)'!AK69*$AC$170</f>
        <v>3.4209804415007298E-7</v>
      </c>
      <c r="K201" s="6">
        <f>'Results - raw data ReCiPe (E)'!AL69*$AC$170</f>
        <v>3.3097285702457221E-7</v>
      </c>
      <c r="L201" s="6">
        <f>'Results - raw data ReCiPe (E)'!AM69*$AC$170</f>
        <v>3.1986598285833877E-7</v>
      </c>
      <c r="M201" s="6">
        <f>'Results - raw data ReCiPe (E)'!AN69*$AC$170</f>
        <v>3.1359287861240376E-7</v>
      </c>
      <c r="N201" s="6">
        <f>'Results - raw data ReCiPe (E)'!AO69*$AC$170</f>
        <v>3.072897762228293E-7</v>
      </c>
      <c r="O201" s="6">
        <f>'Results - raw data ReCiPe (E)'!AP69*$AC$170</f>
        <v>3.0099008377612796E-7</v>
      </c>
      <c r="P201" s="6">
        <f>'Results - raw data ReCiPe (E)'!AQ69*$AC$170</f>
        <v>2.9462627090369284E-7</v>
      </c>
      <c r="Q201" s="6">
        <f>'Results - raw data ReCiPe (E)'!AR69*$AC$170</f>
        <v>2.8823275108831463E-7</v>
      </c>
      <c r="R201" s="6">
        <f>'Results - raw data ReCiPe (E)'!AS69*$AC$170</f>
        <v>2.8582932090217996E-7</v>
      </c>
      <c r="S201" s="6">
        <f>'Results - raw data ReCiPe (E)'!AT69*$AC$170</f>
        <v>2.8341956593278602E-7</v>
      </c>
      <c r="T201" s="6">
        <f>'Results - raw data ReCiPe (E)'!AU69*$AC$170</f>
        <v>2.8103291968602143E-7</v>
      </c>
      <c r="U201" s="6">
        <f>'Results - raw data ReCiPe (E)'!AV69*$AC$170</f>
        <v>2.7861058334426603E-7</v>
      </c>
      <c r="V201" s="6">
        <f>'Results - raw data ReCiPe (E)'!AW69*$AC$170</f>
        <v>2.7618238934971503E-7</v>
      </c>
      <c r="W201" s="6">
        <f>'Results - raw data ReCiPe (E)'!AX69*$AC$170</f>
        <v>2.7592582162345372E-7</v>
      </c>
      <c r="X201" s="6">
        <f>'Results - raw data ReCiPe (E)'!AY69*$AC$170</f>
        <v>2.7551587143910868E-7</v>
      </c>
      <c r="Y201" s="6">
        <f>'Results - raw data ReCiPe (E)'!AZ69*$AC$170</f>
        <v>2.7510666321048117E-7</v>
      </c>
      <c r="Z201" s="6">
        <f>'Results - raw data ReCiPe (E)'!BA69*$AC$170</f>
        <v>2.74697624232507E-7</v>
      </c>
    </row>
    <row r="202" spans="1:53" outlineLevel="1" x14ac:dyDescent="0.35">
      <c r="A202" s="6" t="s">
        <v>759</v>
      </c>
      <c r="B202" s="6">
        <f>'Results - raw data ReCiPe (E)'!AC70</f>
        <v>2.0736000294618859E-7</v>
      </c>
      <c r="C202" s="6">
        <f>'Results - raw data ReCiPe (E)'!AD70</f>
        <v>2.0736000294618859E-7</v>
      </c>
      <c r="D202" s="6">
        <f>'Results - raw data ReCiPe (E)'!AE70</f>
        <v>2.0736000294618859E-7</v>
      </c>
      <c r="E202" s="6">
        <f>'Results - raw data ReCiPe (E)'!AF70</f>
        <v>2.0736000294618859E-7</v>
      </c>
      <c r="F202" s="6">
        <f>'Results - raw data ReCiPe (E)'!AG70</f>
        <v>2.0736000294618859E-7</v>
      </c>
      <c r="G202" s="6">
        <f>'Results - raw data ReCiPe (E)'!AH70</f>
        <v>2.0736000294618859E-7</v>
      </c>
      <c r="H202" s="6">
        <f>'Results - raw data ReCiPe (E)'!AI70</f>
        <v>2.0736000294618859E-7</v>
      </c>
      <c r="I202" s="6">
        <f>'Results - raw data ReCiPe (E)'!AJ70</f>
        <v>2.0736000294618859E-7</v>
      </c>
      <c r="J202" s="6">
        <f>'Results - raw data ReCiPe (E)'!AK70</f>
        <v>2.0736000294618859E-7</v>
      </c>
      <c r="K202" s="6">
        <f>'Results - raw data ReCiPe (E)'!AL70</f>
        <v>2.0736000294618859E-7</v>
      </c>
      <c r="L202" s="6">
        <f>'Results - raw data ReCiPe (E)'!AM70</f>
        <v>2.0736000294618859E-7</v>
      </c>
      <c r="M202" s="6">
        <f>'Results - raw data ReCiPe (E)'!AN70</f>
        <v>2.0736000294618859E-7</v>
      </c>
      <c r="N202" s="6">
        <f>'Results - raw data ReCiPe (E)'!AO70</f>
        <v>2.0736000294618859E-7</v>
      </c>
      <c r="O202" s="6">
        <f>'Results - raw data ReCiPe (E)'!AP70</f>
        <v>2.0736000294618859E-7</v>
      </c>
      <c r="P202" s="6">
        <f>'Results - raw data ReCiPe (E)'!AQ70</f>
        <v>2.0736000294618859E-7</v>
      </c>
      <c r="Q202" s="6">
        <f>'Results - raw data ReCiPe (E)'!AR70</f>
        <v>2.0736000294618859E-7</v>
      </c>
      <c r="R202" s="6">
        <f>'Results - raw data ReCiPe (E)'!AS70</f>
        <v>2.0736000294618859E-7</v>
      </c>
      <c r="S202" s="6">
        <f>'Results - raw data ReCiPe (E)'!AT70</f>
        <v>2.0736000294618859E-7</v>
      </c>
      <c r="T202" s="6">
        <f>'Results - raw data ReCiPe (E)'!AU70</f>
        <v>2.0736000294618859E-7</v>
      </c>
      <c r="U202" s="6">
        <f>'Results - raw data ReCiPe (E)'!AV70</f>
        <v>2.0736000294618859E-7</v>
      </c>
      <c r="V202" s="6">
        <f>'Results - raw data ReCiPe (E)'!AW70</f>
        <v>2.0736000294618859E-7</v>
      </c>
      <c r="W202" s="6">
        <f>'Results - raw data ReCiPe (E)'!AX70</f>
        <v>2.0736000294618859E-7</v>
      </c>
      <c r="X202" s="6">
        <f>'Results - raw data ReCiPe (E)'!AY70</f>
        <v>2.0736000294618859E-7</v>
      </c>
      <c r="Y202" s="6">
        <f>'Results - raw data ReCiPe (E)'!AZ70</f>
        <v>2.0736000294618859E-7</v>
      </c>
      <c r="Z202" s="6">
        <f>'Results - raw data ReCiPe (E)'!BA70</f>
        <v>2.0736000294618859E-7</v>
      </c>
    </row>
    <row r="203" spans="1:53" outlineLevel="1" x14ac:dyDescent="0.35">
      <c r="A203" s="6" t="s">
        <v>760</v>
      </c>
      <c r="B203" s="6">
        <f>150000*($AC$170*'Results - raw data ReCiPe (E)'!AC121+(1-'Results ReCiPe (E) - HHD'!$AC$170)*'Results - raw data ReCiPe (E)'!AC122)</f>
        <v>1.4126258644437798E-3</v>
      </c>
      <c r="C203" s="6">
        <f>150000*($AC$170*'Results - raw data ReCiPe (E)'!AD121+(1-'Results ReCiPe (E) - HHD'!$AC$170)*'Results - raw data ReCiPe (E)'!AD122)</f>
        <v>1.3148850656774123E-3</v>
      </c>
      <c r="D203" s="6">
        <f>150000*($AC$170*'Results - raw data ReCiPe (E)'!AE121+(1-'Results ReCiPe (E) - HHD'!$AC$170)*'Results - raw data ReCiPe (E)'!AE122)</f>
        <v>1.2170826541871957E-3</v>
      </c>
      <c r="E203" s="6">
        <f>150000*($AC$170*'Results - raw data ReCiPe (E)'!AF121+(1-'Results ReCiPe (E) - HHD'!$AC$170)*'Results - raw data ReCiPe (E)'!AF122)</f>
        <v>1.1188892211528095E-3</v>
      </c>
      <c r="F203" s="6">
        <f>150000*($AC$170*'Results - raw data ReCiPe (E)'!AG121+(1-'Results ReCiPe (E) - HHD'!$AC$170)*'Results - raw data ReCiPe (E)'!AG122)</f>
        <v>1.0209504397718106E-3</v>
      </c>
      <c r="G203" s="6">
        <f>150000*($AC$170*'Results - raw data ReCiPe (E)'!AH121+(1-'Results ReCiPe (E) - HHD'!$AC$170)*'Results - raw data ReCiPe (E)'!AH122)</f>
        <v>9.2293524445465286E-4</v>
      </c>
      <c r="H203" s="6">
        <f>150000*($AC$170*'Results - raw data ReCiPe (E)'!AI121+(1-'Results ReCiPe (E) - HHD'!$AC$170)*'Results - raw data ReCiPe (E)'!AI122)</f>
        <v>8.7359668339829707E-4</v>
      </c>
      <c r="I203" s="6">
        <f>150000*($AC$170*'Results - raw data ReCiPe (E)'!AJ121+(1-'Results ReCiPe (E) - HHD'!$AC$170)*'Results - raw data ReCiPe (E)'!AJ122)</f>
        <v>8.2435754090389888E-4</v>
      </c>
      <c r="J203" s="6">
        <f>150000*($AC$170*'Results - raw data ReCiPe (E)'!AK121+(1-'Results ReCiPe (E) - HHD'!$AC$170)*'Results - raw data ReCiPe (E)'!AK122)</f>
        <v>7.7518369977808024E-4</v>
      </c>
      <c r="K203" s="6">
        <f>150000*($AC$170*'Results - raw data ReCiPe (E)'!AL121+(1-'Results ReCiPe (E) - HHD'!$AC$170)*'Results - raw data ReCiPe (E)'!AL122)</f>
        <v>7.2597773644131184E-4</v>
      </c>
      <c r="L203" s="6">
        <f>150000*($AC$170*'Results - raw data ReCiPe (E)'!AM121+(1-'Results ReCiPe (E) - HHD'!$AC$170)*'Results - raw data ReCiPe (E)'!AM122)</f>
        <v>6.7675018937974273E-4</v>
      </c>
      <c r="M203" s="6">
        <f>150000*($AC$170*'Results - raw data ReCiPe (E)'!AN121+(1-'Results ReCiPe (E) - HHD'!$AC$170)*'Results - raw data ReCiPe (E)'!AN122)</f>
        <v>6.4956848537561687E-4</v>
      </c>
      <c r="N203" s="6">
        <f>150000*($AC$170*'Results - raw data ReCiPe (E)'!AO121+(1-'Results ReCiPe (E) - HHD'!$AC$170)*'Results - raw data ReCiPe (E)'!AO122)</f>
        <v>6.2224589104228933E-4</v>
      </c>
      <c r="O203" s="6">
        <f>150000*($AC$170*'Results - raw data ReCiPe (E)'!AP121+(1-'Results ReCiPe (E) - HHD'!$AC$170)*'Results - raw data ReCiPe (E)'!AP122)</f>
        <v>5.9493843514021579E-4</v>
      </c>
      <c r="P203" s="6">
        <f>150000*($AC$170*'Results - raw data ReCiPe (E)'!AQ121+(1-'Results ReCiPe (E) - HHD'!$AC$170)*'Results - raw data ReCiPe (E)'!AQ122)</f>
        <v>5.6733158894869604E-4</v>
      </c>
      <c r="Q203" s="6">
        <f>150000*($AC$170*'Results - raw data ReCiPe (E)'!AR121+(1-'Results ReCiPe (E) - HHD'!$AC$170)*'Results - raw data ReCiPe (E)'!AR122)</f>
        <v>5.3958595545632742E-4</v>
      </c>
      <c r="R203" s="6">
        <f>150000*($AC$170*'Results - raw data ReCiPe (E)'!AS121+(1-'Results ReCiPe (E) - HHD'!$AC$170)*'Results - raw data ReCiPe (E)'!AS122)</f>
        <v>5.3071193467593822E-4</v>
      </c>
      <c r="S203" s="6">
        <f>150000*($AC$170*'Results - raw data ReCiPe (E)'!AT121+(1-'Results ReCiPe (E) - HHD'!$AC$170)*'Results - raw data ReCiPe (E)'!AT122)</f>
        <v>5.2182349307986387E-4</v>
      </c>
      <c r="T203" s="6">
        <f>150000*($AC$170*'Results - raw data ReCiPe (E)'!AU121+(1-'Results ReCiPe (E) - HHD'!$AC$170)*'Results - raw data ReCiPe (E)'!AU122)</f>
        <v>5.1305640252137974E-4</v>
      </c>
      <c r="U203" s="6">
        <f>150000*($AC$170*'Results - raw data ReCiPe (E)'!AV121+(1-'Results ReCiPe (E) - HHD'!$AC$170)*'Results - raw data ReCiPe (E)'!AV122)</f>
        <v>5.041414273627429E-4</v>
      </c>
      <c r="V203" s="6">
        <f>150000*($AC$170*'Results - raw data ReCiPe (E)'!AW121+(1-'Results ReCiPe (E) - HHD'!$AC$170)*'Results - raw data ReCiPe (E)'!AW122)</f>
        <v>4.9521940393169568E-4</v>
      </c>
      <c r="W203" s="6">
        <f>150000*($AC$170*'Results - raw data ReCiPe (E)'!AX121+(1-'Results ReCiPe (E) - HHD'!$AC$170)*'Results - raw data ReCiPe (E)'!AX122)</f>
        <v>4.9311579350245485E-4</v>
      </c>
      <c r="X203" s="6">
        <f>150000*($AC$170*'Results - raw data ReCiPe (E)'!AY121+(1-'Results ReCiPe (E) - HHD'!$AC$170)*'Results - raw data ReCiPe (E)'!AY122)</f>
        <v>4.9037830707349822E-4</v>
      </c>
      <c r="Y203" s="6">
        <f>150000*($AC$170*'Results - raw data ReCiPe (E)'!AZ121+(1-'Results ReCiPe (E) - HHD'!$AC$170)*'Results - raw data ReCiPe (E)'!AZ122)</f>
        <v>4.876365437249069E-4</v>
      </c>
      <c r="Z203" s="6">
        <f>150000*($AC$170*'Results - raw data ReCiPe (E)'!BA121+(1-'Results ReCiPe (E) - HHD'!$AC$170)*'Results - raw data ReCiPe (E)'!BA122)</f>
        <v>4.8488881793507394E-4</v>
      </c>
    </row>
    <row r="204" spans="1:53" outlineLevel="1" x14ac:dyDescent="0.35">
      <c r="A204" s="23" t="s">
        <v>125</v>
      </c>
      <c r="B204" s="17">
        <f>SUM(B173:B203)</f>
        <v>9.1114249140231279E-3</v>
      </c>
      <c r="C204" s="17">
        <f t="shared" ref="C204:Z204" si="24">SUM(C173:C203)</f>
        <v>1.409421615997244E-3</v>
      </c>
      <c r="D204" s="17">
        <f t="shared" si="24"/>
        <v>1.311154637538065E-3</v>
      </c>
      <c r="E204" s="17">
        <f t="shared" si="24"/>
        <v>1.2124031827468384E-3</v>
      </c>
      <c r="F204" s="17">
        <f t="shared" si="24"/>
        <v>1.1139898216296579E-3</v>
      </c>
      <c r="G204" s="17">
        <f t="shared" si="24"/>
        <v>1.0154947556210219E-3</v>
      </c>
      <c r="H204" s="17">
        <f t="shared" si="24"/>
        <v>9.6565824335838964E-4</v>
      </c>
      <c r="I204" s="17">
        <f t="shared" si="24"/>
        <v>9.1592055984063281E-4</v>
      </c>
      <c r="J204" s="17">
        <f t="shared" si="24"/>
        <v>8.6625799996924678E-4</v>
      </c>
      <c r="K204" s="17">
        <f t="shared" si="24"/>
        <v>8.1654938528692527E-4</v>
      </c>
      <c r="L204" s="17">
        <f t="shared" si="24"/>
        <v>7.6681600043286557E-4</v>
      </c>
      <c r="M204" s="17">
        <f t="shared" si="24"/>
        <v>7.3908724810725819E-4</v>
      </c>
      <c r="N204" s="17">
        <f t="shared" si="24"/>
        <v>7.1121971481661662E-4</v>
      </c>
      <c r="O204" s="17">
        <f t="shared" si="24"/>
        <v>6.8338904907699384E-4</v>
      </c>
      <c r="P204" s="17">
        <f t="shared" si="24"/>
        <v>6.5524146017637811E-4</v>
      </c>
      <c r="Q204" s="17">
        <f t="shared" si="24"/>
        <v>6.2695689162731898E-4</v>
      </c>
      <c r="R204" s="17">
        <f t="shared" si="24"/>
        <v>6.1772067986744618E-4</v>
      </c>
      <c r="S204" s="17">
        <f t="shared" si="24"/>
        <v>6.0847205508781841E-4</v>
      </c>
      <c r="T204" s="17">
        <f t="shared" si="24"/>
        <v>5.9936247543614432E-4</v>
      </c>
      <c r="U204" s="17">
        <f t="shared" si="24"/>
        <v>5.9009152347057835E-4</v>
      </c>
      <c r="V204" s="17">
        <f t="shared" si="24"/>
        <v>5.8081546808159653E-4</v>
      </c>
      <c r="W204" s="17">
        <f t="shared" si="24"/>
        <v>5.7865951779731189E-4</v>
      </c>
      <c r="X204" s="17">
        <f t="shared" si="24"/>
        <v>5.7585427348255647E-4</v>
      </c>
      <c r="Y204" s="17">
        <f t="shared" si="24"/>
        <v>5.7304533796431192E-4</v>
      </c>
      <c r="Z204" s="17">
        <f t="shared" si="24"/>
        <v>6.6071173609465292E-4</v>
      </c>
    </row>
    <row r="205" spans="1:53" outlineLevel="1" x14ac:dyDescent="0.35"/>
    <row r="206" spans="1:53" s="18" customFormat="1" ht="21" x14ac:dyDescent="0.5">
      <c r="A206" s="18" t="s">
        <v>94</v>
      </c>
    </row>
    <row r="207" spans="1:53" s="20" customFormat="1" outlineLevel="1" x14ac:dyDescent="0.35">
      <c r="A207" s="19" t="s">
        <v>766</v>
      </c>
    </row>
    <row r="208" spans="1:53" s="16" customFormat="1" outlineLevel="1" x14ac:dyDescent="0.35">
      <c r="A208" s="21"/>
      <c r="AB208" s="15" t="s">
        <v>143</v>
      </c>
      <c r="AC208" s="16">
        <f>0.000000025+0.000000000000682</f>
        <v>2.5000681999999998E-8</v>
      </c>
      <c r="AD208" s="16" t="s">
        <v>916</v>
      </c>
      <c r="AE208" s="15" t="s">
        <v>714</v>
      </c>
    </row>
    <row r="209" spans="1:53" s="16" customFormat="1" outlineLevel="1" x14ac:dyDescent="0.35">
      <c r="A209" s="22" t="s">
        <v>917</v>
      </c>
      <c r="AC209" s="16">
        <f>AC208*1000</f>
        <v>2.5000681999999997E-5</v>
      </c>
      <c r="AD209" s="16" t="s">
        <v>918</v>
      </c>
    </row>
    <row r="210" spans="1:53" s="16" customFormat="1" outlineLevel="1" x14ac:dyDescent="0.35">
      <c r="A210" s="22"/>
      <c r="AB210" s="16" t="s">
        <v>127</v>
      </c>
      <c r="AC210" s="16">
        <v>100</v>
      </c>
      <c r="AD210" s="16" t="s">
        <v>128</v>
      </c>
    </row>
    <row r="211" spans="1:53" s="16" customFormat="1" outlineLevel="1" x14ac:dyDescent="0.35">
      <c r="A211" s="230" t="s">
        <v>768</v>
      </c>
      <c r="AB211" s="16" t="s">
        <v>20</v>
      </c>
      <c r="AC211" s="16">
        <v>0.23</v>
      </c>
      <c r="AD211" s="16" t="s">
        <v>715</v>
      </c>
    </row>
    <row r="212" spans="1:53" s="16" customFormat="1" outlineLevel="1" x14ac:dyDescent="0.35">
      <c r="A212" s="22"/>
      <c r="AB212" s="16" t="s">
        <v>129</v>
      </c>
      <c r="AC212" s="16">
        <v>25</v>
      </c>
      <c r="AD212" s="16" t="s">
        <v>130</v>
      </c>
    </row>
    <row r="213" spans="1:53" outlineLevel="1" x14ac:dyDescent="0.35">
      <c r="B213" s="25">
        <v>2030</v>
      </c>
      <c r="C213" s="25">
        <v>2031</v>
      </c>
      <c r="D213" s="25">
        <v>2032</v>
      </c>
      <c r="E213" s="25">
        <v>2033</v>
      </c>
      <c r="F213" s="25">
        <v>2034</v>
      </c>
      <c r="G213" s="25">
        <v>2035</v>
      </c>
      <c r="H213" s="25">
        <v>2036</v>
      </c>
      <c r="I213" s="25">
        <v>2037</v>
      </c>
      <c r="J213" s="25">
        <v>2038</v>
      </c>
      <c r="K213" s="25">
        <v>2039</v>
      </c>
      <c r="L213" s="25">
        <v>2040</v>
      </c>
      <c r="M213" s="25">
        <v>2041</v>
      </c>
      <c r="N213" s="25">
        <v>2042</v>
      </c>
      <c r="O213" s="25">
        <v>2043</v>
      </c>
      <c r="P213" s="25">
        <v>2044</v>
      </c>
      <c r="Q213" s="25">
        <v>2045</v>
      </c>
      <c r="R213" s="25">
        <v>2046</v>
      </c>
      <c r="S213" s="25">
        <v>2047</v>
      </c>
      <c r="T213" s="25">
        <v>2048</v>
      </c>
      <c r="U213" s="25">
        <v>2049</v>
      </c>
      <c r="V213" s="25">
        <v>2050</v>
      </c>
      <c r="W213" s="25">
        <v>2051</v>
      </c>
      <c r="X213" s="25">
        <v>2052</v>
      </c>
      <c r="Y213" s="25">
        <v>2053</v>
      </c>
      <c r="Z213" s="25">
        <v>2054</v>
      </c>
      <c r="AC213" s="25">
        <v>2030</v>
      </c>
      <c r="AD213" s="25">
        <v>2031</v>
      </c>
      <c r="AE213" s="25">
        <v>2032</v>
      </c>
      <c r="AF213" s="25">
        <v>2033</v>
      </c>
      <c r="AG213" s="25">
        <v>2034</v>
      </c>
      <c r="AH213" s="25">
        <v>2035</v>
      </c>
      <c r="AI213" s="25">
        <v>2036</v>
      </c>
      <c r="AJ213" s="25">
        <v>2037</v>
      </c>
      <c r="AK213" s="25">
        <v>2038</v>
      </c>
      <c r="AL213" s="25">
        <v>2039</v>
      </c>
      <c r="AM213" s="25">
        <v>2040</v>
      </c>
      <c r="AN213" s="25">
        <v>2041</v>
      </c>
      <c r="AO213" s="25">
        <v>2042</v>
      </c>
      <c r="AP213" s="25">
        <v>2043</v>
      </c>
      <c r="AQ213" s="25">
        <v>2044</v>
      </c>
      <c r="AR213" s="25">
        <v>2045</v>
      </c>
      <c r="AS213" s="25">
        <v>2046</v>
      </c>
      <c r="AT213" s="25">
        <v>2047</v>
      </c>
      <c r="AU213" s="25">
        <v>2048</v>
      </c>
      <c r="AV213" s="25">
        <v>2049</v>
      </c>
      <c r="AW213" s="25">
        <v>2050</v>
      </c>
      <c r="AX213" s="25">
        <v>2051</v>
      </c>
      <c r="AY213" s="25">
        <v>2052</v>
      </c>
      <c r="AZ213" s="25">
        <v>2053</v>
      </c>
      <c r="BA213" s="25">
        <v>2054</v>
      </c>
    </row>
    <row r="214" spans="1:53" outlineLevel="1" x14ac:dyDescent="0.35">
      <c r="A214" s="6" t="s">
        <v>21</v>
      </c>
      <c r="B214" s="6">
        <f>'Results - raw data ReCiPe (E)'!AC77</f>
        <v>9.1407716310991399E-5</v>
      </c>
      <c r="AB214" s="6" t="s">
        <v>117</v>
      </c>
      <c r="AC214" s="6">
        <f>SUM(B214:B225)+B227</f>
        <v>7.0848469196898647E-3</v>
      </c>
    </row>
    <row r="215" spans="1:53" outlineLevel="1" x14ac:dyDescent="0.35">
      <c r="A215" s="6" t="s">
        <v>23</v>
      </c>
      <c r="B215" s="6">
        <f>'Results - raw data ReCiPe (E)'!AC78</f>
        <v>1.7765909001794011E-4</v>
      </c>
      <c r="AB215" s="6" t="s">
        <v>118</v>
      </c>
      <c r="AC215" s="6">
        <f>B226</f>
        <v>2.0171086658104479E-4</v>
      </c>
    </row>
    <row r="216" spans="1:53" outlineLevel="1" x14ac:dyDescent="0.35">
      <c r="A216" s="6" t="s">
        <v>26</v>
      </c>
      <c r="B216" s="6">
        <f>'Results - raw data ReCiPe (E)'!AC79</f>
        <v>3.728222862533076E-4</v>
      </c>
      <c r="AB216" s="6" t="s">
        <v>119</v>
      </c>
      <c r="BA216" s="6">
        <f>SUM(Z228:Z239)</f>
        <v>8.7284618353200512E-5</v>
      </c>
    </row>
    <row r="217" spans="1:53" outlineLevel="1" x14ac:dyDescent="0.35">
      <c r="A217" s="6" t="s">
        <v>28</v>
      </c>
      <c r="B217" s="6">
        <f>'Results - raw data ReCiPe (E)'!AC80</f>
        <v>1.5285847323858511E-4</v>
      </c>
      <c r="AB217" s="6" t="s">
        <v>120</v>
      </c>
      <c r="BA217" s="6">
        <f>Z240</f>
        <v>1.614429119184463E-6</v>
      </c>
    </row>
    <row r="218" spans="1:53" outlineLevel="1" x14ac:dyDescent="0.35">
      <c r="A218" s="6" t="s">
        <v>29</v>
      </c>
      <c r="B218" s="6">
        <f>'Results - raw data ReCiPe (E)'!AC81</f>
        <v>2.9511762011667639E-4</v>
      </c>
      <c r="AB218" s="6" t="s">
        <v>121</v>
      </c>
      <c r="AC218" s="6">
        <f>B241</f>
        <v>8.7945321917406969E-5</v>
      </c>
      <c r="AF218" s="6">
        <f>E241</f>
        <v>8.6080196213763786E-5</v>
      </c>
      <c r="AI218" s="6">
        <f>H241</f>
        <v>8.4701027712607356E-5</v>
      </c>
      <c r="AL218" s="6">
        <f>K241</f>
        <v>8.4330044138947001E-5</v>
      </c>
      <c r="AO218" s="6">
        <f>N241</f>
        <v>8.4172574646746671E-5</v>
      </c>
      <c r="AR218" s="6">
        <f>Q241</f>
        <v>8.4149742944760532E-5</v>
      </c>
      <c r="AU218" s="6">
        <f>T241</f>
        <v>8.4022324846170663E-5</v>
      </c>
      <c r="AX218" s="6">
        <f>W241</f>
        <v>8.3912901277463149E-5</v>
      </c>
      <c r="BA218" s="6">
        <f>Z241</f>
        <v>8.3823048059039279E-5</v>
      </c>
    </row>
    <row r="219" spans="1:53" outlineLevel="1" x14ac:dyDescent="0.35">
      <c r="A219" s="6" t="s">
        <v>31</v>
      </c>
      <c r="B219" s="6">
        <f>'Results - raw data ReCiPe (E)'!AC82</f>
        <v>2.2702198560539731E-4</v>
      </c>
      <c r="AB219" s="6" t="s">
        <v>122</v>
      </c>
      <c r="AC219" s="6">
        <f>B244+B243</f>
        <v>7.5146495617668099E-4</v>
      </c>
      <c r="AD219" s="6">
        <f t="shared" ref="AD219:BA219" si="25">C244+C243</f>
        <v>6.9540139037785581E-4</v>
      </c>
      <c r="AE219" s="6">
        <f t="shared" si="25"/>
        <v>6.3916242765754553E-4</v>
      </c>
      <c r="AF219" s="6">
        <f t="shared" si="25"/>
        <v>5.8242305298043188E-4</v>
      </c>
      <c r="AG219" s="6">
        <f t="shared" si="25"/>
        <v>5.2577118723708572E-4</v>
      </c>
      <c r="AH219" s="6">
        <f t="shared" si="25"/>
        <v>4.6891922502476021E-4</v>
      </c>
      <c r="AI219" s="6">
        <f t="shared" si="25"/>
        <v>4.5868313118981746E-4</v>
      </c>
      <c r="AJ219" s="6">
        <f t="shared" si="25"/>
        <v>4.4837126462131161E-4</v>
      </c>
      <c r="AK219" s="6">
        <f t="shared" si="25"/>
        <v>4.3810824858151782E-4</v>
      </c>
      <c r="AL219" s="6">
        <f t="shared" si="25"/>
        <v>4.2765957351921486E-4</v>
      </c>
      <c r="AM219" s="6">
        <f t="shared" si="25"/>
        <v>4.1713762097217601E-4</v>
      </c>
      <c r="AN219" s="6">
        <f t="shared" si="25"/>
        <v>4.090339684751344E-4</v>
      </c>
      <c r="AO219" s="6">
        <f t="shared" si="25"/>
        <v>4.0094738762231632E-4</v>
      </c>
      <c r="AP219" s="6">
        <f t="shared" si="25"/>
        <v>3.9311166561650421E-4</v>
      </c>
      <c r="AQ219" s="6">
        <f t="shared" si="25"/>
        <v>3.8503705619273468E-4</v>
      </c>
      <c r="AR219" s="6">
        <f t="shared" si="25"/>
        <v>3.7696688905927781E-4</v>
      </c>
      <c r="AS219" s="6">
        <f t="shared" si="25"/>
        <v>3.715876561211832E-4</v>
      </c>
      <c r="AT219" s="6">
        <f t="shared" si="25"/>
        <v>3.6624222419144164E-4</v>
      </c>
      <c r="AU219" s="6">
        <f t="shared" si="25"/>
        <v>3.6113727070326979E-4</v>
      </c>
      <c r="AV219" s="6">
        <f t="shared" si="25"/>
        <v>3.5586273750504383E-4</v>
      </c>
      <c r="AW219" s="6">
        <f t="shared" si="25"/>
        <v>3.5062164338320334E-4</v>
      </c>
      <c r="AX219" s="6">
        <f t="shared" si="25"/>
        <v>3.4318182629757894E-4</v>
      </c>
      <c r="AY219" s="6">
        <f t="shared" si="25"/>
        <v>3.3503372041246264E-4</v>
      </c>
      <c r="AZ219" s="6">
        <f t="shared" si="25"/>
        <v>3.2686736403517408E-4</v>
      </c>
      <c r="BA219" s="6">
        <f t="shared" si="25"/>
        <v>3.1868100523180996E-4</v>
      </c>
    </row>
    <row r="220" spans="1:53" outlineLevel="1" x14ac:dyDescent="0.35">
      <c r="A220" s="6" t="s">
        <v>34</v>
      </c>
      <c r="B220" s="6">
        <f>'Results - raw data ReCiPe (E)'!AC83</f>
        <v>2.003508604774799E-4</v>
      </c>
      <c r="AB220" s="6" t="s">
        <v>123</v>
      </c>
      <c r="AC220" s="6">
        <f>B242</f>
        <v>3.3489944080053284E-7</v>
      </c>
      <c r="AD220" s="6">
        <f t="shared" ref="AD220:BA220" si="26">C242</f>
        <v>3.2240178454125563E-7</v>
      </c>
      <c r="AE220" s="6">
        <f t="shared" si="26"/>
        <v>3.0994690936244985E-7</v>
      </c>
      <c r="AF220" s="6">
        <f t="shared" si="26"/>
        <v>2.9746716517509258E-7</v>
      </c>
      <c r="AG220" s="6">
        <f t="shared" si="26"/>
        <v>2.8508644032165978E-7</v>
      </c>
      <c r="AH220" s="6">
        <f t="shared" si="26"/>
        <v>2.7274188807705714E-7</v>
      </c>
      <c r="AI220" s="6">
        <f t="shared" si="26"/>
        <v>2.7073439346000458E-7</v>
      </c>
      <c r="AJ220" s="6">
        <f t="shared" si="26"/>
        <v>2.6871807055955121E-7</v>
      </c>
      <c r="AK220" s="6">
        <f t="shared" si="26"/>
        <v>2.6672005625714659E-7</v>
      </c>
      <c r="AL220" s="6">
        <f t="shared" si="26"/>
        <v>2.6469006309224929E-7</v>
      </c>
      <c r="AM220" s="6">
        <f t="shared" si="26"/>
        <v>2.6265191488039863E-7</v>
      </c>
      <c r="AN220" s="6">
        <f t="shared" si="26"/>
        <v>2.6067748311186712E-7</v>
      </c>
      <c r="AO220" s="6">
        <f t="shared" si="26"/>
        <v>2.5870450560201839E-7</v>
      </c>
      <c r="AP220" s="6">
        <f t="shared" si="26"/>
        <v>2.5678406706546552E-7</v>
      </c>
      <c r="AQ220" s="6">
        <f t="shared" si="26"/>
        <v>2.5481012413908648E-7</v>
      </c>
      <c r="AR220" s="6">
        <f t="shared" si="26"/>
        <v>2.5283557040266083E-7</v>
      </c>
      <c r="AS220" s="6">
        <f t="shared" si="26"/>
        <v>2.5073890787818527E-7</v>
      </c>
      <c r="AT220" s="6">
        <f t="shared" si="26"/>
        <v>2.4864237052109155E-7</v>
      </c>
      <c r="AU220" s="6">
        <f t="shared" si="26"/>
        <v>2.4659149782812216E-7</v>
      </c>
      <c r="AV220" s="6">
        <f t="shared" si="26"/>
        <v>2.4449637659442965E-7</v>
      </c>
      <c r="AW220" s="6">
        <f t="shared" si="26"/>
        <v>2.4240148151412001E-7</v>
      </c>
      <c r="AX220" s="6">
        <f t="shared" si="26"/>
        <v>2.4096473938026532E-7</v>
      </c>
      <c r="AY220" s="6">
        <f t="shared" si="26"/>
        <v>2.3936080505205335E-7</v>
      </c>
      <c r="AZ220" s="6">
        <f t="shared" si="26"/>
        <v>2.3775813722437866E-7</v>
      </c>
      <c r="BA220" s="6">
        <f t="shared" si="26"/>
        <v>2.3615618724798129E-7</v>
      </c>
    </row>
    <row r="221" spans="1:53" outlineLevel="1" x14ac:dyDescent="0.35">
      <c r="A221" s="6" t="s">
        <v>36</v>
      </c>
      <c r="B221" s="6">
        <f>'Results - raw data ReCiPe (E)'!AC84</f>
        <v>1.7796088726191011E-4</v>
      </c>
      <c r="AB221" s="6" t="s">
        <v>124</v>
      </c>
      <c r="AC221" s="6">
        <f>-$AC$6*$AC$7</f>
        <v>-2.5000681999999995E-3</v>
      </c>
      <c r="AD221" s="6">
        <f t="shared" ref="AD221:BA221" si="27">-$AC$6*$AC$7</f>
        <v>-2.5000681999999995E-3</v>
      </c>
      <c r="AE221" s="6">
        <f t="shared" si="27"/>
        <v>-2.5000681999999995E-3</v>
      </c>
      <c r="AF221" s="6">
        <f t="shared" si="27"/>
        <v>-2.5000681999999995E-3</v>
      </c>
      <c r="AG221" s="6">
        <f t="shared" si="27"/>
        <v>-2.5000681999999995E-3</v>
      </c>
      <c r="AH221" s="6">
        <f t="shared" si="27"/>
        <v>-2.5000681999999995E-3</v>
      </c>
      <c r="AI221" s="6">
        <f t="shared" si="27"/>
        <v>-2.5000681999999995E-3</v>
      </c>
      <c r="AJ221" s="6">
        <f t="shared" si="27"/>
        <v>-2.5000681999999995E-3</v>
      </c>
      <c r="AK221" s="6">
        <f t="shared" si="27"/>
        <v>-2.5000681999999995E-3</v>
      </c>
      <c r="AL221" s="6">
        <f t="shared" si="27"/>
        <v>-2.5000681999999995E-3</v>
      </c>
      <c r="AM221" s="6">
        <f t="shared" si="27"/>
        <v>-2.5000681999999995E-3</v>
      </c>
      <c r="AN221" s="6">
        <f t="shared" si="27"/>
        <v>-2.5000681999999995E-3</v>
      </c>
      <c r="AO221" s="6">
        <f t="shared" si="27"/>
        <v>-2.5000681999999995E-3</v>
      </c>
      <c r="AP221" s="6">
        <f t="shared" si="27"/>
        <v>-2.5000681999999995E-3</v>
      </c>
      <c r="AQ221" s="6">
        <f t="shared" si="27"/>
        <v>-2.5000681999999995E-3</v>
      </c>
      <c r="AR221" s="6">
        <f t="shared" si="27"/>
        <v>-2.5000681999999995E-3</v>
      </c>
      <c r="AS221" s="6">
        <f t="shared" si="27"/>
        <v>-2.5000681999999995E-3</v>
      </c>
      <c r="AT221" s="6">
        <f t="shared" si="27"/>
        <v>-2.5000681999999995E-3</v>
      </c>
      <c r="AU221" s="6">
        <f t="shared" si="27"/>
        <v>-2.5000681999999995E-3</v>
      </c>
      <c r="AV221" s="6">
        <f t="shared" si="27"/>
        <v>-2.5000681999999995E-3</v>
      </c>
      <c r="AW221" s="6">
        <f t="shared" si="27"/>
        <v>-2.5000681999999995E-3</v>
      </c>
      <c r="AX221" s="6">
        <f t="shared" si="27"/>
        <v>-2.5000681999999995E-3</v>
      </c>
      <c r="AY221" s="6">
        <f t="shared" si="27"/>
        <v>-2.5000681999999995E-3</v>
      </c>
      <c r="AZ221" s="6">
        <f t="shared" si="27"/>
        <v>-2.5000681999999995E-3</v>
      </c>
      <c r="BA221" s="6">
        <f t="shared" si="27"/>
        <v>-2.5000681999999995E-3</v>
      </c>
    </row>
    <row r="222" spans="1:53" outlineLevel="1" x14ac:dyDescent="0.35">
      <c r="A222" s="6" t="s">
        <v>38</v>
      </c>
      <c r="B222" s="6">
        <f>'Results - raw data ReCiPe (E)'!AC85</f>
        <v>3.5546587858732069E-4</v>
      </c>
      <c r="AB222" s="23" t="s">
        <v>125</v>
      </c>
      <c r="AC222" s="17">
        <f>SUM(AC214:AC221)</f>
        <v>5.626234763805798E-3</v>
      </c>
      <c r="AD222" s="17">
        <f t="shared" ref="AD222:BA222" si="28">SUM(AD214:AD221)</f>
        <v>-1.8043444078376025E-3</v>
      </c>
      <c r="AE222" s="17">
        <f t="shared" si="28"/>
        <v>-1.8605958254330915E-3</v>
      </c>
      <c r="AF222" s="17">
        <f t="shared" si="28"/>
        <v>-1.8312674836406288E-3</v>
      </c>
      <c r="AG222" s="17">
        <f t="shared" si="28"/>
        <v>-1.9740119263225919E-3</v>
      </c>
      <c r="AH222" s="17">
        <f t="shared" si="28"/>
        <v>-2.030876233087162E-3</v>
      </c>
      <c r="AI222" s="17">
        <f t="shared" si="28"/>
        <v>-1.9564133067041145E-3</v>
      </c>
      <c r="AJ222" s="17">
        <f t="shared" si="28"/>
        <v>-2.0514282173081282E-3</v>
      </c>
      <c r="AK222" s="17">
        <f t="shared" si="28"/>
        <v>-2.0616932313622244E-3</v>
      </c>
      <c r="AL222" s="17">
        <f t="shared" si="28"/>
        <v>-1.9878138922787454E-3</v>
      </c>
      <c r="AM222" s="17">
        <f t="shared" si="28"/>
        <v>-2.0826679271129431E-3</v>
      </c>
      <c r="AN222" s="17">
        <f t="shared" si="28"/>
        <v>-2.0907735540417532E-3</v>
      </c>
      <c r="AO222" s="17">
        <f t="shared" si="28"/>
        <v>-2.0146895332253346E-3</v>
      </c>
      <c r="AP222" s="17">
        <f t="shared" si="28"/>
        <v>-2.1066997503164297E-3</v>
      </c>
      <c r="AQ222" s="17">
        <f t="shared" si="28"/>
        <v>-2.1147763336831259E-3</v>
      </c>
      <c r="AR222" s="17">
        <f t="shared" si="28"/>
        <v>-2.0386987324255584E-3</v>
      </c>
      <c r="AS222" s="17">
        <f t="shared" si="28"/>
        <v>-2.1282298049709381E-3</v>
      </c>
      <c r="AT222" s="17">
        <f t="shared" si="28"/>
        <v>-2.1335773334380369E-3</v>
      </c>
      <c r="AU222" s="17">
        <f t="shared" si="28"/>
        <v>-2.054662012952731E-3</v>
      </c>
      <c r="AV222" s="17">
        <f t="shared" si="28"/>
        <v>-2.143960966118361E-3</v>
      </c>
      <c r="AW222" s="17">
        <f t="shared" si="28"/>
        <v>-2.1492041551352818E-3</v>
      </c>
      <c r="AX222" s="17">
        <f t="shared" si="28"/>
        <v>-2.072732507685577E-3</v>
      </c>
      <c r="AY222" s="17">
        <f t="shared" si="28"/>
        <v>-2.1647951187824849E-3</v>
      </c>
      <c r="AZ222" s="17">
        <f t="shared" si="28"/>
        <v>-2.1729630778276011E-3</v>
      </c>
      <c r="BA222" s="17">
        <f t="shared" si="28"/>
        <v>-2.0084289430495174E-3</v>
      </c>
    </row>
    <row r="223" spans="1:53" outlineLevel="1" x14ac:dyDescent="0.35">
      <c r="A223" s="6" t="s">
        <v>39</v>
      </c>
      <c r="B223" s="6">
        <f>'Results - raw data ReCiPe (E)'!AC86</f>
        <v>4.609356238257833E-3</v>
      </c>
    </row>
    <row r="224" spans="1:53" outlineLevel="1" x14ac:dyDescent="0.35">
      <c r="A224" s="6" t="s">
        <v>41</v>
      </c>
      <c r="B224" s="6">
        <f>'Results - raw data ReCiPe (E)'!AC87</f>
        <v>4.4670454668324006E-6</v>
      </c>
    </row>
    <row r="225" spans="1:53" outlineLevel="1" x14ac:dyDescent="0.35">
      <c r="A225" s="6" t="s">
        <v>43</v>
      </c>
      <c r="B225" s="6">
        <f>'Results - raw data ReCiPe (E)'!AC88</f>
        <v>2.7602690065614942E-5</v>
      </c>
      <c r="AB225" s="219"/>
      <c r="AC225" s="219"/>
      <c r="AD225" s="219"/>
      <c r="AE225" s="219"/>
      <c r="AF225" s="219"/>
      <c r="AG225" s="219"/>
      <c r="AH225" s="219"/>
      <c r="AI225" s="219"/>
      <c r="AJ225" s="219"/>
      <c r="AK225" s="219"/>
      <c r="AL225" s="219"/>
      <c r="AM225" s="219"/>
      <c r="AN225" s="219"/>
      <c r="AO225" s="219"/>
      <c r="AP225" s="219"/>
      <c r="AQ225" s="219"/>
      <c r="AR225" s="219"/>
      <c r="AS225" s="219"/>
      <c r="AT225" s="219"/>
      <c r="AU225" s="219"/>
      <c r="AV225" s="219"/>
      <c r="AW225" s="219"/>
      <c r="AX225" s="219"/>
      <c r="AY225" s="219"/>
      <c r="AZ225" s="219"/>
      <c r="BA225" s="219"/>
    </row>
    <row r="226" spans="1:53" outlineLevel="1" x14ac:dyDescent="0.35">
      <c r="A226" s="6" t="s">
        <v>44</v>
      </c>
      <c r="B226" s="6">
        <f>'Results - raw data ReCiPe (E)'!AC89*AC210*AC212</f>
        <v>2.0171086658104479E-4</v>
      </c>
      <c r="AB226" s="219"/>
      <c r="AC226" s="219"/>
      <c r="AD226" s="219"/>
      <c r="AE226" s="219"/>
      <c r="AF226" s="219"/>
      <c r="AG226" s="219"/>
      <c r="AH226" s="219"/>
      <c r="AI226" s="219"/>
      <c r="AJ226" s="219"/>
      <c r="AK226" s="219"/>
      <c r="AL226" s="219"/>
      <c r="AM226" s="219"/>
      <c r="AN226" s="219"/>
      <c r="AO226" s="219"/>
      <c r="AP226" s="219"/>
      <c r="AQ226" s="219"/>
      <c r="AR226" s="219"/>
      <c r="AS226" s="219"/>
      <c r="AT226" s="219"/>
      <c r="AU226" s="219"/>
      <c r="AV226" s="219"/>
      <c r="AW226" s="219"/>
      <c r="AX226" s="219"/>
      <c r="AY226" s="219"/>
      <c r="AZ226" s="219"/>
      <c r="BA226" s="219"/>
    </row>
    <row r="227" spans="1:53" outlineLevel="1" x14ac:dyDescent="0.35">
      <c r="A227" s="6" t="s">
        <v>757</v>
      </c>
      <c r="B227" s="6">
        <f>'Results - raw data ReCiPe (E)'!AC90*AC210*AC212</f>
        <v>3.9275614802997545E-4</v>
      </c>
      <c r="AB227" s="219"/>
      <c r="AC227" s="219"/>
      <c r="AD227" s="219"/>
      <c r="AE227" s="219"/>
      <c r="AF227" s="219"/>
      <c r="AG227" s="219"/>
      <c r="AH227" s="219"/>
      <c r="AI227" s="219"/>
      <c r="AJ227" s="219"/>
      <c r="AK227" s="219"/>
      <c r="AL227" s="219"/>
      <c r="AM227" s="219"/>
      <c r="AN227" s="219"/>
      <c r="AO227" s="219"/>
      <c r="AP227" s="219"/>
      <c r="AQ227" s="219"/>
      <c r="AR227" s="219"/>
      <c r="AS227" s="219"/>
      <c r="AT227" s="219"/>
      <c r="AU227" s="219"/>
      <c r="AV227" s="219"/>
      <c r="AW227" s="219"/>
      <c r="AX227" s="219"/>
      <c r="AY227" s="219"/>
      <c r="AZ227" s="219"/>
      <c r="BA227" s="219"/>
    </row>
    <row r="228" spans="1:53" outlineLevel="1" x14ac:dyDescent="0.35">
      <c r="A228" s="6" t="s">
        <v>22</v>
      </c>
      <c r="Z228" s="6">
        <f>'Results - raw data ReCiPe (E)'!BA91</f>
        <v>1.545560979437975E-6</v>
      </c>
      <c r="AB228" s="219"/>
      <c r="AC228" s="219"/>
      <c r="AD228" s="219"/>
      <c r="AE228" s="219"/>
      <c r="AF228" s="219"/>
      <c r="AG228" s="219"/>
      <c r="AH228" s="219"/>
      <c r="AI228" s="219"/>
      <c r="AJ228" s="219"/>
      <c r="AK228" s="219"/>
      <c r="AL228" s="219"/>
      <c r="AM228" s="219"/>
      <c r="AN228" s="219"/>
      <c r="AO228" s="219"/>
      <c r="AP228" s="219"/>
      <c r="AQ228" s="219"/>
      <c r="AR228" s="219"/>
      <c r="AS228" s="219"/>
      <c r="AT228" s="219"/>
      <c r="AU228" s="219"/>
      <c r="AV228" s="219"/>
      <c r="AW228" s="219"/>
      <c r="AX228" s="219"/>
      <c r="AY228" s="219"/>
      <c r="AZ228" s="219"/>
      <c r="BA228" s="219"/>
    </row>
    <row r="229" spans="1:53" outlineLevel="1" x14ac:dyDescent="0.35">
      <c r="A229" s="6" t="s">
        <v>24</v>
      </c>
      <c r="Z229" s="6">
        <f>'Results - raw data ReCiPe (E)'!BA92</f>
        <v>9.3465848653713397E-7</v>
      </c>
      <c r="AB229" s="219"/>
      <c r="AC229" s="219"/>
      <c r="AD229" s="219"/>
      <c r="AE229" s="219"/>
      <c r="AF229" s="219"/>
      <c r="AG229" s="219"/>
      <c r="AH229" s="219"/>
      <c r="AI229" s="219"/>
      <c r="AJ229" s="219"/>
      <c r="AK229" s="219"/>
      <c r="AL229" s="219"/>
      <c r="AM229" s="219"/>
      <c r="AN229" s="219"/>
      <c r="AO229" s="219"/>
      <c r="AP229" s="219"/>
      <c r="AQ229" s="219"/>
      <c r="AR229" s="219"/>
      <c r="AS229" s="219"/>
      <c r="AT229" s="219"/>
      <c r="AU229" s="219"/>
      <c r="AV229" s="219"/>
      <c r="AW229" s="219"/>
      <c r="AX229" s="219"/>
      <c r="AY229" s="219"/>
      <c r="AZ229" s="219"/>
      <c r="BA229" s="219"/>
    </row>
    <row r="230" spans="1:53" outlineLevel="1" x14ac:dyDescent="0.35">
      <c r="A230" s="6" t="s">
        <v>25</v>
      </c>
      <c r="Z230" s="6">
        <f>'Results - raw data ReCiPe (E)'!BA93</f>
        <v>3.0098420730375761E-6</v>
      </c>
      <c r="AB230" s="219"/>
      <c r="AC230" s="219"/>
      <c r="AD230" s="219"/>
      <c r="AE230" s="219"/>
      <c r="AF230" s="219"/>
      <c r="AG230" s="219"/>
      <c r="AH230" s="219"/>
      <c r="AI230" s="219"/>
      <c r="AJ230" s="219"/>
      <c r="AK230" s="219"/>
      <c r="AL230" s="219"/>
      <c r="AM230" s="219"/>
      <c r="AN230" s="219"/>
      <c r="AO230" s="219"/>
      <c r="AP230" s="219"/>
      <c r="AQ230" s="219"/>
      <c r="AR230" s="219"/>
      <c r="AS230" s="219"/>
      <c r="AT230" s="219"/>
      <c r="AU230" s="219"/>
      <c r="AV230" s="219"/>
      <c r="AW230" s="219"/>
      <c r="AX230" s="219"/>
      <c r="AY230" s="219"/>
      <c r="AZ230" s="219"/>
      <c r="BA230" s="219"/>
    </row>
    <row r="231" spans="1:53" outlineLevel="1" x14ac:dyDescent="0.35">
      <c r="A231" s="6" t="s">
        <v>27</v>
      </c>
      <c r="Z231" s="6">
        <f>'Results - raw data ReCiPe (E)'!BA94</f>
        <v>9.2668024250964073E-7</v>
      </c>
      <c r="AB231" s="219"/>
      <c r="AC231" s="219"/>
      <c r="AD231" s="219"/>
      <c r="AE231" s="219"/>
      <c r="AF231" s="219"/>
      <c r="AG231" s="219"/>
      <c r="AH231" s="219"/>
      <c r="AI231" s="219"/>
      <c r="AJ231" s="219"/>
      <c r="AK231" s="219"/>
      <c r="AL231" s="219"/>
      <c r="AM231" s="219"/>
      <c r="AN231" s="219"/>
      <c r="AO231" s="219"/>
      <c r="AP231" s="219"/>
      <c r="AQ231" s="219"/>
      <c r="AR231" s="219"/>
      <c r="AS231" s="219"/>
      <c r="AT231" s="219"/>
      <c r="AU231" s="219"/>
      <c r="AV231" s="219"/>
      <c r="AW231" s="219"/>
      <c r="AX231" s="219"/>
      <c r="AY231" s="219"/>
      <c r="AZ231" s="219"/>
      <c r="BA231" s="219"/>
    </row>
    <row r="232" spans="1:53" outlineLevel="1" x14ac:dyDescent="0.35">
      <c r="A232" s="6" t="s">
        <v>30</v>
      </c>
      <c r="Z232" s="6">
        <f>'Results - raw data ReCiPe (E)'!BA95</f>
        <v>2.258038942088552E-6</v>
      </c>
      <c r="AB232" s="219"/>
      <c r="AC232" s="219"/>
      <c r="AD232" s="219"/>
      <c r="AE232" s="219"/>
      <c r="AF232" s="219"/>
      <c r="AG232" s="219"/>
      <c r="AH232" s="219"/>
      <c r="AI232" s="219"/>
      <c r="AJ232" s="219"/>
      <c r="AK232" s="219"/>
      <c r="AL232" s="219"/>
      <c r="AM232" s="219"/>
      <c r="AN232" s="219"/>
      <c r="AO232" s="219"/>
      <c r="AP232" s="219"/>
      <c r="AQ232" s="219"/>
      <c r="AR232" s="219"/>
      <c r="AS232" s="219"/>
      <c r="AT232" s="219"/>
      <c r="AU232" s="219"/>
      <c r="AV232" s="219"/>
      <c r="AW232" s="219"/>
      <c r="AX232" s="219"/>
      <c r="AY232" s="219"/>
      <c r="AZ232" s="219"/>
      <c r="BA232" s="219"/>
    </row>
    <row r="233" spans="1:53" outlineLevel="1" x14ac:dyDescent="0.35">
      <c r="A233" s="6" t="s">
        <v>32</v>
      </c>
      <c r="Z233" s="6">
        <f>'Results - raw data ReCiPe (E)'!BA96</f>
        <v>3.8838856300837962E-7</v>
      </c>
      <c r="AB233" s="219"/>
      <c r="AC233" s="219"/>
      <c r="AD233" s="219"/>
      <c r="AE233" s="219"/>
      <c r="AF233" s="219"/>
      <c r="AG233" s="219"/>
      <c r="AH233" s="219"/>
      <c r="AI233" s="219"/>
      <c r="AJ233" s="219"/>
      <c r="AK233" s="219"/>
      <c r="AL233" s="219"/>
      <c r="AM233" s="219"/>
      <c r="AN233" s="219"/>
      <c r="AO233" s="219"/>
      <c r="AP233" s="219"/>
      <c r="AQ233" s="219"/>
      <c r="AR233" s="219"/>
      <c r="AS233" s="219"/>
      <c r="AT233" s="219"/>
      <c r="AU233" s="219"/>
      <c r="AV233" s="219"/>
      <c r="AW233" s="219"/>
      <c r="AX233" s="219"/>
      <c r="AY233" s="219"/>
      <c r="AZ233" s="219"/>
      <c r="BA233" s="219"/>
    </row>
    <row r="234" spans="1:53" outlineLevel="1" x14ac:dyDescent="0.35">
      <c r="A234" s="6" t="s">
        <v>33</v>
      </c>
      <c r="Z234" s="6">
        <f>'Results - raw data ReCiPe (E)'!BA97</f>
        <v>7.3509514172885058E-7</v>
      </c>
      <c r="AB234" s="219"/>
      <c r="AC234" s="219"/>
      <c r="AD234" s="219"/>
      <c r="AE234" s="219"/>
      <c r="AF234" s="219"/>
      <c r="AG234" s="219"/>
      <c r="AH234" s="219"/>
      <c r="AI234" s="219"/>
      <c r="AJ234" s="219"/>
      <c r="AK234" s="219"/>
      <c r="AL234" s="219"/>
      <c r="AM234" s="219"/>
      <c r="AN234" s="219"/>
      <c r="AO234" s="219"/>
      <c r="AP234" s="219"/>
      <c r="AQ234" s="219"/>
      <c r="AR234" s="219"/>
      <c r="AS234" s="219"/>
      <c r="AT234" s="219"/>
      <c r="AU234" s="219"/>
      <c r="AV234" s="219"/>
      <c r="AW234" s="219"/>
      <c r="AX234" s="219"/>
      <c r="AY234" s="219"/>
      <c r="AZ234" s="219"/>
      <c r="BA234" s="219"/>
    </row>
    <row r="235" spans="1:53" outlineLevel="1" x14ac:dyDescent="0.35">
      <c r="A235" s="6" t="s">
        <v>35</v>
      </c>
      <c r="Z235" s="6">
        <f>'Results - raw data ReCiPe (E)'!BA98</f>
        <v>1.470190283457701E-6</v>
      </c>
      <c r="AB235" s="219"/>
      <c r="AC235" s="219"/>
      <c r="AD235" s="219"/>
      <c r="AE235" s="219"/>
      <c r="AF235" s="219"/>
      <c r="AG235" s="219"/>
      <c r="AH235" s="219"/>
      <c r="AI235" s="219"/>
      <c r="AJ235" s="219"/>
      <c r="AK235" s="219"/>
      <c r="AL235" s="219"/>
      <c r="AM235" s="219"/>
      <c r="AN235" s="219"/>
      <c r="AO235" s="219"/>
      <c r="AP235" s="219"/>
      <c r="AQ235" s="219"/>
      <c r="AR235" s="219"/>
      <c r="AS235" s="219"/>
      <c r="AT235" s="219"/>
      <c r="AU235" s="219"/>
      <c r="AV235" s="219"/>
      <c r="AW235" s="219"/>
      <c r="AX235" s="219"/>
      <c r="AY235" s="219"/>
      <c r="AZ235" s="219"/>
      <c r="BA235" s="219"/>
    </row>
    <row r="236" spans="1:53" outlineLevel="1" x14ac:dyDescent="0.35">
      <c r="A236" s="6" t="s">
        <v>37</v>
      </c>
      <c r="Z236" s="6">
        <f>'Results - raw data ReCiPe (E)'!BA99</f>
        <v>2.3548474687377391E-6</v>
      </c>
      <c r="AB236" s="219"/>
      <c r="AC236" s="219"/>
      <c r="AD236" s="219"/>
      <c r="AE236" s="219"/>
      <c r="AF236" s="219"/>
      <c r="AG236" s="219"/>
      <c r="AH236" s="219"/>
      <c r="AI236" s="219"/>
      <c r="AJ236" s="219"/>
      <c r="AK236" s="219"/>
      <c r="AL236" s="219"/>
      <c r="AM236" s="219"/>
      <c r="AN236" s="219"/>
      <c r="AO236" s="219"/>
      <c r="AP236" s="219"/>
      <c r="AQ236" s="219"/>
      <c r="AR236" s="219"/>
      <c r="AS236" s="219"/>
      <c r="AT236" s="219"/>
      <c r="AU236" s="219"/>
      <c r="AV236" s="219"/>
      <c r="AW236" s="219"/>
      <c r="AX236" s="219"/>
      <c r="AY236" s="219"/>
      <c r="AZ236" s="219"/>
      <c r="BA236" s="219"/>
    </row>
    <row r="237" spans="1:53" outlineLevel="1" x14ac:dyDescent="0.35">
      <c r="A237" s="6" t="s">
        <v>40</v>
      </c>
      <c r="Z237" s="6">
        <f>'Results - raw data ReCiPe (E)'!BA100</f>
        <v>6.116738723743368E-5</v>
      </c>
    </row>
    <row r="238" spans="1:53" outlineLevel="1" x14ac:dyDescent="0.35">
      <c r="A238" s="6" t="s">
        <v>42</v>
      </c>
      <c r="Z238" s="6">
        <f>'Results - raw data ReCiPe (E)'!BA101</f>
        <v>1.4176426125740861E-6</v>
      </c>
    </row>
    <row r="239" spans="1:53" outlineLevel="1" x14ac:dyDescent="0.35">
      <c r="A239" s="6" t="s">
        <v>115</v>
      </c>
      <c r="Z239" s="6">
        <f>'Results - raw data ReCiPe (E)'!BA102</f>
        <v>1.1076286322649199E-5</v>
      </c>
    </row>
    <row r="240" spans="1:53" outlineLevel="1" x14ac:dyDescent="0.35">
      <c r="A240" s="6" t="s">
        <v>45</v>
      </c>
      <c r="Z240" s="6">
        <f>'Results - raw data ReCiPe (E)'!BA103*AC210*AC212</f>
        <v>1.614429119184463E-6</v>
      </c>
    </row>
    <row r="241" spans="1:26" outlineLevel="1" x14ac:dyDescent="0.35">
      <c r="A241" s="6" t="s">
        <v>116</v>
      </c>
      <c r="B241" s="6">
        <f>'Results - raw data ReCiPe (E)'!AC104</f>
        <v>8.7945321917406969E-5</v>
      </c>
      <c r="C241" s="6">
        <f>'Results - raw data ReCiPe (E)'!AD104</f>
        <v>8.7360235411899532E-5</v>
      </c>
      <c r="D241" s="6">
        <f>'Results - raw data ReCiPe (E)'!AE104</f>
        <v>8.6765503824792284E-5</v>
      </c>
      <c r="E241" s="6">
        <f>'Results - raw data ReCiPe (E)'!AF104</f>
        <v>8.6080196213763786E-5</v>
      </c>
      <c r="F241" s="6">
        <f>'Results - raw data ReCiPe (E)'!AG104</f>
        <v>8.5464054794002432E-5</v>
      </c>
      <c r="G241" s="6">
        <f>'Results - raw data ReCiPe (E)'!AH104</f>
        <v>8.4834713089503808E-5</v>
      </c>
      <c r="H241" s="6">
        <f>'Results - raw data ReCiPe (E)'!AI104</f>
        <v>8.4701027712607356E-5</v>
      </c>
      <c r="I241" s="6">
        <f>'Results - raw data ReCiPe (E)'!AJ104</f>
        <v>8.4568621138586455E-5</v>
      </c>
      <c r="J241" s="6">
        <f>'Results - raw data ReCiPe (E)'!AK104</f>
        <v>8.4458761190899453E-5</v>
      </c>
      <c r="K241" s="6">
        <f>'Results - raw data ReCiPe (E)'!AL104</f>
        <v>8.4330044138947001E-5</v>
      </c>
      <c r="L241" s="6">
        <f>'Results - raw data ReCiPe (E)'!AM104</f>
        <v>8.4202367591460354E-5</v>
      </c>
      <c r="M241" s="6">
        <f>'Results - raw data ReCiPe (E)'!AN104</f>
        <v>8.4187554397060824E-5</v>
      </c>
      <c r="N241" s="6">
        <f>'Results - raw data ReCiPe (E)'!AO104</f>
        <v>8.4172574646746671E-5</v>
      </c>
      <c r="O241" s="6">
        <f>'Results - raw data ReCiPe (E)'!AP104</f>
        <v>8.4180254077178415E-5</v>
      </c>
      <c r="P241" s="6">
        <f>'Results - raw data ReCiPe (E)'!AQ104</f>
        <v>8.4165188620623885E-5</v>
      </c>
      <c r="Q241" s="6">
        <f>'Results - raw data ReCiPe (E)'!AR104</f>
        <v>8.4149742944760532E-5</v>
      </c>
      <c r="R241" s="6">
        <f>'Results - raw data ReCiPe (E)'!AS104</f>
        <v>8.4100171097197348E-5</v>
      </c>
      <c r="S241" s="6">
        <f>'Results - raw data ReCiPe (E)'!AT104</f>
        <v>8.4051075894570141E-5</v>
      </c>
      <c r="T241" s="6">
        <f>'Results - raw data ReCiPe (E)'!AU104</f>
        <v>8.4022324846170663E-5</v>
      </c>
      <c r="U241" s="6">
        <f>'Results - raw data ReCiPe (E)'!AV104</f>
        <v>8.3974643200084739E-5</v>
      </c>
      <c r="V241" s="6">
        <f>'Results - raw data ReCiPe (E)'!AW104</f>
        <v>8.3927396701806331E-5</v>
      </c>
      <c r="W241" s="6">
        <f>'Results - raw data ReCiPe (E)'!AX104</f>
        <v>8.3912901277463149E-5</v>
      </c>
      <c r="X241" s="6">
        <f>'Results - raw data ReCiPe (E)'!AY104</f>
        <v>8.388285103802466E-5</v>
      </c>
      <c r="Y241" s="6">
        <f>'Results - raw data ReCiPe (E)'!AZ104</f>
        <v>8.3852901737358851E-5</v>
      </c>
      <c r="Z241" s="6">
        <f>'Results - raw data ReCiPe (E)'!BA104</f>
        <v>8.3823048059039279E-5</v>
      </c>
    </row>
    <row r="242" spans="1:26" outlineLevel="1" x14ac:dyDescent="0.35">
      <c r="A242" s="6" t="s">
        <v>758</v>
      </c>
      <c r="B242" s="6">
        <f>'Results - raw data ReCiPe (E)'!AC105*$AC$211</f>
        <v>3.3489944080053284E-7</v>
      </c>
      <c r="C242" s="6">
        <f>'Results - raw data ReCiPe (E)'!AD105*$AC$211</f>
        <v>3.2240178454125563E-7</v>
      </c>
      <c r="D242" s="6">
        <f>'Results - raw data ReCiPe (E)'!AE105*$AC$211</f>
        <v>3.0994690936244985E-7</v>
      </c>
      <c r="E242" s="6">
        <f>'Results - raw data ReCiPe (E)'!AF105*$AC$211</f>
        <v>2.9746716517509258E-7</v>
      </c>
      <c r="F242" s="6">
        <f>'Results - raw data ReCiPe (E)'!AG105*$AC$211</f>
        <v>2.8508644032165978E-7</v>
      </c>
      <c r="G242" s="6">
        <f>'Results - raw data ReCiPe (E)'!AH105*$AC$211</f>
        <v>2.7274188807705714E-7</v>
      </c>
      <c r="H242" s="6">
        <f>'Results - raw data ReCiPe (E)'!AI105*$AC$211</f>
        <v>2.7073439346000458E-7</v>
      </c>
      <c r="I242" s="6">
        <f>'Results - raw data ReCiPe (E)'!AJ105*$AC$211</f>
        <v>2.6871807055955121E-7</v>
      </c>
      <c r="J242" s="6">
        <f>'Results - raw data ReCiPe (E)'!AK105*$AC$211</f>
        <v>2.6672005625714659E-7</v>
      </c>
      <c r="K242" s="6">
        <f>'Results - raw data ReCiPe (E)'!AL105*$AC$211</f>
        <v>2.6469006309224929E-7</v>
      </c>
      <c r="L242" s="6">
        <f>'Results - raw data ReCiPe (E)'!AM105*$AC$211</f>
        <v>2.6265191488039863E-7</v>
      </c>
      <c r="M242" s="6">
        <f>'Results - raw data ReCiPe (E)'!AN105*$AC$211</f>
        <v>2.6067748311186712E-7</v>
      </c>
      <c r="N242" s="6">
        <f>'Results - raw data ReCiPe (E)'!AO105*$AC$211</f>
        <v>2.5870450560201839E-7</v>
      </c>
      <c r="O242" s="6">
        <f>'Results - raw data ReCiPe (E)'!AP105*$AC$211</f>
        <v>2.5678406706546552E-7</v>
      </c>
      <c r="P242" s="6">
        <f>'Results - raw data ReCiPe (E)'!AQ105*$AC$211</f>
        <v>2.5481012413908648E-7</v>
      </c>
      <c r="Q242" s="6">
        <f>'Results - raw data ReCiPe (E)'!AR105*$AC$211</f>
        <v>2.5283557040266083E-7</v>
      </c>
      <c r="R242" s="6">
        <f>'Results - raw data ReCiPe (E)'!AS105*$AC$211</f>
        <v>2.5073890787818527E-7</v>
      </c>
      <c r="S242" s="6">
        <f>'Results - raw data ReCiPe (E)'!AT105*$AC$211</f>
        <v>2.4864237052109155E-7</v>
      </c>
      <c r="T242" s="6">
        <f>'Results - raw data ReCiPe (E)'!AU105*$AC$211</f>
        <v>2.4659149782812216E-7</v>
      </c>
      <c r="U242" s="6">
        <f>'Results - raw data ReCiPe (E)'!AV105*$AC$211</f>
        <v>2.4449637659442965E-7</v>
      </c>
      <c r="V242" s="6">
        <f>'Results - raw data ReCiPe (E)'!AW105*$AC$211</f>
        <v>2.4240148151412001E-7</v>
      </c>
      <c r="W242" s="6">
        <f>'Results - raw data ReCiPe (E)'!AX105*$AC$211</f>
        <v>2.4096473938026532E-7</v>
      </c>
      <c r="X242" s="6">
        <f>'Results - raw data ReCiPe (E)'!AY105*$AC$211</f>
        <v>2.3936080505205335E-7</v>
      </c>
      <c r="Y242" s="6">
        <f>'Results - raw data ReCiPe (E)'!AZ105*$AC$211</f>
        <v>2.3775813722437866E-7</v>
      </c>
      <c r="Z242" s="6">
        <f>'Results - raw data ReCiPe (E)'!BA105*$AC$211</f>
        <v>2.3615618724798129E-7</v>
      </c>
    </row>
    <row r="243" spans="1:26" outlineLevel="1" x14ac:dyDescent="0.35">
      <c r="A243" s="6" t="s">
        <v>759</v>
      </c>
      <c r="B243" s="6">
        <f>'Results - raw data ReCiPe (E)'!AC106</f>
        <v>2.0736000294618859E-7</v>
      </c>
      <c r="C243" s="6">
        <f>'Results - raw data ReCiPe (E)'!AD106</f>
        <v>2.0736000294618859E-7</v>
      </c>
      <c r="D243" s="6">
        <f>'Results - raw data ReCiPe (E)'!AE106</f>
        <v>2.0736000294618859E-7</v>
      </c>
      <c r="E243" s="6">
        <f>'Results - raw data ReCiPe (E)'!AF106</f>
        <v>2.0736000294618859E-7</v>
      </c>
      <c r="F243" s="6">
        <f>'Results - raw data ReCiPe (E)'!AG106</f>
        <v>2.0736000294618859E-7</v>
      </c>
      <c r="G243" s="6">
        <f>'Results - raw data ReCiPe (E)'!AH106</f>
        <v>2.0736000294618859E-7</v>
      </c>
      <c r="H243" s="6">
        <f>'Results - raw data ReCiPe (E)'!AI106</f>
        <v>2.0736000294618859E-7</v>
      </c>
      <c r="I243" s="6">
        <f>'Results - raw data ReCiPe (E)'!AJ106</f>
        <v>2.0736000294618859E-7</v>
      </c>
      <c r="J243" s="6">
        <f>'Results - raw data ReCiPe (E)'!AK106</f>
        <v>2.0736000294618859E-7</v>
      </c>
      <c r="K243" s="6">
        <f>'Results - raw data ReCiPe (E)'!AL106</f>
        <v>2.0736000294618859E-7</v>
      </c>
      <c r="L243" s="6">
        <f>'Results - raw data ReCiPe (E)'!AM106</f>
        <v>2.0736000294618859E-7</v>
      </c>
      <c r="M243" s="6">
        <f>'Results - raw data ReCiPe (E)'!AN106</f>
        <v>2.0736000294618859E-7</v>
      </c>
      <c r="N243" s="6">
        <f>'Results - raw data ReCiPe (E)'!AO106</f>
        <v>2.0736000294618859E-7</v>
      </c>
      <c r="O243" s="6">
        <f>'Results - raw data ReCiPe (E)'!AP106</f>
        <v>2.0736000294618859E-7</v>
      </c>
      <c r="P243" s="6">
        <f>'Results - raw data ReCiPe (E)'!AQ106</f>
        <v>2.0736000294618859E-7</v>
      </c>
      <c r="Q243" s="6">
        <f>'Results - raw data ReCiPe (E)'!AR106</f>
        <v>2.0736000294618859E-7</v>
      </c>
      <c r="R243" s="6">
        <f>'Results - raw data ReCiPe (E)'!AS106</f>
        <v>2.0736000294618859E-7</v>
      </c>
      <c r="S243" s="6">
        <f>'Results - raw data ReCiPe (E)'!AT106</f>
        <v>2.0736000294618859E-7</v>
      </c>
      <c r="T243" s="6">
        <f>'Results - raw data ReCiPe (E)'!AU106</f>
        <v>2.0736000294618859E-7</v>
      </c>
      <c r="U243" s="6">
        <f>'Results - raw data ReCiPe (E)'!AV106</f>
        <v>2.0736000294618859E-7</v>
      </c>
      <c r="V243" s="6">
        <f>'Results - raw data ReCiPe (E)'!AW106</f>
        <v>2.0736000294618859E-7</v>
      </c>
      <c r="W243" s="6">
        <f>'Results - raw data ReCiPe (E)'!AX106</f>
        <v>2.0736000294618859E-7</v>
      </c>
      <c r="X243" s="6">
        <f>'Results - raw data ReCiPe (E)'!AY106</f>
        <v>2.0736000294618859E-7</v>
      </c>
      <c r="Y243" s="6">
        <f>'Results - raw data ReCiPe (E)'!AZ106</f>
        <v>2.0736000294618859E-7</v>
      </c>
      <c r="Z243" s="6">
        <f>'Results - raw data ReCiPe (E)'!BA106</f>
        <v>2.0736000294618859E-7</v>
      </c>
    </row>
    <row r="244" spans="1:26" outlineLevel="1" x14ac:dyDescent="0.35">
      <c r="A244" s="6" t="s">
        <v>760</v>
      </c>
      <c r="B244" s="6">
        <f>150000*($AC$211*'Results - raw data ReCiPe (E)'!AC128+(1-$AC$211)*'Results - raw data ReCiPe (E)'!AC129)</f>
        <v>7.512575961737348E-4</v>
      </c>
      <c r="C244" s="6">
        <f>150000*($AC$211*'Results - raw data ReCiPe (E)'!AD128+(1-$AC$211)*'Results - raw data ReCiPe (E)'!AD129)</f>
        <v>6.9519403037490962E-4</v>
      </c>
      <c r="D244" s="6">
        <f>150000*($AC$211*'Results - raw data ReCiPe (E)'!AE128+(1-$AC$211)*'Results - raw data ReCiPe (E)'!AE129)</f>
        <v>6.3895506765459934E-4</v>
      </c>
      <c r="E244" s="6">
        <f>150000*($AC$211*'Results - raw data ReCiPe (E)'!AF128+(1-$AC$211)*'Results - raw data ReCiPe (E)'!AF129)</f>
        <v>5.8221569297748569E-4</v>
      </c>
      <c r="F244" s="6">
        <f>150000*($AC$211*'Results - raw data ReCiPe (E)'!AG128+(1-$AC$211)*'Results - raw data ReCiPe (E)'!AG129)</f>
        <v>5.2556382723413953E-4</v>
      </c>
      <c r="G244" s="6">
        <f>150000*($AC$211*'Results - raw data ReCiPe (E)'!AH128+(1-$AC$211)*'Results - raw data ReCiPe (E)'!AH129)</f>
        <v>4.6871186502181402E-4</v>
      </c>
      <c r="H244" s="6">
        <f>150000*($AC$211*'Results - raw data ReCiPe (E)'!AI128+(1-$AC$211)*'Results - raw data ReCiPe (E)'!AI129)</f>
        <v>4.5847577118687127E-4</v>
      </c>
      <c r="I244" s="6">
        <f>150000*($AC$211*'Results - raw data ReCiPe (E)'!AJ128+(1-$AC$211)*'Results - raw data ReCiPe (E)'!AJ129)</f>
        <v>4.4816390461836542E-4</v>
      </c>
      <c r="J244" s="6">
        <f>150000*($AC$211*'Results - raw data ReCiPe (E)'!AK128+(1-$AC$211)*'Results - raw data ReCiPe (E)'!AK129)</f>
        <v>4.3790088857857164E-4</v>
      </c>
      <c r="K244" s="6">
        <f>150000*($AC$211*'Results - raw data ReCiPe (E)'!AL128+(1-$AC$211)*'Results - raw data ReCiPe (E)'!AL129)</f>
        <v>4.2745221351626867E-4</v>
      </c>
      <c r="L244" s="6">
        <f>150000*($AC$211*'Results - raw data ReCiPe (E)'!AM128+(1-$AC$211)*'Results - raw data ReCiPe (E)'!AM129)</f>
        <v>4.1693026096922982E-4</v>
      </c>
      <c r="M244" s="6">
        <f>150000*($AC$211*'Results - raw data ReCiPe (E)'!AN128+(1-$AC$211)*'Results - raw data ReCiPe (E)'!AN129)</f>
        <v>4.0882660847218821E-4</v>
      </c>
      <c r="N244" s="6">
        <f>150000*($AC$211*'Results - raw data ReCiPe (E)'!AO128+(1-$AC$211)*'Results - raw data ReCiPe (E)'!AO129)</f>
        <v>4.0074002761937013E-4</v>
      </c>
      <c r="O244" s="6">
        <f>150000*($AC$211*'Results - raw data ReCiPe (E)'!AP128+(1-$AC$211)*'Results - raw data ReCiPe (E)'!AP129)</f>
        <v>3.9290430561355802E-4</v>
      </c>
      <c r="P244" s="6">
        <f>150000*($AC$211*'Results - raw data ReCiPe (E)'!AQ128+(1-$AC$211)*'Results - raw data ReCiPe (E)'!AQ129)</f>
        <v>3.8482969618978849E-4</v>
      </c>
      <c r="Q244" s="6">
        <f>150000*($AC$211*'Results - raw data ReCiPe (E)'!AR128+(1-$AC$211)*'Results - raw data ReCiPe (E)'!AR129)</f>
        <v>3.7675952905633162E-4</v>
      </c>
      <c r="R244" s="6">
        <f>150000*($AC$211*'Results - raw data ReCiPe (E)'!AS128+(1-$AC$211)*'Results - raw data ReCiPe (E)'!AS129)</f>
        <v>3.7138029611823701E-4</v>
      </c>
      <c r="S244" s="6">
        <f>150000*($AC$211*'Results - raw data ReCiPe (E)'!AT128+(1-$AC$211)*'Results - raw data ReCiPe (E)'!AT129)</f>
        <v>3.6603486418849545E-4</v>
      </c>
      <c r="T244" s="6">
        <f>150000*($AC$211*'Results - raw data ReCiPe (E)'!AU128+(1-$AC$211)*'Results - raw data ReCiPe (E)'!AU129)</f>
        <v>3.609299107003236E-4</v>
      </c>
      <c r="U244" s="6">
        <f>150000*($AC$211*'Results - raw data ReCiPe (E)'!AV128+(1-$AC$211)*'Results - raw data ReCiPe (E)'!AV129)</f>
        <v>3.5565537750209764E-4</v>
      </c>
      <c r="V244" s="6">
        <f>150000*($AC$211*'Results - raw data ReCiPe (E)'!AW128+(1-$AC$211)*'Results - raw data ReCiPe (E)'!AW129)</f>
        <v>3.5041428338025715E-4</v>
      </c>
      <c r="W244" s="6">
        <f>150000*($AC$211*'Results - raw data ReCiPe (E)'!AX128+(1-$AC$211)*'Results - raw data ReCiPe (E)'!AX129)</f>
        <v>3.4297446629463275E-4</v>
      </c>
      <c r="X244" s="6">
        <f>150000*($AC$211*'Results - raw data ReCiPe (E)'!AY128+(1-$AC$211)*'Results - raw data ReCiPe (E)'!AY129)</f>
        <v>3.3482636040951645E-4</v>
      </c>
      <c r="Y244" s="6">
        <f>150000*($AC$211*'Results - raw data ReCiPe (E)'!AZ128+(1-$AC$211)*'Results - raw data ReCiPe (E)'!AZ129)</f>
        <v>3.2666000403222789E-4</v>
      </c>
      <c r="Z244" s="6">
        <f>150000*($AC$211*'Results - raw data ReCiPe (E)'!BA128+(1-$AC$211)*'Results - raw data ReCiPe (E)'!BA129)</f>
        <v>3.1847364522886377E-4</v>
      </c>
    </row>
    <row r="245" spans="1:26" outlineLevel="1" x14ac:dyDescent="0.35">
      <c r="A245" s="23" t="s">
        <v>125</v>
      </c>
      <c r="B245" s="17">
        <f>SUM(B214:B244)</f>
        <v>8.1263029638057975E-3</v>
      </c>
      <c r="C245" s="17">
        <f t="shared" ref="C245:Z245" si="29">SUM(C214:C244)</f>
        <v>7.8308402757429655E-4</v>
      </c>
      <c r="D245" s="17">
        <f t="shared" si="29"/>
        <v>7.2623787839170022E-4</v>
      </c>
      <c r="E245" s="17">
        <f t="shared" si="29"/>
        <v>6.688007163593708E-4</v>
      </c>
      <c r="F245" s="17">
        <f t="shared" si="29"/>
        <v>6.1152032847140985E-4</v>
      </c>
      <c r="G245" s="17">
        <f t="shared" si="29"/>
        <v>5.5402668000234111E-4</v>
      </c>
      <c r="H245" s="17">
        <f t="shared" si="29"/>
        <v>5.4365489329588482E-4</v>
      </c>
      <c r="I245" s="17">
        <f t="shared" si="29"/>
        <v>5.3320860383045761E-4</v>
      </c>
      <c r="J245" s="17">
        <f t="shared" si="29"/>
        <v>5.2283372982867438E-4</v>
      </c>
      <c r="K245" s="17">
        <f t="shared" si="29"/>
        <v>5.1225430772125415E-4</v>
      </c>
      <c r="L245" s="17">
        <f t="shared" si="29"/>
        <v>5.0160264047851677E-4</v>
      </c>
      <c r="M245" s="17">
        <f t="shared" si="29"/>
        <v>4.9348220035530705E-4</v>
      </c>
      <c r="N245" s="17">
        <f t="shared" si="29"/>
        <v>4.8537866677466501E-4</v>
      </c>
      <c r="O245" s="17">
        <f t="shared" si="29"/>
        <v>4.7754870376074808E-4</v>
      </c>
      <c r="P245" s="17">
        <f t="shared" si="29"/>
        <v>4.6945705493749764E-4</v>
      </c>
      <c r="Q245" s="17">
        <f t="shared" si="29"/>
        <v>4.6136946757444102E-4</v>
      </c>
      <c r="R245" s="17">
        <f t="shared" si="29"/>
        <v>4.5593856612625874E-4</v>
      </c>
      <c r="S245" s="17">
        <f t="shared" si="29"/>
        <v>4.5054194245653289E-4</v>
      </c>
      <c r="T245" s="17">
        <f t="shared" si="29"/>
        <v>4.4540618704726859E-4</v>
      </c>
      <c r="U245" s="17">
        <f t="shared" si="29"/>
        <v>4.4008187708172299E-4</v>
      </c>
      <c r="V245" s="17">
        <f t="shared" si="29"/>
        <v>4.3479144156652382E-4</v>
      </c>
      <c r="W245" s="17">
        <f t="shared" si="29"/>
        <v>4.2733569231442236E-4</v>
      </c>
      <c r="X245" s="17">
        <f t="shared" si="29"/>
        <v>4.1915593225553936E-4</v>
      </c>
      <c r="Y245" s="17">
        <f t="shared" si="29"/>
        <v>4.1095802390975732E-4</v>
      </c>
      <c r="Z245" s="17">
        <f t="shared" si="29"/>
        <v>4.9163925695048215E-4</v>
      </c>
    </row>
    <row r="246" spans="1:26" s="26" customFormat="1" outlineLevel="1" x14ac:dyDescent="0.35">
      <c r="A246" s="233"/>
    </row>
    <row r="247" spans="1:26" s="221" customFormat="1" ht="21" x14ac:dyDescent="0.5">
      <c r="A247" s="229" t="s">
        <v>851</v>
      </c>
    </row>
    <row r="248" spans="1:26" s="18" customFormat="1" ht="21" x14ac:dyDescent="0.5">
      <c r="A248" s="18" t="s">
        <v>72</v>
      </c>
    </row>
    <row r="249" spans="1:26" s="20" customFormat="1" outlineLevel="1" x14ac:dyDescent="0.35">
      <c r="A249" s="19" t="s">
        <v>788</v>
      </c>
    </row>
    <row r="250" spans="1:26" s="20" customFormat="1" outlineLevel="1" x14ac:dyDescent="0.35">
      <c r="A250" s="273" t="s">
        <v>775</v>
      </c>
      <c r="B250" s="20">
        <v>1</v>
      </c>
      <c r="C250" s="274" t="s">
        <v>787</v>
      </c>
    </row>
    <row r="251" spans="1:26" s="20" customFormat="1" outlineLevel="1" x14ac:dyDescent="0.35">
      <c r="A251" s="273" t="s">
        <v>781</v>
      </c>
      <c r="B251" s="20">
        <v>100000</v>
      </c>
      <c r="C251" s="20" t="s">
        <v>782</v>
      </c>
      <c r="E251" s="274"/>
    </row>
    <row r="252" spans="1:26" s="20" customFormat="1" outlineLevel="1" x14ac:dyDescent="0.35">
      <c r="A252" s="273" t="s">
        <v>783</v>
      </c>
      <c r="B252" s="20">
        <v>1500</v>
      </c>
      <c r="C252" s="20" t="s">
        <v>592</v>
      </c>
    </row>
    <row r="253" spans="1:26" s="20" customFormat="1" outlineLevel="1" x14ac:dyDescent="0.35">
      <c r="A253" s="273" t="s">
        <v>784</v>
      </c>
      <c r="B253" s="20">
        <v>8760</v>
      </c>
      <c r="C253" s="20" t="s">
        <v>785</v>
      </c>
    </row>
    <row r="254" spans="1:26" s="20" customFormat="1" outlineLevel="1" x14ac:dyDescent="0.35">
      <c r="A254" s="273"/>
    </row>
    <row r="255" spans="1:26" s="20" customFormat="1" outlineLevel="1" x14ac:dyDescent="0.35">
      <c r="A255" s="275" t="s">
        <v>786</v>
      </c>
      <c r="B255" s="275">
        <f>(B251*B252)/(B253*B250)</f>
        <v>17123.287671232876</v>
      </c>
      <c r="C255" s="275" t="s">
        <v>749</v>
      </c>
    </row>
    <row r="256" spans="1:26" s="20" customFormat="1" outlineLevel="1" x14ac:dyDescent="0.35">
      <c r="A256" s="19"/>
    </row>
    <row r="257" spans="1:31" s="20" customFormat="1" outlineLevel="1" x14ac:dyDescent="0.35">
      <c r="A257" s="19" t="s">
        <v>793</v>
      </c>
    </row>
    <row r="258" spans="1:31" s="20" customFormat="1" outlineLevel="1" x14ac:dyDescent="0.35">
      <c r="A258" s="273" t="s">
        <v>789</v>
      </c>
      <c r="B258" s="20">
        <f>SUM('Results - raw data ReCiPe (E)'!AC136:AC137)+'Results - raw data ReCiPe (E)'!AC140+SUM('Results - raw data ReCiPe (E)'!AC138:AC139)*AC267</f>
        <v>3.8790576565541637E-4</v>
      </c>
      <c r="C258" s="20" t="s">
        <v>919</v>
      </c>
    </row>
    <row r="259" spans="1:31" s="20" customFormat="1" outlineLevel="1" x14ac:dyDescent="0.35">
      <c r="A259" s="20" t="s">
        <v>792</v>
      </c>
      <c r="B259" s="20">
        <f>B251*AC265</f>
        <v>50000</v>
      </c>
      <c r="C259" s="274" t="s">
        <v>795</v>
      </c>
    </row>
    <row r="260" spans="1:31" s="20" customFormat="1" outlineLevel="1" x14ac:dyDescent="0.35">
      <c r="A260" s="20" t="s">
        <v>791</v>
      </c>
      <c r="B260" s="20">
        <f>(B258*AC267*B255)/(B259*AC266)*(AC266/AC268)</f>
        <v>3.9853332087885239E-5</v>
      </c>
      <c r="C260" s="20" t="s">
        <v>920</v>
      </c>
      <c r="E260" s="274" t="s">
        <v>796</v>
      </c>
    </row>
    <row r="261" spans="1:31" s="20" customFormat="1" outlineLevel="1" x14ac:dyDescent="0.35">
      <c r="A261" s="19"/>
    </row>
    <row r="262" spans="1:31" s="16" customFormat="1" outlineLevel="1" x14ac:dyDescent="0.35">
      <c r="A262" s="21"/>
      <c r="AB262" s="15" t="s">
        <v>143</v>
      </c>
      <c r="AC262" s="16">
        <f>0.000000025+0.000000000000682</f>
        <v>2.5000681999999998E-8</v>
      </c>
      <c r="AD262" s="16" t="s">
        <v>916</v>
      </c>
      <c r="AE262" s="15" t="s">
        <v>714</v>
      </c>
    </row>
    <row r="263" spans="1:31" s="16" customFormat="1" outlineLevel="1" x14ac:dyDescent="0.35">
      <c r="A263" s="22" t="s">
        <v>917</v>
      </c>
      <c r="AC263" s="16">
        <f>AC262*1000</f>
        <v>2.5000681999999997E-5</v>
      </c>
      <c r="AD263" s="16" t="s">
        <v>918</v>
      </c>
    </row>
    <row r="264" spans="1:31" s="16" customFormat="1" outlineLevel="1" x14ac:dyDescent="0.35">
      <c r="A264" s="22"/>
      <c r="AB264" s="16" t="s">
        <v>127</v>
      </c>
      <c r="AC264" s="276">
        <f>100*AC265</f>
        <v>50</v>
      </c>
      <c r="AD264" s="16" t="s">
        <v>128</v>
      </c>
    </row>
    <row r="265" spans="1:31" s="16" customFormat="1" outlineLevel="1" x14ac:dyDescent="0.35">
      <c r="A265" s="230"/>
      <c r="AB265" s="16" t="s">
        <v>776</v>
      </c>
      <c r="AC265" s="276">
        <v>0.5</v>
      </c>
    </row>
    <row r="266" spans="1:31" s="16" customFormat="1" outlineLevel="1" x14ac:dyDescent="0.35">
      <c r="A266" s="230"/>
      <c r="AB266" s="16" t="s">
        <v>129</v>
      </c>
      <c r="AC266" s="276">
        <v>25</v>
      </c>
      <c r="AD266" s="16" t="s">
        <v>130</v>
      </c>
    </row>
    <row r="267" spans="1:31" s="16" customFormat="1" outlineLevel="1" x14ac:dyDescent="0.35">
      <c r="A267" s="230"/>
      <c r="AB267" s="16" t="s">
        <v>777</v>
      </c>
      <c r="AC267" s="276">
        <v>6</v>
      </c>
      <c r="AD267" s="16" t="s">
        <v>779</v>
      </c>
    </row>
    <row r="268" spans="1:31" s="16" customFormat="1" outlineLevel="1" x14ac:dyDescent="0.35">
      <c r="A268" s="22"/>
      <c r="AB268" s="16" t="s">
        <v>778</v>
      </c>
      <c r="AC268" s="276">
        <v>20</v>
      </c>
      <c r="AD268" s="16" t="s">
        <v>130</v>
      </c>
    </row>
    <row r="269" spans="1:31" s="16" customFormat="1" outlineLevel="1" x14ac:dyDescent="0.35">
      <c r="A269" s="22"/>
      <c r="AB269" s="16" t="s">
        <v>780</v>
      </c>
      <c r="AC269" s="276">
        <f>B255</f>
        <v>17123.287671232876</v>
      </c>
      <c r="AD269" s="16" t="s">
        <v>749</v>
      </c>
    </row>
    <row r="270" spans="1:31" s="16" customFormat="1" outlineLevel="1" x14ac:dyDescent="0.35">
      <c r="A270" s="22"/>
    </row>
    <row r="271" spans="1:31" s="16" customFormat="1" outlineLevel="1" x14ac:dyDescent="0.35">
      <c r="A271" s="22"/>
      <c r="AB271" s="16" t="s">
        <v>798</v>
      </c>
      <c r="AC271" s="16">
        <v>0.25</v>
      </c>
    </row>
    <row r="272" spans="1:31" s="16" customFormat="1" outlineLevel="1" x14ac:dyDescent="0.35">
      <c r="A272" s="22"/>
      <c r="AB272" s="16" t="s">
        <v>799</v>
      </c>
      <c r="AC272" s="16">
        <v>0.9</v>
      </c>
    </row>
    <row r="273" spans="1:53" outlineLevel="1" x14ac:dyDescent="0.35">
      <c r="B273" s="25">
        <v>2030</v>
      </c>
      <c r="C273" s="25">
        <v>2031</v>
      </c>
      <c r="D273" s="25">
        <v>2032</v>
      </c>
      <c r="E273" s="25">
        <v>2033</v>
      </c>
      <c r="F273" s="25">
        <v>2034</v>
      </c>
      <c r="G273" s="25">
        <v>2035</v>
      </c>
      <c r="H273" s="25">
        <v>2036</v>
      </c>
      <c r="I273" s="25">
        <v>2037</v>
      </c>
      <c r="J273" s="25">
        <v>2038</v>
      </c>
      <c r="K273" s="25">
        <v>2039</v>
      </c>
      <c r="L273" s="25">
        <v>2040</v>
      </c>
      <c r="M273" s="25">
        <v>2041</v>
      </c>
      <c r="N273" s="25">
        <v>2042</v>
      </c>
      <c r="O273" s="25">
        <v>2043</v>
      </c>
      <c r="P273" s="25">
        <v>2044</v>
      </c>
      <c r="Q273" s="25">
        <v>2045</v>
      </c>
      <c r="R273" s="25">
        <v>2046</v>
      </c>
      <c r="S273" s="25">
        <v>2047</v>
      </c>
      <c r="T273" s="25">
        <v>2048</v>
      </c>
      <c r="U273" s="25">
        <v>2049</v>
      </c>
      <c r="V273" s="25">
        <v>2050</v>
      </c>
      <c r="W273" s="25">
        <v>2051</v>
      </c>
      <c r="X273" s="25">
        <v>2052</v>
      </c>
      <c r="Y273" s="25">
        <v>2053</v>
      </c>
      <c r="Z273" s="25">
        <v>2054</v>
      </c>
      <c r="AC273" s="25">
        <v>2030</v>
      </c>
      <c r="AD273" s="25">
        <v>2031</v>
      </c>
      <c r="AE273" s="25">
        <v>2032</v>
      </c>
      <c r="AF273" s="25">
        <v>2033</v>
      </c>
      <c r="AG273" s="25">
        <v>2034</v>
      </c>
      <c r="AH273" s="25">
        <v>2035</v>
      </c>
      <c r="AI273" s="25">
        <v>2036</v>
      </c>
      <c r="AJ273" s="25">
        <v>2037</v>
      </c>
      <c r="AK273" s="25">
        <v>2038</v>
      </c>
      <c r="AL273" s="25">
        <v>2039</v>
      </c>
      <c r="AM273" s="25">
        <v>2040</v>
      </c>
      <c r="AN273" s="25">
        <v>2041</v>
      </c>
      <c r="AO273" s="25">
        <v>2042</v>
      </c>
      <c r="AP273" s="25">
        <v>2043</v>
      </c>
      <c r="AQ273" s="25">
        <v>2044</v>
      </c>
      <c r="AR273" s="25">
        <v>2045</v>
      </c>
      <c r="AS273" s="25">
        <v>2046</v>
      </c>
      <c r="AT273" s="25">
        <v>2047</v>
      </c>
      <c r="AU273" s="25">
        <v>2048</v>
      </c>
      <c r="AV273" s="25">
        <v>2049</v>
      </c>
      <c r="AW273" s="25">
        <v>2050</v>
      </c>
      <c r="AX273" s="25">
        <v>2051</v>
      </c>
      <c r="AY273" s="25">
        <v>2052</v>
      </c>
      <c r="AZ273" s="25">
        <v>2053</v>
      </c>
      <c r="BA273" s="25">
        <v>2054</v>
      </c>
    </row>
    <row r="274" spans="1:53" outlineLevel="1" x14ac:dyDescent="0.35">
      <c r="A274" s="6" t="s">
        <v>21</v>
      </c>
      <c r="B274" s="6">
        <f t="shared" ref="B274:B285" si="30">B10</f>
        <v>1.002788540668134E-4</v>
      </c>
      <c r="AB274" s="6" t="s">
        <v>117</v>
      </c>
      <c r="AC274" s="6">
        <f>SUM(B274:B285)+B287</f>
        <v>7.3199019140040957E-3</v>
      </c>
    </row>
    <row r="275" spans="1:53" outlineLevel="1" x14ac:dyDescent="0.35">
      <c r="A275" s="6" t="s">
        <v>23</v>
      </c>
      <c r="B275" s="6">
        <f t="shared" si="30"/>
        <v>1.894301368876283E-4</v>
      </c>
      <c r="AB275" s="6" t="s">
        <v>118</v>
      </c>
      <c r="AC275" s="6">
        <f>B286</f>
        <v>1.0976827170369297E-4</v>
      </c>
    </row>
    <row r="276" spans="1:53" outlineLevel="1" x14ac:dyDescent="0.35">
      <c r="A276" s="6" t="s">
        <v>26</v>
      </c>
      <c r="B276" s="6">
        <f t="shared" si="30"/>
        <v>4.0249601495511561E-4</v>
      </c>
      <c r="AB276" s="6" t="s">
        <v>119</v>
      </c>
      <c r="BA276" s="6">
        <f>SUM(Z288:Z299)</f>
        <v>9.2556580539513285E-5</v>
      </c>
    </row>
    <row r="277" spans="1:53" outlineLevel="1" x14ac:dyDescent="0.35">
      <c r="A277" s="6" t="s">
        <v>28</v>
      </c>
      <c r="B277" s="6">
        <f t="shared" si="30"/>
        <v>1.8239184765488E-4</v>
      </c>
      <c r="AB277" s="6" t="s">
        <v>120</v>
      </c>
      <c r="BA277" s="6">
        <f>Z300</f>
        <v>8.4579874585860926E-7</v>
      </c>
    </row>
    <row r="278" spans="1:53" outlineLevel="1" x14ac:dyDescent="0.35">
      <c r="A278" s="6" t="s">
        <v>29</v>
      </c>
      <c r="B278" s="6">
        <f t="shared" si="30"/>
        <v>3.1594695418384348E-4</v>
      </c>
      <c r="AB278" s="6" t="s">
        <v>121</v>
      </c>
      <c r="AC278" s="6">
        <f>B301</f>
        <v>9.6070786883955476E-5</v>
      </c>
      <c r="AF278" s="6">
        <f>E301</f>
        <v>9.5821625581055684E-5</v>
      </c>
      <c r="AI278" s="6">
        <f>H301</f>
        <v>9.5829318269014544E-5</v>
      </c>
      <c r="AL278" s="6">
        <f>K301</f>
        <v>9.6195219555553151E-5</v>
      </c>
      <c r="AO278" s="6">
        <f>N301</f>
        <v>9.671044208302645E-5</v>
      </c>
      <c r="AR278" s="6">
        <f>Q301</f>
        <v>9.7352908438601063E-5</v>
      </c>
      <c r="AU278" s="6">
        <f>T301</f>
        <v>9.6952281836548256E-5</v>
      </c>
      <c r="AX278" s="6">
        <f>W301</f>
        <v>9.6376407293463591E-5</v>
      </c>
      <c r="BA278" s="6">
        <f>Z301</f>
        <v>9.5439879467151915E-5</v>
      </c>
    </row>
    <row r="279" spans="1:53" outlineLevel="1" x14ac:dyDescent="0.35">
      <c r="A279" s="6" t="s">
        <v>31</v>
      </c>
      <c r="B279" s="6">
        <f t="shared" si="30"/>
        <v>2.3697363961662989E-4</v>
      </c>
      <c r="AB279" s="6" t="s">
        <v>797</v>
      </c>
      <c r="AC279" s="6">
        <f>B305</f>
        <v>1.9926666043942618E-3</v>
      </c>
      <c r="AD279" s="6">
        <f t="shared" ref="AD279:BA279" si="31">C305</f>
        <v>1.9926666043942618E-3</v>
      </c>
      <c r="AE279" s="6">
        <f t="shared" si="31"/>
        <v>1.9926666043942618E-3</v>
      </c>
      <c r="AF279" s="6">
        <f t="shared" si="31"/>
        <v>1.9926666043942618E-3</v>
      </c>
      <c r="AG279" s="6">
        <f t="shared" si="31"/>
        <v>1.9926666043942618E-3</v>
      </c>
      <c r="AH279" s="6">
        <f t="shared" si="31"/>
        <v>1.9926666043942618E-3</v>
      </c>
      <c r="AI279" s="6">
        <f t="shared" si="31"/>
        <v>1.9926666043942618E-3</v>
      </c>
      <c r="AJ279" s="6">
        <f t="shared" si="31"/>
        <v>1.9926666043942618E-3</v>
      </c>
      <c r="AK279" s="6">
        <f t="shared" si="31"/>
        <v>1.9926666043942618E-3</v>
      </c>
      <c r="AL279" s="6">
        <f t="shared" si="31"/>
        <v>1.9926666043942618E-3</v>
      </c>
      <c r="AM279" s="6">
        <f t="shared" si="31"/>
        <v>1.9926666043942618E-3</v>
      </c>
      <c r="AN279" s="6">
        <f t="shared" si="31"/>
        <v>1.9926666043942618E-3</v>
      </c>
      <c r="AO279" s="6">
        <f t="shared" si="31"/>
        <v>1.9926666043942618E-3</v>
      </c>
      <c r="AP279" s="6">
        <f t="shared" si="31"/>
        <v>1.9926666043942618E-3</v>
      </c>
      <c r="AQ279" s="6">
        <f t="shared" si="31"/>
        <v>1.9926666043942618E-3</v>
      </c>
      <c r="AR279" s="6">
        <f t="shared" si="31"/>
        <v>1.9926666043942618E-3</v>
      </c>
      <c r="AS279" s="6">
        <f t="shared" si="31"/>
        <v>1.9926666043942618E-3</v>
      </c>
      <c r="AT279" s="6">
        <f t="shared" si="31"/>
        <v>1.9926666043942618E-3</v>
      </c>
      <c r="AU279" s="6">
        <f t="shared" si="31"/>
        <v>1.9926666043942618E-3</v>
      </c>
      <c r="AV279" s="6">
        <f t="shared" si="31"/>
        <v>1.9926666043942618E-3</v>
      </c>
      <c r="AW279" s="6">
        <f t="shared" si="31"/>
        <v>1.9926666043942618E-3</v>
      </c>
      <c r="AX279" s="6">
        <f t="shared" si="31"/>
        <v>1.9926666043942618E-3</v>
      </c>
      <c r="AY279" s="6">
        <f t="shared" si="31"/>
        <v>1.9926666043942618E-3</v>
      </c>
      <c r="AZ279" s="6">
        <f t="shared" si="31"/>
        <v>1.9926666043942618E-3</v>
      </c>
      <c r="BA279" s="6">
        <f t="shared" si="31"/>
        <v>1.9926666043942618E-3</v>
      </c>
    </row>
    <row r="280" spans="1:53" outlineLevel="1" x14ac:dyDescent="0.35">
      <c r="A280" s="6" t="s">
        <v>34</v>
      </c>
      <c r="B280" s="6">
        <f t="shared" si="30"/>
        <v>2.1009548515794709E-4</v>
      </c>
      <c r="AB280" s="6" t="s">
        <v>122</v>
      </c>
      <c r="AC280" s="6">
        <f t="shared" ref="AC280:BA280" si="32">B304+B303</f>
        <v>1.2111757381217403E-3</v>
      </c>
      <c r="AD280" s="6">
        <f t="shared" si="32"/>
        <v>1.2107734341248084E-3</v>
      </c>
      <c r="AE280" s="6">
        <f t="shared" si="32"/>
        <v>1.2103879827427362E-3</v>
      </c>
      <c r="AF280" s="6">
        <f t="shared" si="32"/>
        <v>1.2095933050688145E-3</v>
      </c>
      <c r="AG280" s="6">
        <f t="shared" si="32"/>
        <v>1.2092432433617416E-3</v>
      </c>
      <c r="AH280" s="6">
        <f t="shared" si="32"/>
        <v>1.2089039805493354E-3</v>
      </c>
      <c r="AI280" s="6">
        <f t="shared" si="32"/>
        <v>1.2088542808800101E-3</v>
      </c>
      <c r="AJ280" s="6">
        <f t="shared" si="32"/>
        <v>1.2088446406106612E-3</v>
      </c>
      <c r="AK280" s="6">
        <f t="shared" si="32"/>
        <v>1.208949608196002E-3</v>
      </c>
      <c r="AL280" s="6">
        <f t="shared" si="32"/>
        <v>1.2090141986579499E-3</v>
      </c>
      <c r="AM280" s="6">
        <f t="shared" si="32"/>
        <v>1.2091067815817556E-3</v>
      </c>
      <c r="AN280" s="6">
        <f t="shared" si="32"/>
        <v>1.2095368567246144E-3</v>
      </c>
      <c r="AO280" s="6">
        <f t="shared" si="32"/>
        <v>1.2099987611041241E-3</v>
      </c>
      <c r="AP280" s="6">
        <f t="shared" si="32"/>
        <v>1.2106835853523462E-3</v>
      </c>
      <c r="AQ280" s="6">
        <f t="shared" si="32"/>
        <v>1.2112087192850441E-3</v>
      </c>
      <c r="AR280" s="6">
        <f t="shared" si="32"/>
        <v>1.2117754788492539E-3</v>
      </c>
      <c r="AS280" s="6">
        <f t="shared" si="32"/>
        <v>1.2112333018230829E-3</v>
      </c>
      <c r="AT280" s="6">
        <f t="shared" si="32"/>
        <v>1.2106897538520284E-3</v>
      </c>
      <c r="AU280" s="6">
        <f t="shared" si="32"/>
        <v>1.210276848811982E-3</v>
      </c>
      <c r="AV280" s="6">
        <f t="shared" si="32"/>
        <v>1.2097278704424656E-3</v>
      </c>
      <c r="AW280" s="6">
        <f t="shared" si="32"/>
        <v>1.2091750705185151E-3</v>
      </c>
      <c r="AX280" s="6">
        <f t="shared" si="32"/>
        <v>1.2082701711876227E-3</v>
      </c>
      <c r="AY280" s="6">
        <f t="shared" si="32"/>
        <v>1.2071873044331724E-3</v>
      </c>
      <c r="AZ280" s="6">
        <f t="shared" si="32"/>
        <v>1.2060983427733696E-3</v>
      </c>
      <c r="BA280" s="6">
        <f t="shared" si="32"/>
        <v>1.2050029865524616E-3</v>
      </c>
    </row>
    <row r="281" spans="1:53" outlineLevel="1" x14ac:dyDescent="0.35">
      <c r="A281" s="6" t="s">
        <v>36</v>
      </c>
      <c r="B281" s="6">
        <f t="shared" si="30"/>
        <v>1.8816871110084919E-4</v>
      </c>
      <c r="AB281" s="6" t="s">
        <v>123</v>
      </c>
      <c r="AC281" s="6">
        <f t="shared" ref="AC281:BA281" si="33">B302</f>
        <v>1.2109631907529534E-4</v>
      </c>
      <c r="AD281" s="6">
        <f t="shared" si="33"/>
        <v>1.2082343799660154E-4</v>
      </c>
      <c r="AE281" s="6">
        <f t="shared" si="33"/>
        <v>1.2055022165994736E-4</v>
      </c>
      <c r="AF281" s="6">
        <f t="shared" si="33"/>
        <v>1.202618083486462E-4</v>
      </c>
      <c r="AG281" s="6">
        <f t="shared" si="33"/>
        <v>1.199877340687818E-4</v>
      </c>
      <c r="AH281" s="6">
        <f t="shared" si="33"/>
        <v>1.1971320269733625E-4</v>
      </c>
      <c r="AI281" s="6">
        <f t="shared" si="33"/>
        <v>1.2636525898809136E-4</v>
      </c>
      <c r="AJ281" s="6">
        <f t="shared" si="33"/>
        <v>1.3298924874594959E-4</v>
      </c>
      <c r="AK281" s="6">
        <f t="shared" si="33"/>
        <v>1.3958940048574699E-4</v>
      </c>
      <c r="AL281" s="6">
        <f t="shared" si="33"/>
        <v>1.4616441472427275E-4</v>
      </c>
      <c r="AM281" s="6">
        <f t="shared" si="33"/>
        <v>1.5271254905887096E-4</v>
      </c>
      <c r="AN281" s="6">
        <f t="shared" si="33"/>
        <v>1.652685676093333E-4</v>
      </c>
      <c r="AO281" s="6">
        <f t="shared" si="33"/>
        <v>1.7782669986245953E-4</v>
      </c>
      <c r="AP281" s="6">
        <f t="shared" si="33"/>
        <v>1.9039514316085011E-4</v>
      </c>
      <c r="AQ281" s="6">
        <f t="shared" si="33"/>
        <v>2.0295759552319941E-4</v>
      </c>
      <c r="AR281" s="6">
        <f t="shared" si="33"/>
        <v>2.155223914374185E-4</v>
      </c>
      <c r="AS281" s="6">
        <f t="shared" si="33"/>
        <v>2.1636815550879436E-4</v>
      </c>
      <c r="AT281" s="6">
        <f t="shared" si="33"/>
        <v>2.1721122654958051E-4</v>
      </c>
      <c r="AU281" s="6">
        <f t="shared" si="33"/>
        <v>2.1805673539084734E-4</v>
      </c>
      <c r="AV281" s="6">
        <f t="shared" si="33"/>
        <v>2.1889445976787044E-4</v>
      </c>
      <c r="AW281" s="6">
        <f t="shared" si="33"/>
        <v>2.1972959714055694E-4</v>
      </c>
      <c r="AX281" s="6">
        <f t="shared" si="33"/>
        <v>2.1442352391606875E-4</v>
      </c>
      <c r="AY281" s="6">
        <f t="shared" si="33"/>
        <v>2.0890345292681804E-4</v>
      </c>
      <c r="AZ281" s="6">
        <f t="shared" si="33"/>
        <v>2.0338661651041331E-4</v>
      </c>
      <c r="BA281" s="6">
        <f t="shared" si="33"/>
        <v>1.978728906200919E-4</v>
      </c>
    </row>
    <row r="282" spans="1:53" outlineLevel="1" x14ac:dyDescent="0.35">
      <c r="A282" s="6" t="s">
        <v>38</v>
      </c>
      <c r="B282" s="6">
        <f t="shared" si="30"/>
        <v>4.1583412360390951E-4</v>
      </c>
      <c r="AB282" s="6" t="s">
        <v>124</v>
      </c>
      <c r="AC282" s="6">
        <f>-$AC$264*$AC$263</f>
        <v>-1.2500340999999997E-3</v>
      </c>
      <c r="AD282" s="6">
        <f t="shared" ref="AD282:BA282" si="34">-$AC$264*$AC$263</f>
        <v>-1.2500340999999997E-3</v>
      </c>
      <c r="AE282" s="6">
        <f t="shared" si="34"/>
        <v>-1.2500340999999997E-3</v>
      </c>
      <c r="AF282" s="6">
        <f t="shared" si="34"/>
        <v>-1.2500340999999997E-3</v>
      </c>
      <c r="AG282" s="6">
        <f t="shared" si="34"/>
        <v>-1.2500340999999997E-3</v>
      </c>
      <c r="AH282" s="6">
        <f t="shared" si="34"/>
        <v>-1.2500340999999997E-3</v>
      </c>
      <c r="AI282" s="6">
        <f t="shared" si="34"/>
        <v>-1.2500340999999997E-3</v>
      </c>
      <c r="AJ282" s="6">
        <f t="shared" si="34"/>
        <v>-1.2500340999999997E-3</v>
      </c>
      <c r="AK282" s="6">
        <f t="shared" si="34"/>
        <v>-1.2500340999999997E-3</v>
      </c>
      <c r="AL282" s="6">
        <f t="shared" si="34"/>
        <v>-1.2500340999999997E-3</v>
      </c>
      <c r="AM282" s="6">
        <f t="shared" si="34"/>
        <v>-1.2500340999999997E-3</v>
      </c>
      <c r="AN282" s="6">
        <f t="shared" si="34"/>
        <v>-1.2500340999999997E-3</v>
      </c>
      <c r="AO282" s="6">
        <f t="shared" si="34"/>
        <v>-1.2500340999999997E-3</v>
      </c>
      <c r="AP282" s="6">
        <f t="shared" si="34"/>
        <v>-1.2500340999999997E-3</v>
      </c>
      <c r="AQ282" s="6">
        <f t="shared" si="34"/>
        <v>-1.2500340999999997E-3</v>
      </c>
      <c r="AR282" s="6">
        <f t="shared" si="34"/>
        <v>-1.2500340999999997E-3</v>
      </c>
      <c r="AS282" s="6">
        <f t="shared" si="34"/>
        <v>-1.2500340999999997E-3</v>
      </c>
      <c r="AT282" s="6">
        <f t="shared" si="34"/>
        <v>-1.2500340999999997E-3</v>
      </c>
      <c r="AU282" s="6">
        <f t="shared" si="34"/>
        <v>-1.2500340999999997E-3</v>
      </c>
      <c r="AV282" s="6">
        <f t="shared" si="34"/>
        <v>-1.2500340999999997E-3</v>
      </c>
      <c r="AW282" s="6">
        <f t="shared" si="34"/>
        <v>-1.2500340999999997E-3</v>
      </c>
      <c r="AX282" s="6">
        <f t="shared" si="34"/>
        <v>-1.2500340999999997E-3</v>
      </c>
      <c r="AY282" s="6">
        <f t="shared" si="34"/>
        <v>-1.2500340999999997E-3</v>
      </c>
      <c r="AZ282" s="6">
        <f t="shared" si="34"/>
        <v>-1.2500340999999997E-3</v>
      </c>
      <c r="BA282" s="6">
        <f t="shared" si="34"/>
        <v>-1.2500340999999997E-3</v>
      </c>
    </row>
    <row r="283" spans="1:53" outlineLevel="1" x14ac:dyDescent="0.35">
      <c r="A283" s="6" t="s">
        <v>39</v>
      </c>
      <c r="B283" s="6">
        <f t="shared" si="30"/>
        <v>4.8429542666931476E-3</v>
      </c>
      <c r="AB283" s="23" t="s">
        <v>125</v>
      </c>
      <c r="AC283" s="17">
        <f t="shared" ref="AC283:BA283" si="35">SUM(AC274:AC282)</f>
        <v>9.600645534183043E-3</v>
      </c>
      <c r="AD283" s="17">
        <f t="shared" si="35"/>
        <v>2.0742293765156719E-3</v>
      </c>
      <c r="AE283" s="17">
        <f t="shared" si="35"/>
        <v>2.0735707087969459E-3</v>
      </c>
      <c r="AF283" s="17">
        <f t="shared" si="35"/>
        <v>2.1683092433927784E-3</v>
      </c>
      <c r="AG283" s="17">
        <f t="shared" si="35"/>
        <v>2.0718634818247855E-3</v>
      </c>
      <c r="AH283" s="17">
        <f t="shared" si="35"/>
        <v>2.0712496876409336E-3</v>
      </c>
      <c r="AI283" s="17">
        <f t="shared" si="35"/>
        <v>2.173681362531378E-3</v>
      </c>
      <c r="AJ283" s="17">
        <f t="shared" si="35"/>
        <v>2.0844663937508731E-3</v>
      </c>
      <c r="AK283" s="17">
        <f t="shared" si="35"/>
        <v>2.0911715130760111E-3</v>
      </c>
      <c r="AL283" s="17">
        <f t="shared" si="35"/>
        <v>2.1940063373320378E-3</v>
      </c>
      <c r="AM283" s="17">
        <f t="shared" si="35"/>
        <v>2.1044518350348887E-3</v>
      </c>
      <c r="AN283" s="17">
        <f t="shared" si="35"/>
        <v>2.11743792872821E-3</v>
      </c>
      <c r="AO283" s="17">
        <f t="shared" si="35"/>
        <v>2.2271684074438719E-3</v>
      </c>
      <c r="AP283" s="17">
        <f t="shared" si="35"/>
        <v>2.1437112329074585E-3</v>
      </c>
      <c r="AQ283" s="17">
        <f t="shared" si="35"/>
        <v>2.1567988192025054E-3</v>
      </c>
      <c r="AR283" s="17">
        <f t="shared" si="35"/>
        <v>2.2672832831195358E-3</v>
      </c>
      <c r="AS283" s="17">
        <f t="shared" si="35"/>
        <v>2.1702339617261394E-3</v>
      </c>
      <c r="AT283" s="17">
        <f t="shared" si="35"/>
        <v>2.1705334847958711E-3</v>
      </c>
      <c r="AU283" s="17">
        <f t="shared" si="35"/>
        <v>2.2679183704336398E-3</v>
      </c>
      <c r="AV283" s="17">
        <f t="shared" si="35"/>
        <v>2.1712548346045977E-3</v>
      </c>
      <c r="AW283" s="17">
        <f t="shared" si="35"/>
        <v>2.1715371720533341E-3</v>
      </c>
      <c r="AX283" s="17">
        <f t="shared" si="35"/>
        <v>2.261702606791417E-3</v>
      </c>
      <c r="AY283" s="17">
        <f t="shared" si="35"/>
        <v>2.1587232617542524E-3</v>
      </c>
      <c r="AZ283" s="17">
        <f t="shared" si="35"/>
        <v>2.152117463678045E-3</v>
      </c>
      <c r="BA283" s="17">
        <f t="shared" si="35"/>
        <v>2.334350640319339E-3</v>
      </c>
    </row>
    <row r="284" spans="1:53" outlineLevel="1" x14ac:dyDescent="0.35">
      <c r="A284" s="6" t="s">
        <v>41</v>
      </c>
      <c r="B284" s="6">
        <f t="shared" si="30"/>
        <v>5.2645581004914617E-6</v>
      </c>
    </row>
    <row r="285" spans="1:53" outlineLevel="1" x14ac:dyDescent="0.35">
      <c r="A285" s="6" t="s">
        <v>43</v>
      </c>
      <c r="B285" s="6">
        <f t="shared" si="30"/>
        <v>2.9425891567082932E-5</v>
      </c>
      <c r="AB285" s="272"/>
      <c r="AC285" s="272"/>
      <c r="AD285" s="272"/>
      <c r="AE285" s="272"/>
      <c r="AF285" s="272"/>
      <c r="AG285" s="272"/>
      <c r="AH285" s="272"/>
      <c r="AI285" s="272"/>
      <c r="AJ285" s="272"/>
      <c r="AK285" s="272"/>
      <c r="AL285" s="272"/>
      <c r="AM285" s="272"/>
      <c r="AN285" s="272"/>
      <c r="AO285" s="272"/>
      <c r="AP285" s="272"/>
      <c r="AQ285" s="272"/>
      <c r="AR285" s="272"/>
      <c r="AS285" s="272"/>
      <c r="AT285" s="272"/>
      <c r="AU285" s="272"/>
      <c r="AV285" s="272"/>
      <c r="AW285" s="272"/>
      <c r="AX285" s="272"/>
      <c r="AY285" s="272"/>
      <c r="AZ285" s="272"/>
      <c r="BA285" s="272"/>
    </row>
    <row r="286" spans="1:53" outlineLevel="1" x14ac:dyDescent="0.35">
      <c r="A286" s="6" t="s">
        <v>44</v>
      </c>
      <c r="B286" s="6">
        <f>B22*AC265</f>
        <v>1.0976827170369297E-4</v>
      </c>
      <c r="AB286" s="272"/>
      <c r="AC286" s="272"/>
      <c r="AD286" s="272"/>
      <c r="AE286" s="272"/>
      <c r="AF286" s="272"/>
      <c r="AG286" s="272"/>
      <c r="AH286" s="272"/>
      <c r="AI286" s="272"/>
      <c r="AJ286" s="272"/>
      <c r="AK286" s="272"/>
      <c r="AL286" s="272"/>
      <c r="AM286" s="272"/>
      <c r="AN286" s="272"/>
      <c r="AO286" s="272"/>
      <c r="AP286" s="272"/>
      <c r="AQ286" s="272"/>
      <c r="AR286" s="272"/>
      <c r="AS286" s="272"/>
      <c r="AT286" s="272"/>
      <c r="AU286" s="272"/>
      <c r="AV286" s="272"/>
      <c r="AW286" s="272"/>
      <c r="AX286" s="272"/>
      <c r="AY286" s="272"/>
      <c r="AZ286" s="272"/>
      <c r="BA286" s="272"/>
    </row>
    <row r="287" spans="1:53" outlineLevel="1" x14ac:dyDescent="0.35">
      <c r="A287" s="6" t="s">
        <v>757</v>
      </c>
      <c r="B287" s="6">
        <f>B23*AC265</f>
        <v>2.006414304157575E-4</v>
      </c>
      <c r="AB287" s="272"/>
      <c r="AC287" s="272"/>
      <c r="AD287" s="272"/>
      <c r="AE287" s="272"/>
      <c r="AF287" s="272"/>
      <c r="AG287" s="272"/>
      <c r="AH287" s="272"/>
      <c r="AI287" s="272"/>
      <c r="AJ287" s="272"/>
      <c r="AK287" s="272"/>
      <c r="AL287" s="272"/>
      <c r="AM287" s="272"/>
      <c r="AN287" s="272"/>
      <c r="AO287" s="272"/>
      <c r="AP287" s="272"/>
      <c r="AQ287" s="272"/>
      <c r="AR287" s="272"/>
      <c r="AS287" s="272"/>
      <c r="AT287" s="272"/>
      <c r="AU287" s="272"/>
      <c r="AV287" s="272"/>
      <c r="AW287" s="272"/>
      <c r="AX287" s="272"/>
      <c r="AY287" s="272"/>
      <c r="AZ287" s="272"/>
      <c r="BA287" s="272"/>
    </row>
    <row r="288" spans="1:53" outlineLevel="1" x14ac:dyDescent="0.35">
      <c r="A288" s="6" t="s">
        <v>22</v>
      </c>
      <c r="Z288" s="6">
        <f t="shared" ref="Z288:Z299" si="36">Z24</f>
        <v>1.5678617807268961E-6</v>
      </c>
      <c r="AB288" s="272"/>
      <c r="AC288" s="272"/>
      <c r="AD288" s="272"/>
      <c r="AE288" s="272"/>
      <c r="AF288" s="272"/>
      <c r="AG288" s="272"/>
      <c r="AH288" s="272"/>
      <c r="AI288" s="272"/>
      <c r="AJ288" s="272"/>
      <c r="AK288" s="272"/>
      <c r="AL288" s="272"/>
      <c r="AM288" s="272"/>
      <c r="AN288" s="272"/>
      <c r="AO288" s="272"/>
      <c r="AP288" s="272"/>
      <c r="AQ288" s="272"/>
      <c r="AR288" s="272"/>
      <c r="AS288" s="272"/>
      <c r="AT288" s="272"/>
      <c r="AU288" s="272"/>
      <c r="AV288" s="272"/>
      <c r="AW288" s="272"/>
      <c r="AX288" s="272"/>
      <c r="AY288" s="272"/>
      <c r="AZ288" s="272"/>
      <c r="BA288" s="272"/>
    </row>
    <row r="289" spans="1:53" outlineLevel="1" x14ac:dyDescent="0.35">
      <c r="A289" s="6" t="s">
        <v>24</v>
      </c>
      <c r="Z289" s="6">
        <f t="shared" si="36"/>
        <v>9.5822677874573218E-7</v>
      </c>
      <c r="AB289" s="272"/>
      <c r="AC289" s="272"/>
      <c r="AD289" s="272"/>
      <c r="AE289" s="272"/>
      <c r="AF289" s="272"/>
      <c r="AG289" s="272"/>
      <c r="AH289" s="272"/>
      <c r="AI289" s="272"/>
      <c r="AJ289" s="272"/>
      <c r="AK289" s="272"/>
      <c r="AL289" s="272"/>
      <c r="AM289" s="272"/>
      <c r="AN289" s="272"/>
      <c r="AO289" s="272"/>
      <c r="AP289" s="272"/>
      <c r="AQ289" s="272"/>
      <c r="AR289" s="272"/>
      <c r="AS289" s="272"/>
      <c r="AT289" s="272"/>
      <c r="AU289" s="272"/>
      <c r="AV289" s="272"/>
      <c r="AW289" s="272"/>
      <c r="AX289" s="272"/>
      <c r="AY289" s="272"/>
      <c r="AZ289" s="272"/>
      <c r="BA289" s="272"/>
    </row>
    <row r="290" spans="1:53" outlineLevel="1" x14ac:dyDescent="0.35">
      <c r="A290" s="6" t="s">
        <v>25</v>
      </c>
      <c r="Z290" s="6">
        <f t="shared" si="36"/>
        <v>3.2060490294522179E-6</v>
      </c>
      <c r="AB290" s="272"/>
      <c r="AC290" s="272"/>
      <c r="AD290" s="272"/>
      <c r="AE290" s="272"/>
      <c r="AF290" s="272"/>
      <c r="AG290" s="272"/>
      <c r="AH290" s="272"/>
      <c r="AI290" s="272"/>
      <c r="AJ290" s="272"/>
      <c r="AK290" s="272"/>
      <c r="AL290" s="272"/>
      <c r="AM290" s="272"/>
      <c r="AN290" s="272"/>
      <c r="AO290" s="272"/>
      <c r="AP290" s="272"/>
      <c r="AQ290" s="272"/>
      <c r="AR290" s="272"/>
      <c r="AS290" s="272"/>
      <c r="AT290" s="272"/>
      <c r="AU290" s="272"/>
      <c r="AV290" s="272"/>
      <c r="AW290" s="272"/>
      <c r="AX290" s="272"/>
      <c r="AY290" s="272"/>
      <c r="AZ290" s="272"/>
      <c r="BA290" s="272"/>
    </row>
    <row r="291" spans="1:53" outlineLevel="1" x14ac:dyDescent="0.35">
      <c r="A291" s="6" t="s">
        <v>27</v>
      </c>
      <c r="Z291" s="6">
        <f t="shared" si="36"/>
        <v>9.848667252392114E-7</v>
      </c>
      <c r="AB291" s="272"/>
      <c r="AC291" s="272"/>
      <c r="AD291" s="272"/>
      <c r="AE291" s="272"/>
      <c r="AF291" s="272"/>
      <c r="AG291" s="272"/>
      <c r="AH291" s="272"/>
      <c r="AI291" s="272"/>
      <c r="AJ291" s="272"/>
      <c r="AK291" s="272"/>
      <c r="AL291" s="272"/>
      <c r="AM291" s="272"/>
      <c r="AN291" s="272"/>
      <c r="AO291" s="272"/>
      <c r="AP291" s="272"/>
      <c r="AQ291" s="272"/>
      <c r="AR291" s="272"/>
      <c r="AS291" s="272"/>
      <c r="AT291" s="272"/>
      <c r="AU291" s="272"/>
      <c r="AV291" s="272"/>
      <c r="AW291" s="272"/>
      <c r="AX291" s="272"/>
      <c r="AY291" s="272"/>
      <c r="AZ291" s="272"/>
      <c r="BA291" s="272"/>
    </row>
    <row r="292" spans="1:53" outlineLevel="1" x14ac:dyDescent="0.35">
      <c r="A292" s="6" t="s">
        <v>30</v>
      </c>
      <c r="Z292" s="6">
        <f t="shared" si="36"/>
        <v>2.287161932949592E-6</v>
      </c>
      <c r="AB292" s="272"/>
      <c r="AC292" s="272"/>
      <c r="AD292" s="272"/>
      <c r="AE292" s="272"/>
      <c r="AF292" s="272"/>
      <c r="AG292" s="272"/>
      <c r="AH292" s="272"/>
      <c r="AI292" s="272"/>
      <c r="AJ292" s="272"/>
      <c r="AK292" s="272"/>
      <c r="AL292" s="272"/>
      <c r="AM292" s="272"/>
      <c r="AN292" s="272"/>
      <c r="AO292" s="272"/>
      <c r="AP292" s="272"/>
      <c r="AQ292" s="272"/>
      <c r="AR292" s="272"/>
      <c r="AS292" s="272"/>
      <c r="AT292" s="272"/>
      <c r="AU292" s="272"/>
      <c r="AV292" s="272"/>
      <c r="AW292" s="272"/>
      <c r="AX292" s="272"/>
      <c r="AY292" s="272"/>
      <c r="AZ292" s="272"/>
      <c r="BA292" s="272"/>
    </row>
    <row r="293" spans="1:53" outlineLevel="1" x14ac:dyDescent="0.35">
      <c r="A293" s="6" t="s">
        <v>32</v>
      </c>
      <c r="Z293" s="6">
        <f t="shared" si="36"/>
        <v>4.0104756096575658E-7</v>
      </c>
      <c r="AB293" s="272"/>
      <c r="AC293" s="272"/>
      <c r="AD293" s="272"/>
      <c r="AE293" s="272"/>
      <c r="AF293" s="272"/>
      <c r="AG293" s="272"/>
      <c r="AH293" s="272"/>
      <c r="AI293" s="272"/>
      <c r="AJ293" s="272"/>
      <c r="AK293" s="272"/>
      <c r="AL293" s="272"/>
      <c r="AM293" s="272"/>
      <c r="AN293" s="272"/>
      <c r="AO293" s="272"/>
      <c r="AP293" s="272"/>
      <c r="AQ293" s="272"/>
      <c r="AR293" s="272"/>
      <c r="AS293" s="272"/>
      <c r="AT293" s="272"/>
      <c r="AU293" s="272"/>
      <c r="AV293" s="272"/>
      <c r="AW293" s="272"/>
      <c r="AX293" s="272"/>
      <c r="AY293" s="272"/>
      <c r="AZ293" s="272"/>
      <c r="BA293" s="272"/>
    </row>
    <row r="294" spans="1:53" outlineLevel="1" x14ac:dyDescent="0.35">
      <c r="A294" s="6" t="s">
        <v>33</v>
      </c>
      <c r="Z294" s="6">
        <f t="shared" si="36"/>
        <v>7.436220243837267E-7</v>
      </c>
      <c r="AB294" s="272"/>
      <c r="AC294" s="272"/>
      <c r="AD294" s="272"/>
      <c r="AE294" s="272"/>
      <c r="AF294" s="272"/>
      <c r="AG294" s="272"/>
      <c r="AH294" s="272"/>
      <c r="AI294" s="272"/>
      <c r="AJ294" s="272"/>
      <c r="AK294" s="272"/>
      <c r="AL294" s="272"/>
      <c r="AM294" s="272"/>
      <c r="AN294" s="272"/>
      <c r="AO294" s="272"/>
      <c r="AP294" s="272"/>
      <c r="AQ294" s="272"/>
      <c r="AR294" s="272"/>
      <c r="AS294" s="272"/>
      <c r="AT294" s="272"/>
      <c r="AU294" s="272"/>
      <c r="AV294" s="272"/>
      <c r="AW294" s="272"/>
      <c r="AX294" s="272"/>
      <c r="AY294" s="272"/>
      <c r="AZ294" s="272"/>
      <c r="BA294" s="272"/>
    </row>
    <row r="295" spans="1:53" outlineLevel="1" x14ac:dyDescent="0.35">
      <c r="A295" s="6" t="s">
        <v>35</v>
      </c>
      <c r="Z295" s="6">
        <f t="shared" si="36"/>
        <v>1.487244048767453E-6</v>
      </c>
      <c r="AB295" s="272"/>
      <c r="AC295" s="272"/>
      <c r="AD295" s="272"/>
      <c r="AE295" s="272"/>
      <c r="AF295" s="272"/>
      <c r="AG295" s="272"/>
      <c r="AH295" s="272"/>
      <c r="AI295" s="272"/>
      <c r="AJ295" s="272"/>
      <c r="AK295" s="272"/>
      <c r="AL295" s="272"/>
      <c r="AM295" s="272"/>
      <c r="AN295" s="272"/>
      <c r="AO295" s="272"/>
      <c r="AP295" s="272"/>
      <c r="AQ295" s="272"/>
      <c r="AR295" s="272"/>
      <c r="AS295" s="272"/>
      <c r="AT295" s="272"/>
      <c r="AU295" s="272"/>
      <c r="AV295" s="272"/>
      <c r="AW295" s="272"/>
      <c r="AX295" s="272"/>
      <c r="AY295" s="272"/>
      <c r="AZ295" s="272"/>
      <c r="BA295" s="272"/>
    </row>
    <row r="296" spans="1:53" outlineLevel="1" x14ac:dyDescent="0.35">
      <c r="A296" s="6" t="s">
        <v>37</v>
      </c>
      <c r="Z296" s="6">
        <f t="shared" si="36"/>
        <v>2.5323361014716719E-6</v>
      </c>
      <c r="AB296" s="272"/>
      <c r="AC296" s="272"/>
      <c r="AD296" s="272"/>
      <c r="AE296" s="272"/>
      <c r="AF296" s="272"/>
      <c r="AG296" s="272"/>
      <c r="AH296" s="272"/>
      <c r="AI296" s="272"/>
      <c r="AJ296" s="272"/>
      <c r="AK296" s="272"/>
      <c r="AL296" s="272"/>
      <c r="AM296" s="272"/>
      <c r="AN296" s="272"/>
      <c r="AO296" s="272"/>
      <c r="AP296" s="272"/>
      <c r="AQ296" s="272"/>
      <c r="AR296" s="272"/>
      <c r="AS296" s="272"/>
      <c r="AT296" s="272"/>
      <c r="AU296" s="272"/>
      <c r="AV296" s="272"/>
      <c r="AW296" s="272"/>
      <c r="AX296" s="272"/>
      <c r="AY296" s="272"/>
      <c r="AZ296" s="272"/>
      <c r="BA296" s="272"/>
    </row>
    <row r="297" spans="1:53" outlineLevel="1" x14ac:dyDescent="0.35">
      <c r="A297" s="6" t="s">
        <v>40</v>
      </c>
      <c r="Z297" s="6">
        <f t="shared" si="36"/>
        <v>6.1461976001350634E-5</v>
      </c>
    </row>
    <row r="298" spans="1:53" outlineLevel="1" x14ac:dyDescent="0.35">
      <c r="A298" s="6" t="s">
        <v>42</v>
      </c>
      <c r="Z298" s="6">
        <f t="shared" si="36"/>
        <v>1.7086922788577119E-6</v>
      </c>
    </row>
    <row r="299" spans="1:53" outlineLevel="1" x14ac:dyDescent="0.35">
      <c r="A299" s="6" t="s">
        <v>115</v>
      </c>
      <c r="Z299" s="6">
        <f t="shared" si="36"/>
        <v>1.521749627660268E-5</v>
      </c>
    </row>
    <row r="300" spans="1:53" outlineLevel="1" x14ac:dyDescent="0.35">
      <c r="A300" s="6" t="s">
        <v>45</v>
      </c>
      <c r="Z300" s="6">
        <f>Z36*AC265</f>
        <v>8.4579874585860926E-7</v>
      </c>
    </row>
    <row r="301" spans="1:53" outlineLevel="1" x14ac:dyDescent="0.35">
      <c r="A301" s="6" t="s">
        <v>116</v>
      </c>
      <c r="B301" s="6">
        <f>B37</f>
        <v>9.6070786883955476E-5</v>
      </c>
      <c r="C301" s="6">
        <f t="shared" ref="C301:Z301" si="37">C37</f>
        <v>9.6016428409601275E-5</v>
      </c>
      <c r="D301" s="6">
        <f t="shared" si="37"/>
        <v>9.5962527890161163E-5</v>
      </c>
      <c r="E301" s="6">
        <f t="shared" si="37"/>
        <v>9.5821625581055684E-5</v>
      </c>
      <c r="F301" s="6">
        <f t="shared" si="37"/>
        <v>9.5768194891296198E-5</v>
      </c>
      <c r="G301" s="6">
        <f t="shared" si="37"/>
        <v>9.5714894517826495E-5</v>
      </c>
      <c r="H301" s="6">
        <f t="shared" si="37"/>
        <v>9.5829318269014544E-5</v>
      </c>
      <c r="I301" s="6">
        <f t="shared" si="37"/>
        <v>9.5944316101698841E-5</v>
      </c>
      <c r="J301" s="6">
        <f t="shared" si="37"/>
        <v>9.6077521965996801E-5</v>
      </c>
      <c r="K301" s="6">
        <f t="shared" si="37"/>
        <v>9.6195219555553151E-5</v>
      </c>
      <c r="L301" s="6">
        <f t="shared" si="37"/>
        <v>9.6313368095030094E-5</v>
      </c>
      <c r="M301" s="6">
        <f t="shared" si="37"/>
        <v>9.6511421650812896E-5</v>
      </c>
      <c r="N301" s="6">
        <f t="shared" si="37"/>
        <v>9.671044208302645E-5</v>
      </c>
      <c r="O301" s="6">
        <f t="shared" si="37"/>
        <v>9.6946278507602522E-5</v>
      </c>
      <c r="P301" s="6">
        <f t="shared" si="37"/>
        <v>9.7149093242206546E-5</v>
      </c>
      <c r="Q301" s="6">
        <f t="shared" si="37"/>
        <v>9.7352908438601063E-5</v>
      </c>
      <c r="R301" s="6">
        <f t="shared" si="37"/>
        <v>9.7212532427216441E-5</v>
      </c>
      <c r="S301" s="6">
        <f t="shared" si="37"/>
        <v>9.7071207211998637E-5</v>
      </c>
      <c r="T301" s="6">
        <f t="shared" si="37"/>
        <v>9.6952281836548256E-5</v>
      </c>
      <c r="U301" s="6">
        <f t="shared" si="37"/>
        <v>9.6808926553165625E-5</v>
      </c>
      <c r="V301" s="6">
        <f t="shared" si="37"/>
        <v>9.6664412972092932E-5</v>
      </c>
      <c r="W301" s="6">
        <f t="shared" si="37"/>
        <v>9.6376407293463591E-5</v>
      </c>
      <c r="X301" s="6">
        <f t="shared" si="37"/>
        <v>9.6065907940071931E-5</v>
      </c>
      <c r="Y301" s="6">
        <f t="shared" si="37"/>
        <v>9.5753741921939916E-5</v>
      </c>
      <c r="Z301" s="6">
        <f t="shared" si="37"/>
        <v>9.5439879467151915E-5</v>
      </c>
    </row>
    <row r="302" spans="1:53" outlineLevel="1" x14ac:dyDescent="0.35">
      <c r="A302" s="6" t="s">
        <v>758</v>
      </c>
      <c r="B302" s="6">
        <f>B38*$AC$265</f>
        <v>1.2109631907529534E-4</v>
      </c>
      <c r="C302" s="6">
        <f t="shared" ref="C302:Z303" si="38">C38*$AC$265</f>
        <v>1.2082343799660154E-4</v>
      </c>
      <c r="D302" s="6">
        <f t="shared" si="38"/>
        <v>1.2055022165994736E-4</v>
      </c>
      <c r="E302" s="6">
        <f t="shared" si="38"/>
        <v>1.202618083486462E-4</v>
      </c>
      <c r="F302" s="6">
        <f t="shared" si="38"/>
        <v>1.199877340687818E-4</v>
      </c>
      <c r="G302" s="6">
        <f t="shared" si="38"/>
        <v>1.1971320269733625E-4</v>
      </c>
      <c r="H302" s="6">
        <f t="shared" si="38"/>
        <v>1.2636525898809136E-4</v>
      </c>
      <c r="I302" s="6">
        <f t="shared" si="38"/>
        <v>1.3298924874594959E-4</v>
      </c>
      <c r="J302" s="6">
        <f t="shared" si="38"/>
        <v>1.3958940048574699E-4</v>
      </c>
      <c r="K302" s="6">
        <f t="shared" si="38"/>
        <v>1.4616441472427275E-4</v>
      </c>
      <c r="L302" s="6">
        <f t="shared" si="38"/>
        <v>1.5271254905887096E-4</v>
      </c>
      <c r="M302" s="6">
        <f t="shared" si="38"/>
        <v>1.652685676093333E-4</v>
      </c>
      <c r="N302" s="6">
        <f t="shared" si="38"/>
        <v>1.7782669986245953E-4</v>
      </c>
      <c r="O302" s="6">
        <f t="shared" si="38"/>
        <v>1.9039514316085011E-4</v>
      </c>
      <c r="P302" s="6">
        <f t="shared" si="38"/>
        <v>2.0295759552319941E-4</v>
      </c>
      <c r="Q302" s="6">
        <f t="shared" si="38"/>
        <v>2.155223914374185E-4</v>
      </c>
      <c r="R302" s="6">
        <f t="shared" si="38"/>
        <v>2.1636815550879436E-4</v>
      </c>
      <c r="S302" s="6">
        <f t="shared" si="38"/>
        <v>2.1721122654958051E-4</v>
      </c>
      <c r="T302" s="6">
        <f t="shared" si="38"/>
        <v>2.1805673539084734E-4</v>
      </c>
      <c r="U302" s="6">
        <f t="shared" si="38"/>
        <v>2.1889445976787044E-4</v>
      </c>
      <c r="V302" s="6">
        <f t="shared" si="38"/>
        <v>2.1972959714055694E-4</v>
      </c>
      <c r="W302" s="6">
        <f t="shared" si="38"/>
        <v>2.1442352391606875E-4</v>
      </c>
      <c r="X302" s="6">
        <f t="shared" si="38"/>
        <v>2.0890345292681804E-4</v>
      </c>
      <c r="Y302" s="6">
        <f t="shared" si="38"/>
        <v>2.0338661651041331E-4</v>
      </c>
      <c r="Z302" s="6">
        <f t="shared" si="38"/>
        <v>1.978728906200919E-4</v>
      </c>
    </row>
    <row r="303" spans="1:53" outlineLevel="1" x14ac:dyDescent="0.35">
      <c r="A303" s="6" t="s">
        <v>759</v>
      </c>
      <c r="B303" s="6">
        <f>B39*$AC$265</f>
        <v>1.0368000147309429E-7</v>
      </c>
      <c r="C303" s="6">
        <f t="shared" si="38"/>
        <v>1.0368000147309429E-7</v>
      </c>
      <c r="D303" s="6">
        <f t="shared" si="38"/>
        <v>1.0368000147309429E-7</v>
      </c>
      <c r="E303" s="6">
        <f t="shared" si="38"/>
        <v>1.0368000147309429E-7</v>
      </c>
      <c r="F303" s="6">
        <f t="shared" si="38"/>
        <v>1.0368000147309429E-7</v>
      </c>
      <c r="G303" s="6">
        <f t="shared" si="38"/>
        <v>1.0368000147309429E-7</v>
      </c>
      <c r="H303" s="6">
        <f t="shared" si="38"/>
        <v>1.0368000147309429E-7</v>
      </c>
      <c r="I303" s="6">
        <f t="shared" si="38"/>
        <v>1.0368000147309429E-7</v>
      </c>
      <c r="J303" s="6">
        <f t="shared" si="38"/>
        <v>1.0368000147309429E-7</v>
      </c>
      <c r="K303" s="6">
        <f t="shared" si="38"/>
        <v>1.0368000147309429E-7</v>
      </c>
      <c r="L303" s="6">
        <f t="shared" si="38"/>
        <v>1.0368000147309429E-7</v>
      </c>
      <c r="M303" s="6">
        <f t="shared" si="38"/>
        <v>1.0368000147309429E-7</v>
      </c>
      <c r="N303" s="6">
        <f t="shared" si="38"/>
        <v>1.0368000147309429E-7</v>
      </c>
      <c r="O303" s="6">
        <f t="shared" si="38"/>
        <v>1.0368000147309429E-7</v>
      </c>
      <c r="P303" s="6">
        <f t="shared" si="38"/>
        <v>1.0368000147309429E-7</v>
      </c>
      <c r="Q303" s="6">
        <f t="shared" si="38"/>
        <v>1.0368000147309429E-7</v>
      </c>
      <c r="R303" s="6">
        <f t="shared" si="38"/>
        <v>1.0368000147309429E-7</v>
      </c>
      <c r="S303" s="6">
        <f t="shared" si="38"/>
        <v>1.0368000147309429E-7</v>
      </c>
      <c r="T303" s="6">
        <f t="shared" si="38"/>
        <v>1.0368000147309429E-7</v>
      </c>
      <c r="U303" s="6">
        <f t="shared" si="38"/>
        <v>1.0368000147309429E-7</v>
      </c>
      <c r="V303" s="6">
        <f t="shared" si="38"/>
        <v>1.0368000147309429E-7</v>
      </c>
      <c r="W303" s="6">
        <f t="shared" si="38"/>
        <v>1.0368000147309429E-7</v>
      </c>
      <c r="X303" s="6">
        <f t="shared" si="38"/>
        <v>1.0368000147309429E-7</v>
      </c>
      <c r="Y303" s="6">
        <f t="shared" si="38"/>
        <v>1.0368000147309429E-7</v>
      </c>
      <c r="Z303" s="6">
        <f t="shared" si="38"/>
        <v>1.0368000147309429E-7</v>
      </c>
    </row>
    <row r="304" spans="1:53" outlineLevel="1" x14ac:dyDescent="0.35">
      <c r="A304" s="6" t="s">
        <v>760</v>
      </c>
      <c r="B304" s="6">
        <f>$B$252*$AC$264*'Results - raw data ReCiPe (E)'!AC114/(1-0.5)*(1+'Results ReCiPe (E) - HHD'!$AC$271/'Results ReCiPe (E) - HHD'!$AC$272-'Results ReCiPe (E) - HHD'!$AC$271)</f>
        <v>1.2110720581202672E-3</v>
      </c>
      <c r="C304" s="6">
        <f>$B$252*$AC$264*'Results - raw data ReCiPe (E)'!AD114/(1-0.5)*(1+'Results ReCiPe (E) - HHD'!$AC$271/'Results ReCiPe (E) - HHD'!$AC$272-'Results ReCiPe (E) - HHD'!$AC$271)</f>
        <v>1.2106697541233353E-3</v>
      </c>
      <c r="D304" s="6">
        <f>$B$252*$AC$264*'Results - raw data ReCiPe (E)'!AE114/(1-0.5)*(1+'Results ReCiPe (E) - HHD'!$AC$271/'Results ReCiPe (E) - HHD'!$AC$272-'Results ReCiPe (E) - HHD'!$AC$271)</f>
        <v>1.2102843027412631E-3</v>
      </c>
      <c r="E304" s="6">
        <f>$B$252*$AC$264*'Results - raw data ReCiPe (E)'!AF114/(1-0.5)*(1+'Results ReCiPe (E) - HHD'!$AC$271/'Results ReCiPe (E) - HHD'!$AC$272-'Results ReCiPe (E) - HHD'!$AC$271)</f>
        <v>1.2094896250673414E-3</v>
      </c>
      <c r="F304" s="6">
        <f>$B$252*$AC$264*'Results - raw data ReCiPe (E)'!AG114/(1-0.5)*(1+'Results ReCiPe (E) - HHD'!$AC$271/'Results ReCiPe (E) - HHD'!$AC$272-'Results ReCiPe (E) - HHD'!$AC$271)</f>
        <v>1.2091395633602685E-3</v>
      </c>
      <c r="G304" s="6">
        <f>$B$252*$AC$264*'Results - raw data ReCiPe (E)'!AH114/(1-0.5)*(1+'Results ReCiPe (E) - HHD'!$AC$271/'Results ReCiPe (E) - HHD'!$AC$272-'Results ReCiPe (E) - HHD'!$AC$271)</f>
        <v>1.2088003005478623E-3</v>
      </c>
      <c r="H304" s="6">
        <f>$B$252*$AC$264*'Results - raw data ReCiPe (E)'!AI114/(1-0.5)*(1+'Results ReCiPe (E) - HHD'!$AC$271/'Results ReCiPe (E) - HHD'!$AC$272-'Results ReCiPe (E) - HHD'!$AC$271)</f>
        <v>1.208750600878537E-3</v>
      </c>
      <c r="I304" s="6">
        <f>$B$252*$AC$264*'Results - raw data ReCiPe (E)'!AJ114/(1-0.5)*(1+'Results ReCiPe (E) - HHD'!$AC$271/'Results ReCiPe (E) - HHD'!$AC$272-'Results ReCiPe (E) - HHD'!$AC$271)</f>
        <v>1.2087409606091881E-3</v>
      </c>
      <c r="J304" s="6">
        <f>$B$252*$AC$264*'Results - raw data ReCiPe (E)'!AK114/(1-0.5)*(1+'Results ReCiPe (E) - HHD'!$AC$271/'Results ReCiPe (E) - HHD'!$AC$272-'Results ReCiPe (E) - HHD'!$AC$271)</f>
        <v>1.2088459281945289E-3</v>
      </c>
      <c r="K304" s="6">
        <f>$B$252*$AC$264*'Results - raw data ReCiPe (E)'!AL114/(1-0.5)*(1+'Results ReCiPe (E) - HHD'!$AC$271/'Results ReCiPe (E) - HHD'!$AC$272-'Results ReCiPe (E) - HHD'!$AC$271)</f>
        <v>1.2089105186564768E-3</v>
      </c>
      <c r="L304" s="6">
        <f>$B$252*$AC$264*'Results - raw data ReCiPe (E)'!AM114/(1-0.5)*(1+'Results ReCiPe (E) - HHD'!$AC$271/'Results ReCiPe (E) - HHD'!$AC$272-'Results ReCiPe (E) - HHD'!$AC$271)</f>
        <v>1.2090031015802825E-3</v>
      </c>
      <c r="M304" s="6">
        <f>$B$252*$AC$264*'Results - raw data ReCiPe (E)'!AN114/(1-0.5)*(1+'Results ReCiPe (E) - HHD'!$AC$271/'Results ReCiPe (E) - HHD'!$AC$272-'Results ReCiPe (E) - HHD'!$AC$271)</f>
        <v>1.2094331767231413E-3</v>
      </c>
      <c r="N304" s="6">
        <f>$B$252*$AC$264*'Results - raw data ReCiPe (E)'!AO114/(1-0.5)*(1+'Results ReCiPe (E) - HHD'!$AC$271/'Results ReCiPe (E) - HHD'!$AC$272-'Results ReCiPe (E) - HHD'!$AC$271)</f>
        <v>1.209895081102651E-3</v>
      </c>
      <c r="O304" s="6">
        <f>$B$252*$AC$264*'Results - raw data ReCiPe (E)'!AP114/(1-0.5)*(1+'Results ReCiPe (E) - HHD'!$AC$271/'Results ReCiPe (E) - HHD'!$AC$272-'Results ReCiPe (E) - HHD'!$AC$271)</f>
        <v>1.2105799053508731E-3</v>
      </c>
      <c r="P304" s="6">
        <f>$B$252*$AC$264*'Results - raw data ReCiPe (E)'!AQ114/(1-0.5)*(1+'Results ReCiPe (E) - HHD'!$AC$271/'Results ReCiPe (E) - HHD'!$AC$272-'Results ReCiPe (E) - HHD'!$AC$271)</f>
        <v>1.2111050392835711E-3</v>
      </c>
      <c r="Q304" s="6">
        <f>$B$252*$AC$264*'Results - raw data ReCiPe (E)'!AR114/(1-0.5)*(1+'Results ReCiPe (E) - HHD'!$AC$271/'Results ReCiPe (E) - HHD'!$AC$272-'Results ReCiPe (E) - HHD'!$AC$271)</f>
        <v>1.2116717988477808E-3</v>
      </c>
      <c r="R304" s="6">
        <f>$B$252*$AC$264*'Results - raw data ReCiPe (E)'!AS114/(1-0.5)*(1+'Results ReCiPe (E) - HHD'!$AC$271/'Results ReCiPe (E) - HHD'!$AC$272-'Results ReCiPe (E) - HHD'!$AC$271)</f>
        <v>1.2111296218216099E-3</v>
      </c>
      <c r="S304" s="6">
        <f>$B$252*$AC$264*'Results - raw data ReCiPe (E)'!AT114/(1-0.5)*(1+'Results ReCiPe (E) - HHD'!$AC$271/'Results ReCiPe (E) - HHD'!$AC$272-'Results ReCiPe (E) - HHD'!$AC$271)</f>
        <v>1.2105860738505553E-3</v>
      </c>
      <c r="T304" s="6">
        <f>$B$252*$AC$264*'Results - raw data ReCiPe (E)'!AU114/(1-0.5)*(1+'Results ReCiPe (E) - HHD'!$AC$271/'Results ReCiPe (E) - HHD'!$AC$272-'Results ReCiPe (E) - HHD'!$AC$271)</f>
        <v>1.2101731688105089E-3</v>
      </c>
      <c r="U304" s="6">
        <f>$B$252*$AC$264*'Results - raw data ReCiPe (E)'!AV114/(1-0.5)*(1+'Results ReCiPe (E) - HHD'!$AC$271/'Results ReCiPe (E) - HHD'!$AC$272-'Results ReCiPe (E) - HHD'!$AC$271)</f>
        <v>1.2096241904409925E-3</v>
      </c>
      <c r="V304" s="6">
        <f>$B$252*$AC$264*'Results - raw data ReCiPe (E)'!AW114/(1-0.5)*(1+'Results ReCiPe (E) - HHD'!$AC$271/'Results ReCiPe (E) - HHD'!$AC$272-'Results ReCiPe (E) - HHD'!$AC$271)</f>
        <v>1.209071390517042E-3</v>
      </c>
      <c r="W304" s="6">
        <f>$B$252*$AC$264*'Results - raw data ReCiPe (E)'!AX114/(1-0.5)*(1+'Results ReCiPe (E) - HHD'!$AC$271/'Results ReCiPe (E) - HHD'!$AC$272-'Results ReCiPe (E) - HHD'!$AC$271)</f>
        <v>1.2081664911861496E-3</v>
      </c>
      <c r="X304" s="6">
        <f>$B$252*$AC$264*'Results - raw data ReCiPe (E)'!AY114/(1-0.5)*(1+'Results ReCiPe (E) - HHD'!$AC$271/'Results ReCiPe (E) - HHD'!$AC$272-'Results ReCiPe (E) - HHD'!$AC$271)</f>
        <v>1.2070836244316993E-3</v>
      </c>
      <c r="Y304" s="6">
        <f>$B$252*$AC$264*'Results - raw data ReCiPe (E)'!AZ114/(1-0.5)*(1+'Results ReCiPe (E) - HHD'!$AC$271/'Results ReCiPe (E) - HHD'!$AC$272-'Results ReCiPe (E) - HHD'!$AC$271)</f>
        <v>1.2059946627718966E-3</v>
      </c>
      <c r="Z304" s="6">
        <f>$B$252*$AC$264*'Results - raw data ReCiPe (E)'!BA114/(1-0.5)*(1+'Results ReCiPe (E) - HHD'!$AC$271/'Results ReCiPe (E) - HHD'!$AC$272-'Results ReCiPe (E) - HHD'!$AC$271)</f>
        <v>1.2048993065509885E-3</v>
      </c>
    </row>
    <row r="305" spans="1:26" outlineLevel="1" x14ac:dyDescent="0.35">
      <c r="A305" s="6" t="s">
        <v>797</v>
      </c>
      <c r="B305" s="6">
        <f>$B$260*$AC$264</f>
        <v>1.9926666043942618E-3</v>
      </c>
      <c r="C305" s="6">
        <f t="shared" ref="C305:Z305" si="39">$B$260*$AC$264</f>
        <v>1.9926666043942618E-3</v>
      </c>
      <c r="D305" s="6">
        <f t="shared" si="39"/>
        <v>1.9926666043942618E-3</v>
      </c>
      <c r="E305" s="6">
        <f t="shared" si="39"/>
        <v>1.9926666043942618E-3</v>
      </c>
      <c r="F305" s="6">
        <f t="shared" si="39"/>
        <v>1.9926666043942618E-3</v>
      </c>
      <c r="G305" s="6">
        <f t="shared" si="39"/>
        <v>1.9926666043942618E-3</v>
      </c>
      <c r="H305" s="6">
        <f t="shared" si="39"/>
        <v>1.9926666043942618E-3</v>
      </c>
      <c r="I305" s="6">
        <f t="shared" si="39"/>
        <v>1.9926666043942618E-3</v>
      </c>
      <c r="J305" s="6">
        <f t="shared" si="39"/>
        <v>1.9926666043942618E-3</v>
      </c>
      <c r="K305" s="6">
        <f t="shared" si="39"/>
        <v>1.9926666043942618E-3</v>
      </c>
      <c r="L305" s="6">
        <f t="shared" si="39"/>
        <v>1.9926666043942618E-3</v>
      </c>
      <c r="M305" s="6">
        <f t="shared" si="39"/>
        <v>1.9926666043942618E-3</v>
      </c>
      <c r="N305" s="6">
        <f t="shared" si="39"/>
        <v>1.9926666043942618E-3</v>
      </c>
      <c r="O305" s="6">
        <f t="shared" si="39"/>
        <v>1.9926666043942618E-3</v>
      </c>
      <c r="P305" s="6">
        <f t="shared" si="39"/>
        <v>1.9926666043942618E-3</v>
      </c>
      <c r="Q305" s="6">
        <f t="shared" si="39"/>
        <v>1.9926666043942618E-3</v>
      </c>
      <c r="R305" s="6">
        <f t="shared" si="39"/>
        <v>1.9926666043942618E-3</v>
      </c>
      <c r="S305" s="6">
        <f t="shared" si="39"/>
        <v>1.9926666043942618E-3</v>
      </c>
      <c r="T305" s="6">
        <f t="shared" si="39"/>
        <v>1.9926666043942618E-3</v>
      </c>
      <c r="U305" s="6">
        <f t="shared" si="39"/>
        <v>1.9926666043942618E-3</v>
      </c>
      <c r="V305" s="6">
        <f t="shared" si="39"/>
        <v>1.9926666043942618E-3</v>
      </c>
      <c r="W305" s="6">
        <f t="shared" si="39"/>
        <v>1.9926666043942618E-3</v>
      </c>
      <c r="X305" s="6">
        <f t="shared" si="39"/>
        <v>1.9926666043942618E-3</v>
      </c>
      <c r="Y305" s="6">
        <f t="shared" si="39"/>
        <v>1.9926666043942618E-3</v>
      </c>
      <c r="Z305" s="6">
        <f t="shared" si="39"/>
        <v>1.9926666043942618E-3</v>
      </c>
    </row>
    <row r="306" spans="1:26" outlineLevel="1" x14ac:dyDescent="0.35">
      <c r="A306" s="23" t="s">
        <v>125</v>
      </c>
      <c r="B306" s="17">
        <f t="shared" ref="B306:Z306" si="40">SUM(B274:B304)</f>
        <v>8.8580130297887805E-3</v>
      </c>
      <c r="C306" s="17">
        <f t="shared" si="40"/>
        <v>1.4276133005310112E-3</v>
      </c>
      <c r="D306" s="17">
        <f t="shared" si="40"/>
        <v>1.4269007322928447E-3</v>
      </c>
      <c r="E306" s="17">
        <f t="shared" si="40"/>
        <v>1.4256767389985163E-3</v>
      </c>
      <c r="F306" s="17">
        <f t="shared" si="40"/>
        <v>1.4249991723218197E-3</v>
      </c>
      <c r="G306" s="17">
        <f t="shared" si="40"/>
        <v>1.4243320777644981E-3</v>
      </c>
      <c r="H306" s="17">
        <f t="shared" si="40"/>
        <v>1.4310488581371159E-3</v>
      </c>
      <c r="I306" s="17">
        <f t="shared" si="40"/>
        <v>1.4377782054583097E-3</v>
      </c>
      <c r="J306" s="17">
        <f t="shared" si="40"/>
        <v>1.4446165306477457E-3</v>
      </c>
      <c r="K306" s="17">
        <f t="shared" si="40"/>
        <v>1.4513738329377758E-3</v>
      </c>
      <c r="L306" s="17">
        <f t="shared" si="40"/>
        <v>1.4581326987356566E-3</v>
      </c>
      <c r="M306" s="17">
        <f t="shared" si="40"/>
        <v>1.4713168459847606E-3</v>
      </c>
      <c r="N306" s="17">
        <f t="shared" si="40"/>
        <v>1.4845359030496101E-3</v>
      </c>
      <c r="O306" s="17">
        <f t="shared" si="40"/>
        <v>1.4980250070207989E-3</v>
      </c>
      <c r="P306" s="17">
        <f t="shared" si="40"/>
        <v>1.51131540805045E-3</v>
      </c>
      <c r="Q306" s="17">
        <f t="shared" si="40"/>
        <v>1.5246507787252735E-3</v>
      </c>
      <c r="R306" s="17">
        <f t="shared" si="40"/>
        <v>1.5248139897590938E-3</v>
      </c>
      <c r="S306" s="17">
        <f t="shared" si="40"/>
        <v>1.5249721876136075E-3</v>
      </c>
      <c r="T306" s="17">
        <f t="shared" si="40"/>
        <v>1.5252858660393777E-3</v>
      </c>
      <c r="U306" s="17">
        <f t="shared" si="40"/>
        <v>1.5254312567635016E-3</v>
      </c>
      <c r="V306" s="17">
        <f t="shared" si="40"/>
        <v>1.525569080631165E-3</v>
      </c>
      <c r="W306" s="17">
        <f t="shared" si="40"/>
        <v>1.519070102397155E-3</v>
      </c>
      <c r="X306" s="17">
        <f t="shared" si="40"/>
        <v>1.5121566653000624E-3</v>
      </c>
      <c r="Y306" s="17">
        <f t="shared" si="40"/>
        <v>1.5052387012057229E-3</v>
      </c>
      <c r="Z306" s="17">
        <f t="shared" si="40"/>
        <v>1.5917181359250774E-3</v>
      </c>
    </row>
    <row r="307" spans="1:26" outlineLevel="1" x14ac:dyDescent="0.35"/>
    <row r="308" spans="1:26" s="18" customFormat="1" ht="21" x14ac:dyDescent="0.5">
      <c r="A308" s="18" t="s">
        <v>73</v>
      </c>
    </row>
    <row r="309" spans="1:26" s="20" customFormat="1" outlineLevel="1" x14ac:dyDescent="0.35">
      <c r="A309" s="19" t="s">
        <v>788</v>
      </c>
    </row>
    <row r="310" spans="1:26" s="20" customFormat="1" outlineLevel="1" x14ac:dyDescent="0.35">
      <c r="A310" s="273" t="s">
        <v>775</v>
      </c>
      <c r="B310" s="20">
        <v>1</v>
      </c>
      <c r="C310" s="274" t="s">
        <v>787</v>
      </c>
    </row>
    <row r="311" spans="1:26" s="20" customFormat="1" outlineLevel="1" x14ac:dyDescent="0.35">
      <c r="A311" s="273" t="s">
        <v>781</v>
      </c>
      <c r="B311" s="20">
        <v>100000</v>
      </c>
      <c r="C311" s="20" t="s">
        <v>782</v>
      </c>
      <c r="E311" s="274"/>
    </row>
    <row r="312" spans="1:26" s="20" customFormat="1" outlineLevel="1" x14ac:dyDescent="0.35">
      <c r="A312" s="273" t="s">
        <v>783</v>
      </c>
      <c r="B312" s="20">
        <v>1500</v>
      </c>
      <c r="C312" s="20" t="s">
        <v>592</v>
      </c>
    </row>
    <row r="313" spans="1:26" s="20" customFormat="1" outlineLevel="1" x14ac:dyDescent="0.35">
      <c r="A313" s="273" t="s">
        <v>784</v>
      </c>
      <c r="B313" s="20">
        <v>8760</v>
      </c>
      <c r="C313" s="20" t="s">
        <v>785</v>
      </c>
    </row>
    <row r="314" spans="1:26" s="20" customFormat="1" outlineLevel="1" x14ac:dyDescent="0.35">
      <c r="A314" s="273"/>
    </row>
    <row r="315" spans="1:26" s="20" customFormat="1" outlineLevel="1" x14ac:dyDescent="0.35">
      <c r="A315" s="275" t="s">
        <v>786</v>
      </c>
      <c r="B315" s="275">
        <f>(B311*B312)/(B313*B310)</f>
        <v>17123.287671232876</v>
      </c>
      <c r="C315" s="275" t="s">
        <v>749</v>
      </c>
    </row>
    <row r="316" spans="1:26" s="20" customFormat="1" outlineLevel="1" x14ac:dyDescent="0.35">
      <c r="A316" s="19"/>
    </row>
    <row r="317" spans="1:26" s="20" customFormat="1" outlineLevel="1" x14ac:dyDescent="0.35">
      <c r="A317" s="19" t="s">
        <v>793</v>
      </c>
    </row>
    <row r="318" spans="1:26" s="20" customFormat="1" outlineLevel="1" x14ac:dyDescent="0.35">
      <c r="A318" s="273" t="s">
        <v>789</v>
      </c>
      <c r="B318" s="20">
        <f>SUM('Results - raw data ReCiPe (E)'!AC146:AC147)+'Results - raw data ReCiPe (E)'!AC150+SUM('Results - raw data ReCiPe (E)'!AC148:AC149)*AC267</f>
        <v>3.8417884476539131E-4</v>
      </c>
      <c r="C318" s="20" t="s">
        <v>919</v>
      </c>
    </row>
    <row r="319" spans="1:26" s="20" customFormat="1" outlineLevel="1" x14ac:dyDescent="0.35">
      <c r="A319" s="20" t="s">
        <v>792</v>
      </c>
      <c r="B319" s="20">
        <f>B311*AC325</f>
        <v>50000</v>
      </c>
      <c r="C319" s="274" t="s">
        <v>795</v>
      </c>
    </row>
    <row r="320" spans="1:26" s="20" customFormat="1" outlineLevel="1" x14ac:dyDescent="0.35">
      <c r="A320" s="20" t="s">
        <v>791</v>
      </c>
      <c r="B320" s="20">
        <f>(B318*AC327*B315)/(B319*AC326)*(AC326/AC328)</f>
        <v>3.9470429256718285E-5</v>
      </c>
      <c r="C320" s="20" t="s">
        <v>920</v>
      </c>
      <c r="E320" s="274" t="s">
        <v>796</v>
      </c>
    </row>
    <row r="321" spans="1:53" s="20" customFormat="1" outlineLevel="1" x14ac:dyDescent="0.35">
      <c r="A321" s="19"/>
    </row>
    <row r="322" spans="1:53" s="16" customFormat="1" outlineLevel="1" x14ac:dyDescent="0.35">
      <c r="A322" s="21"/>
      <c r="AB322" s="15" t="s">
        <v>143</v>
      </c>
      <c r="AC322" s="16">
        <f>0.000000025+0.000000000000682</f>
        <v>2.5000681999999998E-8</v>
      </c>
      <c r="AD322" s="16" t="s">
        <v>916</v>
      </c>
      <c r="AE322" s="15" t="s">
        <v>714</v>
      </c>
    </row>
    <row r="323" spans="1:53" s="16" customFormat="1" outlineLevel="1" x14ac:dyDescent="0.35">
      <c r="A323" s="22" t="s">
        <v>917</v>
      </c>
      <c r="AC323" s="16">
        <f>AC322*1000</f>
        <v>2.5000681999999997E-5</v>
      </c>
      <c r="AD323" s="16" t="s">
        <v>918</v>
      </c>
    </row>
    <row r="324" spans="1:53" s="16" customFormat="1" outlineLevel="1" x14ac:dyDescent="0.35">
      <c r="A324" s="22"/>
      <c r="AB324" s="16" t="s">
        <v>127</v>
      </c>
      <c r="AC324" s="16">
        <f>100*AC325</f>
        <v>50</v>
      </c>
      <c r="AD324" s="16" t="s">
        <v>128</v>
      </c>
    </row>
    <row r="325" spans="1:53" s="16" customFormat="1" outlineLevel="1" x14ac:dyDescent="0.35">
      <c r="A325" s="230"/>
      <c r="AB325" s="16" t="s">
        <v>776</v>
      </c>
      <c r="AC325" s="16">
        <v>0.5</v>
      </c>
    </row>
    <row r="326" spans="1:53" s="16" customFormat="1" outlineLevel="1" x14ac:dyDescent="0.35">
      <c r="A326" s="21"/>
      <c r="AB326" s="16" t="s">
        <v>129</v>
      </c>
      <c r="AC326" s="16">
        <v>25</v>
      </c>
      <c r="AD326" s="16" t="s">
        <v>130</v>
      </c>
    </row>
    <row r="327" spans="1:53" s="16" customFormat="1" outlineLevel="1" x14ac:dyDescent="0.35">
      <c r="A327" s="21"/>
      <c r="AB327" s="16" t="s">
        <v>777</v>
      </c>
      <c r="AC327" s="16">
        <v>6</v>
      </c>
      <c r="AD327" s="16" t="s">
        <v>779</v>
      </c>
    </row>
    <row r="328" spans="1:53" s="16" customFormat="1" outlineLevel="1" x14ac:dyDescent="0.35">
      <c r="A328" s="21"/>
      <c r="AB328" s="16" t="s">
        <v>778</v>
      </c>
      <c r="AC328" s="16">
        <v>20</v>
      </c>
      <c r="AD328" s="16" t="s">
        <v>130</v>
      </c>
    </row>
    <row r="329" spans="1:53" s="16" customFormat="1" outlineLevel="1" x14ac:dyDescent="0.35">
      <c r="AB329" s="16" t="s">
        <v>780</v>
      </c>
      <c r="AC329" s="16">
        <f>B315</f>
        <v>17123.287671232876</v>
      </c>
      <c r="AD329" s="16" t="s">
        <v>749</v>
      </c>
    </row>
    <row r="330" spans="1:53" s="16" customFormat="1" outlineLevel="1" x14ac:dyDescent="0.35"/>
    <row r="331" spans="1:53" s="16" customFormat="1" outlineLevel="1" x14ac:dyDescent="0.35">
      <c r="AB331" s="16" t="s">
        <v>798</v>
      </c>
      <c r="AC331" s="16">
        <v>0.25</v>
      </c>
    </row>
    <row r="332" spans="1:53" s="16" customFormat="1" outlineLevel="1" x14ac:dyDescent="0.35">
      <c r="A332" s="22"/>
      <c r="AB332" s="16" t="s">
        <v>799</v>
      </c>
      <c r="AC332" s="16">
        <v>0.9</v>
      </c>
    </row>
    <row r="333" spans="1:53" outlineLevel="1" x14ac:dyDescent="0.35">
      <c r="B333" s="25">
        <v>2030</v>
      </c>
      <c r="C333" s="25">
        <v>2031</v>
      </c>
      <c r="D333" s="25">
        <v>2032</v>
      </c>
      <c r="E333" s="25">
        <v>2033</v>
      </c>
      <c r="F333" s="25">
        <v>2034</v>
      </c>
      <c r="G333" s="25">
        <v>2035</v>
      </c>
      <c r="H333" s="25">
        <v>2036</v>
      </c>
      <c r="I333" s="25">
        <v>2037</v>
      </c>
      <c r="J333" s="25">
        <v>2038</v>
      </c>
      <c r="K333" s="25">
        <v>2039</v>
      </c>
      <c r="L333" s="25">
        <v>2040</v>
      </c>
      <c r="M333" s="25">
        <v>2041</v>
      </c>
      <c r="N333" s="25">
        <v>2042</v>
      </c>
      <c r="O333" s="25">
        <v>2043</v>
      </c>
      <c r="P333" s="25">
        <v>2044</v>
      </c>
      <c r="Q333" s="25">
        <v>2045</v>
      </c>
      <c r="R333" s="25">
        <v>2046</v>
      </c>
      <c r="S333" s="25">
        <v>2047</v>
      </c>
      <c r="T333" s="25">
        <v>2048</v>
      </c>
      <c r="U333" s="25">
        <v>2049</v>
      </c>
      <c r="V333" s="25">
        <v>2050</v>
      </c>
      <c r="W333" s="25">
        <v>2051</v>
      </c>
      <c r="X333" s="25">
        <v>2052</v>
      </c>
      <c r="Y333" s="25">
        <v>2053</v>
      </c>
      <c r="Z333" s="25">
        <v>2054</v>
      </c>
      <c r="AC333" s="25">
        <v>2030</v>
      </c>
      <c r="AD333" s="25">
        <v>2031</v>
      </c>
      <c r="AE333" s="25">
        <v>2032</v>
      </c>
      <c r="AF333" s="25">
        <v>2033</v>
      </c>
      <c r="AG333" s="25">
        <v>2034</v>
      </c>
      <c r="AH333" s="25">
        <v>2035</v>
      </c>
      <c r="AI333" s="25">
        <v>2036</v>
      </c>
      <c r="AJ333" s="25">
        <v>2037</v>
      </c>
      <c r="AK333" s="25">
        <v>2038</v>
      </c>
      <c r="AL333" s="25">
        <v>2039</v>
      </c>
      <c r="AM333" s="25">
        <v>2040</v>
      </c>
      <c r="AN333" s="25">
        <v>2041</v>
      </c>
      <c r="AO333" s="25">
        <v>2042</v>
      </c>
      <c r="AP333" s="25">
        <v>2043</v>
      </c>
      <c r="AQ333" s="25">
        <v>2044</v>
      </c>
      <c r="AR333" s="25">
        <v>2045</v>
      </c>
      <c r="AS333" s="25">
        <v>2046</v>
      </c>
      <c r="AT333" s="25">
        <v>2047</v>
      </c>
      <c r="AU333" s="25">
        <v>2048</v>
      </c>
      <c r="AV333" s="25">
        <v>2049</v>
      </c>
      <c r="AW333" s="25">
        <v>2050</v>
      </c>
      <c r="AX333" s="25">
        <v>2051</v>
      </c>
      <c r="AY333" s="25">
        <v>2052</v>
      </c>
      <c r="AZ333" s="25">
        <v>2053</v>
      </c>
      <c r="BA333" s="25">
        <v>2054</v>
      </c>
    </row>
    <row r="334" spans="1:53" outlineLevel="1" x14ac:dyDescent="0.35">
      <c r="A334" s="6" t="s">
        <v>21</v>
      </c>
      <c r="B334" s="6">
        <f>B50</f>
        <v>9.7008535980434044E-5</v>
      </c>
      <c r="AB334" s="6" t="s">
        <v>117</v>
      </c>
      <c r="AC334" s="6">
        <f>SUM(B334:B345)+B347</f>
        <v>7.1918833226860945E-3</v>
      </c>
    </row>
    <row r="335" spans="1:53" outlineLevel="1" x14ac:dyDescent="0.35">
      <c r="A335" s="6" t="s">
        <v>23</v>
      </c>
      <c r="B335" s="6">
        <f t="shared" ref="B335:B345" si="41">B51</f>
        <v>1.853860983464347E-4</v>
      </c>
      <c r="AB335" s="6" t="s">
        <v>118</v>
      </c>
      <c r="AC335" s="6">
        <f>B346</f>
        <v>1.0626420341501008E-4</v>
      </c>
    </row>
    <row r="336" spans="1:53" outlineLevel="1" x14ac:dyDescent="0.35">
      <c r="A336" s="6" t="s">
        <v>26</v>
      </c>
      <c r="B336" s="6">
        <f t="shared" si="41"/>
        <v>3.8975441725594911E-4</v>
      </c>
      <c r="AB336" s="6" t="s">
        <v>119</v>
      </c>
      <c r="BA336" s="6">
        <f>SUM(Z348:Z359)</f>
        <v>8.8841262894916216E-5</v>
      </c>
    </row>
    <row r="337" spans="1:53" outlineLevel="1" x14ac:dyDescent="0.35">
      <c r="A337" s="6" t="s">
        <v>28</v>
      </c>
      <c r="B337" s="6">
        <f t="shared" si="41"/>
        <v>1.725424049662343E-4</v>
      </c>
      <c r="AB337" s="6" t="s">
        <v>120</v>
      </c>
      <c r="BA337" s="6">
        <f>Z360</f>
        <v>8.1972957009835161E-7</v>
      </c>
    </row>
    <row r="338" spans="1:53" outlineLevel="1" x14ac:dyDescent="0.35">
      <c r="A338" s="6" t="s">
        <v>29</v>
      </c>
      <c r="B338" s="6">
        <f t="shared" si="41"/>
        <v>3.1064510616099662E-4</v>
      </c>
      <c r="AB338" s="6" t="s">
        <v>121</v>
      </c>
      <c r="AC338" s="6">
        <f>B361</f>
        <v>9.4301611037095288E-5</v>
      </c>
      <c r="AF338" s="6">
        <f>E361</f>
        <v>9.2886477686598764E-5</v>
      </c>
      <c r="AI338" s="6">
        <f>H361</f>
        <v>9.1489785996520763E-5</v>
      </c>
      <c r="AL338" s="6">
        <f>K361</f>
        <v>9.0033315985642623E-5</v>
      </c>
      <c r="AO338" s="6">
        <f>N361</f>
        <v>8.8459173995158276E-5</v>
      </c>
      <c r="AR338" s="6">
        <f>Q361</f>
        <v>8.68753434169571E-5</v>
      </c>
      <c r="AU338" s="6">
        <f>T361</f>
        <v>8.5817679992132394E-5</v>
      </c>
      <c r="AX338" s="6">
        <f>W361</f>
        <v>8.506043847028737E-5</v>
      </c>
      <c r="BA338" s="6">
        <f>Z361</f>
        <v>8.4860138497287434E-5</v>
      </c>
    </row>
    <row r="339" spans="1:53" outlineLevel="1" x14ac:dyDescent="0.35">
      <c r="A339" s="6" t="s">
        <v>31</v>
      </c>
      <c r="B339" s="6">
        <f t="shared" si="41"/>
        <v>2.3411381129342671E-4</v>
      </c>
      <c r="AB339" s="6" t="s">
        <v>797</v>
      </c>
      <c r="AC339" s="6">
        <f>B365</f>
        <v>1.9735214628359143E-3</v>
      </c>
      <c r="AD339" s="6">
        <f t="shared" ref="AD339:BA339" si="42">C365</f>
        <v>1.9735214628359143E-3</v>
      </c>
      <c r="AE339" s="6">
        <f t="shared" si="42"/>
        <v>1.9735214628359143E-3</v>
      </c>
      <c r="AF339" s="6">
        <f t="shared" si="42"/>
        <v>1.9735214628359143E-3</v>
      </c>
      <c r="AG339" s="6">
        <f t="shared" si="42"/>
        <v>1.9735214628359143E-3</v>
      </c>
      <c r="AH339" s="6">
        <f t="shared" si="42"/>
        <v>1.9735214628359143E-3</v>
      </c>
      <c r="AI339" s="6">
        <f t="shared" si="42"/>
        <v>1.9735214628359143E-3</v>
      </c>
      <c r="AJ339" s="6">
        <f t="shared" si="42"/>
        <v>1.9735214628359143E-3</v>
      </c>
      <c r="AK339" s="6">
        <f t="shared" si="42"/>
        <v>1.9735214628359143E-3</v>
      </c>
      <c r="AL339" s="6">
        <f t="shared" si="42"/>
        <v>1.9735214628359143E-3</v>
      </c>
      <c r="AM339" s="6">
        <f t="shared" si="42"/>
        <v>1.9735214628359143E-3</v>
      </c>
      <c r="AN339" s="6">
        <f t="shared" si="42"/>
        <v>1.9735214628359143E-3</v>
      </c>
      <c r="AO339" s="6">
        <f t="shared" si="42"/>
        <v>1.9735214628359143E-3</v>
      </c>
      <c r="AP339" s="6">
        <f t="shared" si="42"/>
        <v>1.9735214628359143E-3</v>
      </c>
      <c r="AQ339" s="6">
        <f t="shared" si="42"/>
        <v>1.9735214628359143E-3</v>
      </c>
      <c r="AR339" s="6">
        <f t="shared" si="42"/>
        <v>1.9735214628359143E-3</v>
      </c>
      <c r="AS339" s="6">
        <f t="shared" si="42"/>
        <v>1.9735214628359143E-3</v>
      </c>
      <c r="AT339" s="6">
        <f t="shared" si="42"/>
        <v>1.9735214628359143E-3</v>
      </c>
      <c r="AU339" s="6">
        <f t="shared" si="42"/>
        <v>1.9735214628359143E-3</v>
      </c>
      <c r="AV339" s="6">
        <f t="shared" si="42"/>
        <v>1.9735214628359143E-3</v>
      </c>
      <c r="AW339" s="6">
        <f t="shared" si="42"/>
        <v>1.9735214628359143E-3</v>
      </c>
      <c r="AX339" s="6">
        <f t="shared" si="42"/>
        <v>1.9735214628359143E-3</v>
      </c>
      <c r="AY339" s="6">
        <f t="shared" si="42"/>
        <v>1.9735214628359143E-3</v>
      </c>
      <c r="AZ339" s="6">
        <f t="shared" si="42"/>
        <v>1.9735214628359143E-3</v>
      </c>
      <c r="BA339" s="6">
        <f t="shared" si="42"/>
        <v>1.9735214628359143E-3</v>
      </c>
    </row>
    <row r="340" spans="1:53" outlineLevel="1" x14ac:dyDescent="0.35">
      <c r="A340" s="6" t="s">
        <v>34</v>
      </c>
      <c r="B340" s="6">
        <f t="shared" si="41"/>
        <v>2.076012401221968E-4</v>
      </c>
      <c r="AB340" s="6" t="s">
        <v>122</v>
      </c>
      <c r="AC340" s="6">
        <f t="shared" ref="AC340:AV340" si="43">B364+B363</f>
        <v>1.1970827619491972E-3</v>
      </c>
      <c r="AD340" s="6">
        <f t="shared" si="43"/>
        <v>1.194325462868165E-3</v>
      </c>
      <c r="AE340" s="6">
        <f t="shared" si="43"/>
        <v>1.1915321092244775E-3</v>
      </c>
      <c r="AF340" s="6">
        <f t="shared" si="43"/>
        <v>1.1882927927586891E-3</v>
      </c>
      <c r="AG340" s="6">
        <f t="shared" si="43"/>
        <v>1.1854338312407738E-3</v>
      </c>
      <c r="AH340" s="6">
        <f t="shared" si="43"/>
        <v>1.1825354138834524E-3</v>
      </c>
      <c r="AI340" s="6">
        <f t="shared" si="43"/>
        <v>1.1799640778315558E-3</v>
      </c>
      <c r="AJ340" s="6">
        <f t="shared" si="43"/>
        <v>1.1775824528140965E-3</v>
      </c>
      <c r="AK340" s="6">
        <f t="shared" si="43"/>
        <v>1.1753456294021883E-3</v>
      </c>
      <c r="AL340" s="6">
        <f t="shared" si="43"/>
        <v>1.1730414879167371E-3</v>
      </c>
      <c r="AM340" s="6">
        <f t="shared" si="43"/>
        <v>1.1707160488769657E-3</v>
      </c>
      <c r="AN340" s="6">
        <f t="shared" si="43"/>
        <v>1.1689076444223213E-3</v>
      </c>
      <c r="AO340" s="6">
        <f t="shared" si="43"/>
        <v>1.1671196590984376E-3</v>
      </c>
      <c r="AP340" s="6">
        <f t="shared" si="43"/>
        <v>1.1654645123745711E-3</v>
      </c>
      <c r="AQ340" s="6">
        <f t="shared" si="43"/>
        <v>1.1637118284957568E-3</v>
      </c>
      <c r="AR340" s="6">
        <f t="shared" si="43"/>
        <v>1.1619739610434301E-3</v>
      </c>
      <c r="AS340" s="6">
        <f t="shared" si="43"/>
        <v>1.1608761188017745E-3</v>
      </c>
      <c r="AT340" s="6">
        <f t="shared" si="43"/>
        <v>1.1598045091423838E-3</v>
      </c>
      <c r="AU340" s="6">
        <f t="shared" si="43"/>
        <v>1.1588452606370529E-3</v>
      </c>
      <c r="AV340" s="6">
        <f t="shared" si="43"/>
        <v>1.1578238548216903E-3</v>
      </c>
      <c r="AW340" s="6">
        <f>V364</f>
        <v>1.1567367916455165E-3</v>
      </c>
      <c r="AX340" s="6">
        <f>W364</f>
        <v>1.1566087930818662E-3</v>
      </c>
      <c r="AY340" s="6">
        <f>X364</f>
        <v>1.156331049589484E-3</v>
      </c>
      <c r="AZ340" s="6">
        <f>Y364</f>
        <v>1.1560564465492946E-3</v>
      </c>
      <c r="BA340" s="6">
        <f>Z364</f>
        <v>1.15578520090902E-3</v>
      </c>
    </row>
    <row r="341" spans="1:53" outlineLevel="1" x14ac:dyDescent="0.35">
      <c r="A341" s="6" t="s">
        <v>36</v>
      </c>
      <c r="B341" s="6">
        <f t="shared" si="41"/>
        <v>1.8505843425287521E-4</v>
      </c>
      <c r="AB341" s="6" t="s">
        <v>123</v>
      </c>
      <c r="AC341" s="6">
        <f t="shared" ref="AC341:BA341" si="44">B362</f>
        <v>1.0600105488485415E-4</v>
      </c>
      <c r="AD341" s="6">
        <f t="shared" si="44"/>
        <v>1.0109664607016219E-4</v>
      </c>
      <c r="AE341" s="6">
        <f t="shared" si="44"/>
        <v>9.621183640940085E-5</v>
      </c>
      <c r="AF341" s="6">
        <f t="shared" si="44"/>
        <v>9.1331283583462496E-5</v>
      </c>
      <c r="AG341" s="6">
        <f t="shared" si="44"/>
        <v>8.6484909200319152E-5</v>
      </c>
      <c r="AH341" s="6">
        <f t="shared" si="44"/>
        <v>8.1657401692702844E-5</v>
      </c>
      <c r="AI341" s="6">
        <f t="shared" si="44"/>
        <v>7.9220426222948893E-5</v>
      </c>
      <c r="AJ341" s="6">
        <f t="shared" si="44"/>
        <v>7.6791318005092451E-5</v>
      </c>
      <c r="AK341" s="6">
        <f t="shared" si="44"/>
        <v>7.4369140032624553E-5</v>
      </c>
      <c r="AL341" s="6">
        <f t="shared" si="44"/>
        <v>7.1950621092298306E-5</v>
      </c>
      <c r="AM341" s="6">
        <f t="shared" si="44"/>
        <v>6.9536083230073651E-5</v>
      </c>
      <c r="AN341" s="6">
        <f t="shared" si="44"/>
        <v>6.8172364915739943E-5</v>
      </c>
      <c r="AO341" s="6">
        <f t="shared" si="44"/>
        <v>6.6802125265832444E-5</v>
      </c>
      <c r="AP341" s="6">
        <f t="shared" si="44"/>
        <v>6.543262690785391E-5</v>
      </c>
      <c r="AQ341" s="6">
        <f t="shared" si="44"/>
        <v>6.4049189326889747E-5</v>
      </c>
      <c r="AR341" s="6">
        <f t="shared" si="44"/>
        <v>6.2659293714851009E-5</v>
      </c>
      <c r="AS341" s="6">
        <f t="shared" si="44"/>
        <v>6.2136808891778255E-5</v>
      </c>
      <c r="AT341" s="6">
        <f t="shared" si="44"/>
        <v>6.161294911582305E-5</v>
      </c>
      <c r="AU341" s="6">
        <f t="shared" si="44"/>
        <v>6.1094112975222054E-5</v>
      </c>
      <c r="AV341" s="6">
        <f t="shared" si="44"/>
        <v>6.05675181183187E-5</v>
      </c>
      <c r="AW341" s="6">
        <f t="shared" si="44"/>
        <v>6.0039649858633695E-5</v>
      </c>
      <c r="AX341" s="6">
        <f t="shared" si="44"/>
        <v>5.9983874265968199E-5</v>
      </c>
      <c r="AY341" s="6">
        <f t="shared" si="44"/>
        <v>5.9894754660675794E-5</v>
      </c>
      <c r="AZ341" s="6">
        <f t="shared" si="44"/>
        <v>5.9805796350104594E-5</v>
      </c>
      <c r="BA341" s="6">
        <f t="shared" si="44"/>
        <v>5.9716874833153695E-5</v>
      </c>
    </row>
    <row r="342" spans="1:53" outlineLevel="1" x14ac:dyDescent="0.35">
      <c r="A342" s="6" t="s">
        <v>38</v>
      </c>
      <c r="B342" s="6">
        <f t="shared" si="41"/>
        <v>3.8929690933302958E-4</v>
      </c>
      <c r="AB342" s="6" t="s">
        <v>124</v>
      </c>
      <c r="AC342" s="6">
        <f>-$AC$323*$AC$324</f>
        <v>-1.2500340999999997E-3</v>
      </c>
      <c r="AD342" s="6">
        <f t="shared" ref="AD342:BA342" si="45">-$AC$323*$AC$324</f>
        <v>-1.2500340999999997E-3</v>
      </c>
      <c r="AE342" s="6">
        <f t="shared" si="45"/>
        <v>-1.2500340999999997E-3</v>
      </c>
      <c r="AF342" s="6">
        <f t="shared" si="45"/>
        <v>-1.2500340999999997E-3</v>
      </c>
      <c r="AG342" s="6">
        <f t="shared" si="45"/>
        <v>-1.2500340999999997E-3</v>
      </c>
      <c r="AH342" s="6">
        <f t="shared" si="45"/>
        <v>-1.2500340999999997E-3</v>
      </c>
      <c r="AI342" s="6">
        <f t="shared" si="45"/>
        <v>-1.2500340999999997E-3</v>
      </c>
      <c r="AJ342" s="6">
        <f t="shared" si="45"/>
        <v>-1.2500340999999997E-3</v>
      </c>
      <c r="AK342" s="6">
        <f t="shared" si="45"/>
        <v>-1.2500340999999997E-3</v>
      </c>
      <c r="AL342" s="6">
        <f t="shared" si="45"/>
        <v>-1.2500340999999997E-3</v>
      </c>
      <c r="AM342" s="6">
        <f t="shared" si="45"/>
        <v>-1.2500340999999997E-3</v>
      </c>
      <c r="AN342" s="6">
        <f t="shared" si="45"/>
        <v>-1.2500340999999997E-3</v>
      </c>
      <c r="AO342" s="6">
        <f t="shared" si="45"/>
        <v>-1.2500340999999997E-3</v>
      </c>
      <c r="AP342" s="6">
        <f t="shared" si="45"/>
        <v>-1.2500340999999997E-3</v>
      </c>
      <c r="AQ342" s="6">
        <f t="shared" si="45"/>
        <v>-1.2500340999999997E-3</v>
      </c>
      <c r="AR342" s="6">
        <f t="shared" si="45"/>
        <v>-1.2500340999999997E-3</v>
      </c>
      <c r="AS342" s="6">
        <f t="shared" si="45"/>
        <v>-1.2500340999999997E-3</v>
      </c>
      <c r="AT342" s="6">
        <f t="shared" si="45"/>
        <v>-1.2500340999999997E-3</v>
      </c>
      <c r="AU342" s="6">
        <f t="shared" si="45"/>
        <v>-1.2500340999999997E-3</v>
      </c>
      <c r="AV342" s="6">
        <f t="shared" si="45"/>
        <v>-1.2500340999999997E-3</v>
      </c>
      <c r="AW342" s="6">
        <f t="shared" si="45"/>
        <v>-1.2500340999999997E-3</v>
      </c>
      <c r="AX342" s="6">
        <f t="shared" si="45"/>
        <v>-1.2500340999999997E-3</v>
      </c>
      <c r="AY342" s="6">
        <f t="shared" si="45"/>
        <v>-1.2500340999999997E-3</v>
      </c>
      <c r="AZ342" s="6">
        <f t="shared" si="45"/>
        <v>-1.2500340999999997E-3</v>
      </c>
      <c r="BA342" s="6">
        <f t="shared" si="45"/>
        <v>-1.2500340999999997E-3</v>
      </c>
    </row>
    <row r="343" spans="1:53" outlineLevel="1" x14ac:dyDescent="0.35">
      <c r="A343" s="6" t="s">
        <v>39</v>
      </c>
      <c r="B343" s="6">
        <f t="shared" si="41"/>
        <v>4.7872271562175396E-3</v>
      </c>
      <c r="AB343" s="23" t="s">
        <v>125</v>
      </c>
      <c r="AC343" s="17">
        <f t="shared" ref="AC343:BA343" si="46">SUM(AC334:AC342)</f>
        <v>9.4190203168081649E-3</v>
      </c>
      <c r="AD343" s="17">
        <f t="shared" si="46"/>
        <v>2.0189094717742422E-3</v>
      </c>
      <c r="AE343" s="17">
        <f t="shared" si="46"/>
        <v>2.0112313084697932E-3</v>
      </c>
      <c r="AF343" s="17">
        <f t="shared" si="46"/>
        <v>2.095997916864665E-3</v>
      </c>
      <c r="AG343" s="17">
        <f t="shared" si="46"/>
        <v>1.9954061032770075E-3</v>
      </c>
      <c r="AH343" s="17">
        <f t="shared" si="46"/>
        <v>1.9876801784120698E-3</v>
      </c>
      <c r="AI343" s="17">
        <f t="shared" si="46"/>
        <v>2.07416165288694E-3</v>
      </c>
      <c r="AJ343" s="17">
        <f t="shared" si="46"/>
        <v>1.9778611336551035E-3</v>
      </c>
      <c r="AK343" s="17">
        <f t="shared" si="46"/>
        <v>1.9732021322707276E-3</v>
      </c>
      <c r="AL343" s="17">
        <f t="shared" si="46"/>
        <v>2.0585127878305926E-3</v>
      </c>
      <c r="AM343" s="17">
        <f t="shared" si="46"/>
        <v>1.9637394949429537E-3</v>
      </c>
      <c r="AN343" s="17">
        <f t="shared" si="46"/>
        <v>1.960567372173976E-3</v>
      </c>
      <c r="AO343" s="17">
        <f t="shared" si="46"/>
        <v>2.0458683211953431E-3</v>
      </c>
      <c r="AP343" s="17">
        <f t="shared" si="46"/>
        <v>1.9543845021183399E-3</v>
      </c>
      <c r="AQ343" s="17">
        <f t="shared" si="46"/>
        <v>1.9512483806585611E-3</v>
      </c>
      <c r="AR343" s="17">
        <f t="shared" si="46"/>
        <v>2.034995961011153E-3</v>
      </c>
      <c r="AS343" s="17">
        <f t="shared" si="46"/>
        <v>1.9465002905294676E-3</v>
      </c>
      <c r="AT343" s="17">
        <f t="shared" si="46"/>
        <v>1.9449048210941219E-3</v>
      </c>
      <c r="AU343" s="17">
        <f t="shared" si="46"/>
        <v>2.0292444164403218E-3</v>
      </c>
      <c r="AV343" s="17">
        <f t="shared" si="46"/>
        <v>1.9418787357759239E-3</v>
      </c>
      <c r="AW343" s="17">
        <f t="shared" si="46"/>
        <v>1.9402638043400648E-3</v>
      </c>
      <c r="AX343" s="17">
        <f t="shared" si="46"/>
        <v>2.0251404686540365E-3</v>
      </c>
      <c r="AY343" s="17">
        <f t="shared" si="46"/>
        <v>1.9397131670860746E-3</v>
      </c>
      <c r="AZ343" s="17">
        <f t="shared" si="46"/>
        <v>1.9393496057353143E-3</v>
      </c>
      <c r="BA343" s="17">
        <f t="shared" si="46"/>
        <v>2.1135105695403904E-3</v>
      </c>
    </row>
    <row r="344" spans="1:53" outlineLevel="1" x14ac:dyDescent="0.35">
      <c r="A344" s="6" t="s">
        <v>41</v>
      </c>
      <c r="B344" s="6">
        <f t="shared" si="41"/>
        <v>4.9195167421687214E-6</v>
      </c>
    </row>
    <row r="345" spans="1:53" outlineLevel="1" x14ac:dyDescent="0.35">
      <c r="A345" s="6" t="s">
        <v>43</v>
      </c>
      <c r="B345" s="6">
        <f t="shared" si="41"/>
        <v>2.8938947844086161E-5</v>
      </c>
      <c r="AB345" s="272"/>
      <c r="AC345" s="272"/>
      <c r="AD345" s="272"/>
      <c r="AE345" s="272"/>
      <c r="AF345" s="272"/>
      <c r="AG345" s="272"/>
      <c r="AH345" s="272"/>
      <c r="AI345" s="272"/>
      <c r="AJ345" s="272"/>
      <c r="AK345" s="272"/>
      <c r="AL345" s="272"/>
      <c r="AM345" s="272"/>
      <c r="AN345" s="272"/>
      <c r="AO345" s="272"/>
      <c r="AP345" s="272"/>
      <c r="AQ345" s="272"/>
      <c r="AR345" s="272"/>
      <c r="AS345" s="272"/>
      <c r="AT345" s="272"/>
      <c r="AU345" s="272"/>
      <c r="AV345" s="272"/>
      <c r="AW345" s="272"/>
      <c r="AX345" s="272"/>
      <c r="AY345" s="272"/>
      <c r="AZ345" s="272"/>
      <c r="BA345" s="272"/>
    </row>
    <row r="346" spans="1:53" outlineLevel="1" x14ac:dyDescent="0.35">
      <c r="A346" s="6" t="s">
        <v>44</v>
      </c>
      <c r="B346" s="6">
        <f>B62*AC325</f>
        <v>1.0626420341501008E-4</v>
      </c>
      <c r="AB346" s="272"/>
      <c r="AC346" s="272"/>
      <c r="AD346" s="272"/>
      <c r="AE346" s="272"/>
      <c r="AF346" s="272"/>
      <c r="AG346" s="272"/>
      <c r="AH346" s="272"/>
      <c r="AI346" s="272"/>
      <c r="AJ346" s="272"/>
      <c r="AK346" s="272"/>
      <c r="AL346" s="272"/>
      <c r="AM346" s="272"/>
      <c r="AN346" s="272"/>
      <c r="AO346" s="272"/>
      <c r="AP346" s="272"/>
      <c r="AQ346" s="272"/>
      <c r="AR346" s="272"/>
      <c r="AS346" s="272"/>
      <c r="AT346" s="272"/>
      <c r="AU346" s="272"/>
      <c r="AV346" s="272"/>
      <c r="AW346" s="272"/>
      <c r="AX346" s="272"/>
      <c r="AY346" s="272"/>
      <c r="AZ346" s="272"/>
      <c r="BA346" s="272"/>
    </row>
    <row r="347" spans="1:53" outlineLevel="1" x14ac:dyDescent="0.35">
      <c r="A347" s="6" t="s">
        <v>757</v>
      </c>
      <c r="B347" s="6">
        <f>B63*AC325</f>
        <v>1.9939074417072198E-4</v>
      </c>
      <c r="AB347" s="272"/>
      <c r="AC347" s="272"/>
      <c r="AD347" s="272"/>
      <c r="AE347" s="272"/>
      <c r="AF347" s="272"/>
      <c r="AG347" s="272"/>
      <c r="AH347" s="272"/>
      <c r="AI347" s="272"/>
      <c r="AJ347" s="272"/>
      <c r="AK347" s="272"/>
      <c r="AL347" s="272"/>
      <c r="AM347" s="272"/>
      <c r="AN347" s="272"/>
      <c r="AO347" s="272"/>
      <c r="AP347" s="272"/>
      <c r="AQ347" s="272"/>
      <c r="AR347" s="272"/>
      <c r="AS347" s="272"/>
      <c r="AT347" s="272"/>
      <c r="AU347" s="272"/>
      <c r="AV347" s="272"/>
      <c r="AW347" s="272"/>
      <c r="AX347" s="272"/>
      <c r="AY347" s="272"/>
      <c r="AZ347" s="272"/>
      <c r="BA347" s="272"/>
    </row>
    <row r="348" spans="1:53" outlineLevel="1" x14ac:dyDescent="0.35">
      <c r="A348" s="6" t="s">
        <v>22</v>
      </c>
      <c r="Z348" s="6">
        <f>Z64</f>
        <v>1.551760227943872E-6</v>
      </c>
      <c r="AB348" s="272"/>
      <c r="AC348" s="272"/>
      <c r="AD348" s="272"/>
      <c r="AE348" s="272"/>
      <c r="AF348" s="272"/>
      <c r="AG348" s="272"/>
      <c r="AH348" s="272"/>
      <c r="AI348" s="272"/>
      <c r="AJ348" s="272"/>
      <c r="AK348" s="272"/>
      <c r="AL348" s="272"/>
      <c r="AM348" s="272"/>
      <c r="AN348" s="272"/>
      <c r="AO348" s="272"/>
      <c r="AP348" s="272"/>
      <c r="AQ348" s="272"/>
      <c r="AR348" s="272"/>
      <c r="AS348" s="272"/>
      <c r="AT348" s="272"/>
      <c r="AU348" s="272"/>
      <c r="AV348" s="272"/>
      <c r="AW348" s="272"/>
      <c r="AX348" s="272"/>
      <c r="AY348" s="272"/>
      <c r="AZ348" s="272"/>
      <c r="BA348" s="272"/>
    </row>
    <row r="349" spans="1:53" outlineLevel="1" x14ac:dyDescent="0.35">
      <c r="A349" s="6" t="s">
        <v>24</v>
      </c>
      <c r="Z349" s="6">
        <f t="shared" ref="Z349:Z359" si="47">Z65</f>
        <v>9.4162511551661784E-7</v>
      </c>
      <c r="AB349" s="272"/>
      <c r="AC349" s="272"/>
      <c r="AD349" s="272"/>
      <c r="AE349" s="272"/>
      <c r="AF349" s="272"/>
      <c r="AG349" s="272"/>
      <c r="AH349" s="272"/>
      <c r="AI349" s="272"/>
      <c r="AJ349" s="272"/>
      <c r="AK349" s="272"/>
      <c r="AL349" s="272"/>
      <c r="AM349" s="272"/>
      <c r="AN349" s="272"/>
      <c r="AO349" s="272"/>
      <c r="AP349" s="272"/>
      <c r="AQ349" s="272"/>
      <c r="AR349" s="272"/>
      <c r="AS349" s="272"/>
      <c r="AT349" s="272"/>
      <c r="AU349" s="272"/>
      <c r="AV349" s="272"/>
      <c r="AW349" s="272"/>
      <c r="AX349" s="272"/>
      <c r="AY349" s="272"/>
      <c r="AZ349" s="272"/>
      <c r="BA349" s="272"/>
    </row>
    <row r="350" spans="1:53" outlineLevel="1" x14ac:dyDescent="0.35">
      <c r="A350" s="6" t="s">
        <v>25</v>
      </c>
      <c r="Z350" s="6">
        <f t="shared" si="47"/>
        <v>3.0456788673111499E-6</v>
      </c>
      <c r="AB350" s="272"/>
      <c r="AC350" s="272"/>
      <c r="AD350" s="272"/>
      <c r="AE350" s="272"/>
      <c r="AF350" s="272"/>
      <c r="AG350" s="272"/>
      <c r="AH350" s="272"/>
      <c r="AI350" s="272"/>
      <c r="AJ350" s="272"/>
      <c r="AK350" s="272"/>
      <c r="AL350" s="272"/>
      <c r="AM350" s="272"/>
      <c r="AN350" s="272"/>
      <c r="AO350" s="272"/>
      <c r="AP350" s="272"/>
      <c r="AQ350" s="272"/>
      <c r="AR350" s="272"/>
      <c r="AS350" s="272"/>
      <c r="AT350" s="272"/>
      <c r="AU350" s="272"/>
      <c r="AV350" s="272"/>
      <c r="AW350" s="272"/>
      <c r="AX350" s="272"/>
      <c r="AY350" s="272"/>
      <c r="AZ350" s="272"/>
      <c r="BA350" s="272"/>
    </row>
    <row r="351" spans="1:53" outlineLevel="1" x14ac:dyDescent="0.35">
      <c r="A351" s="6" t="s">
        <v>27</v>
      </c>
      <c r="Z351" s="6">
        <f t="shared" si="47"/>
        <v>9.4580487214481723E-7</v>
      </c>
      <c r="AB351" s="272"/>
      <c r="AC351" s="272"/>
      <c r="AD351" s="272"/>
      <c r="AE351" s="272"/>
      <c r="AF351" s="272"/>
      <c r="AG351" s="272"/>
      <c r="AH351" s="272"/>
      <c r="AI351" s="272"/>
      <c r="AJ351" s="272"/>
      <c r="AK351" s="272"/>
      <c r="AL351" s="272"/>
      <c r="AM351" s="272"/>
      <c r="AN351" s="272"/>
      <c r="AO351" s="272"/>
      <c r="AP351" s="272"/>
      <c r="AQ351" s="272"/>
      <c r="AR351" s="272"/>
      <c r="AS351" s="272"/>
      <c r="AT351" s="272"/>
      <c r="AU351" s="272"/>
      <c r="AV351" s="272"/>
      <c r="AW351" s="272"/>
      <c r="AX351" s="272"/>
      <c r="AY351" s="272"/>
      <c r="AZ351" s="272"/>
      <c r="BA351" s="272"/>
    </row>
    <row r="352" spans="1:53" outlineLevel="1" x14ac:dyDescent="0.35">
      <c r="A352" s="6" t="s">
        <v>30</v>
      </c>
      <c r="Z352" s="6">
        <f t="shared" si="47"/>
        <v>2.265672978316104E-6</v>
      </c>
      <c r="AB352" s="272"/>
      <c r="AC352" s="272"/>
      <c r="AD352" s="272"/>
      <c r="AE352" s="272"/>
      <c r="AF352" s="272"/>
      <c r="AG352" s="272"/>
      <c r="AH352" s="272"/>
      <c r="AI352" s="272"/>
      <c r="AJ352" s="272"/>
      <c r="AK352" s="272"/>
      <c r="AL352" s="272"/>
      <c r="AM352" s="272"/>
      <c r="AN352" s="272"/>
      <c r="AO352" s="272"/>
      <c r="AP352" s="272"/>
      <c r="AQ352" s="272"/>
      <c r="AR352" s="272"/>
      <c r="AS352" s="272"/>
      <c r="AT352" s="272"/>
      <c r="AU352" s="272"/>
      <c r="AV352" s="272"/>
      <c r="AW352" s="272"/>
      <c r="AX352" s="272"/>
      <c r="AY352" s="272"/>
      <c r="AZ352" s="272"/>
      <c r="BA352" s="272"/>
    </row>
    <row r="353" spans="1:53" outlineLevel="1" x14ac:dyDescent="0.35">
      <c r="A353" s="6" t="s">
        <v>32</v>
      </c>
      <c r="Z353" s="6">
        <f t="shared" si="47"/>
        <v>3.9207019239858951E-7</v>
      </c>
      <c r="AB353" s="272"/>
      <c r="AC353" s="272"/>
      <c r="AD353" s="272"/>
      <c r="AE353" s="272"/>
      <c r="AF353" s="272"/>
      <c r="AG353" s="272"/>
      <c r="AH353" s="272"/>
      <c r="AI353" s="272"/>
      <c r="AJ353" s="272"/>
      <c r="AK353" s="272"/>
      <c r="AL353" s="272"/>
      <c r="AM353" s="272"/>
      <c r="AN353" s="272"/>
      <c r="AO353" s="272"/>
      <c r="AP353" s="272"/>
      <c r="AQ353" s="272"/>
      <c r="AR353" s="272"/>
      <c r="AS353" s="272"/>
      <c r="AT353" s="272"/>
      <c r="AU353" s="272"/>
      <c r="AV353" s="272"/>
      <c r="AW353" s="272"/>
      <c r="AX353" s="272"/>
      <c r="AY353" s="272"/>
      <c r="AZ353" s="272"/>
      <c r="BA353" s="272"/>
    </row>
    <row r="354" spans="1:53" outlineLevel="1" x14ac:dyDescent="0.35">
      <c r="A354" s="6" t="s">
        <v>33</v>
      </c>
      <c r="Z354" s="6">
        <f t="shared" si="47"/>
        <v>7.3709305101567413E-7</v>
      </c>
      <c r="AB354" s="272"/>
      <c r="AC354" s="272"/>
      <c r="AD354" s="272"/>
      <c r="AE354" s="272"/>
      <c r="AF354" s="272"/>
      <c r="AG354" s="272"/>
      <c r="AH354" s="272"/>
      <c r="AI354" s="272"/>
      <c r="AJ354" s="272"/>
      <c r="AK354" s="272"/>
      <c r="AL354" s="272"/>
      <c r="AM354" s="272"/>
      <c r="AN354" s="272"/>
      <c r="AO354" s="272"/>
      <c r="AP354" s="272"/>
      <c r="AQ354" s="272"/>
      <c r="AR354" s="272"/>
      <c r="AS354" s="272"/>
      <c r="AT354" s="272"/>
      <c r="AU354" s="272"/>
      <c r="AV354" s="272"/>
      <c r="AW354" s="272"/>
      <c r="AX354" s="272"/>
      <c r="AY354" s="272"/>
      <c r="AZ354" s="272"/>
      <c r="BA354" s="272"/>
    </row>
    <row r="355" spans="1:53" outlineLevel="1" x14ac:dyDescent="0.35">
      <c r="A355" s="6" t="s">
        <v>35</v>
      </c>
      <c r="Z355" s="6">
        <f t="shared" si="47"/>
        <v>1.474186102031348E-6</v>
      </c>
      <c r="AB355" s="272"/>
      <c r="AC355" s="272"/>
      <c r="AD355" s="272"/>
      <c r="AE355" s="272"/>
      <c r="AF355" s="272"/>
      <c r="AG355" s="272"/>
      <c r="AH355" s="272"/>
      <c r="AI355" s="272"/>
      <c r="AJ355" s="272"/>
      <c r="AK355" s="272"/>
      <c r="AL355" s="272"/>
      <c r="AM355" s="272"/>
      <c r="AN355" s="272"/>
      <c r="AO355" s="272"/>
      <c r="AP355" s="272"/>
      <c r="AQ355" s="272"/>
      <c r="AR355" s="272"/>
      <c r="AS355" s="272"/>
      <c r="AT355" s="272"/>
      <c r="AU355" s="272"/>
      <c r="AV355" s="272"/>
      <c r="AW355" s="272"/>
      <c r="AX355" s="272"/>
      <c r="AY355" s="272"/>
      <c r="AZ355" s="272"/>
      <c r="BA355" s="272"/>
    </row>
    <row r="356" spans="1:53" outlineLevel="1" x14ac:dyDescent="0.35">
      <c r="A356" s="6" t="s">
        <v>37</v>
      </c>
      <c r="Z356" s="6">
        <f t="shared" si="47"/>
        <v>2.4134783611111282E-6</v>
      </c>
      <c r="AB356" s="272"/>
      <c r="AC356" s="272"/>
      <c r="AD356" s="272"/>
      <c r="AE356" s="272"/>
      <c r="AF356" s="272"/>
      <c r="AG356" s="272"/>
      <c r="AH356" s="272"/>
      <c r="AI356" s="272"/>
      <c r="AJ356" s="272"/>
      <c r="AK356" s="272"/>
      <c r="AL356" s="272"/>
      <c r="AM356" s="272"/>
      <c r="AN356" s="272"/>
      <c r="AO356" s="272"/>
      <c r="AP356" s="272"/>
      <c r="AQ356" s="272"/>
      <c r="AR356" s="272"/>
      <c r="AS356" s="272"/>
      <c r="AT356" s="272"/>
      <c r="AU356" s="272"/>
      <c r="AV356" s="272"/>
      <c r="AW356" s="272"/>
      <c r="AX356" s="272"/>
      <c r="AY356" s="272"/>
      <c r="AZ356" s="272"/>
      <c r="BA356" s="272"/>
    </row>
    <row r="357" spans="1:53" outlineLevel="1" x14ac:dyDescent="0.35">
      <c r="A357" s="6" t="s">
        <v>40</v>
      </c>
      <c r="Z357" s="6">
        <f t="shared" si="47"/>
        <v>6.1202664613666457E-5</v>
      </c>
    </row>
    <row r="358" spans="1:53" outlineLevel="1" x14ac:dyDescent="0.35">
      <c r="A358" s="6" t="s">
        <v>42</v>
      </c>
      <c r="Z358" s="6">
        <f t="shared" si="47"/>
        <v>1.49005299861832E-6</v>
      </c>
    </row>
    <row r="359" spans="1:53" outlineLevel="1" x14ac:dyDescent="0.35">
      <c r="A359" s="6" t="s">
        <v>115</v>
      </c>
      <c r="Z359" s="6">
        <f t="shared" si="47"/>
        <v>1.238117551484213E-5</v>
      </c>
    </row>
    <row r="360" spans="1:53" outlineLevel="1" x14ac:dyDescent="0.35">
      <c r="A360" s="6" t="s">
        <v>45</v>
      </c>
      <c r="Z360" s="6">
        <f>Z76*AC325</f>
        <v>8.1972957009835161E-7</v>
      </c>
    </row>
    <row r="361" spans="1:53" outlineLevel="1" x14ac:dyDescent="0.35">
      <c r="A361" s="6" t="s">
        <v>116</v>
      </c>
      <c r="B361" s="6">
        <f>B77</f>
        <v>9.4301611037095288E-5</v>
      </c>
      <c r="C361" s="6">
        <f t="shared" ref="C361:Z361" si="48">C77</f>
        <v>9.3864145744962737E-5</v>
      </c>
      <c r="D361" s="6">
        <f t="shared" si="48"/>
        <v>9.3422048900439864E-5</v>
      </c>
      <c r="E361" s="6">
        <f t="shared" si="48"/>
        <v>9.2886477686598764E-5</v>
      </c>
      <c r="F361" s="6">
        <f t="shared" si="48"/>
        <v>9.2434191272579524E-5</v>
      </c>
      <c r="G361" s="6">
        <f t="shared" si="48"/>
        <v>9.1976527115636379E-5</v>
      </c>
      <c r="H361" s="6">
        <f t="shared" si="48"/>
        <v>9.1489785996520763E-5</v>
      </c>
      <c r="I361" s="6">
        <f t="shared" si="48"/>
        <v>9.1002418870964329E-5</v>
      </c>
      <c r="J361" s="6">
        <f t="shared" si="48"/>
        <v>9.0524842144070261E-5</v>
      </c>
      <c r="K361" s="6">
        <f t="shared" si="48"/>
        <v>9.0033315985642623E-5</v>
      </c>
      <c r="L361" s="6">
        <f t="shared" si="48"/>
        <v>8.9538585067318346E-5</v>
      </c>
      <c r="M361" s="6">
        <f t="shared" si="48"/>
        <v>8.8997809850082694E-5</v>
      </c>
      <c r="N361" s="6">
        <f t="shared" si="48"/>
        <v>8.8459173995158276E-5</v>
      </c>
      <c r="O361" s="6">
        <f t="shared" si="48"/>
        <v>8.7942263850055729E-5</v>
      </c>
      <c r="P361" s="6">
        <f t="shared" si="48"/>
        <v>8.7407884953832191E-5</v>
      </c>
      <c r="Q361" s="6">
        <f t="shared" si="48"/>
        <v>8.68753434169571E-5</v>
      </c>
      <c r="R361" s="6">
        <f t="shared" si="48"/>
        <v>8.6515555867659608E-5</v>
      </c>
      <c r="S361" s="6">
        <f t="shared" si="48"/>
        <v>8.6157782439075603E-5</v>
      </c>
      <c r="T361" s="6">
        <f t="shared" si="48"/>
        <v>8.5817679992132394E-5</v>
      </c>
      <c r="U361" s="6">
        <f t="shared" si="48"/>
        <v>8.5464125521544947E-5</v>
      </c>
      <c r="V361" s="6">
        <f t="shared" si="48"/>
        <v>8.5112521757604929E-5</v>
      </c>
      <c r="W361" s="6">
        <f t="shared" si="48"/>
        <v>8.506043847028737E-5</v>
      </c>
      <c r="X361" s="6">
        <f t="shared" si="48"/>
        <v>8.499309053467297E-5</v>
      </c>
      <c r="Y361" s="6">
        <f t="shared" si="48"/>
        <v>8.4926327573248345E-5</v>
      </c>
      <c r="Z361" s="6">
        <f t="shared" si="48"/>
        <v>8.4860138497287434E-5</v>
      </c>
    </row>
    <row r="362" spans="1:53" outlineLevel="1" x14ac:dyDescent="0.35">
      <c r="A362" s="6" t="s">
        <v>758</v>
      </c>
      <c r="B362" s="6">
        <f>B78*$AC$325</f>
        <v>1.0600105488485415E-4</v>
      </c>
      <c r="C362" s="6">
        <f t="shared" ref="C362:Z363" si="49">C78*$AC$325</f>
        <v>1.0109664607016219E-4</v>
      </c>
      <c r="D362" s="6">
        <f t="shared" si="49"/>
        <v>9.621183640940085E-5</v>
      </c>
      <c r="E362" s="6">
        <f t="shared" si="49"/>
        <v>9.1331283583462496E-5</v>
      </c>
      <c r="F362" s="6">
        <f t="shared" si="49"/>
        <v>8.6484909200319152E-5</v>
      </c>
      <c r="G362" s="6">
        <f t="shared" si="49"/>
        <v>8.1657401692702844E-5</v>
      </c>
      <c r="H362" s="6">
        <f t="shared" si="49"/>
        <v>7.9220426222948893E-5</v>
      </c>
      <c r="I362" s="6">
        <f t="shared" si="49"/>
        <v>7.6791318005092451E-5</v>
      </c>
      <c r="J362" s="6">
        <f t="shared" si="49"/>
        <v>7.4369140032624553E-5</v>
      </c>
      <c r="K362" s="6">
        <f t="shared" si="49"/>
        <v>7.1950621092298306E-5</v>
      </c>
      <c r="L362" s="6">
        <f t="shared" si="49"/>
        <v>6.9536083230073651E-5</v>
      </c>
      <c r="M362" s="6">
        <f t="shared" si="49"/>
        <v>6.8172364915739943E-5</v>
      </c>
      <c r="N362" s="6">
        <f t="shared" si="49"/>
        <v>6.6802125265832444E-5</v>
      </c>
      <c r="O362" s="6">
        <f t="shared" si="49"/>
        <v>6.543262690785391E-5</v>
      </c>
      <c r="P362" s="6">
        <f t="shared" si="49"/>
        <v>6.4049189326889747E-5</v>
      </c>
      <c r="Q362" s="6">
        <f t="shared" si="49"/>
        <v>6.2659293714851009E-5</v>
      </c>
      <c r="R362" s="6">
        <f t="shared" si="49"/>
        <v>6.2136808891778255E-5</v>
      </c>
      <c r="S362" s="6">
        <f t="shared" si="49"/>
        <v>6.161294911582305E-5</v>
      </c>
      <c r="T362" s="6">
        <f t="shared" si="49"/>
        <v>6.1094112975222054E-5</v>
      </c>
      <c r="U362" s="6">
        <f t="shared" si="49"/>
        <v>6.05675181183187E-5</v>
      </c>
      <c r="V362" s="6">
        <f t="shared" si="49"/>
        <v>6.0039649858633695E-5</v>
      </c>
      <c r="W362" s="6">
        <f t="shared" si="49"/>
        <v>5.9983874265968199E-5</v>
      </c>
      <c r="X362" s="6">
        <f t="shared" si="49"/>
        <v>5.9894754660675794E-5</v>
      </c>
      <c r="Y362" s="6">
        <f t="shared" si="49"/>
        <v>5.9805796350104594E-5</v>
      </c>
      <c r="Z362" s="6">
        <f t="shared" si="49"/>
        <v>5.9716874833153695E-5</v>
      </c>
    </row>
    <row r="363" spans="1:53" outlineLevel="1" x14ac:dyDescent="0.35">
      <c r="A363" s="6" t="s">
        <v>759</v>
      </c>
      <c r="B363" s="6">
        <f>B79*$AC$325</f>
        <v>1.0368000147309429E-7</v>
      </c>
      <c r="C363" s="6">
        <f t="shared" si="49"/>
        <v>1.0368000147309429E-7</v>
      </c>
      <c r="D363" s="6">
        <f t="shared" si="49"/>
        <v>1.0368000147309429E-7</v>
      </c>
      <c r="E363" s="6">
        <f t="shared" si="49"/>
        <v>1.0368000147309429E-7</v>
      </c>
      <c r="F363" s="6">
        <f t="shared" si="49"/>
        <v>1.0368000147309429E-7</v>
      </c>
      <c r="G363" s="6">
        <f t="shared" si="49"/>
        <v>1.0368000147309429E-7</v>
      </c>
      <c r="H363" s="6">
        <f t="shared" si="49"/>
        <v>1.0368000147309429E-7</v>
      </c>
      <c r="I363" s="6">
        <f t="shared" si="49"/>
        <v>1.0368000147309429E-7</v>
      </c>
      <c r="J363" s="6">
        <f t="shared" si="49"/>
        <v>1.0368000147309429E-7</v>
      </c>
      <c r="K363" s="6">
        <f t="shared" si="49"/>
        <v>1.0368000147309429E-7</v>
      </c>
      <c r="L363" s="6">
        <f t="shared" si="49"/>
        <v>1.0368000147309429E-7</v>
      </c>
      <c r="M363" s="6">
        <f t="shared" si="49"/>
        <v>1.0368000147309429E-7</v>
      </c>
      <c r="N363" s="6">
        <f t="shared" si="49"/>
        <v>1.0368000147309429E-7</v>
      </c>
      <c r="O363" s="6">
        <f t="shared" si="49"/>
        <v>1.0368000147309429E-7</v>
      </c>
      <c r="P363" s="6">
        <f t="shared" si="49"/>
        <v>1.0368000147309429E-7</v>
      </c>
      <c r="Q363" s="6">
        <f t="shared" si="49"/>
        <v>1.0368000147309429E-7</v>
      </c>
      <c r="R363" s="6">
        <f t="shared" si="49"/>
        <v>1.0368000147309429E-7</v>
      </c>
      <c r="S363" s="6">
        <f t="shared" si="49"/>
        <v>1.0368000147309429E-7</v>
      </c>
      <c r="T363" s="6">
        <f t="shared" si="49"/>
        <v>1.0368000147309429E-7</v>
      </c>
      <c r="U363" s="6">
        <f t="shared" si="49"/>
        <v>1.0368000147309429E-7</v>
      </c>
      <c r="V363" s="6">
        <f t="shared" si="49"/>
        <v>1.0368000147309429E-7</v>
      </c>
      <c r="W363" s="6">
        <f t="shared" si="49"/>
        <v>1.0368000147309429E-7</v>
      </c>
      <c r="X363" s="6">
        <f t="shared" si="49"/>
        <v>1.0368000147309429E-7</v>
      </c>
      <c r="Y363" s="6">
        <f t="shared" si="49"/>
        <v>1.0368000147309429E-7</v>
      </c>
      <c r="Z363" s="6">
        <f t="shared" si="49"/>
        <v>1.0368000147309429E-7</v>
      </c>
    </row>
    <row r="364" spans="1:53" outlineLevel="1" x14ac:dyDescent="0.35">
      <c r="A364" s="6" t="s">
        <v>760</v>
      </c>
      <c r="B364" s="6">
        <f>$B$252*$AC$324*'Results - raw data ReCiPe (E)'!AC121/(1-0.5)*(1+'Results ReCiPe (E) - HHD'!$AC$271/'Results ReCiPe (E) - HHD'!$AC$272-'Results ReCiPe (E) - HHD'!$AC$271)</f>
        <v>1.1969790819477241E-3</v>
      </c>
      <c r="C364" s="6">
        <f>$B$252*$AC$324*'Results - raw data ReCiPe (E)'!AD121/(1-0.5)*(1+'Results ReCiPe (E) - HHD'!$AC$271/'Results ReCiPe (E) - HHD'!$AC$272-'Results ReCiPe (E) - HHD'!$AC$271)</f>
        <v>1.1942217828666919E-3</v>
      </c>
      <c r="D364" s="6">
        <f>$B$252*$AC$324*'Results - raw data ReCiPe (E)'!AE121/(1-0.5)*(1+'Results ReCiPe (E) - HHD'!$AC$271/'Results ReCiPe (E) - HHD'!$AC$272-'Results ReCiPe (E) - HHD'!$AC$271)</f>
        <v>1.1914284292230044E-3</v>
      </c>
      <c r="E364" s="6">
        <f>$B$252*$AC$324*'Results - raw data ReCiPe (E)'!AF121/(1-0.5)*(1+'Results ReCiPe (E) - HHD'!$AC$271/'Results ReCiPe (E) - HHD'!$AC$272-'Results ReCiPe (E) - HHD'!$AC$271)</f>
        <v>1.188189112757216E-3</v>
      </c>
      <c r="F364" s="6">
        <f>$B$252*$AC$324*'Results - raw data ReCiPe (E)'!AG121/(1-0.5)*(1+'Results ReCiPe (E) - HHD'!$AC$271/'Results ReCiPe (E) - HHD'!$AC$272-'Results ReCiPe (E) - HHD'!$AC$271)</f>
        <v>1.1853301512393007E-3</v>
      </c>
      <c r="G364" s="6">
        <f>$B$252*$AC$324*'Results - raw data ReCiPe (E)'!AH121/(1-0.5)*(1+'Results ReCiPe (E) - HHD'!$AC$271/'Results ReCiPe (E) - HHD'!$AC$272-'Results ReCiPe (E) - HHD'!$AC$271)</f>
        <v>1.1824317338819793E-3</v>
      </c>
      <c r="H364" s="6">
        <f>$B$252*$AC$324*'Results - raw data ReCiPe (E)'!AI121/(1-0.5)*(1+'Results ReCiPe (E) - HHD'!$AC$271/'Results ReCiPe (E) - HHD'!$AC$272-'Results ReCiPe (E) - HHD'!$AC$271)</f>
        <v>1.1798603978300827E-3</v>
      </c>
      <c r="I364" s="6">
        <f>$B$252*$AC$324*'Results - raw data ReCiPe (E)'!AJ121/(1-0.5)*(1+'Results ReCiPe (E) - HHD'!$AC$271/'Results ReCiPe (E) - HHD'!$AC$272-'Results ReCiPe (E) - HHD'!$AC$271)</f>
        <v>1.1774787728126234E-3</v>
      </c>
      <c r="J364" s="6">
        <f>$B$252*$AC$324*'Results - raw data ReCiPe (E)'!AK121/(1-0.5)*(1+'Results ReCiPe (E) - HHD'!$AC$271/'Results ReCiPe (E) - HHD'!$AC$272-'Results ReCiPe (E) - HHD'!$AC$271)</f>
        <v>1.1752419494007152E-3</v>
      </c>
      <c r="K364" s="6">
        <f>$B$252*$AC$324*'Results - raw data ReCiPe (E)'!AL121/(1-0.5)*(1+'Results ReCiPe (E) - HHD'!$AC$271/'Results ReCiPe (E) - HHD'!$AC$272-'Results ReCiPe (E) - HHD'!$AC$271)</f>
        <v>1.172937807915264E-3</v>
      </c>
      <c r="L364" s="6">
        <f>$B$252*$AC$324*'Results - raw data ReCiPe (E)'!AM121/(1-0.5)*(1+'Results ReCiPe (E) - HHD'!$AC$271/'Results ReCiPe (E) - HHD'!$AC$272-'Results ReCiPe (E) - HHD'!$AC$271)</f>
        <v>1.1706123688754926E-3</v>
      </c>
      <c r="M364" s="6">
        <f>$B$252*$AC$324*'Results - raw data ReCiPe (E)'!AN121/(1-0.5)*(1+'Results ReCiPe (E) - HHD'!$AC$271/'Results ReCiPe (E) - HHD'!$AC$272-'Results ReCiPe (E) - HHD'!$AC$271)</f>
        <v>1.1688039644208482E-3</v>
      </c>
      <c r="N364" s="6">
        <f>$B$252*$AC$324*'Results - raw data ReCiPe (E)'!AO121/(1-0.5)*(1+'Results ReCiPe (E) - HHD'!$AC$271/'Results ReCiPe (E) - HHD'!$AC$272-'Results ReCiPe (E) - HHD'!$AC$271)</f>
        <v>1.1670159790969645E-3</v>
      </c>
      <c r="O364" s="6">
        <f>$B$252*$AC$324*'Results - raw data ReCiPe (E)'!AP121/(1-0.5)*(1+'Results ReCiPe (E) - HHD'!$AC$271/'Results ReCiPe (E) - HHD'!$AC$272-'Results ReCiPe (E) - HHD'!$AC$271)</f>
        <v>1.165360832373098E-3</v>
      </c>
      <c r="P364" s="6">
        <f>$B$252*$AC$324*'Results - raw data ReCiPe (E)'!AQ121/(1-0.5)*(1+'Results ReCiPe (E) - HHD'!$AC$271/'Results ReCiPe (E) - HHD'!$AC$272-'Results ReCiPe (E) - HHD'!$AC$271)</f>
        <v>1.1636081484942837E-3</v>
      </c>
      <c r="Q364" s="6">
        <f>$B$252*$AC$324*'Results - raw data ReCiPe (E)'!AR121/(1-0.5)*(1+'Results ReCiPe (E) - HHD'!$AC$271/'Results ReCiPe (E) - HHD'!$AC$272-'Results ReCiPe (E) - HHD'!$AC$271)</f>
        <v>1.161870281041957E-3</v>
      </c>
      <c r="R364" s="6">
        <f>$B$252*$AC$324*'Results - raw data ReCiPe (E)'!AS121/(1-0.5)*(1+'Results ReCiPe (E) - HHD'!$AC$271/'Results ReCiPe (E) - HHD'!$AC$272-'Results ReCiPe (E) - HHD'!$AC$271)</f>
        <v>1.1607724388003015E-3</v>
      </c>
      <c r="S364" s="6">
        <f>$B$252*$AC$324*'Results - raw data ReCiPe (E)'!AT121/(1-0.5)*(1+'Results ReCiPe (E) - HHD'!$AC$271/'Results ReCiPe (E) - HHD'!$AC$272-'Results ReCiPe (E) - HHD'!$AC$271)</f>
        <v>1.1597008291409107E-3</v>
      </c>
      <c r="T364" s="6">
        <f>$B$252*$AC$324*'Results - raw data ReCiPe (E)'!AU121/(1-0.5)*(1+'Results ReCiPe (E) - HHD'!$AC$271/'Results ReCiPe (E) - HHD'!$AC$272-'Results ReCiPe (E) - HHD'!$AC$271)</f>
        <v>1.1587415806355798E-3</v>
      </c>
      <c r="U364" s="6">
        <f>$B$252*$AC$324*'Results - raw data ReCiPe (E)'!AV121/(1-0.5)*(1+'Results ReCiPe (E) - HHD'!$AC$271/'Results ReCiPe (E) - HHD'!$AC$272-'Results ReCiPe (E) - HHD'!$AC$271)</f>
        <v>1.1577201748202172E-3</v>
      </c>
      <c r="V364" s="6">
        <f>$B$252*$AC$324*'Results - raw data ReCiPe (E)'!AW121/(1-0.5)*(1+'Results ReCiPe (E) - HHD'!$AC$271/'Results ReCiPe (E) - HHD'!$AC$272-'Results ReCiPe (E) - HHD'!$AC$271)</f>
        <v>1.1567367916455165E-3</v>
      </c>
      <c r="W364" s="6">
        <f>$B$252*$AC$324*'Results - raw data ReCiPe (E)'!AX121/(1-0.5)*(1+'Results ReCiPe (E) - HHD'!$AC$271/'Results ReCiPe (E) - HHD'!$AC$272-'Results ReCiPe (E) - HHD'!$AC$271)</f>
        <v>1.1566087930818662E-3</v>
      </c>
      <c r="X364" s="6">
        <f>$B$252*$AC$324*'Results - raw data ReCiPe (E)'!AY121/(1-0.5)*(1+'Results ReCiPe (E) - HHD'!$AC$271/'Results ReCiPe (E) - HHD'!$AC$272-'Results ReCiPe (E) - HHD'!$AC$271)</f>
        <v>1.156331049589484E-3</v>
      </c>
      <c r="Y364" s="6">
        <f>$B$252*$AC$324*'Results - raw data ReCiPe (E)'!AZ121/(1-0.5)*(1+'Results ReCiPe (E) - HHD'!$AC$271/'Results ReCiPe (E) - HHD'!$AC$272-'Results ReCiPe (E) - HHD'!$AC$271)</f>
        <v>1.1560564465492946E-3</v>
      </c>
      <c r="Z364" s="6">
        <f>$B$252*$AC$324*'Results - raw data ReCiPe (E)'!BA121/(1-0.5)*(1+'Results ReCiPe (E) - HHD'!$AC$271/'Results ReCiPe (E) - HHD'!$AC$272-'Results ReCiPe (E) - HHD'!$AC$271)</f>
        <v>1.15578520090902E-3</v>
      </c>
    </row>
    <row r="365" spans="1:53" outlineLevel="1" x14ac:dyDescent="0.35">
      <c r="A365" s="6" t="s">
        <v>797</v>
      </c>
      <c r="B365" s="6">
        <f>$B$320*$AC$324</f>
        <v>1.9735214628359143E-3</v>
      </c>
      <c r="C365" s="6">
        <f t="shared" ref="C365:Z365" si="50">$B$320*$AC$324</f>
        <v>1.9735214628359143E-3</v>
      </c>
      <c r="D365" s="6">
        <f t="shared" si="50"/>
        <v>1.9735214628359143E-3</v>
      </c>
      <c r="E365" s="6">
        <f t="shared" si="50"/>
        <v>1.9735214628359143E-3</v>
      </c>
      <c r="F365" s="6">
        <f t="shared" si="50"/>
        <v>1.9735214628359143E-3</v>
      </c>
      <c r="G365" s="6">
        <f t="shared" si="50"/>
        <v>1.9735214628359143E-3</v>
      </c>
      <c r="H365" s="6">
        <f t="shared" si="50"/>
        <v>1.9735214628359143E-3</v>
      </c>
      <c r="I365" s="6">
        <f t="shared" si="50"/>
        <v>1.9735214628359143E-3</v>
      </c>
      <c r="J365" s="6">
        <f t="shared" si="50"/>
        <v>1.9735214628359143E-3</v>
      </c>
      <c r="K365" s="6">
        <f t="shared" si="50"/>
        <v>1.9735214628359143E-3</v>
      </c>
      <c r="L365" s="6">
        <f t="shared" si="50"/>
        <v>1.9735214628359143E-3</v>
      </c>
      <c r="M365" s="6">
        <f t="shared" si="50"/>
        <v>1.9735214628359143E-3</v>
      </c>
      <c r="N365" s="6">
        <f t="shared" si="50"/>
        <v>1.9735214628359143E-3</v>
      </c>
      <c r="O365" s="6">
        <f t="shared" si="50"/>
        <v>1.9735214628359143E-3</v>
      </c>
      <c r="P365" s="6">
        <f t="shared" si="50"/>
        <v>1.9735214628359143E-3</v>
      </c>
      <c r="Q365" s="6">
        <f t="shared" si="50"/>
        <v>1.9735214628359143E-3</v>
      </c>
      <c r="R365" s="6">
        <f t="shared" si="50"/>
        <v>1.9735214628359143E-3</v>
      </c>
      <c r="S365" s="6">
        <f t="shared" si="50"/>
        <v>1.9735214628359143E-3</v>
      </c>
      <c r="T365" s="6">
        <f t="shared" si="50"/>
        <v>1.9735214628359143E-3</v>
      </c>
      <c r="U365" s="6">
        <f t="shared" si="50"/>
        <v>1.9735214628359143E-3</v>
      </c>
      <c r="V365" s="6">
        <f t="shared" si="50"/>
        <v>1.9735214628359143E-3</v>
      </c>
      <c r="W365" s="6">
        <f t="shared" si="50"/>
        <v>1.9735214628359143E-3</v>
      </c>
      <c r="X365" s="6">
        <f t="shared" si="50"/>
        <v>1.9735214628359143E-3</v>
      </c>
      <c r="Y365" s="6">
        <f t="shared" si="50"/>
        <v>1.9735214628359143E-3</v>
      </c>
      <c r="Z365" s="6">
        <f t="shared" si="50"/>
        <v>1.9735214628359143E-3</v>
      </c>
    </row>
    <row r="366" spans="1:53" outlineLevel="1" x14ac:dyDescent="0.35">
      <c r="A366" s="23" t="s">
        <v>125</v>
      </c>
      <c r="B366" s="17">
        <f>SUM(B334:B364)</f>
        <v>8.6955329539722508E-3</v>
      </c>
      <c r="C366" s="17">
        <f t="shared" ref="C366:Z366" si="51">SUM(C334:C364)</f>
        <v>1.3892862546832899E-3</v>
      </c>
      <c r="D366" s="17">
        <f t="shared" si="51"/>
        <v>1.3811659945343181E-3</v>
      </c>
      <c r="E366" s="17">
        <f t="shared" si="51"/>
        <v>1.3725105540287504E-3</v>
      </c>
      <c r="F366" s="17">
        <f t="shared" si="51"/>
        <v>1.3643529317136725E-3</v>
      </c>
      <c r="G366" s="17">
        <f t="shared" si="51"/>
        <v>1.3561693426917916E-3</v>
      </c>
      <c r="H366" s="17">
        <f t="shared" si="51"/>
        <v>1.3506742900510254E-3</v>
      </c>
      <c r="I366" s="17">
        <f t="shared" si="51"/>
        <v>1.3453761896901532E-3</v>
      </c>
      <c r="J366" s="17">
        <f t="shared" si="51"/>
        <v>1.340239611578883E-3</v>
      </c>
      <c r="K366" s="17">
        <f t="shared" si="51"/>
        <v>1.335025424994678E-3</v>
      </c>
      <c r="L366" s="17">
        <f t="shared" si="51"/>
        <v>1.3297907171743576E-3</v>
      </c>
      <c r="M366" s="17">
        <f t="shared" si="51"/>
        <v>1.3260778191881439E-3</v>
      </c>
      <c r="N366" s="17">
        <f t="shared" si="51"/>
        <v>1.3223809583594284E-3</v>
      </c>
      <c r="O366" s="17">
        <f t="shared" si="51"/>
        <v>1.3188394031324808E-3</v>
      </c>
      <c r="P366" s="17">
        <f t="shared" si="51"/>
        <v>1.3151689027764788E-3</v>
      </c>
      <c r="Q366" s="17">
        <f t="shared" si="51"/>
        <v>1.3115085981752381E-3</v>
      </c>
      <c r="R366" s="17">
        <f t="shared" si="51"/>
        <v>1.3095284835612125E-3</v>
      </c>
      <c r="S366" s="17">
        <f t="shared" si="51"/>
        <v>1.3075752406972825E-3</v>
      </c>
      <c r="T366" s="17">
        <f t="shared" si="51"/>
        <v>1.3057570536044072E-3</v>
      </c>
      <c r="U366" s="17">
        <f t="shared" si="51"/>
        <v>1.303855498461554E-3</v>
      </c>
      <c r="V366" s="17">
        <f t="shared" si="51"/>
        <v>1.3019926432632281E-3</v>
      </c>
      <c r="W366" s="17">
        <f t="shared" si="51"/>
        <v>1.3017567858195948E-3</v>
      </c>
      <c r="X366" s="17">
        <f t="shared" si="51"/>
        <v>1.3013225747863059E-3</v>
      </c>
      <c r="Y366" s="17">
        <f t="shared" si="51"/>
        <v>1.3008922504741207E-3</v>
      </c>
      <c r="Z366" s="17">
        <f t="shared" si="51"/>
        <v>1.3901268867059489E-3</v>
      </c>
    </row>
    <row r="367" spans="1:53" outlineLevel="1" x14ac:dyDescent="0.35"/>
    <row r="368" spans="1:53" s="18" customFormat="1" ht="21" x14ac:dyDescent="0.5">
      <c r="A368" s="18" t="s">
        <v>94</v>
      </c>
    </row>
    <row r="369" spans="1:31" s="20" customFormat="1" outlineLevel="1" x14ac:dyDescent="0.35">
      <c r="A369" s="19" t="s">
        <v>788</v>
      </c>
    </row>
    <row r="370" spans="1:31" s="20" customFormat="1" outlineLevel="1" x14ac:dyDescent="0.35">
      <c r="A370" s="273" t="s">
        <v>775</v>
      </c>
      <c r="B370" s="20">
        <v>1</v>
      </c>
      <c r="C370" s="274" t="s">
        <v>787</v>
      </c>
    </row>
    <row r="371" spans="1:31" s="20" customFormat="1" outlineLevel="1" x14ac:dyDescent="0.35">
      <c r="A371" s="273" t="s">
        <v>781</v>
      </c>
      <c r="B371" s="20">
        <v>100000</v>
      </c>
      <c r="C371" s="20" t="s">
        <v>782</v>
      </c>
      <c r="E371" s="274"/>
    </row>
    <row r="372" spans="1:31" s="20" customFormat="1" outlineLevel="1" x14ac:dyDescent="0.35">
      <c r="A372" s="273" t="s">
        <v>783</v>
      </c>
      <c r="B372" s="20">
        <v>1500</v>
      </c>
      <c r="C372" s="20" t="s">
        <v>592</v>
      </c>
    </row>
    <row r="373" spans="1:31" s="20" customFormat="1" outlineLevel="1" x14ac:dyDescent="0.35">
      <c r="A373" s="273" t="s">
        <v>784</v>
      </c>
      <c r="B373" s="20">
        <v>8760</v>
      </c>
      <c r="C373" s="20" t="s">
        <v>785</v>
      </c>
    </row>
    <row r="374" spans="1:31" s="20" customFormat="1" outlineLevel="1" x14ac:dyDescent="0.35">
      <c r="A374" s="273"/>
    </row>
    <row r="375" spans="1:31" s="20" customFormat="1" outlineLevel="1" x14ac:dyDescent="0.35">
      <c r="A375" s="275" t="s">
        <v>786</v>
      </c>
      <c r="B375" s="275">
        <f>(B371*B372)/(B373*B370)</f>
        <v>17123.287671232876</v>
      </c>
      <c r="C375" s="275" t="s">
        <v>749</v>
      </c>
    </row>
    <row r="376" spans="1:31" s="20" customFormat="1" outlineLevel="1" x14ac:dyDescent="0.35">
      <c r="A376" s="19"/>
    </row>
    <row r="377" spans="1:31" s="20" customFormat="1" outlineLevel="1" x14ac:dyDescent="0.35">
      <c r="A377" s="19" t="s">
        <v>793</v>
      </c>
    </row>
    <row r="378" spans="1:31" s="20" customFormat="1" outlineLevel="1" x14ac:dyDescent="0.35">
      <c r="A378" s="273" t="s">
        <v>789</v>
      </c>
      <c r="B378" s="20">
        <f>SUM('Results - raw data ReCiPe (E)'!AC156:AC157)+'Results - raw data ReCiPe (E)'!AC160+SUM('Results - raw data ReCiPe (E)'!AC158:AC159)*AC387</f>
        <v>3.7375848551547371E-4</v>
      </c>
      <c r="C378" s="20" t="s">
        <v>919</v>
      </c>
    </row>
    <row r="379" spans="1:31" s="20" customFormat="1" outlineLevel="1" x14ac:dyDescent="0.35">
      <c r="A379" s="20" t="s">
        <v>792</v>
      </c>
      <c r="B379" s="20">
        <f>B371*AC385</f>
        <v>50000</v>
      </c>
      <c r="C379" s="274" t="s">
        <v>795</v>
      </c>
    </row>
    <row r="380" spans="1:31" s="20" customFormat="1" outlineLevel="1" x14ac:dyDescent="0.35">
      <c r="A380" s="20" t="s">
        <v>791</v>
      </c>
      <c r="B380" s="20">
        <f>(B378*AC387*B375)/(B379*AC386)*(AC386/AC388)</f>
        <v>3.8399844402274688E-5</v>
      </c>
      <c r="C380" s="20" t="s">
        <v>920</v>
      </c>
      <c r="E380" s="274" t="s">
        <v>796</v>
      </c>
    </row>
    <row r="381" spans="1:31" s="20" customFormat="1" outlineLevel="1" x14ac:dyDescent="0.35">
      <c r="A381" s="19"/>
    </row>
    <row r="382" spans="1:31" s="16" customFormat="1" outlineLevel="1" x14ac:dyDescent="0.35">
      <c r="A382" s="21"/>
      <c r="AB382" s="15" t="s">
        <v>143</v>
      </c>
      <c r="AC382" s="16">
        <f>0.000000025+0.000000000000682</f>
        <v>2.5000681999999998E-8</v>
      </c>
      <c r="AD382" s="16" t="s">
        <v>916</v>
      </c>
      <c r="AE382" s="15" t="s">
        <v>714</v>
      </c>
    </row>
    <row r="383" spans="1:31" s="16" customFormat="1" outlineLevel="1" x14ac:dyDescent="0.35">
      <c r="A383" s="22" t="s">
        <v>917</v>
      </c>
      <c r="AC383" s="16">
        <f>AC382*1000</f>
        <v>2.5000681999999997E-5</v>
      </c>
      <c r="AD383" s="16" t="s">
        <v>918</v>
      </c>
    </row>
    <row r="384" spans="1:31" s="16" customFormat="1" outlineLevel="1" x14ac:dyDescent="0.35">
      <c r="A384" s="22"/>
      <c r="AB384" s="16" t="s">
        <v>127</v>
      </c>
      <c r="AC384" s="16">
        <f>100*AC385</f>
        <v>50</v>
      </c>
      <c r="AD384" s="16" t="s">
        <v>128</v>
      </c>
    </row>
    <row r="385" spans="1:53" s="16" customFormat="1" outlineLevel="1" x14ac:dyDescent="0.35">
      <c r="A385" s="230"/>
      <c r="AB385" s="16" t="s">
        <v>776</v>
      </c>
      <c r="AC385" s="16">
        <v>0.5</v>
      </c>
    </row>
    <row r="386" spans="1:53" s="16" customFormat="1" outlineLevel="1" x14ac:dyDescent="0.35">
      <c r="A386" s="21"/>
      <c r="AB386" s="16" t="s">
        <v>129</v>
      </c>
      <c r="AC386" s="16">
        <v>25</v>
      </c>
      <c r="AD386" s="16" t="s">
        <v>130</v>
      </c>
    </row>
    <row r="387" spans="1:53" s="16" customFormat="1" outlineLevel="1" x14ac:dyDescent="0.35">
      <c r="A387" s="21"/>
      <c r="AB387" s="16" t="s">
        <v>777</v>
      </c>
      <c r="AC387" s="16">
        <v>6</v>
      </c>
      <c r="AD387" s="16" t="s">
        <v>779</v>
      </c>
    </row>
    <row r="388" spans="1:53" s="16" customFormat="1" outlineLevel="1" x14ac:dyDescent="0.35">
      <c r="A388" s="21"/>
      <c r="AB388" s="16" t="s">
        <v>778</v>
      </c>
      <c r="AC388" s="16">
        <v>20</v>
      </c>
      <c r="AD388" s="16" t="s">
        <v>130</v>
      </c>
    </row>
    <row r="389" spans="1:53" s="16" customFormat="1" outlineLevel="1" x14ac:dyDescent="0.35">
      <c r="AB389" s="16" t="s">
        <v>780</v>
      </c>
      <c r="AC389" s="16">
        <f>B375</f>
        <v>17123.287671232876</v>
      </c>
      <c r="AD389" s="16" t="s">
        <v>749</v>
      </c>
    </row>
    <row r="390" spans="1:53" s="16" customFormat="1" outlineLevel="1" x14ac:dyDescent="0.35"/>
    <row r="391" spans="1:53" s="16" customFormat="1" outlineLevel="1" x14ac:dyDescent="0.35">
      <c r="AB391" s="16" t="s">
        <v>798</v>
      </c>
      <c r="AC391" s="16">
        <v>0.25</v>
      </c>
    </row>
    <row r="392" spans="1:53" s="16" customFormat="1" outlineLevel="1" x14ac:dyDescent="0.35">
      <c r="A392" s="22"/>
      <c r="AB392" s="16" t="s">
        <v>799</v>
      </c>
      <c r="AC392" s="16">
        <v>0.9</v>
      </c>
    </row>
    <row r="393" spans="1:53" s="16" customFormat="1" outlineLevel="1" x14ac:dyDescent="0.35">
      <c r="A393" s="22"/>
    </row>
    <row r="394" spans="1:53" outlineLevel="1" x14ac:dyDescent="0.35">
      <c r="B394" s="25">
        <v>2030</v>
      </c>
      <c r="C394" s="25">
        <v>2031</v>
      </c>
      <c r="D394" s="25">
        <v>2032</v>
      </c>
      <c r="E394" s="25">
        <v>2033</v>
      </c>
      <c r="F394" s="25">
        <v>2034</v>
      </c>
      <c r="G394" s="25">
        <v>2035</v>
      </c>
      <c r="H394" s="25">
        <v>2036</v>
      </c>
      <c r="I394" s="25">
        <v>2037</v>
      </c>
      <c r="J394" s="25">
        <v>2038</v>
      </c>
      <c r="K394" s="25">
        <v>2039</v>
      </c>
      <c r="L394" s="25">
        <v>2040</v>
      </c>
      <c r="M394" s="25">
        <v>2041</v>
      </c>
      <c r="N394" s="25">
        <v>2042</v>
      </c>
      <c r="O394" s="25">
        <v>2043</v>
      </c>
      <c r="P394" s="25">
        <v>2044</v>
      </c>
      <c r="Q394" s="25">
        <v>2045</v>
      </c>
      <c r="R394" s="25">
        <v>2046</v>
      </c>
      <c r="S394" s="25">
        <v>2047</v>
      </c>
      <c r="T394" s="25">
        <v>2048</v>
      </c>
      <c r="U394" s="25">
        <v>2049</v>
      </c>
      <c r="V394" s="25">
        <v>2050</v>
      </c>
      <c r="W394" s="25">
        <v>2051</v>
      </c>
      <c r="X394" s="25">
        <v>2052</v>
      </c>
      <c r="Y394" s="25">
        <v>2053</v>
      </c>
      <c r="Z394" s="25">
        <v>2054</v>
      </c>
      <c r="AC394" s="25">
        <v>2030</v>
      </c>
      <c r="AD394" s="25">
        <v>2031</v>
      </c>
      <c r="AE394" s="25">
        <v>2032</v>
      </c>
      <c r="AF394" s="25">
        <v>2033</v>
      </c>
      <c r="AG394" s="25">
        <v>2034</v>
      </c>
      <c r="AH394" s="25">
        <v>2035</v>
      </c>
      <c r="AI394" s="25">
        <v>2036</v>
      </c>
      <c r="AJ394" s="25">
        <v>2037</v>
      </c>
      <c r="AK394" s="25">
        <v>2038</v>
      </c>
      <c r="AL394" s="25">
        <v>2039</v>
      </c>
      <c r="AM394" s="25">
        <v>2040</v>
      </c>
      <c r="AN394" s="25">
        <v>2041</v>
      </c>
      <c r="AO394" s="25">
        <v>2042</v>
      </c>
      <c r="AP394" s="25">
        <v>2043</v>
      </c>
      <c r="AQ394" s="25">
        <v>2044</v>
      </c>
      <c r="AR394" s="25">
        <v>2045</v>
      </c>
      <c r="AS394" s="25">
        <v>2046</v>
      </c>
      <c r="AT394" s="25">
        <v>2047</v>
      </c>
      <c r="AU394" s="25">
        <v>2048</v>
      </c>
      <c r="AV394" s="25">
        <v>2049</v>
      </c>
      <c r="AW394" s="25">
        <v>2050</v>
      </c>
      <c r="AX394" s="25">
        <v>2051</v>
      </c>
      <c r="AY394" s="25">
        <v>2052</v>
      </c>
      <c r="AZ394" s="25">
        <v>2053</v>
      </c>
      <c r="BA394" s="25">
        <v>2054</v>
      </c>
    </row>
    <row r="395" spans="1:53" outlineLevel="1" x14ac:dyDescent="0.35">
      <c r="A395" s="6" t="s">
        <v>21</v>
      </c>
      <c r="B395" s="6">
        <f>B90</f>
        <v>9.1407716310991399E-5</v>
      </c>
      <c r="AB395" s="6" t="s">
        <v>117</v>
      </c>
      <c r="AC395" s="6">
        <f>SUM(B395:B406)+B408</f>
        <v>6.8884688456748765E-3</v>
      </c>
    </row>
    <row r="396" spans="1:53" outlineLevel="1" x14ac:dyDescent="0.35">
      <c r="A396" s="6" t="s">
        <v>23</v>
      </c>
      <c r="B396" s="6">
        <f t="shared" ref="B396:B406" si="52">B91</f>
        <v>1.7765909001794011E-4</v>
      </c>
      <c r="AB396" s="6" t="s">
        <v>118</v>
      </c>
      <c r="AC396" s="6">
        <f>B407</f>
        <v>1.0085543329052239E-4</v>
      </c>
    </row>
    <row r="397" spans="1:53" outlineLevel="1" x14ac:dyDescent="0.35">
      <c r="A397" s="6" t="s">
        <v>26</v>
      </c>
      <c r="B397" s="6">
        <f t="shared" si="52"/>
        <v>3.728222862533076E-4</v>
      </c>
      <c r="AB397" s="6" t="s">
        <v>119</v>
      </c>
      <c r="BA397" s="6">
        <f>SUM(Z409:Z420)</f>
        <v>8.7284618353200512E-5</v>
      </c>
    </row>
    <row r="398" spans="1:53" outlineLevel="1" x14ac:dyDescent="0.35">
      <c r="A398" s="6" t="s">
        <v>28</v>
      </c>
      <c r="B398" s="6">
        <f t="shared" si="52"/>
        <v>1.5285847323858511E-4</v>
      </c>
      <c r="AB398" s="6" t="s">
        <v>120</v>
      </c>
      <c r="BA398" s="6">
        <f>Z421</f>
        <v>8.0721455959223152E-7</v>
      </c>
    </row>
    <row r="399" spans="1:53" outlineLevel="1" x14ac:dyDescent="0.35">
      <c r="A399" s="6" t="s">
        <v>29</v>
      </c>
      <c r="B399" s="6">
        <f t="shared" si="52"/>
        <v>2.9511762011667639E-4</v>
      </c>
      <c r="AB399" s="6" t="s">
        <v>121</v>
      </c>
      <c r="AC399" s="6">
        <f>B422</f>
        <v>8.7945321917406969E-5</v>
      </c>
      <c r="AF399" s="6">
        <f>E422</f>
        <v>8.6080196213763786E-5</v>
      </c>
      <c r="AI399" s="6">
        <f>H422</f>
        <v>8.4701027712607356E-5</v>
      </c>
      <c r="AL399" s="6">
        <f>K422</f>
        <v>8.4330044138947001E-5</v>
      </c>
      <c r="AO399" s="6">
        <f>N422</f>
        <v>8.4172574646746671E-5</v>
      </c>
      <c r="AR399" s="6">
        <f>Q422</f>
        <v>8.4149742944760532E-5</v>
      </c>
      <c r="AU399" s="6">
        <f>T422</f>
        <v>8.4022324846170663E-5</v>
      </c>
      <c r="AX399" s="6">
        <f>W422</f>
        <v>8.3912901277463149E-5</v>
      </c>
      <c r="BA399" s="6">
        <f>Z422</f>
        <v>8.3823048059039279E-5</v>
      </c>
    </row>
    <row r="400" spans="1:53" outlineLevel="1" x14ac:dyDescent="0.35">
      <c r="A400" s="6" t="s">
        <v>31</v>
      </c>
      <c r="B400" s="6">
        <f t="shared" si="52"/>
        <v>2.2702198560539731E-4</v>
      </c>
      <c r="AB400" s="6" t="s">
        <v>797</v>
      </c>
      <c r="AC400" s="6">
        <f>B426</f>
        <v>1.9199922201137345E-3</v>
      </c>
      <c r="AD400" s="6">
        <f t="shared" ref="AD400:BA400" si="53">C426</f>
        <v>1.9199922201137345E-3</v>
      </c>
      <c r="AE400" s="6">
        <f t="shared" si="53"/>
        <v>1.9199922201137345E-3</v>
      </c>
      <c r="AF400" s="6">
        <f t="shared" si="53"/>
        <v>1.9199922201137345E-3</v>
      </c>
      <c r="AG400" s="6">
        <f t="shared" si="53"/>
        <v>1.9199922201137345E-3</v>
      </c>
      <c r="AH400" s="6">
        <f t="shared" si="53"/>
        <v>1.9199922201137345E-3</v>
      </c>
      <c r="AI400" s="6">
        <f t="shared" si="53"/>
        <v>1.9199922201137345E-3</v>
      </c>
      <c r="AJ400" s="6">
        <f t="shared" si="53"/>
        <v>1.9199922201137345E-3</v>
      </c>
      <c r="AK400" s="6">
        <f t="shared" si="53"/>
        <v>1.9199922201137345E-3</v>
      </c>
      <c r="AL400" s="6">
        <f t="shared" si="53"/>
        <v>1.9199922201137345E-3</v>
      </c>
      <c r="AM400" s="6">
        <f t="shared" si="53"/>
        <v>1.9199922201137345E-3</v>
      </c>
      <c r="AN400" s="6">
        <f t="shared" si="53"/>
        <v>1.9199922201137345E-3</v>
      </c>
      <c r="AO400" s="6">
        <f t="shared" si="53"/>
        <v>1.9199922201137345E-3</v>
      </c>
      <c r="AP400" s="6">
        <f t="shared" si="53"/>
        <v>1.9199922201137345E-3</v>
      </c>
      <c r="AQ400" s="6">
        <f t="shared" si="53"/>
        <v>1.9199922201137345E-3</v>
      </c>
      <c r="AR400" s="6">
        <f t="shared" si="53"/>
        <v>1.9199922201137345E-3</v>
      </c>
      <c r="AS400" s="6">
        <f t="shared" si="53"/>
        <v>1.9199922201137345E-3</v>
      </c>
      <c r="AT400" s="6">
        <f t="shared" si="53"/>
        <v>1.9199922201137345E-3</v>
      </c>
      <c r="AU400" s="6">
        <f t="shared" si="53"/>
        <v>1.9199922201137345E-3</v>
      </c>
      <c r="AV400" s="6">
        <f t="shared" si="53"/>
        <v>1.9199922201137345E-3</v>
      </c>
      <c r="AW400" s="6">
        <f t="shared" si="53"/>
        <v>1.9199922201137345E-3</v>
      </c>
      <c r="AX400" s="6">
        <f t="shared" si="53"/>
        <v>1.9199922201137345E-3</v>
      </c>
      <c r="AY400" s="6">
        <f t="shared" si="53"/>
        <v>1.9199922201137345E-3</v>
      </c>
      <c r="AZ400" s="6">
        <f t="shared" si="53"/>
        <v>1.9199922201137345E-3</v>
      </c>
      <c r="BA400" s="6">
        <f t="shared" si="53"/>
        <v>1.9199922201137345E-3</v>
      </c>
    </row>
    <row r="401" spans="1:53" outlineLevel="1" x14ac:dyDescent="0.35">
      <c r="A401" s="6" t="s">
        <v>34</v>
      </c>
      <c r="B401" s="6">
        <f t="shared" si="52"/>
        <v>2.003508604774799E-4</v>
      </c>
      <c r="AB401" s="6" t="s">
        <v>122</v>
      </c>
      <c r="AC401" s="6">
        <f t="shared" ref="AC401:BA401" si="54">B425+B424</f>
        <v>1.1716651846833135E-3</v>
      </c>
      <c r="AD401" s="6">
        <f t="shared" si="54"/>
        <v>1.1684874034776646E-3</v>
      </c>
      <c r="AE401" s="6">
        <f t="shared" si="54"/>
        <v>1.1652958170485469E-3</v>
      </c>
      <c r="AF401" s="6">
        <f t="shared" si="54"/>
        <v>1.1616694874920907E-3</v>
      </c>
      <c r="AG401" s="6">
        <f t="shared" si="54"/>
        <v>1.1583690442833047E-3</v>
      </c>
      <c r="AH401" s="6">
        <f t="shared" si="54"/>
        <v>1.1550477769161896E-3</v>
      </c>
      <c r="AI401" s="6">
        <f t="shared" si="54"/>
        <v>1.1540713508992346E-3</v>
      </c>
      <c r="AJ401" s="6">
        <f t="shared" si="54"/>
        <v>1.1531138546847616E-3</v>
      </c>
      <c r="AK401" s="6">
        <f t="shared" si="54"/>
        <v>1.1522757702417453E-3</v>
      </c>
      <c r="AL401" s="6">
        <f t="shared" si="54"/>
        <v>1.1513556997665105E-3</v>
      </c>
      <c r="AM401" s="6">
        <f t="shared" si="54"/>
        <v>1.150459252103705E-3</v>
      </c>
      <c r="AN401" s="6">
        <f t="shared" si="54"/>
        <v>1.1500607237688552E-3</v>
      </c>
      <c r="AO401" s="6">
        <f t="shared" si="54"/>
        <v>1.1496817785124147E-3</v>
      </c>
      <c r="AP401" s="6">
        <f t="shared" si="54"/>
        <v>1.1494408721276956E-3</v>
      </c>
      <c r="AQ401" s="6">
        <f t="shared" si="54"/>
        <v>1.1490772940330755E-3</v>
      </c>
      <c r="AR401" s="6">
        <f t="shared" si="54"/>
        <v>1.1487137040293901E-3</v>
      </c>
      <c r="AS401" s="6">
        <f t="shared" si="54"/>
        <v>1.1483815793581367E-3</v>
      </c>
      <c r="AT401" s="6">
        <f t="shared" si="54"/>
        <v>1.1480580833020165E-3</v>
      </c>
      <c r="AU401" s="6">
        <f t="shared" si="54"/>
        <v>1.1478503207945608E-3</v>
      </c>
      <c r="AV401" s="6">
        <f t="shared" si="54"/>
        <v>1.1475382128930732E-3</v>
      </c>
      <c r="AW401" s="6">
        <f t="shared" si="54"/>
        <v>1.1472288135320075E-3</v>
      </c>
      <c r="AX401" s="6">
        <f t="shared" si="54"/>
        <v>1.1472306756777169E-3</v>
      </c>
      <c r="AY401" s="6">
        <f t="shared" si="54"/>
        <v>1.1470689235779264E-3</v>
      </c>
      <c r="AZ401" s="6">
        <f t="shared" si="54"/>
        <v>1.1469092616295756E-3</v>
      </c>
      <c r="BA401" s="6">
        <f t="shared" si="54"/>
        <v>1.1467516377679085E-3</v>
      </c>
    </row>
    <row r="402" spans="1:53" outlineLevel="1" x14ac:dyDescent="0.35">
      <c r="A402" s="6" t="s">
        <v>36</v>
      </c>
      <c r="B402" s="6">
        <f t="shared" si="52"/>
        <v>1.7796088726191011E-4</v>
      </c>
      <c r="AB402" s="6" t="s">
        <v>123</v>
      </c>
      <c r="AC402" s="6">
        <f t="shared" ref="AC402:BA402" si="55">B423</f>
        <v>7.2804226260985401E-5</v>
      </c>
      <c r="AD402" s="6">
        <f t="shared" si="55"/>
        <v>7.0087344465490347E-5</v>
      </c>
      <c r="AE402" s="6">
        <f t="shared" si="55"/>
        <v>6.7379762904880403E-5</v>
      </c>
      <c r="AF402" s="6">
        <f t="shared" si="55"/>
        <v>6.4666775038063601E-5</v>
      </c>
      <c r="AG402" s="6">
        <f t="shared" si="55"/>
        <v>6.1975313113404293E-5</v>
      </c>
      <c r="AH402" s="6">
        <f t="shared" si="55"/>
        <v>5.9291714799360251E-5</v>
      </c>
      <c r="AI402" s="6">
        <f t="shared" si="55"/>
        <v>5.8855302926087953E-5</v>
      </c>
      <c r="AJ402" s="6">
        <f t="shared" si="55"/>
        <v>5.8416971860771998E-5</v>
      </c>
      <c r="AK402" s="6">
        <f t="shared" si="55"/>
        <v>5.7982620925466651E-5</v>
      </c>
      <c r="AL402" s="6">
        <f t="shared" si="55"/>
        <v>5.7541318063532445E-5</v>
      </c>
      <c r="AM402" s="6">
        <f t="shared" si="55"/>
        <v>5.7098242365304049E-5</v>
      </c>
      <c r="AN402" s="6">
        <f t="shared" si="55"/>
        <v>5.66690180677972E-5</v>
      </c>
      <c r="AO402" s="6">
        <f t="shared" si="55"/>
        <v>5.624010991348225E-5</v>
      </c>
      <c r="AP402" s="6">
        <f t="shared" si="55"/>
        <v>5.5822623275101203E-5</v>
      </c>
      <c r="AQ402" s="6">
        <f t="shared" si="55"/>
        <v>5.5393505247627498E-5</v>
      </c>
      <c r="AR402" s="6">
        <f t="shared" si="55"/>
        <v>5.4964254435361049E-5</v>
      </c>
      <c r="AS402" s="6">
        <f t="shared" si="55"/>
        <v>5.4508458234388104E-5</v>
      </c>
      <c r="AT402" s="6">
        <f t="shared" si="55"/>
        <v>5.4052689243715551E-5</v>
      </c>
      <c r="AU402" s="6">
        <f t="shared" si="55"/>
        <v>5.36068473539396E-5</v>
      </c>
      <c r="AV402" s="6">
        <f t="shared" si="55"/>
        <v>5.3151386216180354E-5</v>
      </c>
      <c r="AW402" s="6">
        <f t="shared" si="55"/>
        <v>5.2695974242200005E-5</v>
      </c>
      <c r="AX402" s="6">
        <f t="shared" si="55"/>
        <v>5.2383638995709844E-5</v>
      </c>
      <c r="AY402" s="6">
        <f t="shared" si="55"/>
        <v>5.2034957620011592E-5</v>
      </c>
      <c r="AZ402" s="6">
        <f t="shared" si="55"/>
        <v>5.1686551570517097E-5</v>
      </c>
      <c r="BA402" s="6">
        <f t="shared" si="55"/>
        <v>5.1338301575648103E-5</v>
      </c>
    </row>
    <row r="403" spans="1:53" outlineLevel="1" x14ac:dyDescent="0.35">
      <c r="A403" s="6" t="s">
        <v>38</v>
      </c>
      <c r="B403" s="6">
        <f t="shared" si="52"/>
        <v>3.5546587858732069E-4</v>
      </c>
      <c r="AB403" s="6" t="s">
        <v>124</v>
      </c>
      <c r="AC403" s="6">
        <f>-$AC$384*$AC$383</f>
        <v>-1.2500340999999997E-3</v>
      </c>
      <c r="AD403" s="6">
        <f t="shared" ref="AD403:BA403" si="56">-$AC$384*$AC$383</f>
        <v>-1.2500340999999997E-3</v>
      </c>
      <c r="AE403" s="6">
        <f t="shared" si="56"/>
        <v>-1.2500340999999997E-3</v>
      </c>
      <c r="AF403" s="6">
        <f t="shared" si="56"/>
        <v>-1.2500340999999997E-3</v>
      </c>
      <c r="AG403" s="6">
        <f t="shared" si="56"/>
        <v>-1.2500340999999997E-3</v>
      </c>
      <c r="AH403" s="6">
        <f t="shared" si="56"/>
        <v>-1.2500340999999997E-3</v>
      </c>
      <c r="AI403" s="6">
        <f t="shared" si="56"/>
        <v>-1.2500340999999997E-3</v>
      </c>
      <c r="AJ403" s="6">
        <f t="shared" si="56"/>
        <v>-1.2500340999999997E-3</v>
      </c>
      <c r="AK403" s="6">
        <f t="shared" si="56"/>
        <v>-1.2500340999999997E-3</v>
      </c>
      <c r="AL403" s="6">
        <f t="shared" si="56"/>
        <v>-1.2500340999999997E-3</v>
      </c>
      <c r="AM403" s="6">
        <f t="shared" si="56"/>
        <v>-1.2500340999999997E-3</v>
      </c>
      <c r="AN403" s="6">
        <f t="shared" si="56"/>
        <v>-1.2500340999999997E-3</v>
      </c>
      <c r="AO403" s="6">
        <f t="shared" si="56"/>
        <v>-1.2500340999999997E-3</v>
      </c>
      <c r="AP403" s="6">
        <f t="shared" si="56"/>
        <v>-1.2500340999999997E-3</v>
      </c>
      <c r="AQ403" s="6">
        <f t="shared" si="56"/>
        <v>-1.2500340999999997E-3</v>
      </c>
      <c r="AR403" s="6">
        <f t="shared" si="56"/>
        <v>-1.2500340999999997E-3</v>
      </c>
      <c r="AS403" s="6">
        <f t="shared" si="56"/>
        <v>-1.2500340999999997E-3</v>
      </c>
      <c r="AT403" s="6">
        <f t="shared" si="56"/>
        <v>-1.2500340999999997E-3</v>
      </c>
      <c r="AU403" s="6">
        <f t="shared" si="56"/>
        <v>-1.2500340999999997E-3</v>
      </c>
      <c r="AV403" s="6">
        <f t="shared" si="56"/>
        <v>-1.2500340999999997E-3</v>
      </c>
      <c r="AW403" s="6">
        <f t="shared" si="56"/>
        <v>-1.2500340999999997E-3</v>
      </c>
      <c r="AX403" s="6">
        <f t="shared" si="56"/>
        <v>-1.2500340999999997E-3</v>
      </c>
      <c r="AY403" s="6">
        <f t="shared" si="56"/>
        <v>-1.2500340999999997E-3</v>
      </c>
      <c r="AZ403" s="6">
        <f t="shared" si="56"/>
        <v>-1.2500340999999997E-3</v>
      </c>
      <c r="BA403" s="6">
        <f t="shared" si="56"/>
        <v>-1.2500340999999997E-3</v>
      </c>
    </row>
    <row r="404" spans="1:53" outlineLevel="1" x14ac:dyDescent="0.35">
      <c r="A404" s="6" t="s">
        <v>39</v>
      </c>
      <c r="B404" s="6">
        <f t="shared" si="52"/>
        <v>4.609356238257833E-3</v>
      </c>
      <c r="AB404" s="23" t="s">
        <v>125</v>
      </c>
      <c r="AC404" s="17">
        <f t="shared" ref="AC404:BA404" si="57">SUM(AC395:AC403)</f>
        <v>8.9916971319408383E-3</v>
      </c>
      <c r="AD404" s="17">
        <f t="shared" si="57"/>
        <v>1.9085328680568895E-3</v>
      </c>
      <c r="AE404" s="17">
        <f t="shared" si="57"/>
        <v>1.9026337000671622E-3</v>
      </c>
      <c r="AF404" s="17">
        <f t="shared" si="57"/>
        <v>1.9823745788576531E-3</v>
      </c>
      <c r="AG404" s="17">
        <f t="shared" si="57"/>
        <v>1.8903024775104435E-3</v>
      </c>
      <c r="AH404" s="17">
        <f t="shared" si="57"/>
        <v>1.8842976118292843E-3</v>
      </c>
      <c r="AI404" s="17">
        <f t="shared" si="57"/>
        <v>1.9675858016516647E-3</v>
      </c>
      <c r="AJ404" s="17">
        <f t="shared" si="57"/>
        <v>1.8814889466592685E-3</v>
      </c>
      <c r="AK404" s="17">
        <f t="shared" si="57"/>
        <v>1.8802165112809469E-3</v>
      </c>
      <c r="AL404" s="17">
        <f t="shared" si="57"/>
        <v>1.9631851820827249E-3</v>
      </c>
      <c r="AM404" s="17">
        <f t="shared" si="57"/>
        <v>1.8775156145827442E-3</v>
      </c>
      <c r="AN404" s="17">
        <f t="shared" si="57"/>
        <v>1.8766878619503871E-3</v>
      </c>
      <c r="AO404" s="17">
        <f t="shared" si="57"/>
        <v>1.9600525831863784E-3</v>
      </c>
      <c r="AP404" s="17">
        <f t="shared" si="57"/>
        <v>1.8752216155165317E-3</v>
      </c>
      <c r="AQ404" s="17">
        <f t="shared" si="57"/>
        <v>1.8744289193944378E-3</v>
      </c>
      <c r="AR404" s="17">
        <f t="shared" si="57"/>
        <v>1.9577858215232466E-3</v>
      </c>
      <c r="AS404" s="17">
        <f t="shared" si="57"/>
        <v>1.8728481577062594E-3</v>
      </c>
      <c r="AT404" s="17">
        <f t="shared" si="57"/>
        <v>1.8720688926594669E-3</v>
      </c>
      <c r="AU404" s="17">
        <f t="shared" si="57"/>
        <v>1.9554376131084056E-3</v>
      </c>
      <c r="AV404" s="17">
        <f t="shared" si="57"/>
        <v>1.8706477192229885E-3</v>
      </c>
      <c r="AW404" s="17">
        <f t="shared" si="57"/>
        <v>1.8698829078879421E-3</v>
      </c>
      <c r="AX404" s="17">
        <f t="shared" si="57"/>
        <v>1.9534853360646245E-3</v>
      </c>
      <c r="AY404" s="17">
        <f t="shared" si="57"/>
        <v>1.8690620013116729E-3</v>
      </c>
      <c r="AZ404" s="17">
        <f t="shared" si="57"/>
        <v>1.8685539333138275E-3</v>
      </c>
      <c r="BA404" s="17">
        <f t="shared" si="57"/>
        <v>2.0399629404291237E-3</v>
      </c>
    </row>
    <row r="405" spans="1:53" outlineLevel="1" x14ac:dyDescent="0.35">
      <c r="A405" s="6" t="s">
        <v>41</v>
      </c>
      <c r="B405" s="6">
        <f t="shared" si="52"/>
        <v>4.4670454668324006E-6</v>
      </c>
    </row>
    <row r="406" spans="1:53" outlineLevel="1" x14ac:dyDescent="0.35">
      <c r="A406" s="6" t="s">
        <v>43</v>
      </c>
      <c r="B406" s="6">
        <f t="shared" si="52"/>
        <v>2.7602690065614942E-5</v>
      </c>
      <c r="AB406" s="272"/>
      <c r="AC406" s="272"/>
      <c r="AD406" s="272"/>
      <c r="AE406" s="272"/>
      <c r="AF406" s="272"/>
      <c r="AG406" s="272"/>
      <c r="AH406" s="272"/>
      <c r="AI406" s="272"/>
      <c r="AJ406" s="272"/>
      <c r="AK406" s="272"/>
      <c r="AL406" s="272"/>
      <c r="AM406" s="272"/>
      <c r="AN406" s="272"/>
      <c r="AO406" s="272"/>
      <c r="AP406" s="272"/>
      <c r="AQ406" s="272"/>
      <c r="AR406" s="272"/>
      <c r="AS406" s="272"/>
      <c r="AT406" s="272"/>
      <c r="AU406" s="272"/>
      <c r="AV406" s="272"/>
      <c r="AW406" s="272"/>
      <c r="AX406" s="272"/>
      <c r="AY406" s="272"/>
      <c r="AZ406" s="272"/>
      <c r="BA406" s="272"/>
    </row>
    <row r="407" spans="1:53" outlineLevel="1" x14ac:dyDescent="0.35">
      <c r="A407" s="6" t="s">
        <v>44</v>
      </c>
      <c r="B407" s="6">
        <f>B102*AC385</f>
        <v>1.0085543329052239E-4</v>
      </c>
      <c r="AB407" s="272"/>
      <c r="AC407" s="272"/>
      <c r="AD407" s="272"/>
      <c r="AE407" s="272"/>
      <c r="AF407" s="272"/>
      <c r="AG407" s="272"/>
      <c r="AH407" s="272"/>
      <c r="AI407" s="272"/>
      <c r="AJ407" s="272"/>
      <c r="AK407" s="272"/>
      <c r="AL407" s="272"/>
      <c r="AM407" s="272"/>
      <c r="AN407" s="272"/>
      <c r="AO407" s="272"/>
      <c r="AP407" s="272"/>
      <c r="AQ407" s="272"/>
      <c r="AR407" s="272"/>
      <c r="AS407" s="272"/>
      <c r="AT407" s="272"/>
      <c r="AU407" s="272"/>
      <c r="AV407" s="272"/>
      <c r="AW407" s="272"/>
      <c r="AX407" s="272"/>
      <c r="AY407" s="272"/>
      <c r="AZ407" s="272"/>
      <c r="BA407" s="272"/>
    </row>
    <row r="408" spans="1:53" outlineLevel="1" x14ac:dyDescent="0.35">
      <c r="A408" s="6" t="s">
        <v>757</v>
      </c>
      <c r="B408" s="6">
        <f>B103*AC385</f>
        <v>1.9637807401498772E-4</v>
      </c>
      <c r="AB408" s="272"/>
      <c r="AC408" s="272"/>
      <c r="AD408" s="272"/>
      <c r="AE408" s="272"/>
      <c r="AF408" s="272"/>
      <c r="AG408" s="272"/>
      <c r="AH408" s="272"/>
      <c r="AI408" s="272"/>
      <c r="AJ408" s="272"/>
      <c r="AK408" s="272"/>
      <c r="AL408" s="272"/>
      <c r="AM408" s="272"/>
      <c r="AN408" s="272"/>
      <c r="AO408" s="272"/>
      <c r="AP408" s="272"/>
      <c r="AQ408" s="272"/>
      <c r="AR408" s="272"/>
      <c r="AS408" s="272"/>
      <c r="AT408" s="272"/>
      <c r="AU408" s="272"/>
      <c r="AV408" s="272"/>
      <c r="AW408" s="272"/>
      <c r="AX408" s="272"/>
      <c r="AY408" s="272"/>
      <c r="AZ408" s="272"/>
      <c r="BA408" s="272"/>
    </row>
    <row r="409" spans="1:53" outlineLevel="1" x14ac:dyDescent="0.35">
      <c r="A409" s="6" t="s">
        <v>22</v>
      </c>
      <c r="Z409" s="6">
        <f>Z104</f>
        <v>1.545560979437975E-6</v>
      </c>
      <c r="AB409" s="272"/>
      <c r="AC409" s="272"/>
      <c r="AD409" s="272"/>
      <c r="AE409" s="272"/>
      <c r="AF409" s="272"/>
      <c r="AG409" s="272"/>
      <c r="AH409" s="272"/>
      <c r="AI409" s="272"/>
      <c r="AJ409" s="272"/>
      <c r="AK409" s="272"/>
      <c r="AL409" s="272"/>
      <c r="AM409" s="272"/>
      <c r="AN409" s="272"/>
      <c r="AO409" s="272"/>
      <c r="AP409" s="272"/>
      <c r="AQ409" s="272"/>
      <c r="AR409" s="272"/>
      <c r="AS409" s="272"/>
      <c r="AT409" s="272"/>
      <c r="AU409" s="272"/>
      <c r="AV409" s="272"/>
      <c r="AW409" s="272"/>
      <c r="AX409" s="272"/>
      <c r="AY409" s="272"/>
      <c r="AZ409" s="272"/>
      <c r="BA409" s="272"/>
    </row>
    <row r="410" spans="1:53" outlineLevel="1" x14ac:dyDescent="0.35">
      <c r="A410" s="6" t="s">
        <v>24</v>
      </c>
      <c r="Z410" s="6">
        <f t="shared" ref="Z410:Z420" si="58">Z105</f>
        <v>9.3465848653713397E-7</v>
      </c>
      <c r="AB410" s="272"/>
      <c r="AC410" s="272"/>
      <c r="AD410" s="272"/>
      <c r="AE410" s="272"/>
      <c r="AF410" s="272"/>
      <c r="AG410" s="272"/>
      <c r="AH410" s="272"/>
      <c r="AI410" s="272"/>
      <c r="AJ410" s="272"/>
      <c r="AK410" s="272"/>
      <c r="AL410" s="272"/>
      <c r="AM410" s="272"/>
      <c r="AN410" s="272"/>
      <c r="AO410" s="272"/>
      <c r="AP410" s="272"/>
      <c r="AQ410" s="272"/>
      <c r="AR410" s="272"/>
      <c r="AS410" s="272"/>
      <c r="AT410" s="272"/>
      <c r="AU410" s="272"/>
      <c r="AV410" s="272"/>
      <c r="AW410" s="272"/>
      <c r="AX410" s="272"/>
      <c r="AY410" s="272"/>
      <c r="AZ410" s="272"/>
      <c r="BA410" s="272"/>
    </row>
    <row r="411" spans="1:53" outlineLevel="1" x14ac:dyDescent="0.35">
      <c r="A411" s="6" t="s">
        <v>25</v>
      </c>
      <c r="Z411" s="6">
        <f t="shared" si="58"/>
        <v>3.0098420730375761E-6</v>
      </c>
      <c r="AB411" s="272"/>
      <c r="AC411" s="272"/>
      <c r="AD411" s="272"/>
      <c r="AE411" s="272"/>
      <c r="AF411" s="272"/>
      <c r="AG411" s="272"/>
      <c r="AH411" s="272"/>
      <c r="AI411" s="272"/>
      <c r="AJ411" s="272"/>
      <c r="AK411" s="272"/>
      <c r="AL411" s="272"/>
      <c r="AM411" s="272"/>
      <c r="AN411" s="272"/>
      <c r="AO411" s="272"/>
      <c r="AP411" s="272"/>
      <c r="AQ411" s="272"/>
      <c r="AR411" s="272"/>
      <c r="AS411" s="272"/>
      <c r="AT411" s="272"/>
      <c r="AU411" s="272"/>
      <c r="AV411" s="272"/>
      <c r="AW411" s="272"/>
      <c r="AX411" s="272"/>
      <c r="AY411" s="272"/>
      <c r="AZ411" s="272"/>
      <c r="BA411" s="272"/>
    </row>
    <row r="412" spans="1:53" outlineLevel="1" x14ac:dyDescent="0.35">
      <c r="A412" s="6" t="s">
        <v>27</v>
      </c>
      <c r="Z412" s="6">
        <f t="shared" si="58"/>
        <v>9.2668024250964073E-7</v>
      </c>
      <c r="AB412" s="272"/>
      <c r="AC412" s="272"/>
      <c r="AD412" s="272"/>
      <c r="AE412" s="272"/>
      <c r="AF412" s="272"/>
      <c r="AG412" s="272"/>
      <c r="AH412" s="272"/>
      <c r="AI412" s="272"/>
      <c r="AJ412" s="272"/>
      <c r="AK412" s="272"/>
      <c r="AL412" s="272"/>
      <c r="AM412" s="272"/>
      <c r="AN412" s="272"/>
      <c r="AO412" s="272"/>
      <c r="AP412" s="272"/>
      <c r="AQ412" s="272"/>
      <c r="AR412" s="272"/>
      <c r="AS412" s="272"/>
      <c r="AT412" s="272"/>
      <c r="AU412" s="272"/>
      <c r="AV412" s="272"/>
      <c r="AW412" s="272"/>
      <c r="AX412" s="272"/>
      <c r="AY412" s="272"/>
      <c r="AZ412" s="272"/>
      <c r="BA412" s="272"/>
    </row>
    <row r="413" spans="1:53" outlineLevel="1" x14ac:dyDescent="0.35">
      <c r="A413" s="6" t="s">
        <v>30</v>
      </c>
      <c r="Z413" s="6">
        <f t="shared" si="58"/>
        <v>2.258038942088552E-6</v>
      </c>
      <c r="AB413" s="272"/>
      <c r="AC413" s="272"/>
      <c r="AD413" s="272"/>
      <c r="AE413" s="272"/>
      <c r="AF413" s="272"/>
      <c r="AG413" s="272"/>
      <c r="AH413" s="272"/>
      <c r="AI413" s="272"/>
      <c r="AJ413" s="272"/>
      <c r="AK413" s="272"/>
      <c r="AL413" s="272"/>
      <c r="AM413" s="272"/>
      <c r="AN413" s="272"/>
      <c r="AO413" s="272"/>
      <c r="AP413" s="272"/>
      <c r="AQ413" s="272"/>
      <c r="AR413" s="272"/>
      <c r="AS413" s="272"/>
      <c r="AT413" s="272"/>
      <c r="AU413" s="272"/>
      <c r="AV413" s="272"/>
      <c r="AW413" s="272"/>
      <c r="AX413" s="272"/>
      <c r="AY413" s="272"/>
      <c r="AZ413" s="272"/>
      <c r="BA413" s="272"/>
    </row>
    <row r="414" spans="1:53" outlineLevel="1" x14ac:dyDescent="0.35">
      <c r="A414" s="6" t="s">
        <v>32</v>
      </c>
      <c r="Z414" s="6">
        <f t="shared" si="58"/>
        <v>3.8838856300837962E-7</v>
      </c>
      <c r="AB414" s="272"/>
      <c r="AC414" s="272"/>
      <c r="AD414" s="272"/>
      <c r="AE414" s="272"/>
      <c r="AF414" s="272"/>
      <c r="AG414" s="272"/>
      <c r="AH414" s="272"/>
      <c r="AI414" s="272"/>
      <c r="AJ414" s="272"/>
      <c r="AK414" s="272"/>
      <c r="AL414" s="272"/>
      <c r="AM414" s="272"/>
      <c r="AN414" s="272"/>
      <c r="AO414" s="272"/>
      <c r="AP414" s="272"/>
      <c r="AQ414" s="272"/>
      <c r="AR414" s="272"/>
      <c r="AS414" s="272"/>
      <c r="AT414" s="272"/>
      <c r="AU414" s="272"/>
      <c r="AV414" s="272"/>
      <c r="AW414" s="272"/>
      <c r="AX414" s="272"/>
      <c r="AY414" s="272"/>
      <c r="AZ414" s="272"/>
      <c r="BA414" s="272"/>
    </row>
    <row r="415" spans="1:53" outlineLevel="1" x14ac:dyDescent="0.35">
      <c r="A415" s="6" t="s">
        <v>33</v>
      </c>
      <c r="Z415" s="6">
        <f t="shared" si="58"/>
        <v>7.3509514172885058E-7</v>
      </c>
      <c r="AB415" s="272"/>
      <c r="AC415" s="272"/>
      <c r="AD415" s="272"/>
      <c r="AE415" s="272"/>
      <c r="AF415" s="272"/>
      <c r="AG415" s="272"/>
      <c r="AH415" s="272"/>
      <c r="AI415" s="272"/>
      <c r="AJ415" s="272"/>
      <c r="AK415" s="272"/>
      <c r="AL415" s="272"/>
      <c r="AM415" s="272"/>
      <c r="AN415" s="272"/>
      <c r="AO415" s="272"/>
      <c r="AP415" s="272"/>
      <c r="AQ415" s="272"/>
      <c r="AR415" s="272"/>
      <c r="AS415" s="272"/>
      <c r="AT415" s="272"/>
      <c r="AU415" s="272"/>
      <c r="AV415" s="272"/>
      <c r="AW415" s="272"/>
      <c r="AX415" s="272"/>
      <c r="AY415" s="272"/>
      <c r="AZ415" s="272"/>
      <c r="BA415" s="272"/>
    </row>
    <row r="416" spans="1:53" outlineLevel="1" x14ac:dyDescent="0.35">
      <c r="A416" s="6" t="s">
        <v>35</v>
      </c>
      <c r="Z416" s="6">
        <f t="shared" si="58"/>
        <v>1.470190283457701E-6</v>
      </c>
      <c r="AB416" s="272"/>
      <c r="AC416" s="272"/>
      <c r="AD416" s="272"/>
      <c r="AE416" s="272"/>
      <c r="AF416" s="272"/>
      <c r="AG416" s="272"/>
      <c r="AH416" s="272"/>
      <c r="AI416" s="272"/>
      <c r="AJ416" s="272"/>
      <c r="AK416" s="272"/>
      <c r="AL416" s="272"/>
      <c r="AM416" s="272"/>
      <c r="AN416" s="272"/>
      <c r="AO416" s="272"/>
      <c r="AP416" s="272"/>
      <c r="AQ416" s="272"/>
      <c r="AR416" s="272"/>
      <c r="AS416" s="272"/>
      <c r="AT416" s="272"/>
      <c r="AU416" s="272"/>
      <c r="AV416" s="272"/>
      <c r="AW416" s="272"/>
      <c r="AX416" s="272"/>
      <c r="AY416" s="272"/>
      <c r="AZ416" s="272"/>
      <c r="BA416" s="272"/>
    </row>
    <row r="417" spans="1:53" outlineLevel="1" x14ac:dyDescent="0.35">
      <c r="A417" s="6" t="s">
        <v>37</v>
      </c>
      <c r="Z417" s="6">
        <f t="shared" si="58"/>
        <v>2.3548474687377391E-6</v>
      </c>
      <c r="AB417" s="272"/>
      <c r="AC417" s="272"/>
      <c r="AD417" s="272"/>
      <c r="AE417" s="272"/>
      <c r="AF417" s="272"/>
      <c r="AG417" s="272"/>
      <c r="AH417" s="272"/>
      <c r="AI417" s="272"/>
      <c r="AJ417" s="272"/>
      <c r="AK417" s="272"/>
      <c r="AL417" s="272"/>
      <c r="AM417" s="272"/>
      <c r="AN417" s="272"/>
      <c r="AO417" s="272"/>
      <c r="AP417" s="272"/>
      <c r="AQ417" s="272"/>
      <c r="AR417" s="272"/>
      <c r="AS417" s="272"/>
      <c r="AT417" s="272"/>
      <c r="AU417" s="272"/>
      <c r="AV417" s="272"/>
      <c r="AW417" s="272"/>
      <c r="AX417" s="272"/>
      <c r="AY417" s="272"/>
      <c r="AZ417" s="272"/>
      <c r="BA417" s="272"/>
    </row>
    <row r="418" spans="1:53" outlineLevel="1" x14ac:dyDescent="0.35">
      <c r="A418" s="6" t="s">
        <v>40</v>
      </c>
      <c r="Z418" s="6">
        <f t="shared" si="58"/>
        <v>6.116738723743368E-5</v>
      </c>
    </row>
    <row r="419" spans="1:53" outlineLevel="1" x14ac:dyDescent="0.35">
      <c r="A419" s="6" t="s">
        <v>42</v>
      </c>
      <c r="Z419" s="6">
        <f t="shared" si="58"/>
        <v>1.4176426125740861E-6</v>
      </c>
    </row>
    <row r="420" spans="1:53" outlineLevel="1" x14ac:dyDescent="0.35">
      <c r="A420" s="6" t="s">
        <v>115</v>
      </c>
      <c r="Z420" s="6">
        <f t="shared" si="58"/>
        <v>1.1076286322649199E-5</v>
      </c>
    </row>
    <row r="421" spans="1:53" outlineLevel="1" x14ac:dyDescent="0.35">
      <c r="A421" s="6" t="s">
        <v>45</v>
      </c>
      <c r="Z421" s="6">
        <f>Z116*AC385</f>
        <v>8.0721455959223152E-7</v>
      </c>
    </row>
    <row r="422" spans="1:53" outlineLevel="1" x14ac:dyDescent="0.35">
      <c r="A422" s="6" t="s">
        <v>116</v>
      </c>
      <c r="B422" s="6">
        <f>B117</f>
        <v>8.7945321917406969E-5</v>
      </c>
      <c r="C422" s="6">
        <f t="shared" ref="C422:Z422" si="59">C117</f>
        <v>8.7360235411899532E-5</v>
      </c>
      <c r="D422" s="6">
        <f t="shared" si="59"/>
        <v>8.6765503824792284E-5</v>
      </c>
      <c r="E422" s="6">
        <f t="shared" si="59"/>
        <v>8.6080196213763786E-5</v>
      </c>
      <c r="F422" s="6">
        <f t="shared" si="59"/>
        <v>8.5464054794002432E-5</v>
      </c>
      <c r="G422" s="6">
        <f t="shared" si="59"/>
        <v>8.4834713089503808E-5</v>
      </c>
      <c r="H422" s="6">
        <f t="shared" si="59"/>
        <v>8.4701027712607356E-5</v>
      </c>
      <c r="I422" s="6">
        <f t="shared" si="59"/>
        <v>8.4568621138586455E-5</v>
      </c>
      <c r="J422" s="6">
        <f t="shared" si="59"/>
        <v>8.4458761190899453E-5</v>
      </c>
      <c r="K422" s="6">
        <f t="shared" si="59"/>
        <v>8.4330044138947001E-5</v>
      </c>
      <c r="L422" s="6">
        <f t="shared" si="59"/>
        <v>8.4202367591460354E-5</v>
      </c>
      <c r="M422" s="6">
        <f t="shared" si="59"/>
        <v>8.4187554397060824E-5</v>
      </c>
      <c r="N422" s="6">
        <f t="shared" si="59"/>
        <v>8.4172574646746671E-5</v>
      </c>
      <c r="O422" s="6">
        <f t="shared" si="59"/>
        <v>8.4180254077178415E-5</v>
      </c>
      <c r="P422" s="6">
        <f t="shared" si="59"/>
        <v>8.4165188620623885E-5</v>
      </c>
      <c r="Q422" s="6">
        <f t="shared" si="59"/>
        <v>8.4149742944760532E-5</v>
      </c>
      <c r="R422" s="6">
        <f t="shared" si="59"/>
        <v>8.4100171097197348E-5</v>
      </c>
      <c r="S422" s="6">
        <f t="shared" si="59"/>
        <v>8.4051075894570141E-5</v>
      </c>
      <c r="T422" s="6">
        <f t="shared" si="59"/>
        <v>8.4022324846170663E-5</v>
      </c>
      <c r="U422" s="6">
        <f t="shared" si="59"/>
        <v>8.3974643200084739E-5</v>
      </c>
      <c r="V422" s="6">
        <f t="shared" si="59"/>
        <v>8.3927396701806331E-5</v>
      </c>
      <c r="W422" s="6">
        <f t="shared" si="59"/>
        <v>8.3912901277463149E-5</v>
      </c>
      <c r="X422" s="6">
        <f t="shared" si="59"/>
        <v>8.388285103802466E-5</v>
      </c>
      <c r="Y422" s="6">
        <f t="shared" si="59"/>
        <v>8.3852901737358851E-5</v>
      </c>
      <c r="Z422" s="6">
        <f t="shared" si="59"/>
        <v>8.3823048059039279E-5</v>
      </c>
    </row>
    <row r="423" spans="1:53" outlineLevel="1" x14ac:dyDescent="0.35">
      <c r="A423" s="6" t="s">
        <v>758</v>
      </c>
      <c r="B423" s="6">
        <f>B118*$AC$385</f>
        <v>7.2804226260985401E-5</v>
      </c>
      <c r="C423" s="6">
        <f t="shared" ref="C423:Z424" si="60">C118*$AC$385</f>
        <v>7.0087344465490347E-5</v>
      </c>
      <c r="D423" s="6">
        <f t="shared" si="60"/>
        <v>6.7379762904880403E-5</v>
      </c>
      <c r="E423" s="6">
        <f t="shared" si="60"/>
        <v>6.4666775038063601E-5</v>
      </c>
      <c r="F423" s="6">
        <f t="shared" si="60"/>
        <v>6.1975313113404293E-5</v>
      </c>
      <c r="G423" s="6">
        <f t="shared" si="60"/>
        <v>5.9291714799360251E-5</v>
      </c>
      <c r="H423" s="6">
        <f t="shared" si="60"/>
        <v>5.8855302926087953E-5</v>
      </c>
      <c r="I423" s="6">
        <f t="shared" si="60"/>
        <v>5.8416971860771998E-5</v>
      </c>
      <c r="J423" s="6">
        <f t="shared" si="60"/>
        <v>5.7982620925466651E-5</v>
      </c>
      <c r="K423" s="6">
        <f t="shared" si="60"/>
        <v>5.7541318063532445E-5</v>
      </c>
      <c r="L423" s="6">
        <f t="shared" si="60"/>
        <v>5.7098242365304049E-5</v>
      </c>
      <c r="M423" s="6">
        <f t="shared" si="60"/>
        <v>5.66690180677972E-5</v>
      </c>
      <c r="N423" s="6">
        <f t="shared" si="60"/>
        <v>5.624010991348225E-5</v>
      </c>
      <c r="O423" s="6">
        <f t="shared" si="60"/>
        <v>5.5822623275101203E-5</v>
      </c>
      <c r="P423" s="6">
        <f t="shared" si="60"/>
        <v>5.5393505247627498E-5</v>
      </c>
      <c r="Q423" s="6">
        <f t="shared" si="60"/>
        <v>5.4964254435361049E-5</v>
      </c>
      <c r="R423" s="6">
        <f t="shared" si="60"/>
        <v>5.4508458234388104E-5</v>
      </c>
      <c r="S423" s="6">
        <f t="shared" si="60"/>
        <v>5.4052689243715551E-5</v>
      </c>
      <c r="T423" s="6">
        <f t="shared" si="60"/>
        <v>5.36068473539396E-5</v>
      </c>
      <c r="U423" s="6">
        <f t="shared" si="60"/>
        <v>5.3151386216180354E-5</v>
      </c>
      <c r="V423" s="6">
        <f t="shared" si="60"/>
        <v>5.2695974242200005E-5</v>
      </c>
      <c r="W423" s="6">
        <f t="shared" si="60"/>
        <v>5.2383638995709844E-5</v>
      </c>
      <c r="X423" s="6">
        <f t="shared" si="60"/>
        <v>5.2034957620011592E-5</v>
      </c>
      <c r="Y423" s="6">
        <f t="shared" si="60"/>
        <v>5.1686551570517097E-5</v>
      </c>
      <c r="Z423" s="6">
        <f t="shared" si="60"/>
        <v>5.1338301575648103E-5</v>
      </c>
    </row>
    <row r="424" spans="1:53" outlineLevel="1" x14ac:dyDescent="0.35">
      <c r="A424" s="6" t="s">
        <v>759</v>
      </c>
      <c r="B424" s="6">
        <f>B119*$AC$385</f>
        <v>1.0368000147309429E-7</v>
      </c>
      <c r="C424" s="6">
        <f t="shared" si="60"/>
        <v>1.0368000147309429E-7</v>
      </c>
      <c r="D424" s="6">
        <f t="shared" si="60"/>
        <v>1.0368000147309429E-7</v>
      </c>
      <c r="E424" s="6">
        <f t="shared" si="60"/>
        <v>1.0368000147309429E-7</v>
      </c>
      <c r="F424" s="6">
        <f t="shared" si="60"/>
        <v>1.0368000147309429E-7</v>
      </c>
      <c r="G424" s="6">
        <f t="shared" si="60"/>
        <v>1.0368000147309429E-7</v>
      </c>
      <c r="H424" s="6">
        <f t="shared" si="60"/>
        <v>1.0368000147309429E-7</v>
      </c>
      <c r="I424" s="6">
        <f t="shared" si="60"/>
        <v>1.0368000147309429E-7</v>
      </c>
      <c r="J424" s="6">
        <f t="shared" si="60"/>
        <v>1.0368000147309429E-7</v>
      </c>
      <c r="K424" s="6">
        <f t="shared" si="60"/>
        <v>1.0368000147309429E-7</v>
      </c>
      <c r="L424" s="6">
        <f t="shared" si="60"/>
        <v>1.0368000147309429E-7</v>
      </c>
      <c r="M424" s="6">
        <f t="shared" si="60"/>
        <v>1.0368000147309429E-7</v>
      </c>
      <c r="N424" s="6">
        <f t="shared" si="60"/>
        <v>1.0368000147309429E-7</v>
      </c>
      <c r="O424" s="6">
        <f t="shared" si="60"/>
        <v>1.0368000147309429E-7</v>
      </c>
      <c r="P424" s="6">
        <f t="shared" si="60"/>
        <v>1.0368000147309429E-7</v>
      </c>
      <c r="Q424" s="6">
        <f t="shared" si="60"/>
        <v>1.0368000147309429E-7</v>
      </c>
      <c r="R424" s="6">
        <f t="shared" si="60"/>
        <v>1.0368000147309429E-7</v>
      </c>
      <c r="S424" s="6">
        <f t="shared" si="60"/>
        <v>1.0368000147309429E-7</v>
      </c>
      <c r="T424" s="6">
        <f t="shared" si="60"/>
        <v>1.0368000147309429E-7</v>
      </c>
      <c r="U424" s="6">
        <f t="shared" si="60"/>
        <v>1.0368000147309429E-7</v>
      </c>
      <c r="V424" s="6">
        <f t="shared" si="60"/>
        <v>1.0368000147309429E-7</v>
      </c>
      <c r="W424" s="6">
        <f t="shared" si="60"/>
        <v>1.0368000147309429E-7</v>
      </c>
      <c r="X424" s="6">
        <f t="shared" si="60"/>
        <v>1.0368000147309429E-7</v>
      </c>
      <c r="Y424" s="6">
        <f t="shared" si="60"/>
        <v>1.0368000147309429E-7</v>
      </c>
      <c r="Z424" s="6">
        <f t="shared" si="60"/>
        <v>1.0368000147309429E-7</v>
      </c>
    </row>
    <row r="425" spans="1:53" outlineLevel="1" x14ac:dyDescent="0.35">
      <c r="A425" s="6" t="s">
        <v>760</v>
      </c>
      <c r="B425" s="6">
        <f>$B$252*$AC$384*'Results - raw data ReCiPe (E)'!AC128/(1-0.5)*(1+'Results ReCiPe (E) - HHD'!$AC$271/'Results ReCiPe (E) - HHD'!$AC$272-'Results ReCiPe (E) - HHD'!$AC$271)</f>
        <v>1.1715615046818404E-3</v>
      </c>
      <c r="C425" s="6">
        <f>$B$252*$AC$384*'Results - raw data ReCiPe (E)'!AD128/(1-0.5)*(1+'Results ReCiPe (E) - HHD'!$AC$271/'Results ReCiPe (E) - HHD'!$AC$272-'Results ReCiPe (E) - HHD'!$AC$271)</f>
        <v>1.1683837234761916E-3</v>
      </c>
      <c r="D425" s="6">
        <f>$B$252*$AC$384*'Results - raw data ReCiPe (E)'!AE128/(1-0.5)*(1+'Results ReCiPe (E) - HHD'!$AC$271/'Results ReCiPe (E) - HHD'!$AC$272-'Results ReCiPe (E) - HHD'!$AC$271)</f>
        <v>1.1651921370470738E-3</v>
      </c>
      <c r="E425" s="6">
        <f>$B$252*$AC$384*'Results - raw data ReCiPe (E)'!AF128/(1-0.5)*(1+'Results ReCiPe (E) - HHD'!$AC$271/'Results ReCiPe (E) - HHD'!$AC$272-'Results ReCiPe (E) - HHD'!$AC$271)</f>
        <v>1.1615658074906176E-3</v>
      </c>
      <c r="F425" s="6">
        <f>$B$252*$AC$384*'Results - raw data ReCiPe (E)'!AG128/(1-0.5)*(1+'Results ReCiPe (E) - HHD'!$AC$271/'Results ReCiPe (E) - HHD'!$AC$272-'Results ReCiPe (E) - HHD'!$AC$271)</f>
        <v>1.1582653642818316E-3</v>
      </c>
      <c r="G425" s="6">
        <f>$B$252*$AC$384*'Results - raw data ReCiPe (E)'!AH128/(1-0.5)*(1+'Results ReCiPe (E) - HHD'!$AC$271/'Results ReCiPe (E) - HHD'!$AC$272-'Results ReCiPe (E) - HHD'!$AC$271)</f>
        <v>1.1549440969147165E-3</v>
      </c>
      <c r="H425" s="6">
        <f>$B$252*$AC$384*'Results - raw data ReCiPe (E)'!AI128/(1-0.5)*(1+'Results ReCiPe (E) - HHD'!$AC$271/'Results ReCiPe (E) - HHD'!$AC$272-'Results ReCiPe (E) - HHD'!$AC$271)</f>
        <v>1.1539676708977615E-3</v>
      </c>
      <c r="I425" s="6">
        <f>$B$252*$AC$384*'Results - raw data ReCiPe (E)'!AJ128/(1-0.5)*(1+'Results ReCiPe (E) - HHD'!$AC$271/'Results ReCiPe (E) - HHD'!$AC$272-'Results ReCiPe (E) - HHD'!$AC$271)</f>
        <v>1.1530101746832886E-3</v>
      </c>
      <c r="J425" s="6">
        <f>$B$252*$AC$384*'Results - raw data ReCiPe (E)'!AK128/(1-0.5)*(1+'Results ReCiPe (E) - HHD'!$AC$271/'Results ReCiPe (E) - HHD'!$AC$272-'Results ReCiPe (E) - HHD'!$AC$271)</f>
        <v>1.1521720902402722E-3</v>
      </c>
      <c r="K425" s="6">
        <f>$B$252*$AC$384*'Results - raw data ReCiPe (E)'!AL128/(1-0.5)*(1+'Results ReCiPe (E) - HHD'!$AC$271/'Results ReCiPe (E) - HHD'!$AC$272-'Results ReCiPe (E) - HHD'!$AC$271)</f>
        <v>1.1512520197650374E-3</v>
      </c>
      <c r="L425" s="6">
        <f>$B$252*$AC$384*'Results - raw data ReCiPe (E)'!AM128/(1-0.5)*(1+'Results ReCiPe (E) - HHD'!$AC$271/'Results ReCiPe (E) - HHD'!$AC$272-'Results ReCiPe (E) - HHD'!$AC$271)</f>
        <v>1.1503555721022319E-3</v>
      </c>
      <c r="M425" s="6">
        <f>$B$252*$AC$384*'Results - raw data ReCiPe (E)'!AN128/(1-0.5)*(1+'Results ReCiPe (E) - HHD'!$AC$271/'Results ReCiPe (E) - HHD'!$AC$272-'Results ReCiPe (E) - HHD'!$AC$271)</f>
        <v>1.1499570437673821E-3</v>
      </c>
      <c r="N425" s="6">
        <f>$B$252*$AC$384*'Results - raw data ReCiPe (E)'!AO128/(1-0.5)*(1+'Results ReCiPe (E) - HHD'!$AC$271/'Results ReCiPe (E) - HHD'!$AC$272-'Results ReCiPe (E) - HHD'!$AC$271)</f>
        <v>1.1495780985109416E-3</v>
      </c>
      <c r="O425" s="6">
        <f>$B$252*$AC$384*'Results - raw data ReCiPe (E)'!AP128/(1-0.5)*(1+'Results ReCiPe (E) - HHD'!$AC$271/'Results ReCiPe (E) - HHD'!$AC$272-'Results ReCiPe (E) - HHD'!$AC$271)</f>
        <v>1.1493371921262225E-3</v>
      </c>
      <c r="P425" s="6">
        <f>$B$252*$AC$384*'Results - raw data ReCiPe (E)'!AQ128/(1-0.5)*(1+'Results ReCiPe (E) - HHD'!$AC$271/'Results ReCiPe (E) - HHD'!$AC$272-'Results ReCiPe (E) - HHD'!$AC$271)</f>
        <v>1.1489736140316024E-3</v>
      </c>
      <c r="Q425" s="6">
        <f>$B$252*$AC$384*'Results - raw data ReCiPe (E)'!AR128/(1-0.5)*(1+'Results ReCiPe (E) - HHD'!$AC$271/'Results ReCiPe (E) - HHD'!$AC$272-'Results ReCiPe (E) - HHD'!$AC$271)</f>
        <v>1.148610024027917E-3</v>
      </c>
      <c r="R425" s="6">
        <f>$B$252*$AC$384*'Results - raw data ReCiPe (E)'!AS128/(1-0.5)*(1+'Results ReCiPe (E) - HHD'!$AC$271/'Results ReCiPe (E) - HHD'!$AC$272-'Results ReCiPe (E) - HHD'!$AC$271)</f>
        <v>1.1482778993566636E-3</v>
      </c>
      <c r="S425" s="6">
        <f>$B$252*$AC$384*'Results - raw data ReCiPe (E)'!AT128/(1-0.5)*(1+'Results ReCiPe (E) - HHD'!$AC$271/'Results ReCiPe (E) - HHD'!$AC$272-'Results ReCiPe (E) - HHD'!$AC$271)</f>
        <v>1.1479544033005434E-3</v>
      </c>
      <c r="T425" s="6">
        <f>$B$252*$AC$384*'Results - raw data ReCiPe (E)'!AU128/(1-0.5)*(1+'Results ReCiPe (E) - HHD'!$AC$271/'Results ReCiPe (E) - HHD'!$AC$272-'Results ReCiPe (E) - HHD'!$AC$271)</f>
        <v>1.1477466407930877E-3</v>
      </c>
      <c r="U425" s="6">
        <f>$B$252*$AC$384*'Results - raw data ReCiPe (E)'!AV128/(1-0.5)*(1+'Results ReCiPe (E) - HHD'!$AC$271/'Results ReCiPe (E) - HHD'!$AC$272-'Results ReCiPe (E) - HHD'!$AC$271)</f>
        <v>1.1474345328916001E-3</v>
      </c>
      <c r="V425" s="6">
        <f>$B$252*$AC$384*'Results - raw data ReCiPe (E)'!AW128/(1-0.5)*(1+'Results ReCiPe (E) - HHD'!$AC$271/'Results ReCiPe (E) - HHD'!$AC$272-'Results ReCiPe (E) - HHD'!$AC$271)</f>
        <v>1.1471251335305344E-3</v>
      </c>
      <c r="W425" s="6">
        <f>$B$252*$AC$384*'Results - raw data ReCiPe (E)'!AX128/(1-0.5)*(1+'Results ReCiPe (E) - HHD'!$AC$271/'Results ReCiPe (E) - HHD'!$AC$272-'Results ReCiPe (E) - HHD'!$AC$271)</f>
        <v>1.1471269956762438E-3</v>
      </c>
      <c r="X425" s="6">
        <f>$B$252*$AC$384*'Results - raw data ReCiPe (E)'!AY128/(1-0.5)*(1+'Results ReCiPe (E) - HHD'!$AC$271/'Results ReCiPe (E) - HHD'!$AC$272-'Results ReCiPe (E) - HHD'!$AC$271)</f>
        <v>1.1469652435764533E-3</v>
      </c>
      <c r="Y425" s="6">
        <f>$B$252*$AC$384*'Results - raw data ReCiPe (E)'!AZ128/(1-0.5)*(1+'Results ReCiPe (E) - HHD'!$AC$271/'Results ReCiPe (E) - HHD'!$AC$272-'Results ReCiPe (E) - HHD'!$AC$271)</f>
        <v>1.1468055816281025E-3</v>
      </c>
      <c r="Z425" s="6">
        <f>$B$252*$AC$384*'Results - raw data ReCiPe (E)'!BA128/(1-0.5)*(1+'Results ReCiPe (E) - HHD'!$AC$271/'Results ReCiPe (E) - HHD'!$AC$272-'Results ReCiPe (E) - HHD'!$AC$271)</f>
        <v>1.1466479577664354E-3</v>
      </c>
    </row>
    <row r="426" spans="1:53" outlineLevel="1" x14ac:dyDescent="0.35">
      <c r="A426" s="6" t="s">
        <v>797</v>
      </c>
      <c r="B426" s="6">
        <f>$B$380*$AC$384</f>
        <v>1.9199922201137345E-3</v>
      </c>
      <c r="C426" s="6">
        <f t="shared" ref="C426:Z426" si="61">$B$380*$AC$384</f>
        <v>1.9199922201137345E-3</v>
      </c>
      <c r="D426" s="6">
        <f t="shared" si="61"/>
        <v>1.9199922201137345E-3</v>
      </c>
      <c r="E426" s="6">
        <f t="shared" si="61"/>
        <v>1.9199922201137345E-3</v>
      </c>
      <c r="F426" s="6">
        <f t="shared" si="61"/>
        <v>1.9199922201137345E-3</v>
      </c>
      <c r="G426" s="6">
        <f t="shared" si="61"/>
        <v>1.9199922201137345E-3</v>
      </c>
      <c r="H426" s="6">
        <f t="shared" si="61"/>
        <v>1.9199922201137345E-3</v>
      </c>
      <c r="I426" s="6">
        <f t="shared" si="61"/>
        <v>1.9199922201137345E-3</v>
      </c>
      <c r="J426" s="6">
        <f t="shared" si="61"/>
        <v>1.9199922201137345E-3</v>
      </c>
      <c r="K426" s="6">
        <f t="shared" si="61"/>
        <v>1.9199922201137345E-3</v>
      </c>
      <c r="L426" s="6">
        <f t="shared" si="61"/>
        <v>1.9199922201137345E-3</v>
      </c>
      <c r="M426" s="6">
        <f t="shared" si="61"/>
        <v>1.9199922201137345E-3</v>
      </c>
      <c r="N426" s="6">
        <f t="shared" si="61"/>
        <v>1.9199922201137345E-3</v>
      </c>
      <c r="O426" s="6">
        <f t="shared" si="61"/>
        <v>1.9199922201137345E-3</v>
      </c>
      <c r="P426" s="6">
        <f t="shared" si="61"/>
        <v>1.9199922201137345E-3</v>
      </c>
      <c r="Q426" s="6">
        <f t="shared" si="61"/>
        <v>1.9199922201137345E-3</v>
      </c>
      <c r="R426" s="6">
        <f t="shared" si="61"/>
        <v>1.9199922201137345E-3</v>
      </c>
      <c r="S426" s="6">
        <f t="shared" si="61"/>
        <v>1.9199922201137345E-3</v>
      </c>
      <c r="T426" s="6">
        <f t="shared" si="61"/>
        <v>1.9199922201137345E-3</v>
      </c>
      <c r="U426" s="6">
        <f t="shared" si="61"/>
        <v>1.9199922201137345E-3</v>
      </c>
      <c r="V426" s="6">
        <f t="shared" si="61"/>
        <v>1.9199922201137345E-3</v>
      </c>
      <c r="W426" s="6">
        <f t="shared" si="61"/>
        <v>1.9199922201137345E-3</v>
      </c>
      <c r="X426" s="6">
        <f t="shared" si="61"/>
        <v>1.9199922201137345E-3</v>
      </c>
      <c r="Y426" s="6">
        <f t="shared" si="61"/>
        <v>1.9199922201137345E-3</v>
      </c>
      <c r="Z426" s="6">
        <f t="shared" si="61"/>
        <v>1.9199922201137345E-3</v>
      </c>
    </row>
    <row r="427" spans="1:53" outlineLevel="1" x14ac:dyDescent="0.35">
      <c r="A427" s="23" t="s">
        <v>125</v>
      </c>
      <c r="B427" s="17">
        <f>SUM(B395:B425)</f>
        <v>8.3217390118271051E-3</v>
      </c>
      <c r="C427" s="17">
        <f t="shared" ref="C427:Z427" si="62">SUM(C395:C425)</f>
        <v>1.3259349833550545E-3</v>
      </c>
      <c r="D427" s="17">
        <f t="shared" si="62"/>
        <v>1.3194410837782196E-3</v>
      </c>
      <c r="E427" s="17">
        <f t="shared" si="62"/>
        <v>1.3124164587439181E-3</v>
      </c>
      <c r="F427" s="17">
        <f t="shared" si="62"/>
        <v>1.3058084121907113E-3</v>
      </c>
      <c r="G427" s="17">
        <f t="shared" si="62"/>
        <v>1.2991742048050537E-3</v>
      </c>
      <c r="H427" s="17">
        <f t="shared" si="62"/>
        <v>1.2976276815379298E-3</v>
      </c>
      <c r="I427" s="17">
        <f t="shared" si="62"/>
        <v>1.29609944768412E-3</v>
      </c>
      <c r="J427" s="17">
        <f t="shared" si="62"/>
        <v>1.2947171523581113E-3</v>
      </c>
      <c r="K427" s="17">
        <f t="shared" si="62"/>
        <v>1.2932270619689899E-3</v>
      </c>
      <c r="L427" s="17">
        <f t="shared" si="62"/>
        <v>1.2917598620604694E-3</v>
      </c>
      <c r="M427" s="17">
        <f t="shared" si="62"/>
        <v>1.2909172962337133E-3</v>
      </c>
      <c r="N427" s="17">
        <f t="shared" si="62"/>
        <v>1.2900944630726437E-3</v>
      </c>
      <c r="O427" s="17">
        <f t="shared" si="62"/>
        <v>1.2894437494799752E-3</v>
      </c>
      <c r="P427" s="17">
        <f t="shared" si="62"/>
        <v>1.2886359879013269E-3</v>
      </c>
      <c r="Q427" s="17">
        <f t="shared" si="62"/>
        <v>1.2878277014095117E-3</v>
      </c>
      <c r="R427" s="17">
        <f t="shared" si="62"/>
        <v>1.2869902086897222E-3</v>
      </c>
      <c r="S427" s="17">
        <f t="shared" si="62"/>
        <v>1.2861618484403022E-3</v>
      </c>
      <c r="T427" s="17">
        <f t="shared" si="62"/>
        <v>1.2854794929946711E-3</v>
      </c>
      <c r="U427" s="17">
        <f t="shared" si="62"/>
        <v>1.2846642423093384E-3</v>
      </c>
      <c r="V427" s="17">
        <f t="shared" si="62"/>
        <v>1.2838521844760139E-3</v>
      </c>
      <c r="W427" s="17">
        <f t="shared" si="62"/>
        <v>1.2835272159508898E-3</v>
      </c>
      <c r="X427" s="17">
        <f t="shared" si="62"/>
        <v>1.2829867322359627E-3</v>
      </c>
      <c r="Y427" s="17">
        <f t="shared" si="62"/>
        <v>1.2824487149374515E-3</v>
      </c>
      <c r="Z427" s="17">
        <f t="shared" si="62"/>
        <v>1.3700048203153885E-3</v>
      </c>
    </row>
    <row r="428" spans="1:53" s="26" customFormat="1" outlineLevel="1" x14ac:dyDescent="0.35"/>
    <row r="429" spans="1:53" s="236" customFormat="1" ht="21" x14ac:dyDescent="0.5">
      <c r="A429" s="236" t="s">
        <v>136</v>
      </c>
    </row>
    <row r="432" spans="1:53" x14ac:dyDescent="0.35">
      <c r="A432" s="331" t="s">
        <v>131</v>
      </c>
      <c r="B432" s="331"/>
      <c r="C432" s="331"/>
      <c r="D432" s="331"/>
      <c r="E432" s="331"/>
      <c r="F432" s="331"/>
      <c r="G432" s="331"/>
      <c r="H432" s="331"/>
      <c r="I432" s="331"/>
      <c r="J432" s="331"/>
      <c r="K432" s="331"/>
    </row>
    <row r="433" spans="1:11" x14ac:dyDescent="0.35">
      <c r="A433" s="6" t="s">
        <v>921</v>
      </c>
    </row>
    <row r="434" spans="1:11" x14ac:dyDescent="0.35">
      <c r="B434" s="6" t="s">
        <v>889</v>
      </c>
      <c r="C434" s="6" t="s">
        <v>891</v>
      </c>
      <c r="D434" s="6" t="s">
        <v>890</v>
      </c>
      <c r="E434" s="6" t="s">
        <v>892</v>
      </c>
      <c r="F434" s="6" t="s">
        <v>893</v>
      </c>
      <c r="G434" s="6" t="s">
        <v>894</v>
      </c>
      <c r="H434" s="6" t="s">
        <v>896</v>
      </c>
      <c r="I434" s="6" t="s">
        <v>897</v>
      </c>
      <c r="J434" s="6" t="s">
        <v>895</v>
      </c>
    </row>
    <row r="435" spans="1:11" x14ac:dyDescent="0.35">
      <c r="A435" s="6" t="s">
        <v>117</v>
      </c>
      <c r="B435" s="6">
        <f>SUM(AC10:BA10)</f>
        <v>7.5205433444198531E-3</v>
      </c>
      <c r="C435" s="6">
        <f>SUM(AC50:BA50)</f>
        <v>7.3912740668568159E-3</v>
      </c>
      <c r="D435" s="6">
        <f>SUM(AC90:BA90)</f>
        <v>7.0848469196898647E-3</v>
      </c>
      <c r="E435" s="6">
        <f>SUM(AC132:BA132)</f>
        <v>7.5205433444198531E-3</v>
      </c>
      <c r="F435" s="6">
        <f>SUM(AC173:BA173)</f>
        <v>7.3912740668568159E-3</v>
      </c>
      <c r="G435" s="6">
        <f>SUM(AC214:BA214)</f>
        <v>7.0848469196898647E-3</v>
      </c>
      <c r="H435" s="6">
        <f>SUM(AC274:BA274)</f>
        <v>7.3199019140040957E-3</v>
      </c>
      <c r="I435" s="6">
        <f>SUM(AC334:BA334)</f>
        <v>7.1918833226860945E-3</v>
      </c>
      <c r="J435" s="6">
        <f>SUM(AC395:BA395)</f>
        <v>6.8884688456748765E-3</v>
      </c>
    </row>
    <row r="436" spans="1:11" x14ac:dyDescent="0.35">
      <c r="A436" s="6" t="s">
        <v>118</v>
      </c>
      <c r="B436" s="6">
        <f>SUM(AC11:BA11)</f>
        <v>2.1953654340738595E-4</v>
      </c>
      <c r="C436" s="6">
        <f>SUM(AC51:BA51)</f>
        <v>2.1252840683002016E-4</v>
      </c>
      <c r="D436" s="6">
        <f>SUM(AC91:BA91)</f>
        <v>2.0171086658104479E-4</v>
      </c>
      <c r="E436" s="6">
        <f>SUM(AC133:BA133)</f>
        <v>2.1953654340738595E-4</v>
      </c>
      <c r="F436" s="6">
        <f>SUM(AC174:BA174)</f>
        <v>2.1252840683002016E-4</v>
      </c>
      <c r="G436" s="6">
        <f>SUM(AC215:BA215)</f>
        <v>2.0171086658104479E-4</v>
      </c>
      <c r="H436" s="6">
        <f t="shared" ref="H436:H444" si="63">SUM(AC275:BA275)</f>
        <v>1.0976827170369297E-4</v>
      </c>
      <c r="I436" s="6">
        <f t="shared" ref="I436:I444" si="64">SUM(AC335:BA335)</f>
        <v>1.0626420341501008E-4</v>
      </c>
      <c r="J436" s="6">
        <f t="shared" ref="J436:J444" si="65">SUM(AC396:BA396)</f>
        <v>1.0085543329052239E-4</v>
      </c>
    </row>
    <row r="437" spans="1:11" x14ac:dyDescent="0.35">
      <c r="A437" s="6" t="s">
        <v>119</v>
      </c>
      <c r="B437" s="6">
        <f>SUM(AC12:BA12)</f>
        <v>9.2556580539513285E-5</v>
      </c>
      <c r="C437" s="6">
        <f>SUM(AC52:BA52)</f>
        <v>8.8841262894916216E-5</v>
      </c>
      <c r="D437" s="6">
        <f>SUM(AC92:BA92)</f>
        <v>8.7284618353200512E-5</v>
      </c>
      <c r="E437" s="6">
        <f>SUM(AC134:BA134)</f>
        <v>9.2556580539513285E-5</v>
      </c>
      <c r="F437" s="6">
        <f>SUM(AC175:BA175)</f>
        <v>8.8841262894916216E-5</v>
      </c>
      <c r="G437" s="6">
        <f>SUM(AC216:BA216)</f>
        <v>8.7284618353200512E-5</v>
      </c>
      <c r="H437" s="6">
        <f t="shared" si="63"/>
        <v>9.2556580539513285E-5</v>
      </c>
      <c r="I437" s="6">
        <f t="shared" si="64"/>
        <v>8.8841262894916216E-5</v>
      </c>
      <c r="J437" s="6">
        <f t="shared" si="65"/>
        <v>8.7284618353200512E-5</v>
      </c>
    </row>
    <row r="438" spans="1:11" x14ac:dyDescent="0.35">
      <c r="A438" s="6" t="s">
        <v>120</v>
      </c>
      <c r="B438" s="6">
        <f>SUM(AC13:BA13)</f>
        <v>1.6915974917172185E-6</v>
      </c>
      <c r="C438" s="6">
        <f>SUM(AC53:BA53)</f>
        <v>1.6394591401967032E-6</v>
      </c>
      <c r="D438" s="6">
        <f>SUM(AC93:BA93)</f>
        <v>1.614429119184463E-6</v>
      </c>
      <c r="E438" s="6">
        <f>SUM(AC135:BA135)</f>
        <v>1.6915974917172185E-6</v>
      </c>
      <c r="F438" s="6">
        <f>SUM(AC176:BA176)</f>
        <v>1.6394591401967032E-6</v>
      </c>
      <c r="G438" s="6">
        <f>SUM(AC217:BA217)</f>
        <v>1.614429119184463E-6</v>
      </c>
      <c r="H438" s="6">
        <f t="shared" si="63"/>
        <v>8.4579874585860926E-7</v>
      </c>
      <c r="I438" s="6">
        <f t="shared" si="64"/>
        <v>8.1972957009835161E-7</v>
      </c>
      <c r="J438" s="6">
        <f t="shared" si="65"/>
        <v>8.0721455959223152E-7</v>
      </c>
    </row>
    <row r="439" spans="1:11" x14ac:dyDescent="0.35">
      <c r="A439" s="6" t="s">
        <v>121</v>
      </c>
      <c r="B439" s="6">
        <f>SUM(AC14:BA14)</f>
        <v>8.6674886940837003E-4</v>
      </c>
      <c r="C439" s="6">
        <f>SUM(AC54:BA54)</f>
        <v>7.9978396507768008E-4</v>
      </c>
      <c r="D439" s="6">
        <f>SUM(AC94:BA94)</f>
        <v>7.6313718175690542E-4</v>
      </c>
      <c r="E439" s="6">
        <f>SUM(AC136:BA136)</f>
        <v>8.6674886940837003E-4</v>
      </c>
      <c r="F439" s="6">
        <f>SUM(AC177:BA177)</f>
        <v>7.9978396507768008E-4</v>
      </c>
      <c r="G439" s="6">
        <f>SUM(AC218:BA218)</f>
        <v>7.6313718175690542E-4</v>
      </c>
      <c r="H439" s="6">
        <f t="shared" si="63"/>
        <v>8.6674886940837003E-4</v>
      </c>
      <c r="I439" s="6">
        <f t="shared" si="64"/>
        <v>7.9978396507768008E-4</v>
      </c>
      <c r="J439" s="6">
        <f t="shared" si="65"/>
        <v>7.6313718175690542E-4</v>
      </c>
    </row>
    <row r="440" spans="1:11" x14ac:dyDescent="0.35">
      <c r="A440" s="6" t="s">
        <v>800</v>
      </c>
      <c r="H440" s="6">
        <f t="shared" si="63"/>
        <v>4.981666510985653E-2</v>
      </c>
      <c r="I440" s="6">
        <f t="shared" si="64"/>
        <v>4.9338036570897859E-2</v>
      </c>
      <c r="J440" s="6">
        <f t="shared" si="65"/>
        <v>4.7999805502843371E-2</v>
      </c>
    </row>
    <row r="441" spans="1:11" x14ac:dyDescent="0.35">
      <c r="A441" s="6" t="s">
        <v>122</v>
      </c>
      <c r="B441" s="6">
        <f>SUM(AC15:BA15)</f>
        <v>8.4808581133467217E-2</v>
      </c>
      <c r="C441" s="6">
        <f>SUM(AC55:BA55)</f>
        <v>1.8940475640679123E-2</v>
      </c>
      <c r="D441" s="6">
        <f>SUM(AC95:BA95)</f>
        <v>9.3103811551182979E-3</v>
      </c>
      <c r="E441" s="6">
        <f>SUM(AC137:BA137)</f>
        <v>6.8825801727278549E-2</v>
      </c>
      <c r="F441" s="6">
        <f>SUM(AC178:BA178)</f>
        <v>1.8382024019418613E-2</v>
      </c>
      <c r="G441" s="6">
        <f>SUM(AC219:BA219)</f>
        <v>1.0947414493185531E-2</v>
      </c>
      <c r="H441" s="6">
        <f t="shared" si="63"/>
        <v>3.0235712245605631E-2</v>
      </c>
      <c r="I441" s="6">
        <f t="shared" si="64"/>
        <v>2.9261897699378901E-2</v>
      </c>
      <c r="J441" s="6">
        <f t="shared" si="65"/>
        <v>2.8815802522601418E-2</v>
      </c>
    </row>
    <row r="442" spans="1:11" x14ac:dyDescent="0.35">
      <c r="A442" s="6" t="s">
        <v>123</v>
      </c>
      <c r="B442" s="6">
        <f>SUM(AC16:BA16)</f>
        <v>8.5741413035476839E-3</v>
      </c>
      <c r="C442" s="6">
        <f>SUM(AC56:BA56)</f>
        <v>3.6132373192495687E-3</v>
      </c>
      <c r="D442" s="6">
        <f>SUM(AC96:BA96)</f>
        <v>2.8812958174300536E-3</v>
      </c>
      <c r="E442" s="6">
        <f>SUM(AC138:BA138)</f>
        <v>1.9720524998159676E-5</v>
      </c>
      <c r="F442" s="6">
        <f>SUM(AC179:BA179)</f>
        <v>8.310445834274011E-6</v>
      </c>
      <c r="G442" s="6">
        <f>SUM(AC220:BA220)</f>
        <v>6.6269803800891246E-6</v>
      </c>
      <c r="H442" s="6">
        <f t="shared" si="63"/>
        <v>4.287070651773842E-3</v>
      </c>
      <c r="I442" s="6">
        <f t="shared" si="64"/>
        <v>1.8066186596247843E-3</v>
      </c>
      <c r="J442" s="6">
        <f t="shared" si="65"/>
        <v>1.4406479087150268E-3</v>
      </c>
    </row>
    <row r="443" spans="1:11" x14ac:dyDescent="0.35">
      <c r="A443" s="6" t="s">
        <v>124</v>
      </c>
      <c r="B443" s="6">
        <f>SUM(AC17:BA17)</f>
        <v>-6.2501704999999963E-2</v>
      </c>
      <c r="C443" s="6">
        <f>SUM(AC57:BA57)</f>
        <v>-6.2501704999999963E-2</v>
      </c>
      <c r="D443" s="6">
        <f>SUM(AC97:BA97)</f>
        <v>-6.2501704999999963E-2</v>
      </c>
      <c r="E443" s="6">
        <f>SUM(AC139:BA139)</f>
        <v>-6.2501704999999963E-2</v>
      </c>
      <c r="F443" s="6">
        <f>SUM(AC180:BA180)</f>
        <v>-6.2501704999999963E-2</v>
      </c>
      <c r="G443" s="6">
        <f>SUM(AC221:BA221)</f>
        <v>-6.2501704999999963E-2</v>
      </c>
      <c r="H443" s="6">
        <f t="shared" si="63"/>
        <v>-3.1250852499999981E-2</v>
      </c>
      <c r="I443" s="6">
        <f t="shared" si="64"/>
        <v>-3.1250852499999981E-2</v>
      </c>
      <c r="J443" s="6">
        <f t="shared" si="65"/>
        <v>-3.1250852499999981E-2</v>
      </c>
    </row>
    <row r="444" spans="1:11" x14ac:dyDescent="0.35">
      <c r="A444" s="6" t="s">
        <v>137</v>
      </c>
      <c r="B444" s="6">
        <f>SUM(AC18:BA18)</f>
        <v>3.9582094372281766E-2</v>
      </c>
      <c r="C444" s="6">
        <f>SUM(AC58:BA58)</f>
        <v>-3.1453924879271657E-2</v>
      </c>
      <c r="D444" s="6">
        <f>SUM(AC98:BA98)</f>
        <v>-4.2171434011951441E-2</v>
      </c>
      <c r="E444" s="6">
        <f>SUM(AC140:BA140)</f>
        <v>1.504489418754356E-2</v>
      </c>
      <c r="F444" s="6">
        <f>SUM(AC181:BA181)</f>
        <v>-3.5617303373947473E-2</v>
      </c>
      <c r="G444" s="6">
        <f>SUM(AC222:BA222)</f>
        <v>-4.3409069510934171E-2</v>
      </c>
      <c r="H444" s="6">
        <f t="shared" si="63"/>
        <v>6.1478416941637561E-2</v>
      </c>
      <c r="I444" s="6">
        <f t="shared" si="64"/>
        <v>5.7343292913545341E-2</v>
      </c>
      <c r="J444" s="6">
        <f t="shared" si="65"/>
        <v>5.4845956727794916E-2</v>
      </c>
    </row>
    <row r="446" spans="1:11" x14ac:dyDescent="0.35">
      <c r="A446" s="331" t="s">
        <v>133</v>
      </c>
      <c r="B446" s="331"/>
      <c r="C446" s="331"/>
      <c r="D446" s="331"/>
      <c r="E446" s="331"/>
      <c r="F446" s="331"/>
      <c r="G446" s="331"/>
      <c r="H446" s="331"/>
      <c r="I446" s="331"/>
      <c r="J446" s="331"/>
      <c r="K446" s="331"/>
    </row>
    <row r="447" spans="1:11" x14ac:dyDescent="0.35">
      <c r="A447" s="6" t="s">
        <v>922</v>
      </c>
    </row>
    <row r="448" spans="1:11" x14ac:dyDescent="0.35">
      <c r="B448" s="6" t="s">
        <v>889</v>
      </c>
      <c r="C448" s="6" t="s">
        <v>891</v>
      </c>
      <c r="D448" s="6" t="s">
        <v>890</v>
      </c>
      <c r="E448" s="6" t="s">
        <v>892</v>
      </c>
      <c r="F448" s="6" t="s">
        <v>893</v>
      </c>
      <c r="G448" s="6" t="s">
        <v>894</v>
      </c>
      <c r="H448" s="6" t="s">
        <v>896</v>
      </c>
      <c r="I448" s="6" t="s">
        <v>897</v>
      </c>
      <c r="J448" s="6" t="s">
        <v>895</v>
      </c>
    </row>
    <row r="449" spans="1:11" x14ac:dyDescent="0.35">
      <c r="A449" s="6" t="s">
        <v>117</v>
      </c>
      <c r="B449" s="6">
        <f>B435/25</f>
        <v>3.008217337767941E-4</v>
      </c>
      <c r="C449" s="6">
        <f t="shared" ref="C449:J449" si="66">C435/25</f>
        <v>2.9565096267427266E-4</v>
      </c>
      <c r="D449" s="6">
        <f t="shared" si="66"/>
        <v>2.8339387678759457E-4</v>
      </c>
      <c r="E449" s="6">
        <f t="shared" si="66"/>
        <v>3.008217337767941E-4</v>
      </c>
      <c r="F449" s="6">
        <f t="shared" si="66"/>
        <v>2.9565096267427266E-4</v>
      </c>
      <c r="G449" s="6">
        <f t="shared" si="66"/>
        <v>2.8339387678759457E-4</v>
      </c>
      <c r="H449" s="6">
        <f t="shared" si="66"/>
        <v>2.9279607656016381E-4</v>
      </c>
      <c r="I449" s="6">
        <f t="shared" si="66"/>
        <v>2.8767533290744379E-4</v>
      </c>
      <c r="J449" s="6">
        <f t="shared" si="66"/>
        <v>2.7553875382699505E-4</v>
      </c>
    </row>
    <row r="450" spans="1:11" x14ac:dyDescent="0.35">
      <c r="A450" s="6" t="s">
        <v>118</v>
      </c>
      <c r="B450" s="6">
        <f t="shared" ref="B450:J458" si="67">B436/25</f>
        <v>8.7814617362954381E-6</v>
      </c>
      <c r="C450" s="6">
        <f t="shared" si="67"/>
        <v>8.5011362732008065E-6</v>
      </c>
      <c r="D450" s="6">
        <f t="shared" si="67"/>
        <v>8.0684346632417921E-6</v>
      </c>
      <c r="E450" s="6">
        <f t="shared" si="67"/>
        <v>8.7814617362954381E-6</v>
      </c>
      <c r="F450" s="6">
        <f t="shared" si="67"/>
        <v>8.5011362732008065E-6</v>
      </c>
      <c r="G450" s="6">
        <f t="shared" si="67"/>
        <v>8.0684346632417921E-6</v>
      </c>
      <c r="H450" s="6">
        <f t="shared" si="67"/>
        <v>4.3907308681477191E-6</v>
      </c>
      <c r="I450" s="6">
        <f t="shared" si="67"/>
        <v>4.2505681366004033E-6</v>
      </c>
      <c r="J450" s="6">
        <f t="shared" si="67"/>
        <v>4.034217331620896E-6</v>
      </c>
    </row>
    <row r="451" spans="1:11" x14ac:dyDescent="0.35">
      <c r="A451" s="6" t="s">
        <v>119</v>
      </c>
      <c r="B451" s="6">
        <f t="shared" si="67"/>
        <v>3.7022632215805314E-6</v>
      </c>
      <c r="C451" s="6">
        <f t="shared" si="67"/>
        <v>3.5536505157966486E-6</v>
      </c>
      <c r="D451" s="6">
        <f t="shared" si="67"/>
        <v>3.4913847341280206E-6</v>
      </c>
      <c r="E451" s="6">
        <f t="shared" si="67"/>
        <v>3.7022632215805314E-6</v>
      </c>
      <c r="F451" s="6">
        <f t="shared" si="67"/>
        <v>3.5536505157966486E-6</v>
      </c>
      <c r="G451" s="6">
        <f t="shared" si="67"/>
        <v>3.4913847341280206E-6</v>
      </c>
      <c r="H451" s="6">
        <f t="shared" si="67"/>
        <v>3.7022632215805314E-6</v>
      </c>
      <c r="I451" s="6">
        <f t="shared" si="67"/>
        <v>3.5536505157966486E-6</v>
      </c>
      <c r="J451" s="6">
        <f t="shared" si="67"/>
        <v>3.4913847341280206E-6</v>
      </c>
    </row>
    <row r="452" spans="1:11" x14ac:dyDescent="0.35">
      <c r="A452" s="6" t="s">
        <v>120</v>
      </c>
      <c r="B452" s="6">
        <f t="shared" si="67"/>
        <v>6.7663899668688738E-8</v>
      </c>
      <c r="C452" s="6">
        <f t="shared" si="67"/>
        <v>6.5578365607868133E-8</v>
      </c>
      <c r="D452" s="6">
        <f t="shared" si="67"/>
        <v>6.4577164767378521E-8</v>
      </c>
      <c r="E452" s="6">
        <f t="shared" si="67"/>
        <v>6.7663899668688738E-8</v>
      </c>
      <c r="F452" s="6">
        <f t="shared" si="67"/>
        <v>6.5578365607868133E-8</v>
      </c>
      <c r="G452" s="6">
        <f t="shared" si="67"/>
        <v>6.4577164767378521E-8</v>
      </c>
      <c r="H452" s="6">
        <f t="shared" si="67"/>
        <v>3.3831949834344369E-8</v>
      </c>
      <c r="I452" s="6">
        <f t="shared" si="67"/>
        <v>3.2789182803934066E-8</v>
      </c>
      <c r="J452" s="6">
        <f t="shared" si="67"/>
        <v>3.228858238368926E-8</v>
      </c>
    </row>
    <row r="453" spans="1:11" x14ac:dyDescent="0.35">
      <c r="A453" s="6" t="s">
        <v>121</v>
      </c>
      <c r="B453" s="6">
        <f t="shared" si="67"/>
        <v>3.4669954776334799E-5</v>
      </c>
      <c r="C453" s="6">
        <f t="shared" si="67"/>
        <v>3.1991358603107203E-5</v>
      </c>
      <c r="D453" s="6">
        <f t="shared" si="67"/>
        <v>3.0525487270276215E-5</v>
      </c>
      <c r="E453" s="6">
        <f t="shared" si="67"/>
        <v>3.4669954776334799E-5</v>
      </c>
      <c r="F453" s="6">
        <f t="shared" si="67"/>
        <v>3.1991358603107203E-5</v>
      </c>
      <c r="G453" s="6">
        <f t="shared" si="67"/>
        <v>3.0525487270276215E-5</v>
      </c>
      <c r="H453" s="6">
        <f t="shared" si="67"/>
        <v>3.4669954776334799E-5</v>
      </c>
      <c r="I453" s="6">
        <f t="shared" si="67"/>
        <v>3.1991358603107203E-5</v>
      </c>
      <c r="J453" s="6">
        <f t="shared" si="67"/>
        <v>3.0525487270276215E-5</v>
      </c>
    </row>
    <row r="454" spans="1:11" x14ac:dyDescent="0.35">
      <c r="A454" s="6" t="s">
        <v>800</v>
      </c>
      <c r="B454" s="6">
        <f t="shared" si="67"/>
        <v>0</v>
      </c>
      <c r="C454" s="6">
        <f t="shared" si="67"/>
        <v>0</v>
      </c>
      <c r="D454" s="6">
        <f t="shared" si="67"/>
        <v>0</v>
      </c>
      <c r="E454" s="6">
        <f t="shared" si="67"/>
        <v>0</v>
      </c>
      <c r="F454" s="6">
        <f t="shared" si="67"/>
        <v>0</v>
      </c>
      <c r="G454" s="6">
        <f t="shared" si="67"/>
        <v>0</v>
      </c>
      <c r="H454" s="6">
        <f t="shared" si="67"/>
        <v>1.9926666043942613E-3</v>
      </c>
      <c r="I454" s="6">
        <f t="shared" si="67"/>
        <v>1.9735214628359143E-3</v>
      </c>
      <c r="J454" s="6">
        <f t="shared" si="67"/>
        <v>1.9199922201137349E-3</v>
      </c>
    </row>
    <row r="455" spans="1:11" x14ac:dyDescent="0.35">
      <c r="A455" s="6" t="s">
        <v>122</v>
      </c>
      <c r="B455" s="6">
        <f t="shared" si="67"/>
        <v>3.3923432453386885E-3</v>
      </c>
      <c r="C455" s="6">
        <f t="shared" si="67"/>
        <v>7.5761902562716495E-4</v>
      </c>
      <c r="D455" s="6">
        <f t="shared" si="67"/>
        <v>3.7241524620473191E-4</v>
      </c>
      <c r="E455" s="6">
        <f t="shared" si="67"/>
        <v>2.753032069091142E-3</v>
      </c>
      <c r="F455" s="6">
        <f t="shared" si="67"/>
        <v>7.3528096077674456E-4</v>
      </c>
      <c r="G455" s="6">
        <f t="shared" si="67"/>
        <v>4.3789657972742124E-4</v>
      </c>
      <c r="H455" s="6">
        <f t="shared" si="67"/>
        <v>1.2094284898242253E-3</v>
      </c>
      <c r="I455" s="6">
        <f t="shared" si="67"/>
        <v>1.170475907975156E-3</v>
      </c>
      <c r="J455" s="6">
        <f t="shared" si="67"/>
        <v>1.1526321009040568E-3</v>
      </c>
    </row>
    <row r="456" spans="1:11" x14ac:dyDescent="0.35">
      <c r="A456" s="6" t="s">
        <v>123</v>
      </c>
      <c r="B456" s="6">
        <f t="shared" si="67"/>
        <v>3.4296565214190735E-4</v>
      </c>
      <c r="C456" s="6">
        <f t="shared" si="67"/>
        <v>1.4452949276998273E-4</v>
      </c>
      <c r="D456" s="6">
        <f t="shared" si="67"/>
        <v>1.1525183269720215E-4</v>
      </c>
      <c r="E456" s="6">
        <f t="shared" si="67"/>
        <v>7.8882099992638703E-7</v>
      </c>
      <c r="F456" s="6">
        <f t="shared" si="67"/>
        <v>3.3241783337096044E-7</v>
      </c>
      <c r="G456" s="6">
        <f t="shared" si="67"/>
        <v>2.6507921520356499E-7</v>
      </c>
      <c r="H456" s="6">
        <f t="shared" si="67"/>
        <v>1.7148282607095368E-4</v>
      </c>
      <c r="I456" s="6">
        <f t="shared" si="67"/>
        <v>7.2264746384991367E-5</v>
      </c>
      <c r="J456" s="6">
        <f t="shared" si="67"/>
        <v>5.7625916348601075E-5</v>
      </c>
    </row>
    <row r="457" spans="1:11" x14ac:dyDescent="0.35">
      <c r="A457" s="6" t="s">
        <v>124</v>
      </c>
      <c r="B457" s="6">
        <f t="shared" si="67"/>
        <v>-2.5000681999999986E-3</v>
      </c>
      <c r="C457" s="6">
        <f t="shared" si="67"/>
        <v>-2.5000681999999986E-3</v>
      </c>
      <c r="D457" s="6">
        <f t="shared" si="67"/>
        <v>-2.5000681999999986E-3</v>
      </c>
      <c r="E457" s="6">
        <f t="shared" si="67"/>
        <v>-2.5000681999999986E-3</v>
      </c>
      <c r="F457" s="6">
        <f t="shared" si="67"/>
        <v>-2.5000681999999986E-3</v>
      </c>
      <c r="G457" s="6">
        <f t="shared" si="67"/>
        <v>-2.5000681999999986E-3</v>
      </c>
      <c r="H457" s="6">
        <f t="shared" si="67"/>
        <v>-1.2500340999999993E-3</v>
      </c>
      <c r="I457" s="6">
        <f t="shared" si="67"/>
        <v>-1.2500340999999993E-3</v>
      </c>
      <c r="J457" s="6">
        <f t="shared" si="67"/>
        <v>-1.2500340999999993E-3</v>
      </c>
    </row>
    <row r="458" spans="1:11" x14ac:dyDescent="0.35">
      <c r="A458" s="6" t="s">
        <v>137</v>
      </c>
      <c r="B458" s="6">
        <f t="shared" si="67"/>
        <v>1.5832837748912707E-3</v>
      </c>
      <c r="C458" s="6">
        <f t="shared" si="67"/>
        <v>-1.2581569951708664E-3</v>
      </c>
      <c r="D458" s="6">
        <f t="shared" si="67"/>
        <v>-1.6868573604780577E-3</v>
      </c>
      <c r="E458" s="6">
        <f t="shared" si="67"/>
        <v>6.0179576750174241E-4</v>
      </c>
      <c r="F458" s="6">
        <f t="shared" si="67"/>
        <v>-1.424692134957899E-3</v>
      </c>
      <c r="G458" s="6">
        <f t="shared" si="67"/>
        <v>-1.7363627804373668E-3</v>
      </c>
      <c r="H458" s="6">
        <f t="shared" si="67"/>
        <v>2.4591366776655025E-3</v>
      </c>
      <c r="I458" s="6">
        <f t="shared" si="67"/>
        <v>2.2937317165418135E-3</v>
      </c>
      <c r="J458" s="6">
        <f t="shared" si="67"/>
        <v>2.1938382691117967E-3</v>
      </c>
    </row>
    <row r="461" spans="1:11" x14ac:dyDescent="0.35">
      <c r="A461" s="331" t="s">
        <v>135</v>
      </c>
      <c r="B461" s="331"/>
      <c r="C461" s="331"/>
      <c r="D461" s="331"/>
      <c r="E461" s="331"/>
      <c r="F461" s="331"/>
      <c r="G461" s="331"/>
      <c r="H461" s="331"/>
      <c r="I461" s="331"/>
      <c r="J461" s="331"/>
      <c r="K461" s="331"/>
    </row>
    <row r="462" spans="1:11" x14ac:dyDescent="0.35">
      <c r="A462" s="6" t="s">
        <v>923</v>
      </c>
    </row>
    <row r="463" spans="1:11" x14ac:dyDescent="0.35">
      <c r="A463" s="6" t="s">
        <v>139</v>
      </c>
      <c r="B463" s="6">
        <v>100</v>
      </c>
      <c r="C463" s="6" t="s">
        <v>128</v>
      </c>
    </row>
    <row r="464" spans="1:11" x14ac:dyDescent="0.35">
      <c r="A464" s="6" t="s">
        <v>140</v>
      </c>
      <c r="B464" s="6">
        <v>50</v>
      </c>
      <c r="C464" s="6" t="s">
        <v>128</v>
      </c>
    </row>
    <row r="466" spans="1:10" x14ac:dyDescent="0.35">
      <c r="B466" s="6" t="s">
        <v>889</v>
      </c>
      <c r="C466" s="6" t="s">
        <v>891</v>
      </c>
      <c r="D466" s="6" t="s">
        <v>890</v>
      </c>
      <c r="E466" s="6" t="s">
        <v>892</v>
      </c>
      <c r="F466" s="6" t="s">
        <v>893</v>
      </c>
      <c r="G466" s="6" t="s">
        <v>894</v>
      </c>
      <c r="H466" s="6" t="s">
        <v>896</v>
      </c>
      <c r="I466" s="6" t="s">
        <v>897</v>
      </c>
      <c r="J466" s="6" t="s">
        <v>895</v>
      </c>
    </row>
    <row r="467" spans="1:10" x14ac:dyDescent="0.35">
      <c r="A467" s="6" t="s">
        <v>117</v>
      </c>
      <c r="B467" s="6">
        <f t="shared" ref="B467:G467" si="68">B449/$B$463</f>
        <v>3.0082173377679412E-6</v>
      </c>
      <c r="C467" s="6">
        <f t="shared" si="68"/>
        <v>2.9565096267427267E-6</v>
      </c>
      <c r="D467" s="6">
        <f t="shared" si="68"/>
        <v>2.8339387678759458E-6</v>
      </c>
      <c r="E467" s="6">
        <f t="shared" si="68"/>
        <v>3.0082173377679412E-6</v>
      </c>
      <c r="F467" s="6">
        <f t="shared" si="68"/>
        <v>2.9565096267427267E-6</v>
      </c>
      <c r="G467" s="6">
        <f t="shared" si="68"/>
        <v>2.8339387678759458E-6</v>
      </c>
      <c r="H467" s="6">
        <f>H449/$B$464</f>
        <v>5.8559215312032765E-6</v>
      </c>
      <c r="I467" s="6">
        <f>I449/$B$464</f>
        <v>5.7535066581488756E-6</v>
      </c>
      <c r="J467" s="6">
        <f>J449/$B$464</f>
        <v>5.510775076539901E-6</v>
      </c>
    </row>
    <row r="468" spans="1:10" x14ac:dyDescent="0.35">
      <c r="A468" s="6" t="s">
        <v>118</v>
      </c>
      <c r="B468" s="6">
        <f t="shared" ref="B468:G476" si="69">B450/$B$463</f>
        <v>8.7814617362954382E-8</v>
      </c>
      <c r="C468" s="6">
        <f t="shared" si="69"/>
        <v>8.5011362732008066E-8</v>
      </c>
      <c r="D468" s="6">
        <f t="shared" si="69"/>
        <v>8.0684346632417927E-8</v>
      </c>
      <c r="E468" s="6">
        <f t="shared" si="69"/>
        <v>8.7814617362954382E-8</v>
      </c>
      <c r="F468" s="6">
        <f t="shared" si="69"/>
        <v>8.5011362732008066E-8</v>
      </c>
      <c r="G468" s="6">
        <f t="shared" si="69"/>
        <v>8.0684346632417927E-8</v>
      </c>
      <c r="H468" s="6">
        <f t="shared" ref="H468:J476" si="70">H450/$B$464</f>
        <v>8.7814617362954382E-8</v>
      </c>
      <c r="I468" s="6">
        <f t="shared" si="70"/>
        <v>8.5011362732008066E-8</v>
      </c>
      <c r="J468" s="6">
        <f t="shared" si="70"/>
        <v>8.0684346632417927E-8</v>
      </c>
    </row>
    <row r="469" spans="1:10" x14ac:dyDescent="0.35">
      <c r="A469" s="6" t="s">
        <v>119</v>
      </c>
      <c r="B469" s="6">
        <f t="shared" si="69"/>
        <v>3.7022632215805316E-8</v>
      </c>
      <c r="C469" s="6">
        <f t="shared" si="69"/>
        <v>3.5536505157966483E-8</v>
      </c>
      <c r="D469" s="6">
        <f t="shared" si="69"/>
        <v>3.4913847341280207E-8</v>
      </c>
      <c r="E469" s="6">
        <f t="shared" si="69"/>
        <v>3.7022632215805316E-8</v>
      </c>
      <c r="F469" s="6">
        <f t="shared" si="69"/>
        <v>3.5536505157966483E-8</v>
      </c>
      <c r="G469" s="6">
        <f t="shared" si="69"/>
        <v>3.4913847341280207E-8</v>
      </c>
      <c r="H469" s="6">
        <f t="shared" si="70"/>
        <v>7.4045264431610632E-8</v>
      </c>
      <c r="I469" s="6">
        <f t="shared" si="70"/>
        <v>7.1073010315932967E-8</v>
      </c>
      <c r="J469" s="6">
        <f t="shared" si="70"/>
        <v>6.9827694682560414E-8</v>
      </c>
    </row>
    <row r="470" spans="1:10" x14ac:dyDescent="0.35">
      <c r="A470" s="6" t="s">
        <v>120</v>
      </c>
      <c r="B470" s="6">
        <f t="shared" si="69"/>
        <v>6.7663899668688733E-10</v>
      </c>
      <c r="C470" s="6">
        <f t="shared" si="69"/>
        <v>6.5578365607868129E-10</v>
      </c>
      <c r="D470" s="6">
        <f t="shared" si="69"/>
        <v>6.4577164767378525E-10</v>
      </c>
      <c r="E470" s="6">
        <f t="shared" si="69"/>
        <v>6.7663899668688733E-10</v>
      </c>
      <c r="F470" s="6">
        <f t="shared" si="69"/>
        <v>6.5578365607868129E-10</v>
      </c>
      <c r="G470" s="6">
        <f t="shared" si="69"/>
        <v>6.4577164767378525E-10</v>
      </c>
      <c r="H470" s="6">
        <f t="shared" si="70"/>
        <v>6.7663899668688733E-10</v>
      </c>
      <c r="I470" s="6">
        <f t="shared" si="70"/>
        <v>6.5578365607868129E-10</v>
      </c>
      <c r="J470" s="6">
        <f t="shared" si="70"/>
        <v>6.4577164767378525E-10</v>
      </c>
    </row>
    <row r="471" spans="1:10" x14ac:dyDescent="0.35">
      <c r="A471" s="6" t="s">
        <v>121</v>
      </c>
      <c r="B471" s="6">
        <f t="shared" si="69"/>
        <v>3.46699547763348E-7</v>
      </c>
      <c r="C471" s="6">
        <f t="shared" si="69"/>
        <v>3.1991358603107202E-7</v>
      </c>
      <c r="D471" s="6">
        <f t="shared" si="69"/>
        <v>3.0525487270276217E-7</v>
      </c>
      <c r="E471" s="6">
        <f t="shared" si="69"/>
        <v>3.46699547763348E-7</v>
      </c>
      <c r="F471" s="6">
        <f t="shared" si="69"/>
        <v>3.1991358603107202E-7</v>
      </c>
      <c r="G471" s="6">
        <f t="shared" si="69"/>
        <v>3.0525487270276217E-7</v>
      </c>
      <c r="H471" s="6">
        <f t="shared" si="70"/>
        <v>6.9339909552669599E-7</v>
      </c>
      <c r="I471" s="6">
        <f t="shared" si="70"/>
        <v>6.3982717206214405E-7</v>
      </c>
      <c r="J471" s="6">
        <f t="shared" si="70"/>
        <v>6.1050974540552434E-7</v>
      </c>
    </row>
    <row r="472" spans="1:10" x14ac:dyDescent="0.35">
      <c r="A472" s="6" t="s">
        <v>800</v>
      </c>
      <c r="B472" s="6">
        <f t="shared" si="69"/>
        <v>0</v>
      </c>
      <c r="C472" s="6">
        <f t="shared" si="69"/>
        <v>0</v>
      </c>
      <c r="D472" s="6">
        <f t="shared" si="69"/>
        <v>0</v>
      </c>
      <c r="E472" s="6">
        <f t="shared" si="69"/>
        <v>0</v>
      </c>
      <c r="F472" s="6">
        <f t="shared" si="69"/>
        <v>0</v>
      </c>
      <c r="G472" s="6">
        <f t="shared" si="69"/>
        <v>0</v>
      </c>
      <c r="H472" s="6">
        <f t="shared" si="70"/>
        <v>3.9853332087885226E-5</v>
      </c>
      <c r="I472" s="6">
        <f t="shared" si="70"/>
        <v>3.9470429256718285E-5</v>
      </c>
      <c r="J472" s="6">
        <f t="shared" si="70"/>
        <v>3.8399844402274695E-5</v>
      </c>
    </row>
    <row r="473" spans="1:10" x14ac:dyDescent="0.35">
      <c r="A473" s="6" t="s">
        <v>122</v>
      </c>
      <c r="B473" s="6">
        <f t="shared" si="69"/>
        <v>3.3923432453386883E-5</v>
      </c>
      <c r="C473" s="6">
        <f t="shared" si="69"/>
        <v>7.5761902562716492E-6</v>
      </c>
      <c r="D473" s="6">
        <f t="shared" si="69"/>
        <v>3.7241524620473191E-6</v>
      </c>
      <c r="E473" s="6">
        <f t="shared" si="69"/>
        <v>2.753032069091142E-5</v>
      </c>
      <c r="F473" s="6">
        <f t="shared" si="69"/>
        <v>7.3528096077674457E-6</v>
      </c>
      <c r="G473" s="6">
        <f t="shared" si="69"/>
        <v>4.3789657972742128E-6</v>
      </c>
      <c r="H473" s="6">
        <f t="shared" si="70"/>
        <v>2.4188569796484504E-5</v>
      </c>
      <c r="I473" s="6">
        <f t="shared" si="70"/>
        <v>2.340951815950312E-5</v>
      </c>
      <c r="J473" s="6">
        <f t="shared" si="70"/>
        <v>2.3052642018081136E-5</v>
      </c>
    </row>
    <row r="474" spans="1:10" x14ac:dyDescent="0.35">
      <c r="A474" s="6" t="s">
        <v>123</v>
      </c>
      <c r="B474" s="6">
        <f t="shared" si="69"/>
        <v>3.4296565214190735E-6</v>
      </c>
      <c r="C474" s="6">
        <f t="shared" si="69"/>
        <v>1.4452949276998274E-6</v>
      </c>
      <c r="D474" s="6">
        <f t="shared" si="69"/>
        <v>1.1525183269720215E-6</v>
      </c>
      <c r="E474" s="6">
        <f t="shared" si="69"/>
        <v>7.8882099992638705E-9</v>
      </c>
      <c r="F474" s="6">
        <f t="shared" si="69"/>
        <v>3.3241783337096046E-9</v>
      </c>
      <c r="G474" s="6">
        <f t="shared" si="69"/>
        <v>2.6507921520356501E-9</v>
      </c>
      <c r="H474" s="6">
        <f t="shared" si="70"/>
        <v>3.4296565214190735E-6</v>
      </c>
      <c r="I474" s="6">
        <f t="shared" si="70"/>
        <v>1.4452949276998274E-6</v>
      </c>
      <c r="J474" s="6">
        <f t="shared" si="70"/>
        <v>1.1525183269720215E-6</v>
      </c>
    </row>
    <row r="475" spans="1:10" x14ac:dyDescent="0.35">
      <c r="A475" s="6" t="s">
        <v>124</v>
      </c>
      <c r="B475" s="6">
        <f t="shared" si="69"/>
        <v>-2.5000681999999987E-5</v>
      </c>
      <c r="C475" s="6">
        <f t="shared" si="69"/>
        <v>-2.5000681999999987E-5</v>
      </c>
      <c r="D475" s="6">
        <f t="shared" si="69"/>
        <v>-2.5000681999999987E-5</v>
      </c>
      <c r="E475" s="6">
        <f>E457/$B$463</f>
        <v>-2.5000681999999987E-5</v>
      </c>
      <c r="F475" s="6">
        <f t="shared" si="69"/>
        <v>-2.5000681999999987E-5</v>
      </c>
      <c r="G475" s="6">
        <f t="shared" si="69"/>
        <v>-2.5000681999999987E-5</v>
      </c>
      <c r="H475" s="6">
        <f t="shared" si="70"/>
        <v>-2.5000681999999987E-5</v>
      </c>
      <c r="I475" s="6">
        <f t="shared" si="70"/>
        <v>-2.5000681999999987E-5</v>
      </c>
      <c r="J475" s="6">
        <f t="shared" si="70"/>
        <v>-2.5000681999999987E-5</v>
      </c>
    </row>
    <row r="476" spans="1:10" x14ac:dyDescent="0.35">
      <c r="A476" s="6" t="s">
        <v>137</v>
      </c>
      <c r="B476" s="6">
        <f t="shared" si="69"/>
        <v>1.5832837748912708E-5</v>
      </c>
      <c r="C476" s="6">
        <f t="shared" si="69"/>
        <v>-1.2581569951708664E-5</v>
      </c>
      <c r="D476" s="6">
        <f t="shared" si="69"/>
        <v>-1.6868573604780578E-5</v>
      </c>
      <c r="E476" s="6">
        <f t="shared" si="69"/>
        <v>6.017957675017424E-6</v>
      </c>
      <c r="F476" s="6">
        <f>F458/$B$463</f>
        <v>-1.424692134957899E-5</v>
      </c>
      <c r="G476" s="6">
        <f t="shared" si="69"/>
        <v>-1.7363627804373669E-5</v>
      </c>
      <c r="H476" s="6">
        <f t="shared" si="70"/>
        <v>4.9182733553310052E-5</v>
      </c>
      <c r="I476" s="6">
        <f t="shared" si="70"/>
        <v>4.5874634330836272E-5</v>
      </c>
      <c r="J476" s="6">
        <f t="shared" si="70"/>
        <v>4.3876765382235934E-5</v>
      </c>
    </row>
  </sheetData>
  <mergeCells count="3">
    <mergeCell ref="A461:K461"/>
    <mergeCell ref="A432:K432"/>
    <mergeCell ref="A446:K446"/>
  </mergeCells>
  <pageMargins left="0.7" right="0.7" top="0.75" bottom="0.75" header="0.3" footer="0.3"/>
  <pageSetup paperSize="9" orientation="portrait" horizontalDpi="1200" verticalDpi="12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81C4B-EC6A-410E-A07B-56601AE71D9C}">
  <sheetPr>
    <tabColor theme="5" tint="-0.249977111117893"/>
  </sheetPr>
  <dimension ref="A1:BA476"/>
  <sheetViews>
    <sheetView topLeftCell="B412" zoomScale="60" zoomScaleNormal="60" workbookViewId="0">
      <selection activeCell="Z241" sqref="Z241"/>
    </sheetView>
  </sheetViews>
  <sheetFormatPr defaultColWidth="8.54296875" defaultRowHeight="14.5" outlineLevelRow="1" x14ac:dyDescent="0.35"/>
  <cols>
    <col min="1" max="1" width="37.54296875" style="6" customWidth="1"/>
    <col min="2" max="2" width="16.453125" style="6" bestFit="1" customWidth="1"/>
    <col min="3" max="14" width="10.54296875" style="6" bestFit="1" customWidth="1"/>
    <col min="15" max="16" width="10.1796875" style="6" bestFit="1" customWidth="1"/>
    <col min="17" max="24" width="10.54296875" style="6" bestFit="1" customWidth="1"/>
    <col min="25" max="25" width="10.1796875" style="6" bestFit="1" customWidth="1"/>
    <col min="26" max="26" width="16.453125" style="6" bestFit="1" customWidth="1"/>
    <col min="27" max="27" width="8.54296875" style="6"/>
    <col min="28" max="28" width="35" style="6" bestFit="1" customWidth="1"/>
    <col min="29" max="29" width="16.453125" style="6" bestFit="1" customWidth="1"/>
    <col min="30" max="30" width="16.54296875" style="6" customWidth="1"/>
    <col min="31" max="53" width="12.81640625" style="6" bestFit="1" customWidth="1"/>
    <col min="54" max="16384" width="8.54296875" style="6"/>
  </cols>
  <sheetData>
    <row r="1" spans="1:53" s="139" customFormat="1" ht="21" x14ac:dyDescent="0.5">
      <c r="A1" s="138" t="s">
        <v>764</v>
      </c>
    </row>
    <row r="2" spans="1:53" s="221" customFormat="1" ht="21" x14ac:dyDescent="0.5">
      <c r="A2" s="229" t="s">
        <v>849</v>
      </c>
    </row>
    <row r="3" spans="1:53" s="18" customFormat="1" ht="21" x14ac:dyDescent="0.5">
      <c r="A3" s="18" t="s">
        <v>72</v>
      </c>
    </row>
    <row r="4" spans="1:53" s="20" customFormat="1" outlineLevel="1" x14ac:dyDescent="0.35">
      <c r="A4" s="19" t="s">
        <v>767</v>
      </c>
    </row>
    <row r="5" spans="1:53" s="16" customFormat="1" outlineLevel="1" x14ac:dyDescent="0.35">
      <c r="A5" s="21"/>
      <c r="AE5" s="15"/>
    </row>
    <row r="6" spans="1:53" s="16" customFormat="1" outlineLevel="1" x14ac:dyDescent="0.35">
      <c r="A6" s="22" t="s">
        <v>761</v>
      </c>
    </row>
    <row r="7" spans="1:53" s="16" customFormat="1" outlineLevel="1" x14ac:dyDescent="0.35">
      <c r="A7" s="22"/>
      <c r="AB7" s="16" t="s">
        <v>127</v>
      </c>
      <c r="AC7" s="16">
        <v>100</v>
      </c>
      <c r="AD7" s="16" t="s">
        <v>128</v>
      </c>
    </row>
    <row r="8" spans="1:53" s="16" customFormat="1" outlineLevel="1" x14ac:dyDescent="0.35">
      <c r="A8" s="22"/>
      <c r="AB8" s="16" t="s">
        <v>129</v>
      </c>
      <c r="AC8" s="16">
        <v>25</v>
      </c>
      <c r="AD8" s="16" t="s">
        <v>130</v>
      </c>
    </row>
    <row r="9" spans="1:53" outlineLevel="1" x14ac:dyDescent="0.35">
      <c r="B9" s="25">
        <v>2030</v>
      </c>
      <c r="C9" s="25">
        <v>2031</v>
      </c>
      <c r="D9" s="25">
        <v>2032</v>
      </c>
      <c r="E9" s="25">
        <v>2033</v>
      </c>
      <c r="F9" s="25">
        <v>2034</v>
      </c>
      <c r="G9" s="25">
        <v>2035</v>
      </c>
      <c r="H9" s="25">
        <v>2036</v>
      </c>
      <c r="I9" s="25">
        <v>2037</v>
      </c>
      <c r="J9" s="25">
        <v>2038</v>
      </c>
      <c r="K9" s="25">
        <v>2039</v>
      </c>
      <c r="L9" s="25">
        <v>2040</v>
      </c>
      <c r="M9" s="25">
        <v>2041</v>
      </c>
      <c r="N9" s="25">
        <v>2042</v>
      </c>
      <c r="O9" s="25">
        <v>2043</v>
      </c>
      <c r="P9" s="25">
        <v>2044</v>
      </c>
      <c r="Q9" s="25">
        <v>2045</v>
      </c>
      <c r="R9" s="25">
        <v>2046</v>
      </c>
      <c r="S9" s="25">
        <v>2047</v>
      </c>
      <c r="T9" s="25">
        <v>2048</v>
      </c>
      <c r="U9" s="25">
        <v>2049</v>
      </c>
      <c r="V9" s="25">
        <v>2050</v>
      </c>
      <c r="W9" s="25">
        <v>2051</v>
      </c>
      <c r="X9" s="25">
        <v>2052</v>
      </c>
      <c r="Y9" s="25">
        <v>2053</v>
      </c>
      <c r="Z9" s="25">
        <v>2054</v>
      </c>
      <c r="AC9" s="25">
        <v>2030</v>
      </c>
      <c r="AD9" s="25">
        <v>2031</v>
      </c>
      <c r="AE9" s="25">
        <v>2032</v>
      </c>
      <c r="AF9" s="25">
        <v>2033</v>
      </c>
      <c r="AG9" s="25">
        <v>2034</v>
      </c>
      <c r="AH9" s="25">
        <v>2035</v>
      </c>
      <c r="AI9" s="25">
        <v>2036</v>
      </c>
      <c r="AJ9" s="25">
        <v>2037</v>
      </c>
      <c r="AK9" s="25">
        <v>2038</v>
      </c>
      <c r="AL9" s="25">
        <v>2039</v>
      </c>
      <c r="AM9" s="25">
        <v>2040</v>
      </c>
      <c r="AN9" s="25">
        <v>2041</v>
      </c>
      <c r="AO9" s="25">
        <v>2042</v>
      </c>
      <c r="AP9" s="25">
        <v>2043</v>
      </c>
      <c r="AQ9" s="25">
        <v>2044</v>
      </c>
      <c r="AR9" s="25">
        <v>2045</v>
      </c>
      <c r="AS9" s="25">
        <v>2046</v>
      </c>
      <c r="AT9" s="25">
        <v>2047</v>
      </c>
      <c r="AU9" s="25">
        <v>2048</v>
      </c>
      <c r="AV9" s="25">
        <v>2049</v>
      </c>
      <c r="AW9" s="25">
        <v>2050</v>
      </c>
      <c r="AX9" s="25">
        <v>2051</v>
      </c>
      <c r="AY9" s="25">
        <v>2052</v>
      </c>
      <c r="AZ9" s="25">
        <v>2053</v>
      </c>
      <c r="BA9" s="25">
        <v>2054</v>
      </c>
    </row>
    <row r="10" spans="1:53" outlineLevel="1" x14ac:dyDescent="0.35">
      <c r="A10" s="6" t="s">
        <v>21</v>
      </c>
      <c r="B10" s="6">
        <f>'Results - raw data ReCiPe (E)'!BC5</f>
        <v>77.21859804961916</v>
      </c>
      <c r="AB10" s="6" t="s">
        <v>117</v>
      </c>
      <c r="AC10" s="6">
        <f>SUM(B10:B21)+B23</f>
        <v>2965.0301428358648</v>
      </c>
    </row>
    <row r="11" spans="1:53" outlineLevel="1" x14ac:dyDescent="0.35">
      <c r="A11" s="6" t="s">
        <v>23</v>
      </c>
      <c r="B11" s="6">
        <f>'Results - raw data ReCiPe (E)'!BC6</f>
        <v>317.28059445097972</v>
      </c>
      <c r="AB11" s="6" t="s">
        <v>118</v>
      </c>
      <c r="AC11" s="6">
        <f>B22</f>
        <v>272.33360397786203</v>
      </c>
    </row>
    <row r="12" spans="1:53" outlineLevel="1" x14ac:dyDescent="0.35">
      <c r="A12" s="6" t="s">
        <v>26</v>
      </c>
      <c r="B12" s="6">
        <f>'Results - raw data ReCiPe (E)'!BC7</f>
        <v>324.35993216598132</v>
      </c>
      <c r="AB12" s="6" t="s">
        <v>119</v>
      </c>
      <c r="BA12" s="6">
        <f>SUM(Z24:Z35)</f>
        <v>46.163153956689108</v>
      </c>
    </row>
    <row r="13" spans="1:53" outlineLevel="1" x14ac:dyDescent="0.35">
      <c r="A13" s="6" t="s">
        <v>28</v>
      </c>
      <c r="B13" s="6">
        <f>'Results - raw data ReCiPe (E)'!BC8</f>
        <v>252.18889909747031</v>
      </c>
      <c r="AB13" s="6" t="s">
        <v>120</v>
      </c>
      <c r="BA13" s="6">
        <f>Z36</f>
        <v>1.3503554367435455</v>
      </c>
    </row>
    <row r="14" spans="1:53" outlineLevel="1" x14ac:dyDescent="0.35">
      <c r="A14" s="6" t="s">
        <v>29</v>
      </c>
      <c r="B14" s="6">
        <f>'Results - raw data ReCiPe (E)'!BC9</f>
        <v>125.9640931887588</v>
      </c>
      <c r="AB14" s="6" t="s">
        <v>121</v>
      </c>
      <c r="AC14" s="6">
        <f>B37</f>
        <v>119.1904376828072</v>
      </c>
      <c r="AF14" s="6">
        <f>E37</f>
        <v>118.3718965782387</v>
      </c>
      <c r="AI14" s="6">
        <f>H37</f>
        <v>118.2908864371209</v>
      </c>
      <c r="AL14" s="6">
        <f>K37</f>
        <v>117.82210845498651</v>
      </c>
      <c r="AO14" s="6">
        <f>N37</f>
        <v>117.9174008500527</v>
      </c>
      <c r="AR14" s="6">
        <f>Q37</f>
        <v>117.9147244662052</v>
      </c>
      <c r="AU14" s="6">
        <f>T37</f>
        <v>117.61608634126139</v>
      </c>
      <c r="AX14" s="6">
        <f>W37</f>
        <v>117.44781323215599</v>
      </c>
      <c r="BA14" s="6">
        <f>Z37</f>
        <v>117.264158753236</v>
      </c>
    </row>
    <row r="15" spans="1:53" outlineLevel="1" x14ac:dyDescent="0.35">
      <c r="A15" s="6" t="s">
        <v>31</v>
      </c>
      <c r="B15" s="6">
        <f>'Results - raw data ReCiPe (E)'!BC10</f>
        <v>88.492426477681875</v>
      </c>
      <c r="AB15" s="6" t="s">
        <v>122</v>
      </c>
      <c r="AC15" s="6">
        <f>B40+B39</f>
        <v>2683.8874573103321</v>
      </c>
      <c r="AD15" s="6">
        <f t="shared" ref="AD15:BA15" si="0">C40+C39</f>
        <v>2692.793890721297</v>
      </c>
      <c r="AE15" s="6">
        <f t="shared" si="0"/>
        <v>2701.7783403338281</v>
      </c>
      <c r="AF15" s="6">
        <f t="shared" si="0"/>
        <v>2706.700672917465</v>
      </c>
      <c r="AG15" s="6">
        <f t="shared" si="0"/>
        <v>2715.8995028076838</v>
      </c>
      <c r="AH15" s="6">
        <f t="shared" si="0"/>
        <v>2725.1741389802619</v>
      </c>
      <c r="AI15" s="6">
        <f t="shared" si="0"/>
        <v>2814.0402210849438</v>
      </c>
      <c r="AJ15" s="6">
        <f t="shared" si="0"/>
        <v>2902.7887290809399</v>
      </c>
      <c r="AK15" s="6">
        <f t="shared" si="0"/>
        <v>2988.3527774562708</v>
      </c>
      <c r="AL15" s="6">
        <f t="shared" si="0"/>
        <v>3077.020353301285</v>
      </c>
      <c r="AM15" s="6">
        <f t="shared" si="0"/>
        <v>3165.5987547228292</v>
      </c>
      <c r="AN15" s="6">
        <f t="shared" si="0"/>
        <v>3263.6331652469598</v>
      </c>
      <c r="AO15" s="6">
        <f t="shared" si="0"/>
        <v>3361.7811818242822</v>
      </c>
      <c r="AP15" s="6">
        <f t="shared" si="0"/>
        <v>3459.354841568017</v>
      </c>
      <c r="AQ15" s="6">
        <f t="shared" si="0"/>
        <v>3557.726115966937</v>
      </c>
      <c r="AR15" s="6">
        <f t="shared" si="0"/>
        <v>3656.195924025676</v>
      </c>
      <c r="AS15" s="6">
        <f t="shared" si="0"/>
        <v>3753.4578396803349</v>
      </c>
      <c r="AT15" s="6">
        <f t="shared" si="0"/>
        <v>3850.7555417609692</v>
      </c>
      <c r="AU15" s="6">
        <f t="shared" si="0"/>
        <v>3947.4971433905689</v>
      </c>
      <c r="AV15" s="6">
        <f t="shared" si="0"/>
        <v>4044.9280830876269</v>
      </c>
      <c r="AW15" s="6">
        <f t="shared" si="0"/>
        <v>4142.4339106704592</v>
      </c>
      <c r="AX15" s="6">
        <f t="shared" si="0"/>
        <v>4120.7292199534086</v>
      </c>
      <c r="AY15" s="6">
        <f t="shared" si="0"/>
        <v>4099.064890458726</v>
      </c>
      <c r="AZ15" s="6">
        <f t="shared" si="0"/>
        <v>4077.3865797364019</v>
      </c>
      <c r="BA15" s="6">
        <f t="shared" si="0"/>
        <v>4055.6927614695442</v>
      </c>
    </row>
    <row r="16" spans="1:53" outlineLevel="1" x14ac:dyDescent="0.35">
      <c r="A16" s="6" t="s">
        <v>34</v>
      </c>
      <c r="B16" s="6">
        <f>'Results - raw data ReCiPe (E)'!BC11</f>
        <v>60.105431311401333</v>
      </c>
      <c r="AB16" s="6" t="s">
        <v>123</v>
      </c>
      <c r="AC16" s="6">
        <f>B38</f>
        <v>213.7561645339245</v>
      </c>
      <c r="AD16" s="6">
        <f t="shared" ref="AD16:BA16" si="1">C38</f>
        <v>214.11317364597031</v>
      </c>
      <c r="AE16" s="6">
        <f t="shared" si="1"/>
        <v>214.47341165806512</v>
      </c>
      <c r="AF16" s="6">
        <f t="shared" si="1"/>
        <v>214.46251116288622</v>
      </c>
      <c r="AG16" s="6">
        <f t="shared" si="1"/>
        <v>214.83388134716211</v>
      </c>
      <c r="AH16" s="6">
        <f t="shared" si="1"/>
        <v>215.20812374772089</v>
      </c>
      <c r="AI16" s="6">
        <f t="shared" si="1"/>
        <v>221.66170122876531</v>
      </c>
      <c r="AJ16" s="6">
        <f t="shared" si="1"/>
        <v>228.08739714241969</v>
      </c>
      <c r="AK16" s="6">
        <f t="shared" si="1"/>
        <v>234.21005826383578</v>
      </c>
      <c r="AL16" s="6">
        <f t="shared" si="1"/>
        <v>240.59224526784581</v>
      </c>
      <c r="AM16" s="6">
        <f t="shared" si="1"/>
        <v>246.94875172326101</v>
      </c>
      <c r="AN16" s="6">
        <f t="shared" si="1"/>
        <v>254.07462545926279</v>
      </c>
      <c r="AO16" s="6">
        <f t="shared" si="1"/>
        <v>261.19243499886392</v>
      </c>
      <c r="AP16" s="6">
        <f t="shared" si="1"/>
        <v>268.23816375017429</v>
      </c>
      <c r="AQ16" s="6">
        <f t="shared" si="1"/>
        <v>275.33963760225271</v>
      </c>
      <c r="AR16" s="6">
        <f t="shared" si="1"/>
        <v>282.43183756937771</v>
      </c>
      <c r="AS16" s="6">
        <f t="shared" si="1"/>
        <v>289.44400481244838</v>
      </c>
      <c r="AT16" s="6">
        <f t="shared" si="1"/>
        <v>296.44474292503941</v>
      </c>
      <c r="AU16" s="6">
        <f t="shared" si="1"/>
        <v>303.37780162099631</v>
      </c>
      <c r="AV16" s="6">
        <f t="shared" si="1"/>
        <v>310.36040504167272</v>
      </c>
      <c r="AW16" s="6">
        <f t="shared" si="1"/>
        <v>317.3344517929184</v>
      </c>
      <c r="AX16" s="6">
        <f t="shared" si="1"/>
        <v>315.12577015084941</v>
      </c>
      <c r="AY16" s="6">
        <f t="shared" si="1"/>
        <v>312.93130103149196</v>
      </c>
      <c r="AZ16" s="6">
        <f t="shared" si="1"/>
        <v>310.74231942013807</v>
      </c>
      <c r="BA16" s="6">
        <f t="shared" si="1"/>
        <v>308.55861400518438</v>
      </c>
    </row>
    <row r="17" spans="1:53" outlineLevel="1" x14ac:dyDescent="0.35">
      <c r="A17" s="6" t="s">
        <v>36</v>
      </c>
      <c r="B17" s="6">
        <f>'Results - raw data ReCiPe (E)'!BC12</f>
        <v>63.067238902037133</v>
      </c>
      <c r="AB17" s="6" t="s">
        <v>124</v>
      </c>
      <c r="AC17" s="6">
        <f>-$AC$7*$AC$6</f>
        <v>0</v>
      </c>
      <c r="AD17" s="6">
        <f t="shared" ref="AD17:BA17" si="2">-$AC$7*$AC$6</f>
        <v>0</v>
      </c>
      <c r="AE17" s="6">
        <f t="shared" si="2"/>
        <v>0</v>
      </c>
      <c r="AF17" s="6">
        <f t="shared" si="2"/>
        <v>0</v>
      </c>
      <c r="AG17" s="6">
        <f t="shared" si="2"/>
        <v>0</v>
      </c>
      <c r="AH17" s="6">
        <f t="shared" si="2"/>
        <v>0</v>
      </c>
      <c r="AI17" s="6">
        <f t="shared" si="2"/>
        <v>0</v>
      </c>
      <c r="AJ17" s="6">
        <f t="shared" si="2"/>
        <v>0</v>
      </c>
      <c r="AK17" s="6">
        <f t="shared" si="2"/>
        <v>0</v>
      </c>
      <c r="AL17" s="6">
        <f t="shared" si="2"/>
        <v>0</v>
      </c>
      <c r="AM17" s="6">
        <f t="shared" si="2"/>
        <v>0</v>
      </c>
      <c r="AN17" s="6">
        <f t="shared" si="2"/>
        <v>0</v>
      </c>
      <c r="AO17" s="6">
        <f t="shared" si="2"/>
        <v>0</v>
      </c>
      <c r="AP17" s="6">
        <f t="shared" si="2"/>
        <v>0</v>
      </c>
      <c r="AQ17" s="6">
        <f t="shared" si="2"/>
        <v>0</v>
      </c>
      <c r="AR17" s="6">
        <f t="shared" si="2"/>
        <v>0</v>
      </c>
      <c r="AS17" s="6">
        <f t="shared" si="2"/>
        <v>0</v>
      </c>
      <c r="AT17" s="6">
        <f t="shared" si="2"/>
        <v>0</v>
      </c>
      <c r="AU17" s="6">
        <f t="shared" si="2"/>
        <v>0</v>
      </c>
      <c r="AV17" s="6">
        <f t="shared" si="2"/>
        <v>0</v>
      </c>
      <c r="AW17" s="6">
        <f t="shared" si="2"/>
        <v>0</v>
      </c>
      <c r="AX17" s="6">
        <f t="shared" si="2"/>
        <v>0</v>
      </c>
      <c r="AY17" s="6">
        <f t="shared" si="2"/>
        <v>0</v>
      </c>
      <c r="AZ17" s="6">
        <f t="shared" si="2"/>
        <v>0</v>
      </c>
      <c r="BA17" s="6">
        <f t="shared" si="2"/>
        <v>0</v>
      </c>
    </row>
    <row r="18" spans="1:53" outlineLevel="1" x14ac:dyDescent="0.35">
      <c r="A18" s="6" t="s">
        <v>38</v>
      </c>
      <c r="B18" s="6">
        <f>'Results - raw data ReCiPe (E)'!BC13</f>
        <v>672.8689939250836</v>
      </c>
      <c r="AB18" s="23" t="s">
        <v>125</v>
      </c>
      <c r="AC18" s="17">
        <f>SUM(AC10:AC17)</f>
        <v>6254.1978063407905</v>
      </c>
      <c r="AD18" s="17">
        <f t="shared" ref="AD18:BA18" si="3">SUM(AD10:AD17)</f>
        <v>2906.9070643672671</v>
      </c>
      <c r="AE18" s="17">
        <f t="shared" si="3"/>
        <v>2916.2517519918933</v>
      </c>
      <c r="AF18" s="17">
        <f t="shared" si="3"/>
        <v>3039.5350806585898</v>
      </c>
      <c r="AG18" s="17">
        <f t="shared" si="3"/>
        <v>2930.7333841548461</v>
      </c>
      <c r="AH18" s="17">
        <f t="shared" si="3"/>
        <v>2940.3822627279828</v>
      </c>
      <c r="AI18" s="17">
        <f t="shared" si="3"/>
        <v>3153.9928087508301</v>
      </c>
      <c r="AJ18" s="17">
        <f t="shared" si="3"/>
        <v>3130.8761262233597</v>
      </c>
      <c r="AK18" s="17">
        <f t="shared" si="3"/>
        <v>3222.5628357201067</v>
      </c>
      <c r="AL18" s="17">
        <f t="shared" si="3"/>
        <v>3435.4347070241174</v>
      </c>
      <c r="AM18" s="17">
        <f t="shared" si="3"/>
        <v>3412.5475064460902</v>
      </c>
      <c r="AN18" s="17">
        <f t="shared" si="3"/>
        <v>3517.7077907062226</v>
      </c>
      <c r="AO18" s="17">
        <f t="shared" si="3"/>
        <v>3740.8910176731988</v>
      </c>
      <c r="AP18" s="17">
        <f t="shared" si="3"/>
        <v>3727.5930053181914</v>
      </c>
      <c r="AQ18" s="17">
        <f t="shared" si="3"/>
        <v>3833.0657535691898</v>
      </c>
      <c r="AR18" s="17">
        <f t="shared" si="3"/>
        <v>4056.5424860612593</v>
      </c>
      <c r="AS18" s="17">
        <f t="shared" si="3"/>
        <v>4042.9018444927833</v>
      </c>
      <c r="AT18" s="17">
        <f t="shared" si="3"/>
        <v>4147.2002846860087</v>
      </c>
      <c r="AU18" s="17">
        <f t="shared" si="3"/>
        <v>4368.4910313528271</v>
      </c>
      <c r="AV18" s="17">
        <f t="shared" si="3"/>
        <v>4355.2884881292994</v>
      </c>
      <c r="AW18" s="17">
        <f t="shared" si="3"/>
        <v>4459.7683624633773</v>
      </c>
      <c r="AX18" s="17">
        <f t="shared" si="3"/>
        <v>4553.3028033364135</v>
      </c>
      <c r="AY18" s="17">
        <f t="shared" si="3"/>
        <v>4411.9961914902178</v>
      </c>
      <c r="AZ18" s="17">
        <f t="shared" si="3"/>
        <v>4388.1288991565398</v>
      </c>
      <c r="BA18" s="17">
        <f t="shared" si="3"/>
        <v>4529.0290436213972</v>
      </c>
    </row>
    <row r="19" spans="1:53" outlineLevel="1" x14ac:dyDescent="0.35">
      <c r="A19" s="6" t="s">
        <v>39</v>
      </c>
      <c r="B19" s="6">
        <f>'Results - raw data ReCiPe (E)'!BC14</f>
        <v>760.19739324761179</v>
      </c>
    </row>
    <row r="20" spans="1:53" outlineLevel="1" x14ac:dyDescent="0.35">
      <c r="A20" s="6" t="s">
        <v>41</v>
      </c>
      <c r="B20" s="6">
        <f>'Results - raw data ReCiPe (E)'!BC15</f>
        <v>53.415036359148253</v>
      </c>
    </row>
    <row r="21" spans="1:53" outlineLevel="1" x14ac:dyDescent="0.35">
      <c r="A21" s="6" t="s">
        <v>43</v>
      </c>
      <c r="B21" s="6">
        <f>'Results - raw data ReCiPe (E)'!BC16</f>
        <v>73.843720240407222</v>
      </c>
      <c r="AB21" s="219"/>
      <c r="AC21" s="219"/>
      <c r="AD21" s="219"/>
      <c r="AE21" s="219"/>
      <c r="AF21" s="219"/>
      <c r="AG21" s="219"/>
      <c r="AH21" s="219"/>
      <c r="AI21" s="219"/>
      <c r="AJ21" s="219"/>
      <c r="AK21" s="219"/>
      <c r="AL21" s="219"/>
      <c r="AM21" s="219"/>
      <c r="AN21" s="219"/>
      <c r="AO21" s="219"/>
      <c r="AP21" s="219"/>
      <c r="AQ21" s="219"/>
      <c r="AR21" s="219"/>
      <c r="AS21" s="219"/>
      <c r="AT21" s="219"/>
      <c r="AU21" s="219"/>
      <c r="AV21" s="219"/>
      <c r="AW21" s="219"/>
      <c r="AX21" s="219"/>
      <c r="AY21" s="219"/>
      <c r="AZ21" s="219"/>
      <c r="BA21" s="219"/>
    </row>
    <row r="22" spans="1:53" outlineLevel="1" x14ac:dyDescent="0.35">
      <c r="A22" s="6" t="s">
        <v>44</v>
      </c>
      <c r="B22" s="6">
        <f>'Results - raw data ReCiPe (E)'!BC17*AC7*AC8</f>
        <v>272.33360397786203</v>
      </c>
      <c r="AB22" s="219"/>
      <c r="AC22" s="219"/>
      <c r="AD22" s="219"/>
      <c r="AE22" s="219"/>
      <c r="AF22" s="219"/>
      <c r="AG22" s="219"/>
      <c r="AH22" s="219"/>
      <c r="AI22" s="219"/>
      <c r="AJ22" s="219"/>
      <c r="AK22" s="219"/>
      <c r="AL22" s="219"/>
      <c r="AM22" s="219"/>
      <c r="AN22" s="219"/>
      <c r="AO22" s="219"/>
      <c r="AP22" s="219"/>
      <c r="AQ22" s="219"/>
      <c r="AR22" s="219"/>
      <c r="AS22" s="219"/>
      <c r="AT22" s="219"/>
      <c r="AU22" s="219"/>
      <c r="AV22" s="219"/>
      <c r="AW22" s="219"/>
      <c r="AX22" s="219"/>
      <c r="AY22" s="219"/>
      <c r="AZ22" s="219"/>
      <c r="BA22" s="219"/>
    </row>
    <row r="23" spans="1:53" outlineLevel="1" x14ac:dyDescent="0.35">
      <c r="A23" s="6" t="s">
        <v>757</v>
      </c>
      <c r="B23" s="6">
        <f>'Results - raw data ReCiPe (E)'!BC18*AC7*AC8</f>
        <v>96.027785419684236</v>
      </c>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row>
    <row r="24" spans="1:53" outlineLevel="1" x14ac:dyDescent="0.35">
      <c r="A24" s="6" t="s">
        <v>22</v>
      </c>
      <c r="Z24" s="6">
        <f>'Results - raw data ReCiPe (E)'!CA19</f>
        <v>0.33631285194090771</v>
      </c>
      <c r="AB24" s="219"/>
      <c r="AC24" s="219"/>
      <c r="AD24" s="219"/>
      <c r="AE24" s="219"/>
      <c r="AF24" s="219"/>
      <c r="AG24" s="219"/>
      <c r="AH24" s="219"/>
      <c r="AI24" s="219"/>
      <c r="AJ24" s="219"/>
      <c r="AK24" s="219"/>
      <c r="AL24" s="219"/>
      <c r="AM24" s="219"/>
      <c r="AN24" s="219"/>
      <c r="AO24" s="219"/>
      <c r="AP24" s="219"/>
      <c r="AQ24" s="219"/>
      <c r="AR24" s="219"/>
      <c r="AS24" s="219"/>
      <c r="AT24" s="219"/>
      <c r="AU24" s="219"/>
      <c r="AV24" s="219"/>
      <c r="AW24" s="219"/>
      <c r="AX24" s="219"/>
      <c r="AY24" s="219"/>
      <c r="AZ24" s="219"/>
      <c r="BA24" s="219"/>
    </row>
    <row r="25" spans="1:53" outlineLevel="1" x14ac:dyDescent="0.35">
      <c r="A25" s="6" t="s">
        <v>24</v>
      </c>
      <c r="Z25" s="6">
        <f>'Results - raw data ReCiPe (E)'!CA20</f>
        <v>0.37421118561334321</v>
      </c>
      <c r="AB25" s="219"/>
      <c r="AC25" s="219"/>
      <c r="AD25" s="219"/>
      <c r="AE25" s="219"/>
      <c r="AF25" s="219"/>
      <c r="AG25" s="219"/>
      <c r="AH25" s="219"/>
      <c r="AI25" s="219"/>
      <c r="AJ25" s="219"/>
      <c r="AK25" s="219"/>
      <c r="AL25" s="219"/>
      <c r="AM25" s="219"/>
      <c r="AN25" s="219"/>
      <c r="AO25" s="219"/>
      <c r="AP25" s="219"/>
      <c r="AQ25" s="219"/>
      <c r="AR25" s="219"/>
      <c r="AS25" s="219"/>
      <c r="AT25" s="219"/>
      <c r="AU25" s="219"/>
      <c r="AV25" s="219"/>
      <c r="AW25" s="219"/>
      <c r="AX25" s="219"/>
      <c r="AY25" s="219"/>
      <c r="AZ25" s="219"/>
      <c r="BA25" s="219"/>
    </row>
    <row r="26" spans="1:53" outlineLevel="1" x14ac:dyDescent="0.35">
      <c r="A26" s="6" t="s">
        <v>25</v>
      </c>
      <c r="Z26" s="6">
        <f>'Results - raw data ReCiPe (E)'!CA21</f>
        <v>1.7393243750677869</v>
      </c>
      <c r="AB26" s="219"/>
      <c r="AC26" s="219"/>
      <c r="AD26" s="219"/>
      <c r="AE26" s="219"/>
      <c r="AF26" s="219"/>
      <c r="AG26" s="219"/>
      <c r="AH26" s="219"/>
      <c r="AI26" s="219"/>
      <c r="AJ26" s="219"/>
      <c r="AK26" s="219"/>
      <c r="AL26" s="219"/>
      <c r="AM26" s="219"/>
      <c r="AN26" s="219"/>
      <c r="AO26" s="219"/>
      <c r="AP26" s="219"/>
      <c r="AQ26" s="219"/>
      <c r="AR26" s="219"/>
      <c r="AS26" s="219"/>
      <c r="AT26" s="219"/>
      <c r="AU26" s="219"/>
      <c r="AV26" s="219"/>
      <c r="AW26" s="219"/>
      <c r="AX26" s="219"/>
      <c r="AY26" s="219"/>
      <c r="AZ26" s="219"/>
      <c r="BA26" s="219"/>
    </row>
    <row r="27" spans="1:53" outlineLevel="1" x14ac:dyDescent="0.35">
      <c r="A27" s="6" t="s">
        <v>27</v>
      </c>
      <c r="Z27" s="6">
        <f>'Results - raw data ReCiPe (E)'!CA22</f>
        <v>1.0390327142647591</v>
      </c>
      <c r="AB27" s="219"/>
      <c r="AC27" s="219"/>
      <c r="AD27" s="219"/>
      <c r="AE27" s="219"/>
      <c r="AF27" s="219"/>
      <c r="AG27" s="219"/>
      <c r="AH27" s="219"/>
      <c r="AI27" s="219"/>
      <c r="AJ27" s="219"/>
      <c r="AK27" s="219"/>
      <c r="AL27" s="219"/>
      <c r="AM27" s="219"/>
      <c r="AN27" s="219"/>
      <c r="AO27" s="219"/>
      <c r="AP27" s="219"/>
      <c r="AQ27" s="219"/>
      <c r="AR27" s="219"/>
      <c r="AS27" s="219"/>
      <c r="AT27" s="219"/>
      <c r="AU27" s="219"/>
      <c r="AV27" s="219"/>
      <c r="AW27" s="219"/>
      <c r="AX27" s="219"/>
      <c r="AY27" s="219"/>
      <c r="AZ27" s="219"/>
      <c r="BA27" s="219"/>
    </row>
    <row r="28" spans="1:53" outlineLevel="1" x14ac:dyDescent="0.35">
      <c r="A28" s="6" t="s">
        <v>30</v>
      </c>
      <c r="Z28" s="6">
        <f>'Results - raw data ReCiPe (E)'!CA23</f>
        <v>0.413290269883549</v>
      </c>
      <c r="AB28" s="219"/>
      <c r="AC28" s="219"/>
      <c r="AD28" s="219"/>
      <c r="AE28" s="219"/>
      <c r="AF28" s="219"/>
      <c r="AG28" s="219"/>
      <c r="AH28" s="219"/>
      <c r="AI28" s="219"/>
      <c r="AJ28" s="219"/>
      <c r="AK28" s="219"/>
      <c r="AL28" s="219"/>
      <c r="AM28" s="219"/>
      <c r="AN28" s="219"/>
      <c r="AO28" s="219"/>
      <c r="AP28" s="219"/>
      <c r="AQ28" s="219"/>
      <c r="AR28" s="219"/>
      <c r="AS28" s="219"/>
      <c r="AT28" s="219"/>
      <c r="AU28" s="219"/>
      <c r="AV28" s="219"/>
      <c r="AW28" s="219"/>
      <c r="AX28" s="219"/>
      <c r="AY28" s="219"/>
      <c r="AZ28" s="219"/>
      <c r="BA28" s="219"/>
    </row>
    <row r="29" spans="1:53" outlineLevel="1" x14ac:dyDescent="0.35">
      <c r="A29" s="6" t="s">
        <v>32</v>
      </c>
      <c r="Z29" s="6">
        <f>'Results - raw data ReCiPe (E)'!CA24</f>
        <v>0.1853570483021689</v>
      </c>
      <c r="AB29" s="219"/>
      <c r="AC29" s="219"/>
      <c r="AD29" s="219"/>
      <c r="AE29" s="219"/>
      <c r="AF29" s="219"/>
      <c r="AG29" s="219"/>
      <c r="AH29" s="219"/>
      <c r="AI29" s="219"/>
      <c r="AJ29" s="219"/>
      <c r="AK29" s="219"/>
      <c r="AL29" s="219"/>
      <c r="AM29" s="219"/>
      <c r="AN29" s="219"/>
      <c r="AO29" s="219"/>
      <c r="AP29" s="219"/>
      <c r="AQ29" s="219"/>
      <c r="AR29" s="219"/>
      <c r="AS29" s="219"/>
      <c r="AT29" s="219"/>
      <c r="AU29" s="219"/>
      <c r="AV29" s="219"/>
      <c r="AW29" s="219"/>
      <c r="AX29" s="219"/>
      <c r="AY29" s="219"/>
      <c r="AZ29" s="219"/>
      <c r="BA29" s="219"/>
    </row>
    <row r="30" spans="1:53" outlineLevel="1" x14ac:dyDescent="0.35">
      <c r="A30" s="6" t="s">
        <v>33</v>
      </c>
      <c r="Z30" s="6">
        <f>'Results - raw data ReCiPe (E)'!CA25</f>
        <v>0.1072347475857668</v>
      </c>
      <c r="AB30" s="219"/>
      <c r="AC30" s="219"/>
      <c r="AD30" s="219"/>
      <c r="AE30" s="219"/>
      <c r="AF30" s="219"/>
      <c r="AG30" s="219"/>
      <c r="AH30" s="219"/>
      <c r="AI30" s="219"/>
      <c r="AJ30" s="219"/>
      <c r="AK30" s="219"/>
      <c r="AL30" s="219"/>
      <c r="AM30" s="219"/>
      <c r="AN30" s="219"/>
      <c r="AO30" s="219"/>
      <c r="AP30" s="219"/>
      <c r="AQ30" s="219"/>
      <c r="AR30" s="219"/>
      <c r="AS30" s="219"/>
      <c r="AT30" s="219"/>
      <c r="AU30" s="219"/>
      <c r="AV30" s="219"/>
      <c r="AW30" s="219"/>
      <c r="AX30" s="219"/>
      <c r="AY30" s="219"/>
      <c r="AZ30" s="219"/>
      <c r="BA30" s="219"/>
    </row>
    <row r="31" spans="1:53" outlineLevel="1" x14ac:dyDescent="0.35">
      <c r="A31" s="6" t="s">
        <v>35</v>
      </c>
      <c r="Z31" s="6">
        <f>'Results - raw data ReCiPe (E)'!CA26</f>
        <v>0.21446949517153349</v>
      </c>
      <c r="AB31" s="219"/>
      <c r="AC31" s="219"/>
      <c r="AD31" s="219"/>
      <c r="AE31" s="219"/>
      <c r="AF31" s="219"/>
      <c r="AG31" s="219"/>
      <c r="AH31" s="219"/>
      <c r="AI31" s="219"/>
      <c r="AJ31" s="219"/>
      <c r="AK31" s="219"/>
      <c r="AL31" s="219"/>
      <c r="AM31" s="219"/>
      <c r="AN31" s="219"/>
      <c r="AO31" s="219"/>
      <c r="AP31" s="219"/>
      <c r="AQ31" s="219"/>
      <c r="AR31" s="219"/>
      <c r="AS31" s="219"/>
      <c r="AT31" s="219"/>
      <c r="AU31" s="219"/>
      <c r="AV31" s="219"/>
      <c r="AW31" s="219"/>
      <c r="AX31" s="219"/>
      <c r="AY31" s="219"/>
      <c r="AZ31" s="219"/>
      <c r="BA31" s="219"/>
    </row>
    <row r="32" spans="1:53" outlineLevel="1" x14ac:dyDescent="0.35">
      <c r="A32" s="6" t="s">
        <v>37</v>
      </c>
      <c r="Z32" s="6">
        <f>'Results - raw data ReCiPe (E)'!CA27</f>
        <v>3.1503219687254052</v>
      </c>
      <c r="AB32" s="219"/>
      <c r="AC32" s="219"/>
      <c r="AD32" s="219"/>
      <c r="AE32" s="219"/>
      <c r="AF32" s="219"/>
      <c r="AG32" s="219"/>
      <c r="AH32" s="219"/>
      <c r="AI32" s="219"/>
      <c r="AJ32" s="219"/>
      <c r="AK32" s="219"/>
      <c r="AL32" s="219"/>
      <c r="AM32" s="219"/>
      <c r="AN32" s="219"/>
      <c r="AO32" s="219"/>
      <c r="AP32" s="219"/>
      <c r="AQ32" s="219"/>
      <c r="AR32" s="219"/>
      <c r="AS32" s="219"/>
      <c r="AT32" s="219"/>
      <c r="AU32" s="219"/>
      <c r="AV32" s="219"/>
      <c r="AW32" s="219"/>
      <c r="AX32" s="219"/>
      <c r="AY32" s="219"/>
      <c r="AZ32" s="219"/>
      <c r="BA32" s="219"/>
    </row>
    <row r="33" spans="1:53" outlineLevel="1" x14ac:dyDescent="0.35">
      <c r="A33" s="6" t="s">
        <v>40</v>
      </c>
      <c r="Z33" s="6">
        <f>'Results - raw data ReCiPe (E)'!CA28</f>
        <v>1.528464389186555</v>
      </c>
      <c r="AB33" s="219"/>
      <c r="AC33" s="219"/>
      <c r="AD33" s="219"/>
      <c r="AE33" s="219"/>
      <c r="AF33" s="219"/>
      <c r="AG33" s="219"/>
      <c r="AH33" s="219"/>
      <c r="AI33" s="219"/>
      <c r="AJ33" s="219"/>
      <c r="AK33" s="219"/>
      <c r="AL33" s="219"/>
      <c r="AM33" s="219"/>
      <c r="AN33" s="219"/>
      <c r="AO33" s="219"/>
      <c r="AP33" s="219"/>
      <c r="AQ33" s="219"/>
      <c r="AR33" s="219"/>
      <c r="AS33" s="219"/>
      <c r="AT33" s="219"/>
      <c r="AU33" s="219"/>
      <c r="AV33" s="219"/>
      <c r="AW33" s="219"/>
      <c r="AX33" s="219"/>
      <c r="AY33" s="219"/>
      <c r="AZ33" s="219"/>
      <c r="BA33" s="219"/>
    </row>
    <row r="34" spans="1:53" outlineLevel="1" x14ac:dyDescent="0.35">
      <c r="A34" s="6" t="s">
        <v>42</v>
      </c>
      <c r="Z34" s="6">
        <f>'Results - raw data ReCiPe (E)'!CA29</f>
        <v>3.9547223812444359</v>
      </c>
      <c r="AB34" s="219"/>
      <c r="AC34" s="219"/>
      <c r="AD34" s="219"/>
      <c r="AE34" s="219"/>
      <c r="AF34" s="219"/>
      <c r="AG34" s="219"/>
      <c r="AH34" s="219"/>
      <c r="AI34" s="219"/>
      <c r="AJ34" s="219"/>
      <c r="AK34" s="219"/>
      <c r="AL34" s="219"/>
      <c r="AM34" s="219"/>
      <c r="AN34" s="219"/>
      <c r="AO34" s="219"/>
      <c r="AP34" s="219"/>
      <c r="AQ34" s="219"/>
      <c r="AR34" s="219"/>
      <c r="AS34" s="219"/>
      <c r="AT34" s="219"/>
      <c r="AU34" s="219"/>
      <c r="AV34" s="219"/>
      <c r="AW34" s="219"/>
      <c r="AX34" s="219"/>
      <c r="AY34" s="219"/>
      <c r="AZ34" s="219"/>
      <c r="BA34" s="219"/>
    </row>
    <row r="35" spans="1:53" outlineLevel="1" x14ac:dyDescent="0.35">
      <c r="A35" s="6" t="s">
        <v>115</v>
      </c>
      <c r="Z35" s="6">
        <f>'Results - raw data ReCiPe (E)'!CA30</f>
        <v>33.120412529702897</v>
      </c>
    </row>
    <row r="36" spans="1:53" outlineLevel="1" x14ac:dyDescent="0.35">
      <c r="A36" s="6" t="s">
        <v>45</v>
      </c>
      <c r="Z36" s="6">
        <f>'Results - raw data ReCiPe (E)'!CA31*AC7*AC8</f>
        <v>1.3503554367435455</v>
      </c>
    </row>
    <row r="37" spans="1:53" outlineLevel="1" x14ac:dyDescent="0.35">
      <c r="A37" s="6" t="s">
        <v>116</v>
      </c>
      <c r="B37" s="6">
        <f>'Results - raw data ReCiPe (E)'!BC32</f>
        <v>119.1904376828072</v>
      </c>
      <c r="C37" s="6">
        <f>'Results - raw data ReCiPe (E)'!BD32</f>
        <v>119.14749385904901</v>
      </c>
      <c r="D37" s="6">
        <f>'Results - raw data ReCiPe (E)'!BE32</f>
        <v>119.10500649893061</v>
      </c>
      <c r="E37" s="6">
        <f>'Results - raw data ReCiPe (E)'!BF32</f>
        <v>118.3718965782387</v>
      </c>
      <c r="F37" s="6">
        <f>'Results - raw data ReCiPe (E)'!BG32</f>
        <v>118.3315603139125</v>
      </c>
      <c r="G37" s="6">
        <f>'Results - raw data ReCiPe (E)'!BH32</f>
        <v>118.2914435002514</v>
      </c>
      <c r="H37" s="6">
        <f>'Results - raw data ReCiPe (E)'!BI32</f>
        <v>118.2908864371209</v>
      </c>
      <c r="I37" s="6">
        <f>'Results - raw data ReCiPe (E)'!BJ32</f>
        <v>118.29040093616619</v>
      </c>
      <c r="J37" s="6">
        <f>'Results - raw data ReCiPe (E)'!BK32</f>
        <v>117.8191358499945</v>
      </c>
      <c r="K37" s="6">
        <f>'Results - raw data ReCiPe (E)'!BL32</f>
        <v>117.82210845498651</v>
      </c>
      <c r="L37" s="6">
        <f>'Results - raw data ReCiPe (E)'!BM32</f>
        <v>117.8250996497282</v>
      </c>
      <c r="M37" s="6">
        <f>'Results - raw data ReCiPe (E)'!BN32</f>
        <v>117.8714564698883</v>
      </c>
      <c r="N37" s="6">
        <f>'Results - raw data ReCiPe (E)'!BO32</f>
        <v>117.9174008500527</v>
      </c>
      <c r="O37" s="6">
        <f>'Results - raw data ReCiPe (E)'!BP32</f>
        <v>117.8214902239839</v>
      </c>
      <c r="P37" s="6">
        <f>'Results - raw data ReCiPe (E)'!BQ32</f>
        <v>117.8683266201745</v>
      </c>
      <c r="Q37" s="6">
        <f>'Results - raw data ReCiPe (E)'!BR32</f>
        <v>117.9147244662052</v>
      </c>
      <c r="R37" s="6">
        <f>'Results - raw data ReCiPe (E)'!BS32</f>
        <v>117.8617819757314</v>
      </c>
      <c r="S37" s="6">
        <f>'Results - raw data ReCiPe (E)'!BT32</f>
        <v>117.8082404614688</v>
      </c>
      <c r="T37" s="6">
        <f>'Results - raw data ReCiPe (E)'!BU32</f>
        <v>117.61608634126139</v>
      </c>
      <c r="U37" s="6">
        <f>'Results - raw data ReCiPe (E)'!BV32</f>
        <v>117.5629913213542</v>
      </c>
      <c r="V37" s="6">
        <f>'Results - raw data ReCiPe (E)'!BW32</f>
        <v>117.5093695431686</v>
      </c>
      <c r="W37" s="6">
        <f>'Results - raw data ReCiPe (E)'!BX32</f>
        <v>117.44781323215599</v>
      </c>
      <c r="X37" s="6">
        <f>'Results - raw data ReCiPe (E)'!BY32</f>
        <v>117.3865059684325</v>
      </c>
      <c r="Y37" s="6">
        <f>'Results - raw data ReCiPe (E)'!BZ32</f>
        <v>117.3252887888865</v>
      </c>
      <c r="Z37" s="6">
        <f>'Results - raw data ReCiPe (E)'!CA32</f>
        <v>117.264158753236</v>
      </c>
    </row>
    <row r="38" spans="1:53" outlineLevel="1" x14ac:dyDescent="0.35">
      <c r="A38" s="6" t="s">
        <v>758</v>
      </c>
      <c r="B38" s="6">
        <f>'Results - raw data ReCiPe (E)'!BC33*$AC$7</f>
        <v>213.7561645339245</v>
      </c>
      <c r="C38" s="6">
        <f>'Results - raw data ReCiPe (E)'!BD33*$AC$7</f>
        <v>214.11317364597031</v>
      </c>
      <c r="D38" s="6">
        <f>'Results - raw data ReCiPe (E)'!BE33*$AC$7</f>
        <v>214.47341165806512</v>
      </c>
      <c r="E38" s="6">
        <f>'Results - raw data ReCiPe (E)'!BF33*$AC$7</f>
        <v>214.46251116288622</v>
      </c>
      <c r="F38" s="6">
        <f>'Results - raw data ReCiPe (E)'!BG33*$AC$7</f>
        <v>214.83388134716211</v>
      </c>
      <c r="G38" s="6">
        <f>'Results - raw data ReCiPe (E)'!BH33*$AC$7</f>
        <v>215.20812374772089</v>
      </c>
      <c r="H38" s="6">
        <f>'Results - raw data ReCiPe (E)'!BI33*$AC$7</f>
        <v>221.66170122876531</v>
      </c>
      <c r="I38" s="6">
        <f>'Results - raw data ReCiPe (E)'!BJ33*$AC$7</f>
        <v>228.08739714241969</v>
      </c>
      <c r="J38" s="6">
        <f>'Results - raw data ReCiPe (E)'!BK33*$AC$7</f>
        <v>234.21005826383578</v>
      </c>
      <c r="K38" s="6">
        <f>'Results - raw data ReCiPe (E)'!BL33*$AC$7</f>
        <v>240.59224526784581</v>
      </c>
      <c r="L38" s="6">
        <f>'Results - raw data ReCiPe (E)'!BM33*$AC$7</f>
        <v>246.94875172326101</v>
      </c>
      <c r="M38" s="6">
        <f>'Results - raw data ReCiPe (E)'!BN33*$AC$7</f>
        <v>254.07462545926279</v>
      </c>
      <c r="N38" s="6">
        <f>'Results - raw data ReCiPe (E)'!BO33*$AC$7</f>
        <v>261.19243499886392</v>
      </c>
      <c r="O38" s="6">
        <f>'Results - raw data ReCiPe (E)'!BP33*$AC$7</f>
        <v>268.23816375017429</v>
      </c>
      <c r="P38" s="6">
        <f>'Results - raw data ReCiPe (E)'!BQ33*$AC$7</f>
        <v>275.33963760225271</v>
      </c>
      <c r="Q38" s="6">
        <f>'Results - raw data ReCiPe (E)'!BR33*$AC$7</f>
        <v>282.43183756937771</v>
      </c>
      <c r="R38" s="6">
        <f>'Results - raw data ReCiPe (E)'!BS33*$AC$7</f>
        <v>289.44400481244838</v>
      </c>
      <c r="S38" s="6">
        <f>'Results - raw data ReCiPe (E)'!BT33*$AC$7</f>
        <v>296.44474292503941</v>
      </c>
      <c r="T38" s="6">
        <f>'Results - raw data ReCiPe (E)'!BU33*$AC$7</f>
        <v>303.37780162099631</v>
      </c>
      <c r="U38" s="6">
        <f>'Results - raw data ReCiPe (E)'!BV33*$AC$7</f>
        <v>310.36040504167272</v>
      </c>
      <c r="V38" s="6">
        <f>'Results - raw data ReCiPe (E)'!BW33*$AC$7</f>
        <v>317.3344517929184</v>
      </c>
      <c r="W38" s="6">
        <f>'Results - raw data ReCiPe (E)'!BX33*$AC$7</f>
        <v>315.12577015084941</v>
      </c>
      <c r="X38" s="6">
        <f>'Results - raw data ReCiPe (E)'!BY33*$AC$7</f>
        <v>312.93130103149196</v>
      </c>
      <c r="Y38" s="6">
        <f>'Results - raw data ReCiPe (E)'!BZ33*$AC$7</f>
        <v>310.74231942013807</v>
      </c>
      <c r="Z38" s="6">
        <f>'Results - raw data ReCiPe (E)'!CA33*$AC$7</f>
        <v>308.55861400518438</v>
      </c>
    </row>
    <row r="39" spans="1:53" outlineLevel="1" x14ac:dyDescent="0.35">
      <c r="A39" s="6" t="s">
        <v>759</v>
      </c>
      <c r="B39" s="6">
        <f>'Results - raw data ReCiPe (E)'!BC34</f>
        <v>0</v>
      </c>
      <c r="C39" s="6">
        <f>'Results - raw data ReCiPe (E)'!BD34</f>
        <v>0</v>
      </c>
      <c r="D39" s="6">
        <f>'Results - raw data ReCiPe (E)'!BE34</f>
        <v>0</v>
      </c>
      <c r="E39" s="6">
        <f>'Results - raw data ReCiPe (E)'!BF34</f>
        <v>0</v>
      </c>
      <c r="F39" s="6">
        <f>'Results - raw data ReCiPe (E)'!BG34</f>
        <v>0</v>
      </c>
      <c r="G39" s="6">
        <f>'Results - raw data ReCiPe (E)'!BH34</f>
        <v>0</v>
      </c>
      <c r="H39" s="6">
        <f>'Results - raw data ReCiPe (E)'!BI34</f>
        <v>0</v>
      </c>
      <c r="I39" s="6">
        <f>'Results - raw data ReCiPe (E)'!BJ34</f>
        <v>0</v>
      </c>
      <c r="J39" s="6">
        <f>'Results - raw data ReCiPe (E)'!BK34</f>
        <v>0</v>
      </c>
      <c r="K39" s="6">
        <f>'Results - raw data ReCiPe (E)'!BL34</f>
        <v>0</v>
      </c>
      <c r="L39" s="6">
        <f>'Results - raw data ReCiPe (E)'!BM34</f>
        <v>0</v>
      </c>
      <c r="M39" s="6">
        <f>'Results - raw data ReCiPe (E)'!BN34</f>
        <v>0</v>
      </c>
      <c r="N39" s="6">
        <f>'Results - raw data ReCiPe (E)'!BO34</f>
        <v>0</v>
      </c>
      <c r="O39" s="6">
        <f>'Results - raw data ReCiPe (E)'!BP34</f>
        <v>0</v>
      </c>
      <c r="P39" s="6">
        <f>'Results - raw data ReCiPe (E)'!BQ34</f>
        <v>0</v>
      </c>
      <c r="Q39" s="6">
        <f>'Results - raw data ReCiPe (E)'!BR34</f>
        <v>0</v>
      </c>
      <c r="R39" s="6">
        <f>'Results - raw data ReCiPe (E)'!BS34</f>
        <v>0</v>
      </c>
      <c r="S39" s="6">
        <f>'Results - raw data ReCiPe (E)'!BT34</f>
        <v>0</v>
      </c>
      <c r="T39" s="6">
        <f>'Results - raw data ReCiPe (E)'!BU34</f>
        <v>0</v>
      </c>
      <c r="U39" s="6">
        <f>'Results - raw data ReCiPe (E)'!BV34</f>
        <v>0</v>
      </c>
      <c r="V39" s="6">
        <f>'Results - raw data ReCiPe (E)'!BW34</f>
        <v>0</v>
      </c>
      <c r="W39" s="6">
        <f>'Results - raw data ReCiPe (E)'!BX34</f>
        <v>0</v>
      </c>
      <c r="X39" s="6">
        <f>'Results - raw data ReCiPe (E)'!BY34</f>
        <v>0</v>
      </c>
      <c r="Y39" s="6">
        <f>'Results - raw data ReCiPe (E)'!BZ34</f>
        <v>0</v>
      </c>
      <c r="Z39" s="6">
        <f>'Results - raw data ReCiPe (E)'!CA34</f>
        <v>0</v>
      </c>
    </row>
    <row r="40" spans="1:53" outlineLevel="1" x14ac:dyDescent="0.35">
      <c r="A40" s="6" t="s">
        <v>760</v>
      </c>
      <c r="B40" s="6">
        <f>'Results - raw data ReCiPe (E)'!BC35</f>
        <v>2683.8874573103321</v>
      </c>
      <c r="C40" s="6">
        <f>'Results - raw data ReCiPe (E)'!BD35</f>
        <v>2692.793890721297</v>
      </c>
      <c r="D40" s="6">
        <f>'Results - raw data ReCiPe (E)'!BE35</f>
        <v>2701.7783403338281</v>
      </c>
      <c r="E40" s="6">
        <f>'Results - raw data ReCiPe (E)'!BF35</f>
        <v>2706.700672917465</v>
      </c>
      <c r="F40" s="6">
        <f>'Results - raw data ReCiPe (E)'!BG35</f>
        <v>2715.8995028076838</v>
      </c>
      <c r="G40" s="6">
        <f>'Results - raw data ReCiPe (E)'!BH35</f>
        <v>2725.1741389802619</v>
      </c>
      <c r="H40" s="6">
        <f>'Results - raw data ReCiPe (E)'!BI35</f>
        <v>2814.0402210849438</v>
      </c>
      <c r="I40" s="6">
        <f>'Results - raw data ReCiPe (E)'!BJ35</f>
        <v>2902.7887290809399</v>
      </c>
      <c r="J40" s="6">
        <f>'Results - raw data ReCiPe (E)'!BK35</f>
        <v>2988.3527774562708</v>
      </c>
      <c r="K40" s="6">
        <f>'Results - raw data ReCiPe (E)'!BL35</f>
        <v>3077.020353301285</v>
      </c>
      <c r="L40" s="6">
        <f>'Results - raw data ReCiPe (E)'!BM35</f>
        <v>3165.5987547228292</v>
      </c>
      <c r="M40" s="6">
        <f>'Results - raw data ReCiPe (E)'!BN35</f>
        <v>3263.6331652469598</v>
      </c>
      <c r="N40" s="6">
        <f>'Results - raw data ReCiPe (E)'!BO35</f>
        <v>3361.7811818242822</v>
      </c>
      <c r="O40" s="6">
        <f>'Results - raw data ReCiPe (E)'!BP35</f>
        <v>3459.354841568017</v>
      </c>
      <c r="P40" s="6">
        <f>'Results - raw data ReCiPe (E)'!BQ35</f>
        <v>3557.726115966937</v>
      </c>
      <c r="Q40" s="6">
        <f>'Results - raw data ReCiPe (E)'!BR35</f>
        <v>3656.195924025676</v>
      </c>
      <c r="R40" s="6">
        <f>'Results - raw data ReCiPe (E)'!BS35</f>
        <v>3753.4578396803349</v>
      </c>
      <c r="S40" s="6">
        <f>'Results - raw data ReCiPe (E)'!BT35</f>
        <v>3850.7555417609692</v>
      </c>
      <c r="T40" s="6">
        <f>'Results - raw data ReCiPe (E)'!BU35</f>
        <v>3947.4971433905689</v>
      </c>
      <c r="U40" s="6">
        <f>'Results - raw data ReCiPe (E)'!BV35</f>
        <v>4044.9280830876269</v>
      </c>
      <c r="V40" s="6">
        <f>'Results - raw data ReCiPe (E)'!BW35</f>
        <v>4142.4339106704592</v>
      </c>
      <c r="W40" s="6">
        <f>'Results - raw data ReCiPe (E)'!BX35</f>
        <v>4120.7292199534086</v>
      </c>
      <c r="X40" s="6">
        <f>'Results - raw data ReCiPe (E)'!BY35</f>
        <v>4099.064890458726</v>
      </c>
      <c r="Y40" s="6">
        <f>'Results - raw data ReCiPe (E)'!BZ35</f>
        <v>4077.3865797364019</v>
      </c>
      <c r="Z40" s="6">
        <f>'Results - raw data ReCiPe (E)'!CA35</f>
        <v>4055.6927614695442</v>
      </c>
    </row>
    <row r="41" spans="1:53" outlineLevel="1" x14ac:dyDescent="0.35">
      <c r="A41" s="23" t="s">
        <v>125</v>
      </c>
      <c r="B41" s="17">
        <f>SUM(B10:B40)</f>
        <v>6254.1978063407905</v>
      </c>
      <c r="C41" s="17">
        <f>SUM(C10:C40)</f>
        <v>3026.0545582263162</v>
      </c>
      <c r="D41" s="17">
        <f>SUM(D10:D40)</f>
        <v>3035.3567584908237</v>
      </c>
      <c r="E41" s="17">
        <f>SUM(E10:E40)</f>
        <v>3039.5350806585898</v>
      </c>
      <c r="F41" s="17">
        <f>SUM(F10:F40)</f>
        <v>3049.0649444687583</v>
      </c>
      <c r="G41" s="17">
        <f t="shared" ref="G41:Z41" si="4">SUM(G10:G40)</f>
        <v>3058.6737062282341</v>
      </c>
      <c r="H41" s="17">
        <f t="shared" si="4"/>
        <v>3153.9928087508301</v>
      </c>
      <c r="I41" s="17">
        <f t="shared" si="4"/>
        <v>3249.1665271595257</v>
      </c>
      <c r="J41" s="17">
        <f t="shared" si="4"/>
        <v>3340.3819715701011</v>
      </c>
      <c r="K41" s="17">
        <f t="shared" si="4"/>
        <v>3435.4347070241174</v>
      </c>
      <c r="L41" s="17">
        <f t="shared" si="4"/>
        <v>3530.3726060958184</v>
      </c>
      <c r="M41" s="17">
        <f t="shared" si="4"/>
        <v>3635.579247176111</v>
      </c>
      <c r="N41" s="17">
        <f t="shared" si="4"/>
        <v>3740.8910176731988</v>
      </c>
      <c r="O41" s="17">
        <f t="shared" si="4"/>
        <v>3845.4144955421752</v>
      </c>
      <c r="P41" s="17">
        <f t="shared" si="4"/>
        <v>3950.9340801893641</v>
      </c>
      <c r="Q41" s="17">
        <f t="shared" si="4"/>
        <v>4056.5424860612588</v>
      </c>
      <c r="R41" s="17">
        <f t="shared" si="4"/>
        <v>4160.7636264685143</v>
      </c>
      <c r="S41" s="17">
        <f t="shared" si="4"/>
        <v>4265.0085251474775</v>
      </c>
      <c r="T41" s="17">
        <f t="shared" si="4"/>
        <v>4368.4910313528262</v>
      </c>
      <c r="U41" s="17">
        <f t="shared" si="4"/>
        <v>4472.8514794506536</v>
      </c>
      <c r="V41" s="17">
        <f t="shared" si="4"/>
        <v>4577.2777320065461</v>
      </c>
      <c r="W41" s="17">
        <f t="shared" si="4"/>
        <v>4553.3028033364135</v>
      </c>
      <c r="X41" s="17">
        <f t="shared" si="4"/>
        <v>4529.3826974586509</v>
      </c>
      <c r="Y41" s="17">
        <f t="shared" si="4"/>
        <v>4505.4541879454264</v>
      </c>
      <c r="Z41" s="17">
        <f t="shared" si="4"/>
        <v>4529.0290436213972</v>
      </c>
    </row>
    <row r="42" spans="1:53" outlineLevel="1" x14ac:dyDescent="0.35"/>
    <row r="43" spans="1:53" s="18" customFormat="1" ht="21" x14ac:dyDescent="0.5">
      <c r="A43" s="18" t="s">
        <v>73</v>
      </c>
    </row>
    <row r="44" spans="1:53" s="20" customFormat="1" outlineLevel="1" x14ac:dyDescent="0.35">
      <c r="A44" s="19" t="s">
        <v>767</v>
      </c>
    </row>
    <row r="45" spans="1:53" s="16" customFormat="1" outlineLevel="1" x14ac:dyDescent="0.35">
      <c r="A45" s="21"/>
      <c r="AE45" s="15"/>
    </row>
    <row r="46" spans="1:53" s="16" customFormat="1" outlineLevel="1" x14ac:dyDescent="0.35">
      <c r="A46" s="22" t="s">
        <v>761</v>
      </c>
    </row>
    <row r="47" spans="1:53" s="16" customFormat="1" outlineLevel="1" x14ac:dyDescent="0.35">
      <c r="A47" s="22"/>
      <c r="AB47" s="16" t="s">
        <v>127</v>
      </c>
      <c r="AC47" s="16">
        <v>100</v>
      </c>
      <c r="AD47" s="16" t="s">
        <v>128</v>
      </c>
    </row>
    <row r="48" spans="1:53" s="16" customFormat="1" outlineLevel="1" x14ac:dyDescent="0.35">
      <c r="A48" s="22"/>
      <c r="AB48" s="16" t="s">
        <v>129</v>
      </c>
      <c r="AC48" s="16">
        <v>25</v>
      </c>
      <c r="AD48" s="16" t="s">
        <v>130</v>
      </c>
    </row>
    <row r="49" spans="1:53" outlineLevel="1" x14ac:dyDescent="0.35">
      <c r="B49" s="25">
        <v>2030</v>
      </c>
      <c r="C49" s="25">
        <v>2031</v>
      </c>
      <c r="D49" s="25">
        <v>2032</v>
      </c>
      <c r="E49" s="25">
        <v>2033</v>
      </c>
      <c r="F49" s="25">
        <v>2034</v>
      </c>
      <c r="G49" s="25">
        <v>2035</v>
      </c>
      <c r="H49" s="25">
        <v>2036</v>
      </c>
      <c r="I49" s="25">
        <v>2037</v>
      </c>
      <c r="J49" s="25">
        <v>2038</v>
      </c>
      <c r="K49" s="25">
        <v>2039</v>
      </c>
      <c r="L49" s="25">
        <v>2040</v>
      </c>
      <c r="M49" s="25">
        <v>2041</v>
      </c>
      <c r="N49" s="25">
        <v>2042</v>
      </c>
      <c r="O49" s="25">
        <v>2043</v>
      </c>
      <c r="P49" s="25">
        <v>2044</v>
      </c>
      <c r="Q49" s="25">
        <v>2045</v>
      </c>
      <c r="R49" s="25">
        <v>2046</v>
      </c>
      <c r="S49" s="25">
        <v>2047</v>
      </c>
      <c r="T49" s="25">
        <v>2048</v>
      </c>
      <c r="U49" s="25">
        <v>2049</v>
      </c>
      <c r="V49" s="25">
        <v>2050</v>
      </c>
      <c r="W49" s="25">
        <v>2051</v>
      </c>
      <c r="X49" s="25">
        <v>2052</v>
      </c>
      <c r="Y49" s="25">
        <v>2053</v>
      </c>
      <c r="Z49" s="25">
        <v>2054</v>
      </c>
      <c r="AC49" s="25">
        <v>2030</v>
      </c>
      <c r="AD49" s="25">
        <v>2031</v>
      </c>
      <c r="AE49" s="25">
        <v>2032</v>
      </c>
      <c r="AF49" s="25">
        <v>2033</v>
      </c>
      <c r="AG49" s="25">
        <v>2034</v>
      </c>
      <c r="AH49" s="25">
        <v>2035</v>
      </c>
      <c r="AI49" s="25">
        <v>2036</v>
      </c>
      <c r="AJ49" s="25">
        <v>2037</v>
      </c>
      <c r="AK49" s="25">
        <v>2038</v>
      </c>
      <c r="AL49" s="25">
        <v>2039</v>
      </c>
      <c r="AM49" s="25">
        <v>2040</v>
      </c>
      <c r="AN49" s="25">
        <v>2041</v>
      </c>
      <c r="AO49" s="25">
        <v>2042</v>
      </c>
      <c r="AP49" s="25">
        <v>2043</v>
      </c>
      <c r="AQ49" s="25">
        <v>2044</v>
      </c>
      <c r="AR49" s="25">
        <v>2045</v>
      </c>
      <c r="AS49" s="25">
        <v>2046</v>
      </c>
      <c r="AT49" s="25">
        <v>2047</v>
      </c>
      <c r="AU49" s="25">
        <v>2048</v>
      </c>
      <c r="AV49" s="25">
        <v>2049</v>
      </c>
      <c r="AW49" s="25">
        <v>2050</v>
      </c>
      <c r="AX49" s="25">
        <v>2051</v>
      </c>
      <c r="AY49" s="25">
        <v>2052</v>
      </c>
      <c r="AZ49" s="25">
        <v>2053</v>
      </c>
      <c r="BA49" s="25">
        <v>2054</v>
      </c>
    </row>
    <row r="50" spans="1:53" outlineLevel="1" x14ac:dyDescent="0.35">
      <c r="A50" s="6" t="s">
        <v>21</v>
      </c>
      <c r="B50" s="6">
        <f>'Results - raw data ReCiPe (E)'!BC41</f>
        <v>75.549006646233693</v>
      </c>
      <c r="AB50" s="6" t="s">
        <v>117</v>
      </c>
      <c r="AC50" s="6">
        <f>SUM(B50:B61)+B63</f>
        <v>2892.6593074930947</v>
      </c>
    </row>
    <row r="51" spans="1:53" outlineLevel="1" x14ac:dyDescent="0.35">
      <c r="A51" s="6" t="s">
        <v>23</v>
      </c>
      <c r="B51" s="6">
        <f>'Results - raw data ReCiPe (E)'!BC42</f>
        <v>315.279997833935</v>
      </c>
      <c r="AB51" s="6" t="s">
        <v>118</v>
      </c>
      <c r="AC51" s="6">
        <f>B62</f>
        <v>268.94629988832151</v>
      </c>
    </row>
    <row r="52" spans="1:53" outlineLevel="1" x14ac:dyDescent="0.35">
      <c r="A52" s="6" t="s">
        <v>26</v>
      </c>
      <c r="B52" s="6">
        <f>'Results - raw data ReCiPe (E)'!BC43</f>
        <v>318.13655504746191</v>
      </c>
      <c r="AB52" s="6" t="s">
        <v>119</v>
      </c>
      <c r="BA52" s="6">
        <f>SUM(Z64:Z75)</f>
        <v>41.824707218963411</v>
      </c>
    </row>
    <row r="53" spans="1:53" outlineLevel="1" x14ac:dyDescent="0.35">
      <c r="A53" s="6" t="s">
        <v>28</v>
      </c>
      <c r="B53" s="6">
        <f>'Results - raw data ReCiPe (E)'!BC44</f>
        <v>247.39685044349511</v>
      </c>
      <c r="AB53" s="6" t="s">
        <v>120</v>
      </c>
      <c r="BA53" s="6">
        <f>Z76</f>
        <v>1.2970170042936588</v>
      </c>
    </row>
    <row r="54" spans="1:53" outlineLevel="1" x14ac:dyDescent="0.35">
      <c r="A54" s="6" t="s">
        <v>29</v>
      </c>
      <c r="B54" s="6">
        <f>'Results - raw data ReCiPe (E)'!BC45</f>
        <v>123.04843891538729</v>
      </c>
      <c r="AB54" s="6" t="s">
        <v>121</v>
      </c>
      <c r="AC54" s="6">
        <f>B77</f>
        <v>118.1438789925995</v>
      </c>
      <c r="AF54" s="6">
        <f>E77</f>
        <v>116.6612753102726</v>
      </c>
      <c r="AI54" s="6">
        <f>H77</f>
        <v>116.18081695012491</v>
      </c>
      <c r="AL54" s="6">
        <f>K77</f>
        <v>115.90171224187471</v>
      </c>
      <c r="AO54" s="6">
        <f>N77</f>
        <v>115.3805853817795</v>
      </c>
      <c r="AR54" s="6">
        <f>Q77</f>
        <v>114.3803047375598</v>
      </c>
      <c r="AU54" s="6">
        <f>T77</f>
        <v>113.57035329969089</v>
      </c>
      <c r="AX54" s="6">
        <f>W77</f>
        <v>113.03996369373409</v>
      </c>
      <c r="BA54" s="6">
        <f>Z77</f>
        <v>112.7955257307044</v>
      </c>
    </row>
    <row r="55" spans="1:53" outlineLevel="1" x14ac:dyDescent="0.35">
      <c r="A55" s="6" t="s">
        <v>31</v>
      </c>
      <c r="B55" s="6">
        <f>'Results - raw data ReCiPe (E)'!BC46</f>
        <v>86.986946654413728</v>
      </c>
      <c r="AB55" s="6" t="s">
        <v>122</v>
      </c>
      <c r="AC55" s="6">
        <f>B80+B79</f>
        <v>2644.949885334418</v>
      </c>
      <c r="AD55" s="6">
        <f t="shared" ref="AD55:BA55" si="5">C80+C79</f>
        <v>2594.108167558657</v>
      </c>
      <c r="AE55" s="6">
        <f t="shared" si="5"/>
        <v>2543.2682253138478</v>
      </c>
      <c r="AF55" s="6">
        <f t="shared" si="5"/>
        <v>2487.9521157601371</v>
      </c>
      <c r="AG55" s="6">
        <f t="shared" si="5"/>
        <v>2437.1242839401812</v>
      </c>
      <c r="AH55" s="6">
        <f t="shared" si="5"/>
        <v>2386.2906882774419</v>
      </c>
      <c r="AI55" s="6">
        <f t="shared" si="5"/>
        <v>2370.2419294222841</v>
      </c>
      <c r="AJ55" s="6">
        <f t="shared" si="5"/>
        <v>2354.0763815873088</v>
      </c>
      <c r="AK55" s="6">
        <f t="shared" si="5"/>
        <v>2333.8324188162778</v>
      </c>
      <c r="AL55" s="6">
        <f t="shared" si="5"/>
        <v>2317.252732820411</v>
      </c>
      <c r="AM55" s="6">
        <f t="shared" si="5"/>
        <v>2300.4890050248891</v>
      </c>
      <c r="AN55" s="6">
        <f t="shared" si="5"/>
        <v>2282.2775874176141</v>
      </c>
      <c r="AO55" s="6">
        <f t="shared" si="5"/>
        <v>2263.7893700673549</v>
      </c>
      <c r="AP55" s="6">
        <f t="shared" si="5"/>
        <v>2244.103764658988</v>
      </c>
      <c r="AQ55" s="6">
        <f t="shared" si="5"/>
        <v>2225.0759031368611</v>
      </c>
      <c r="AR55" s="6">
        <f t="shared" si="5"/>
        <v>2205.775813645459</v>
      </c>
      <c r="AS55" s="6">
        <f t="shared" si="5"/>
        <v>2220.5533834973212</v>
      </c>
      <c r="AT55" s="6">
        <f t="shared" si="5"/>
        <v>2235.0614604309171</v>
      </c>
      <c r="AU55" s="6">
        <f t="shared" si="5"/>
        <v>2248.3959084608359</v>
      </c>
      <c r="AV55" s="6">
        <f t="shared" si="5"/>
        <v>2262.3771476040938</v>
      </c>
      <c r="AW55" s="6">
        <f t="shared" si="5"/>
        <v>2276.09950326947</v>
      </c>
      <c r="AX55" s="6">
        <f t="shared" si="5"/>
        <v>2255.913271043959</v>
      </c>
      <c r="AY55" s="6">
        <f t="shared" si="5"/>
        <v>2235.7336912014089</v>
      </c>
      <c r="AZ55" s="6">
        <f t="shared" si="5"/>
        <v>2215.4684828238019</v>
      </c>
      <c r="BA55" s="6">
        <f t="shared" si="5"/>
        <v>2195.1143549592839</v>
      </c>
    </row>
    <row r="56" spans="1:53" outlineLevel="1" x14ac:dyDescent="0.35">
      <c r="A56" s="6" t="s">
        <v>34</v>
      </c>
      <c r="B56" s="6">
        <f>'Results - raw data ReCiPe (E)'!BC47</f>
        <v>58.68274634077617</v>
      </c>
      <c r="AB56" s="6" t="s">
        <v>123</v>
      </c>
      <c r="AC56" s="6">
        <f t="shared" ref="AC56:BA56" si="6">B78</f>
        <v>2.0982451198193321</v>
      </c>
      <c r="AD56" s="6">
        <f t="shared" si="6"/>
        <v>2.054803612812834</v>
      </c>
      <c r="AE56" s="6">
        <f t="shared" si="6"/>
        <v>2.0115285872716222</v>
      </c>
      <c r="AF56" s="6">
        <f t="shared" si="6"/>
        <v>1.9644333568935839</v>
      </c>
      <c r="AG56" s="6">
        <f t="shared" si="6"/>
        <v>1.921504554775475</v>
      </c>
      <c r="AH56" s="6">
        <f t="shared" si="6"/>
        <v>1.878735307757506</v>
      </c>
      <c r="AI56" s="6">
        <f t="shared" si="6"/>
        <v>1.864768726679908</v>
      </c>
      <c r="AJ56" s="6">
        <f t="shared" si="6"/>
        <v>1.850736871027072</v>
      </c>
      <c r="AK56" s="6">
        <f t="shared" si="6"/>
        <v>1.833232119602765</v>
      </c>
      <c r="AL56" s="6">
        <f t="shared" si="6"/>
        <v>1.818939704424031</v>
      </c>
      <c r="AM56" s="6">
        <f t="shared" si="6"/>
        <v>1.8045300648257681</v>
      </c>
      <c r="AN56" s="6">
        <f t="shared" si="6"/>
        <v>1.790468027180862</v>
      </c>
      <c r="AO56" s="6">
        <f t="shared" si="6"/>
        <v>1.7762058944472989</v>
      </c>
      <c r="AP56" s="6">
        <f t="shared" si="6"/>
        <v>1.7609330761533979</v>
      </c>
      <c r="AQ56" s="6">
        <f t="shared" si="6"/>
        <v>1.746282363638975</v>
      </c>
      <c r="AR56" s="6">
        <f t="shared" si="6"/>
        <v>1.7314337625106699</v>
      </c>
      <c r="AS56" s="6">
        <f t="shared" si="6"/>
        <v>1.744896830163998</v>
      </c>
      <c r="AT56" s="6">
        <f t="shared" si="6"/>
        <v>1.7582230446217719</v>
      </c>
      <c r="AU56" s="6">
        <f t="shared" si="6"/>
        <v>1.7706192702385231</v>
      </c>
      <c r="AV56" s="6">
        <f t="shared" si="6"/>
        <v>1.7836763237471001</v>
      </c>
      <c r="AW56" s="6">
        <f t="shared" si="6"/>
        <v>1.796598926791638</v>
      </c>
      <c r="AX56" s="6">
        <f t="shared" si="6"/>
        <v>1.7788713351427301</v>
      </c>
      <c r="AY56" s="6">
        <f t="shared" si="6"/>
        <v>1.761233199962833</v>
      </c>
      <c r="AZ56" s="6">
        <f t="shared" si="6"/>
        <v>1.7435785226161611</v>
      </c>
      <c r="BA56" s="6">
        <f t="shared" si="6"/>
        <v>1.725904260858679</v>
      </c>
    </row>
    <row r="57" spans="1:53" outlineLevel="1" x14ac:dyDescent="0.35">
      <c r="A57" s="6" t="s">
        <v>36</v>
      </c>
      <c r="B57" s="6">
        <f>'Results - raw data ReCiPe (E)'!BC48</f>
        <v>61.417377484540921</v>
      </c>
      <c r="AB57" s="6" t="s">
        <v>124</v>
      </c>
      <c r="AC57" s="6">
        <f>-$AC$7*$AC$6</f>
        <v>0</v>
      </c>
      <c r="AD57" s="6">
        <f t="shared" ref="AD57:BA57" si="7">-$AC$7*$AC$6</f>
        <v>0</v>
      </c>
      <c r="AE57" s="6">
        <f t="shared" si="7"/>
        <v>0</v>
      </c>
      <c r="AF57" s="6">
        <f t="shared" si="7"/>
        <v>0</v>
      </c>
      <c r="AG57" s="6">
        <f t="shared" si="7"/>
        <v>0</v>
      </c>
      <c r="AH57" s="6">
        <f t="shared" si="7"/>
        <v>0</v>
      </c>
      <c r="AI57" s="6">
        <f t="shared" si="7"/>
        <v>0</v>
      </c>
      <c r="AJ57" s="6">
        <f t="shared" si="7"/>
        <v>0</v>
      </c>
      <c r="AK57" s="6">
        <f t="shared" si="7"/>
        <v>0</v>
      </c>
      <c r="AL57" s="6">
        <f t="shared" si="7"/>
        <v>0</v>
      </c>
      <c r="AM57" s="6">
        <f t="shared" si="7"/>
        <v>0</v>
      </c>
      <c r="AN57" s="6">
        <f t="shared" si="7"/>
        <v>0</v>
      </c>
      <c r="AO57" s="6">
        <f t="shared" si="7"/>
        <v>0</v>
      </c>
      <c r="AP57" s="6">
        <f t="shared" si="7"/>
        <v>0</v>
      </c>
      <c r="AQ57" s="6">
        <f t="shared" si="7"/>
        <v>0</v>
      </c>
      <c r="AR57" s="6">
        <f t="shared" si="7"/>
        <v>0</v>
      </c>
      <c r="AS57" s="6">
        <f t="shared" si="7"/>
        <v>0</v>
      </c>
      <c r="AT57" s="6">
        <f t="shared" si="7"/>
        <v>0</v>
      </c>
      <c r="AU57" s="6">
        <f t="shared" si="7"/>
        <v>0</v>
      </c>
      <c r="AV57" s="6">
        <f t="shared" si="7"/>
        <v>0</v>
      </c>
      <c r="AW57" s="6">
        <f t="shared" si="7"/>
        <v>0</v>
      </c>
      <c r="AX57" s="6">
        <f t="shared" si="7"/>
        <v>0</v>
      </c>
      <c r="AY57" s="6">
        <f t="shared" si="7"/>
        <v>0</v>
      </c>
      <c r="AZ57" s="6">
        <f t="shared" si="7"/>
        <v>0</v>
      </c>
      <c r="BA57" s="6">
        <f t="shared" si="7"/>
        <v>0</v>
      </c>
    </row>
    <row r="58" spans="1:53" outlineLevel="1" x14ac:dyDescent="0.35">
      <c r="A58" s="6" t="s">
        <v>38</v>
      </c>
      <c r="B58" s="6">
        <f>'Results - raw data ReCiPe (E)'!BC49</f>
        <v>660.18683262205275</v>
      </c>
      <c r="AB58" s="23" t="s">
        <v>125</v>
      </c>
      <c r="AC58" s="17">
        <f t="shared" ref="AC58:BA58" si="8">SUM(AC50:AC57)</f>
        <v>5926.797616828253</v>
      </c>
      <c r="AD58" s="17">
        <f t="shared" si="8"/>
        <v>2596.16297117147</v>
      </c>
      <c r="AE58" s="17">
        <f t="shared" si="8"/>
        <v>2545.2797539011194</v>
      </c>
      <c r="AF58" s="17">
        <f t="shared" si="8"/>
        <v>2606.5778244273033</v>
      </c>
      <c r="AG58" s="17">
        <f t="shared" si="8"/>
        <v>2439.0457884949565</v>
      </c>
      <c r="AH58" s="17">
        <f t="shared" si="8"/>
        <v>2388.1694235851992</v>
      </c>
      <c r="AI58" s="17">
        <f t="shared" si="8"/>
        <v>2488.287515099089</v>
      </c>
      <c r="AJ58" s="17">
        <f t="shared" si="8"/>
        <v>2355.9271184583358</v>
      </c>
      <c r="AK58" s="17">
        <f t="shared" si="8"/>
        <v>2335.6656509358804</v>
      </c>
      <c r="AL58" s="17">
        <f t="shared" si="8"/>
        <v>2434.9733847667094</v>
      </c>
      <c r="AM58" s="17">
        <f t="shared" si="8"/>
        <v>2302.2935350897151</v>
      </c>
      <c r="AN58" s="17">
        <f t="shared" si="8"/>
        <v>2284.0680554447949</v>
      </c>
      <c r="AO58" s="17">
        <f t="shared" si="8"/>
        <v>2380.9461613435815</v>
      </c>
      <c r="AP58" s="17">
        <f t="shared" si="8"/>
        <v>2245.8646977351414</v>
      </c>
      <c r="AQ58" s="17">
        <f t="shared" si="8"/>
        <v>2226.8221855004999</v>
      </c>
      <c r="AR58" s="17">
        <f t="shared" si="8"/>
        <v>2321.8875521455298</v>
      </c>
      <c r="AS58" s="17">
        <f t="shared" si="8"/>
        <v>2222.2982803274854</v>
      </c>
      <c r="AT58" s="17">
        <f t="shared" si="8"/>
        <v>2236.819683475539</v>
      </c>
      <c r="AU58" s="17">
        <f t="shared" si="8"/>
        <v>2363.7368810307653</v>
      </c>
      <c r="AV58" s="17">
        <f t="shared" si="8"/>
        <v>2264.1608239278407</v>
      </c>
      <c r="AW58" s="17">
        <f t="shared" si="8"/>
        <v>2277.8961021962618</v>
      </c>
      <c r="AX58" s="17">
        <f t="shared" si="8"/>
        <v>2370.7321060728359</v>
      </c>
      <c r="AY58" s="17">
        <f t="shared" si="8"/>
        <v>2237.4949244013719</v>
      </c>
      <c r="AZ58" s="17">
        <f t="shared" si="8"/>
        <v>2217.2120613464181</v>
      </c>
      <c r="BA58" s="17">
        <f t="shared" si="8"/>
        <v>2352.7575091741041</v>
      </c>
    </row>
    <row r="59" spans="1:53" outlineLevel="1" x14ac:dyDescent="0.35">
      <c r="A59" s="6" t="s">
        <v>39</v>
      </c>
      <c r="B59" s="6">
        <f>'Results - raw data ReCiPe (E)'!BC50</f>
        <v>724.53561676640027</v>
      </c>
    </row>
    <row r="60" spans="1:53" outlineLevel="1" x14ac:dyDescent="0.35">
      <c r="A60" s="6" t="s">
        <v>41</v>
      </c>
      <c r="B60" s="6">
        <f>'Results - raw data ReCiPe (E)'!BC51</f>
        <v>53.672827910833327</v>
      </c>
    </row>
    <row r="61" spans="1:53" outlineLevel="1" x14ac:dyDescent="0.35">
      <c r="A61" s="6" t="s">
        <v>43</v>
      </c>
      <c r="B61" s="6">
        <f>'Results - raw data ReCiPe (E)'!BC52</f>
        <v>73.361900432224502</v>
      </c>
      <c r="AB61" s="219"/>
      <c r="AC61" s="219"/>
      <c r="AD61" s="219"/>
      <c r="AE61" s="219"/>
      <c r="AF61" s="219"/>
      <c r="AG61" s="219"/>
      <c r="AH61" s="219"/>
      <c r="AI61" s="219"/>
      <c r="AJ61" s="219"/>
      <c r="AK61" s="219"/>
      <c r="AL61" s="219"/>
      <c r="AM61" s="219"/>
      <c r="AN61" s="219"/>
      <c r="AO61" s="219"/>
      <c r="AP61" s="219"/>
      <c r="AQ61" s="219"/>
      <c r="AR61" s="219"/>
      <c r="AS61" s="219"/>
      <c r="AT61" s="219"/>
      <c r="AU61" s="219"/>
      <c r="AV61" s="219"/>
      <c r="AW61" s="219"/>
      <c r="AX61" s="219"/>
      <c r="AY61" s="219"/>
      <c r="AZ61" s="219"/>
      <c r="BA61" s="219"/>
    </row>
    <row r="62" spans="1:53" outlineLevel="1" x14ac:dyDescent="0.35">
      <c r="A62" s="6" t="s">
        <v>44</v>
      </c>
      <c r="B62" s="6">
        <f>'Results - raw data ReCiPe (E)'!BC53*AC47*AC48</f>
        <v>268.94629988832151</v>
      </c>
      <c r="AB62" s="219"/>
      <c r="AC62" s="219"/>
      <c r="AD62" s="219"/>
      <c r="AE62" s="219"/>
      <c r="AF62" s="219"/>
      <c r="AG62" s="219"/>
      <c r="AH62" s="219"/>
      <c r="AI62" s="219"/>
      <c r="AJ62" s="219"/>
      <c r="AK62" s="219"/>
      <c r="AL62" s="219"/>
      <c r="AM62" s="219"/>
      <c r="AN62" s="219"/>
      <c r="AO62" s="219"/>
      <c r="AP62" s="219"/>
      <c r="AQ62" s="219"/>
      <c r="AR62" s="219"/>
      <c r="AS62" s="219"/>
      <c r="AT62" s="219"/>
      <c r="AU62" s="219"/>
      <c r="AV62" s="219"/>
      <c r="AW62" s="219"/>
      <c r="AX62" s="219"/>
      <c r="AY62" s="219"/>
      <c r="AZ62" s="219"/>
      <c r="BA62" s="219"/>
    </row>
    <row r="63" spans="1:53" outlineLevel="1" x14ac:dyDescent="0.35">
      <c r="A63" s="6" t="s">
        <v>757</v>
      </c>
      <c r="B63" s="6">
        <f>'Results - raw data ReCiPe (E)'!BC54*AC48*AC47</f>
        <v>94.404210395339945</v>
      </c>
      <c r="AB63" s="219"/>
      <c r="AC63" s="219"/>
      <c r="AD63" s="219"/>
      <c r="AE63" s="219"/>
      <c r="AF63" s="219"/>
      <c r="AG63" s="219"/>
      <c r="AH63" s="219"/>
      <c r="AI63" s="219"/>
      <c r="AJ63" s="219"/>
      <c r="AK63" s="219"/>
      <c r="AL63" s="219"/>
      <c r="AM63" s="219"/>
      <c r="AN63" s="219"/>
      <c r="AO63" s="219"/>
      <c r="AP63" s="219"/>
      <c r="AQ63" s="219"/>
      <c r="AR63" s="219"/>
      <c r="AS63" s="219"/>
      <c r="AT63" s="219"/>
      <c r="AU63" s="219"/>
      <c r="AV63" s="219"/>
      <c r="AW63" s="219"/>
      <c r="AX63" s="219"/>
      <c r="AY63" s="219"/>
      <c r="AZ63" s="219"/>
      <c r="BA63" s="219"/>
    </row>
    <row r="64" spans="1:53" outlineLevel="1" x14ac:dyDescent="0.35">
      <c r="A64" s="6" t="s">
        <v>22</v>
      </c>
      <c r="Z64" s="6">
        <f>'Results - raw data ReCiPe (E)'!CA55</f>
        <v>0.32256488079999551</v>
      </c>
      <c r="AB64" s="219"/>
      <c r="AC64" s="219"/>
      <c r="AD64" s="219"/>
      <c r="AE64" s="219"/>
      <c r="AF64" s="219"/>
      <c r="AG64" s="219"/>
      <c r="AH64" s="219"/>
      <c r="AI64" s="219"/>
      <c r="AJ64" s="219"/>
      <c r="AK64" s="219"/>
      <c r="AL64" s="219"/>
      <c r="AM64" s="219"/>
      <c r="AN64" s="219"/>
      <c r="AO64" s="219"/>
      <c r="AP64" s="219"/>
      <c r="AQ64" s="219"/>
      <c r="AR64" s="219"/>
      <c r="AS64" s="219"/>
      <c r="AT64" s="219"/>
      <c r="AU64" s="219"/>
      <c r="AV64" s="219"/>
      <c r="AW64" s="219"/>
      <c r="AX64" s="219"/>
      <c r="AY64" s="219"/>
      <c r="AZ64" s="219"/>
      <c r="BA64" s="219"/>
    </row>
    <row r="65" spans="1:53" outlineLevel="1" x14ac:dyDescent="0.35">
      <c r="A65" s="6" t="s">
        <v>24</v>
      </c>
      <c r="Z65" s="6">
        <f>'Results - raw data ReCiPe (E)'!CA56</f>
        <v>0.3586164175343079</v>
      </c>
      <c r="AB65" s="219"/>
      <c r="AC65" s="219"/>
      <c r="AD65" s="219"/>
      <c r="AE65" s="219"/>
      <c r="AF65" s="219"/>
      <c r="AG65" s="219"/>
      <c r="AH65" s="219"/>
      <c r="AI65" s="219"/>
      <c r="AJ65" s="219"/>
      <c r="AK65" s="219"/>
      <c r="AL65" s="219"/>
      <c r="AM65" s="219"/>
      <c r="AN65" s="219"/>
      <c r="AO65" s="219"/>
      <c r="AP65" s="219"/>
      <c r="AQ65" s="219"/>
      <c r="AR65" s="219"/>
      <c r="AS65" s="219"/>
      <c r="AT65" s="219"/>
      <c r="AU65" s="219"/>
      <c r="AV65" s="219"/>
      <c r="AW65" s="219"/>
      <c r="AX65" s="219"/>
      <c r="AY65" s="219"/>
      <c r="AZ65" s="219"/>
      <c r="BA65" s="219"/>
    </row>
    <row r="66" spans="1:53" outlineLevel="1" x14ac:dyDescent="0.35">
      <c r="A66" s="6" t="s">
        <v>25</v>
      </c>
      <c r="Z66" s="6">
        <f>'Results - raw data ReCiPe (E)'!CA57</f>
        <v>1.632742117781969</v>
      </c>
      <c r="AB66" s="219"/>
      <c r="AC66" s="219"/>
      <c r="AD66" s="219"/>
      <c r="AE66" s="219"/>
      <c r="AF66" s="219"/>
      <c r="AG66" s="219"/>
      <c r="AH66" s="219"/>
      <c r="AI66" s="219"/>
      <c r="AJ66" s="219"/>
      <c r="AK66" s="219"/>
      <c r="AL66" s="219"/>
      <c r="AM66" s="219"/>
      <c r="AN66" s="219"/>
      <c r="AO66" s="219"/>
      <c r="AP66" s="219"/>
      <c r="AQ66" s="219"/>
      <c r="AR66" s="219"/>
      <c r="AS66" s="219"/>
      <c r="AT66" s="219"/>
      <c r="AU66" s="219"/>
      <c r="AV66" s="219"/>
      <c r="AW66" s="219"/>
      <c r="AX66" s="219"/>
      <c r="AY66" s="219"/>
      <c r="AZ66" s="219"/>
      <c r="BA66" s="219"/>
    </row>
    <row r="67" spans="1:53" outlineLevel="1" x14ac:dyDescent="0.35">
      <c r="A67" s="6" t="s">
        <v>27</v>
      </c>
      <c r="Z67" s="6">
        <f>'Results - raw data ReCiPe (E)'!CA58</f>
        <v>0.99804902585087185</v>
      </c>
      <c r="AB67" s="219"/>
      <c r="AC67" s="219"/>
      <c r="AD67" s="219"/>
      <c r="AE67" s="219"/>
      <c r="AF67" s="219"/>
      <c r="AG67" s="219"/>
      <c r="AH67" s="219"/>
      <c r="AI67" s="219"/>
      <c r="AJ67" s="219"/>
      <c r="AK67" s="219"/>
      <c r="AL67" s="219"/>
      <c r="AM67" s="219"/>
      <c r="AN67" s="219"/>
      <c r="AO67" s="219"/>
      <c r="AP67" s="219"/>
      <c r="AQ67" s="219"/>
      <c r="AR67" s="219"/>
      <c r="AS67" s="219"/>
      <c r="AT67" s="219"/>
      <c r="AU67" s="219"/>
      <c r="AV67" s="219"/>
      <c r="AW67" s="219"/>
      <c r="AX67" s="219"/>
      <c r="AY67" s="219"/>
      <c r="AZ67" s="219"/>
      <c r="BA67" s="219"/>
    </row>
    <row r="68" spans="1:53" outlineLevel="1" x14ac:dyDescent="0.35">
      <c r="A68" s="6" t="s">
        <v>30</v>
      </c>
      <c r="Z68" s="6">
        <f>'Results - raw data ReCiPe (E)'!CA59</f>
        <v>0.39579861091332591</v>
      </c>
      <c r="AB68" s="219"/>
      <c r="AC68" s="219"/>
      <c r="AD68" s="219"/>
      <c r="AE68" s="219"/>
      <c r="AF68" s="219"/>
      <c r="AG68" s="219"/>
      <c r="AH68" s="219"/>
      <c r="AI68" s="219"/>
      <c r="AJ68" s="219"/>
      <c r="AK68" s="219"/>
      <c r="AL68" s="219"/>
      <c r="AM68" s="219"/>
      <c r="AN68" s="219"/>
      <c r="AO68" s="219"/>
      <c r="AP68" s="219"/>
      <c r="AQ68" s="219"/>
      <c r="AR68" s="219"/>
      <c r="AS68" s="219"/>
      <c r="AT68" s="219"/>
      <c r="AU68" s="219"/>
      <c r="AV68" s="219"/>
      <c r="AW68" s="219"/>
      <c r="AX68" s="219"/>
      <c r="AY68" s="219"/>
      <c r="AZ68" s="219"/>
      <c r="BA68" s="219"/>
    </row>
    <row r="69" spans="1:53" outlineLevel="1" x14ac:dyDescent="0.35">
      <c r="A69" s="6" t="s">
        <v>32</v>
      </c>
      <c r="Z69" s="6">
        <f>'Results - raw data ReCiPe (E)'!CA60</f>
        <v>0.1772504828934679</v>
      </c>
      <c r="AB69" s="219"/>
      <c r="AC69" s="219"/>
      <c r="AD69" s="219"/>
      <c r="AE69" s="219"/>
      <c r="AF69" s="219"/>
      <c r="AG69" s="219"/>
      <c r="AH69" s="219"/>
      <c r="AI69" s="219"/>
      <c r="AJ69" s="219"/>
      <c r="AK69" s="219"/>
      <c r="AL69" s="219"/>
      <c r="AM69" s="219"/>
      <c r="AN69" s="219"/>
      <c r="AO69" s="219"/>
      <c r="AP69" s="219"/>
      <c r="AQ69" s="219"/>
      <c r="AR69" s="219"/>
      <c r="AS69" s="219"/>
      <c r="AT69" s="219"/>
      <c r="AU69" s="219"/>
      <c r="AV69" s="219"/>
      <c r="AW69" s="219"/>
      <c r="AX69" s="219"/>
      <c r="AY69" s="219"/>
      <c r="AZ69" s="219"/>
      <c r="BA69" s="219"/>
    </row>
    <row r="70" spans="1:53" outlineLevel="1" x14ac:dyDescent="0.35">
      <c r="A70" s="6" t="s">
        <v>33</v>
      </c>
      <c r="Z70" s="6">
        <f>'Results - raw data ReCiPe (E)'!CA61</f>
        <v>0.10228466236576519</v>
      </c>
      <c r="AB70" s="219"/>
      <c r="AC70" s="219"/>
      <c r="AD70" s="219"/>
      <c r="AE70" s="219"/>
      <c r="AF70" s="219"/>
      <c r="AG70" s="219"/>
      <c r="AH70" s="219"/>
      <c r="AI70" s="219"/>
      <c r="AJ70" s="219"/>
      <c r="AK70" s="219"/>
      <c r="AL70" s="219"/>
      <c r="AM70" s="219"/>
      <c r="AN70" s="219"/>
      <c r="AO70" s="219"/>
      <c r="AP70" s="219"/>
      <c r="AQ70" s="219"/>
      <c r="AR70" s="219"/>
      <c r="AS70" s="219"/>
      <c r="AT70" s="219"/>
      <c r="AU70" s="219"/>
      <c r="AV70" s="219"/>
      <c r="AW70" s="219"/>
      <c r="AX70" s="219"/>
      <c r="AY70" s="219"/>
      <c r="AZ70" s="219"/>
      <c r="BA70" s="219"/>
    </row>
    <row r="71" spans="1:53" outlineLevel="1" x14ac:dyDescent="0.35">
      <c r="A71" s="6" t="s">
        <v>35</v>
      </c>
      <c r="Z71" s="6">
        <f>'Results - raw data ReCiPe (E)'!CA62</f>
        <v>0.20456932473153031</v>
      </c>
      <c r="AB71" s="219"/>
      <c r="AC71" s="219"/>
      <c r="AD71" s="219"/>
      <c r="AE71" s="219"/>
      <c r="AF71" s="219"/>
      <c r="AG71" s="219"/>
      <c r="AH71" s="219"/>
      <c r="AI71" s="219"/>
      <c r="AJ71" s="219"/>
      <c r="AK71" s="219"/>
      <c r="AL71" s="219"/>
      <c r="AM71" s="219"/>
      <c r="AN71" s="219"/>
      <c r="AO71" s="219"/>
      <c r="AP71" s="219"/>
      <c r="AQ71" s="219"/>
      <c r="AR71" s="219"/>
      <c r="AS71" s="219"/>
      <c r="AT71" s="219"/>
      <c r="AU71" s="219"/>
      <c r="AV71" s="219"/>
      <c r="AW71" s="219"/>
      <c r="AX71" s="219"/>
      <c r="AY71" s="219"/>
      <c r="AZ71" s="219"/>
      <c r="BA71" s="219"/>
    </row>
    <row r="72" spans="1:53" outlineLevel="1" x14ac:dyDescent="0.35">
      <c r="A72" s="6" t="s">
        <v>37</v>
      </c>
      <c r="Z72" s="6">
        <f>'Results - raw data ReCiPe (E)'!CA63</f>
        <v>3.024714710988802</v>
      </c>
      <c r="AB72" s="219"/>
      <c r="AC72" s="219"/>
      <c r="AD72" s="219"/>
      <c r="AE72" s="219"/>
      <c r="AF72" s="219"/>
      <c r="AG72" s="219"/>
      <c r="AH72" s="219"/>
      <c r="AI72" s="219"/>
      <c r="AJ72" s="219"/>
      <c r="AK72" s="219"/>
      <c r="AL72" s="219"/>
      <c r="AM72" s="219"/>
      <c r="AN72" s="219"/>
      <c r="AO72" s="219"/>
      <c r="AP72" s="219"/>
      <c r="AQ72" s="219"/>
      <c r="AR72" s="219"/>
      <c r="AS72" s="219"/>
      <c r="AT72" s="219"/>
      <c r="AU72" s="219"/>
      <c r="AV72" s="219"/>
      <c r="AW72" s="219"/>
      <c r="AX72" s="219"/>
      <c r="AY72" s="219"/>
      <c r="AZ72" s="219"/>
      <c r="BA72" s="219"/>
    </row>
    <row r="73" spans="1:53" outlineLevel="1" x14ac:dyDescent="0.35">
      <c r="A73" s="6" t="s">
        <v>40</v>
      </c>
      <c r="Z73" s="6">
        <f>'Results - raw data ReCiPe (E)'!CA64</f>
        <v>1.402924819378335</v>
      </c>
    </row>
    <row r="74" spans="1:53" outlineLevel="1" x14ac:dyDescent="0.35">
      <c r="A74" s="6" t="s">
        <v>42</v>
      </c>
      <c r="Z74" s="6">
        <f>'Results - raw data ReCiPe (E)'!CA65</f>
        <v>3.747290872792246</v>
      </c>
    </row>
    <row r="75" spans="1:53" outlineLevel="1" x14ac:dyDescent="0.35">
      <c r="A75" s="6" t="s">
        <v>115</v>
      </c>
      <c r="Z75" s="6">
        <f>'Results - raw data ReCiPe (E)'!CA66</f>
        <v>29.457901292932799</v>
      </c>
    </row>
    <row r="76" spans="1:53" outlineLevel="1" x14ac:dyDescent="0.35">
      <c r="A76" s="6" t="s">
        <v>45</v>
      </c>
      <c r="Z76" s="6">
        <f>'Results - raw data ReCiPe (E)'!CA67*AC47*AC48</f>
        <v>1.2970170042936588</v>
      </c>
    </row>
    <row r="77" spans="1:53" outlineLevel="1" x14ac:dyDescent="0.35">
      <c r="A77" s="6" t="s">
        <v>116</v>
      </c>
      <c r="B77" s="6">
        <f>'Results - raw data ReCiPe (E)'!BC68</f>
        <v>118.1438789925995</v>
      </c>
      <c r="C77" s="6">
        <f>'Results - raw data ReCiPe (E)'!BD68</f>
        <v>117.88238480174731</v>
      </c>
      <c r="D77" s="6">
        <f>'Results - raw data ReCiPe (E)'!BE68</f>
        <v>117.6174673115036</v>
      </c>
      <c r="E77" s="6">
        <f>'Results - raw data ReCiPe (E)'!BF68</f>
        <v>116.6612753102726</v>
      </c>
      <c r="F77" s="6">
        <f>'Results - raw data ReCiPe (E)'!BG68</f>
        <v>116.39178890133201</v>
      </c>
      <c r="G77" s="6">
        <f>'Results - raw data ReCiPe (E)'!BH68</f>
        <v>116.1185569651705</v>
      </c>
      <c r="H77" s="6">
        <f>'Results - raw data ReCiPe (E)'!BI68</f>
        <v>116.18081695012491</v>
      </c>
      <c r="I77" s="6">
        <f>'Results - raw data ReCiPe (E)'!BJ68</f>
        <v>116.242129598603</v>
      </c>
      <c r="J77" s="6">
        <f>'Results - raw data ReCiPe (E)'!BK68</f>
        <v>115.8391048924309</v>
      </c>
      <c r="K77" s="6">
        <f>'Results - raw data ReCiPe (E)'!BL68</f>
        <v>115.90171224187471</v>
      </c>
      <c r="L77" s="6">
        <f>'Results - raw data ReCiPe (E)'!BM68</f>
        <v>115.96177005098851</v>
      </c>
      <c r="M77" s="6">
        <f>'Results - raw data ReCiPe (E)'!BN68</f>
        <v>115.6708242437779</v>
      </c>
      <c r="N77" s="6">
        <f>'Results - raw data ReCiPe (E)'!BO68</f>
        <v>115.3805853817795</v>
      </c>
      <c r="O77" s="6">
        <f>'Results - raw data ReCiPe (E)'!BP68</f>
        <v>114.95261991976891</v>
      </c>
      <c r="P77" s="6">
        <f>'Results - raw data ReCiPe (E)'!BQ68</f>
        <v>114.6661954020653</v>
      </c>
      <c r="Q77" s="6">
        <f>'Results - raw data ReCiPe (E)'!BR68</f>
        <v>114.3803047375598</v>
      </c>
      <c r="R77" s="6">
        <f>'Results - raw data ReCiPe (E)'!BS68</f>
        <v>114.15315750777199</v>
      </c>
      <c r="S77" s="6">
        <f>'Results - raw data ReCiPe (E)'!BT68</f>
        <v>113.92641215678221</v>
      </c>
      <c r="T77" s="6">
        <f>'Results - raw data ReCiPe (E)'!BU68</f>
        <v>113.57035329969089</v>
      </c>
      <c r="U77" s="6">
        <f>'Results - raw data ReCiPe (E)'!BV68</f>
        <v>113.3464707565312</v>
      </c>
      <c r="V77" s="6">
        <f>'Results - raw data ReCiPe (E)'!BW68</f>
        <v>113.1229108780152</v>
      </c>
      <c r="W77" s="6">
        <f>'Results - raw data ReCiPe (E)'!BX68</f>
        <v>113.03996369373409</v>
      </c>
      <c r="X77" s="6">
        <f>'Results - raw data ReCiPe (E)'!BY68</f>
        <v>112.95785787044269</v>
      </c>
      <c r="Y77" s="6">
        <f>'Results - raw data ReCiPe (E)'!BZ68</f>
        <v>112.8763866533386</v>
      </c>
      <c r="Z77" s="6">
        <f>'Results - raw data ReCiPe (E)'!CA68</f>
        <v>112.7955257307044</v>
      </c>
    </row>
    <row r="78" spans="1:53" outlineLevel="1" x14ac:dyDescent="0.35">
      <c r="A78" s="6" t="s">
        <v>758</v>
      </c>
      <c r="B78" s="6">
        <f>'Results - raw data ReCiPe (E)'!BC69</f>
        <v>2.0982451198193321</v>
      </c>
      <c r="C78" s="6">
        <f>'Results - raw data ReCiPe (E)'!BD69</f>
        <v>2.054803612812834</v>
      </c>
      <c r="D78" s="6">
        <f>'Results - raw data ReCiPe (E)'!BE69</f>
        <v>2.0115285872716222</v>
      </c>
      <c r="E78" s="6">
        <f>'Results - raw data ReCiPe (E)'!BF69</f>
        <v>1.9644333568935839</v>
      </c>
      <c r="F78" s="6">
        <f>'Results - raw data ReCiPe (E)'!BG69</f>
        <v>1.921504554775475</v>
      </c>
      <c r="G78" s="6">
        <f>'Results - raw data ReCiPe (E)'!BH69</f>
        <v>1.878735307757506</v>
      </c>
      <c r="H78" s="6">
        <f>'Results - raw data ReCiPe (E)'!BI69</f>
        <v>1.864768726679908</v>
      </c>
      <c r="I78" s="6">
        <f>'Results - raw data ReCiPe (E)'!BJ69</f>
        <v>1.850736871027072</v>
      </c>
      <c r="J78" s="6">
        <f>'Results - raw data ReCiPe (E)'!BK69</f>
        <v>1.833232119602765</v>
      </c>
      <c r="K78" s="6">
        <f>'Results - raw data ReCiPe (E)'!BL69</f>
        <v>1.818939704424031</v>
      </c>
      <c r="L78" s="6">
        <f>'Results - raw data ReCiPe (E)'!BM69</f>
        <v>1.8045300648257681</v>
      </c>
      <c r="M78" s="6">
        <f>'Results - raw data ReCiPe (E)'!BN69</f>
        <v>1.790468027180862</v>
      </c>
      <c r="N78" s="6">
        <f>'Results - raw data ReCiPe (E)'!BO69</f>
        <v>1.7762058944472989</v>
      </c>
      <c r="O78" s="6">
        <f>'Results - raw data ReCiPe (E)'!BP69</f>
        <v>1.7609330761533979</v>
      </c>
      <c r="P78" s="6">
        <f>'Results - raw data ReCiPe (E)'!BQ69</f>
        <v>1.746282363638975</v>
      </c>
      <c r="Q78" s="6">
        <f>'Results - raw data ReCiPe (E)'!BR69</f>
        <v>1.7314337625106699</v>
      </c>
      <c r="R78" s="6">
        <f>'Results - raw data ReCiPe (E)'!BS69</f>
        <v>1.744896830163998</v>
      </c>
      <c r="S78" s="6">
        <f>'Results - raw data ReCiPe (E)'!BT69</f>
        <v>1.7582230446217719</v>
      </c>
      <c r="T78" s="6">
        <f>'Results - raw data ReCiPe (E)'!BU69</f>
        <v>1.7706192702385231</v>
      </c>
      <c r="U78" s="6">
        <f>'Results - raw data ReCiPe (E)'!BV69</f>
        <v>1.7836763237471001</v>
      </c>
      <c r="V78" s="6">
        <f>'Results - raw data ReCiPe (E)'!BW69</f>
        <v>1.796598926791638</v>
      </c>
      <c r="W78" s="6">
        <f>'Results - raw data ReCiPe (E)'!BX69</f>
        <v>1.7788713351427301</v>
      </c>
      <c r="X78" s="6">
        <f>'Results - raw data ReCiPe (E)'!BY69</f>
        <v>1.761233199962833</v>
      </c>
      <c r="Y78" s="6">
        <f>'Results - raw data ReCiPe (E)'!BZ69</f>
        <v>1.7435785226161611</v>
      </c>
      <c r="Z78" s="6">
        <f>'Results - raw data ReCiPe (E)'!CA69</f>
        <v>1.725904260858679</v>
      </c>
    </row>
    <row r="79" spans="1:53" outlineLevel="1" x14ac:dyDescent="0.35">
      <c r="A79" s="6" t="s">
        <v>759</v>
      </c>
      <c r="B79" s="6">
        <f>'Results - raw data ReCiPe (E)'!BC70</f>
        <v>0</v>
      </c>
      <c r="C79" s="6">
        <f>'Results - raw data ReCiPe (E)'!BD70</f>
        <v>0</v>
      </c>
      <c r="D79" s="6">
        <f>'Results - raw data ReCiPe (E)'!BE70</f>
        <v>0</v>
      </c>
      <c r="E79" s="6">
        <f>'Results - raw data ReCiPe (E)'!BF70</f>
        <v>0</v>
      </c>
      <c r="F79" s="6">
        <f>'Results - raw data ReCiPe (E)'!BG70</f>
        <v>0</v>
      </c>
      <c r="G79" s="6">
        <f>'Results - raw data ReCiPe (E)'!BH70</f>
        <v>0</v>
      </c>
      <c r="H79" s="6">
        <f>'Results - raw data ReCiPe (E)'!BI70</f>
        <v>0</v>
      </c>
      <c r="I79" s="6">
        <f>'Results - raw data ReCiPe (E)'!BJ70</f>
        <v>0</v>
      </c>
      <c r="J79" s="6">
        <f>'Results - raw data ReCiPe (E)'!BK70</f>
        <v>0</v>
      </c>
      <c r="K79" s="6">
        <f>'Results - raw data ReCiPe (E)'!BL70</f>
        <v>0</v>
      </c>
      <c r="L79" s="6">
        <f>'Results - raw data ReCiPe (E)'!BM70</f>
        <v>0</v>
      </c>
      <c r="M79" s="6">
        <f>'Results - raw data ReCiPe (E)'!BN70</f>
        <v>0</v>
      </c>
      <c r="N79" s="6">
        <f>'Results - raw data ReCiPe (E)'!BO70</f>
        <v>0</v>
      </c>
      <c r="O79" s="6">
        <f>'Results - raw data ReCiPe (E)'!BP70</f>
        <v>0</v>
      </c>
      <c r="P79" s="6">
        <f>'Results - raw data ReCiPe (E)'!BQ70</f>
        <v>0</v>
      </c>
      <c r="Q79" s="6">
        <f>'Results - raw data ReCiPe (E)'!BR70</f>
        <v>0</v>
      </c>
      <c r="R79" s="6">
        <f>'Results - raw data ReCiPe (E)'!BS70</f>
        <v>0</v>
      </c>
      <c r="S79" s="6">
        <f>'Results - raw data ReCiPe (E)'!BT70</f>
        <v>0</v>
      </c>
      <c r="T79" s="6">
        <f>'Results - raw data ReCiPe (E)'!BU70</f>
        <v>0</v>
      </c>
      <c r="U79" s="6">
        <f>'Results - raw data ReCiPe (E)'!BV70</f>
        <v>0</v>
      </c>
      <c r="V79" s="6">
        <f>'Results - raw data ReCiPe (E)'!BW70</f>
        <v>0</v>
      </c>
      <c r="W79" s="6">
        <f>'Results - raw data ReCiPe (E)'!BX70</f>
        <v>0</v>
      </c>
      <c r="X79" s="6">
        <f>'Results - raw data ReCiPe (E)'!BY70</f>
        <v>0</v>
      </c>
      <c r="Y79" s="6">
        <f>'Results - raw data ReCiPe (E)'!BZ70</f>
        <v>0</v>
      </c>
      <c r="Z79" s="6">
        <f>'Results - raw data ReCiPe (E)'!CA70</f>
        <v>0</v>
      </c>
    </row>
    <row r="80" spans="1:53" outlineLevel="1" x14ac:dyDescent="0.35">
      <c r="A80" s="6" t="s">
        <v>760</v>
      </c>
      <c r="B80" s="6">
        <f>'Results - raw data ReCiPe (E)'!BC71</f>
        <v>2644.949885334418</v>
      </c>
      <c r="C80" s="6">
        <f>'Results - raw data ReCiPe (E)'!BD71</f>
        <v>2594.108167558657</v>
      </c>
      <c r="D80" s="6">
        <f>'Results - raw data ReCiPe (E)'!BE71</f>
        <v>2543.2682253138478</v>
      </c>
      <c r="E80" s="6">
        <f>'Results - raw data ReCiPe (E)'!BF71</f>
        <v>2487.9521157601371</v>
      </c>
      <c r="F80" s="6">
        <f>'Results - raw data ReCiPe (E)'!BG71</f>
        <v>2437.1242839401812</v>
      </c>
      <c r="G80" s="6">
        <f>'Results - raw data ReCiPe (E)'!BH71</f>
        <v>2386.2906882774419</v>
      </c>
      <c r="H80" s="6">
        <f>'Results - raw data ReCiPe (E)'!BI71</f>
        <v>2370.2419294222841</v>
      </c>
      <c r="I80" s="6">
        <f>'Results - raw data ReCiPe (E)'!BJ71</f>
        <v>2354.0763815873088</v>
      </c>
      <c r="J80" s="6">
        <f>'Results - raw data ReCiPe (E)'!BK71</f>
        <v>2333.8324188162778</v>
      </c>
      <c r="K80" s="6">
        <f>'Results - raw data ReCiPe (E)'!BL71</f>
        <v>2317.252732820411</v>
      </c>
      <c r="L80" s="6">
        <f>'Results - raw data ReCiPe (E)'!BM71</f>
        <v>2300.4890050248891</v>
      </c>
      <c r="M80" s="6">
        <f>'Results - raw data ReCiPe (E)'!BN71</f>
        <v>2282.2775874176141</v>
      </c>
      <c r="N80" s="6">
        <f>'Results - raw data ReCiPe (E)'!BO71</f>
        <v>2263.7893700673549</v>
      </c>
      <c r="O80" s="6">
        <f>'Results - raw data ReCiPe (E)'!BP71</f>
        <v>2244.103764658988</v>
      </c>
      <c r="P80" s="6">
        <f>'Results - raw data ReCiPe (E)'!BQ71</f>
        <v>2225.0759031368611</v>
      </c>
      <c r="Q80" s="6">
        <f>'Results - raw data ReCiPe (E)'!BR71</f>
        <v>2205.775813645459</v>
      </c>
      <c r="R80" s="6">
        <f>'Results - raw data ReCiPe (E)'!BS71</f>
        <v>2220.5533834973212</v>
      </c>
      <c r="S80" s="6">
        <f>'Results - raw data ReCiPe (E)'!BT71</f>
        <v>2235.0614604309171</v>
      </c>
      <c r="T80" s="6">
        <f>'Results - raw data ReCiPe (E)'!BU71</f>
        <v>2248.3959084608359</v>
      </c>
      <c r="U80" s="6">
        <f>'Results - raw data ReCiPe (E)'!BV71</f>
        <v>2262.3771476040938</v>
      </c>
      <c r="V80" s="6">
        <f>'Results - raw data ReCiPe (E)'!BW71</f>
        <v>2276.09950326947</v>
      </c>
      <c r="W80" s="6">
        <f>'Results - raw data ReCiPe (E)'!BX71</f>
        <v>2255.913271043959</v>
      </c>
      <c r="X80" s="6">
        <f>'Results - raw data ReCiPe (E)'!BY71</f>
        <v>2235.7336912014089</v>
      </c>
      <c r="Y80" s="6">
        <f>'Results - raw data ReCiPe (E)'!BZ71</f>
        <v>2215.4684828238019</v>
      </c>
      <c r="Z80" s="6">
        <f>'Results - raw data ReCiPe (E)'!CA71</f>
        <v>2195.1143549592839</v>
      </c>
    </row>
    <row r="81" spans="1:53" outlineLevel="1" x14ac:dyDescent="0.35">
      <c r="A81" s="23" t="s">
        <v>125</v>
      </c>
      <c r="B81" s="17">
        <f t="shared" ref="B81:Z81" si="9">SUM(B50:B80)</f>
        <v>5926.797616828253</v>
      </c>
      <c r="C81" s="17">
        <f t="shared" si="9"/>
        <v>2714.0453559732173</v>
      </c>
      <c r="D81" s="17">
        <f t="shared" si="9"/>
        <v>2662.8972212126232</v>
      </c>
      <c r="E81" s="17">
        <f t="shared" si="9"/>
        <v>2606.5778244273033</v>
      </c>
      <c r="F81" s="17">
        <f t="shared" si="9"/>
        <v>2555.4375773962888</v>
      </c>
      <c r="G81" s="17">
        <f t="shared" si="9"/>
        <v>2504.2879805503699</v>
      </c>
      <c r="H81" s="17">
        <f t="shared" si="9"/>
        <v>2488.287515099089</v>
      </c>
      <c r="I81" s="17">
        <f t="shared" si="9"/>
        <v>2472.1692480569391</v>
      </c>
      <c r="J81" s="17">
        <f t="shared" si="9"/>
        <v>2451.5047558283113</v>
      </c>
      <c r="K81" s="17">
        <f t="shared" si="9"/>
        <v>2434.9733847667098</v>
      </c>
      <c r="L81" s="17">
        <f t="shared" si="9"/>
        <v>2418.2553051407035</v>
      </c>
      <c r="M81" s="17">
        <f t="shared" si="9"/>
        <v>2399.738879688573</v>
      </c>
      <c r="N81" s="17">
        <f t="shared" si="9"/>
        <v>2380.9461613435815</v>
      </c>
      <c r="O81" s="17">
        <f t="shared" si="9"/>
        <v>2360.8173176549103</v>
      </c>
      <c r="P81" s="17">
        <f t="shared" si="9"/>
        <v>2341.4883809025655</v>
      </c>
      <c r="Q81" s="17">
        <f t="shared" si="9"/>
        <v>2321.8875521455293</v>
      </c>
      <c r="R81" s="17">
        <f t="shared" si="9"/>
        <v>2336.4514378352574</v>
      </c>
      <c r="S81" s="17">
        <f t="shared" si="9"/>
        <v>2350.7460956323212</v>
      </c>
      <c r="T81" s="17">
        <f t="shared" si="9"/>
        <v>2363.7368810307653</v>
      </c>
      <c r="U81" s="17">
        <f t="shared" si="9"/>
        <v>2377.507294684372</v>
      </c>
      <c r="V81" s="17">
        <f t="shared" si="9"/>
        <v>2391.0190130742767</v>
      </c>
      <c r="W81" s="17">
        <f t="shared" si="9"/>
        <v>2370.7321060728359</v>
      </c>
      <c r="X81" s="17">
        <f t="shared" si="9"/>
        <v>2350.4527822718146</v>
      </c>
      <c r="Y81" s="17">
        <f t="shared" si="9"/>
        <v>2330.0884479997567</v>
      </c>
      <c r="Z81" s="17">
        <f t="shared" si="9"/>
        <v>2352.7575091741041</v>
      </c>
    </row>
    <row r="82" spans="1:53" outlineLevel="1" x14ac:dyDescent="0.35"/>
    <row r="83" spans="1:53" s="18" customFormat="1" ht="21" x14ac:dyDescent="0.5">
      <c r="A83" s="18" t="s">
        <v>94</v>
      </c>
    </row>
    <row r="84" spans="1:53" s="20" customFormat="1" outlineLevel="1" x14ac:dyDescent="0.35">
      <c r="A84" s="19" t="s">
        <v>767</v>
      </c>
    </row>
    <row r="85" spans="1:53" s="16" customFormat="1" outlineLevel="1" x14ac:dyDescent="0.35">
      <c r="A85" s="21"/>
      <c r="AE85" s="15"/>
    </row>
    <row r="86" spans="1:53" s="16" customFormat="1" outlineLevel="1" x14ac:dyDescent="0.35">
      <c r="A86" s="22" t="s">
        <v>761</v>
      </c>
    </row>
    <row r="87" spans="1:53" s="16" customFormat="1" outlineLevel="1" x14ac:dyDescent="0.35">
      <c r="A87" s="22"/>
      <c r="AB87" s="16" t="s">
        <v>127</v>
      </c>
      <c r="AC87" s="16">
        <v>100</v>
      </c>
      <c r="AD87" s="16" t="s">
        <v>128</v>
      </c>
    </row>
    <row r="88" spans="1:53" s="16" customFormat="1" outlineLevel="1" x14ac:dyDescent="0.35">
      <c r="A88" s="22"/>
      <c r="AB88" s="16" t="s">
        <v>129</v>
      </c>
      <c r="AC88" s="16">
        <v>25</v>
      </c>
      <c r="AD88" s="16" t="s">
        <v>130</v>
      </c>
    </row>
    <row r="89" spans="1:53" outlineLevel="1" x14ac:dyDescent="0.35">
      <c r="B89" s="25">
        <v>2030</v>
      </c>
      <c r="C89" s="25">
        <v>2031</v>
      </c>
      <c r="D89" s="25">
        <v>2032</v>
      </c>
      <c r="E89" s="25">
        <v>2033</v>
      </c>
      <c r="F89" s="25">
        <v>2034</v>
      </c>
      <c r="G89" s="25">
        <v>2035</v>
      </c>
      <c r="H89" s="25">
        <v>2036</v>
      </c>
      <c r="I89" s="25">
        <v>2037</v>
      </c>
      <c r="J89" s="25">
        <v>2038</v>
      </c>
      <c r="K89" s="25">
        <v>2039</v>
      </c>
      <c r="L89" s="25">
        <v>2040</v>
      </c>
      <c r="M89" s="25">
        <v>2041</v>
      </c>
      <c r="N89" s="25">
        <v>2042</v>
      </c>
      <c r="O89" s="25">
        <v>2043</v>
      </c>
      <c r="P89" s="25">
        <v>2044</v>
      </c>
      <c r="Q89" s="25">
        <v>2045</v>
      </c>
      <c r="R89" s="25">
        <v>2046</v>
      </c>
      <c r="S89" s="25">
        <v>2047</v>
      </c>
      <c r="T89" s="25">
        <v>2048</v>
      </c>
      <c r="U89" s="25">
        <v>2049</v>
      </c>
      <c r="V89" s="25">
        <v>2050</v>
      </c>
      <c r="W89" s="25">
        <v>2051</v>
      </c>
      <c r="X89" s="25">
        <v>2052</v>
      </c>
      <c r="Y89" s="25">
        <v>2053</v>
      </c>
      <c r="Z89" s="25">
        <v>2054</v>
      </c>
      <c r="AC89" s="25">
        <v>2030</v>
      </c>
      <c r="AD89" s="25">
        <v>2031</v>
      </c>
      <c r="AE89" s="25">
        <v>2032</v>
      </c>
      <c r="AF89" s="25">
        <v>2033</v>
      </c>
      <c r="AG89" s="25">
        <v>2034</v>
      </c>
      <c r="AH89" s="25">
        <v>2035</v>
      </c>
      <c r="AI89" s="25">
        <v>2036</v>
      </c>
      <c r="AJ89" s="25">
        <v>2037</v>
      </c>
      <c r="AK89" s="25">
        <v>2038</v>
      </c>
      <c r="AL89" s="25">
        <v>2039</v>
      </c>
      <c r="AM89" s="25">
        <v>2040</v>
      </c>
      <c r="AN89" s="25">
        <v>2041</v>
      </c>
      <c r="AO89" s="25">
        <v>2042</v>
      </c>
      <c r="AP89" s="25">
        <v>2043</v>
      </c>
      <c r="AQ89" s="25">
        <v>2044</v>
      </c>
      <c r="AR89" s="25">
        <v>2045</v>
      </c>
      <c r="AS89" s="25">
        <v>2046</v>
      </c>
      <c r="AT89" s="25">
        <v>2047</v>
      </c>
      <c r="AU89" s="25">
        <v>2048</v>
      </c>
      <c r="AV89" s="25">
        <v>2049</v>
      </c>
      <c r="AW89" s="25">
        <v>2050</v>
      </c>
      <c r="AX89" s="25">
        <v>2051</v>
      </c>
      <c r="AY89" s="25">
        <v>2052</v>
      </c>
      <c r="AZ89" s="25">
        <v>2053</v>
      </c>
      <c r="BA89" s="25">
        <v>2054</v>
      </c>
    </row>
    <row r="90" spans="1:53" outlineLevel="1" x14ac:dyDescent="0.35">
      <c r="A90" s="6" t="s">
        <v>21</v>
      </c>
      <c r="B90" s="6">
        <f>'Results - raw data ReCiPe (E)'!BC77</f>
        <v>71.697576674124974</v>
      </c>
      <c r="AB90" s="6" t="s">
        <v>117</v>
      </c>
      <c r="AC90" s="6">
        <f>SUM(B90:B101)+B103</f>
        <v>2702.2385266828496</v>
      </c>
    </row>
    <row r="91" spans="1:53" outlineLevel="1" x14ac:dyDescent="0.35">
      <c r="A91" s="6" t="s">
        <v>23</v>
      </c>
      <c r="B91" s="6">
        <f>'Results - raw data ReCiPe (E)'!BC78</f>
        <v>309.91249364426312</v>
      </c>
      <c r="AB91" s="6" t="s">
        <v>118</v>
      </c>
      <c r="AC91" s="6">
        <f>B102</f>
        <v>259.70352548768199</v>
      </c>
    </row>
    <row r="92" spans="1:53" outlineLevel="1" x14ac:dyDescent="0.35">
      <c r="A92" s="6" t="s">
        <v>26</v>
      </c>
      <c r="B92" s="6">
        <f>'Results - raw data ReCiPe (E)'!BC79</f>
        <v>305.29947245707018</v>
      </c>
      <c r="AB92" s="6" t="s">
        <v>119</v>
      </c>
      <c r="BA92" s="6">
        <f>SUM(Z104:Z115)</f>
        <v>38.803973700478906</v>
      </c>
    </row>
    <row r="93" spans="1:53" outlineLevel="1" x14ac:dyDescent="0.35">
      <c r="A93" s="6" t="s">
        <v>28</v>
      </c>
      <c r="B93" s="6">
        <f>'Results - raw data ReCiPe (E)'!BC80</f>
        <v>233.71099142564279</v>
      </c>
      <c r="AB93" s="6" t="s">
        <v>120</v>
      </c>
      <c r="BA93" s="6">
        <f>Z116</f>
        <v>1.2292258629747401</v>
      </c>
    </row>
    <row r="94" spans="1:53" outlineLevel="1" x14ac:dyDescent="0.35">
      <c r="A94" s="6" t="s">
        <v>29</v>
      </c>
      <c r="B94" s="6">
        <f>'Results - raw data ReCiPe (E)'!BC81</f>
        <v>113.53461870398969</v>
      </c>
      <c r="AB94" s="6" t="s">
        <v>121</v>
      </c>
      <c r="AC94" s="6">
        <f>B117</f>
        <v>114.3683807366764</v>
      </c>
      <c r="AF94" s="6">
        <f>E117</f>
        <v>112.5935013842018</v>
      </c>
      <c r="AI94" s="6">
        <f>H117</f>
        <v>112.32417693968689</v>
      </c>
      <c r="AL94" s="6">
        <f>K117</f>
        <v>113.32500088396689</v>
      </c>
      <c r="AO94" s="6">
        <f>N117</f>
        <v>113.72581624339961</v>
      </c>
      <c r="AR94" s="6">
        <f>Q117</f>
        <v>113.5067955292801</v>
      </c>
      <c r="AU94" s="6">
        <f>T117</f>
        <v>112.3594591286536</v>
      </c>
      <c r="AX94" s="6">
        <f>W117</f>
        <v>111.6217687079732</v>
      </c>
      <c r="BA94" s="6">
        <f>Z117</f>
        <v>111.42686667692951</v>
      </c>
    </row>
    <row r="95" spans="1:53" outlineLevel="1" x14ac:dyDescent="0.35">
      <c r="A95" s="6" t="s">
        <v>31</v>
      </c>
      <c r="B95" s="6">
        <f>'Results - raw data ReCiPe (E)'!BC82</f>
        <v>82.338946667026192</v>
      </c>
      <c r="AB95" s="6" t="s">
        <v>122</v>
      </c>
      <c r="AC95" s="6">
        <f>B120+B119</f>
        <v>1510.7493365932501</v>
      </c>
      <c r="AD95" s="6">
        <f t="shared" ref="AD95:BA95" si="10">C120+C119</f>
        <v>1385.9991447781149</v>
      </c>
      <c r="AE95" s="6">
        <f t="shared" si="10"/>
        <v>1260.2773376581019</v>
      </c>
      <c r="AF95" s="6">
        <f t="shared" si="10"/>
        <v>1128.34625773889</v>
      </c>
      <c r="AG95" s="6">
        <f t="shared" si="10"/>
        <v>1000.440188322833</v>
      </c>
      <c r="AH95" s="6">
        <f t="shared" si="10"/>
        <v>871.55848134317296</v>
      </c>
      <c r="AI95" s="6">
        <f t="shared" si="10"/>
        <v>1015.470817850551</v>
      </c>
      <c r="AJ95" s="6">
        <f t="shared" si="10"/>
        <v>1159.0219882185629</v>
      </c>
      <c r="AK95" s="6">
        <f t="shared" si="10"/>
        <v>1296.8374260700809</v>
      </c>
      <c r="AL95" s="6">
        <f t="shared" si="10"/>
        <v>1439.47258851779</v>
      </c>
      <c r="AM95" s="6">
        <f t="shared" si="10"/>
        <v>1581.773844079341</v>
      </c>
      <c r="AN95" s="6">
        <f t="shared" si="10"/>
        <v>1760.0580930279939</v>
      </c>
      <c r="AO95" s="6">
        <f t="shared" si="10"/>
        <v>1937.7659222301961</v>
      </c>
      <c r="AP95" s="6">
        <f t="shared" si="10"/>
        <v>2113.707474991043</v>
      </c>
      <c r="AQ95" s="6">
        <f t="shared" si="10"/>
        <v>2290.295719418571</v>
      </c>
      <c r="AR95" s="6">
        <f t="shared" si="10"/>
        <v>2466.3054098087928</v>
      </c>
      <c r="AS95" s="6">
        <f t="shared" si="10"/>
        <v>2402.6598382644488</v>
      </c>
      <c r="AT95" s="6">
        <f t="shared" si="10"/>
        <v>2339.3419634308411</v>
      </c>
      <c r="AU95" s="6">
        <f t="shared" si="10"/>
        <v>2275.2745233690821</v>
      </c>
      <c r="AV95" s="6">
        <f t="shared" si="10"/>
        <v>2212.6306551164821</v>
      </c>
      <c r="AW95" s="6">
        <f t="shared" si="10"/>
        <v>2150.294905185307</v>
      </c>
      <c r="AX95" s="6">
        <f t="shared" si="10"/>
        <v>2150.606479327841</v>
      </c>
      <c r="AY95" s="6">
        <f t="shared" si="10"/>
        <v>2150.9899152228418</v>
      </c>
      <c r="AZ95" s="6">
        <f t="shared" si="10"/>
        <v>2151.356553279456</v>
      </c>
      <c r="BA95" s="6">
        <f t="shared" si="10"/>
        <v>2151.7045534483518</v>
      </c>
    </row>
    <row r="96" spans="1:53" outlineLevel="1" x14ac:dyDescent="0.35">
      <c r="A96" s="6" t="s">
        <v>34</v>
      </c>
      <c r="B96" s="6">
        <f>'Results - raw data ReCiPe (E)'!BC83</f>
        <v>54.333383214348338</v>
      </c>
      <c r="AB96" s="6" t="s">
        <v>123</v>
      </c>
      <c r="AC96" s="6">
        <f t="shared" ref="AC96:BA96" si="11">B118</f>
        <v>123.02041989163439</v>
      </c>
      <c r="AD96" s="6">
        <f t="shared" si="11"/>
        <v>113.168355221741</v>
      </c>
      <c r="AE96" s="6">
        <f t="shared" si="11"/>
        <v>103.3105466624649</v>
      </c>
      <c r="AF96" s="6">
        <f t="shared" si="11"/>
        <v>92.995621550295454</v>
      </c>
      <c r="AG96" s="6">
        <f t="shared" si="11"/>
        <v>83.111714201283888</v>
      </c>
      <c r="AH96" s="6">
        <f t="shared" si="11"/>
        <v>73.223729729510069</v>
      </c>
      <c r="AI96" s="6">
        <f t="shared" si="11"/>
        <v>83.884832308648711</v>
      </c>
      <c r="AJ96" s="6">
        <f t="shared" si="11"/>
        <v>94.471920332828333</v>
      </c>
      <c r="AK96" s="6">
        <f t="shared" si="11"/>
        <v>104.54458438611429</v>
      </c>
      <c r="AL96" s="6">
        <f t="shared" si="11"/>
        <v>114.97113745009231</v>
      </c>
      <c r="AM96" s="6">
        <f t="shared" si="11"/>
        <v>125.3262553775311</v>
      </c>
      <c r="AN96" s="6">
        <f t="shared" si="11"/>
        <v>138.53033504075449</v>
      </c>
      <c r="AO96" s="6">
        <f t="shared" si="11"/>
        <v>151.7142805666696</v>
      </c>
      <c r="AP96" s="6">
        <f t="shared" si="11"/>
        <v>164.7782457633767</v>
      </c>
      <c r="AQ96" s="6">
        <f t="shared" si="11"/>
        <v>177.9241906952733</v>
      </c>
      <c r="AR96" s="6">
        <f t="shared" si="11"/>
        <v>191.0494282034141</v>
      </c>
      <c r="AS96" s="6">
        <f t="shared" si="11"/>
        <v>187.01387471032581</v>
      </c>
      <c r="AT96" s="6">
        <f t="shared" si="11"/>
        <v>182.9611295071519</v>
      </c>
      <c r="AU96" s="6">
        <f t="shared" si="11"/>
        <v>178.79993755321081</v>
      </c>
      <c r="AV96" s="6">
        <f t="shared" si="11"/>
        <v>174.7147434167785</v>
      </c>
      <c r="AW96" s="6">
        <f t="shared" si="11"/>
        <v>170.61144881673999</v>
      </c>
      <c r="AX96" s="6">
        <f t="shared" si="11"/>
        <v>170.41214540435371</v>
      </c>
      <c r="AY96" s="6">
        <f t="shared" si="11"/>
        <v>170.2215706332619</v>
      </c>
      <c r="AZ96" s="6">
        <f t="shared" si="11"/>
        <v>170.02960896366901</v>
      </c>
      <c r="BA96" s="6">
        <f t="shared" si="11"/>
        <v>169.83604940899738</v>
      </c>
    </row>
    <row r="97" spans="1:53" outlineLevel="1" x14ac:dyDescent="0.35">
      <c r="A97" s="6" t="s">
        <v>36</v>
      </c>
      <c r="B97" s="6">
        <f>'Results - raw data ReCiPe (E)'!BC84</f>
        <v>56.910791768127723</v>
      </c>
      <c r="AB97" s="6" t="s">
        <v>124</v>
      </c>
      <c r="AC97" s="6">
        <f>-$AC$7*$AC$6</f>
        <v>0</v>
      </c>
      <c r="AD97" s="6">
        <f t="shared" ref="AD97:BA97" si="12">-$AC$7*$AC$6</f>
        <v>0</v>
      </c>
      <c r="AE97" s="6">
        <f t="shared" si="12"/>
        <v>0</v>
      </c>
      <c r="AF97" s="6">
        <f t="shared" si="12"/>
        <v>0</v>
      </c>
      <c r="AG97" s="6">
        <f t="shared" si="12"/>
        <v>0</v>
      </c>
      <c r="AH97" s="6">
        <f t="shared" si="12"/>
        <v>0</v>
      </c>
      <c r="AI97" s="6">
        <f t="shared" si="12"/>
        <v>0</v>
      </c>
      <c r="AJ97" s="6">
        <f t="shared" si="12"/>
        <v>0</v>
      </c>
      <c r="AK97" s="6">
        <f t="shared" si="12"/>
        <v>0</v>
      </c>
      <c r="AL97" s="6">
        <f t="shared" si="12"/>
        <v>0</v>
      </c>
      <c r="AM97" s="6">
        <f t="shared" si="12"/>
        <v>0</v>
      </c>
      <c r="AN97" s="6">
        <f t="shared" si="12"/>
        <v>0</v>
      </c>
      <c r="AO97" s="6">
        <f t="shared" si="12"/>
        <v>0</v>
      </c>
      <c r="AP97" s="6">
        <f t="shared" si="12"/>
        <v>0</v>
      </c>
      <c r="AQ97" s="6">
        <f t="shared" si="12"/>
        <v>0</v>
      </c>
      <c r="AR97" s="6">
        <f t="shared" si="12"/>
        <v>0</v>
      </c>
      <c r="AS97" s="6">
        <f t="shared" si="12"/>
        <v>0</v>
      </c>
      <c r="AT97" s="6">
        <f t="shared" si="12"/>
        <v>0</v>
      </c>
      <c r="AU97" s="6">
        <f t="shared" si="12"/>
        <v>0</v>
      </c>
      <c r="AV97" s="6">
        <f t="shared" si="12"/>
        <v>0</v>
      </c>
      <c r="AW97" s="6">
        <f t="shared" si="12"/>
        <v>0</v>
      </c>
      <c r="AX97" s="6">
        <f t="shared" si="12"/>
        <v>0</v>
      </c>
      <c r="AY97" s="6">
        <f t="shared" si="12"/>
        <v>0</v>
      </c>
      <c r="AZ97" s="6">
        <f t="shared" si="12"/>
        <v>0</v>
      </c>
      <c r="BA97" s="6">
        <f t="shared" si="12"/>
        <v>0</v>
      </c>
    </row>
    <row r="98" spans="1:53" outlineLevel="1" x14ac:dyDescent="0.35">
      <c r="A98" s="6" t="s">
        <v>38</v>
      </c>
      <c r="B98" s="6">
        <f>'Results - raw data ReCiPe (E)'!BC85</f>
        <v>633.85156952885507</v>
      </c>
      <c r="AB98" s="23" t="s">
        <v>125</v>
      </c>
      <c r="AC98" s="17">
        <f t="shared" ref="AC98:BA98" si="13">SUM(AC90:AC97)</f>
        <v>4710.0801893920925</v>
      </c>
      <c r="AD98" s="17">
        <f t="shared" si="13"/>
        <v>1499.1674999998559</v>
      </c>
      <c r="AE98" s="17">
        <f t="shared" si="13"/>
        <v>1363.5878843205669</v>
      </c>
      <c r="AF98" s="17">
        <f t="shared" si="13"/>
        <v>1333.9353806733873</v>
      </c>
      <c r="AG98" s="17">
        <f t="shared" si="13"/>
        <v>1083.5519025241169</v>
      </c>
      <c r="AH98" s="17">
        <f t="shared" si="13"/>
        <v>944.78221107268303</v>
      </c>
      <c r="AI98" s="17">
        <f t="shared" si="13"/>
        <v>1211.6798270988868</v>
      </c>
      <c r="AJ98" s="17">
        <f t="shared" si="13"/>
        <v>1253.4939085513913</v>
      </c>
      <c r="AK98" s="17">
        <f t="shared" si="13"/>
        <v>1401.3820104561953</v>
      </c>
      <c r="AL98" s="17">
        <f t="shared" si="13"/>
        <v>1667.7687268518491</v>
      </c>
      <c r="AM98" s="17">
        <f t="shared" si="13"/>
        <v>1707.1000994568722</v>
      </c>
      <c r="AN98" s="17">
        <f t="shared" si="13"/>
        <v>1898.5884280687483</v>
      </c>
      <c r="AO98" s="17">
        <f t="shared" si="13"/>
        <v>2203.2060190402653</v>
      </c>
      <c r="AP98" s="17">
        <f t="shared" si="13"/>
        <v>2278.4857207544196</v>
      </c>
      <c r="AQ98" s="17">
        <f t="shared" si="13"/>
        <v>2468.2199101138444</v>
      </c>
      <c r="AR98" s="17">
        <f t="shared" si="13"/>
        <v>2770.8616335414872</v>
      </c>
      <c r="AS98" s="17">
        <f t="shared" si="13"/>
        <v>2589.6737129747744</v>
      </c>
      <c r="AT98" s="17">
        <f t="shared" si="13"/>
        <v>2522.3030929379929</v>
      </c>
      <c r="AU98" s="17">
        <f t="shared" si="13"/>
        <v>2566.4339200509467</v>
      </c>
      <c r="AV98" s="17">
        <f t="shared" si="13"/>
        <v>2387.3453985332608</v>
      </c>
      <c r="AW98" s="17">
        <f t="shared" si="13"/>
        <v>2320.906354002047</v>
      </c>
      <c r="AX98" s="17">
        <f t="shared" si="13"/>
        <v>2432.6403934401683</v>
      </c>
      <c r="AY98" s="17">
        <f t="shared" si="13"/>
        <v>2321.2114858561035</v>
      </c>
      <c r="AZ98" s="17">
        <f t="shared" si="13"/>
        <v>2321.386162243125</v>
      </c>
      <c r="BA98" s="17">
        <f t="shared" si="13"/>
        <v>2473.0006690977325</v>
      </c>
    </row>
    <row r="99" spans="1:53" outlineLevel="1" x14ac:dyDescent="0.35">
      <c r="A99" s="6" t="s">
        <v>39</v>
      </c>
      <c r="B99" s="6">
        <f>'Results - raw data ReCiPe (E)'!BC86</f>
        <v>624.93478538201657</v>
      </c>
    </row>
    <row r="100" spans="1:53" outlineLevel="1" x14ac:dyDescent="0.35">
      <c r="A100" s="6" t="s">
        <v>41</v>
      </c>
      <c r="B100" s="6">
        <f>'Results - raw data ReCiPe (E)'!BC87</f>
        <v>53.826181440223777</v>
      </c>
    </row>
    <row r="101" spans="1:53" outlineLevel="1" x14ac:dyDescent="0.35">
      <c r="A101" s="6" t="s">
        <v>43</v>
      </c>
      <c r="B101" s="6">
        <f>'Results - raw data ReCiPe (E)'!BC88</f>
        <v>70.875745924850293</v>
      </c>
      <c r="AB101" s="219"/>
      <c r="AC101" s="219"/>
      <c r="AD101" s="219"/>
      <c r="AE101" s="219"/>
      <c r="AF101" s="219"/>
      <c r="AG101" s="219"/>
      <c r="AH101" s="219"/>
      <c r="AI101" s="219"/>
      <c r="AJ101" s="219"/>
      <c r="AK101" s="219"/>
      <c r="AL101" s="219"/>
      <c r="AM101" s="219"/>
      <c r="AN101" s="219"/>
      <c r="AO101" s="219"/>
      <c r="AP101" s="219"/>
      <c r="AQ101" s="219"/>
      <c r="AR101" s="219"/>
      <c r="AS101" s="219"/>
      <c r="AT101" s="219"/>
      <c r="AU101" s="219"/>
      <c r="AV101" s="219"/>
      <c r="AW101" s="219"/>
      <c r="AX101" s="219"/>
      <c r="AY101" s="219"/>
      <c r="AZ101" s="219"/>
      <c r="BA101" s="219"/>
    </row>
    <row r="102" spans="1:53" outlineLevel="1" x14ac:dyDescent="0.35">
      <c r="A102" s="6" t="s">
        <v>44</v>
      </c>
      <c r="B102" s="6">
        <f>'Results - raw data ReCiPe (E)'!BC89*100*25</f>
        <v>259.70352548768199</v>
      </c>
      <c r="AB102" s="219"/>
      <c r="AC102" s="219"/>
      <c r="AD102" s="219"/>
      <c r="AE102" s="219"/>
      <c r="AF102" s="219"/>
      <c r="AG102" s="219"/>
      <c r="AH102" s="219"/>
      <c r="AI102" s="219"/>
      <c r="AJ102" s="219"/>
      <c r="AK102" s="219"/>
      <c r="AL102" s="219"/>
      <c r="AM102" s="219"/>
      <c r="AN102" s="219"/>
      <c r="AO102" s="219"/>
      <c r="AP102" s="219"/>
      <c r="AQ102" s="219"/>
      <c r="AR102" s="219"/>
      <c r="AS102" s="219"/>
      <c r="AT102" s="219"/>
      <c r="AU102" s="219"/>
      <c r="AV102" s="219"/>
      <c r="AW102" s="219"/>
      <c r="AX102" s="219"/>
      <c r="AY102" s="219"/>
      <c r="AZ102" s="219"/>
      <c r="BA102" s="219"/>
    </row>
    <row r="103" spans="1:53" outlineLevel="1" x14ac:dyDescent="0.35">
      <c r="A103" s="6" t="s">
        <v>757</v>
      </c>
      <c r="B103" s="6">
        <f>'Results - raw data ReCiPe (E)'!BC90*100*25</f>
        <v>91.011969852310742</v>
      </c>
      <c r="AB103" s="219"/>
      <c r="AC103" s="219"/>
      <c r="AD103" s="219"/>
      <c r="AE103" s="219"/>
      <c r="AF103" s="219"/>
      <c r="AG103" s="219"/>
      <c r="AH103" s="219"/>
      <c r="AI103" s="219"/>
      <c r="AJ103" s="219"/>
      <c r="AK103" s="219"/>
      <c r="AL103" s="219"/>
      <c r="AM103" s="219"/>
      <c r="AN103" s="219"/>
      <c r="AO103" s="219"/>
      <c r="AP103" s="219"/>
      <c r="AQ103" s="219"/>
      <c r="AR103" s="219"/>
      <c r="AS103" s="219"/>
      <c r="AT103" s="219"/>
      <c r="AU103" s="219"/>
      <c r="AV103" s="219"/>
      <c r="AW103" s="219"/>
      <c r="AX103" s="219"/>
      <c r="AY103" s="219"/>
      <c r="AZ103" s="219"/>
      <c r="BA103" s="219"/>
    </row>
    <row r="104" spans="1:53" outlineLevel="1" x14ac:dyDescent="0.35">
      <c r="A104" s="6" t="s">
        <v>22</v>
      </c>
      <c r="Z104" s="6">
        <f>'Results - raw data ReCiPe (E)'!CA91</f>
        <v>0.30645463756563912</v>
      </c>
      <c r="AB104" s="219"/>
      <c r="AC104" s="219"/>
      <c r="AD104" s="219"/>
      <c r="AE104" s="219"/>
      <c r="AF104" s="219"/>
      <c r="AG104" s="219"/>
      <c r="AH104" s="219"/>
      <c r="AI104" s="219"/>
      <c r="AJ104" s="219"/>
      <c r="AK104" s="219"/>
      <c r="AL104" s="219"/>
      <c r="AM104" s="219"/>
      <c r="AN104" s="219"/>
      <c r="AO104" s="219"/>
      <c r="AP104" s="219"/>
      <c r="AQ104" s="219"/>
      <c r="AR104" s="219"/>
      <c r="AS104" s="219"/>
      <c r="AT104" s="219"/>
      <c r="AU104" s="219"/>
      <c r="AV104" s="219"/>
      <c r="AW104" s="219"/>
      <c r="AX104" s="219"/>
      <c r="AY104" s="219"/>
      <c r="AZ104" s="219"/>
      <c r="BA104" s="219"/>
    </row>
    <row r="105" spans="1:53" outlineLevel="1" x14ac:dyDescent="0.35">
      <c r="A105" s="6" t="s">
        <v>24</v>
      </c>
      <c r="Z105" s="6">
        <f>'Results - raw data ReCiPe (E)'!CA92</f>
        <v>0.3399986060911393</v>
      </c>
      <c r="AB105" s="219"/>
      <c r="AC105" s="219"/>
      <c r="AD105" s="219"/>
      <c r="AE105" s="219"/>
      <c r="AF105" s="219"/>
      <c r="AG105" s="219"/>
      <c r="AH105" s="219"/>
      <c r="AI105" s="219"/>
      <c r="AJ105" s="219"/>
      <c r="AK105" s="219"/>
      <c r="AL105" s="219"/>
      <c r="AM105" s="219"/>
      <c r="AN105" s="219"/>
      <c r="AO105" s="219"/>
      <c r="AP105" s="219"/>
      <c r="AQ105" s="219"/>
      <c r="AR105" s="219"/>
      <c r="AS105" s="219"/>
      <c r="AT105" s="219"/>
      <c r="AU105" s="219"/>
      <c r="AV105" s="219"/>
      <c r="AW105" s="219"/>
      <c r="AX105" s="219"/>
      <c r="AY105" s="219"/>
      <c r="AZ105" s="219"/>
      <c r="BA105" s="219"/>
    </row>
    <row r="106" spans="1:53" outlineLevel="1" x14ac:dyDescent="0.35">
      <c r="A106" s="6" t="s">
        <v>25</v>
      </c>
      <c r="Z106" s="6">
        <f>'Results - raw data ReCiPe (E)'!CA93</f>
        <v>1.5469447682086319</v>
      </c>
      <c r="AB106" s="219"/>
      <c r="AC106" s="219"/>
      <c r="AD106" s="219"/>
      <c r="AE106" s="219"/>
      <c r="AF106" s="219"/>
      <c r="AG106" s="219"/>
      <c r="AH106" s="219"/>
      <c r="AI106" s="219"/>
      <c r="AJ106" s="219"/>
      <c r="AK106" s="219"/>
      <c r="AL106" s="219"/>
      <c r="AM106" s="219"/>
      <c r="AN106" s="219"/>
      <c r="AO106" s="219"/>
      <c r="AP106" s="219"/>
      <c r="AQ106" s="219"/>
      <c r="AR106" s="219"/>
      <c r="AS106" s="219"/>
      <c r="AT106" s="219"/>
      <c r="AU106" s="219"/>
      <c r="AV106" s="219"/>
      <c r="AW106" s="219"/>
      <c r="AX106" s="219"/>
      <c r="AY106" s="219"/>
      <c r="AZ106" s="219"/>
      <c r="BA106" s="219"/>
    </row>
    <row r="107" spans="1:53" outlineLevel="1" x14ac:dyDescent="0.35">
      <c r="A107" s="6" t="s">
        <v>27</v>
      </c>
      <c r="Z107" s="6">
        <f>'Results - raw data ReCiPe (E)'!CA94</f>
        <v>0.94596137523052126</v>
      </c>
      <c r="AB107" s="219"/>
      <c r="AC107" s="219"/>
      <c r="AD107" s="219"/>
      <c r="AE107" s="219"/>
      <c r="AF107" s="219"/>
      <c r="AG107" s="219"/>
      <c r="AH107" s="219"/>
      <c r="AI107" s="219"/>
      <c r="AJ107" s="219"/>
      <c r="AK107" s="219"/>
      <c r="AL107" s="219"/>
      <c r="AM107" s="219"/>
      <c r="AN107" s="219"/>
      <c r="AO107" s="219"/>
      <c r="AP107" s="219"/>
      <c r="AQ107" s="219"/>
      <c r="AR107" s="219"/>
      <c r="AS107" s="219"/>
      <c r="AT107" s="219"/>
      <c r="AU107" s="219"/>
      <c r="AV107" s="219"/>
      <c r="AW107" s="219"/>
      <c r="AX107" s="219"/>
      <c r="AY107" s="219"/>
      <c r="AZ107" s="219"/>
      <c r="BA107" s="219"/>
    </row>
    <row r="108" spans="1:53" outlineLevel="1" x14ac:dyDescent="0.35">
      <c r="A108" s="6" t="s">
        <v>30</v>
      </c>
      <c r="Z108" s="6">
        <f>'Results - raw data ReCiPe (E)'!CA95</f>
        <v>0.37616038726092632</v>
      </c>
      <c r="AB108" s="219"/>
      <c r="AC108" s="219"/>
      <c r="AD108" s="219"/>
      <c r="AE108" s="219"/>
      <c r="AF108" s="219"/>
      <c r="AG108" s="219"/>
      <c r="AH108" s="219"/>
      <c r="AI108" s="219"/>
      <c r="AJ108" s="219"/>
      <c r="AK108" s="219"/>
      <c r="AL108" s="219"/>
      <c r="AM108" s="219"/>
      <c r="AN108" s="219"/>
      <c r="AO108" s="219"/>
      <c r="AP108" s="219"/>
      <c r="AQ108" s="219"/>
      <c r="AR108" s="219"/>
      <c r="AS108" s="219"/>
      <c r="AT108" s="219"/>
      <c r="AU108" s="219"/>
      <c r="AV108" s="219"/>
      <c r="AW108" s="219"/>
      <c r="AX108" s="219"/>
      <c r="AY108" s="219"/>
      <c r="AZ108" s="219"/>
      <c r="BA108" s="219"/>
    </row>
    <row r="109" spans="1:53" outlineLevel="1" x14ac:dyDescent="0.35">
      <c r="A109" s="6" t="s">
        <v>32</v>
      </c>
      <c r="Z109" s="6">
        <f>'Results - raw data ReCiPe (E)'!CA96</f>
        <v>0.16899067547104371</v>
      </c>
      <c r="AB109" s="219"/>
      <c r="AC109" s="219"/>
      <c r="AD109" s="219"/>
      <c r="AE109" s="219"/>
      <c r="AF109" s="219"/>
      <c r="AG109" s="219"/>
      <c r="AH109" s="219"/>
      <c r="AI109" s="219"/>
      <c r="AJ109" s="219"/>
      <c r="AK109" s="219"/>
      <c r="AL109" s="219"/>
      <c r="AM109" s="219"/>
      <c r="AN109" s="219"/>
      <c r="AO109" s="219"/>
      <c r="AP109" s="219"/>
      <c r="AQ109" s="219"/>
      <c r="AR109" s="219"/>
      <c r="AS109" s="219"/>
      <c r="AT109" s="219"/>
      <c r="AU109" s="219"/>
      <c r="AV109" s="219"/>
      <c r="AW109" s="219"/>
      <c r="AX109" s="219"/>
      <c r="AY109" s="219"/>
      <c r="AZ109" s="219"/>
      <c r="BA109" s="219"/>
    </row>
    <row r="110" spans="1:53" outlineLevel="1" x14ac:dyDescent="0.35">
      <c r="A110" s="6" t="s">
        <v>33</v>
      </c>
      <c r="Z110" s="6">
        <f>'Results - raw data ReCiPe (E)'!CA97</f>
        <v>9.7220591364325634E-2</v>
      </c>
      <c r="AB110" s="219"/>
      <c r="AC110" s="219"/>
      <c r="AD110" s="219"/>
      <c r="AE110" s="219"/>
      <c r="AF110" s="219"/>
      <c r="AG110" s="219"/>
      <c r="AH110" s="219"/>
      <c r="AI110" s="219"/>
      <c r="AJ110" s="219"/>
      <c r="AK110" s="219"/>
      <c r="AL110" s="219"/>
      <c r="AM110" s="219"/>
      <c r="AN110" s="219"/>
      <c r="AO110" s="219"/>
      <c r="AP110" s="219"/>
      <c r="AQ110" s="219"/>
      <c r="AR110" s="219"/>
      <c r="AS110" s="219"/>
      <c r="AT110" s="219"/>
      <c r="AU110" s="219"/>
      <c r="AV110" s="219"/>
      <c r="AW110" s="219"/>
      <c r="AX110" s="219"/>
      <c r="AY110" s="219"/>
      <c r="AZ110" s="219"/>
      <c r="BA110" s="219"/>
    </row>
    <row r="111" spans="1:53" outlineLevel="1" x14ac:dyDescent="0.35">
      <c r="A111" s="6" t="s">
        <v>35</v>
      </c>
      <c r="Z111" s="6">
        <f>'Results - raw data ReCiPe (E)'!CA98</f>
        <v>0.1944411827286513</v>
      </c>
      <c r="AB111" s="219"/>
      <c r="AC111" s="219"/>
      <c r="AD111" s="219"/>
      <c r="AE111" s="219"/>
      <c r="AF111" s="219"/>
      <c r="AG111" s="219"/>
      <c r="AH111" s="219"/>
      <c r="AI111" s="219"/>
      <c r="AJ111" s="219"/>
      <c r="AK111" s="219"/>
      <c r="AL111" s="219"/>
      <c r="AM111" s="219"/>
      <c r="AN111" s="219"/>
      <c r="AO111" s="219"/>
      <c r="AP111" s="219"/>
      <c r="AQ111" s="219"/>
      <c r="AR111" s="219"/>
      <c r="AS111" s="219"/>
      <c r="AT111" s="219"/>
      <c r="AU111" s="219"/>
      <c r="AV111" s="219"/>
      <c r="AW111" s="219"/>
      <c r="AX111" s="219"/>
      <c r="AY111" s="219"/>
      <c r="AZ111" s="219"/>
      <c r="BA111" s="219"/>
    </row>
    <row r="112" spans="1:53" outlineLevel="1" x14ac:dyDescent="0.35">
      <c r="A112" s="6" t="s">
        <v>37</v>
      </c>
      <c r="Z112" s="6">
        <f>'Results - raw data ReCiPe (E)'!CA99</f>
        <v>2.8647805737763981</v>
      </c>
      <c r="AB112" s="219"/>
      <c r="AC112" s="219"/>
      <c r="AD112" s="219"/>
      <c r="AE112" s="219"/>
      <c r="AF112" s="219"/>
      <c r="AG112" s="219"/>
      <c r="AH112" s="219"/>
      <c r="AI112" s="219"/>
      <c r="AJ112" s="219"/>
      <c r="AK112" s="219"/>
      <c r="AL112" s="219"/>
      <c r="AM112" s="219"/>
      <c r="AN112" s="219"/>
      <c r="AO112" s="219"/>
      <c r="AP112" s="219"/>
      <c r="AQ112" s="219"/>
      <c r="AR112" s="219"/>
      <c r="AS112" s="219"/>
      <c r="AT112" s="219"/>
      <c r="AU112" s="219"/>
      <c r="AV112" s="219"/>
      <c r="AW112" s="219"/>
      <c r="AX112" s="219"/>
      <c r="AY112" s="219"/>
      <c r="AZ112" s="219"/>
      <c r="BA112" s="219"/>
    </row>
    <row r="113" spans="1:53" outlineLevel="1" x14ac:dyDescent="0.35">
      <c r="A113" s="6" t="s">
        <v>40</v>
      </c>
      <c r="Z113" s="6">
        <f>'Results - raw data ReCiPe (E)'!CA100</f>
        <v>1.338740524566238</v>
      </c>
      <c r="AB113" s="219"/>
      <c r="AC113" s="219"/>
      <c r="AD113" s="219"/>
      <c r="AE113" s="219"/>
      <c r="AF113" s="219"/>
      <c r="AG113" s="219"/>
      <c r="AH113" s="219"/>
      <c r="AI113" s="219"/>
      <c r="AJ113" s="219"/>
      <c r="AK113" s="219"/>
      <c r="AL113" s="219"/>
      <c r="AM113" s="219"/>
      <c r="AN113" s="219"/>
      <c r="AO113" s="219"/>
      <c r="AP113" s="219"/>
      <c r="AQ113" s="219"/>
      <c r="AR113" s="219"/>
      <c r="AS113" s="219"/>
      <c r="AT113" s="219"/>
      <c r="AU113" s="219"/>
      <c r="AV113" s="219"/>
      <c r="AW113" s="219"/>
      <c r="AX113" s="219"/>
      <c r="AY113" s="219"/>
      <c r="AZ113" s="219"/>
      <c r="BA113" s="219"/>
    </row>
    <row r="114" spans="1:53" outlineLevel="1" x14ac:dyDescent="0.35">
      <c r="A114" s="6" t="s">
        <v>42</v>
      </c>
      <c r="Z114" s="6">
        <f>'Results - raw data ReCiPe (E)'!CA101</f>
        <v>3.6068373150242472</v>
      </c>
    </row>
    <row r="115" spans="1:53" outlineLevel="1" x14ac:dyDescent="0.35">
      <c r="A115" s="6" t="s">
        <v>115</v>
      </c>
      <c r="Z115" s="6">
        <f>'Results - raw data ReCiPe (E)'!CA102</f>
        <v>27.017443063191141</v>
      </c>
    </row>
    <row r="116" spans="1:53" outlineLevel="1" x14ac:dyDescent="0.35">
      <c r="A116" s="6" t="s">
        <v>45</v>
      </c>
      <c r="Z116" s="6">
        <f>'Results - raw data ReCiPe (E)'!CA103*AC87*AC88</f>
        <v>1.2292258629747401</v>
      </c>
    </row>
    <row r="117" spans="1:53" outlineLevel="1" x14ac:dyDescent="0.35">
      <c r="A117" s="6" t="s">
        <v>116</v>
      </c>
      <c r="B117" s="6">
        <f>'Results - raw data ReCiPe (E)'!BC104</f>
        <v>114.3683807366764</v>
      </c>
      <c r="C117" s="6">
        <f>'Results - raw data ReCiPe (E)'!BD104</f>
        <v>114.0017039751709</v>
      </c>
      <c r="D117" s="6">
        <f>'Results - raw data ReCiPe (E)'!BE104</f>
        <v>113.6289420981055</v>
      </c>
      <c r="E117" s="6">
        <f>'Results - raw data ReCiPe (E)'!BF104</f>
        <v>112.5935013842018</v>
      </c>
      <c r="F117" s="6">
        <f>'Results - raw data ReCiPe (E)'!BG104</f>
        <v>112.21447205134019</v>
      </c>
      <c r="G117" s="6">
        <f>'Results - raw data ReCiPe (E)'!BH104</f>
        <v>111.8279247721663</v>
      </c>
      <c r="H117" s="6">
        <f>'Results - raw data ReCiPe (E)'!BI104</f>
        <v>112.32417693968689</v>
      </c>
      <c r="I117" s="6">
        <f>'Results - raw data ReCiPe (E)'!BJ104</f>
        <v>112.8105214019901</v>
      </c>
      <c r="J117" s="6">
        <f>'Results - raw data ReCiPe (E)'!BK104</f>
        <v>112.8515245628945</v>
      </c>
      <c r="K117" s="6">
        <f>'Results - raw data ReCiPe (E)'!BL104</f>
        <v>113.32500088396689</v>
      </c>
      <c r="L117" s="6">
        <f>'Results - raw data ReCiPe (E)'!BM104</f>
        <v>113.78920751582319</v>
      </c>
      <c r="M117" s="6">
        <f>'Results - raw data ReCiPe (E)'!BN104</f>
        <v>113.7575356663548</v>
      </c>
      <c r="N117" s="6">
        <f>'Results - raw data ReCiPe (E)'!BO104</f>
        <v>113.72581624339961</v>
      </c>
      <c r="O117" s="6">
        <f>'Results - raw data ReCiPe (E)'!BP104</f>
        <v>113.5646941347681</v>
      </c>
      <c r="P117" s="6">
        <f>'Results - raw data ReCiPe (E)'!BQ104</f>
        <v>113.53587591421029</v>
      </c>
      <c r="Q117" s="6">
        <f>'Results - raw data ReCiPe (E)'!BR104</f>
        <v>113.5067955292801</v>
      </c>
      <c r="R117" s="6">
        <f>'Results - raw data ReCiPe (E)'!BS104</f>
        <v>113.1631040623593</v>
      </c>
      <c r="S117" s="6">
        <f>'Results - raw data ReCiPe (E)'!BT104</f>
        <v>112.821248289135</v>
      </c>
      <c r="T117" s="6">
        <f>'Results - raw data ReCiPe (E)'!BU104</f>
        <v>112.3594591286536</v>
      </c>
      <c r="U117" s="6">
        <f>'Results - raw data ReCiPe (E)'!BV104</f>
        <v>112.0229508624944</v>
      </c>
      <c r="V117" s="6">
        <f>'Results - raw data ReCiPe (E)'!BW104</f>
        <v>111.6876654012725</v>
      </c>
      <c r="W117" s="6">
        <f>'Results - raw data ReCiPe (E)'!BX104</f>
        <v>111.6217687079732</v>
      </c>
      <c r="X117" s="6">
        <f>'Results - raw data ReCiPe (E)'!BY104</f>
        <v>111.5564699160188</v>
      </c>
      <c r="Y117" s="6">
        <f>'Results - raw data ReCiPe (E)'!BZ104</f>
        <v>111.4915057401156</v>
      </c>
      <c r="Z117" s="6">
        <f>'Results - raw data ReCiPe (E)'!CA104</f>
        <v>111.42686667692951</v>
      </c>
    </row>
    <row r="118" spans="1:53" outlineLevel="1" x14ac:dyDescent="0.35">
      <c r="A118" s="6" t="s">
        <v>758</v>
      </c>
      <c r="B118" s="6">
        <f>'Results - raw data ReCiPe (E)'!BC105*$AC$87</f>
        <v>123.02041989163439</v>
      </c>
      <c r="C118" s="6">
        <f>'Results - raw data ReCiPe (E)'!BD105*$AC$87</f>
        <v>113.168355221741</v>
      </c>
      <c r="D118" s="6">
        <f>'Results - raw data ReCiPe (E)'!BE105*$AC$87</f>
        <v>103.3105466624649</v>
      </c>
      <c r="E118" s="6">
        <f>'Results - raw data ReCiPe (E)'!BF105*$AC$87</f>
        <v>92.995621550295454</v>
      </c>
      <c r="F118" s="6">
        <f>'Results - raw data ReCiPe (E)'!BG105*$AC$87</f>
        <v>83.111714201283888</v>
      </c>
      <c r="G118" s="6">
        <f>'Results - raw data ReCiPe (E)'!BH105*$AC$87</f>
        <v>73.223729729510069</v>
      </c>
      <c r="H118" s="6">
        <f>'Results - raw data ReCiPe (E)'!BI105*$AC$87</f>
        <v>83.884832308648711</v>
      </c>
      <c r="I118" s="6">
        <f>'Results - raw data ReCiPe (E)'!BJ105*$AC$87</f>
        <v>94.471920332828333</v>
      </c>
      <c r="J118" s="6">
        <f>'Results - raw data ReCiPe (E)'!BK105*$AC$87</f>
        <v>104.54458438611429</v>
      </c>
      <c r="K118" s="6">
        <f>'Results - raw data ReCiPe (E)'!BL105*$AC$87</f>
        <v>114.97113745009231</v>
      </c>
      <c r="L118" s="6">
        <f>'Results - raw data ReCiPe (E)'!BM105*$AC$87</f>
        <v>125.3262553775311</v>
      </c>
      <c r="M118" s="6">
        <f>'Results - raw data ReCiPe (E)'!BN105*$AC$87</f>
        <v>138.53033504075449</v>
      </c>
      <c r="N118" s="6">
        <f>'Results - raw data ReCiPe (E)'!BO105*$AC$87</f>
        <v>151.7142805666696</v>
      </c>
      <c r="O118" s="6">
        <f>'Results - raw data ReCiPe (E)'!BP105*$AC$87</f>
        <v>164.7782457633767</v>
      </c>
      <c r="P118" s="6">
        <f>'Results - raw data ReCiPe (E)'!BQ105*$AC$87</f>
        <v>177.9241906952733</v>
      </c>
      <c r="Q118" s="6">
        <f>'Results - raw data ReCiPe (E)'!BR105*$AC$87</f>
        <v>191.0494282034141</v>
      </c>
      <c r="R118" s="6">
        <f>'Results - raw data ReCiPe (E)'!BS105*$AC$87</f>
        <v>187.01387471032581</v>
      </c>
      <c r="S118" s="6">
        <f>'Results - raw data ReCiPe (E)'!BT105*$AC$87</f>
        <v>182.9611295071519</v>
      </c>
      <c r="T118" s="6">
        <f>'Results - raw data ReCiPe (E)'!BU105*$AC$87</f>
        <v>178.79993755321081</v>
      </c>
      <c r="U118" s="6">
        <f>'Results - raw data ReCiPe (E)'!BV105*$AC$87</f>
        <v>174.7147434167785</v>
      </c>
      <c r="V118" s="6">
        <f>'Results - raw data ReCiPe (E)'!BW105*$AC$87</f>
        <v>170.61144881673999</v>
      </c>
      <c r="W118" s="6">
        <f>'Results - raw data ReCiPe (E)'!BX105*$AC$87</f>
        <v>170.41214540435371</v>
      </c>
      <c r="X118" s="6">
        <f>'Results - raw data ReCiPe (E)'!BY105*$AC$87</f>
        <v>170.2215706332619</v>
      </c>
      <c r="Y118" s="6">
        <f>'Results - raw data ReCiPe (E)'!BZ105*$AC$87</f>
        <v>170.02960896366901</v>
      </c>
      <c r="Z118" s="6">
        <f>'Results - raw data ReCiPe (E)'!CA105*$AC$87</f>
        <v>169.83604940899738</v>
      </c>
    </row>
    <row r="119" spans="1:53" outlineLevel="1" x14ac:dyDescent="0.35">
      <c r="A119" s="6" t="s">
        <v>759</v>
      </c>
      <c r="B119" s="6">
        <f>'Results - raw data ReCiPe (E)'!BC106</f>
        <v>0</v>
      </c>
      <c r="C119" s="6">
        <f>'Results - raw data ReCiPe (E)'!BD106</f>
        <v>0</v>
      </c>
      <c r="D119" s="6">
        <f>'Results - raw data ReCiPe (E)'!BE106</f>
        <v>0</v>
      </c>
      <c r="E119" s="6">
        <f>'Results - raw data ReCiPe (E)'!BF106</f>
        <v>0</v>
      </c>
      <c r="F119" s="6">
        <f>'Results - raw data ReCiPe (E)'!BG106</f>
        <v>0</v>
      </c>
      <c r="G119" s="6">
        <f>'Results - raw data ReCiPe (E)'!BH106</f>
        <v>0</v>
      </c>
      <c r="H119" s="6">
        <f>'Results - raw data ReCiPe (E)'!BI106</f>
        <v>0</v>
      </c>
      <c r="I119" s="6">
        <f>'Results - raw data ReCiPe (E)'!BJ106</f>
        <v>0</v>
      </c>
      <c r="J119" s="6">
        <f>'Results - raw data ReCiPe (E)'!BK106</f>
        <v>0</v>
      </c>
      <c r="K119" s="6">
        <f>'Results - raw data ReCiPe (E)'!BL106</f>
        <v>0</v>
      </c>
      <c r="L119" s="6">
        <f>'Results - raw data ReCiPe (E)'!BM106</f>
        <v>0</v>
      </c>
      <c r="M119" s="6">
        <f>'Results - raw data ReCiPe (E)'!BN106</f>
        <v>0</v>
      </c>
      <c r="N119" s="6">
        <f>'Results - raw data ReCiPe (E)'!BO106</f>
        <v>0</v>
      </c>
      <c r="O119" s="6">
        <f>'Results - raw data ReCiPe (E)'!BP106</f>
        <v>0</v>
      </c>
      <c r="P119" s="6">
        <f>'Results - raw data ReCiPe (E)'!BQ106</f>
        <v>0</v>
      </c>
      <c r="Q119" s="6">
        <f>'Results - raw data ReCiPe (E)'!BR106</f>
        <v>0</v>
      </c>
      <c r="R119" s="6">
        <f>'Results - raw data ReCiPe (E)'!BS106</f>
        <v>0</v>
      </c>
      <c r="S119" s="6">
        <f>'Results - raw data ReCiPe (E)'!BT106</f>
        <v>0</v>
      </c>
      <c r="T119" s="6">
        <f>'Results - raw data ReCiPe (E)'!BU106</f>
        <v>0</v>
      </c>
      <c r="U119" s="6">
        <f>'Results - raw data ReCiPe (E)'!BV106</f>
        <v>0</v>
      </c>
      <c r="V119" s="6">
        <f>'Results - raw data ReCiPe (E)'!BW106</f>
        <v>0</v>
      </c>
      <c r="W119" s="6">
        <f>'Results - raw data ReCiPe (E)'!BX106</f>
        <v>0</v>
      </c>
      <c r="X119" s="6">
        <f>'Results - raw data ReCiPe (E)'!BY106</f>
        <v>0</v>
      </c>
      <c r="Y119" s="6">
        <f>'Results - raw data ReCiPe (E)'!BZ106</f>
        <v>0</v>
      </c>
      <c r="Z119" s="6">
        <f>'Results - raw data ReCiPe (E)'!CA106</f>
        <v>0</v>
      </c>
    </row>
    <row r="120" spans="1:53" outlineLevel="1" x14ac:dyDescent="0.35">
      <c r="A120" s="6" t="s">
        <v>760</v>
      </c>
      <c r="B120" s="6">
        <f>'Results - raw data ReCiPe (E)'!BC107</f>
        <v>1510.7493365932501</v>
      </c>
      <c r="C120" s="6">
        <f>'Results - raw data ReCiPe (E)'!BD107</f>
        <v>1385.9991447781149</v>
      </c>
      <c r="D120" s="6">
        <f>'Results - raw data ReCiPe (E)'!BE107</f>
        <v>1260.2773376581019</v>
      </c>
      <c r="E120" s="6">
        <f>'Results - raw data ReCiPe (E)'!BF107</f>
        <v>1128.34625773889</v>
      </c>
      <c r="F120" s="6">
        <f>'Results - raw data ReCiPe (E)'!BG107</f>
        <v>1000.440188322833</v>
      </c>
      <c r="G120" s="6">
        <f>'Results - raw data ReCiPe (E)'!BH107</f>
        <v>871.55848134317296</v>
      </c>
      <c r="H120" s="6">
        <f>'Results - raw data ReCiPe (E)'!BI107</f>
        <v>1015.470817850551</v>
      </c>
      <c r="I120" s="6">
        <f>'Results - raw data ReCiPe (E)'!BJ107</f>
        <v>1159.0219882185629</v>
      </c>
      <c r="J120" s="6">
        <f>'Results - raw data ReCiPe (E)'!BK107</f>
        <v>1296.8374260700809</v>
      </c>
      <c r="K120" s="6">
        <f>'Results - raw data ReCiPe (E)'!BL107</f>
        <v>1439.47258851779</v>
      </c>
      <c r="L120" s="6">
        <f>'Results - raw data ReCiPe (E)'!BM107</f>
        <v>1581.773844079341</v>
      </c>
      <c r="M120" s="6">
        <f>'Results - raw data ReCiPe (E)'!BN107</f>
        <v>1760.0580930279939</v>
      </c>
      <c r="N120" s="6">
        <f>'Results - raw data ReCiPe (E)'!BO107</f>
        <v>1937.7659222301961</v>
      </c>
      <c r="O120" s="6">
        <f>'Results - raw data ReCiPe (E)'!BP107</f>
        <v>2113.707474991043</v>
      </c>
      <c r="P120" s="6">
        <f>'Results - raw data ReCiPe (E)'!BQ107</f>
        <v>2290.295719418571</v>
      </c>
      <c r="Q120" s="6">
        <f>'Results - raw data ReCiPe (E)'!BR107</f>
        <v>2466.3054098087928</v>
      </c>
      <c r="R120" s="6">
        <f>'Results - raw data ReCiPe (E)'!BS107</f>
        <v>2402.6598382644488</v>
      </c>
      <c r="S120" s="6">
        <f>'Results - raw data ReCiPe (E)'!BT107</f>
        <v>2339.3419634308411</v>
      </c>
      <c r="T120" s="6">
        <f>'Results - raw data ReCiPe (E)'!BU107</f>
        <v>2275.2745233690821</v>
      </c>
      <c r="U120" s="6">
        <f>'Results - raw data ReCiPe (E)'!BV107</f>
        <v>2212.6306551164821</v>
      </c>
      <c r="V120" s="6">
        <f>'Results - raw data ReCiPe (E)'!BW107</f>
        <v>2150.294905185307</v>
      </c>
      <c r="W120" s="6">
        <f>'Results - raw data ReCiPe (E)'!BX107</f>
        <v>2150.606479327841</v>
      </c>
      <c r="X120" s="6">
        <f>'Results - raw data ReCiPe (E)'!BY107</f>
        <v>2150.9899152228418</v>
      </c>
      <c r="Y120" s="6">
        <f>'Results - raw data ReCiPe (E)'!BZ107</f>
        <v>2151.356553279456</v>
      </c>
      <c r="Z120" s="6">
        <f>'Results - raw data ReCiPe (E)'!CA107</f>
        <v>2151.7045534483518</v>
      </c>
    </row>
    <row r="121" spans="1:53" outlineLevel="1" x14ac:dyDescent="0.35">
      <c r="A121" s="23" t="s">
        <v>125</v>
      </c>
      <c r="B121" s="17">
        <f t="shared" ref="B121:Z121" si="14">SUM(B90:B120)</f>
        <v>4710.0801893920925</v>
      </c>
      <c r="C121" s="17">
        <f t="shared" si="14"/>
        <v>1613.1692039750269</v>
      </c>
      <c r="D121" s="17">
        <f t="shared" si="14"/>
        <v>1477.2168264186723</v>
      </c>
      <c r="E121" s="17">
        <f t="shared" si="14"/>
        <v>1333.9353806733873</v>
      </c>
      <c r="F121" s="17">
        <f t="shared" si="14"/>
        <v>1195.7663745754571</v>
      </c>
      <c r="G121" s="17">
        <f t="shared" si="14"/>
        <v>1056.6101358448493</v>
      </c>
      <c r="H121" s="17">
        <f t="shared" si="14"/>
        <v>1211.6798270988866</v>
      </c>
      <c r="I121" s="17">
        <f t="shared" si="14"/>
        <v>1366.3044299533813</v>
      </c>
      <c r="J121" s="17">
        <f t="shared" si="14"/>
        <v>1514.2335350190897</v>
      </c>
      <c r="K121" s="17">
        <f t="shared" si="14"/>
        <v>1667.7687268518491</v>
      </c>
      <c r="L121" s="17">
        <f t="shared" si="14"/>
        <v>1820.8893069726953</v>
      </c>
      <c r="M121" s="17">
        <f t="shared" si="14"/>
        <v>2012.3459637351032</v>
      </c>
      <c r="N121" s="17">
        <f t="shared" si="14"/>
        <v>2203.2060190402653</v>
      </c>
      <c r="O121" s="17">
        <f t="shared" si="14"/>
        <v>2392.0504148891878</v>
      </c>
      <c r="P121" s="17">
        <f t="shared" si="14"/>
        <v>2581.7557860280544</v>
      </c>
      <c r="Q121" s="17">
        <f t="shared" si="14"/>
        <v>2770.8616335414872</v>
      </c>
      <c r="R121" s="17">
        <f t="shared" si="14"/>
        <v>2702.8368170371341</v>
      </c>
      <c r="S121" s="17">
        <f t="shared" si="14"/>
        <v>2635.1243412271278</v>
      </c>
      <c r="T121" s="17">
        <f t="shared" si="14"/>
        <v>2566.4339200509467</v>
      </c>
      <c r="U121" s="17">
        <f t="shared" si="14"/>
        <v>2499.3683493957551</v>
      </c>
      <c r="V121" s="17">
        <f t="shared" si="14"/>
        <v>2432.5940194033196</v>
      </c>
      <c r="W121" s="17">
        <f t="shared" si="14"/>
        <v>2432.6403934401678</v>
      </c>
      <c r="X121" s="17">
        <f t="shared" si="14"/>
        <v>2432.7679557721226</v>
      </c>
      <c r="Y121" s="17">
        <f t="shared" si="14"/>
        <v>2432.8776679832408</v>
      </c>
      <c r="Z121" s="17">
        <f t="shared" si="14"/>
        <v>2473.0006690977325</v>
      </c>
    </row>
    <row r="122" spans="1:53" s="26" customFormat="1" outlineLevel="1" x14ac:dyDescent="0.35"/>
    <row r="123" spans="1:53" s="221" customFormat="1" ht="21" x14ac:dyDescent="0.5">
      <c r="A123" s="229" t="s">
        <v>850</v>
      </c>
    </row>
    <row r="124" spans="1:53" s="18" customFormat="1" ht="21" x14ac:dyDescent="0.5">
      <c r="A124" s="18" t="s">
        <v>72</v>
      </c>
    </row>
    <row r="125" spans="1:53" s="20" customFormat="1" outlineLevel="1" x14ac:dyDescent="0.35">
      <c r="A125" s="19" t="s">
        <v>766</v>
      </c>
    </row>
    <row r="126" spans="1:53" s="16" customFormat="1" outlineLevel="1" x14ac:dyDescent="0.35">
      <c r="A126" s="21"/>
      <c r="AE126" s="15"/>
    </row>
    <row r="127" spans="1:53" s="16" customFormat="1" outlineLevel="1" x14ac:dyDescent="0.35">
      <c r="A127" s="22" t="s">
        <v>761</v>
      </c>
    </row>
    <row r="128" spans="1:53" s="16" customFormat="1" outlineLevel="1" x14ac:dyDescent="0.35">
      <c r="A128" s="22"/>
      <c r="AB128" s="16" t="s">
        <v>127</v>
      </c>
      <c r="AC128" s="16">
        <v>100</v>
      </c>
      <c r="AD128" s="16" t="s">
        <v>128</v>
      </c>
    </row>
    <row r="129" spans="1:53" s="16" customFormat="1" outlineLevel="1" x14ac:dyDescent="0.35">
      <c r="A129" s="230" t="s">
        <v>768</v>
      </c>
      <c r="AB129" s="16" t="s">
        <v>20</v>
      </c>
      <c r="AC129" s="16">
        <v>0.23</v>
      </c>
      <c r="AD129" s="16" t="s">
        <v>715</v>
      </c>
    </row>
    <row r="130" spans="1:53" s="16" customFormat="1" outlineLevel="1" x14ac:dyDescent="0.35">
      <c r="A130" s="22"/>
      <c r="AB130" s="16" t="s">
        <v>129</v>
      </c>
      <c r="AC130" s="16">
        <v>25</v>
      </c>
      <c r="AD130" s="16" t="s">
        <v>130</v>
      </c>
    </row>
    <row r="131" spans="1:53" outlineLevel="1" x14ac:dyDescent="0.35">
      <c r="B131" s="25">
        <v>2030</v>
      </c>
      <c r="C131" s="25">
        <v>2031</v>
      </c>
      <c r="D131" s="25">
        <v>2032</v>
      </c>
      <c r="E131" s="25">
        <v>2033</v>
      </c>
      <c r="F131" s="25">
        <v>2034</v>
      </c>
      <c r="G131" s="25">
        <v>2035</v>
      </c>
      <c r="H131" s="25">
        <v>2036</v>
      </c>
      <c r="I131" s="25">
        <v>2037</v>
      </c>
      <c r="J131" s="25">
        <v>2038</v>
      </c>
      <c r="K131" s="25">
        <v>2039</v>
      </c>
      <c r="L131" s="25">
        <v>2040</v>
      </c>
      <c r="M131" s="25">
        <v>2041</v>
      </c>
      <c r="N131" s="25">
        <v>2042</v>
      </c>
      <c r="O131" s="25">
        <v>2043</v>
      </c>
      <c r="P131" s="25">
        <v>2044</v>
      </c>
      <c r="Q131" s="25">
        <v>2045</v>
      </c>
      <c r="R131" s="25">
        <v>2046</v>
      </c>
      <c r="S131" s="25">
        <v>2047</v>
      </c>
      <c r="T131" s="25">
        <v>2048</v>
      </c>
      <c r="U131" s="25">
        <v>2049</v>
      </c>
      <c r="V131" s="25">
        <v>2050</v>
      </c>
      <c r="W131" s="25">
        <v>2051</v>
      </c>
      <c r="X131" s="25">
        <v>2052</v>
      </c>
      <c r="Y131" s="25">
        <v>2053</v>
      </c>
      <c r="Z131" s="25">
        <v>2054</v>
      </c>
      <c r="AC131" s="25">
        <v>2030</v>
      </c>
      <c r="AD131" s="25">
        <v>2031</v>
      </c>
      <c r="AE131" s="25">
        <v>2032</v>
      </c>
      <c r="AF131" s="25">
        <v>2033</v>
      </c>
      <c r="AG131" s="25">
        <v>2034</v>
      </c>
      <c r="AH131" s="25">
        <v>2035</v>
      </c>
      <c r="AI131" s="25">
        <v>2036</v>
      </c>
      <c r="AJ131" s="25">
        <v>2037</v>
      </c>
      <c r="AK131" s="25">
        <v>2038</v>
      </c>
      <c r="AL131" s="25">
        <v>2039</v>
      </c>
      <c r="AM131" s="25">
        <v>2040</v>
      </c>
      <c r="AN131" s="25">
        <v>2041</v>
      </c>
      <c r="AO131" s="25">
        <v>2042</v>
      </c>
      <c r="AP131" s="25">
        <v>2043</v>
      </c>
      <c r="AQ131" s="25">
        <v>2044</v>
      </c>
      <c r="AR131" s="25">
        <v>2045</v>
      </c>
      <c r="AS131" s="25">
        <v>2046</v>
      </c>
      <c r="AT131" s="25">
        <v>2047</v>
      </c>
      <c r="AU131" s="25">
        <v>2048</v>
      </c>
      <c r="AV131" s="25">
        <v>2049</v>
      </c>
      <c r="AW131" s="25">
        <v>2050</v>
      </c>
      <c r="AX131" s="25">
        <v>2051</v>
      </c>
      <c r="AY131" s="25">
        <v>2052</v>
      </c>
      <c r="AZ131" s="25">
        <v>2053</v>
      </c>
      <c r="BA131" s="25">
        <v>2054</v>
      </c>
    </row>
    <row r="132" spans="1:53" outlineLevel="1" x14ac:dyDescent="0.35">
      <c r="A132" s="6" t="s">
        <v>21</v>
      </c>
      <c r="B132" s="6">
        <f>'Results - raw data ReCiPe (E)'!BC5</f>
        <v>77.21859804961916</v>
      </c>
      <c r="AB132" s="6" t="s">
        <v>117</v>
      </c>
      <c r="AC132" s="6">
        <f>SUM(B132:B143)+B145</f>
        <v>2965.0301428358648</v>
      </c>
    </row>
    <row r="133" spans="1:53" outlineLevel="1" x14ac:dyDescent="0.35">
      <c r="A133" s="6" t="s">
        <v>23</v>
      </c>
      <c r="B133" s="6">
        <f>'Results - raw data ReCiPe (E)'!BC6</f>
        <v>317.28059445097972</v>
      </c>
      <c r="AB133" s="6" t="s">
        <v>118</v>
      </c>
      <c r="AC133" s="6">
        <f>B144</f>
        <v>272.33360397786203</v>
      </c>
    </row>
    <row r="134" spans="1:53" outlineLevel="1" x14ac:dyDescent="0.35">
      <c r="A134" s="6" t="s">
        <v>26</v>
      </c>
      <c r="B134" s="6">
        <f>'Results - raw data ReCiPe (E)'!BC7</f>
        <v>324.35993216598132</v>
      </c>
      <c r="AB134" s="6" t="s">
        <v>119</v>
      </c>
      <c r="BA134" s="6">
        <f>SUM(Z146:Z157)</f>
        <v>46.163153956689108</v>
      </c>
    </row>
    <row r="135" spans="1:53" outlineLevel="1" x14ac:dyDescent="0.35">
      <c r="A135" s="6" t="s">
        <v>28</v>
      </c>
      <c r="B135" s="6">
        <f>'Results - raw data ReCiPe (E)'!BC8</f>
        <v>252.18889909747031</v>
      </c>
      <c r="AB135" s="6" t="s">
        <v>120</v>
      </c>
      <c r="BA135" s="6">
        <f>Z158</f>
        <v>1.3503554367435455</v>
      </c>
    </row>
    <row r="136" spans="1:53" outlineLevel="1" x14ac:dyDescent="0.35">
      <c r="A136" s="6" t="s">
        <v>29</v>
      </c>
      <c r="B136" s="6">
        <f>'Results - raw data ReCiPe (E)'!BC9</f>
        <v>125.9640931887588</v>
      </c>
      <c r="AB136" s="6" t="s">
        <v>121</v>
      </c>
      <c r="AC136" s="6">
        <f>B159</f>
        <v>119.1904376828072</v>
      </c>
      <c r="AF136" s="6">
        <f>E159</f>
        <v>118.3718965782387</v>
      </c>
      <c r="AI136" s="6">
        <f>H159</f>
        <v>118.2908864371209</v>
      </c>
      <c r="AL136" s="6">
        <f>K159</f>
        <v>117.82210845498651</v>
      </c>
      <c r="AO136" s="6">
        <f>N159</f>
        <v>117.9174008500527</v>
      </c>
      <c r="AR136" s="6">
        <f>Q159</f>
        <v>117.9147244662052</v>
      </c>
      <c r="AU136" s="6">
        <f>T159</f>
        <v>117.61608634126139</v>
      </c>
      <c r="AX136" s="6">
        <f>W159</f>
        <v>117.44781323215599</v>
      </c>
      <c r="BA136" s="6">
        <f>Z159</f>
        <v>117.264158753236</v>
      </c>
    </row>
    <row r="137" spans="1:53" outlineLevel="1" x14ac:dyDescent="0.35">
      <c r="A137" s="6" t="s">
        <v>31</v>
      </c>
      <c r="B137" s="6">
        <f>'Results - raw data ReCiPe (E)'!BC10</f>
        <v>88.492426477681875</v>
      </c>
      <c r="AB137" s="6" t="s">
        <v>122</v>
      </c>
      <c r="AC137" s="6">
        <f>B162+B161</f>
        <v>2116.289847013235</v>
      </c>
      <c r="AD137" s="6">
        <f t="shared" ref="AD137:BA137" si="15">C162+C161</f>
        <v>2122.9016157887113</v>
      </c>
      <c r="AE137" s="6">
        <f t="shared" si="15"/>
        <v>2129.5768882130174</v>
      </c>
      <c r="AF137" s="6">
        <f t="shared" si="15"/>
        <v>2132.4528914535163</v>
      </c>
      <c r="AG137" s="6">
        <f t="shared" si="15"/>
        <v>2139.3010850810715</v>
      </c>
      <c r="AH137" s="6">
        <f t="shared" si="15"/>
        <v>2146.2098384335004</v>
      </c>
      <c r="AI137" s="6">
        <f t="shared" si="15"/>
        <v>2213.8572577561599</v>
      </c>
      <c r="AJ137" s="6">
        <f t="shared" si="15"/>
        <v>2281.4212029230348</v>
      </c>
      <c r="AK137" s="6">
        <f t="shared" si="15"/>
        <v>2346.0758204056456</v>
      </c>
      <c r="AL137" s="6">
        <f t="shared" si="15"/>
        <v>2413.5923548032447</v>
      </c>
      <c r="AM137" s="6">
        <f t="shared" si="15"/>
        <v>2481.0454639238724</v>
      </c>
      <c r="AN137" s="6">
        <f t="shared" si="15"/>
        <v>2555.7630418984786</v>
      </c>
      <c r="AO137" s="6">
        <f t="shared" si="15"/>
        <v>2630.5725238979298</v>
      </c>
      <c r="AP137" s="6">
        <f t="shared" si="15"/>
        <v>2704.8146953080491</v>
      </c>
      <c r="AQ137" s="6">
        <f t="shared" si="15"/>
        <v>2779.8052944123051</v>
      </c>
      <c r="AR137" s="6">
        <f t="shared" si="15"/>
        <v>2854.8779257908232</v>
      </c>
      <c r="AS137" s="6">
        <f t="shared" si="15"/>
        <v>2928.9877994678077</v>
      </c>
      <c r="AT137" s="6">
        <f t="shared" si="15"/>
        <v>3003.1252391554749</v>
      </c>
      <c r="AU137" s="6">
        <f t="shared" si="15"/>
        <v>3076.7075126061786</v>
      </c>
      <c r="AV137" s="6">
        <f t="shared" si="15"/>
        <v>3150.9483728810769</v>
      </c>
      <c r="AW137" s="6">
        <f t="shared" si="15"/>
        <v>3225.2464317275972</v>
      </c>
      <c r="AX137" s="6">
        <f t="shared" si="15"/>
        <v>3208.614576597211</v>
      </c>
      <c r="AY137" s="6">
        <f t="shared" si="15"/>
        <v>3192.0143471350057</v>
      </c>
      <c r="AZ137" s="6">
        <f t="shared" si="15"/>
        <v>3175.4041792718867</v>
      </c>
      <c r="BA137" s="6">
        <f t="shared" si="15"/>
        <v>3158.7828534003756</v>
      </c>
    </row>
    <row r="138" spans="1:53" outlineLevel="1" x14ac:dyDescent="0.35">
      <c r="A138" s="6" t="s">
        <v>34</v>
      </c>
      <c r="B138" s="6">
        <f>'Results - raw data ReCiPe (E)'!BC11</f>
        <v>60.105431311401333</v>
      </c>
      <c r="AB138" s="6" t="s">
        <v>123</v>
      </c>
      <c r="AC138" s="6">
        <f t="shared" ref="AC138:BA138" si="16">B160</f>
        <v>213.7561645339245</v>
      </c>
      <c r="AD138" s="6">
        <f t="shared" si="16"/>
        <v>214.11317364597031</v>
      </c>
      <c r="AE138" s="6">
        <f t="shared" si="16"/>
        <v>214.47341165806512</v>
      </c>
      <c r="AF138" s="6">
        <f t="shared" si="16"/>
        <v>214.46251116288622</v>
      </c>
      <c r="AG138" s="6">
        <f t="shared" si="16"/>
        <v>214.83388134716211</v>
      </c>
      <c r="AH138" s="6">
        <f t="shared" si="16"/>
        <v>215.20812374772089</v>
      </c>
      <c r="AI138" s="6">
        <f t="shared" si="16"/>
        <v>221.66170122876531</v>
      </c>
      <c r="AJ138" s="6">
        <f t="shared" si="16"/>
        <v>228.08739714241969</v>
      </c>
      <c r="AK138" s="6">
        <f t="shared" si="16"/>
        <v>234.21005826383578</v>
      </c>
      <c r="AL138" s="6">
        <f t="shared" si="16"/>
        <v>240.59224526784581</v>
      </c>
      <c r="AM138" s="6">
        <f t="shared" si="16"/>
        <v>246.94875172326101</v>
      </c>
      <c r="AN138" s="6">
        <f t="shared" si="16"/>
        <v>254.07462545926279</v>
      </c>
      <c r="AO138" s="6">
        <f t="shared" si="16"/>
        <v>261.19243499886392</v>
      </c>
      <c r="AP138" s="6">
        <f t="shared" si="16"/>
        <v>268.23816375017429</v>
      </c>
      <c r="AQ138" s="6">
        <f t="shared" si="16"/>
        <v>275.33963760225271</v>
      </c>
      <c r="AR138" s="6">
        <f t="shared" si="16"/>
        <v>282.43183756937771</v>
      </c>
      <c r="AS138" s="6">
        <f t="shared" si="16"/>
        <v>289.44400481244838</v>
      </c>
      <c r="AT138" s="6">
        <f t="shared" si="16"/>
        <v>296.44474292503941</v>
      </c>
      <c r="AU138" s="6">
        <f t="shared" si="16"/>
        <v>303.37780162099631</v>
      </c>
      <c r="AV138" s="6">
        <f t="shared" si="16"/>
        <v>310.36040504167272</v>
      </c>
      <c r="AW138" s="6">
        <f t="shared" si="16"/>
        <v>317.3344517929184</v>
      </c>
      <c r="AX138" s="6">
        <f t="shared" si="16"/>
        <v>315.12577015084941</v>
      </c>
      <c r="AY138" s="6">
        <f t="shared" si="16"/>
        <v>312.93130103149196</v>
      </c>
      <c r="AZ138" s="6">
        <f t="shared" si="16"/>
        <v>310.74231942013807</v>
      </c>
      <c r="BA138" s="6">
        <f t="shared" si="16"/>
        <v>308.55861400518438</v>
      </c>
    </row>
    <row r="139" spans="1:53" outlineLevel="1" x14ac:dyDescent="0.35">
      <c r="A139" s="6" t="s">
        <v>36</v>
      </c>
      <c r="B139" s="6">
        <f>'Results - raw data ReCiPe (E)'!BC12</f>
        <v>63.067238902037133</v>
      </c>
      <c r="AB139" s="6" t="s">
        <v>124</v>
      </c>
    </row>
    <row r="140" spans="1:53" outlineLevel="1" x14ac:dyDescent="0.35">
      <c r="A140" s="6" t="s">
        <v>38</v>
      </c>
      <c r="B140" s="6">
        <f>'Results - raw data ReCiPe (E)'!BC13</f>
        <v>672.8689939250836</v>
      </c>
      <c r="AB140" s="23" t="s">
        <v>125</v>
      </c>
      <c r="AC140" s="17">
        <f t="shared" ref="AC140:BA140" si="17">SUM(AC132:AC139)</f>
        <v>5686.6001960436934</v>
      </c>
      <c r="AD140" s="17">
        <f t="shared" si="17"/>
        <v>2337.0147894346815</v>
      </c>
      <c r="AE140" s="17">
        <f t="shared" si="17"/>
        <v>2344.0502998710826</v>
      </c>
      <c r="AF140" s="17">
        <f t="shared" si="17"/>
        <v>2465.287299194641</v>
      </c>
      <c r="AG140" s="17">
        <f t="shared" si="17"/>
        <v>2354.1349664282334</v>
      </c>
      <c r="AH140" s="17">
        <f t="shared" si="17"/>
        <v>2361.4179621812214</v>
      </c>
      <c r="AI140" s="17">
        <f t="shared" si="17"/>
        <v>2553.8098454220462</v>
      </c>
      <c r="AJ140" s="17">
        <f t="shared" si="17"/>
        <v>2509.5086000654546</v>
      </c>
      <c r="AK140" s="17">
        <f t="shared" si="17"/>
        <v>2580.2858786694815</v>
      </c>
      <c r="AL140" s="17">
        <f t="shared" si="17"/>
        <v>2772.0067085260771</v>
      </c>
      <c r="AM140" s="17">
        <f t="shared" si="17"/>
        <v>2727.9942156471334</v>
      </c>
      <c r="AN140" s="17">
        <f t="shared" si="17"/>
        <v>2809.8376673577413</v>
      </c>
      <c r="AO140" s="17">
        <f t="shared" si="17"/>
        <v>3009.6823597468465</v>
      </c>
      <c r="AP140" s="17">
        <f t="shared" si="17"/>
        <v>2973.0528590582235</v>
      </c>
      <c r="AQ140" s="17">
        <f t="shared" si="17"/>
        <v>3055.144932014558</v>
      </c>
      <c r="AR140" s="17">
        <f t="shared" si="17"/>
        <v>3255.2244878264064</v>
      </c>
      <c r="AS140" s="17">
        <f t="shared" si="17"/>
        <v>3218.4318042802561</v>
      </c>
      <c r="AT140" s="17">
        <f t="shared" si="17"/>
        <v>3299.5699820805144</v>
      </c>
      <c r="AU140" s="17">
        <f t="shared" si="17"/>
        <v>3497.7014005684364</v>
      </c>
      <c r="AV140" s="17">
        <f t="shared" si="17"/>
        <v>3461.3087779227499</v>
      </c>
      <c r="AW140" s="17">
        <f t="shared" si="17"/>
        <v>3542.5808835205157</v>
      </c>
      <c r="AX140" s="17">
        <f t="shared" si="17"/>
        <v>3641.1881599802164</v>
      </c>
      <c r="AY140" s="17">
        <f t="shared" si="17"/>
        <v>3504.9456481664974</v>
      </c>
      <c r="AZ140" s="17">
        <f t="shared" si="17"/>
        <v>3486.1464986920246</v>
      </c>
      <c r="BA140" s="17">
        <f t="shared" si="17"/>
        <v>3632.1191355522287</v>
      </c>
    </row>
    <row r="141" spans="1:53" outlineLevel="1" x14ac:dyDescent="0.35">
      <c r="A141" s="6" t="s">
        <v>39</v>
      </c>
      <c r="B141" s="6">
        <f>'Results - raw data ReCiPe (E)'!BC14</f>
        <v>760.19739324761179</v>
      </c>
    </row>
    <row r="142" spans="1:53" outlineLevel="1" x14ac:dyDescent="0.35">
      <c r="A142" s="6" t="s">
        <v>41</v>
      </c>
      <c r="B142" s="6">
        <f>'Results - raw data ReCiPe (E)'!BC15</f>
        <v>53.415036359148253</v>
      </c>
    </row>
    <row r="143" spans="1:53" outlineLevel="1" x14ac:dyDescent="0.35">
      <c r="A143" s="6" t="s">
        <v>43</v>
      </c>
      <c r="B143" s="6">
        <f>'Results - raw data ReCiPe (E)'!BC16</f>
        <v>73.843720240407222</v>
      </c>
      <c r="AB143" s="219"/>
      <c r="AC143" s="219"/>
      <c r="AD143" s="219"/>
      <c r="AE143" s="219"/>
      <c r="AF143" s="219"/>
      <c r="AG143" s="219"/>
      <c r="AH143" s="219"/>
      <c r="AI143" s="219"/>
      <c r="AJ143" s="219"/>
      <c r="AK143" s="219"/>
      <c r="AL143" s="219"/>
      <c r="AM143" s="219"/>
      <c r="AN143" s="219"/>
      <c r="AO143" s="219"/>
      <c r="AP143" s="219"/>
      <c r="AQ143" s="219"/>
      <c r="AR143" s="219"/>
      <c r="AS143" s="219"/>
      <c r="AT143" s="219"/>
      <c r="AU143" s="219"/>
      <c r="AV143" s="219"/>
      <c r="AW143" s="219"/>
      <c r="AX143" s="219"/>
      <c r="AY143" s="219"/>
      <c r="AZ143" s="219"/>
      <c r="BA143" s="219"/>
    </row>
    <row r="144" spans="1:53" outlineLevel="1" x14ac:dyDescent="0.35">
      <c r="A144" s="6" t="s">
        <v>44</v>
      </c>
      <c r="B144" s="6">
        <f>'Results - raw data ReCiPe (E)'!BC17*AC128*AC130</f>
        <v>272.33360397786203</v>
      </c>
      <c r="AB144" s="219"/>
      <c r="AC144" s="219"/>
      <c r="AD144" s="219"/>
      <c r="AE144" s="219"/>
      <c r="AF144" s="219"/>
      <c r="AG144" s="219"/>
      <c r="AH144" s="219"/>
      <c r="AI144" s="219"/>
      <c r="AJ144" s="219"/>
      <c r="AK144" s="219"/>
      <c r="AL144" s="219"/>
      <c r="AM144" s="219"/>
      <c r="AN144" s="219"/>
      <c r="AO144" s="219"/>
      <c r="AP144" s="219"/>
      <c r="AQ144" s="219"/>
      <c r="AR144" s="219"/>
      <c r="AS144" s="219"/>
      <c r="AT144" s="219"/>
      <c r="AU144" s="219"/>
      <c r="AV144" s="219"/>
      <c r="AW144" s="219"/>
      <c r="AX144" s="219"/>
      <c r="AY144" s="219"/>
      <c r="AZ144" s="219"/>
      <c r="BA144" s="219"/>
    </row>
    <row r="145" spans="1:53" outlineLevel="1" x14ac:dyDescent="0.35">
      <c r="A145" s="6" t="s">
        <v>757</v>
      </c>
      <c r="B145" s="6">
        <f>'Results - raw data ReCiPe (E)'!BC18*AC128*AC130</f>
        <v>96.027785419684236</v>
      </c>
      <c r="AB145" s="219"/>
      <c r="AC145" s="219"/>
      <c r="AD145" s="219"/>
      <c r="AE145" s="219"/>
      <c r="AF145" s="219"/>
      <c r="AG145" s="219"/>
      <c r="AH145" s="219"/>
      <c r="AI145" s="219"/>
      <c r="AJ145" s="219"/>
      <c r="AK145" s="219"/>
      <c r="AL145" s="219"/>
      <c r="AM145" s="219"/>
      <c r="AN145" s="219"/>
      <c r="AO145" s="219"/>
      <c r="AP145" s="219"/>
      <c r="AQ145" s="219"/>
      <c r="AR145" s="219"/>
      <c r="AS145" s="219"/>
      <c r="AT145" s="219"/>
      <c r="AU145" s="219"/>
      <c r="AV145" s="219"/>
      <c r="AW145" s="219"/>
      <c r="AX145" s="219"/>
      <c r="AY145" s="219"/>
      <c r="AZ145" s="219"/>
      <c r="BA145" s="219"/>
    </row>
    <row r="146" spans="1:53" outlineLevel="1" x14ac:dyDescent="0.35">
      <c r="A146" s="6" t="s">
        <v>22</v>
      </c>
      <c r="Z146" s="6">
        <f>'Results - raw data ReCiPe (E)'!CA19</f>
        <v>0.33631285194090771</v>
      </c>
      <c r="AB146" s="219"/>
      <c r="AC146" s="219"/>
      <c r="AD146" s="219"/>
      <c r="AE146" s="219"/>
      <c r="AF146" s="219"/>
      <c r="AG146" s="219"/>
      <c r="AH146" s="219"/>
      <c r="AI146" s="219"/>
      <c r="AJ146" s="219"/>
      <c r="AK146" s="219"/>
      <c r="AL146" s="219"/>
      <c r="AM146" s="219"/>
      <c r="AN146" s="219"/>
      <c r="AO146" s="219"/>
      <c r="AP146" s="219"/>
      <c r="AQ146" s="219"/>
      <c r="AR146" s="219"/>
      <c r="AS146" s="219"/>
      <c r="AT146" s="219"/>
      <c r="AU146" s="219"/>
      <c r="AV146" s="219"/>
      <c r="AW146" s="219"/>
      <c r="AX146" s="219"/>
      <c r="AY146" s="219"/>
      <c r="AZ146" s="219"/>
      <c r="BA146" s="219"/>
    </row>
    <row r="147" spans="1:53" outlineLevel="1" x14ac:dyDescent="0.35">
      <c r="A147" s="6" t="s">
        <v>24</v>
      </c>
      <c r="Z147" s="6">
        <f>'Results - raw data ReCiPe (E)'!CA20</f>
        <v>0.37421118561334321</v>
      </c>
      <c r="AB147" s="219"/>
      <c r="AC147" s="219"/>
      <c r="AD147" s="219"/>
      <c r="AE147" s="219"/>
      <c r="AF147" s="219"/>
      <c r="AG147" s="219"/>
      <c r="AH147" s="219"/>
      <c r="AI147" s="219"/>
      <c r="AJ147" s="219"/>
      <c r="AK147" s="219"/>
      <c r="AL147" s="219"/>
      <c r="AM147" s="219"/>
      <c r="AN147" s="219"/>
      <c r="AO147" s="219"/>
      <c r="AP147" s="219"/>
      <c r="AQ147" s="219"/>
      <c r="AR147" s="219"/>
      <c r="AS147" s="219"/>
      <c r="AT147" s="219"/>
      <c r="AU147" s="219"/>
      <c r="AV147" s="219"/>
      <c r="AW147" s="219"/>
      <c r="AX147" s="219"/>
      <c r="AY147" s="219"/>
      <c r="AZ147" s="219"/>
      <c r="BA147" s="219"/>
    </row>
    <row r="148" spans="1:53" outlineLevel="1" x14ac:dyDescent="0.35">
      <c r="A148" s="6" t="s">
        <v>25</v>
      </c>
      <c r="Z148" s="6">
        <f>'Results - raw data ReCiPe (E)'!CA21</f>
        <v>1.7393243750677869</v>
      </c>
      <c r="AB148" s="219"/>
      <c r="AC148" s="219"/>
      <c r="AD148" s="219"/>
      <c r="AE148" s="219"/>
      <c r="AF148" s="219"/>
      <c r="AG148" s="219"/>
      <c r="AH148" s="219"/>
      <c r="AI148" s="219"/>
      <c r="AJ148" s="219"/>
      <c r="AK148" s="219"/>
      <c r="AL148" s="219"/>
      <c r="AM148" s="219"/>
      <c r="AN148" s="219"/>
      <c r="AO148" s="219"/>
      <c r="AP148" s="219"/>
      <c r="AQ148" s="219"/>
      <c r="AR148" s="219"/>
      <c r="AS148" s="219"/>
      <c r="AT148" s="219"/>
      <c r="AU148" s="219"/>
      <c r="AV148" s="219"/>
      <c r="AW148" s="219"/>
      <c r="AX148" s="219"/>
      <c r="AY148" s="219"/>
      <c r="AZ148" s="219"/>
      <c r="BA148" s="219"/>
    </row>
    <row r="149" spans="1:53" outlineLevel="1" x14ac:dyDescent="0.35">
      <c r="A149" s="6" t="s">
        <v>27</v>
      </c>
      <c r="Z149" s="6">
        <f>'Results - raw data ReCiPe (E)'!CA22</f>
        <v>1.0390327142647591</v>
      </c>
      <c r="AB149" s="219"/>
      <c r="AC149" s="219"/>
      <c r="AD149" s="219"/>
      <c r="AE149" s="219"/>
      <c r="AF149" s="219"/>
      <c r="AG149" s="219"/>
      <c r="AH149" s="219"/>
      <c r="AI149" s="219"/>
      <c r="AJ149" s="219"/>
      <c r="AK149" s="219"/>
      <c r="AL149" s="219"/>
      <c r="AM149" s="219"/>
      <c r="AN149" s="219"/>
      <c r="AO149" s="219"/>
      <c r="AP149" s="219"/>
      <c r="AQ149" s="219"/>
      <c r="AR149" s="219"/>
      <c r="AS149" s="219"/>
      <c r="AT149" s="219"/>
      <c r="AU149" s="219"/>
      <c r="AV149" s="219"/>
      <c r="AW149" s="219"/>
      <c r="AX149" s="219"/>
      <c r="AY149" s="219"/>
      <c r="AZ149" s="219"/>
      <c r="BA149" s="219"/>
    </row>
    <row r="150" spans="1:53" outlineLevel="1" x14ac:dyDescent="0.35">
      <c r="A150" s="6" t="s">
        <v>30</v>
      </c>
      <c r="Z150" s="6">
        <f>'Results - raw data ReCiPe (E)'!CA23</f>
        <v>0.413290269883549</v>
      </c>
      <c r="AB150" s="219"/>
      <c r="AC150" s="219"/>
      <c r="AD150" s="219"/>
      <c r="AE150" s="219"/>
      <c r="AF150" s="219"/>
      <c r="AG150" s="219"/>
      <c r="AH150" s="219"/>
      <c r="AI150" s="219"/>
      <c r="AJ150" s="219"/>
      <c r="AK150" s="219"/>
      <c r="AL150" s="219"/>
      <c r="AM150" s="219"/>
      <c r="AN150" s="219"/>
      <c r="AO150" s="219"/>
      <c r="AP150" s="219"/>
      <c r="AQ150" s="219"/>
      <c r="AR150" s="219"/>
      <c r="AS150" s="219"/>
      <c r="AT150" s="219"/>
      <c r="AU150" s="219"/>
      <c r="AV150" s="219"/>
      <c r="AW150" s="219"/>
      <c r="AX150" s="219"/>
      <c r="AY150" s="219"/>
      <c r="AZ150" s="219"/>
      <c r="BA150" s="219"/>
    </row>
    <row r="151" spans="1:53" outlineLevel="1" x14ac:dyDescent="0.35">
      <c r="A151" s="6" t="s">
        <v>32</v>
      </c>
      <c r="Z151" s="6">
        <f>'Results - raw data ReCiPe (E)'!CA24</f>
        <v>0.1853570483021689</v>
      </c>
      <c r="AB151" s="219"/>
      <c r="AC151" s="219"/>
      <c r="AD151" s="219"/>
      <c r="AE151" s="219"/>
      <c r="AF151" s="219"/>
      <c r="AG151" s="219"/>
      <c r="AH151" s="219"/>
      <c r="AI151" s="219"/>
      <c r="AJ151" s="219"/>
      <c r="AK151" s="219"/>
      <c r="AL151" s="219"/>
      <c r="AM151" s="219"/>
      <c r="AN151" s="219"/>
      <c r="AO151" s="219"/>
      <c r="AP151" s="219"/>
      <c r="AQ151" s="219"/>
      <c r="AR151" s="219"/>
      <c r="AS151" s="219"/>
      <c r="AT151" s="219"/>
      <c r="AU151" s="219"/>
      <c r="AV151" s="219"/>
      <c r="AW151" s="219"/>
      <c r="AX151" s="219"/>
      <c r="AY151" s="219"/>
      <c r="AZ151" s="219"/>
      <c r="BA151" s="219"/>
    </row>
    <row r="152" spans="1:53" outlineLevel="1" x14ac:dyDescent="0.35">
      <c r="A152" s="6" t="s">
        <v>33</v>
      </c>
      <c r="Z152" s="6">
        <f>'Results - raw data ReCiPe (E)'!CA25</f>
        <v>0.1072347475857668</v>
      </c>
      <c r="AB152" s="219"/>
      <c r="AC152" s="219"/>
      <c r="AD152" s="219"/>
      <c r="AE152" s="219"/>
      <c r="AF152" s="219"/>
      <c r="AG152" s="219"/>
      <c r="AH152" s="219"/>
      <c r="AI152" s="219"/>
      <c r="AJ152" s="219"/>
      <c r="AK152" s="219"/>
      <c r="AL152" s="219"/>
      <c r="AM152" s="219"/>
      <c r="AN152" s="219"/>
      <c r="AO152" s="219"/>
      <c r="AP152" s="219"/>
      <c r="AQ152" s="219"/>
      <c r="AR152" s="219"/>
      <c r="AS152" s="219"/>
      <c r="AT152" s="219"/>
      <c r="AU152" s="219"/>
      <c r="AV152" s="219"/>
      <c r="AW152" s="219"/>
      <c r="AX152" s="219"/>
      <c r="AY152" s="219"/>
      <c r="AZ152" s="219"/>
      <c r="BA152" s="219"/>
    </row>
    <row r="153" spans="1:53" outlineLevel="1" x14ac:dyDescent="0.35">
      <c r="A153" s="6" t="s">
        <v>35</v>
      </c>
      <c r="Z153" s="6">
        <f>'Results - raw data ReCiPe (E)'!CA26</f>
        <v>0.21446949517153349</v>
      </c>
      <c r="AB153" s="219"/>
      <c r="AC153" s="219"/>
      <c r="AD153" s="219"/>
      <c r="AE153" s="219"/>
      <c r="AF153" s="219"/>
      <c r="AG153" s="219"/>
      <c r="AH153" s="219"/>
      <c r="AI153" s="219"/>
      <c r="AJ153" s="219"/>
      <c r="AK153" s="219"/>
      <c r="AL153" s="219"/>
      <c r="AM153" s="219"/>
      <c r="AN153" s="219"/>
      <c r="AO153" s="219"/>
      <c r="AP153" s="219"/>
      <c r="AQ153" s="219"/>
      <c r="AR153" s="219"/>
      <c r="AS153" s="219"/>
      <c r="AT153" s="219"/>
      <c r="AU153" s="219"/>
      <c r="AV153" s="219"/>
      <c r="AW153" s="219"/>
      <c r="AX153" s="219"/>
      <c r="AY153" s="219"/>
      <c r="AZ153" s="219"/>
      <c r="BA153" s="219"/>
    </row>
    <row r="154" spans="1:53" outlineLevel="1" x14ac:dyDescent="0.35">
      <c r="A154" s="6" t="s">
        <v>37</v>
      </c>
      <c r="Z154" s="6">
        <f>'Results - raw data ReCiPe (E)'!CA27</f>
        <v>3.1503219687254052</v>
      </c>
      <c r="AB154" s="219"/>
      <c r="AC154" s="219"/>
      <c r="AD154" s="219"/>
      <c r="AE154" s="219"/>
      <c r="AF154" s="219"/>
      <c r="AG154" s="219"/>
      <c r="AH154" s="219"/>
      <c r="AI154" s="219"/>
      <c r="AJ154" s="219"/>
      <c r="AK154" s="219"/>
      <c r="AL154" s="219"/>
      <c r="AM154" s="219"/>
      <c r="AN154" s="219"/>
      <c r="AO154" s="219"/>
      <c r="AP154" s="219"/>
      <c r="AQ154" s="219"/>
      <c r="AR154" s="219"/>
      <c r="AS154" s="219"/>
      <c r="AT154" s="219"/>
      <c r="AU154" s="219"/>
      <c r="AV154" s="219"/>
      <c r="AW154" s="219"/>
      <c r="AX154" s="219"/>
      <c r="AY154" s="219"/>
      <c r="AZ154" s="219"/>
      <c r="BA154" s="219"/>
    </row>
    <row r="155" spans="1:53" outlineLevel="1" x14ac:dyDescent="0.35">
      <c r="A155" s="6" t="s">
        <v>40</v>
      </c>
      <c r="Z155" s="6">
        <f>'Results - raw data ReCiPe (E)'!CA28</f>
        <v>1.528464389186555</v>
      </c>
    </row>
    <row r="156" spans="1:53" outlineLevel="1" x14ac:dyDescent="0.35">
      <c r="A156" s="6" t="s">
        <v>42</v>
      </c>
      <c r="Z156" s="6">
        <f>'Results - raw data ReCiPe (E)'!CA29</f>
        <v>3.9547223812444359</v>
      </c>
    </row>
    <row r="157" spans="1:53" outlineLevel="1" x14ac:dyDescent="0.35">
      <c r="A157" s="6" t="s">
        <v>115</v>
      </c>
      <c r="Z157" s="6">
        <f>'Results - raw data ReCiPe (E)'!CA30</f>
        <v>33.120412529702897</v>
      </c>
    </row>
    <row r="158" spans="1:53" outlineLevel="1" x14ac:dyDescent="0.35">
      <c r="A158" s="6" t="s">
        <v>45</v>
      </c>
      <c r="Z158" s="6">
        <f>'Results - raw data ReCiPe (E)'!CA31*AC128*AC130</f>
        <v>1.3503554367435455</v>
      </c>
    </row>
    <row r="159" spans="1:53" outlineLevel="1" x14ac:dyDescent="0.35">
      <c r="A159" s="6" t="s">
        <v>116</v>
      </c>
      <c r="B159" s="6">
        <f>'Results - raw data ReCiPe (E)'!BC32</f>
        <v>119.1904376828072</v>
      </c>
      <c r="C159" s="6">
        <f>'Results - raw data ReCiPe (E)'!BD32</f>
        <v>119.14749385904901</v>
      </c>
      <c r="D159" s="6">
        <f>'Results - raw data ReCiPe (E)'!BE32</f>
        <v>119.10500649893061</v>
      </c>
      <c r="E159" s="6">
        <f>'Results - raw data ReCiPe (E)'!BF32</f>
        <v>118.3718965782387</v>
      </c>
      <c r="F159" s="6">
        <f>'Results - raw data ReCiPe (E)'!BG32</f>
        <v>118.3315603139125</v>
      </c>
      <c r="G159" s="6">
        <f>'Results - raw data ReCiPe (E)'!BH32</f>
        <v>118.2914435002514</v>
      </c>
      <c r="H159" s="6">
        <f>'Results - raw data ReCiPe (E)'!BI32</f>
        <v>118.2908864371209</v>
      </c>
      <c r="I159" s="6">
        <f>'Results - raw data ReCiPe (E)'!BJ32</f>
        <v>118.29040093616619</v>
      </c>
      <c r="J159" s="6">
        <f>'Results - raw data ReCiPe (E)'!BK32</f>
        <v>117.8191358499945</v>
      </c>
      <c r="K159" s="6">
        <f>'Results - raw data ReCiPe (E)'!BL32</f>
        <v>117.82210845498651</v>
      </c>
      <c r="L159" s="6">
        <f>'Results - raw data ReCiPe (E)'!BM32</f>
        <v>117.8250996497282</v>
      </c>
      <c r="M159" s="6">
        <f>'Results - raw data ReCiPe (E)'!BN32</f>
        <v>117.8714564698883</v>
      </c>
      <c r="N159" s="6">
        <f>'Results - raw data ReCiPe (E)'!BO32</f>
        <v>117.9174008500527</v>
      </c>
      <c r="O159" s="6">
        <f>'Results - raw data ReCiPe (E)'!BP32</f>
        <v>117.8214902239839</v>
      </c>
      <c r="P159" s="6">
        <f>'Results - raw data ReCiPe (E)'!BQ32</f>
        <v>117.8683266201745</v>
      </c>
      <c r="Q159" s="6">
        <f>'Results - raw data ReCiPe (E)'!BR32</f>
        <v>117.9147244662052</v>
      </c>
      <c r="R159" s="6">
        <f>'Results - raw data ReCiPe (E)'!BS32</f>
        <v>117.8617819757314</v>
      </c>
      <c r="S159" s="6">
        <f>'Results - raw data ReCiPe (E)'!BT32</f>
        <v>117.8082404614688</v>
      </c>
      <c r="T159" s="6">
        <f>'Results - raw data ReCiPe (E)'!BU32</f>
        <v>117.61608634126139</v>
      </c>
      <c r="U159" s="6">
        <f>'Results - raw data ReCiPe (E)'!BV32</f>
        <v>117.5629913213542</v>
      </c>
      <c r="V159" s="6">
        <f>'Results - raw data ReCiPe (E)'!BW32</f>
        <v>117.5093695431686</v>
      </c>
      <c r="W159" s="6">
        <f>'Results - raw data ReCiPe (E)'!BX32</f>
        <v>117.44781323215599</v>
      </c>
      <c r="X159" s="6">
        <f>'Results - raw data ReCiPe (E)'!BY32</f>
        <v>117.3865059684325</v>
      </c>
      <c r="Y159" s="6">
        <f>'Results - raw data ReCiPe (E)'!BZ32</f>
        <v>117.3252887888865</v>
      </c>
      <c r="Z159" s="6">
        <f>'Results - raw data ReCiPe (E)'!CA32</f>
        <v>117.264158753236</v>
      </c>
    </row>
    <row r="160" spans="1:53" outlineLevel="1" x14ac:dyDescent="0.35">
      <c r="A160" s="6" t="s">
        <v>758</v>
      </c>
      <c r="B160" s="6">
        <f>'Results - raw data ReCiPe (E)'!BC33*$AC$128</f>
        <v>213.7561645339245</v>
      </c>
      <c r="C160" s="6">
        <f>'Results - raw data ReCiPe (E)'!BD33*$AC$128</f>
        <v>214.11317364597031</v>
      </c>
      <c r="D160" s="6">
        <f>'Results - raw data ReCiPe (E)'!BE33*$AC$128</f>
        <v>214.47341165806512</v>
      </c>
      <c r="E160" s="6">
        <f>'Results - raw data ReCiPe (E)'!BF33*$AC$128</f>
        <v>214.46251116288622</v>
      </c>
      <c r="F160" s="6">
        <f>'Results - raw data ReCiPe (E)'!BG33*$AC$128</f>
        <v>214.83388134716211</v>
      </c>
      <c r="G160" s="6">
        <f>'Results - raw data ReCiPe (E)'!BH33*$AC$128</f>
        <v>215.20812374772089</v>
      </c>
      <c r="H160" s="6">
        <f>'Results - raw data ReCiPe (E)'!BI33*$AC$128</f>
        <v>221.66170122876531</v>
      </c>
      <c r="I160" s="6">
        <f>'Results - raw data ReCiPe (E)'!BJ33*$AC$128</f>
        <v>228.08739714241969</v>
      </c>
      <c r="J160" s="6">
        <f>'Results - raw data ReCiPe (E)'!BK33*$AC$128</f>
        <v>234.21005826383578</v>
      </c>
      <c r="K160" s="6">
        <f>'Results - raw data ReCiPe (E)'!BL33*$AC$128</f>
        <v>240.59224526784581</v>
      </c>
      <c r="L160" s="6">
        <f>'Results - raw data ReCiPe (E)'!BM33*$AC$128</f>
        <v>246.94875172326101</v>
      </c>
      <c r="M160" s="6">
        <f>'Results - raw data ReCiPe (E)'!BN33*$AC$128</f>
        <v>254.07462545926279</v>
      </c>
      <c r="N160" s="6">
        <f>'Results - raw data ReCiPe (E)'!BO33*$AC$128</f>
        <v>261.19243499886392</v>
      </c>
      <c r="O160" s="6">
        <f>'Results - raw data ReCiPe (E)'!BP33*$AC$128</f>
        <v>268.23816375017429</v>
      </c>
      <c r="P160" s="6">
        <f>'Results - raw data ReCiPe (E)'!BQ33*$AC$128</f>
        <v>275.33963760225271</v>
      </c>
      <c r="Q160" s="6">
        <f>'Results - raw data ReCiPe (E)'!BR33*$AC$128</f>
        <v>282.43183756937771</v>
      </c>
      <c r="R160" s="6">
        <f>'Results - raw data ReCiPe (E)'!BS33*$AC$128</f>
        <v>289.44400481244838</v>
      </c>
      <c r="S160" s="6">
        <f>'Results - raw data ReCiPe (E)'!BT33*$AC$128</f>
        <v>296.44474292503941</v>
      </c>
      <c r="T160" s="6">
        <f>'Results - raw data ReCiPe (E)'!BU33*$AC$128</f>
        <v>303.37780162099631</v>
      </c>
      <c r="U160" s="6">
        <f>'Results - raw data ReCiPe (E)'!BV33*$AC$128</f>
        <v>310.36040504167272</v>
      </c>
      <c r="V160" s="6">
        <f>'Results - raw data ReCiPe (E)'!BW33*$AC$128</f>
        <v>317.3344517929184</v>
      </c>
      <c r="W160" s="6">
        <f>'Results - raw data ReCiPe (E)'!BX33*$AC$128</f>
        <v>315.12577015084941</v>
      </c>
      <c r="X160" s="6">
        <f>'Results - raw data ReCiPe (E)'!BY33*$AC$128</f>
        <v>312.93130103149196</v>
      </c>
      <c r="Y160" s="6">
        <f>'Results - raw data ReCiPe (E)'!BZ33*$AC$128</f>
        <v>310.74231942013807</v>
      </c>
      <c r="Z160" s="6">
        <f>'Results - raw data ReCiPe (E)'!CA33*$AC$128</f>
        <v>308.55861400518438</v>
      </c>
    </row>
    <row r="161" spans="1:53" outlineLevel="1" x14ac:dyDescent="0.35">
      <c r="A161" s="6" t="s">
        <v>759</v>
      </c>
      <c r="B161" s="6">
        <f>'Results - raw data ReCiPe (E)'!BC34</f>
        <v>0</v>
      </c>
      <c r="C161" s="6">
        <f>'Results - raw data ReCiPe (E)'!BD34</f>
        <v>0</v>
      </c>
      <c r="D161" s="6">
        <f>'Results - raw data ReCiPe (E)'!BE34</f>
        <v>0</v>
      </c>
      <c r="E161" s="6">
        <f>'Results - raw data ReCiPe (E)'!BF34</f>
        <v>0</v>
      </c>
      <c r="F161" s="6">
        <f>'Results - raw data ReCiPe (E)'!BG34</f>
        <v>0</v>
      </c>
      <c r="G161" s="6">
        <f>'Results - raw data ReCiPe (E)'!BH34</f>
        <v>0</v>
      </c>
      <c r="H161" s="6">
        <f>'Results - raw data ReCiPe (E)'!BI34</f>
        <v>0</v>
      </c>
      <c r="I161" s="6">
        <f>'Results - raw data ReCiPe (E)'!BJ34</f>
        <v>0</v>
      </c>
      <c r="J161" s="6">
        <f>'Results - raw data ReCiPe (E)'!BK34</f>
        <v>0</v>
      </c>
      <c r="K161" s="6">
        <f>'Results - raw data ReCiPe (E)'!BL34</f>
        <v>0</v>
      </c>
      <c r="L161" s="6">
        <f>'Results - raw data ReCiPe (E)'!BM34</f>
        <v>0</v>
      </c>
      <c r="M161" s="6">
        <f>'Results - raw data ReCiPe (E)'!BN34</f>
        <v>0</v>
      </c>
      <c r="N161" s="6">
        <f>'Results - raw data ReCiPe (E)'!BO34</f>
        <v>0</v>
      </c>
      <c r="O161" s="6">
        <f>'Results - raw data ReCiPe (E)'!BP34</f>
        <v>0</v>
      </c>
      <c r="P161" s="6">
        <f>'Results - raw data ReCiPe (E)'!BQ34</f>
        <v>0</v>
      </c>
      <c r="Q161" s="6">
        <f>'Results - raw data ReCiPe (E)'!BR34</f>
        <v>0</v>
      </c>
      <c r="R161" s="6">
        <f>'Results - raw data ReCiPe (E)'!BS34</f>
        <v>0</v>
      </c>
      <c r="S161" s="6">
        <f>'Results - raw data ReCiPe (E)'!BT34</f>
        <v>0</v>
      </c>
      <c r="T161" s="6">
        <f>'Results - raw data ReCiPe (E)'!BU34</f>
        <v>0</v>
      </c>
      <c r="U161" s="6">
        <f>'Results - raw data ReCiPe (E)'!BV34</f>
        <v>0</v>
      </c>
      <c r="V161" s="6">
        <f>'Results - raw data ReCiPe (E)'!BW34</f>
        <v>0</v>
      </c>
      <c r="W161" s="6">
        <f>'Results - raw data ReCiPe (E)'!BX34</f>
        <v>0</v>
      </c>
      <c r="X161" s="6">
        <f>'Results - raw data ReCiPe (E)'!BY34</f>
        <v>0</v>
      </c>
      <c r="Y161" s="6">
        <f>'Results - raw data ReCiPe (E)'!BZ34</f>
        <v>0</v>
      </c>
      <c r="Z161" s="6">
        <f>'Results - raw data ReCiPe (E)'!CA34</f>
        <v>0</v>
      </c>
    </row>
    <row r="162" spans="1:53" outlineLevel="1" x14ac:dyDescent="0.35">
      <c r="A162" s="6" t="s">
        <v>760</v>
      </c>
      <c r="B162" s="6">
        <f>150000*($AC$129*'Results - raw data ReCiPe (E)'!BC114+(1-'Results ReCiPe (E) - HHD'!$AC$129)*'Results - raw data ReCiPe (E)'!BC115)</f>
        <v>2116.289847013235</v>
      </c>
      <c r="C162" s="6">
        <f>150000*($AC$129*'Results - raw data ReCiPe (E)'!BD114+(1-'Results ReCiPe (E) - HHD'!$AC$129)*'Results - raw data ReCiPe (E)'!BD115)</f>
        <v>2122.9016157887113</v>
      </c>
      <c r="D162" s="6">
        <f>150000*($AC$129*'Results - raw data ReCiPe (E)'!BE114+(1-'Results ReCiPe (E) - HHD'!$AC$129)*'Results - raw data ReCiPe (E)'!BE115)</f>
        <v>2129.5768882130174</v>
      </c>
      <c r="E162" s="6">
        <f>150000*($AC$129*'Results - raw data ReCiPe (E)'!BF114+(1-'Results ReCiPe (E) - HHD'!$AC$129)*'Results - raw data ReCiPe (E)'!BF115)</f>
        <v>2132.4528914535163</v>
      </c>
      <c r="F162" s="6">
        <f>150000*($AC$129*'Results - raw data ReCiPe (E)'!BG114+(1-'Results ReCiPe (E) - HHD'!$AC$129)*'Results - raw data ReCiPe (E)'!BG115)</f>
        <v>2139.3010850810715</v>
      </c>
      <c r="G162" s="6">
        <f>150000*($AC$129*'Results - raw data ReCiPe (E)'!BH114+(1-'Results ReCiPe (E) - HHD'!$AC$129)*'Results - raw data ReCiPe (E)'!BH115)</f>
        <v>2146.2098384335004</v>
      </c>
      <c r="H162" s="6">
        <f>150000*($AC$129*'Results - raw data ReCiPe (E)'!BI114+(1-'Results ReCiPe (E) - HHD'!$AC$129)*'Results - raw data ReCiPe (E)'!BI115)</f>
        <v>2213.8572577561599</v>
      </c>
      <c r="I162" s="6">
        <f>150000*($AC$129*'Results - raw data ReCiPe (E)'!BJ114+(1-'Results ReCiPe (E) - HHD'!$AC$129)*'Results - raw data ReCiPe (E)'!BJ115)</f>
        <v>2281.4212029230348</v>
      </c>
      <c r="J162" s="6">
        <f>150000*($AC$129*'Results - raw data ReCiPe (E)'!BK114+(1-'Results ReCiPe (E) - HHD'!$AC$129)*'Results - raw data ReCiPe (E)'!BK115)</f>
        <v>2346.0758204056456</v>
      </c>
      <c r="K162" s="6">
        <f>150000*($AC$129*'Results - raw data ReCiPe (E)'!BL114+(1-'Results ReCiPe (E) - HHD'!$AC$129)*'Results - raw data ReCiPe (E)'!BL115)</f>
        <v>2413.5923548032447</v>
      </c>
      <c r="L162" s="6">
        <f>150000*($AC$129*'Results - raw data ReCiPe (E)'!BM114+(1-'Results ReCiPe (E) - HHD'!$AC$129)*'Results - raw data ReCiPe (E)'!BM115)</f>
        <v>2481.0454639238724</v>
      </c>
      <c r="M162" s="6">
        <f>150000*($AC$129*'Results - raw data ReCiPe (E)'!BN114+(1-'Results ReCiPe (E) - HHD'!$AC$129)*'Results - raw data ReCiPe (E)'!BN115)</f>
        <v>2555.7630418984786</v>
      </c>
      <c r="N162" s="6">
        <f>150000*($AC$129*'Results - raw data ReCiPe (E)'!BO114+(1-'Results ReCiPe (E) - HHD'!$AC$129)*'Results - raw data ReCiPe (E)'!BO115)</f>
        <v>2630.5725238979298</v>
      </c>
      <c r="O162" s="6">
        <f>150000*($AC$129*'Results - raw data ReCiPe (E)'!BP114+(1-'Results ReCiPe (E) - HHD'!$AC$129)*'Results - raw data ReCiPe (E)'!BP115)</f>
        <v>2704.8146953080491</v>
      </c>
      <c r="P162" s="6">
        <f>150000*($AC$129*'Results - raw data ReCiPe (E)'!BQ114+(1-'Results ReCiPe (E) - HHD'!$AC$129)*'Results - raw data ReCiPe (E)'!BQ115)</f>
        <v>2779.8052944123051</v>
      </c>
      <c r="Q162" s="6">
        <f>150000*($AC$129*'Results - raw data ReCiPe (E)'!BR114+(1-'Results ReCiPe (E) - HHD'!$AC$129)*'Results - raw data ReCiPe (E)'!BR115)</f>
        <v>2854.8779257908232</v>
      </c>
      <c r="R162" s="6">
        <f>150000*($AC$129*'Results - raw data ReCiPe (E)'!BS114+(1-'Results ReCiPe (E) - HHD'!$AC$129)*'Results - raw data ReCiPe (E)'!BS115)</f>
        <v>2928.9877994678077</v>
      </c>
      <c r="S162" s="6">
        <f>150000*($AC$129*'Results - raw data ReCiPe (E)'!BT114+(1-'Results ReCiPe (E) - HHD'!$AC$129)*'Results - raw data ReCiPe (E)'!BT115)</f>
        <v>3003.1252391554749</v>
      </c>
      <c r="T162" s="6">
        <f>150000*($AC$129*'Results - raw data ReCiPe (E)'!BU114+(1-'Results ReCiPe (E) - HHD'!$AC$129)*'Results - raw data ReCiPe (E)'!BU115)</f>
        <v>3076.7075126061786</v>
      </c>
      <c r="U162" s="6">
        <f>150000*($AC$129*'Results - raw data ReCiPe (E)'!BV114+(1-'Results ReCiPe (E) - HHD'!$AC$129)*'Results - raw data ReCiPe (E)'!BV115)</f>
        <v>3150.9483728810769</v>
      </c>
      <c r="V162" s="6">
        <f>150000*($AC$129*'Results - raw data ReCiPe (E)'!BW114+(1-'Results ReCiPe (E) - HHD'!$AC$129)*'Results - raw data ReCiPe (E)'!BW115)</f>
        <v>3225.2464317275972</v>
      </c>
      <c r="W162" s="6">
        <f>150000*($AC$129*'Results - raw data ReCiPe (E)'!BX114+(1-'Results ReCiPe (E) - HHD'!$AC$129)*'Results - raw data ReCiPe (E)'!BX115)</f>
        <v>3208.614576597211</v>
      </c>
      <c r="X162" s="6">
        <f>150000*($AC$129*'Results - raw data ReCiPe (E)'!BY114+(1-'Results ReCiPe (E) - HHD'!$AC$129)*'Results - raw data ReCiPe (E)'!BY115)</f>
        <v>3192.0143471350057</v>
      </c>
      <c r="Y162" s="6">
        <f>150000*($AC$129*'Results - raw data ReCiPe (E)'!BZ114+(1-'Results ReCiPe (E) - HHD'!$AC$129)*'Results - raw data ReCiPe (E)'!BZ115)</f>
        <v>3175.4041792718867</v>
      </c>
      <c r="Z162" s="6">
        <f>150000*($AC$129*'Results - raw data ReCiPe (E)'!CA114+(1-'Results ReCiPe (E) - HHD'!$AC$129)*'Results - raw data ReCiPe (E)'!CA115)</f>
        <v>3158.7828534003756</v>
      </c>
    </row>
    <row r="163" spans="1:53" outlineLevel="1" x14ac:dyDescent="0.35">
      <c r="A163" s="23" t="s">
        <v>125</v>
      </c>
      <c r="B163" s="17">
        <f t="shared" ref="B163:Z163" si="18">SUM(B132:B162)</f>
        <v>5686.6001960436934</v>
      </c>
      <c r="C163" s="17">
        <f t="shared" si="18"/>
        <v>2456.1622832937305</v>
      </c>
      <c r="D163" s="17">
        <f t="shared" si="18"/>
        <v>2463.155306370013</v>
      </c>
      <c r="E163" s="17">
        <f t="shared" si="18"/>
        <v>2465.287299194641</v>
      </c>
      <c r="F163" s="17">
        <f t="shared" si="18"/>
        <v>2472.466526742146</v>
      </c>
      <c r="G163" s="17">
        <f t="shared" si="18"/>
        <v>2479.7094056814726</v>
      </c>
      <c r="H163" s="17">
        <f t="shared" si="18"/>
        <v>2553.8098454220462</v>
      </c>
      <c r="I163" s="17">
        <f t="shared" si="18"/>
        <v>2627.7990010016206</v>
      </c>
      <c r="J163" s="17">
        <f t="shared" si="18"/>
        <v>2698.1050145194758</v>
      </c>
      <c r="K163" s="17">
        <f t="shared" si="18"/>
        <v>2772.0067085260771</v>
      </c>
      <c r="L163" s="17">
        <f t="shared" si="18"/>
        <v>2845.8193152968615</v>
      </c>
      <c r="M163" s="17">
        <f t="shared" si="18"/>
        <v>2927.7091238276298</v>
      </c>
      <c r="N163" s="17">
        <f t="shared" si="18"/>
        <v>3009.6823597468465</v>
      </c>
      <c r="O163" s="17">
        <f t="shared" si="18"/>
        <v>3090.8743492822073</v>
      </c>
      <c r="P163" s="17">
        <f t="shared" si="18"/>
        <v>3173.0132586347322</v>
      </c>
      <c r="Q163" s="17">
        <f t="shared" si="18"/>
        <v>3255.2244878264059</v>
      </c>
      <c r="R163" s="17">
        <f t="shared" si="18"/>
        <v>3336.2935862559875</v>
      </c>
      <c r="S163" s="17">
        <f t="shared" si="18"/>
        <v>3417.3782225419832</v>
      </c>
      <c r="T163" s="17">
        <f t="shared" si="18"/>
        <v>3497.7014005684364</v>
      </c>
      <c r="U163" s="17">
        <f t="shared" si="18"/>
        <v>3578.8717692441037</v>
      </c>
      <c r="V163" s="17">
        <f t="shared" si="18"/>
        <v>3660.090253063684</v>
      </c>
      <c r="W163" s="17">
        <f t="shared" si="18"/>
        <v>3641.1881599802164</v>
      </c>
      <c r="X163" s="17">
        <f t="shared" si="18"/>
        <v>3622.3321541349301</v>
      </c>
      <c r="Y163" s="17">
        <f t="shared" si="18"/>
        <v>3603.4717874809112</v>
      </c>
      <c r="Z163" s="17">
        <f t="shared" si="18"/>
        <v>3632.1191355522287</v>
      </c>
    </row>
    <row r="164" spans="1:53" outlineLevel="1" x14ac:dyDescent="0.35"/>
    <row r="165" spans="1:53" s="18" customFormat="1" ht="21" x14ac:dyDescent="0.5">
      <c r="A165" s="18" t="s">
        <v>73</v>
      </c>
    </row>
    <row r="166" spans="1:53" s="20" customFormat="1" outlineLevel="1" x14ac:dyDescent="0.35">
      <c r="A166" s="19" t="s">
        <v>766</v>
      </c>
    </row>
    <row r="167" spans="1:53" s="16" customFormat="1" outlineLevel="1" x14ac:dyDescent="0.35">
      <c r="A167" s="21"/>
      <c r="AE167" s="15"/>
    </row>
    <row r="168" spans="1:53" s="16" customFormat="1" outlineLevel="1" x14ac:dyDescent="0.35">
      <c r="A168" s="22" t="s">
        <v>761</v>
      </c>
    </row>
    <row r="169" spans="1:53" s="16" customFormat="1" outlineLevel="1" x14ac:dyDescent="0.35">
      <c r="A169" s="22"/>
      <c r="AB169" s="16" t="s">
        <v>127</v>
      </c>
      <c r="AC169" s="16">
        <v>100</v>
      </c>
      <c r="AD169" s="16" t="s">
        <v>128</v>
      </c>
    </row>
    <row r="170" spans="1:53" s="16" customFormat="1" outlineLevel="1" x14ac:dyDescent="0.35">
      <c r="A170" s="230" t="s">
        <v>768</v>
      </c>
      <c r="AB170" s="16" t="s">
        <v>20</v>
      </c>
      <c r="AC170" s="16">
        <v>0.23</v>
      </c>
      <c r="AD170" s="16" t="s">
        <v>715</v>
      </c>
    </row>
    <row r="171" spans="1:53" s="16" customFormat="1" outlineLevel="1" x14ac:dyDescent="0.35">
      <c r="A171" s="22"/>
      <c r="AB171" s="16" t="s">
        <v>129</v>
      </c>
      <c r="AC171" s="16">
        <v>25</v>
      </c>
      <c r="AD171" s="16" t="s">
        <v>130</v>
      </c>
    </row>
    <row r="172" spans="1:53" outlineLevel="1" x14ac:dyDescent="0.35">
      <c r="B172" s="25">
        <v>2030</v>
      </c>
      <c r="C172" s="25">
        <v>2031</v>
      </c>
      <c r="D172" s="25">
        <v>2032</v>
      </c>
      <c r="E172" s="25">
        <v>2033</v>
      </c>
      <c r="F172" s="25">
        <v>2034</v>
      </c>
      <c r="G172" s="25">
        <v>2035</v>
      </c>
      <c r="H172" s="25">
        <v>2036</v>
      </c>
      <c r="I172" s="25">
        <v>2037</v>
      </c>
      <c r="J172" s="25">
        <v>2038</v>
      </c>
      <c r="K172" s="25">
        <v>2039</v>
      </c>
      <c r="L172" s="25">
        <v>2040</v>
      </c>
      <c r="M172" s="25">
        <v>2041</v>
      </c>
      <c r="N172" s="25">
        <v>2042</v>
      </c>
      <c r="O172" s="25">
        <v>2043</v>
      </c>
      <c r="P172" s="25">
        <v>2044</v>
      </c>
      <c r="Q172" s="25">
        <v>2045</v>
      </c>
      <c r="R172" s="25">
        <v>2046</v>
      </c>
      <c r="S172" s="25">
        <v>2047</v>
      </c>
      <c r="T172" s="25">
        <v>2048</v>
      </c>
      <c r="U172" s="25">
        <v>2049</v>
      </c>
      <c r="V172" s="25">
        <v>2050</v>
      </c>
      <c r="W172" s="25">
        <v>2051</v>
      </c>
      <c r="X172" s="25">
        <v>2052</v>
      </c>
      <c r="Y172" s="25">
        <v>2053</v>
      </c>
      <c r="Z172" s="25">
        <v>2054</v>
      </c>
      <c r="AC172" s="25">
        <v>2030</v>
      </c>
      <c r="AD172" s="25">
        <v>2031</v>
      </c>
      <c r="AE172" s="25">
        <v>2032</v>
      </c>
      <c r="AF172" s="25">
        <v>2033</v>
      </c>
      <c r="AG172" s="25">
        <v>2034</v>
      </c>
      <c r="AH172" s="25">
        <v>2035</v>
      </c>
      <c r="AI172" s="25">
        <v>2036</v>
      </c>
      <c r="AJ172" s="25">
        <v>2037</v>
      </c>
      <c r="AK172" s="25">
        <v>2038</v>
      </c>
      <c r="AL172" s="25">
        <v>2039</v>
      </c>
      <c r="AM172" s="25">
        <v>2040</v>
      </c>
      <c r="AN172" s="25">
        <v>2041</v>
      </c>
      <c r="AO172" s="25">
        <v>2042</v>
      </c>
      <c r="AP172" s="25">
        <v>2043</v>
      </c>
      <c r="AQ172" s="25">
        <v>2044</v>
      </c>
      <c r="AR172" s="25">
        <v>2045</v>
      </c>
      <c r="AS172" s="25">
        <v>2046</v>
      </c>
      <c r="AT172" s="25">
        <v>2047</v>
      </c>
      <c r="AU172" s="25">
        <v>2048</v>
      </c>
      <c r="AV172" s="25">
        <v>2049</v>
      </c>
      <c r="AW172" s="25">
        <v>2050</v>
      </c>
      <c r="AX172" s="25">
        <v>2051</v>
      </c>
      <c r="AY172" s="25">
        <v>2052</v>
      </c>
      <c r="AZ172" s="25">
        <v>2053</v>
      </c>
      <c r="BA172" s="25">
        <v>2054</v>
      </c>
    </row>
    <row r="173" spans="1:53" outlineLevel="1" x14ac:dyDescent="0.35">
      <c r="A173" s="6" t="s">
        <v>21</v>
      </c>
      <c r="B173" s="6">
        <f>'Results - raw data ReCiPe (E)'!BC41</f>
        <v>75.549006646233693</v>
      </c>
      <c r="AB173" s="6" t="s">
        <v>117</v>
      </c>
      <c r="AC173" s="6">
        <f>SUM(B173:B184)+B186</f>
        <v>2892.6593074930947</v>
      </c>
    </row>
    <row r="174" spans="1:53" outlineLevel="1" x14ac:dyDescent="0.35">
      <c r="A174" s="6" t="s">
        <v>23</v>
      </c>
      <c r="B174" s="6">
        <f>'Results - raw data ReCiPe (E)'!BC42</f>
        <v>315.279997833935</v>
      </c>
      <c r="AB174" s="6" t="s">
        <v>118</v>
      </c>
      <c r="AC174" s="6">
        <f>B185</f>
        <v>268.94629988832151</v>
      </c>
    </row>
    <row r="175" spans="1:53" outlineLevel="1" x14ac:dyDescent="0.35">
      <c r="A175" s="6" t="s">
        <v>26</v>
      </c>
      <c r="B175" s="6">
        <f>'Results - raw data ReCiPe (E)'!BC43</f>
        <v>318.13655504746191</v>
      </c>
      <c r="AB175" s="6" t="s">
        <v>119</v>
      </c>
      <c r="BA175" s="6">
        <f>SUM(Z187:Z198)</f>
        <v>41.824707218963411</v>
      </c>
    </row>
    <row r="176" spans="1:53" outlineLevel="1" x14ac:dyDescent="0.35">
      <c r="A176" s="6" t="s">
        <v>28</v>
      </c>
      <c r="B176" s="6">
        <f>'Results - raw data ReCiPe (E)'!BC44</f>
        <v>247.39685044349511</v>
      </c>
      <c r="AB176" s="6" t="s">
        <v>120</v>
      </c>
      <c r="BA176" s="6">
        <f>Z199</f>
        <v>1.2970170042936588</v>
      </c>
    </row>
    <row r="177" spans="1:53" outlineLevel="1" x14ac:dyDescent="0.35">
      <c r="A177" s="6" t="s">
        <v>29</v>
      </c>
      <c r="B177" s="6">
        <f>'Results - raw data ReCiPe (E)'!BC45</f>
        <v>123.04843891538729</v>
      </c>
      <c r="AB177" s="6" t="s">
        <v>121</v>
      </c>
      <c r="AC177" s="6">
        <f>B200</f>
        <v>118.1438789925995</v>
      </c>
      <c r="AF177" s="6">
        <f>E200</f>
        <v>116.6612753102726</v>
      </c>
      <c r="AI177" s="6">
        <f>H200</f>
        <v>116.18081695012491</v>
      </c>
      <c r="AL177" s="6">
        <f>K200</f>
        <v>115.90171224187471</v>
      </c>
      <c r="AO177" s="6">
        <f>N200</f>
        <v>115.3805853817795</v>
      </c>
      <c r="AR177" s="6">
        <f>Q200</f>
        <v>114.3803047375598</v>
      </c>
      <c r="AU177" s="6">
        <f>T200</f>
        <v>113.57035329969089</v>
      </c>
      <c r="AX177" s="6">
        <f>W200</f>
        <v>113.03996369373409</v>
      </c>
      <c r="BA177" s="6">
        <f>Z200</f>
        <v>112.7955257307044</v>
      </c>
    </row>
    <row r="178" spans="1:53" outlineLevel="1" x14ac:dyDescent="0.35">
      <c r="A178" s="6" t="s">
        <v>31</v>
      </c>
      <c r="B178" s="6">
        <f>'Results - raw data ReCiPe (E)'!BC46</f>
        <v>86.986946654413728</v>
      </c>
      <c r="AB178" s="6" t="s">
        <v>122</v>
      </c>
      <c r="AC178" s="6">
        <f>B203+B202</f>
        <v>2086.3209732763257</v>
      </c>
      <c r="AD178" s="6">
        <f t="shared" ref="AD178:AV178" si="19">C203+C202</f>
        <v>2047.3340524605596</v>
      </c>
      <c r="AE178" s="6">
        <f t="shared" si="19"/>
        <v>2008.3394494699369</v>
      </c>
      <c r="AF178" s="6">
        <f t="shared" si="19"/>
        <v>1965.2251979460416</v>
      </c>
      <c r="AG178" s="6">
        <f t="shared" si="19"/>
        <v>1926.2240180532576</v>
      </c>
      <c r="AH178" s="6">
        <f t="shared" si="19"/>
        <v>1887.2064413753837</v>
      </c>
      <c r="AI178" s="6">
        <f t="shared" si="19"/>
        <v>1874.7814418270834</v>
      </c>
      <c r="AJ178" s="6">
        <f t="shared" si="19"/>
        <v>1862.2954756629422</v>
      </c>
      <c r="AK178" s="6">
        <f t="shared" si="19"/>
        <v>1846.2360516788378</v>
      </c>
      <c r="AL178" s="6">
        <f t="shared" si="19"/>
        <v>1833.4489611262086</v>
      </c>
      <c r="AM178" s="6">
        <f t="shared" si="19"/>
        <v>1820.516821870714</v>
      </c>
      <c r="AN178" s="6">
        <f t="shared" si="19"/>
        <v>1806.3383690792407</v>
      </c>
      <c r="AO178" s="6">
        <f t="shared" si="19"/>
        <v>1791.9510686927595</v>
      </c>
      <c r="AP178" s="6">
        <f t="shared" si="19"/>
        <v>1776.5210107493642</v>
      </c>
      <c r="AQ178" s="6">
        <f t="shared" si="19"/>
        <v>1761.7276989750646</v>
      </c>
      <c r="AR178" s="6">
        <f t="shared" si="19"/>
        <v>1746.727365901269</v>
      </c>
      <c r="AS178" s="6">
        <f t="shared" si="19"/>
        <v>1757.7545632323049</v>
      </c>
      <c r="AT178" s="6">
        <f t="shared" si="19"/>
        <v>1768.579634759458</v>
      </c>
      <c r="AU178" s="6">
        <f t="shared" si="19"/>
        <v>1778.3881283605006</v>
      </c>
      <c r="AV178" s="6">
        <f t="shared" si="19"/>
        <v>1788.8210528453631</v>
      </c>
      <c r="AW178" s="6">
        <f>V203</f>
        <v>1799.0567333895788</v>
      </c>
      <c r="AX178" s="6">
        <f>W203</f>
        <v>1783.5971212029935</v>
      </c>
      <c r="AY178" s="6">
        <f>X203</f>
        <v>1768.1434829277343</v>
      </c>
      <c r="AZ178" s="6">
        <f>Y203</f>
        <v>1752.6252380764649</v>
      </c>
      <c r="BA178" s="6">
        <f>Z203</f>
        <v>1737.0398172491941</v>
      </c>
    </row>
    <row r="179" spans="1:53" outlineLevel="1" x14ac:dyDescent="0.35">
      <c r="A179" s="6" t="s">
        <v>34</v>
      </c>
      <c r="B179" s="6">
        <f>'Results - raw data ReCiPe (E)'!BC47</f>
        <v>58.68274634077617</v>
      </c>
      <c r="AB179" s="6" t="s">
        <v>123</v>
      </c>
      <c r="AC179" s="6">
        <f t="shared" ref="AC179:BA179" si="20">B201</f>
        <v>209.82451198193323</v>
      </c>
      <c r="AD179" s="6">
        <f t="shared" si="20"/>
        <v>205.48036128128339</v>
      </c>
      <c r="AE179" s="6">
        <f t="shared" si="20"/>
        <v>201.15285872716223</v>
      </c>
      <c r="AF179" s="6">
        <f t="shared" si="20"/>
        <v>196.44333568935838</v>
      </c>
      <c r="AG179" s="6">
        <f t="shared" si="20"/>
        <v>192.1504554775475</v>
      </c>
      <c r="AH179" s="6">
        <f t="shared" si="20"/>
        <v>187.8735307757506</v>
      </c>
      <c r="AI179" s="6">
        <f t="shared" si="20"/>
        <v>186.47687266799079</v>
      </c>
      <c r="AJ179" s="6">
        <f t="shared" si="20"/>
        <v>185.0736871027072</v>
      </c>
      <c r="AK179" s="6">
        <f t="shared" si="20"/>
        <v>183.3232119602765</v>
      </c>
      <c r="AL179" s="6">
        <f t="shared" si="20"/>
        <v>181.89397044240309</v>
      </c>
      <c r="AM179" s="6">
        <f t="shared" si="20"/>
        <v>180.4530064825768</v>
      </c>
      <c r="AN179" s="6">
        <f t="shared" si="20"/>
        <v>179.04680271808618</v>
      </c>
      <c r="AO179" s="6">
        <f t="shared" si="20"/>
        <v>177.62058944472989</v>
      </c>
      <c r="AP179" s="6">
        <f t="shared" si="20"/>
        <v>176.0933076153398</v>
      </c>
      <c r="AQ179" s="6">
        <f t="shared" si="20"/>
        <v>174.62823636389751</v>
      </c>
      <c r="AR179" s="6">
        <f t="shared" si="20"/>
        <v>173.143376251067</v>
      </c>
      <c r="AS179" s="6">
        <f t="shared" si="20"/>
        <v>174.48968301639979</v>
      </c>
      <c r="AT179" s="6">
        <f t="shared" si="20"/>
        <v>175.82230446217719</v>
      </c>
      <c r="AU179" s="6">
        <f t="shared" si="20"/>
        <v>177.06192702385232</v>
      </c>
      <c r="AV179" s="6">
        <f t="shared" si="20"/>
        <v>178.36763237471001</v>
      </c>
      <c r="AW179" s="6">
        <f t="shared" si="20"/>
        <v>179.65989267916379</v>
      </c>
      <c r="AX179" s="6">
        <f t="shared" si="20"/>
        <v>177.88713351427302</v>
      </c>
      <c r="AY179" s="6">
        <f t="shared" si="20"/>
        <v>176.1233199962833</v>
      </c>
      <c r="AZ179" s="6">
        <f t="shared" si="20"/>
        <v>174.3578522616161</v>
      </c>
      <c r="BA179" s="6">
        <f t="shared" si="20"/>
        <v>172.5904260858679</v>
      </c>
    </row>
    <row r="180" spans="1:53" outlineLevel="1" x14ac:dyDescent="0.35">
      <c r="A180" s="6" t="s">
        <v>36</v>
      </c>
      <c r="B180" s="6">
        <f>'Results - raw data ReCiPe (E)'!BC48</f>
        <v>61.417377484540921</v>
      </c>
      <c r="AB180" s="6" t="s">
        <v>124</v>
      </c>
    </row>
    <row r="181" spans="1:53" outlineLevel="1" x14ac:dyDescent="0.35">
      <c r="A181" s="6" t="s">
        <v>38</v>
      </c>
      <c r="B181" s="6">
        <f>'Results - raw data ReCiPe (E)'!BC49</f>
        <v>660.18683262205275</v>
      </c>
      <c r="AB181" s="23" t="s">
        <v>125</v>
      </c>
      <c r="AC181" s="17">
        <f>SUM(AC173:AC180)</f>
        <v>5575.894971632275</v>
      </c>
      <c r="AD181" s="17">
        <f t="shared" ref="AD181:BA181" si="21">SUM(AD173:AD180)</f>
        <v>2252.8144137418431</v>
      </c>
      <c r="AE181" s="17">
        <f t="shared" si="21"/>
        <v>2209.4923081970992</v>
      </c>
      <c r="AF181" s="17">
        <f t="shared" si="21"/>
        <v>2278.3298089456725</v>
      </c>
      <c r="AG181" s="17">
        <f t="shared" si="21"/>
        <v>2118.3744735308051</v>
      </c>
      <c r="AH181" s="17">
        <f t="shared" si="21"/>
        <v>2075.0799721511344</v>
      </c>
      <c r="AI181" s="17">
        <f t="shared" si="21"/>
        <v>2177.4391314451991</v>
      </c>
      <c r="AJ181" s="17">
        <f t="shared" si="21"/>
        <v>2047.3691627656494</v>
      </c>
      <c r="AK181" s="17">
        <f t="shared" si="21"/>
        <v>2029.5592636391143</v>
      </c>
      <c r="AL181" s="17">
        <f t="shared" si="21"/>
        <v>2131.2446438104862</v>
      </c>
      <c r="AM181" s="17">
        <f t="shared" si="21"/>
        <v>2000.9698283532907</v>
      </c>
      <c r="AN181" s="17">
        <f t="shared" si="21"/>
        <v>1985.3851717973268</v>
      </c>
      <c r="AO181" s="17">
        <f t="shared" si="21"/>
        <v>2084.9522435192689</v>
      </c>
      <c r="AP181" s="17">
        <f t="shared" si="21"/>
        <v>1952.6143183647041</v>
      </c>
      <c r="AQ181" s="17">
        <f t="shared" si="21"/>
        <v>1936.3559353389621</v>
      </c>
      <c r="AR181" s="17">
        <f t="shared" si="21"/>
        <v>2034.2510468898956</v>
      </c>
      <c r="AS181" s="17">
        <f t="shared" si="21"/>
        <v>1932.2442462487047</v>
      </c>
      <c r="AT181" s="17">
        <f t="shared" si="21"/>
        <v>1944.4019392216353</v>
      </c>
      <c r="AU181" s="17">
        <f t="shared" si="21"/>
        <v>2069.0204086840436</v>
      </c>
      <c r="AV181" s="17">
        <f t="shared" si="21"/>
        <v>1967.188685220073</v>
      </c>
      <c r="AW181" s="17">
        <f t="shared" si="21"/>
        <v>1978.7166260687425</v>
      </c>
      <c r="AX181" s="17">
        <f t="shared" si="21"/>
        <v>2074.5242184110007</v>
      </c>
      <c r="AY181" s="17">
        <f t="shared" si="21"/>
        <v>1944.2668029240176</v>
      </c>
      <c r="AZ181" s="17">
        <f t="shared" si="21"/>
        <v>1926.983090338081</v>
      </c>
      <c r="BA181" s="17">
        <f t="shared" si="21"/>
        <v>2065.5474932890234</v>
      </c>
    </row>
    <row r="182" spans="1:53" outlineLevel="1" x14ac:dyDescent="0.35">
      <c r="A182" s="6" t="s">
        <v>39</v>
      </c>
      <c r="B182" s="6">
        <f>'Results - raw data ReCiPe (E)'!BC50</f>
        <v>724.53561676640027</v>
      </c>
    </row>
    <row r="183" spans="1:53" outlineLevel="1" x14ac:dyDescent="0.35">
      <c r="A183" s="6" t="s">
        <v>41</v>
      </c>
      <c r="B183" s="6">
        <f>'Results - raw data ReCiPe (E)'!BC51</f>
        <v>53.672827910833327</v>
      </c>
    </row>
    <row r="184" spans="1:53" outlineLevel="1" x14ac:dyDescent="0.35">
      <c r="A184" s="6" t="s">
        <v>43</v>
      </c>
      <c r="B184" s="6">
        <f>'Results - raw data ReCiPe (E)'!BC52</f>
        <v>73.361900432224502</v>
      </c>
      <c r="AB184" s="219"/>
      <c r="AC184" s="219"/>
      <c r="AD184" s="219"/>
      <c r="AE184" s="219"/>
      <c r="AF184" s="219"/>
      <c r="AG184" s="219"/>
      <c r="AH184" s="219"/>
      <c r="AI184" s="219"/>
      <c r="AJ184" s="219"/>
      <c r="AK184" s="219"/>
      <c r="AL184" s="219"/>
      <c r="AM184" s="219"/>
      <c r="AN184" s="219"/>
      <c r="AO184" s="219"/>
      <c r="AP184" s="219"/>
      <c r="AQ184" s="219"/>
      <c r="AR184" s="219"/>
      <c r="AS184" s="219"/>
      <c r="AT184" s="219"/>
      <c r="AU184" s="219"/>
      <c r="AV184" s="219"/>
      <c r="AW184" s="219"/>
      <c r="AX184" s="219"/>
      <c r="AY184" s="219"/>
      <c r="AZ184" s="219"/>
      <c r="BA184" s="219"/>
    </row>
    <row r="185" spans="1:53" outlineLevel="1" x14ac:dyDescent="0.35">
      <c r="A185" s="6" t="s">
        <v>44</v>
      </c>
      <c r="B185" s="6">
        <f>'Results - raw data ReCiPe (E)'!BC53*AC169*AC171</f>
        <v>268.94629988832151</v>
      </c>
      <c r="AB185" s="219"/>
      <c r="AC185" s="219"/>
      <c r="AD185" s="219"/>
      <c r="AE185" s="219"/>
      <c r="AF185" s="219"/>
      <c r="AG185" s="219"/>
      <c r="AH185" s="219"/>
      <c r="AI185" s="219"/>
      <c r="AJ185" s="219"/>
      <c r="AK185" s="219"/>
      <c r="AL185" s="219"/>
      <c r="AM185" s="219"/>
      <c r="AN185" s="219"/>
      <c r="AO185" s="219"/>
      <c r="AP185" s="219"/>
      <c r="AQ185" s="219"/>
      <c r="AR185" s="219"/>
      <c r="AS185" s="219"/>
      <c r="AT185" s="219"/>
      <c r="AU185" s="219"/>
      <c r="AV185" s="219"/>
      <c r="AW185" s="219"/>
      <c r="AX185" s="219"/>
      <c r="AY185" s="219"/>
      <c r="AZ185" s="219"/>
      <c r="BA185" s="219"/>
    </row>
    <row r="186" spans="1:53" outlineLevel="1" x14ac:dyDescent="0.35">
      <c r="A186" s="6" t="s">
        <v>757</v>
      </c>
      <c r="B186" s="6">
        <f>'Results - raw data ReCiPe (E)'!BC54*AC169*AC171</f>
        <v>94.404210395339945</v>
      </c>
      <c r="AB186" s="219"/>
      <c r="AC186" s="219"/>
      <c r="AD186" s="219"/>
      <c r="AE186" s="219"/>
      <c r="AF186" s="219"/>
      <c r="AG186" s="219"/>
      <c r="AH186" s="219"/>
      <c r="AI186" s="219"/>
      <c r="AJ186" s="219"/>
      <c r="AK186" s="219"/>
      <c r="AL186" s="219"/>
      <c r="AM186" s="219"/>
      <c r="AN186" s="219"/>
      <c r="AO186" s="219"/>
      <c r="AP186" s="219"/>
      <c r="AQ186" s="219"/>
      <c r="AR186" s="219"/>
      <c r="AS186" s="219"/>
      <c r="AT186" s="219"/>
      <c r="AU186" s="219"/>
      <c r="AV186" s="219"/>
      <c r="AW186" s="219"/>
      <c r="AX186" s="219"/>
      <c r="AY186" s="219"/>
      <c r="AZ186" s="219"/>
      <c r="BA186" s="219"/>
    </row>
    <row r="187" spans="1:53" outlineLevel="1" x14ac:dyDescent="0.35">
      <c r="A187" s="6" t="s">
        <v>22</v>
      </c>
      <c r="Z187" s="6">
        <f>'Results - raw data ReCiPe (E)'!CA55</f>
        <v>0.32256488079999551</v>
      </c>
      <c r="AB187" s="219"/>
      <c r="AC187" s="219"/>
      <c r="AD187" s="219"/>
      <c r="AE187" s="219"/>
      <c r="AF187" s="219"/>
      <c r="AG187" s="219"/>
      <c r="AH187" s="219"/>
      <c r="AI187" s="219"/>
      <c r="AJ187" s="219"/>
      <c r="AK187" s="219"/>
      <c r="AL187" s="219"/>
      <c r="AM187" s="219"/>
      <c r="AN187" s="219"/>
      <c r="AO187" s="219"/>
      <c r="AP187" s="219"/>
      <c r="AQ187" s="219"/>
      <c r="AR187" s="219"/>
      <c r="AS187" s="219"/>
      <c r="AT187" s="219"/>
      <c r="AU187" s="219"/>
      <c r="AV187" s="219"/>
      <c r="AW187" s="219"/>
      <c r="AX187" s="219"/>
      <c r="AY187" s="219"/>
      <c r="AZ187" s="219"/>
      <c r="BA187" s="219"/>
    </row>
    <row r="188" spans="1:53" outlineLevel="1" x14ac:dyDescent="0.35">
      <c r="A188" s="6" t="s">
        <v>24</v>
      </c>
      <c r="Z188" s="6">
        <f>'Results - raw data ReCiPe (E)'!CA56</f>
        <v>0.3586164175343079</v>
      </c>
      <c r="AB188" s="219"/>
      <c r="AC188" s="219"/>
      <c r="AD188" s="219"/>
      <c r="AE188" s="219"/>
      <c r="AF188" s="219"/>
      <c r="AG188" s="219"/>
      <c r="AH188" s="219"/>
      <c r="AI188" s="219"/>
      <c r="AJ188" s="219"/>
      <c r="AK188" s="219"/>
      <c r="AL188" s="219"/>
      <c r="AM188" s="219"/>
      <c r="AN188" s="219"/>
      <c r="AO188" s="219"/>
      <c r="AP188" s="219"/>
      <c r="AQ188" s="219"/>
      <c r="AR188" s="219"/>
      <c r="AS188" s="219"/>
      <c r="AT188" s="219"/>
      <c r="AU188" s="219"/>
      <c r="AV188" s="219"/>
      <c r="AW188" s="219"/>
      <c r="AX188" s="219"/>
      <c r="AY188" s="219"/>
      <c r="AZ188" s="219"/>
      <c r="BA188" s="219"/>
    </row>
    <row r="189" spans="1:53" outlineLevel="1" x14ac:dyDescent="0.35">
      <c r="A189" s="6" t="s">
        <v>25</v>
      </c>
      <c r="Z189" s="6">
        <f>'Results - raw data ReCiPe (E)'!CA57</f>
        <v>1.632742117781969</v>
      </c>
      <c r="AB189" s="219"/>
      <c r="AC189" s="219"/>
      <c r="AD189" s="219"/>
      <c r="AE189" s="219"/>
      <c r="AF189" s="219"/>
      <c r="AG189" s="219"/>
      <c r="AH189" s="219"/>
      <c r="AI189" s="219"/>
      <c r="AJ189" s="219"/>
      <c r="AK189" s="219"/>
      <c r="AL189" s="219"/>
      <c r="AM189" s="219"/>
      <c r="AN189" s="219"/>
      <c r="AO189" s="219"/>
      <c r="AP189" s="219"/>
      <c r="AQ189" s="219"/>
      <c r="AR189" s="219"/>
      <c r="AS189" s="219"/>
      <c r="AT189" s="219"/>
      <c r="AU189" s="219"/>
      <c r="AV189" s="219"/>
      <c r="AW189" s="219"/>
      <c r="AX189" s="219"/>
      <c r="AY189" s="219"/>
      <c r="AZ189" s="219"/>
      <c r="BA189" s="219"/>
    </row>
    <row r="190" spans="1:53" outlineLevel="1" x14ac:dyDescent="0.35">
      <c r="A190" s="6" t="s">
        <v>27</v>
      </c>
      <c r="Z190" s="6">
        <f>'Results - raw data ReCiPe (E)'!CA58</f>
        <v>0.99804902585087185</v>
      </c>
      <c r="AB190" s="219"/>
      <c r="AC190" s="219"/>
      <c r="AD190" s="219"/>
      <c r="AE190" s="219"/>
      <c r="AF190" s="219"/>
      <c r="AG190" s="219"/>
      <c r="AH190" s="219"/>
      <c r="AI190" s="219"/>
      <c r="AJ190" s="219"/>
      <c r="AK190" s="219"/>
      <c r="AL190" s="219"/>
      <c r="AM190" s="219"/>
      <c r="AN190" s="219"/>
      <c r="AO190" s="219"/>
      <c r="AP190" s="219"/>
      <c r="AQ190" s="219"/>
      <c r="AR190" s="219"/>
      <c r="AS190" s="219"/>
      <c r="AT190" s="219"/>
      <c r="AU190" s="219"/>
      <c r="AV190" s="219"/>
      <c r="AW190" s="219"/>
      <c r="AX190" s="219"/>
      <c r="AY190" s="219"/>
      <c r="AZ190" s="219"/>
      <c r="BA190" s="219"/>
    </row>
    <row r="191" spans="1:53" outlineLevel="1" x14ac:dyDescent="0.35">
      <c r="A191" s="6" t="s">
        <v>30</v>
      </c>
      <c r="Z191" s="6">
        <f>'Results - raw data ReCiPe (E)'!CA59</f>
        <v>0.39579861091332591</v>
      </c>
      <c r="AB191" s="219"/>
      <c r="AC191" s="219"/>
      <c r="AD191" s="219"/>
      <c r="AE191" s="219"/>
      <c r="AF191" s="219"/>
      <c r="AG191" s="219"/>
      <c r="AH191" s="219"/>
      <c r="AI191" s="219"/>
      <c r="AJ191" s="219"/>
      <c r="AK191" s="219"/>
      <c r="AL191" s="219"/>
      <c r="AM191" s="219"/>
      <c r="AN191" s="219"/>
      <c r="AO191" s="219"/>
      <c r="AP191" s="219"/>
      <c r="AQ191" s="219"/>
      <c r="AR191" s="219"/>
      <c r="AS191" s="219"/>
      <c r="AT191" s="219"/>
      <c r="AU191" s="219"/>
      <c r="AV191" s="219"/>
      <c r="AW191" s="219"/>
      <c r="AX191" s="219"/>
      <c r="AY191" s="219"/>
      <c r="AZ191" s="219"/>
      <c r="BA191" s="219"/>
    </row>
    <row r="192" spans="1:53" outlineLevel="1" x14ac:dyDescent="0.35">
      <c r="A192" s="6" t="s">
        <v>32</v>
      </c>
      <c r="Z192" s="6">
        <f>'Results - raw data ReCiPe (E)'!CA60</f>
        <v>0.1772504828934679</v>
      </c>
      <c r="AB192" s="219"/>
      <c r="AC192" s="219"/>
      <c r="AD192" s="219"/>
      <c r="AE192" s="219"/>
      <c r="AF192" s="219"/>
      <c r="AG192" s="219"/>
      <c r="AH192" s="219"/>
      <c r="AI192" s="219"/>
      <c r="AJ192" s="219"/>
      <c r="AK192" s="219"/>
      <c r="AL192" s="219"/>
      <c r="AM192" s="219"/>
      <c r="AN192" s="219"/>
      <c r="AO192" s="219"/>
      <c r="AP192" s="219"/>
      <c r="AQ192" s="219"/>
      <c r="AR192" s="219"/>
      <c r="AS192" s="219"/>
      <c r="AT192" s="219"/>
      <c r="AU192" s="219"/>
      <c r="AV192" s="219"/>
      <c r="AW192" s="219"/>
      <c r="AX192" s="219"/>
      <c r="AY192" s="219"/>
      <c r="AZ192" s="219"/>
      <c r="BA192" s="219"/>
    </row>
    <row r="193" spans="1:53" outlineLevel="1" x14ac:dyDescent="0.35">
      <c r="A193" s="6" t="s">
        <v>33</v>
      </c>
      <c r="Z193" s="6">
        <f>'Results - raw data ReCiPe (E)'!CA61</f>
        <v>0.10228466236576519</v>
      </c>
      <c r="AB193" s="219"/>
      <c r="AC193" s="219"/>
      <c r="AD193" s="219"/>
      <c r="AE193" s="219"/>
      <c r="AF193" s="219"/>
      <c r="AG193" s="219"/>
      <c r="AH193" s="219"/>
      <c r="AI193" s="219"/>
      <c r="AJ193" s="219"/>
      <c r="AK193" s="219"/>
      <c r="AL193" s="219"/>
      <c r="AM193" s="219"/>
      <c r="AN193" s="219"/>
      <c r="AO193" s="219"/>
      <c r="AP193" s="219"/>
      <c r="AQ193" s="219"/>
      <c r="AR193" s="219"/>
      <c r="AS193" s="219"/>
      <c r="AT193" s="219"/>
      <c r="AU193" s="219"/>
      <c r="AV193" s="219"/>
      <c r="AW193" s="219"/>
      <c r="AX193" s="219"/>
      <c r="AY193" s="219"/>
      <c r="AZ193" s="219"/>
      <c r="BA193" s="219"/>
    </row>
    <row r="194" spans="1:53" outlineLevel="1" x14ac:dyDescent="0.35">
      <c r="A194" s="6" t="s">
        <v>35</v>
      </c>
      <c r="Z194" s="6">
        <f>'Results - raw data ReCiPe (E)'!CA62</f>
        <v>0.20456932473153031</v>
      </c>
      <c r="AB194" s="219"/>
      <c r="AC194" s="219"/>
      <c r="AD194" s="219"/>
      <c r="AE194" s="219"/>
      <c r="AF194" s="219"/>
      <c r="AG194" s="219"/>
      <c r="AH194" s="219"/>
      <c r="AI194" s="219"/>
      <c r="AJ194" s="219"/>
      <c r="AK194" s="219"/>
      <c r="AL194" s="219"/>
      <c r="AM194" s="219"/>
      <c r="AN194" s="219"/>
      <c r="AO194" s="219"/>
      <c r="AP194" s="219"/>
      <c r="AQ194" s="219"/>
      <c r="AR194" s="219"/>
      <c r="AS194" s="219"/>
      <c r="AT194" s="219"/>
      <c r="AU194" s="219"/>
      <c r="AV194" s="219"/>
      <c r="AW194" s="219"/>
      <c r="AX194" s="219"/>
      <c r="AY194" s="219"/>
      <c r="AZ194" s="219"/>
      <c r="BA194" s="219"/>
    </row>
    <row r="195" spans="1:53" outlineLevel="1" x14ac:dyDescent="0.35">
      <c r="A195" s="6" t="s">
        <v>37</v>
      </c>
      <c r="Z195" s="6">
        <f>'Results - raw data ReCiPe (E)'!CA63</f>
        <v>3.024714710988802</v>
      </c>
      <c r="AB195" s="219"/>
      <c r="AC195" s="219"/>
      <c r="AD195" s="219"/>
      <c r="AE195" s="219"/>
      <c r="AF195" s="219"/>
      <c r="AG195" s="219"/>
      <c r="AH195" s="219"/>
      <c r="AI195" s="219"/>
      <c r="AJ195" s="219"/>
      <c r="AK195" s="219"/>
      <c r="AL195" s="219"/>
      <c r="AM195" s="219"/>
      <c r="AN195" s="219"/>
      <c r="AO195" s="219"/>
      <c r="AP195" s="219"/>
      <c r="AQ195" s="219"/>
      <c r="AR195" s="219"/>
      <c r="AS195" s="219"/>
      <c r="AT195" s="219"/>
      <c r="AU195" s="219"/>
      <c r="AV195" s="219"/>
      <c r="AW195" s="219"/>
      <c r="AX195" s="219"/>
      <c r="AY195" s="219"/>
      <c r="AZ195" s="219"/>
      <c r="BA195" s="219"/>
    </row>
    <row r="196" spans="1:53" outlineLevel="1" x14ac:dyDescent="0.35">
      <c r="A196" s="6" t="s">
        <v>40</v>
      </c>
      <c r="Z196" s="6">
        <f>'Results - raw data ReCiPe (E)'!CA64</f>
        <v>1.402924819378335</v>
      </c>
    </row>
    <row r="197" spans="1:53" outlineLevel="1" x14ac:dyDescent="0.35">
      <c r="A197" s="6" t="s">
        <v>42</v>
      </c>
      <c r="Z197" s="6">
        <f>'Results - raw data ReCiPe (E)'!CA65</f>
        <v>3.747290872792246</v>
      </c>
    </row>
    <row r="198" spans="1:53" outlineLevel="1" x14ac:dyDescent="0.35">
      <c r="A198" s="6" t="s">
        <v>115</v>
      </c>
      <c r="Z198" s="6">
        <f>'Results - raw data ReCiPe (E)'!CA66</f>
        <v>29.457901292932799</v>
      </c>
    </row>
    <row r="199" spans="1:53" outlineLevel="1" x14ac:dyDescent="0.35">
      <c r="A199" s="6" t="s">
        <v>45</v>
      </c>
      <c r="Z199" s="6">
        <f>'Results - raw data ReCiPe (E)'!CA67*AC169*AC171</f>
        <v>1.2970170042936588</v>
      </c>
    </row>
    <row r="200" spans="1:53" outlineLevel="1" x14ac:dyDescent="0.35">
      <c r="A200" s="6" t="s">
        <v>116</v>
      </c>
      <c r="B200" s="6">
        <f>'Results - raw data ReCiPe (E)'!BC68</f>
        <v>118.1438789925995</v>
      </c>
      <c r="C200" s="6">
        <f>'Results - raw data ReCiPe (E)'!BD68</f>
        <v>117.88238480174731</v>
      </c>
      <c r="D200" s="6">
        <f>'Results - raw data ReCiPe (E)'!BE68</f>
        <v>117.6174673115036</v>
      </c>
      <c r="E200" s="6">
        <f>'Results - raw data ReCiPe (E)'!BF68</f>
        <v>116.6612753102726</v>
      </c>
      <c r="F200" s="6">
        <f>'Results - raw data ReCiPe (E)'!BG68</f>
        <v>116.39178890133201</v>
      </c>
      <c r="G200" s="6">
        <f>'Results - raw data ReCiPe (E)'!BH68</f>
        <v>116.1185569651705</v>
      </c>
      <c r="H200" s="6">
        <f>'Results - raw data ReCiPe (E)'!BI68</f>
        <v>116.18081695012491</v>
      </c>
      <c r="I200" s="6">
        <f>'Results - raw data ReCiPe (E)'!BJ68</f>
        <v>116.242129598603</v>
      </c>
      <c r="J200" s="6">
        <f>'Results - raw data ReCiPe (E)'!BK68</f>
        <v>115.8391048924309</v>
      </c>
      <c r="K200" s="6">
        <f>'Results - raw data ReCiPe (E)'!BL68</f>
        <v>115.90171224187471</v>
      </c>
      <c r="L200" s="6">
        <f>'Results - raw data ReCiPe (E)'!BM68</f>
        <v>115.96177005098851</v>
      </c>
      <c r="M200" s="6">
        <f>'Results - raw data ReCiPe (E)'!BN68</f>
        <v>115.6708242437779</v>
      </c>
      <c r="N200" s="6">
        <f>'Results - raw data ReCiPe (E)'!BO68</f>
        <v>115.3805853817795</v>
      </c>
      <c r="O200" s="6">
        <f>'Results - raw data ReCiPe (E)'!BP68</f>
        <v>114.95261991976891</v>
      </c>
      <c r="P200" s="6">
        <f>'Results - raw data ReCiPe (E)'!BQ68</f>
        <v>114.6661954020653</v>
      </c>
      <c r="Q200" s="6">
        <f>'Results - raw data ReCiPe (E)'!BR68</f>
        <v>114.3803047375598</v>
      </c>
      <c r="R200" s="6">
        <f>'Results - raw data ReCiPe (E)'!BS68</f>
        <v>114.15315750777199</v>
      </c>
      <c r="S200" s="6">
        <f>'Results - raw data ReCiPe (E)'!BT68</f>
        <v>113.92641215678221</v>
      </c>
      <c r="T200" s="6">
        <f>'Results - raw data ReCiPe (E)'!BU68</f>
        <v>113.57035329969089</v>
      </c>
      <c r="U200" s="6">
        <f>'Results - raw data ReCiPe (E)'!BV68</f>
        <v>113.3464707565312</v>
      </c>
      <c r="V200" s="6">
        <f>'Results - raw data ReCiPe (E)'!BW68</f>
        <v>113.1229108780152</v>
      </c>
      <c r="W200" s="6">
        <f>'Results - raw data ReCiPe (E)'!BX68</f>
        <v>113.03996369373409</v>
      </c>
      <c r="X200" s="6">
        <f>'Results - raw data ReCiPe (E)'!BY68</f>
        <v>112.95785787044269</v>
      </c>
      <c r="Y200" s="6">
        <f>'Results - raw data ReCiPe (E)'!BZ68</f>
        <v>112.8763866533386</v>
      </c>
      <c r="Z200" s="6">
        <f>'Results - raw data ReCiPe (E)'!CA68</f>
        <v>112.7955257307044</v>
      </c>
    </row>
    <row r="201" spans="1:53" outlineLevel="1" x14ac:dyDescent="0.35">
      <c r="A201" s="6" t="s">
        <v>758</v>
      </c>
      <c r="B201" s="6">
        <f>'Results - raw data ReCiPe (E)'!BC69*$AC$169</f>
        <v>209.82451198193323</v>
      </c>
      <c r="C201" s="6">
        <f>'Results - raw data ReCiPe (E)'!BD69*$AC$169</f>
        <v>205.48036128128339</v>
      </c>
      <c r="D201" s="6">
        <f>'Results - raw data ReCiPe (E)'!BE69*$AC$169</f>
        <v>201.15285872716223</v>
      </c>
      <c r="E201" s="6">
        <f>'Results - raw data ReCiPe (E)'!BF69*$AC$169</f>
        <v>196.44333568935838</v>
      </c>
      <c r="F201" s="6">
        <f>'Results - raw data ReCiPe (E)'!BG69*$AC$169</f>
        <v>192.1504554775475</v>
      </c>
      <c r="G201" s="6">
        <f>'Results - raw data ReCiPe (E)'!BH69*$AC$169</f>
        <v>187.8735307757506</v>
      </c>
      <c r="H201" s="6">
        <f>'Results - raw data ReCiPe (E)'!BI69*$AC$169</f>
        <v>186.47687266799079</v>
      </c>
      <c r="I201" s="6">
        <f>'Results - raw data ReCiPe (E)'!BJ69*$AC$169</f>
        <v>185.0736871027072</v>
      </c>
      <c r="J201" s="6">
        <f>'Results - raw data ReCiPe (E)'!BK69*$AC$169</f>
        <v>183.3232119602765</v>
      </c>
      <c r="K201" s="6">
        <f>'Results - raw data ReCiPe (E)'!BL69*$AC$169</f>
        <v>181.89397044240309</v>
      </c>
      <c r="L201" s="6">
        <f>'Results - raw data ReCiPe (E)'!BM69*$AC$169</f>
        <v>180.4530064825768</v>
      </c>
      <c r="M201" s="6">
        <f>'Results - raw data ReCiPe (E)'!BN69*$AC$169</f>
        <v>179.04680271808618</v>
      </c>
      <c r="N201" s="6">
        <f>'Results - raw data ReCiPe (E)'!BO69*$AC$169</f>
        <v>177.62058944472989</v>
      </c>
      <c r="O201" s="6">
        <f>'Results - raw data ReCiPe (E)'!BP69*$AC$169</f>
        <v>176.0933076153398</v>
      </c>
      <c r="P201" s="6">
        <f>'Results - raw data ReCiPe (E)'!BQ69*$AC$169</f>
        <v>174.62823636389751</v>
      </c>
      <c r="Q201" s="6">
        <f>'Results - raw data ReCiPe (E)'!BR69*$AC$169</f>
        <v>173.143376251067</v>
      </c>
      <c r="R201" s="6">
        <f>'Results - raw data ReCiPe (E)'!BS69*$AC$169</f>
        <v>174.48968301639979</v>
      </c>
      <c r="S201" s="6">
        <f>'Results - raw data ReCiPe (E)'!BT69*$AC$169</f>
        <v>175.82230446217719</v>
      </c>
      <c r="T201" s="6">
        <f>'Results - raw data ReCiPe (E)'!BU69*$AC$169</f>
        <v>177.06192702385232</v>
      </c>
      <c r="U201" s="6">
        <f>'Results - raw data ReCiPe (E)'!BV69*$AC$169</f>
        <v>178.36763237471001</v>
      </c>
      <c r="V201" s="6">
        <f>'Results - raw data ReCiPe (E)'!BW69*$AC$169</f>
        <v>179.65989267916379</v>
      </c>
      <c r="W201" s="6">
        <f>'Results - raw data ReCiPe (E)'!BX69*$AC$169</f>
        <v>177.88713351427302</v>
      </c>
      <c r="X201" s="6">
        <f>'Results - raw data ReCiPe (E)'!BY69*$AC$169</f>
        <v>176.1233199962833</v>
      </c>
      <c r="Y201" s="6">
        <f>'Results - raw data ReCiPe (E)'!BZ69*$AC$169</f>
        <v>174.3578522616161</v>
      </c>
      <c r="Z201" s="6">
        <f>'Results - raw data ReCiPe (E)'!CA69*$AC$169</f>
        <v>172.5904260858679</v>
      </c>
    </row>
    <row r="202" spans="1:53" outlineLevel="1" x14ac:dyDescent="0.35">
      <c r="A202" s="6" t="s">
        <v>759</v>
      </c>
      <c r="B202" s="6">
        <f>'Results - raw data ReCiPe (E)'!BC70</f>
        <v>0</v>
      </c>
      <c r="C202" s="6">
        <f>'Results - raw data ReCiPe (E)'!BD70</f>
        <v>0</v>
      </c>
      <c r="D202" s="6">
        <f>'Results - raw data ReCiPe (E)'!BE70</f>
        <v>0</v>
      </c>
      <c r="E202" s="6">
        <f>'Results - raw data ReCiPe (E)'!BF70</f>
        <v>0</v>
      </c>
      <c r="F202" s="6">
        <f>'Results - raw data ReCiPe (E)'!BG70</f>
        <v>0</v>
      </c>
      <c r="G202" s="6">
        <f>'Results - raw data ReCiPe (E)'!BH70</f>
        <v>0</v>
      </c>
      <c r="H202" s="6">
        <f>'Results - raw data ReCiPe (E)'!BI70</f>
        <v>0</v>
      </c>
      <c r="I202" s="6">
        <f>'Results - raw data ReCiPe (E)'!BJ70</f>
        <v>0</v>
      </c>
      <c r="J202" s="6">
        <f>'Results - raw data ReCiPe (E)'!BK70</f>
        <v>0</v>
      </c>
      <c r="K202" s="6">
        <f>'Results - raw data ReCiPe (E)'!BL70</f>
        <v>0</v>
      </c>
      <c r="L202" s="6">
        <f>'Results - raw data ReCiPe (E)'!BM70</f>
        <v>0</v>
      </c>
      <c r="M202" s="6">
        <f>'Results - raw data ReCiPe (E)'!BN70</f>
        <v>0</v>
      </c>
      <c r="N202" s="6">
        <f>'Results - raw data ReCiPe (E)'!BO70</f>
        <v>0</v>
      </c>
      <c r="O202" s="6">
        <f>'Results - raw data ReCiPe (E)'!BP70</f>
        <v>0</v>
      </c>
      <c r="P202" s="6">
        <f>'Results - raw data ReCiPe (E)'!BQ70</f>
        <v>0</v>
      </c>
      <c r="Q202" s="6">
        <f>'Results - raw data ReCiPe (E)'!BR70</f>
        <v>0</v>
      </c>
      <c r="R202" s="6">
        <f>'Results - raw data ReCiPe (E)'!BS70</f>
        <v>0</v>
      </c>
      <c r="S202" s="6">
        <f>'Results - raw data ReCiPe (E)'!BT70</f>
        <v>0</v>
      </c>
      <c r="T202" s="6">
        <f>'Results - raw data ReCiPe (E)'!BU70</f>
        <v>0</v>
      </c>
      <c r="U202" s="6">
        <f>'Results - raw data ReCiPe (E)'!BV70</f>
        <v>0</v>
      </c>
      <c r="V202" s="6">
        <f>'Results - raw data ReCiPe (E)'!BW70</f>
        <v>0</v>
      </c>
      <c r="W202" s="6">
        <f>'Results - raw data ReCiPe (E)'!BX70</f>
        <v>0</v>
      </c>
      <c r="X202" s="6">
        <f>'Results - raw data ReCiPe (E)'!BY70</f>
        <v>0</v>
      </c>
      <c r="Y202" s="6">
        <f>'Results - raw data ReCiPe (E)'!BZ70</f>
        <v>0</v>
      </c>
      <c r="Z202" s="6">
        <f>'Results - raw data ReCiPe (E)'!CA70</f>
        <v>0</v>
      </c>
    </row>
    <row r="203" spans="1:53" outlineLevel="1" x14ac:dyDescent="0.35">
      <c r="A203" s="6" t="s">
        <v>760</v>
      </c>
      <c r="B203" s="6">
        <f>150000*($AC$170*'Results - raw data ReCiPe (E)'!BC121+(1-'Results ReCiPe (E) - HHD'!$AC$170)*'Results - raw data ReCiPe (E)'!BC122)</f>
        <v>2086.3209732763257</v>
      </c>
      <c r="C203" s="6">
        <f>150000*($AC$170*'Results - raw data ReCiPe (E)'!BD121+(1-'Results ReCiPe (E) - HHD'!$AC$170)*'Results - raw data ReCiPe (E)'!BD122)</f>
        <v>2047.3340524605596</v>
      </c>
      <c r="D203" s="6">
        <f>150000*($AC$170*'Results - raw data ReCiPe (E)'!BE121+(1-'Results ReCiPe (E) - HHD'!$AC$170)*'Results - raw data ReCiPe (E)'!BE122)</f>
        <v>2008.3394494699369</v>
      </c>
      <c r="E203" s="6">
        <f>150000*($AC$170*'Results - raw data ReCiPe (E)'!BF121+(1-'Results ReCiPe (E) - HHD'!$AC$170)*'Results - raw data ReCiPe (E)'!BF122)</f>
        <v>1965.2251979460416</v>
      </c>
      <c r="F203" s="6">
        <f>150000*($AC$170*'Results - raw data ReCiPe (E)'!BG121+(1-'Results ReCiPe (E) - HHD'!$AC$170)*'Results - raw data ReCiPe (E)'!BG122)</f>
        <v>1926.2240180532576</v>
      </c>
      <c r="G203" s="6">
        <f>150000*($AC$170*'Results - raw data ReCiPe (E)'!BH121+(1-'Results ReCiPe (E) - HHD'!$AC$170)*'Results - raw data ReCiPe (E)'!BH122)</f>
        <v>1887.2064413753837</v>
      </c>
      <c r="H203" s="6">
        <f>150000*($AC$170*'Results - raw data ReCiPe (E)'!BI121+(1-'Results ReCiPe (E) - HHD'!$AC$170)*'Results - raw data ReCiPe (E)'!BI122)</f>
        <v>1874.7814418270834</v>
      </c>
      <c r="I203" s="6">
        <f>150000*($AC$170*'Results - raw data ReCiPe (E)'!BJ121+(1-'Results ReCiPe (E) - HHD'!$AC$170)*'Results - raw data ReCiPe (E)'!BJ122)</f>
        <v>1862.2954756629422</v>
      </c>
      <c r="J203" s="6">
        <f>150000*($AC$170*'Results - raw data ReCiPe (E)'!BK121+(1-'Results ReCiPe (E) - HHD'!$AC$170)*'Results - raw data ReCiPe (E)'!BK122)</f>
        <v>1846.2360516788378</v>
      </c>
      <c r="K203" s="6">
        <f>150000*($AC$170*'Results - raw data ReCiPe (E)'!BL121+(1-'Results ReCiPe (E) - HHD'!$AC$170)*'Results - raw data ReCiPe (E)'!BL122)</f>
        <v>1833.4489611262086</v>
      </c>
      <c r="L203" s="6">
        <f>150000*($AC$170*'Results - raw data ReCiPe (E)'!BM121+(1-'Results ReCiPe (E) - HHD'!$AC$170)*'Results - raw data ReCiPe (E)'!BM122)</f>
        <v>1820.516821870714</v>
      </c>
      <c r="M203" s="6">
        <f>150000*($AC$170*'Results - raw data ReCiPe (E)'!BN121+(1-'Results ReCiPe (E) - HHD'!$AC$170)*'Results - raw data ReCiPe (E)'!BN122)</f>
        <v>1806.3383690792407</v>
      </c>
      <c r="N203" s="6">
        <f>150000*($AC$170*'Results - raw data ReCiPe (E)'!BO121+(1-'Results ReCiPe (E) - HHD'!$AC$170)*'Results - raw data ReCiPe (E)'!BO122)</f>
        <v>1791.9510686927595</v>
      </c>
      <c r="O203" s="6">
        <f>150000*($AC$170*'Results - raw data ReCiPe (E)'!BP121+(1-'Results ReCiPe (E) - HHD'!$AC$170)*'Results - raw data ReCiPe (E)'!BP122)</f>
        <v>1776.5210107493642</v>
      </c>
      <c r="P203" s="6">
        <f>150000*($AC$170*'Results - raw data ReCiPe (E)'!BQ121+(1-'Results ReCiPe (E) - HHD'!$AC$170)*'Results - raw data ReCiPe (E)'!BQ122)</f>
        <v>1761.7276989750646</v>
      </c>
      <c r="Q203" s="6">
        <f>150000*($AC$170*'Results - raw data ReCiPe (E)'!BR121+(1-'Results ReCiPe (E) - HHD'!$AC$170)*'Results - raw data ReCiPe (E)'!BR122)</f>
        <v>1746.727365901269</v>
      </c>
      <c r="R203" s="6">
        <f>150000*($AC$170*'Results - raw data ReCiPe (E)'!BS121+(1-'Results ReCiPe (E) - HHD'!$AC$170)*'Results - raw data ReCiPe (E)'!BS122)</f>
        <v>1757.7545632323049</v>
      </c>
      <c r="S203" s="6">
        <f>150000*($AC$170*'Results - raw data ReCiPe (E)'!BT121+(1-'Results ReCiPe (E) - HHD'!$AC$170)*'Results - raw data ReCiPe (E)'!BT122)</f>
        <v>1768.579634759458</v>
      </c>
      <c r="T203" s="6">
        <f>150000*($AC$170*'Results - raw data ReCiPe (E)'!BU121+(1-'Results ReCiPe (E) - HHD'!$AC$170)*'Results - raw data ReCiPe (E)'!BU122)</f>
        <v>1778.3881283605006</v>
      </c>
      <c r="U203" s="6">
        <f>150000*($AC$170*'Results - raw data ReCiPe (E)'!BV121+(1-'Results ReCiPe (E) - HHD'!$AC$170)*'Results - raw data ReCiPe (E)'!BV122)</f>
        <v>1788.8210528453631</v>
      </c>
      <c r="V203" s="6">
        <f>150000*($AC$170*'Results - raw data ReCiPe (E)'!BW121+(1-'Results ReCiPe (E) - HHD'!$AC$170)*'Results - raw data ReCiPe (E)'!BW122)</f>
        <v>1799.0567333895788</v>
      </c>
      <c r="W203" s="6">
        <f>150000*($AC$170*'Results - raw data ReCiPe (E)'!BX121+(1-'Results ReCiPe (E) - HHD'!$AC$170)*'Results - raw data ReCiPe (E)'!BX122)</f>
        <v>1783.5971212029935</v>
      </c>
      <c r="X203" s="6">
        <f>150000*($AC$170*'Results - raw data ReCiPe (E)'!BY121+(1-'Results ReCiPe (E) - HHD'!$AC$170)*'Results - raw data ReCiPe (E)'!BY122)</f>
        <v>1768.1434829277343</v>
      </c>
      <c r="Y203" s="6">
        <f>150000*($AC$170*'Results - raw data ReCiPe (E)'!BZ121+(1-'Results ReCiPe (E) - HHD'!$AC$170)*'Results - raw data ReCiPe (E)'!BZ122)</f>
        <v>1752.6252380764649</v>
      </c>
      <c r="Z203" s="6">
        <f>150000*($AC$170*'Results - raw data ReCiPe (E)'!CA121+(1-'Results ReCiPe (E) - HHD'!$AC$170)*'Results - raw data ReCiPe (E)'!CA122)</f>
        <v>1737.0398172491941</v>
      </c>
    </row>
    <row r="204" spans="1:53" outlineLevel="1" x14ac:dyDescent="0.35">
      <c r="A204" s="23" t="s">
        <v>125</v>
      </c>
      <c r="B204" s="17">
        <f>SUM(B173:B203)</f>
        <v>5575.894971632275</v>
      </c>
      <c r="C204" s="17">
        <f t="shared" ref="C204:Z204" si="22">SUM(C173:C203)</f>
        <v>2370.6967985435904</v>
      </c>
      <c r="D204" s="17">
        <f t="shared" si="22"/>
        <v>2327.1097755086025</v>
      </c>
      <c r="E204" s="17">
        <f t="shared" si="22"/>
        <v>2278.3298089456725</v>
      </c>
      <c r="F204" s="17">
        <f t="shared" si="22"/>
        <v>2234.766262432137</v>
      </c>
      <c r="G204" s="17">
        <f t="shared" si="22"/>
        <v>2191.1985291163046</v>
      </c>
      <c r="H204" s="17">
        <f t="shared" si="22"/>
        <v>2177.4391314451991</v>
      </c>
      <c r="I204" s="17">
        <f t="shared" si="22"/>
        <v>2163.6112923642522</v>
      </c>
      <c r="J204" s="17">
        <f t="shared" si="22"/>
        <v>2145.3983685315452</v>
      </c>
      <c r="K204" s="17">
        <f t="shared" si="22"/>
        <v>2131.2446438104862</v>
      </c>
      <c r="L204" s="17">
        <f t="shared" si="22"/>
        <v>2116.9315984042792</v>
      </c>
      <c r="M204" s="17">
        <f t="shared" si="22"/>
        <v>2101.0559960411047</v>
      </c>
      <c r="N204" s="17">
        <f t="shared" si="22"/>
        <v>2084.9522435192689</v>
      </c>
      <c r="O204" s="17">
        <f t="shared" si="22"/>
        <v>2067.5669382844731</v>
      </c>
      <c r="P204" s="17">
        <f t="shared" si="22"/>
        <v>2051.0221307410275</v>
      </c>
      <c r="Q204" s="17">
        <f t="shared" si="22"/>
        <v>2034.2510468898959</v>
      </c>
      <c r="R204" s="17">
        <f t="shared" si="22"/>
        <v>2046.3974037564767</v>
      </c>
      <c r="S204" s="17">
        <f t="shared" si="22"/>
        <v>2058.3283513784172</v>
      </c>
      <c r="T204" s="17">
        <f t="shared" si="22"/>
        <v>2069.020408684044</v>
      </c>
      <c r="U204" s="17">
        <f t="shared" si="22"/>
        <v>2080.5351559766041</v>
      </c>
      <c r="V204" s="17">
        <f t="shared" si="22"/>
        <v>2091.839536946758</v>
      </c>
      <c r="W204" s="17">
        <f t="shared" si="22"/>
        <v>2074.5242184110007</v>
      </c>
      <c r="X204" s="17">
        <f t="shared" si="22"/>
        <v>2057.2246607944603</v>
      </c>
      <c r="Y204" s="17">
        <f t="shared" si="22"/>
        <v>2039.8594769914196</v>
      </c>
      <c r="Z204" s="17">
        <f t="shared" si="22"/>
        <v>2065.5474932890234</v>
      </c>
    </row>
    <row r="205" spans="1:53" outlineLevel="1" x14ac:dyDescent="0.35"/>
    <row r="206" spans="1:53" s="18" customFormat="1" ht="21" x14ac:dyDescent="0.5">
      <c r="A206" s="18" t="s">
        <v>94</v>
      </c>
    </row>
    <row r="207" spans="1:53" s="20" customFormat="1" outlineLevel="1" x14ac:dyDescent="0.35">
      <c r="A207" s="19" t="s">
        <v>766</v>
      </c>
    </row>
    <row r="208" spans="1:53" s="16" customFormat="1" outlineLevel="1" x14ac:dyDescent="0.35">
      <c r="A208" s="21"/>
      <c r="AE208" s="15"/>
    </row>
    <row r="209" spans="1:53" s="16" customFormat="1" outlineLevel="1" x14ac:dyDescent="0.35">
      <c r="A209" s="22" t="s">
        <v>761</v>
      </c>
    </row>
    <row r="210" spans="1:53" s="16" customFormat="1" outlineLevel="1" x14ac:dyDescent="0.35">
      <c r="A210" s="22"/>
      <c r="AB210" s="16" t="s">
        <v>127</v>
      </c>
      <c r="AC210" s="16">
        <v>100</v>
      </c>
      <c r="AD210" s="16" t="s">
        <v>128</v>
      </c>
    </row>
    <row r="211" spans="1:53" s="16" customFormat="1" outlineLevel="1" x14ac:dyDescent="0.35">
      <c r="A211" s="230" t="s">
        <v>768</v>
      </c>
      <c r="AB211" s="16" t="s">
        <v>20</v>
      </c>
      <c r="AC211" s="16">
        <v>0.23</v>
      </c>
      <c r="AD211" s="16" t="s">
        <v>715</v>
      </c>
    </row>
    <row r="212" spans="1:53" s="16" customFormat="1" outlineLevel="1" x14ac:dyDescent="0.35">
      <c r="A212" s="22"/>
      <c r="AB212" s="16" t="s">
        <v>129</v>
      </c>
      <c r="AC212" s="16">
        <v>25</v>
      </c>
      <c r="AD212" s="16" t="s">
        <v>130</v>
      </c>
    </row>
    <row r="213" spans="1:53" outlineLevel="1" x14ac:dyDescent="0.35">
      <c r="B213" s="25">
        <v>2030</v>
      </c>
      <c r="C213" s="25">
        <v>2031</v>
      </c>
      <c r="D213" s="25">
        <v>2032</v>
      </c>
      <c r="E213" s="25">
        <v>2033</v>
      </c>
      <c r="F213" s="25">
        <v>2034</v>
      </c>
      <c r="G213" s="25">
        <v>2035</v>
      </c>
      <c r="H213" s="25">
        <v>2036</v>
      </c>
      <c r="I213" s="25">
        <v>2037</v>
      </c>
      <c r="J213" s="25">
        <v>2038</v>
      </c>
      <c r="K213" s="25">
        <v>2039</v>
      </c>
      <c r="L213" s="25">
        <v>2040</v>
      </c>
      <c r="M213" s="25">
        <v>2041</v>
      </c>
      <c r="N213" s="25">
        <v>2042</v>
      </c>
      <c r="O213" s="25">
        <v>2043</v>
      </c>
      <c r="P213" s="25">
        <v>2044</v>
      </c>
      <c r="Q213" s="25">
        <v>2045</v>
      </c>
      <c r="R213" s="25">
        <v>2046</v>
      </c>
      <c r="S213" s="25">
        <v>2047</v>
      </c>
      <c r="T213" s="25">
        <v>2048</v>
      </c>
      <c r="U213" s="25">
        <v>2049</v>
      </c>
      <c r="V213" s="25">
        <v>2050</v>
      </c>
      <c r="W213" s="25">
        <v>2051</v>
      </c>
      <c r="X213" s="25">
        <v>2052</v>
      </c>
      <c r="Y213" s="25">
        <v>2053</v>
      </c>
      <c r="Z213" s="25">
        <v>2054</v>
      </c>
      <c r="AC213" s="25">
        <v>2030</v>
      </c>
      <c r="AD213" s="25">
        <v>2031</v>
      </c>
      <c r="AE213" s="25">
        <v>2032</v>
      </c>
      <c r="AF213" s="25">
        <v>2033</v>
      </c>
      <c r="AG213" s="25">
        <v>2034</v>
      </c>
      <c r="AH213" s="25">
        <v>2035</v>
      </c>
      <c r="AI213" s="25">
        <v>2036</v>
      </c>
      <c r="AJ213" s="25">
        <v>2037</v>
      </c>
      <c r="AK213" s="25">
        <v>2038</v>
      </c>
      <c r="AL213" s="25">
        <v>2039</v>
      </c>
      <c r="AM213" s="25">
        <v>2040</v>
      </c>
      <c r="AN213" s="25">
        <v>2041</v>
      </c>
      <c r="AO213" s="25">
        <v>2042</v>
      </c>
      <c r="AP213" s="25">
        <v>2043</v>
      </c>
      <c r="AQ213" s="25">
        <v>2044</v>
      </c>
      <c r="AR213" s="25">
        <v>2045</v>
      </c>
      <c r="AS213" s="25">
        <v>2046</v>
      </c>
      <c r="AT213" s="25">
        <v>2047</v>
      </c>
      <c r="AU213" s="25">
        <v>2048</v>
      </c>
      <c r="AV213" s="25">
        <v>2049</v>
      </c>
      <c r="AW213" s="25">
        <v>2050</v>
      </c>
      <c r="AX213" s="25">
        <v>2051</v>
      </c>
      <c r="AY213" s="25">
        <v>2052</v>
      </c>
      <c r="AZ213" s="25">
        <v>2053</v>
      </c>
      <c r="BA213" s="25">
        <v>2054</v>
      </c>
    </row>
    <row r="214" spans="1:53" outlineLevel="1" x14ac:dyDescent="0.35">
      <c r="A214" s="6" t="s">
        <v>21</v>
      </c>
      <c r="B214" s="6">
        <f>'Results - raw data ReCiPe (E)'!BC77</f>
        <v>71.697576674124974</v>
      </c>
      <c r="AB214" s="6" t="s">
        <v>117</v>
      </c>
      <c r="AC214" s="6">
        <f>SUM(B214:B225)+B227</f>
        <v>2702.2385266828496</v>
      </c>
    </row>
    <row r="215" spans="1:53" outlineLevel="1" x14ac:dyDescent="0.35">
      <c r="A215" s="6" t="s">
        <v>23</v>
      </c>
      <c r="B215" s="6">
        <f>'Results - raw data ReCiPe (E)'!BC78</f>
        <v>309.91249364426312</v>
      </c>
      <c r="AB215" s="6" t="s">
        <v>118</v>
      </c>
      <c r="AC215" s="6">
        <f>B226</f>
        <v>259.70352548768199</v>
      </c>
    </row>
    <row r="216" spans="1:53" outlineLevel="1" x14ac:dyDescent="0.35">
      <c r="A216" s="6" t="s">
        <v>26</v>
      </c>
      <c r="B216" s="6">
        <f>'Results - raw data ReCiPe (E)'!BC79</f>
        <v>305.29947245707018</v>
      </c>
      <c r="AB216" s="6" t="s">
        <v>119</v>
      </c>
      <c r="BA216" s="6">
        <f>SUM(Z228:Z239)</f>
        <v>38.803973700478906</v>
      </c>
    </row>
    <row r="217" spans="1:53" outlineLevel="1" x14ac:dyDescent="0.35">
      <c r="A217" s="6" t="s">
        <v>28</v>
      </c>
      <c r="B217" s="6">
        <f>'Results - raw data ReCiPe (E)'!BC80</f>
        <v>233.71099142564279</v>
      </c>
      <c r="AB217" s="6" t="s">
        <v>120</v>
      </c>
      <c r="BA217" s="6">
        <f>Z240</f>
        <v>1.2292258629747401</v>
      </c>
    </row>
    <row r="218" spans="1:53" outlineLevel="1" x14ac:dyDescent="0.35">
      <c r="A218" s="6" t="s">
        <v>29</v>
      </c>
      <c r="B218" s="6">
        <f>'Results - raw data ReCiPe (E)'!BC81</f>
        <v>113.53461870398969</v>
      </c>
      <c r="AB218" s="6" t="s">
        <v>121</v>
      </c>
      <c r="AC218" s="6">
        <f>B241</f>
        <v>114.3683807366764</v>
      </c>
      <c r="AF218" s="6">
        <f>E241</f>
        <v>112.5935013842018</v>
      </c>
      <c r="AI218" s="6">
        <f>H241</f>
        <v>112.32417693968689</v>
      </c>
      <c r="AL218" s="6">
        <f>K241</f>
        <v>113.32500088396689</v>
      </c>
      <c r="AO218" s="6">
        <f>N241</f>
        <v>113.72581624339961</v>
      </c>
      <c r="AR218" s="6">
        <f>Q241</f>
        <v>113.5067955292801</v>
      </c>
      <c r="AU218" s="6">
        <f>T241</f>
        <v>112.3594591286536</v>
      </c>
      <c r="AX218" s="6">
        <f>W241</f>
        <v>111.6217687079732</v>
      </c>
      <c r="BA218" s="6">
        <f>Z241</f>
        <v>111.42686667692951</v>
      </c>
    </row>
    <row r="219" spans="1:53" outlineLevel="1" x14ac:dyDescent="0.35">
      <c r="A219" s="6" t="s">
        <v>31</v>
      </c>
      <c r="B219" s="6">
        <f>'Results - raw data ReCiPe (E)'!BC82</f>
        <v>82.338946667026192</v>
      </c>
      <c r="AB219" s="6" t="s">
        <v>122</v>
      </c>
      <c r="AC219" s="6">
        <f>B244+B243</f>
        <v>1218.0763896306767</v>
      </c>
      <c r="AD219" s="6">
        <f t="shared" ref="AD219:BA219" si="23">C244+C243</f>
        <v>1122.6420509360951</v>
      </c>
      <c r="AE219" s="6">
        <f t="shared" si="23"/>
        <v>1026.4601422472872</v>
      </c>
      <c r="AF219" s="6">
        <f t="shared" si="23"/>
        <v>924.86337230067863</v>
      </c>
      <c r="AG219" s="6">
        <f t="shared" si="23"/>
        <v>826.9962018424452</v>
      </c>
      <c r="AH219" s="6">
        <f t="shared" si="23"/>
        <v>728.38132407338799</v>
      </c>
      <c r="AI219" s="6">
        <f t="shared" si="23"/>
        <v>838.33232341873565</v>
      </c>
      <c r="AJ219" s="6">
        <f t="shared" si="23"/>
        <v>948.00017582767396</v>
      </c>
      <c r="AK219" s="6">
        <f t="shared" si="23"/>
        <v>1052.8376606045488</v>
      </c>
      <c r="AL219" s="6">
        <f t="shared" si="23"/>
        <v>1161.7976673492083</v>
      </c>
      <c r="AM219" s="6">
        <f t="shared" si="23"/>
        <v>1270.4968165088494</v>
      </c>
      <c r="AN219" s="6">
        <f t="shared" si="23"/>
        <v>1406.3740903018656</v>
      </c>
      <c r="AO219" s="6">
        <f t="shared" si="23"/>
        <v>1541.8135322914363</v>
      </c>
      <c r="AP219" s="6">
        <f t="shared" si="23"/>
        <v>1675.7826360665654</v>
      </c>
      <c r="AQ219" s="6">
        <f t="shared" si="23"/>
        <v>1810.3698091070112</v>
      </c>
      <c r="AR219" s="6">
        <f t="shared" si="23"/>
        <v>1944.5141000752865</v>
      </c>
      <c r="AS219" s="6">
        <f t="shared" si="23"/>
        <v>1895.6599142508051</v>
      </c>
      <c r="AT219" s="6">
        <f t="shared" si="23"/>
        <v>1847.0590298024658</v>
      </c>
      <c r="AU219" s="6">
        <f t="shared" si="23"/>
        <v>1797.7715149329067</v>
      </c>
      <c r="AV219" s="6">
        <f t="shared" si="23"/>
        <v>1749.6880054780345</v>
      </c>
      <c r="AW219" s="6">
        <f t="shared" si="23"/>
        <v>1701.8243520075091</v>
      </c>
      <c r="AX219" s="6">
        <f t="shared" si="23"/>
        <v>1701.9893566343837</v>
      </c>
      <c r="AY219" s="6">
        <f t="shared" si="23"/>
        <v>1702.2096981675973</v>
      </c>
      <c r="AZ219" s="6">
        <f t="shared" si="23"/>
        <v>1702.4175286934283</v>
      </c>
      <c r="BA219" s="6">
        <f t="shared" si="23"/>
        <v>1702.6114388482245</v>
      </c>
    </row>
    <row r="220" spans="1:53" outlineLevel="1" x14ac:dyDescent="0.35">
      <c r="A220" s="6" t="s">
        <v>34</v>
      </c>
      <c r="B220" s="6">
        <f>'Results - raw data ReCiPe (E)'!BC83</f>
        <v>54.333383214348338</v>
      </c>
      <c r="AB220" s="6" t="s">
        <v>123</v>
      </c>
      <c r="AC220" s="6">
        <f>B242</f>
        <v>123.02041989163439</v>
      </c>
      <c r="AD220" s="6">
        <f t="shared" ref="AD220:BA220" si="24">C242</f>
        <v>113.168355221741</v>
      </c>
      <c r="AE220" s="6">
        <f t="shared" si="24"/>
        <v>103.3105466624649</v>
      </c>
      <c r="AF220" s="6">
        <f t="shared" si="24"/>
        <v>92.995621550295454</v>
      </c>
      <c r="AG220" s="6">
        <f t="shared" si="24"/>
        <v>83.111714201283888</v>
      </c>
      <c r="AH220" s="6">
        <f t="shared" si="24"/>
        <v>73.223729729510069</v>
      </c>
      <c r="AI220" s="6">
        <f t="shared" si="24"/>
        <v>83.884832308648711</v>
      </c>
      <c r="AJ220" s="6">
        <f t="shared" si="24"/>
        <v>94.471920332828333</v>
      </c>
      <c r="AK220" s="6">
        <f t="shared" si="24"/>
        <v>104.54458438611429</v>
      </c>
      <c r="AL220" s="6">
        <f t="shared" si="24"/>
        <v>114.97113745009231</v>
      </c>
      <c r="AM220" s="6">
        <f t="shared" si="24"/>
        <v>125.3262553775311</v>
      </c>
      <c r="AN220" s="6">
        <f t="shared" si="24"/>
        <v>138.53033504075449</v>
      </c>
      <c r="AO220" s="6">
        <f t="shared" si="24"/>
        <v>151.7142805666696</v>
      </c>
      <c r="AP220" s="6">
        <f t="shared" si="24"/>
        <v>164.7782457633767</v>
      </c>
      <c r="AQ220" s="6">
        <f t="shared" si="24"/>
        <v>177.9241906952733</v>
      </c>
      <c r="AR220" s="6">
        <f t="shared" si="24"/>
        <v>191.0494282034141</v>
      </c>
      <c r="AS220" s="6">
        <f t="shared" si="24"/>
        <v>187.01387471032581</v>
      </c>
      <c r="AT220" s="6">
        <f t="shared" si="24"/>
        <v>182.9611295071519</v>
      </c>
      <c r="AU220" s="6">
        <f t="shared" si="24"/>
        <v>178.79993755321081</v>
      </c>
      <c r="AV220" s="6">
        <f t="shared" si="24"/>
        <v>174.7147434167785</v>
      </c>
      <c r="AW220" s="6">
        <f t="shared" si="24"/>
        <v>170.61144881673999</v>
      </c>
      <c r="AX220" s="6">
        <f t="shared" si="24"/>
        <v>170.41214540435371</v>
      </c>
      <c r="AY220" s="6">
        <f t="shared" si="24"/>
        <v>170.2215706332619</v>
      </c>
      <c r="AZ220" s="6">
        <f t="shared" si="24"/>
        <v>170.02960896366901</v>
      </c>
      <c r="BA220" s="6">
        <f t="shared" si="24"/>
        <v>169.83604940899738</v>
      </c>
    </row>
    <row r="221" spans="1:53" outlineLevel="1" x14ac:dyDescent="0.35">
      <c r="A221" s="6" t="s">
        <v>36</v>
      </c>
      <c r="B221" s="6">
        <f>'Results - raw data ReCiPe (E)'!BC84</f>
        <v>56.910791768127723</v>
      </c>
      <c r="AB221" s="6" t="s">
        <v>124</v>
      </c>
    </row>
    <row r="222" spans="1:53" outlineLevel="1" x14ac:dyDescent="0.35">
      <c r="A222" s="6" t="s">
        <v>38</v>
      </c>
      <c r="B222" s="6">
        <f>'Results - raw data ReCiPe (E)'!BC85</f>
        <v>633.85156952885507</v>
      </c>
      <c r="AB222" s="23" t="s">
        <v>125</v>
      </c>
      <c r="AC222" s="17">
        <f>SUM(AC214:AC221)</f>
        <v>4417.4072424295191</v>
      </c>
      <c r="AD222" s="17">
        <f t="shared" ref="AD222:BA222" si="25">SUM(AD214:AD221)</f>
        <v>1235.810406157836</v>
      </c>
      <c r="AE222" s="17">
        <f t="shared" si="25"/>
        <v>1129.7706889097522</v>
      </c>
      <c r="AF222" s="17">
        <f t="shared" si="25"/>
        <v>1130.452495235176</v>
      </c>
      <c r="AG222" s="17">
        <f t="shared" si="25"/>
        <v>910.10791604372912</v>
      </c>
      <c r="AH222" s="17">
        <f t="shared" si="25"/>
        <v>801.60505380289806</v>
      </c>
      <c r="AI222" s="17">
        <f t="shared" si="25"/>
        <v>1034.5413326670714</v>
      </c>
      <c r="AJ222" s="17">
        <f t="shared" si="25"/>
        <v>1042.4720961605024</v>
      </c>
      <c r="AK222" s="17">
        <f t="shared" si="25"/>
        <v>1157.3822449906631</v>
      </c>
      <c r="AL222" s="17">
        <f t="shared" si="25"/>
        <v>1390.0938056832674</v>
      </c>
      <c r="AM222" s="17">
        <f t="shared" si="25"/>
        <v>1395.8230718863806</v>
      </c>
      <c r="AN222" s="17">
        <f t="shared" si="25"/>
        <v>1544.90442534262</v>
      </c>
      <c r="AO222" s="17">
        <f t="shared" si="25"/>
        <v>1807.2536291015056</v>
      </c>
      <c r="AP222" s="17">
        <f t="shared" si="25"/>
        <v>1840.560881829942</v>
      </c>
      <c r="AQ222" s="17">
        <f t="shared" si="25"/>
        <v>1988.2939998022844</v>
      </c>
      <c r="AR222" s="17">
        <f t="shared" si="25"/>
        <v>2249.0703238079809</v>
      </c>
      <c r="AS222" s="17">
        <f t="shared" si="25"/>
        <v>2082.6737889611309</v>
      </c>
      <c r="AT222" s="17">
        <f t="shared" si="25"/>
        <v>2030.0201593096176</v>
      </c>
      <c r="AU222" s="17">
        <f t="shared" si="25"/>
        <v>2088.930911614771</v>
      </c>
      <c r="AV222" s="17">
        <f t="shared" si="25"/>
        <v>1924.4027488948129</v>
      </c>
      <c r="AW222" s="17">
        <f t="shared" si="25"/>
        <v>1872.4358008242491</v>
      </c>
      <c r="AX222" s="17">
        <f t="shared" si="25"/>
        <v>1984.0232707467105</v>
      </c>
      <c r="AY222" s="17">
        <f t="shared" si="25"/>
        <v>1872.4312688008592</v>
      </c>
      <c r="AZ222" s="17">
        <f t="shared" si="25"/>
        <v>1872.4471376570973</v>
      </c>
      <c r="BA222" s="17">
        <f t="shared" si="25"/>
        <v>2023.9075544976049</v>
      </c>
    </row>
    <row r="223" spans="1:53" outlineLevel="1" x14ac:dyDescent="0.35">
      <c r="A223" s="6" t="s">
        <v>39</v>
      </c>
      <c r="B223" s="6">
        <f>'Results - raw data ReCiPe (E)'!BC86</f>
        <v>624.93478538201657</v>
      </c>
    </row>
    <row r="224" spans="1:53" outlineLevel="1" x14ac:dyDescent="0.35">
      <c r="A224" s="6" t="s">
        <v>41</v>
      </c>
      <c r="B224" s="6">
        <f>'Results - raw data ReCiPe (E)'!BC87</f>
        <v>53.826181440223777</v>
      </c>
    </row>
    <row r="225" spans="1:53" outlineLevel="1" x14ac:dyDescent="0.35">
      <c r="A225" s="6" t="s">
        <v>43</v>
      </c>
      <c r="B225" s="6">
        <f>'Results - raw data ReCiPe (E)'!BC88</f>
        <v>70.875745924850293</v>
      </c>
      <c r="AB225" s="219"/>
      <c r="AC225" s="219"/>
      <c r="AD225" s="219"/>
      <c r="AE225" s="219"/>
      <c r="AF225" s="219"/>
      <c r="AG225" s="219"/>
      <c r="AH225" s="219"/>
      <c r="AI225" s="219"/>
      <c r="AJ225" s="219"/>
      <c r="AK225" s="219"/>
      <c r="AL225" s="219"/>
      <c r="AM225" s="219"/>
      <c r="AN225" s="219"/>
      <c r="AO225" s="219"/>
      <c r="AP225" s="219"/>
      <c r="AQ225" s="219"/>
      <c r="AR225" s="219"/>
      <c r="AS225" s="219"/>
      <c r="AT225" s="219"/>
      <c r="AU225" s="219"/>
      <c r="AV225" s="219"/>
      <c r="AW225" s="219"/>
      <c r="AX225" s="219"/>
      <c r="AY225" s="219"/>
      <c r="AZ225" s="219"/>
      <c r="BA225" s="219"/>
    </row>
    <row r="226" spans="1:53" outlineLevel="1" x14ac:dyDescent="0.35">
      <c r="A226" s="6" t="s">
        <v>44</v>
      </c>
      <c r="B226" s="6">
        <f>'Results - raw data ReCiPe (E)'!BC89*AC210*AC212</f>
        <v>259.70352548768199</v>
      </c>
      <c r="AB226" s="219"/>
      <c r="AC226" s="219"/>
      <c r="AD226" s="219"/>
      <c r="AE226" s="219"/>
      <c r="AF226" s="219"/>
      <c r="AG226" s="219"/>
      <c r="AH226" s="219"/>
      <c r="AI226" s="219"/>
      <c r="AJ226" s="219"/>
      <c r="AK226" s="219"/>
      <c r="AL226" s="219"/>
      <c r="AM226" s="219"/>
      <c r="AN226" s="219"/>
      <c r="AO226" s="219"/>
      <c r="AP226" s="219"/>
      <c r="AQ226" s="219"/>
      <c r="AR226" s="219"/>
      <c r="AS226" s="219"/>
      <c r="AT226" s="219"/>
      <c r="AU226" s="219"/>
      <c r="AV226" s="219"/>
      <c r="AW226" s="219"/>
      <c r="AX226" s="219"/>
      <c r="AY226" s="219"/>
      <c r="AZ226" s="219"/>
      <c r="BA226" s="219"/>
    </row>
    <row r="227" spans="1:53" outlineLevel="1" x14ac:dyDescent="0.35">
      <c r="A227" s="6" t="s">
        <v>757</v>
      </c>
      <c r="B227" s="6">
        <f>'Results - raw data ReCiPe (E)'!BC90*AC210*AC212</f>
        <v>91.011969852310742</v>
      </c>
      <c r="AB227" s="219"/>
      <c r="AC227" s="219"/>
      <c r="AD227" s="219"/>
      <c r="AE227" s="219"/>
      <c r="AF227" s="219"/>
      <c r="AG227" s="219"/>
      <c r="AH227" s="219"/>
      <c r="AI227" s="219"/>
      <c r="AJ227" s="219"/>
      <c r="AK227" s="219"/>
      <c r="AL227" s="219"/>
      <c r="AM227" s="219"/>
      <c r="AN227" s="219"/>
      <c r="AO227" s="219"/>
      <c r="AP227" s="219"/>
      <c r="AQ227" s="219"/>
      <c r="AR227" s="219"/>
      <c r="AS227" s="219"/>
      <c r="AT227" s="219"/>
      <c r="AU227" s="219"/>
      <c r="AV227" s="219"/>
      <c r="AW227" s="219"/>
      <c r="AX227" s="219"/>
      <c r="AY227" s="219"/>
      <c r="AZ227" s="219"/>
      <c r="BA227" s="219"/>
    </row>
    <row r="228" spans="1:53" outlineLevel="1" x14ac:dyDescent="0.35">
      <c r="A228" s="6" t="s">
        <v>22</v>
      </c>
      <c r="Z228" s="6">
        <f>'Results - raw data ReCiPe (E)'!CA91</f>
        <v>0.30645463756563912</v>
      </c>
      <c r="AB228" s="219"/>
      <c r="AC228" s="219"/>
      <c r="AD228" s="219"/>
      <c r="AE228" s="219"/>
      <c r="AF228" s="219"/>
      <c r="AG228" s="219"/>
      <c r="AH228" s="219"/>
      <c r="AI228" s="219"/>
      <c r="AJ228" s="219"/>
      <c r="AK228" s="219"/>
      <c r="AL228" s="219"/>
      <c r="AM228" s="219"/>
      <c r="AN228" s="219"/>
      <c r="AO228" s="219"/>
      <c r="AP228" s="219"/>
      <c r="AQ228" s="219"/>
      <c r="AR228" s="219"/>
      <c r="AS228" s="219"/>
      <c r="AT228" s="219"/>
      <c r="AU228" s="219"/>
      <c r="AV228" s="219"/>
      <c r="AW228" s="219"/>
      <c r="AX228" s="219"/>
      <c r="AY228" s="219"/>
      <c r="AZ228" s="219"/>
      <c r="BA228" s="219"/>
    </row>
    <row r="229" spans="1:53" outlineLevel="1" x14ac:dyDescent="0.35">
      <c r="A229" s="6" t="s">
        <v>24</v>
      </c>
      <c r="Z229" s="6">
        <f>'Results - raw data ReCiPe (E)'!CA92</f>
        <v>0.3399986060911393</v>
      </c>
      <c r="AB229" s="219"/>
      <c r="AC229" s="219"/>
      <c r="AD229" s="219"/>
      <c r="AE229" s="219"/>
      <c r="AF229" s="219"/>
      <c r="AG229" s="219"/>
      <c r="AH229" s="219"/>
      <c r="AI229" s="219"/>
      <c r="AJ229" s="219"/>
      <c r="AK229" s="219"/>
      <c r="AL229" s="219"/>
      <c r="AM229" s="219"/>
      <c r="AN229" s="219"/>
      <c r="AO229" s="219"/>
      <c r="AP229" s="219"/>
      <c r="AQ229" s="219"/>
      <c r="AR229" s="219"/>
      <c r="AS229" s="219"/>
      <c r="AT229" s="219"/>
      <c r="AU229" s="219"/>
      <c r="AV229" s="219"/>
      <c r="AW229" s="219"/>
      <c r="AX229" s="219"/>
      <c r="AY229" s="219"/>
      <c r="AZ229" s="219"/>
      <c r="BA229" s="219"/>
    </row>
    <row r="230" spans="1:53" outlineLevel="1" x14ac:dyDescent="0.35">
      <c r="A230" s="6" t="s">
        <v>25</v>
      </c>
      <c r="Z230" s="6">
        <f>'Results - raw data ReCiPe (E)'!CA93</f>
        <v>1.5469447682086319</v>
      </c>
      <c r="AB230" s="219"/>
      <c r="AC230" s="219"/>
      <c r="AD230" s="219"/>
      <c r="AE230" s="219"/>
      <c r="AF230" s="219"/>
      <c r="AG230" s="219"/>
      <c r="AH230" s="219"/>
      <c r="AI230" s="219"/>
      <c r="AJ230" s="219"/>
      <c r="AK230" s="219"/>
      <c r="AL230" s="219"/>
      <c r="AM230" s="219"/>
      <c r="AN230" s="219"/>
      <c r="AO230" s="219"/>
      <c r="AP230" s="219"/>
      <c r="AQ230" s="219"/>
      <c r="AR230" s="219"/>
      <c r="AS230" s="219"/>
      <c r="AT230" s="219"/>
      <c r="AU230" s="219"/>
      <c r="AV230" s="219"/>
      <c r="AW230" s="219"/>
      <c r="AX230" s="219"/>
      <c r="AY230" s="219"/>
      <c r="AZ230" s="219"/>
      <c r="BA230" s="219"/>
    </row>
    <row r="231" spans="1:53" outlineLevel="1" x14ac:dyDescent="0.35">
      <c r="A231" s="6" t="s">
        <v>27</v>
      </c>
      <c r="Z231" s="6">
        <f>'Results - raw data ReCiPe (E)'!CA94</f>
        <v>0.94596137523052126</v>
      </c>
      <c r="AB231" s="219"/>
      <c r="AC231" s="219"/>
      <c r="AD231" s="219"/>
      <c r="AE231" s="219"/>
      <c r="AF231" s="219"/>
      <c r="AG231" s="219"/>
      <c r="AH231" s="219"/>
      <c r="AI231" s="219"/>
      <c r="AJ231" s="219"/>
      <c r="AK231" s="219"/>
      <c r="AL231" s="219"/>
      <c r="AM231" s="219"/>
      <c r="AN231" s="219"/>
      <c r="AO231" s="219"/>
      <c r="AP231" s="219"/>
      <c r="AQ231" s="219"/>
      <c r="AR231" s="219"/>
      <c r="AS231" s="219"/>
      <c r="AT231" s="219"/>
      <c r="AU231" s="219"/>
      <c r="AV231" s="219"/>
      <c r="AW231" s="219"/>
      <c r="AX231" s="219"/>
      <c r="AY231" s="219"/>
      <c r="AZ231" s="219"/>
      <c r="BA231" s="219"/>
    </row>
    <row r="232" spans="1:53" outlineLevel="1" x14ac:dyDescent="0.35">
      <c r="A232" s="6" t="s">
        <v>30</v>
      </c>
      <c r="Z232" s="6">
        <f>'Results - raw data ReCiPe (E)'!CA95</f>
        <v>0.37616038726092632</v>
      </c>
      <c r="AB232" s="219"/>
      <c r="AC232" s="219"/>
      <c r="AD232" s="219"/>
      <c r="AE232" s="219"/>
      <c r="AF232" s="219"/>
      <c r="AG232" s="219"/>
      <c r="AH232" s="219"/>
      <c r="AI232" s="219"/>
      <c r="AJ232" s="219"/>
      <c r="AK232" s="219"/>
      <c r="AL232" s="219"/>
      <c r="AM232" s="219"/>
      <c r="AN232" s="219"/>
      <c r="AO232" s="219"/>
      <c r="AP232" s="219"/>
      <c r="AQ232" s="219"/>
      <c r="AR232" s="219"/>
      <c r="AS232" s="219"/>
      <c r="AT232" s="219"/>
      <c r="AU232" s="219"/>
      <c r="AV232" s="219"/>
      <c r="AW232" s="219"/>
      <c r="AX232" s="219"/>
      <c r="AY232" s="219"/>
      <c r="AZ232" s="219"/>
      <c r="BA232" s="219"/>
    </row>
    <row r="233" spans="1:53" outlineLevel="1" x14ac:dyDescent="0.35">
      <c r="A233" s="6" t="s">
        <v>32</v>
      </c>
      <c r="Z233" s="6">
        <f>'Results - raw data ReCiPe (E)'!CA96</f>
        <v>0.16899067547104371</v>
      </c>
      <c r="AB233" s="219"/>
      <c r="AC233" s="219"/>
      <c r="AD233" s="219"/>
      <c r="AE233" s="219"/>
      <c r="AF233" s="219"/>
      <c r="AG233" s="219"/>
      <c r="AH233" s="219"/>
      <c r="AI233" s="219"/>
      <c r="AJ233" s="219"/>
      <c r="AK233" s="219"/>
      <c r="AL233" s="219"/>
      <c r="AM233" s="219"/>
      <c r="AN233" s="219"/>
      <c r="AO233" s="219"/>
      <c r="AP233" s="219"/>
      <c r="AQ233" s="219"/>
      <c r="AR233" s="219"/>
      <c r="AS233" s="219"/>
      <c r="AT233" s="219"/>
      <c r="AU233" s="219"/>
      <c r="AV233" s="219"/>
      <c r="AW233" s="219"/>
      <c r="AX233" s="219"/>
      <c r="AY233" s="219"/>
      <c r="AZ233" s="219"/>
      <c r="BA233" s="219"/>
    </row>
    <row r="234" spans="1:53" outlineLevel="1" x14ac:dyDescent="0.35">
      <c r="A234" s="6" t="s">
        <v>33</v>
      </c>
      <c r="Z234" s="6">
        <f>'Results - raw data ReCiPe (E)'!CA97</f>
        <v>9.7220591364325634E-2</v>
      </c>
      <c r="AB234" s="219"/>
      <c r="AC234" s="219"/>
      <c r="AD234" s="219"/>
      <c r="AE234" s="219"/>
      <c r="AF234" s="219"/>
      <c r="AG234" s="219"/>
      <c r="AH234" s="219"/>
      <c r="AI234" s="219"/>
      <c r="AJ234" s="219"/>
      <c r="AK234" s="219"/>
      <c r="AL234" s="219"/>
      <c r="AM234" s="219"/>
      <c r="AN234" s="219"/>
      <c r="AO234" s="219"/>
      <c r="AP234" s="219"/>
      <c r="AQ234" s="219"/>
      <c r="AR234" s="219"/>
      <c r="AS234" s="219"/>
      <c r="AT234" s="219"/>
      <c r="AU234" s="219"/>
      <c r="AV234" s="219"/>
      <c r="AW234" s="219"/>
      <c r="AX234" s="219"/>
      <c r="AY234" s="219"/>
      <c r="AZ234" s="219"/>
      <c r="BA234" s="219"/>
    </row>
    <row r="235" spans="1:53" outlineLevel="1" x14ac:dyDescent="0.35">
      <c r="A235" s="6" t="s">
        <v>35</v>
      </c>
      <c r="Z235" s="6">
        <f>'Results - raw data ReCiPe (E)'!CA98</f>
        <v>0.1944411827286513</v>
      </c>
      <c r="AB235" s="219"/>
      <c r="AC235" s="219"/>
      <c r="AD235" s="219"/>
      <c r="AE235" s="219"/>
      <c r="AF235" s="219"/>
      <c r="AG235" s="219"/>
      <c r="AH235" s="219"/>
      <c r="AI235" s="219"/>
      <c r="AJ235" s="219"/>
      <c r="AK235" s="219"/>
      <c r="AL235" s="219"/>
      <c r="AM235" s="219"/>
      <c r="AN235" s="219"/>
      <c r="AO235" s="219"/>
      <c r="AP235" s="219"/>
      <c r="AQ235" s="219"/>
      <c r="AR235" s="219"/>
      <c r="AS235" s="219"/>
      <c r="AT235" s="219"/>
      <c r="AU235" s="219"/>
      <c r="AV235" s="219"/>
      <c r="AW235" s="219"/>
      <c r="AX235" s="219"/>
      <c r="AY235" s="219"/>
      <c r="AZ235" s="219"/>
      <c r="BA235" s="219"/>
    </row>
    <row r="236" spans="1:53" outlineLevel="1" x14ac:dyDescent="0.35">
      <c r="A236" s="6" t="s">
        <v>37</v>
      </c>
      <c r="Z236" s="6">
        <f>'Results - raw data ReCiPe (E)'!CA99</f>
        <v>2.8647805737763981</v>
      </c>
      <c r="AB236" s="219"/>
      <c r="AC236" s="219"/>
      <c r="AD236" s="219"/>
      <c r="AE236" s="219"/>
      <c r="AF236" s="219"/>
      <c r="AG236" s="219"/>
      <c r="AH236" s="219"/>
      <c r="AI236" s="219"/>
      <c r="AJ236" s="219"/>
      <c r="AK236" s="219"/>
      <c r="AL236" s="219"/>
      <c r="AM236" s="219"/>
      <c r="AN236" s="219"/>
      <c r="AO236" s="219"/>
      <c r="AP236" s="219"/>
      <c r="AQ236" s="219"/>
      <c r="AR236" s="219"/>
      <c r="AS236" s="219"/>
      <c r="AT236" s="219"/>
      <c r="AU236" s="219"/>
      <c r="AV236" s="219"/>
      <c r="AW236" s="219"/>
      <c r="AX236" s="219"/>
      <c r="AY236" s="219"/>
      <c r="AZ236" s="219"/>
      <c r="BA236" s="219"/>
    </row>
    <row r="237" spans="1:53" outlineLevel="1" x14ac:dyDescent="0.35">
      <c r="A237" s="6" t="s">
        <v>40</v>
      </c>
      <c r="Z237" s="6">
        <f>'Results - raw data ReCiPe (E)'!CA100</f>
        <v>1.338740524566238</v>
      </c>
    </row>
    <row r="238" spans="1:53" outlineLevel="1" x14ac:dyDescent="0.35">
      <c r="A238" s="6" t="s">
        <v>42</v>
      </c>
      <c r="Z238" s="6">
        <f>'Results - raw data ReCiPe (E)'!CA101</f>
        <v>3.6068373150242472</v>
      </c>
    </row>
    <row r="239" spans="1:53" outlineLevel="1" x14ac:dyDescent="0.35">
      <c r="A239" s="6" t="s">
        <v>115</v>
      </c>
      <c r="Z239" s="6">
        <f>'Results - raw data ReCiPe (E)'!CA102</f>
        <v>27.017443063191141</v>
      </c>
    </row>
    <row r="240" spans="1:53" outlineLevel="1" x14ac:dyDescent="0.35">
      <c r="A240" s="6" t="s">
        <v>45</v>
      </c>
      <c r="Z240" s="6">
        <f>'Results - raw data ReCiPe (E)'!CA103*AC210*AC212</f>
        <v>1.2292258629747401</v>
      </c>
    </row>
    <row r="241" spans="1:26" outlineLevel="1" x14ac:dyDescent="0.35">
      <c r="A241" s="6" t="s">
        <v>116</v>
      </c>
      <c r="B241" s="6">
        <f>'Results - raw data ReCiPe (E)'!BC104</f>
        <v>114.3683807366764</v>
      </c>
      <c r="C241" s="6">
        <f>'Results - raw data ReCiPe (E)'!BD104</f>
        <v>114.0017039751709</v>
      </c>
      <c r="D241" s="6">
        <f>'Results - raw data ReCiPe (E)'!BE104</f>
        <v>113.6289420981055</v>
      </c>
      <c r="E241" s="6">
        <f>'Results - raw data ReCiPe (E)'!BF104</f>
        <v>112.5935013842018</v>
      </c>
      <c r="F241" s="6">
        <f>'Results - raw data ReCiPe (E)'!BG104</f>
        <v>112.21447205134019</v>
      </c>
      <c r="G241" s="6">
        <f>'Results - raw data ReCiPe (E)'!BH104</f>
        <v>111.8279247721663</v>
      </c>
      <c r="H241" s="6">
        <f>'Results - raw data ReCiPe (E)'!BI104</f>
        <v>112.32417693968689</v>
      </c>
      <c r="I241" s="6">
        <f>'Results - raw data ReCiPe (E)'!BJ104</f>
        <v>112.8105214019901</v>
      </c>
      <c r="J241" s="6">
        <f>'Results - raw data ReCiPe (E)'!BK104</f>
        <v>112.8515245628945</v>
      </c>
      <c r="K241" s="6">
        <f>'Results - raw data ReCiPe (E)'!BL104</f>
        <v>113.32500088396689</v>
      </c>
      <c r="L241" s="6">
        <f>'Results - raw data ReCiPe (E)'!BM104</f>
        <v>113.78920751582319</v>
      </c>
      <c r="M241" s="6">
        <f>'Results - raw data ReCiPe (E)'!BN104</f>
        <v>113.7575356663548</v>
      </c>
      <c r="N241" s="6">
        <f>'Results - raw data ReCiPe (E)'!BO104</f>
        <v>113.72581624339961</v>
      </c>
      <c r="O241" s="6">
        <f>'Results - raw data ReCiPe (E)'!BP104</f>
        <v>113.5646941347681</v>
      </c>
      <c r="P241" s="6">
        <f>'Results - raw data ReCiPe (E)'!BQ104</f>
        <v>113.53587591421029</v>
      </c>
      <c r="Q241" s="6">
        <f>'Results - raw data ReCiPe (E)'!BR104</f>
        <v>113.5067955292801</v>
      </c>
      <c r="R241" s="6">
        <f>'Results - raw data ReCiPe (E)'!BS104</f>
        <v>113.1631040623593</v>
      </c>
      <c r="S241" s="6">
        <f>'Results - raw data ReCiPe (E)'!BT104</f>
        <v>112.821248289135</v>
      </c>
      <c r="T241" s="6">
        <f>'Results - raw data ReCiPe (E)'!BU104</f>
        <v>112.3594591286536</v>
      </c>
      <c r="U241" s="6">
        <f>'Results - raw data ReCiPe (E)'!BV104</f>
        <v>112.0229508624944</v>
      </c>
      <c r="V241" s="6">
        <f>'Results - raw data ReCiPe (E)'!BW104</f>
        <v>111.6876654012725</v>
      </c>
      <c r="W241" s="6">
        <f>'Results - raw data ReCiPe (E)'!BX104</f>
        <v>111.6217687079732</v>
      </c>
      <c r="X241" s="6">
        <f>'Results - raw data ReCiPe (E)'!BY104</f>
        <v>111.5564699160188</v>
      </c>
      <c r="Y241" s="6">
        <f>'Results - raw data ReCiPe (E)'!BZ104</f>
        <v>111.4915057401156</v>
      </c>
      <c r="Z241" s="6">
        <f>'Results - raw data ReCiPe (E)'!CA104</f>
        <v>111.42686667692951</v>
      </c>
    </row>
    <row r="242" spans="1:26" outlineLevel="1" x14ac:dyDescent="0.35">
      <c r="A242" s="6" t="s">
        <v>758</v>
      </c>
      <c r="B242" s="6">
        <f>'Results - raw data ReCiPe (E)'!BC105*$AC$210</f>
        <v>123.02041989163439</v>
      </c>
      <c r="C242" s="6">
        <f>'Results - raw data ReCiPe (E)'!BD105*$AC$210</f>
        <v>113.168355221741</v>
      </c>
      <c r="D242" s="6">
        <f>'Results - raw data ReCiPe (E)'!BE105*$AC$210</f>
        <v>103.3105466624649</v>
      </c>
      <c r="E242" s="6">
        <f>'Results - raw data ReCiPe (E)'!BF105*$AC$210</f>
        <v>92.995621550295454</v>
      </c>
      <c r="F242" s="6">
        <f>'Results - raw data ReCiPe (E)'!BG105*$AC$210</f>
        <v>83.111714201283888</v>
      </c>
      <c r="G242" s="6">
        <f>'Results - raw data ReCiPe (E)'!BH105*$AC$210</f>
        <v>73.223729729510069</v>
      </c>
      <c r="H242" s="6">
        <f>'Results - raw data ReCiPe (E)'!BI105*$AC$210</f>
        <v>83.884832308648711</v>
      </c>
      <c r="I242" s="6">
        <f>'Results - raw data ReCiPe (E)'!BJ105*$AC$210</f>
        <v>94.471920332828333</v>
      </c>
      <c r="J242" s="6">
        <f>'Results - raw data ReCiPe (E)'!BK105*$AC$210</f>
        <v>104.54458438611429</v>
      </c>
      <c r="K242" s="6">
        <f>'Results - raw data ReCiPe (E)'!BL105*$AC$210</f>
        <v>114.97113745009231</v>
      </c>
      <c r="L242" s="6">
        <f>'Results - raw data ReCiPe (E)'!BM105*$AC$210</f>
        <v>125.3262553775311</v>
      </c>
      <c r="M242" s="6">
        <f>'Results - raw data ReCiPe (E)'!BN105*$AC$210</f>
        <v>138.53033504075449</v>
      </c>
      <c r="N242" s="6">
        <f>'Results - raw data ReCiPe (E)'!BO105*$AC$210</f>
        <v>151.7142805666696</v>
      </c>
      <c r="O242" s="6">
        <f>'Results - raw data ReCiPe (E)'!BP105*$AC$210</f>
        <v>164.7782457633767</v>
      </c>
      <c r="P242" s="6">
        <f>'Results - raw data ReCiPe (E)'!BQ105*$AC$210</f>
        <v>177.9241906952733</v>
      </c>
      <c r="Q242" s="6">
        <f>'Results - raw data ReCiPe (E)'!BR105*$AC$210</f>
        <v>191.0494282034141</v>
      </c>
      <c r="R242" s="6">
        <f>'Results - raw data ReCiPe (E)'!BS105*$AC$210</f>
        <v>187.01387471032581</v>
      </c>
      <c r="S242" s="6">
        <f>'Results - raw data ReCiPe (E)'!BT105*$AC$210</f>
        <v>182.9611295071519</v>
      </c>
      <c r="T242" s="6">
        <f>'Results - raw data ReCiPe (E)'!BU105*$AC$210</f>
        <v>178.79993755321081</v>
      </c>
      <c r="U242" s="6">
        <f>'Results - raw data ReCiPe (E)'!BV105*$AC$210</f>
        <v>174.7147434167785</v>
      </c>
      <c r="V242" s="6">
        <f>'Results - raw data ReCiPe (E)'!BW105*$AC$210</f>
        <v>170.61144881673999</v>
      </c>
      <c r="W242" s="6">
        <f>'Results - raw data ReCiPe (E)'!BX105*$AC$210</f>
        <v>170.41214540435371</v>
      </c>
      <c r="X242" s="6">
        <f>'Results - raw data ReCiPe (E)'!BY105*$AC$210</f>
        <v>170.2215706332619</v>
      </c>
      <c r="Y242" s="6">
        <f>'Results - raw data ReCiPe (E)'!BZ105*$AC$210</f>
        <v>170.02960896366901</v>
      </c>
      <c r="Z242" s="6">
        <f>'Results - raw data ReCiPe (E)'!CA105*$AC$210</f>
        <v>169.83604940899738</v>
      </c>
    </row>
    <row r="243" spans="1:26" outlineLevel="1" x14ac:dyDescent="0.35">
      <c r="A243" s="6" t="s">
        <v>759</v>
      </c>
      <c r="B243" s="6">
        <f>'Results - raw data ReCiPe (E)'!BC106</f>
        <v>0</v>
      </c>
      <c r="C243" s="6">
        <f>'Results - raw data ReCiPe (E)'!BD106</f>
        <v>0</v>
      </c>
      <c r="D243" s="6">
        <f>'Results - raw data ReCiPe (E)'!BE106</f>
        <v>0</v>
      </c>
      <c r="E243" s="6">
        <f>'Results - raw data ReCiPe (E)'!BF106</f>
        <v>0</v>
      </c>
      <c r="F243" s="6">
        <f>'Results - raw data ReCiPe (E)'!BG106</f>
        <v>0</v>
      </c>
      <c r="G243" s="6">
        <f>'Results - raw data ReCiPe (E)'!BH106</f>
        <v>0</v>
      </c>
      <c r="H243" s="6">
        <f>'Results - raw data ReCiPe (E)'!BI106</f>
        <v>0</v>
      </c>
      <c r="I243" s="6">
        <f>'Results - raw data ReCiPe (E)'!BJ106</f>
        <v>0</v>
      </c>
      <c r="J243" s="6">
        <f>'Results - raw data ReCiPe (E)'!BK106</f>
        <v>0</v>
      </c>
      <c r="K243" s="6">
        <f>'Results - raw data ReCiPe (E)'!BL106</f>
        <v>0</v>
      </c>
      <c r="L243" s="6">
        <f>'Results - raw data ReCiPe (E)'!BM106</f>
        <v>0</v>
      </c>
      <c r="M243" s="6">
        <f>'Results - raw data ReCiPe (E)'!BN106</f>
        <v>0</v>
      </c>
      <c r="N243" s="6">
        <f>'Results - raw data ReCiPe (E)'!BO106</f>
        <v>0</v>
      </c>
      <c r="O243" s="6">
        <f>'Results - raw data ReCiPe (E)'!BP106</f>
        <v>0</v>
      </c>
      <c r="P243" s="6">
        <f>'Results - raw data ReCiPe (E)'!BQ106</f>
        <v>0</v>
      </c>
      <c r="Q243" s="6">
        <f>'Results - raw data ReCiPe (E)'!BR106</f>
        <v>0</v>
      </c>
      <c r="R243" s="6">
        <f>'Results - raw data ReCiPe (E)'!BS106</f>
        <v>0</v>
      </c>
      <c r="S243" s="6">
        <f>'Results - raw data ReCiPe (E)'!BT106</f>
        <v>0</v>
      </c>
      <c r="T243" s="6">
        <f>'Results - raw data ReCiPe (E)'!BU106</f>
        <v>0</v>
      </c>
      <c r="U243" s="6">
        <f>'Results - raw data ReCiPe (E)'!BV106</f>
        <v>0</v>
      </c>
      <c r="V243" s="6">
        <f>'Results - raw data ReCiPe (E)'!BW106</f>
        <v>0</v>
      </c>
      <c r="W243" s="6">
        <f>'Results - raw data ReCiPe (E)'!BX106</f>
        <v>0</v>
      </c>
      <c r="X243" s="6">
        <f>'Results - raw data ReCiPe (E)'!BY106</f>
        <v>0</v>
      </c>
      <c r="Y243" s="6">
        <f>'Results - raw data ReCiPe (E)'!BZ106</f>
        <v>0</v>
      </c>
      <c r="Z243" s="6">
        <f>'Results - raw data ReCiPe (E)'!CA106</f>
        <v>0</v>
      </c>
    </row>
    <row r="244" spans="1:26" outlineLevel="1" x14ac:dyDescent="0.35">
      <c r="A244" s="6" t="s">
        <v>760</v>
      </c>
      <c r="B244" s="6">
        <f>150000*($AC$211*'Results - raw data ReCiPe (E)'!BC128+(1-$AC$211)*'Results - raw data ReCiPe (E)'!BC129)</f>
        <v>1218.0763896306767</v>
      </c>
      <c r="C244" s="6">
        <f>150000*($AC$211*'Results - raw data ReCiPe (E)'!BD128+(1-$AC$211)*'Results - raw data ReCiPe (E)'!BD129)</f>
        <v>1122.6420509360951</v>
      </c>
      <c r="D244" s="6">
        <f>150000*($AC$211*'Results - raw data ReCiPe (E)'!BE128+(1-$AC$211)*'Results - raw data ReCiPe (E)'!BE129)</f>
        <v>1026.4601422472872</v>
      </c>
      <c r="E244" s="6">
        <f>150000*($AC$211*'Results - raw data ReCiPe (E)'!BF128+(1-$AC$211)*'Results - raw data ReCiPe (E)'!BF129)</f>
        <v>924.86337230067863</v>
      </c>
      <c r="F244" s="6">
        <f>150000*($AC$211*'Results - raw data ReCiPe (E)'!BG128+(1-$AC$211)*'Results - raw data ReCiPe (E)'!BG129)</f>
        <v>826.9962018424452</v>
      </c>
      <c r="G244" s="6">
        <f>150000*($AC$211*'Results - raw data ReCiPe (E)'!BH128+(1-$AC$211)*'Results - raw data ReCiPe (E)'!BH129)</f>
        <v>728.38132407338799</v>
      </c>
      <c r="H244" s="6">
        <f>150000*($AC$211*'Results - raw data ReCiPe (E)'!BI128+(1-$AC$211)*'Results - raw data ReCiPe (E)'!BI129)</f>
        <v>838.33232341873565</v>
      </c>
      <c r="I244" s="6">
        <f>150000*($AC$211*'Results - raw data ReCiPe (E)'!BJ128+(1-$AC$211)*'Results - raw data ReCiPe (E)'!BJ129)</f>
        <v>948.00017582767396</v>
      </c>
      <c r="J244" s="6">
        <f>150000*($AC$211*'Results - raw data ReCiPe (E)'!BK128+(1-$AC$211)*'Results - raw data ReCiPe (E)'!BK129)</f>
        <v>1052.8376606045488</v>
      </c>
      <c r="K244" s="6">
        <f>150000*($AC$211*'Results - raw data ReCiPe (E)'!BL128+(1-$AC$211)*'Results - raw data ReCiPe (E)'!BL129)</f>
        <v>1161.7976673492083</v>
      </c>
      <c r="L244" s="6">
        <f>150000*($AC$211*'Results - raw data ReCiPe (E)'!BM128+(1-$AC$211)*'Results - raw data ReCiPe (E)'!BM129)</f>
        <v>1270.4968165088494</v>
      </c>
      <c r="M244" s="6">
        <f>150000*($AC$211*'Results - raw data ReCiPe (E)'!BN128+(1-$AC$211)*'Results - raw data ReCiPe (E)'!BN129)</f>
        <v>1406.3740903018656</v>
      </c>
      <c r="N244" s="6">
        <f>150000*($AC$211*'Results - raw data ReCiPe (E)'!BO128+(1-$AC$211)*'Results - raw data ReCiPe (E)'!BO129)</f>
        <v>1541.8135322914363</v>
      </c>
      <c r="O244" s="6">
        <f>150000*($AC$211*'Results - raw data ReCiPe (E)'!BP128+(1-$AC$211)*'Results - raw data ReCiPe (E)'!BP129)</f>
        <v>1675.7826360665654</v>
      </c>
      <c r="P244" s="6">
        <f>150000*($AC$211*'Results - raw data ReCiPe (E)'!BQ128+(1-$AC$211)*'Results - raw data ReCiPe (E)'!BQ129)</f>
        <v>1810.3698091070112</v>
      </c>
      <c r="Q244" s="6">
        <f>150000*($AC$211*'Results - raw data ReCiPe (E)'!BR128+(1-$AC$211)*'Results - raw data ReCiPe (E)'!BR129)</f>
        <v>1944.5141000752865</v>
      </c>
      <c r="R244" s="6">
        <f>150000*($AC$211*'Results - raw data ReCiPe (E)'!BS128+(1-$AC$211)*'Results - raw data ReCiPe (E)'!BS129)</f>
        <v>1895.6599142508051</v>
      </c>
      <c r="S244" s="6">
        <f>150000*($AC$211*'Results - raw data ReCiPe (E)'!BT128+(1-$AC$211)*'Results - raw data ReCiPe (E)'!BT129)</f>
        <v>1847.0590298024658</v>
      </c>
      <c r="T244" s="6">
        <f>150000*($AC$211*'Results - raw data ReCiPe (E)'!BU128+(1-$AC$211)*'Results - raw data ReCiPe (E)'!BU129)</f>
        <v>1797.7715149329067</v>
      </c>
      <c r="U244" s="6">
        <f>150000*($AC$211*'Results - raw data ReCiPe (E)'!BV128+(1-$AC$211)*'Results - raw data ReCiPe (E)'!BV129)</f>
        <v>1749.6880054780345</v>
      </c>
      <c r="V244" s="6">
        <f>150000*($AC$211*'Results - raw data ReCiPe (E)'!BW128+(1-$AC$211)*'Results - raw data ReCiPe (E)'!BW129)</f>
        <v>1701.8243520075091</v>
      </c>
      <c r="W244" s="6">
        <f>150000*($AC$211*'Results - raw data ReCiPe (E)'!BX128+(1-$AC$211)*'Results - raw data ReCiPe (E)'!BX129)</f>
        <v>1701.9893566343837</v>
      </c>
      <c r="X244" s="6">
        <f>150000*($AC$211*'Results - raw data ReCiPe (E)'!BY128+(1-$AC$211)*'Results - raw data ReCiPe (E)'!BY129)</f>
        <v>1702.2096981675973</v>
      </c>
      <c r="Y244" s="6">
        <f>150000*($AC$211*'Results - raw data ReCiPe (E)'!BZ128+(1-$AC$211)*'Results - raw data ReCiPe (E)'!BZ129)</f>
        <v>1702.4175286934283</v>
      </c>
      <c r="Z244" s="6">
        <f>150000*($AC$211*'Results - raw data ReCiPe (E)'!CA128+(1-$AC$211)*'Results - raw data ReCiPe (E)'!CA129)</f>
        <v>1702.6114388482245</v>
      </c>
    </row>
    <row r="245" spans="1:26" outlineLevel="1" x14ac:dyDescent="0.35">
      <c r="A245" s="23" t="s">
        <v>125</v>
      </c>
      <c r="B245" s="17">
        <f>SUM(B214:B244)</f>
        <v>4417.4072424295191</v>
      </c>
      <c r="C245" s="17">
        <f t="shared" ref="C245:Z245" si="26">SUM(C214:C244)</f>
        <v>1349.8121101330071</v>
      </c>
      <c r="D245" s="17">
        <f t="shared" si="26"/>
        <v>1243.3996310078576</v>
      </c>
      <c r="E245" s="17">
        <f t="shared" si="26"/>
        <v>1130.4524952351758</v>
      </c>
      <c r="F245" s="17">
        <f t="shared" si="26"/>
        <v>1022.3223880950693</v>
      </c>
      <c r="G245" s="17">
        <f t="shared" si="26"/>
        <v>913.43297857506434</v>
      </c>
      <c r="H245" s="17">
        <f t="shared" si="26"/>
        <v>1034.5413326670712</v>
      </c>
      <c r="I245" s="17">
        <f t="shared" si="26"/>
        <v>1155.2826175624923</v>
      </c>
      <c r="J245" s="17">
        <f t="shared" si="26"/>
        <v>1270.2337695535575</v>
      </c>
      <c r="K245" s="17">
        <f t="shared" si="26"/>
        <v>1390.0938056832674</v>
      </c>
      <c r="L245" s="17">
        <f t="shared" si="26"/>
        <v>1509.6122794022037</v>
      </c>
      <c r="M245" s="17">
        <f t="shared" si="26"/>
        <v>1658.6619610089749</v>
      </c>
      <c r="N245" s="17">
        <f t="shared" si="26"/>
        <v>1807.2536291015056</v>
      </c>
      <c r="O245" s="17">
        <f t="shared" si="26"/>
        <v>1954.1255759647102</v>
      </c>
      <c r="P245" s="17">
        <f t="shared" si="26"/>
        <v>2101.8298757164948</v>
      </c>
      <c r="Q245" s="17">
        <f t="shared" si="26"/>
        <v>2249.0703238079805</v>
      </c>
      <c r="R245" s="17">
        <f t="shared" si="26"/>
        <v>2195.8368930234901</v>
      </c>
      <c r="S245" s="17">
        <f t="shared" si="26"/>
        <v>2142.8414075987525</v>
      </c>
      <c r="T245" s="17">
        <f t="shared" si="26"/>
        <v>2088.930911614771</v>
      </c>
      <c r="U245" s="17">
        <f t="shared" si="26"/>
        <v>2036.4256997573075</v>
      </c>
      <c r="V245" s="17">
        <f t="shared" si="26"/>
        <v>1984.1234662255215</v>
      </c>
      <c r="W245" s="17">
        <f t="shared" si="26"/>
        <v>1984.0232707467108</v>
      </c>
      <c r="X245" s="17">
        <f t="shared" si="26"/>
        <v>1983.9877387168781</v>
      </c>
      <c r="Y245" s="17">
        <f t="shared" si="26"/>
        <v>1983.9386433972129</v>
      </c>
      <c r="Z245" s="17">
        <f t="shared" si="26"/>
        <v>2023.9075544976049</v>
      </c>
    </row>
    <row r="246" spans="1:26" outlineLevel="1" x14ac:dyDescent="0.35"/>
    <row r="247" spans="1:26" s="221" customFormat="1" ht="21" x14ac:dyDescent="0.5">
      <c r="A247" s="229" t="s">
        <v>851</v>
      </c>
    </row>
    <row r="248" spans="1:26" s="18" customFormat="1" ht="21" x14ac:dyDescent="0.5">
      <c r="A248" s="18" t="s">
        <v>72</v>
      </c>
    </row>
    <row r="249" spans="1:26" s="20" customFormat="1" outlineLevel="1" x14ac:dyDescent="0.35">
      <c r="A249" s="19" t="s">
        <v>788</v>
      </c>
    </row>
    <row r="250" spans="1:26" s="20" customFormat="1" outlineLevel="1" x14ac:dyDescent="0.35">
      <c r="A250" s="273" t="s">
        <v>775</v>
      </c>
      <c r="B250" s="20">
        <v>1</v>
      </c>
      <c r="C250" s="274" t="s">
        <v>787</v>
      </c>
    </row>
    <row r="251" spans="1:26" s="20" customFormat="1" outlineLevel="1" x14ac:dyDescent="0.35">
      <c r="A251" s="273" t="s">
        <v>781</v>
      </c>
      <c r="B251" s="20">
        <v>100000</v>
      </c>
      <c r="C251" s="20" t="s">
        <v>782</v>
      </c>
      <c r="E251" s="274"/>
    </row>
    <row r="252" spans="1:26" s="20" customFormat="1" outlineLevel="1" x14ac:dyDescent="0.35">
      <c r="A252" s="273" t="s">
        <v>783</v>
      </c>
      <c r="B252" s="20">
        <v>1500</v>
      </c>
      <c r="C252" s="20" t="s">
        <v>592</v>
      </c>
    </row>
    <row r="253" spans="1:26" s="20" customFormat="1" outlineLevel="1" x14ac:dyDescent="0.35">
      <c r="A253" s="273" t="s">
        <v>784</v>
      </c>
      <c r="B253" s="20">
        <v>8760</v>
      </c>
      <c r="C253" s="20" t="s">
        <v>785</v>
      </c>
    </row>
    <row r="254" spans="1:26" s="20" customFormat="1" outlineLevel="1" x14ac:dyDescent="0.35">
      <c r="A254" s="273"/>
    </row>
    <row r="255" spans="1:26" s="20" customFormat="1" outlineLevel="1" x14ac:dyDescent="0.35">
      <c r="A255" s="275" t="s">
        <v>786</v>
      </c>
      <c r="B255" s="275">
        <f>(B251*B252)/(B253*B250)</f>
        <v>17123.287671232876</v>
      </c>
      <c r="C255" s="275" t="s">
        <v>749</v>
      </c>
    </row>
    <row r="256" spans="1:26" s="20" customFormat="1" outlineLevel="1" x14ac:dyDescent="0.35">
      <c r="A256" s="19"/>
    </row>
    <row r="257" spans="1:31" s="20" customFormat="1" outlineLevel="1" x14ac:dyDescent="0.35">
      <c r="A257" s="19" t="s">
        <v>793</v>
      </c>
    </row>
    <row r="258" spans="1:31" s="20" customFormat="1" outlineLevel="1" x14ac:dyDescent="0.35">
      <c r="A258" s="273" t="s">
        <v>789</v>
      </c>
      <c r="B258" s="20">
        <f>SUM('Results - raw data ReCiPe (E)'!BC136:BC137)+'Results - raw data ReCiPe (E)'!BC140+SUM('Results - raw data ReCiPe (E)'!BC138:BC139)*AC267</f>
        <v>85.409970464684321</v>
      </c>
      <c r="C258" s="20" t="s">
        <v>902</v>
      </c>
    </row>
    <row r="259" spans="1:31" s="20" customFormat="1" outlineLevel="1" x14ac:dyDescent="0.35">
      <c r="A259" s="20" t="s">
        <v>792</v>
      </c>
      <c r="B259" s="20">
        <f>B251*AC265</f>
        <v>50000</v>
      </c>
      <c r="C259" s="274" t="s">
        <v>795</v>
      </c>
    </row>
    <row r="260" spans="1:31" s="20" customFormat="1" outlineLevel="1" x14ac:dyDescent="0.35">
      <c r="A260" s="20" t="s">
        <v>791</v>
      </c>
      <c r="B260" s="20">
        <f>(B258*AC267*B255)/(B259*AC266)*(AC266/AC268)</f>
        <v>8.7749969655497591</v>
      </c>
      <c r="C260" s="20" t="s">
        <v>903</v>
      </c>
      <c r="E260" s="274" t="s">
        <v>796</v>
      </c>
    </row>
    <row r="261" spans="1:31" s="20" customFormat="1" outlineLevel="1" x14ac:dyDescent="0.35">
      <c r="A261" s="19"/>
    </row>
    <row r="262" spans="1:31" s="16" customFormat="1" outlineLevel="1" x14ac:dyDescent="0.35">
      <c r="A262" s="21"/>
      <c r="AE262" s="15"/>
    </row>
    <row r="263" spans="1:31" s="16" customFormat="1" outlineLevel="1" x14ac:dyDescent="0.35">
      <c r="A263" s="22" t="s">
        <v>761</v>
      </c>
    </row>
    <row r="264" spans="1:31" s="16" customFormat="1" outlineLevel="1" x14ac:dyDescent="0.35">
      <c r="A264" s="22"/>
      <c r="AB264" s="16" t="s">
        <v>127</v>
      </c>
      <c r="AC264" s="276">
        <f>100*AC265</f>
        <v>50</v>
      </c>
      <c r="AD264" s="16" t="s">
        <v>128</v>
      </c>
    </row>
    <row r="265" spans="1:31" s="16" customFormat="1" outlineLevel="1" x14ac:dyDescent="0.35">
      <c r="A265" s="230"/>
      <c r="AB265" s="16" t="s">
        <v>776</v>
      </c>
      <c r="AC265" s="276">
        <v>0.5</v>
      </c>
    </row>
    <row r="266" spans="1:31" s="16" customFormat="1" outlineLevel="1" x14ac:dyDescent="0.35">
      <c r="A266" s="230"/>
      <c r="AB266" s="16" t="s">
        <v>129</v>
      </c>
      <c r="AC266" s="276">
        <v>25</v>
      </c>
      <c r="AD266" s="16" t="s">
        <v>130</v>
      </c>
    </row>
    <row r="267" spans="1:31" s="16" customFormat="1" outlineLevel="1" x14ac:dyDescent="0.35">
      <c r="A267" s="230"/>
      <c r="AB267" s="16" t="s">
        <v>777</v>
      </c>
      <c r="AC267" s="276">
        <v>6</v>
      </c>
      <c r="AD267" s="16" t="s">
        <v>779</v>
      </c>
    </row>
    <row r="268" spans="1:31" s="16" customFormat="1" outlineLevel="1" x14ac:dyDescent="0.35">
      <c r="A268" s="22"/>
      <c r="AB268" s="16" t="s">
        <v>778</v>
      </c>
      <c r="AC268" s="276">
        <v>20</v>
      </c>
      <c r="AD268" s="16" t="s">
        <v>130</v>
      </c>
    </row>
    <row r="269" spans="1:31" s="16" customFormat="1" outlineLevel="1" x14ac:dyDescent="0.35">
      <c r="A269" s="22"/>
      <c r="AB269" s="16" t="s">
        <v>780</v>
      </c>
      <c r="AC269" s="276">
        <f>B255</f>
        <v>17123.287671232876</v>
      </c>
      <c r="AD269" s="16" t="s">
        <v>749</v>
      </c>
    </row>
    <row r="270" spans="1:31" s="16" customFormat="1" outlineLevel="1" x14ac:dyDescent="0.35">
      <c r="A270" s="22"/>
    </row>
    <row r="271" spans="1:31" s="16" customFormat="1" outlineLevel="1" x14ac:dyDescent="0.35">
      <c r="A271" s="22"/>
      <c r="AB271" s="16" t="s">
        <v>798</v>
      </c>
      <c r="AC271" s="16">
        <v>0.25</v>
      </c>
    </row>
    <row r="272" spans="1:31" s="16" customFormat="1" outlineLevel="1" x14ac:dyDescent="0.35">
      <c r="A272" s="22"/>
      <c r="AB272" s="16" t="s">
        <v>799</v>
      </c>
      <c r="AC272" s="16">
        <v>0.9</v>
      </c>
    </row>
    <row r="273" spans="1:53" outlineLevel="1" x14ac:dyDescent="0.35">
      <c r="B273" s="25">
        <v>2030</v>
      </c>
      <c r="C273" s="25">
        <v>2031</v>
      </c>
      <c r="D273" s="25">
        <v>2032</v>
      </c>
      <c r="E273" s="25">
        <v>2033</v>
      </c>
      <c r="F273" s="25">
        <v>2034</v>
      </c>
      <c r="G273" s="25">
        <v>2035</v>
      </c>
      <c r="H273" s="25">
        <v>2036</v>
      </c>
      <c r="I273" s="25">
        <v>2037</v>
      </c>
      <c r="J273" s="25">
        <v>2038</v>
      </c>
      <c r="K273" s="25">
        <v>2039</v>
      </c>
      <c r="L273" s="25">
        <v>2040</v>
      </c>
      <c r="M273" s="25">
        <v>2041</v>
      </c>
      <c r="N273" s="25">
        <v>2042</v>
      </c>
      <c r="O273" s="25">
        <v>2043</v>
      </c>
      <c r="P273" s="25">
        <v>2044</v>
      </c>
      <c r="Q273" s="25">
        <v>2045</v>
      </c>
      <c r="R273" s="25">
        <v>2046</v>
      </c>
      <c r="S273" s="25">
        <v>2047</v>
      </c>
      <c r="T273" s="25">
        <v>2048</v>
      </c>
      <c r="U273" s="25">
        <v>2049</v>
      </c>
      <c r="V273" s="25">
        <v>2050</v>
      </c>
      <c r="W273" s="25">
        <v>2051</v>
      </c>
      <c r="X273" s="25">
        <v>2052</v>
      </c>
      <c r="Y273" s="25">
        <v>2053</v>
      </c>
      <c r="Z273" s="25">
        <v>2054</v>
      </c>
      <c r="AC273" s="25">
        <v>2030</v>
      </c>
      <c r="AD273" s="25">
        <v>2031</v>
      </c>
      <c r="AE273" s="25">
        <v>2032</v>
      </c>
      <c r="AF273" s="25">
        <v>2033</v>
      </c>
      <c r="AG273" s="25">
        <v>2034</v>
      </c>
      <c r="AH273" s="25">
        <v>2035</v>
      </c>
      <c r="AI273" s="25">
        <v>2036</v>
      </c>
      <c r="AJ273" s="25">
        <v>2037</v>
      </c>
      <c r="AK273" s="25">
        <v>2038</v>
      </c>
      <c r="AL273" s="25">
        <v>2039</v>
      </c>
      <c r="AM273" s="25">
        <v>2040</v>
      </c>
      <c r="AN273" s="25">
        <v>2041</v>
      </c>
      <c r="AO273" s="25">
        <v>2042</v>
      </c>
      <c r="AP273" s="25">
        <v>2043</v>
      </c>
      <c r="AQ273" s="25">
        <v>2044</v>
      </c>
      <c r="AR273" s="25">
        <v>2045</v>
      </c>
      <c r="AS273" s="25">
        <v>2046</v>
      </c>
      <c r="AT273" s="25">
        <v>2047</v>
      </c>
      <c r="AU273" s="25">
        <v>2048</v>
      </c>
      <c r="AV273" s="25">
        <v>2049</v>
      </c>
      <c r="AW273" s="25">
        <v>2050</v>
      </c>
      <c r="AX273" s="25">
        <v>2051</v>
      </c>
      <c r="AY273" s="25">
        <v>2052</v>
      </c>
      <c r="AZ273" s="25">
        <v>2053</v>
      </c>
      <c r="BA273" s="25">
        <v>2054</v>
      </c>
    </row>
    <row r="274" spans="1:53" outlineLevel="1" x14ac:dyDescent="0.35">
      <c r="A274" s="6" t="s">
        <v>21</v>
      </c>
      <c r="B274" s="6">
        <f t="shared" ref="B274:B285" si="27">B10</f>
        <v>77.21859804961916</v>
      </c>
      <c r="AB274" s="6" t="s">
        <v>117</v>
      </c>
      <c r="AC274" s="6">
        <f>SUM(B274:B285)+B287</f>
        <v>2917.0162501260224</v>
      </c>
    </row>
    <row r="275" spans="1:53" outlineLevel="1" x14ac:dyDescent="0.35">
      <c r="A275" s="6" t="s">
        <v>23</v>
      </c>
      <c r="B275" s="6">
        <f t="shared" si="27"/>
        <v>317.28059445097972</v>
      </c>
      <c r="AB275" s="6" t="s">
        <v>118</v>
      </c>
      <c r="AC275" s="6">
        <f>B286</f>
        <v>136.16680198893101</v>
      </c>
    </row>
    <row r="276" spans="1:53" outlineLevel="1" x14ac:dyDescent="0.35">
      <c r="A276" s="6" t="s">
        <v>26</v>
      </c>
      <c r="B276" s="6">
        <f t="shared" si="27"/>
        <v>324.35993216598132</v>
      </c>
      <c r="AB276" s="6" t="s">
        <v>119</v>
      </c>
      <c r="BA276" s="6">
        <f>SUM(Z288:Z299)</f>
        <v>46.163153956689108</v>
      </c>
    </row>
    <row r="277" spans="1:53" outlineLevel="1" x14ac:dyDescent="0.35">
      <c r="A277" s="6" t="s">
        <v>28</v>
      </c>
      <c r="B277" s="6">
        <f t="shared" si="27"/>
        <v>252.18889909747031</v>
      </c>
      <c r="AB277" s="6" t="s">
        <v>120</v>
      </c>
      <c r="BA277" s="6">
        <f>Z300</f>
        <v>0.67517771837177276</v>
      </c>
    </row>
    <row r="278" spans="1:53" outlineLevel="1" x14ac:dyDescent="0.35">
      <c r="A278" s="6" t="s">
        <v>29</v>
      </c>
      <c r="B278" s="6">
        <f t="shared" si="27"/>
        <v>125.9640931887588</v>
      </c>
      <c r="AB278" s="6" t="s">
        <v>121</v>
      </c>
      <c r="AC278" s="6">
        <f>B301</f>
        <v>119.1904376828072</v>
      </c>
      <c r="AF278" s="6">
        <f>E301</f>
        <v>118.3718965782387</v>
      </c>
      <c r="AI278" s="6">
        <f>H301</f>
        <v>118.2908864371209</v>
      </c>
      <c r="AL278" s="6">
        <f>K301</f>
        <v>117.82210845498651</v>
      </c>
      <c r="AO278" s="6">
        <f>N301</f>
        <v>117.9174008500527</v>
      </c>
      <c r="AR278" s="6">
        <f>Q301</f>
        <v>117.9147244662052</v>
      </c>
      <c r="AU278" s="6">
        <f>T301</f>
        <v>117.61608634126139</v>
      </c>
      <c r="AX278" s="6">
        <f>W301</f>
        <v>117.44781323215599</v>
      </c>
      <c r="BA278" s="6">
        <f>Z301</f>
        <v>117.264158753236</v>
      </c>
    </row>
    <row r="279" spans="1:53" outlineLevel="1" x14ac:dyDescent="0.35">
      <c r="A279" s="6" t="s">
        <v>31</v>
      </c>
      <c r="B279" s="6">
        <f t="shared" si="27"/>
        <v>88.492426477681875</v>
      </c>
      <c r="AB279" s="6" t="s">
        <v>797</v>
      </c>
      <c r="AC279" s="6">
        <f>B305</f>
        <v>438.74984827748796</v>
      </c>
      <c r="AD279" s="6">
        <f t="shared" ref="AD279:BA279" si="28">C305</f>
        <v>438.74984827748796</v>
      </c>
      <c r="AE279" s="6">
        <f t="shared" si="28"/>
        <v>438.74984827748796</v>
      </c>
      <c r="AF279" s="6">
        <f t="shared" si="28"/>
        <v>438.74984827748796</v>
      </c>
      <c r="AG279" s="6">
        <f t="shared" si="28"/>
        <v>438.74984827748796</v>
      </c>
      <c r="AH279" s="6">
        <f t="shared" si="28"/>
        <v>438.74984827748796</v>
      </c>
      <c r="AI279" s="6">
        <f t="shared" si="28"/>
        <v>438.74984827748796</v>
      </c>
      <c r="AJ279" s="6">
        <f t="shared" si="28"/>
        <v>438.74984827748796</v>
      </c>
      <c r="AK279" s="6">
        <f t="shared" si="28"/>
        <v>438.74984827748796</v>
      </c>
      <c r="AL279" s="6">
        <f t="shared" si="28"/>
        <v>438.74984827748796</v>
      </c>
      <c r="AM279" s="6">
        <f t="shared" si="28"/>
        <v>438.74984827748796</v>
      </c>
      <c r="AN279" s="6">
        <f t="shared" si="28"/>
        <v>438.74984827748796</v>
      </c>
      <c r="AO279" s="6">
        <f t="shared" si="28"/>
        <v>438.74984827748796</v>
      </c>
      <c r="AP279" s="6">
        <f t="shared" si="28"/>
        <v>438.74984827748796</v>
      </c>
      <c r="AQ279" s="6">
        <f t="shared" si="28"/>
        <v>438.74984827748796</v>
      </c>
      <c r="AR279" s="6">
        <f t="shared" si="28"/>
        <v>438.74984827748796</v>
      </c>
      <c r="AS279" s="6">
        <f t="shared" si="28"/>
        <v>438.74984827748796</v>
      </c>
      <c r="AT279" s="6">
        <f t="shared" si="28"/>
        <v>438.74984827748796</v>
      </c>
      <c r="AU279" s="6">
        <f t="shared" si="28"/>
        <v>438.74984827748796</v>
      </c>
      <c r="AV279" s="6">
        <f t="shared" si="28"/>
        <v>438.74984827748796</v>
      </c>
      <c r="AW279" s="6">
        <f t="shared" si="28"/>
        <v>438.74984827748796</v>
      </c>
      <c r="AX279" s="6">
        <f t="shared" si="28"/>
        <v>438.74984827748796</v>
      </c>
      <c r="AY279" s="6">
        <f t="shared" si="28"/>
        <v>438.74984827748796</v>
      </c>
      <c r="AZ279" s="6">
        <f t="shared" si="28"/>
        <v>438.74984827748796</v>
      </c>
      <c r="BA279" s="6">
        <f t="shared" si="28"/>
        <v>438.74984827748796</v>
      </c>
    </row>
    <row r="280" spans="1:53" outlineLevel="1" x14ac:dyDescent="0.35">
      <c r="A280" s="6" t="s">
        <v>34</v>
      </c>
      <c r="B280" s="6">
        <f t="shared" si="27"/>
        <v>60.105431311401333</v>
      </c>
      <c r="AB280" s="6" t="s">
        <v>122</v>
      </c>
      <c r="AC280" s="6">
        <f t="shared" ref="AC280:BA280" si="29">B304+B303</f>
        <v>360.43199555124954</v>
      </c>
      <c r="AD280" s="6">
        <f t="shared" si="29"/>
        <v>359.56048865248164</v>
      </c>
      <c r="AE280" s="6">
        <f t="shared" si="29"/>
        <v>358.70701328240875</v>
      </c>
      <c r="AF280" s="6">
        <f t="shared" si="29"/>
        <v>354.42405801937088</v>
      </c>
      <c r="AG280" s="6">
        <f t="shared" si="29"/>
        <v>353.61258894317245</v>
      </c>
      <c r="AH280" s="6">
        <f t="shared" si="29"/>
        <v>352.81302049488261</v>
      </c>
      <c r="AI280" s="6">
        <f t="shared" si="29"/>
        <v>352.10165730160855</v>
      </c>
      <c r="AJ280" s="6">
        <f t="shared" si="29"/>
        <v>351.4180641063333</v>
      </c>
      <c r="AK280" s="6">
        <f t="shared" si="29"/>
        <v>348.37810888889817</v>
      </c>
      <c r="AL280" s="6">
        <f t="shared" si="29"/>
        <v>347.75979936182483</v>
      </c>
      <c r="AM280" s="6">
        <f t="shared" si="29"/>
        <v>347.16193610281425</v>
      </c>
      <c r="AN280" s="6">
        <f t="shared" si="29"/>
        <v>346.86758657794502</v>
      </c>
      <c r="AO280" s="6">
        <f t="shared" si="29"/>
        <v>346.59673296837218</v>
      </c>
      <c r="AP280" s="6">
        <f t="shared" si="29"/>
        <v>345.68852907027565</v>
      </c>
      <c r="AQ280" s="6">
        <f t="shared" si="29"/>
        <v>345.46683633641948</v>
      </c>
      <c r="AR280" s="6">
        <f t="shared" si="29"/>
        <v>345.27596023425195</v>
      </c>
      <c r="AS280" s="6">
        <f t="shared" si="29"/>
        <v>344.84465948807332</v>
      </c>
      <c r="AT280" s="6">
        <f t="shared" si="29"/>
        <v>344.41415124570079</v>
      </c>
      <c r="AU280" s="6">
        <f t="shared" si="29"/>
        <v>343.33933376331476</v>
      </c>
      <c r="AV280" s="6">
        <f t="shared" si="29"/>
        <v>342.91662910248294</v>
      </c>
      <c r="AW280" s="6">
        <f t="shared" si="29"/>
        <v>342.49384838486969</v>
      </c>
      <c r="AX280" s="6">
        <f t="shared" si="29"/>
        <v>342.13315208535988</v>
      </c>
      <c r="AY280" s="6">
        <f t="shared" si="29"/>
        <v>341.77644692212669</v>
      </c>
      <c r="AZ280" s="6">
        <f t="shared" si="29"/>
        <v>341.4231806226652</v>
      </c>
      <c r="BA280" s="6">
        <f t="shared" si="29"/>
        <v>341.07310734926216</v>
      </c>
    </row>
    <row r="281" spans="1:53" outlineLevel="1" x14ac:dyDescent="0.35">
      <c r="A281" s="6" t="s">
        <v>36</v>
      </c>
      <c r="B281" s="6">
        <f t="shared" si="27"/>
        <v>63.067238902037133</v>
      </c>
      <c r="AB281" s="6" t="s">
        <v>123</v>
      </c>
      <c r="AC281" s="6">
        <f t="shared" ref="AC281:BA281" si="30">B302</f>
        <v>106.87808226696225</v>
      </c>
      <c r="AD281" s="6">
        <f t="shared" si="30"/>
        <v>107.05658682298515</v>
      </c>
      <c r="AE281" s="6">
        <f t="shared" si="30"/>
        <v>107.23670582903256</v>
      </c>
      <c r="AF281" s="6">
        <f t="shared" si="30"/>
        <v>107.23125558144311</v>
      </c>
      <c r="AG281" s="6">
        <f t="shared" si="30"/>
        <v>107.41694067358105</v>
      </c>
      <c r="AH281" s="6">
        <f t="shared" si="30"/>
        <v>107.60406187386045</v>
      </c>
      <c r="AI281" s="6">
        <f t="shared" si="30"/>
        <v>110.83085061438265</v>
      </c>
      <c r="AJ281" s="6">
        <f t="shared" si="30"/>
        <v>114.04369857120984</v>
      </c>
      <c r="AK281" s="6">
        <f t="shared" si="30"/>
        <v>117.10502913191789</v>
      </c>
      <c r="AL281" s="6">
        <f t="shared" si="30"/>
        <v>120.29612263392291</v>
      </c>
      <c r="AM281" s="6">
        <f t="shared" si="30"/>
        <v>123.47437586163051</v>
      </c>
      <c r="AN281" s="6">
        <f t="shared" si="30"/>
        <v>127.0373127296314</v>
      </c>
      <c r="AO281" s="6">
        <f t="shared" si="30"/>
        <v>130.59621749943196</v>
      </c>
      <c r="AP281" s="6">
        <f t="shared" si="30"/>
        <v>134.11908187508715</v>
      </c>
      <c r="AQ281" s="6">
        <f t="shared" si="30"/>
        <v>137.66981880112635</v>
      </c>
      <c r="AR281" s="6">
        <f t="shared" si="30"/>
        <v>141.21591878468885</v>
      </c>
      <c r="AS281" s="6">
        <f t="shared" si="30"/>
        <v>144.72200240622419</v>
      </c>
      <c r="AT281" s="6">
        <f t="shared" si="30"/>
        <v>148.2223714625197</v>
      </c>
      <c r="AU281" s="6">
        <f t="shared" si="30"/>
        <v>151.68890081049815</v>
      </c>
      <c r="AV281" s="6">
        <f t="shared" si="30"/>
        <v>155.18020252083636</v>
      </c>
      <c r="AW281" s="6">
        <f t="shared" si="30"/>
        <v>158.6672258964592</v>
      </c>
      <c r="AX281" s="6">
        <f t="shared" si="30"/>
        <v>157.5628850754247</v>
      </c>
      <c r="AY281" s="6">
        <f t="shared" si="30"/>
        <v>156.46565051574598</v>
      </c>
      <c r="AZ281" s="6">
        <f t="shared" si="30"/>
        <v>155.37115971006904</v>
      </c>
      <c r="BA281" s="6">
        <f t="shared" si="30"/>
        <v>154.27930700259219</v>
      </c>
    </row>
    <row r="282" spans="1:53" outlineLevel="1" x14ac:dyDescent="0.35">
      <c r="A282" s="6" t="s">
        <v>38</v>
      </c>
      <c r="B282" s="6">
        <f t="shared" si="27"/>
        <v>672.8689939250836</v>
      </c>
      <c r="AB282" s="6" t="s">
        <v>124</v>
      </c>
      <c r="AC282" s="6">
        <f>-$AC$264*$AC$263</f>
        <v>0</v>
      </c>
      <c r="AD282" s="6">
        <f t="shared" ref="AD282:BA282" si="31">-$AC$264*$AC$263</f>
        <v>0</v>
      </c>
      <c r="AE282" s="6">
        <f t="shared" si="31"/>
        <v>0</v>
      </c>
      <c r="AF282" s="6">
        <f t="shared" si="31"/>
        <v>0</v>
      </c>
      <c r="AG282" s="6">
        <f t="shared" si="31"/>
        <v>0</v>
      </c>
      <c r="AH282" s="6">
        <f t="shared" si="31"/>
        <v>0</v>
      </c>
      <c r="AI282" s="6">
        <f t="shared" si="31"/>
        <v>0</v>
      </c>
      <c r="AJ282" s="6">
        <f t="shared" si="31"/>
        <v>0</v>
      </c>
      <c r="AK282" s="6">
        <f t="shared" si="31"/>
        <v>0</v>
      </c>
      <c r="AL282" s="6">
        <f t="shared" si="31"/>
        <v>0</v>
      </c>
      <c r="AM282" s="6">
        <f t="shared" si="31"/>
        <v>0</v>
      </c>
      <c r="AN282" s="6">
        <f t="shared" si="31"/>
        <v>0</v>
      </c>
      <c r="AO282" s="6">
        <f t="shared" si="31"/>
        <v>0</v>
      </c>
      <c r="AP282" s="6">
        <f t="shared" si="31"/>
        <v>0</v>
      </c>
      <c r="AQ282" s="6">
        <f t="shared" si="31"/>
        <v>0</v>
      </c>
      <c r="AR282" s="6">
        <f t="shared" si="31"/>
        <v>0</v>
      </c>
      <c r="AS282" s="6">
        <f t="shared" si="31"/>
        <v>0</v>
      </c>
      <c r="AT282" s="6">
        <f t="shared" si="31"/>
        <v>0</v>
      </c>
      <c r="AU282" s="6">
        <f t="shared" si="31"/>
        <v>0</v>
      </c>
      <c r="AV282" s="6">
        <f t="shared" si="31"/>
        <v>0</v>
      </c>
      <c r="AW282" s="6">
        <f t="shared" si="31"/>
        <v>0</v>
      </c>
      <c r="AX282" s="6">
        <f t="shared" si="31"/>
        <v>0</v>
      </c>
      <c r="AY282" s="6">
        <f t="shared" si="31"/>
        <v>0</v>
      </c>
      <c r="AZ282" s="6">
        <f t="shared" si="31"/>
        <v>0</v>
      </c>
      <c r="BA282" s="6">
        <f t="shared" si="31"/>
        <v>0</v>
      </c>
    </row>
    <row r="283" spans="1:53" outlineLevel="1" x14ac:dyDescent="0.35">
      <c r="A283" s="6" t="s">
        <v>39</v>
      </c>
      <c r="B283" s="6">
        <f t="shared" si="27"/>
        <v>760.19739324761179</v>
      </c>
      <c r="AB283" s="23" t="s">
        <v>125</v>
      </c>
      <c r="AC283" s="17">
        <f t="shared" ref="AC283:BA283" si="32">SUM(AC274:AC282)</f>
        <v>4078.4334158934607</v>
      </c>
      <c r="AD283" s="17">
        <f t="shared" si="32"/>
        <v>905.36692375295479</v>
      </c>
      <c r="AE283" s="17">
        <f t="shared" si="32"/>
        <v>904.69356738892918</v>
      </c>
      <c r="AF283" s="17">
        <f t="shared" si="32"/>
        <v>1018.7770584565405</v>
      </c>
      <c r="AG283" s="17">
        <f t="shared" si="32"/>
        <v>899.77937789424152</v>
      </c>
      <c r="AH283" s="17">
        <f t="shared" si="32"/>
        <v>899.16693064623109</v>
      </c>
      <c r="AI283" s="17">
        <f t="shared" si="32"/>
        <v>1019.9732426306</v>
      </c>
      <c r="AJ283" s="17">
        <f t="shared" si="32"/>
        <v>904.21161095503101</v>
      </c>
      <c r="AK283" s="17">
        <f t="shared" si="32"/>
        <v>904.23298629830401</v>
      </c>
      <c r="AL283" s="17">
        <f t="shared" si="32"/>
        <v>1024.6278787282224</v>
      </c>
      <c r="AM283" s="17">
        <f t="shared" si="32"/>
        <v>909.38616024193266</v>
      </c>
      <c r="AN283" s="17">
        <f t="shared" si="32"/>
        <v>912.65474758506434</v>
      </c>
      <c r="AO283" s="17">
        <f t="shared" si="32"/>
        <v>1033.8601995953447</v>
      </c>
      <c r="AP283" s="17">
        <f t="shared" si="32"/>
        <v>918.55745922285087</v>
      </c>
      <c r="AQ283" s="17">
        <f t="shared" si="32"/>
        <v>921.88650341503376</v>
      </c>
      <c r="AR283" s="17">
        <f t="shared" si="32"/>
        <v>1043.1564517626341</v>
      </c>
      <c r="AS283" s="17">
        <f t="shared" si="32"/>
        <v>928.31651017178547</v>
      </c>
      <c r="AT283" s="17">
        <f t="shared" si="32"/>
        <v>931.38637098570848</v>
      </c>
      <c r="AU283" s="17">
        <f t="shared" si="32"/>
        <v>1051.3941691925622</v>
      </c>
      <c r="AV283" s="17">
        <f t="shared" si="32"/>
        <v>936.84667990080732</v>
      </c>
      <c r="AW283" s="17">
        <f t="shared" si="32"/>
        <v>939.91092255881688</v>
      </c>
      <c r="AX283" s="17">
        <f t="shared" si="32"/>
        <v>1055.8936986704284</v>
      </c>
      <c r="AY283" s="17">
        <f t="shared" si="32"/>
        <v>936.99194571536066</v>
      </c>
      <c r="AZ283" s="17">
        <f t="shared" si="32"/>
        <v>935.54418861022225</v>
      </c>
      <c r="BA283" s="17">
        <f t="shared" si="32"/>
        <v>1098.2047530576392</v>
      </c>
    </row>
    <row r="284" spans="1:53" outlineLevel="1" x14ac:dyDescent="0.35">
      <c r="A284" s="6" t="s">
        <v>41</v>
      </c>
      <c r="B284" s="6">
        <f t="shared" si="27"/>
        <v>53.415036359148253</v>
      </c>
    </row>
    <row r="285" spans="1:53" outlineLevel="1" x14ac:dyDescent="0.35">
      <c r="A285" s="6" t="s">
        <v>43</v>
      </c>
      <c r="B285" s="6">
        <f t="shared" si="27"/>
        <v>73.843720240407222</v>
      </c>
      <c r="AB285" s="272"/>
      <c r="AC285" s="272"/>
      <c r="AD285" s="272"/>
      <c r="AE285" s="272"/>
      <c r="AF285" s="272"/>
      <c r="AG285" s="272"/>
      <c r="AH285" s="272"/>
      <c r="AI285" s="272"/>
      <c r="AJ285" s="272"/>
      <c r="AK285" s="272"/>
      <c r="AL285" s="272"/>
      <c r="AM285" s="272"/>
      <c r="AN285" s="272"/>
      <c r="AO285" s="272"/>
      <c r="AP285" s="272"/>
      <c r="AQ285" s="272"/>
      <c r="AR285" s="272"/>
      <c r="AS285" s="272"/>
      <c r="AT285" s="272"/>
      <c r="AU285" s="272"/>
      <c r="AV285" s="272"/>
      <c r="AW285" s="272"/>
      <c r="AX285" s="272"/>
      <c r="AY285" s="272"/>
      <c r="AZ285" s="272"/>
      <c r="BA285" s="272"/>
    </row>
    <row r="286" spans="1:53" outlineLevel="1" x14ac:dyDescent="0.35">
      <c r="A286" s="6" t="s">
        <v>44</v>
      </c>
      <c r="B286" s="6">
        <f>B22*AC265</f>
        <v>136.16680198893101</v>
      </c>
      <c r="AB286" s="272"/>
      <c r="AC286" s="272"/>
      <c r="AD286" s="272"/>
      <c r="AE286" s="272"/>
      <c r="AF286" s="272"/>
      <c r="AG286" s="272"/>
      <c r="AH286" s="272"/>
      <c r="AI286" s="272"/>
      <c r="AJ286" s="272"/>
      <c r="AK286" s="272"/>
      <c r="AL286" s="272"/>
      <c r="AM286" s="272"/>
      <c r="AN286" s="272"/>
      <c r="AO286" s="272"/>
      <c r="AP286" s="272"/>
      <c r="AQ286" s="272"/>
      <c r="AR286" s="272"/>
      <c r="AS286" s="272"/>
      <c r="AT286" s="272"/>
      <c r="AU286" s="272"/>
      <c r="AV286" s="272"/>
      <c r="AW286" s="272"/>
      <c r="AX286" s="272"/>
      <c r="AY286" s="272"/>
      <c r="AZ286" s="272"/>
      <c r="BA286" s="272"/>
    </row>
    <row r="287" spans="1:53" outlineLevel="1" x14ac:dyDescent="0.35">
      <c r="A287" s="6" t="s">
        <v>757</v>
      </c>
      <c r="B287" s="6">
        <f>B23*AC265</f>
        <v>48.013892709842118</v>
      </c>
      <c r="AB287" s="272"/>
      <c r="AC287" s="272"/>
      <c r="AD287" s="272"/>
      <c r="AE287" s="272"/>
      <c r="AF287" s="272"/>
      <c r="AG287" s="272"/>
      <c r="AH287" s="272"/>
      <c r="AI287" s="272"/>
      <c r="AJ287" s="272"/>
      <c r="AK287" s="272"/>
      <c r="AL287" s="272"/>
      <c r="AM287" s="272"/>
      <c r="AN287" s="272"/>
      <c r="AO287" s="272"/>
      <c r="AP287" s="272"/>
      <c r="AQ287" s="272"/>
      <c r="AR287" s="272"/>
      <c r="AS287" s="272"/>
      <c r="AT287" s="272"/>
      <c r="AU287" s="272"/>
      <c r="AV287" s="272"/>
      <c r="AW287" s="272"/>
      <c r="AX287" s="272"/>
      <c r="AY287" s="272"/>
      <c r="AZ287" s="272"/>
      <c r="BA287" s="272"/>
    </row>
    <row r="288" spans="1:53" outlineLevel="1" x14ac:dyDescent="0.35">
      <c r="A288" s="6" t="s">
        <v>22</v>
      </c>
      <c r="Z288" s="6">
        <f t="shared" ref="Z288:Z299" si="33">Z24</f>
        <v>0.33631285194090771</v>
      </c>
      <c r="AB288" s="272"/>
      <c r="AC288" s="272"/>
      <c r="AD288" s="272"/>
      <c r="AE288" s="272"/>
      <c r="AF288" s="272"/>
      <c r="AG288" s="272"/>
      <c r="AH288" s="272"/>
      <c r="AI288" s="272"/>
      <c r="AJ288" s="272"/>
      <c r="AK288" s="272"/>
      <c r="AL288" s="272"/>
      <c r="AM288" s="272"/>
      <c r="AN288" s="272"/>
      <c r="AO288" s="272"/>
      <c r="AP288" s="272"/>
      <c r="AQ288" s="272"/>
      <c r="AR288" s="272"/>
      <c r="AS288" s="272"/>
      <c r="AT288" s="272"/>
      <c r="AU288" s="272"/>
      <c r="AV288" s="272"/>
      <c r="AW288" s="272"/>
      <c r="AX288" s="272"/>
      <c r="AY288" s="272"/>
      <c r="AZ288" s="272"/>
      <c r="BA288" s="272"/>
    </row>
    <row r="289" spans="1:53" outlineLevel="1" x14ac:dyDescent="0.35">
      <c r="A289" s="6" t="s">
        <v>24</v>
      </c>
      <c r="Z289" s="6">
        <f t="shared" si="33"/>
        <v>0.37421118561334321</v>
      </c>
      <c r="AB289" s="272"/>
      <c r="AC289" s="272"/>
      <c r="AD289" s="272"/>
      <c r="AE289" s="272"/>
      <c r="AF289" s="272"/>
      <c r="AG289" s="272"/>
      <c r="AH289" s="272"/>
      <c r="AI289" s="272"/>
      <c r="AJ289" s="272"/>
      <c r="AK289" s="272"/>
      <c r="AL289" s="272"/>
      <c r="AM289" s="272"/>
      <c r="AN289" s="272"/>
      <c r="AO289" s="272"/>
      <c r="AP289" s="272"/>
      <c r="AQ289" s="272"/>
      <c r="AR289" s="272"/>
      <c r="AS289" s="272"/>
      <c r="AT289" s="272"/>
      <c r="AU289" s="272"/>
      <c r="AV289" s="272"/>
      <c r="AW289" s="272"/>
      <c r="AX289" s="272"/>
      <c r="AY289" s="272"/>
      <c r="AZ289" s="272"/>
      <c r="BA289" s="272"/>
    </row>
    <row r="290" spans="1:53" outlineLevel="1" x14ac:dyDescent="0.35">
      <c r="A290" s="6" t="s">
        <v>25</v>
      </c>
      <c r="Z290" s="6">
        <f t="shared" si="33"/>
        <v>1.7393243750677869</v>
      </c>
      <c r="AB290" s="272"/>
      <c r="AC290" s="272"/>
      <c r="AD290" s="272"/>
      <c r="AE290" s="272"/>
      <c r="AF290" s="272"/>
      <c r="AG290" s="272"/>
      <c r="AH290" s="272"/>
      <c r="AI290" s="272"/>
      <c r="AJ290" s="272"/>
      <c r="AK290" s="272"/>
      <c r="AL290" s="272"/>
      <c r="AM290" s="272"/>
      <c r="AN290" s="272"/>
      <c r="AO290" s="272"/>
      <c r="AP290" s="272"/>
      <c r="AQ290" s="272"/>
      <c r="AR290" s="272"/>
      <c r="AS290" s="272"/>
      <c r="AT290" s="272"/>
      <c r="AU290" s="272"/>
      <c r="AV290" s="272"/>
      <c r="AW290" s="272"/>
      <c r="AX290" s="272"/>
      <c r="AY290" s="272"/>
      <c r="AZ290" s="272"/>
      <c r="BA290" s="272"/>
    </row>
    <row r="291" spans="1:53" outlineLevel="1" x14ac:dyDescent="0.35">
      <c r="A291" s="6" t="s">
        <v>27</v>
      </c>
      <c r="Z291" s="6">
        <f t="shared" si="33"/>
        <v>1.0390327142647591</v>
      </c>
      <c r="AB291" s="272"/>
      <c r="AC291" s="272"/>
      <c r="AD291" s="272"/>
      <c r="AE291" s="272"/>
      <c r="AF291" s="272"/>
      <c r="AG291" s="272"/>
      <c r="AH291" s="272"/>
      <c r="AI291" s="272"/>
      <c r="AJ291" s="272"/>
      <c r="AK291" s="272"/>
      <c r="AL291" s="272"/>
      <c r="AM291" s="272"/>
      <c r="AN291" s="272"/>
      <c r="AO291" s="272"/>
      <c r="AP291" s="272"/>
      <c r="AQ291" s="272"/>
      <c r="AR291" s="272"/>
      <c r="AS291" s="272"/>
      <c r="AT291" s="272"/>
      <c r="AU291" s="272"/>
      <c r="AV291" s="272"/>
      <c r="AW291" s="272"/>
      <c r="AX291" s="272"/>
      <c r="AY291" s="272"/>
      <c r="AZ291" s="272"/>
      <c r="BA291" s="272"/>
    </row>
    <row r="292" spans="1:53" outlineLevel="1" x14ac:dyDescent="0.35">
      <c r="A292" s="6" t="s">
        <v>30</v>
      </c>
      <c r="Z292" s="6">
        <f t="shared" si="33"/>
        <v>0.413290269883549</v>
      </c>
      <c r="AB292" s="272"/>
      <c r="AC292" s="272"/>
      <c r="AD292" s="272"/>
      <c r="AE292" s="272"/>
      <c r="AF292" s="272"/>
      <c r="AG292" s="272"/>
      <c r="AH292" s="272"/>
      <c r="AI292" s="272"/>
      <c r="AJ292" s="272"/>
      <c r="AK292" s="272"/>
      <c r="AL292" s="272"/>
      <c r="AM292" s="272"/>
      <c r="AN292" s="272"/>
      <c r="AO292" s="272"/>
      <c r="AP292" s="272"/>
      <c r="AQ292" s="272"/>
      <c r="AR292" s="272"/>
      <c r="AS292" s="272"/>
      <c r="AT292" s="272"/>
      <c r="AU292" s="272"/>
      <c r="AV292" s="272"/>
      <c r="AW292" s="272"/>
      <c r="AX292" s="272"/>
      <c r="AY292" s="272"/>
      <c r="AZ292" s="272"/>
      <c r="BA292" s="272"/>
    </row>
    <row r="293" spans="1:53" outlineLevel="1" x14ac:dyDescent="0.35">
      <c r="A293" s="6" t="s">
        <v>32</v>
      </c>
      <c r="Z293" s="6">
        <f t="shared" si="33"/>
        <v>0.1853570483021689</v>
      </c>
      <c r="AB293" s="272"/>
      <c r="AC293" s="272"/>
      <c r="AD293" s="272"/>
      <c r="AE293" s="272"/>
      <c r="AF293" s="272"/>
      <c r="AG293" s="272"/>
      <c r="AH293" s="272"/>
      <c r="AI293" s="272"/>
      <c r="AJ293" s="272"/>
      <c r="AK293" s="272"/>
      <c r="AL293" s="272"/>
      <c r="AM293" s="272"/>
      <c r="AN293" s="272"/>
      <c r="AO293" s="272"/>
      <c r="AP293" s="272"/>
      <c r="AQ293" s="272"/>
      <c r="AR293" s="272"/>
      <c r="AS293" s="272"/>
      <c r="AT293" s="272"/>
      <c r="AU293" s="272"/>
      <c r="AV293" s="272"/>
      <c r="AW293" s="272"/>
      <c r="AX293" s="272"/>
      <c r="AY293" s="272"/>
      <c r="AZ293" s="272"/>
      <c r="BA293" s="272"/>
    </row>
    <row r="294" spans="1:53" outlineLevel="1" x14ac:dyDescent="0.35">
      <c r="A294" s="6" t="s">
        <v>33</v>
      </c>
      <c r="Z294" s="6">
        <f t="shared" si="33"/>
        <v>0.1072347475857668</v>
      </c>
      <c r="AB294" s="272"/>
      <c r="AC294" s="272"/>
      <c r="AD294" s="272"/>
      <c r="AE294" s="272"/>
      <c r="AF294" s="272"/>
      <c r="AG294" s="272"/>
      <c r="AH294" s="272"/>
      <c r="AI294" s="272"/>
      <c r="AJ294" s="272"/>
      <c r="AK294" s="272"/>
      <c r="AL294" s="272"/>
      <c r="AM294" s="272"/>
      <c r="AN294" s="272"/>
      <c r="AO294" s="272"/>
      <c r="AP294" s="272"/>
      <c r="AQ294" s="272"/>
      <c r="AR294" s="272"/>
      <c r="AS294" s="272"/>
      <c r="AT294" s="272"/>
      <c r="AU294" s="272"/>
      <c r="AV294" s="272"/>
      <c r="AW294" s="272"/>
      <c r="AX294" s="272"/>
      <c r="AY294" s="272"/>
      <c r="AZ294" s="272"/>
      <c r="BA294" s="272"/>
    </row>
    <row r="295" spans="1:53" outlineLevel="1" x14ac:dyDescent="0.35">
      <c r="A295" s="6" t="s">
        <v>35</v>
      </c>
      <c r="Z295" s="6">
        <f t="shared" si="33"/>
        <v>0.21446949517153349</v>
      </c>
      <c r="AB295" s="272"/>
      <c r="AC295" s="272"/>
      <c r="AD295" s="272"/>
      <c r="AE295" s="272"/>
      <c r="AF295" s="272"/>
      <c r="AG295" s="272"/>
      <c r="AH295" s="272"/>
      <c r="AI295" s="272"/>
      <c r="AJ295" s="272"/>
      <c r="AK295" s="272"/>
      <c r="AL295" s="272"/>
      <c r="AM295" s="272"/>
      <c r="AN295" s="272"/>
      <c r="AO295" s="272"/>
      <c r="AP295" s="272"/>
      <c r="AQ295" s="272"/>
      <c r="AR295" s="272"/>
      <c r="AS295" s="272"/>
      <c r="AT295" s="272"/>
      <c r="AU295" s="272"/>
      <c r="AV295" s="272"/>
      <c r="AW295" s="272"/>
      <c r="AX295" s="272"/>
      <c r="AY295" s="272"/>
      <c r="AZ295" s="272"/>
      <c r="BA295" s="272"/>
    </row>
    <row r="296" spans="1:53" outlineLevel="1" x14ac:dyDescent="0.35">
      <c r="A296" s="6" t="s">
        <v>37</v>
      </c>
      <c r="Z296" s="6">
        <f t="shared" si="33"/>
        <v>3.1503219687254052</v>
      </c>
      <c r="AB296" s="272"/>
      <c r="AC296" s="272"/>
      <c r="AD296" s="272"/>
      <c r="AE296" s="272"/>
      <c r="AF296" s="272"/>
      <c r="AG296" s="272"/>
      <c r="AH296" s="272"/>
      <c r="AI296" s="272"/>
      <c r="AJ296" s="272"/>
      <c r="AK296" s="272"/>
      <c r="AL296" s="272"/>
      <c r="AM296" s="272"/>
      <c r="AN296" s="272"/>
      <c r="AO296" s="272"/>
      <c r="AP296" s="272"/>
      <c r="AQ296" s="272"/>
      <c r="AR296" s="272"/>
      <c r="AS296" s="272"/>
      <c r="AT296" s="272"/>
      <c r="AU296" s="272"/>
      <c r="AV296" s="272"/>
      <c r="AW296" s="272"/>
      <c r="AX296" s="272"/>
      <c r="AY296" s="272"/>
      <c r="AZ296" s="272"/>
      <c r="BA296" s="272"/>
    </row>
    <row r="297" spans="1:53" outlineLevel="1" x14ac:dyDescent="0.35">
      <c r="A297" s="6" t="s">
        <v>40</v>
      </c>
      <c r="Z297" s="6">
        <f t="shared" si="33"/>
        <v>1.528464389186555</v>
      </c>
    </row>
    <row r="298" spans="1:53" outlineLevel="1" x14ac:dyDescent="0.35">
      <c r="A298" s="6" t="s">
        <v>42</v>
      </c>
      <c r="Z298" s="6">
        <f t="shared" si="33"/>
        <v>3.9547223812444359</v>
      </c>
    </row>
    <row r="299" spans="1:53" outlineLevel="1" x14ac:dyDescent="0.35">
      <c r="A299" s="6" t="s">
        <v>115</v>
      </c>
      <c r="Z299" s="6">
        <f t="shared" si="33"/>
        <v>33.120412529702897</v>
      </c>
    </row>
    <row r="300" spans="1:53" outlineLevel="1" x14ac:dyDescent="0.35">
      <c r="A300" s="6" t="s">
        <v>45</v>
      </c>
      <c r="Z300" s="6">
        <f>Z36*AC265</f>
        <v>0.67517771837177276</v>
      </c>
    </row>
    <row r="301" spans="1:53" outlineLevel="1" x14ac:dyDescent="0.35">
      <c r="A301" s="6" t="s">
        <v>116</v>
      </c>
      <c r="B301" s="6">
        <f>B37</f>
        <v>119.1904376828072</v>
      </c>
      <c r="C301" s="6">
        <f t="shared" ref="C301:Z301" si="34">C37</f>
        <v>119.14749385904901</v>
      </c>
      <c r="D301" s="6">
        <f t="shared" si="34"/>
        <v>119.10500649893061</v>
      </c>
      <c r="E301" s="6">
        <f t="shared" si="34"/>
        <v>118.3718965782387</v>
      </c>
      <c r="F301" s="6">
        <f t="shared" si="34"/>
        <v>118.3315603139125</v>
      </c>
      <c r="G301" s="6">
        <f t="shared" si="34"/>
        <v>118.2914435002514</v>
      </c>
      <c r="H301" s="6">
        <f t="shared" si="34"/>
        <v>118.2908864371209</v>
      </c>
      <c r="I301" s="6">
        <f t="shared" si="34"/>
        <v>118.29040093616619</v>
      </c>
      <c r="J301" s="6">
        <f t="shared" si="34"/>
        <v>117.8191358499945</v>
      </c>
      <c r="K301" s="6">
        <f t="shared" si="34"/>
        <v>117.82210845498651</v>
      </c>
      <c r="L301" s="6">
        <f t="shared" si="34"/>
        <v>117.8250996497282</v>
      </c>
      <c r="M301" s="6">
        <f t="shared" si="34"/>
        <v>117.8714564698883</v>
      </c>
      <c r="N301" s="6">
        <f t="shared" si="34"/>
        <v>117.9174008500527</v>
      </c>
      <c r="O301" s="6">
        <f t="shared" si="34"/>
        <v>117.8214902239839</v>
      </c>
      <c r="P301" s="6">
        <f t="shared" si="34"/>
        <v>117.8683266201745</v>
      </c>
      <c r="Q301" s="6">
        <f t="shared" si="34"/>
        <v>117.9147244662052</v>
      </c>
      <c r="R301" s="6">
        <f t="shared" si="34"/>
        <v>117.8617819757314</v>
      </c>
      <c r="S301" s="6">
        <f t="shared" si="34"/>
        <v>117.8082404614688</v>
      </c>
      <c r="T301" s="6">
        <f t="shared" si="34"/>
        <v>117.61608634126139</v>
      </c>
      <c r="U301" s="6">
        <f t="shared" si="34"/>
        <v>117.5629913213542</v>
      </c>
      <c r="V301" s="6">
        <f t="shared" si="34"/>
        <v>117.5093695431686</v>
      </c>
      <c r="W301" s="6">
        <f t="shared" si="34"/>
        <v>117.44781323215599</v>
      </c>
      <c r="X301" s="6">
        <f t="shared" si="34"/>
        <v>117.3865059684325</v>
      </c>
      <c r="Y301" s="6">
        <f t="shared" si="34"/>
        <v>117.3252887888865</v>
      </c>
      <c r="Z301" s="6">
        <f t="shared" si="34"/>
        <v>117.264158753236</v>
      </c>
    </row>
    <row r="302" spans="1:53" outlineLevel="1" x14ac:dyDescent="0.35">
      <c r="A302" s="6" t="s">
        <v>758</v>
      </c>
      <c r="B302" s="6">
        <f>B38*$AC$265</f>
        <v>106.87808226696225</v>
      </c>
      <c r="C302" s="6">
        <f t="shared" ref="C302:Z303" si="35">C38*$AC$265</f>
        <v>107.05658682298515</v>
      </c>
      <c r="D302" s="6">
        <f t="shared" si="35"/>
        <v>107.23670582903256</v>
      </c>
      <c r="E302" s="6">
        <f t="shared" si="35"/>
        <v>107.23125558144311</v>
      </c>
      <c r="F302" s="6">
        <f t="shared" si="35"/>
        <v>107.41694067358105</v>
      </c>
      <c r="G302" s="6">
        <f t="shared" si="35"/>
        <v>107.60406187386045</v>
      </c>
      <c r="H302" s="6">
        <f t="shared" si="35"/>
        <v>110.83085061438265</v>
      </c>
      <c r="I302" s="6">
        <f t="shared" si="35"/>
        <v>114.04369857120984</v>
      </c>
      <c r="J302" s="6">
        <f t="shared" si="35"/>
        <v>117.10502913191789</v>
      </c>
      <c r="K302" s="6">
        <f t="shared" si="35"/>
        <v>120.29612263392291</v>
      </c>
      <c r="L302" s="6">
        <f t="shared" si="35"/>
        <v>123.47437586163051</v>
      </c>
      <c r="M302" s="6">
        <f t="shared" si="35"/>
        <v>127.0373127296314</v>
      </c>
      <c r="N302" s="6">
        <f t="shared" si="35"/>
        <v>130.59621749943196</v>
      </c>
      <c r="O302" s="6">
        <f t="shared" si="35"/>
        <v>134.11908187508715</v>
      </c>
      <c r="P302" s="6">
        <f t="shared" si="35"/>
        <v>137.66981880112635</v>
      </c>
      <c r="Q302" s="6">
        <f t="shared" si="35"/>
        <v>141.21591878468885</v>
      </c>
      <c r="R302" s="6">
        <f t="shared" si="35"/>
        <v>144.72200240622419</v>
      </c>
      <c r="S302" s="6">
        <f t="shared" si="35"/>
        <v>148.2223714625197</v>
      </c>
      <c r="T302" s="6">
        <f t="shared" si="35"/>
        <v>151.68890081049815</v>
      </c>
      <c r="U302" s="6">
        <f t="shared" si="35"/>
        <v>155.18020252083636</v>
      </c>
      <c r="V302" s="6">
        <f t="shared" si="35"/>
        <v>158.6672258964592</v>
      </c>
      <c r="W302" s="6">
        <f t="shared" si="35"/>
        <v>157.5628850754247</v>
      </c>
      <c r="X302" s="6">
        <f t="shared" si="35"/>
        <v>156.46565051574598</v>
      </c>
      <c r="Y302" s="6">
        <f t="shared" si="35"/>
        <v>155.37115971006904</v>
      </c>
      <c r="Z302" s="6">
        <f t="shared" si="35"/>
        <v>154.27930700259219</v>
      </c>
    </row>
    <row r="303" spans="1:53" outlineLevel="1" x14ac:dyDescent="0.35">
      <c r="A303" s="6" t="s">
        <v>759</v>
      </c>
      <c r="B303" s="6">
        <f>B39*$AC$265</f>
        <v>0</v>
      </c>
      <c r="C303" s="6">
        <f t="shared" si="35"/>
        <v>0</v>
      </c>
      <c r="D303" s="6">
        <f t="shared" si="35"/>
        <v>0</v>
      </c>
      <c r="E303" s="6">
        <f t="shared" si="35"/>
        <v>0</v>
      </c>
      <c r="F303" s="6">
        <f t="shared" si="35"/>
        <v>0</v>
      </c>
      <c r="G303" s="6">
        <f t="shared" si="35"/>
        <v>0</v>
      </c>
      <c r="H303" s="6">
        <f t="shared" si="35"/>
        <v>0</v>
      </c>
      <c r="I303" s="6">
        <f t="shared" si="35"/>
        <v>0</v>
      </c>
      <c r="J303" s="6">
        <f t="shared" si="35"/>
        <v>0</v>
      </c>
      <c r="K303" s="6">
        <f t="shared" si="35"/>
        <v>0</v>
      </c>
      <c r="L303" s="6">
        <f t="shared" si="35"/>
        <v>0</v>
      </c>
      <c r="M303" s="6">
        <f t="shared" si="35"/>
        <v>0</v>
      </c>
      <c r="N303" s="6">
        <f t="shared" si="35"/>
        <v>0</v>
      </c>
      <c r="O303" s="6">
        <f t="shared" si="35"/>
        <v>0</v>
      </c>
      <c r="P303" s="6">
        <f t="shared" si="35"/>
        <v>0</v>
      </c>
      <c r="Q303" s="6">
        <f t="shared" si="35"/>
        <v>0</v>
      </c>
      <c r="R303" s="6">
        <f t="shared" si="35"/>
        <v>0</v>
      </c>
      <c r="S303" s="6">
        <f t="shared" si="35"/>
        <v>0</v>
      </c>
      <c r="T303" s="6">
        <f t="shared" si="35"/>
        <v>0</v>
      </c>
      <c r="U303" s="6">
        <f t="shared" si="35"/>
        <v>0</v>
      </c>
      <c r="V303" s="6">
        <f t="shared" si="35"/>
        <v>0</v>
      </c>
      <c r="W303" s="6">
        <f t="shared" si="35"/>
        <v>0</v>
      </c>
      <c r="X303" s="6">
        <f t="shared" si="35"/>
        <v>0</v>
      </c>
      <c r="Y303" s="6">
        <f t="shared" si="35"/>
        <v>0</v>
      </c>
      <c r="Z303" s="6">
        <f t="shared" si="35"/>
        <v>0</v>
      </c>
    </row>
    <row r="304" spans="1:53" outlineLevel="1" x14ac:dyDescent="0.35">
      <c r="A304" s="6" t="s">
        <v>760</v>
      </c>
      <c r="B304" s="6">
        <f>$B$252*50*'Results - raw data ReCiPe (E)'!BC114/(1-0.5)*(1+'Results ReCiPe (E) - HHD'!$AC$271/'Results ReCiPe (E) - HHD'!$AC$272-'Results ReCiPe (E) - HHD'!$AC$271)</f>
        <v>360.43199555124954</v>
      </c>
      <c r="C304" s="6">
        <f>$B$252*50*'Results - raw data ReCiPe (E)'!BD114/(1-0.5)*(1+'Results ReCiPe (E) - HHD'!$AC$271/'Results ReCiPe (E) - HHD'!$AC$272-'Results ReCiPe (E) - HHD'!$AC$271)</f>
        <v>359.56048865248164</v>
      </c>
      <c r="D304" s="6">
        <f>$B$252*50*'Results - raw data ReCiPe (E)'!BE114/(1-0.5)*(1+'Results ReCiPe (E) - HHD'!$AC$271/'Results ReCiPe (E) - HHD'!$AC$272-'Results ReCiPe (E) - HHD'!$AC$271)</f>
        <v>358.70701328240875</v>
      </c>
      <c r="E304" s="6">
        <f>$B$252*50*'Results - raw data ReCiPe (E)'!BF114/(1-0.5)*(1+'Results ReCiPe (E) - HHD'!$AC$271/'Results ReCiPe (E) - HHD'!$AC$272-'Results ReCiPe (E) - HHD'!$AC$271)</f>
        <v>354.42405801937088</v>
      </c>
      <c r="F304" s="6">
        <f>$B$252*50*'Results - raw data ReCiPe (E)'!BG114/(1-0.5)*(1+'Results ReCiPe (E) - HHD'!$AC$271/'Results ReCiPe (E) - HHD'!$AC$272-'Results ReCiPe (E) - HHD'!$AC$271)</f>
        <v>353.61258894317245</v>
      </c>
      <c r="G304" s="6">
        <f>$B$252*50*'Results - raw data ReCiPe (E)'!BH114/(1-0.5)*(1+'Results ReCiPe (E) - HHD'!$AC$271/'Results ReCiPe (E) - HHD'!$AC$272-'Results ReCiPe (E) - HHD'!$AC$271)</f>
        <v>352.81302049488261</v>
      </c>
      <c r="H304" s="6">
        <f>$B$252*50*'Results - raw data ReCiPe (E)'!BI114/(1-0.5)*(1+'Results ReCiPe (E) - HHD'!$AC$271/'Results ReCiPe (E) - HHD'!$AC$272-'Results ReCiPe (E) - HHD'!$AC$271)</f>
        <v>352.10165730160855</v>
      </c>
      <c r="I304" s="6">
        <f>$B$252*50*'Results - raw data ReCiPe (E)'!BJ114/(1-0.5)*(1+'Results ReCiPe (E) - HHD'!$AC$271/'Results ReCiPe (E) - HHD'!$AC$272-'Results ReCiPe (E) - HHD'!$AC$271)</f>
        <v>351.4180641063333</v>
      </c>
      <c r="J304" s="6">
        <f>$B$252*50*'Results - raw data ReCiPe (E)'!BK114/(1-0.5)*(1+'Results ReCiPe (E) - HHD'!$AC$271/'Results ReCiPe (E) - HHD'!$AC$272-'Results ReCiPe (E) - HHD'!$AC$271)</f>
        <v>348.37810888889817</v>
      </c>
      <c r="K304" s="6">
        <f>$B$252*50*'Results - raw data ReCiPe (E)'!BL114/(1-0.5)*(1+'Results ReCiPe (E) - HHD'!$AC$271/'Results ReCiPe (E) - HHD'!$AC$272-'Results ReCiPe (E) - HHD'!$AC$271)</f>
        <v>347.75979936182483</v>
      </c>
      <c r="L304" s="6">
        <f>$B$252*50*'Results - raw data ReCiPe (E)'!BM114/(1-0.5)*(1+'Results ReCiPe (E) - HHD'!$AC$271/'Results ReCiPe (E) - HHD'!$AC$272-'Results ReCiPe (E) - HHD'!$AC$271)</f>
        <v>347.16193610281425</v>
      </c>
      <c r="M304" s="6">
        <f>$B$252*50*'Results - raw data ReCiPe (E)'!BN114/(1-0.5)*(1+'Results ReCiPe (E) - HHD'!$AC$271/'Results ReCiPe (E) - HHD'!$AC$272-'Results ReCiPe (E) - HHD'!$AC$271)</f>
        <v>346.86758657794502</v>
      </c>
      <c r="N304" s="6">
        <f>$B$252*50*'Results - raw data ReCiPe (E)'!BO114/(1-0.5)*(1+'Results ReCiPe (E) - HHD'!$AC$271/'Results ReCiPe (E) - HHD'!$AC$272-'Results ReCiPe (E) - HHD'!$AC$271)</f>
        <v>346.59673296837218</v>
      </c>
      <c r="O304" s="6">
        <f>$B$252*50*'Results - raw data ReCiPe (E)'!BP114/(1-0.5)*(1+'Results ReCiPe (E) - HHD'!$AC$271/'Results ReCiPe (E) - HHD'!$AC$272-'Results ReCiPe (E) - HHD'!$AC$271)</f>
        <v>345.68852907027565</v>
      </c>
      <c r="P304" s="6">
        <f>$B$252*50*'Results - raw data ReCiPe (E)'!BQ114/(1-0.5)*(1+'Results ReCiPe (E) - HHD'!$AC$271/'Results ReCiPe (E) - HHD'!$AC$272-'Results ReCiPe (E) - HHD'!$AC$271)</f>
        <v>345.46683633641948</v>
      </c>
      <c r="Q304" s="6">
        <f>$B$252*50*'Results - raw data ReCiPe (E)'!BR114/(1-0.5)*(1+'Results ReCiPe (E) - HHD'!$AC$271/'Results ReCiPe (E) - HHD'!$AC$272-'Results ReCiPe (E) - HHD'!$AC$271)</f>
        <v>345.27596023425195</v>
      </c>
      <c r="R304" s="6">
        <f>$B$252*50*'Results - raw data ReCiPe (E)'!BS114/(1-0.5)*(1+'Results ReCiPe (E) - HHD'!$AC$271/'Results ReCiPe (E) - HHD'!$AC$272-'Results ReCiPe (E) - HHD'!$AC$271)</f>
        <v>344.84465948807332</v>
      </c>
      <c r="S304" s="6">
        <f>$B$252*50*'Results - raw data ReCiPe (E)'!BT114/(1-0.5)*(1+'Results ReCiPe (E) - HHD'!$AC$271/'Results ReCiPe (E) - HHD'!$AC$272-'Results ReCiPe (E) - HHD'!$AC$271)</f>
        <v>344.41415124570079</v>
      </c>
      <c r="T304" s="6">
        <f>$B$252*50*'Results - raw data ReCiPe (E)'!BU114/(1-0.5)*(1+'Results ReCiPe (E) - HHD'!$AC$271/'Results ReCiPe (E) - HHD'!$AC$272-'Results ReCiPe (E) - HHD'!$AC$271)</f>
        <v>343.33933376331476</v>
      </c>
      <c r="U304" s="6">
        <f>$B$252*50*'Results - raw data ReCiPe (E)'!BV114/(1-0.5)*(1+'Results ReCiPe (E) - HHD'!$AC$271/'Results ReCiPe (E) - HHD'!$AC$272-'Results ReCiPe (E) - HHD'!$AC$271)</f>
        <v>342.91662910248294</v>
      </c>
      <c r="V304" s="6">
        <f>$B$252*50*'Results - raw data ReCiPe (E)'!BW114/(1-0.5)*(1+'Results ReCiPe (E) - HHD'!$AC$271/'Results ReCiPe (E) - HHD'!$AC$272-'Results ReCiPe (E) - HHD'!$AC$271)</f>
        <v>342.49384838486969</v>
      </c>
      <c r="W304" s="6">
        <f>$B$252*50*'Results - raw data ReCiPe (E)'!BX114/(1-0.5)*(1+'Results ReCiPe (E) - HHD'!$AC$271/'Results ReCiPe (E) - HHD'!$AC$272-'Results ReCiPe (E) - HHD'!$AC$271)</f>
        <v>342.13315208535988</v>
      </c>
      <c r="X304" s="6">
        <f>$B$252*50*'Results - raw data ReCiPe (E)'!BY114/(1-0.5)*(1+'Results ReCiPe (E) - HHD'!$AC$271/'Results ReCiPe (E) - HHD'!$AC$272-'Results ReCiPe (E) - HHD'!$AC$271)</f>
        <v>341.77644692212669</v>
      </c>
      <c r="Y304" s="6">
        <f>$B$252*50*'Results - raw data ReCiPe (E)'!BZ114/(1-0.5)*(1+'Results ReCiPe (E) - HHD'!$AC$271/'Results ReCiPe (E) - HHD'!$AC$272-'Results ReCiPe (E) - HHD'!$AC$271)</f>
        <v>341.4231806226652</v>
      </c>
      <c r="Z304" s="6">
        <f>$B$252*50*'Results - raw data ReCiPe (E)'!CA114/(1-0.5)*(1+'Results ReCiPe (E) - HHD'!$AC$271/'Results ReCiPe (E) - HHD'!$AC$272-'Results ReCiPe (E) - HHD'!$AC$271)</f>
        <v>341.07310734926216</v>
      </c>
    </row>
    <row r="305" spans="1:26" outlineLevel="1" x14ac:dyDescent="0.35">
      <c r="A305" s="6" t="s">
        <v>797</v>
      </c>
      <c r="B305" s="6">
        <f>$B$260*$AC$264</f>
        <v>438.74984827748796</v>
      </c>
      <c r="C305" s="6">
        <f t="shared" ref="C305:Z305" si="36">$B$260*$AC$264</f>
        <v>438.74984827748796</v>
      </c>
      <c r="D305" s="6">
        <f t="shared" si="36"/>
        <v>438.74984827748796</v>
      </c>
      <c r="E305" s="6">
        <f t="shared" si="36"/>
        <v>438.74984827748796</v>
      </c>
      <c r="F305" s="6">
        <f t="shared" si="36"/>
        <v>438.74984827748796</v>
      </c>
      <c r="G305" s="6">
        <f t="shared" si="36"/>
        <v>438.74984827748796</v>
      </c>
      <c r="H305" s="6">
        <f t="shared" si="36"/>
        <v>438.74984827748796</v>
      </c>
      <c r="I305" s="6">
        <f t="shared" si="36"/>
        <v>438.74984827748796</v>
      </c>
      <c r="J305" s="6">
        <f t="shared" si="36"/>
        <v>438.74984827748796</v>
      </c>
      <c r="K305" s="6">
        <f t="shared" si="36"/>
        <v>438.74984827748796</v>
      </c>
      <c r="L305" s="6">
        <f t="shared" si="36"/>
        <v>438.74984827748796</v>
      </c>
      <c r="M305" s="6">
        <f t="shared" si="36"/>
        <v>438.74984827748796</v>
      </c>
      <c r="N305" s="6">
        <f t="shared" si="36"/>
        <v>438.74984827748796</v>
      </c>
      <c r="O305" s="6">
        <f t="shared" si="36"/>
        <v>438.74984827748796</v>
      </c>
      <c r="P305" s="6">
        <f t="shared" si="36"/>
        <v>438.74984827748796</v>
      </c>
      <c r="Q305" s="6">
        <f t="shared" si="36"/>
        <v>438.74984827748796</v>
      </c>
      <c r="R305" s="6">
        <f t="shared" si="36"/>
        <v>438.74984827748796</v>
      </c>
      <c r="S305" s="6">
        <f t="shared" si="36"/>
        <v>438.74984827748796</v>
      </c>
      <c r="T305" s="6">
        <f t="shared" si="36"/>
        <v>438.74984827748796</v>
      </c>
      <c r="U305" s="6">
        <f t="shared" si="36"/>
        <v>438.74984827748796</v>
      </c>
      <c r="V305" s="6">
        <f t="shared" si="36"/>
        <v>438.74984827748796</v>
      </c>
      <c r="W305" s="6">
        <f t="shared" si="36"/>
        <v>438.74984827748796</v>
      </c>
      <c r="X305" s="6">
        <f t="shared" si="36"/>
        <v>438.74984827748796</v>
      </c>
      <c r="Y305" s="6">
        <f t="shared" si="36"/>
        <v>438.74984827748796</v>
      </c>
      <c r="Z305" s="6">
        <f t="shared" si="36"/>
        <v>438.74984827748796</v>
      </c>
    </row>
    <row r="306" spans="1:26" outlineLevel="1" x14ac:dyDescent="0.35">
      <c r="A306" s="23" t="s">
        <v>125</v>
      </c>
      <c r="B306" s="17">
        <f t="shared" ref="B306:Z306" si="37">SUM(B274:B304)</f>
        <v>3639.6835676159726</v>
      </c>
      <c r="C306" s="17">
        <f t="shared" si="37"/>
        <v>585.76456933451573</v>
      </c>
      <c r="D306" s="17">
        <f t="shared" si="37"/>
        <v>585.04872561037189</v>
      </c>
      <c r="E306" s="17">
        <f t="shared" si="37"/>
        <v>580.02721017905264</v>
      </c>
      <c r="F306" s="17">
        <f t="shared" si="37"/>
        <v>579.36108993066603</v>
      </c>
      <c r="G306" s="17">
        <f t="shared" si="37"/>
        <v>578.70852586899446</v>
      </c>
      <c r="H306" s="17">
        <f t="shared" si="37"/>
        <v>581.2233943531121</v>
      </c>
      <c r="I306" s="17">
        <f t="shared" si="37"/>
        <v>583.7521636137094</v>
      </c>
      <c r="J306" s="17">
        <f t="shared" si="37"/>
        <v>583.3022738708105</v>
      </c>
      <c r="K306" s="17">
        <f t="shared" si="37"/>
        <v>585.87803045073429</v>
      </c>
      <c r="L306" s="17">
        <f t="shared" si="37"/>
        <v>588.4614116141729</v>
      </c>
      <c r="M306" s="17">
        <f t="shared" si="37"/>
        <v>591.77635577746469</v>
      </c>
      <c r="N306" s="17">
        <f t="shared" si="37"/>
        <v>595.11035131785684</v>
      </c>
      <c r="O306" s="17">
        <f t="shared" si="37"/>
        <v>597.62910116934677</v>
      </c>
      <c r="P306" s="17">
        <f t="shared" si="37"/>
        <v>601.00498175772032</v>
      </c>
      <c r="Q306" s="17">
        <f t="shared" si="37"/>
        <v>604.40660348514598</v>
      </c>
      <c r="R306" s="17">
        <f t="shared" si="37"/>
        <v>607.4284438700289</v>
      </c>
      <c r="S306" s="17">
        <f t="shared" si="37"/>
        <v>610.44476316968928</v>
      </c>
      <c r="T306" s="17">
        <f t="shared" si="37"/>
        <v>612.64432091507433</v>
      </c>
      <c r="U306" s="17">
        <f t="shared" si="37"/>
        <v>615.65982294467358</v>
      </c>
      <c r="V306" s="17">
        <f t="shared" si="37"/>
        <v>618.67044382449751</v>
      </c>
      <c r="W306" s="17">
        <f t="shared" si="37"/>
        <v>617.14385039294052</v>
      </c>
      <c r="X306" s="17">
        <f t="shared" si="37"/>
        <v>615.62860340630516</v>
      </c>
      <c r="Y306" s="17">
        <f t="shared" si="37"/>
        <v>614.11962912162073</v>
      </c>
      <c r="Z306" s="17">
        <f t="shared" si="37"/>
        <v>659.4549047801512</v>
      </c>
    </row>
    <row r="307" spans="1:26" outlineLevel="1" x14ac:dyDescent="0.35"/>
    <row r="308" spans="1:26" s="18" customFormat="1" ht="21" x14ac:dyDescent="0.5">
      <c r="A308" s="18" t="s">
        <v>73</v>
      </c>
    </row>
    <row r="309" spans="1:26" s="20" customFormat="1" outlineLevel="1" x14ac:dyDescent="0.35">
      <c r="A309" s="19" t="s">
        <v>788</v>
      </c>
    </row>
    <row r="310" spans="1:26" s="20" customFormat="1" outlineLevel="1" x14ac:dyDescent="0.35">
      <c r="A310" s="273" t="s">
        <v>775</v>
      </c>
      <c r="B310" s="20">
        <v>1</v>
      </c>
      <c r="C310" s="274" t="s">
        <v>787</v>
      </c>
    </row>
    <row r="311" spans="1:26" s="20" customFormat="1" outlineLevel="1" x14ac:dyDescent="0.35">
      <c r="A311" s="273" t="s">
        <v>781</v>
      </c>
      <c r="B311" s="20">
        <v>100000</v>
      </c>
      <c r="C311" s="20" t="s">
        <v>782</v>
      </c>
      <c r="E311" s="274"/>
    </row>
    <row r="312" spans="1:26" s="20" customFormat="1" outlineLevel="1" x14ac:dyDescent="0.35">
      <c r="A312" s="273" t="s">
        <v>783</v>
      </c>
      <c r="B312" s="20">
        <v>1500</v>
      </c>
      <c r="C312" s="20" t="s">
        <v>592</v>
      </c>
    </row>
    <row r="313" spans="1:26" s="20" customFormat="1" outlineLevel="1" x14ac:dyDescent="0.35">
      <c r="A313" s="273" t="s">
        <v>784</v>
      </c>
      <c r="B313" s="20">
        <v>8760</v>
      </c>
      <c r="C313" s="20" t="s">
        <v>785</v>
      </c>
    </row>
    <row r="314" spans="1:26" s="20" customFormat="1" outlineLevel="1" x14ac:dyDescent="0.35">
      <c r="A314" s="273"/>
    </row>
    <row r="315" spans="1:26" s="20" customFormat="1" outlineLevel="1" x14ac:dyDescent="0.35">
      <c r="A315" s="275" t="s">
        <v>786</v>
      </c>
      <c r="B315" s="275">
        <f>(B311*B312)/(B313*B310)</f>
        <v>17123.287671232876</v>
      </c>
      <c r="C315" s="275" t="s">
        <v>749</v>
      </c>
    </row>
    <row r="316" spans="1:26" s="20" customFormat="1" outlineLevel="1" x14ac:dyDescent="0.35">
      <c r="A316" s="19"/>
    </row>
    <row r="317" spans="1:26" s="20" customFormat="1" outlineLevel="1" x14ac:dyDescent="0.35">
      <c r="A317" s="19" t="s">
        <v>793</v>
      </c>
    </row>
    <row r="318" spans="1:26" s="20" customFormat="1" outlineLevel="1" x14ac:dyDescent="0.35">
      <c r="A318" s="273" t="s">
        <v>789</v>
      </c>
      <c r="B318" s="20">
        <f>SUM('Results - raw data ReCiPe (E)'!BC146:BC147)+'Results - raw data ReCiPe (E)'!BC150+SUM('Results - raw data ReCiPe (E)'!BC148:BC149)*AC267</f>
        <v>83.194042740954686</v>
      </c>
      <c r="C318" s="20" t="s">
        <v>902</v>
      </c>
    </row>
    <row r="319" spans="1:26" s="20" customFormat="1" outlineLevel="1" x14ac:dyDescent="0.35">
      <c r="A319" s="20" t="s">
        <v>792</v>
      </c>
      <c r="B319" s="20">
        <f>B311*AC325</f>
        <v>50000</v>
      </c>
      <c r="C319" s="274" t="s">
        <v>795</v>
      </c>
    </row>
    <row r="320" spans="1:26" s="20" customFormat="1" outlineLevel="1" x14ac:dyDescent="0.35">
      <c r="A320" s="20" t="s">
        <v>791</v>
      </c>
      <c r="B320" s="20">
        <f>(B318*AC327*B315)/(B319*AC326)*(AC326/AC328)</f>
        <v>8.5473331583172616</v>
      </c>
      <c r="C320" s="20" t="s">
        <v>903</v>
      </c>
      <c r="E320" s="274" t="s">
        <v>796</v>
      </c>
    </row>
    <row r="321" spans="1:53" s="20" customFormat="1" outlineLevel="1" x14ac:dyDescent="0.35">
      <c r="A321" s="19"/>
    </row>
    <row r="322" spans="1:53" s="16" customFormat="1" outlineLevel="1" x14ac:dyDescent="0.35">
      <c r="A322" s="21"/>
      <c r="AE322" s="15"/>
    </row>
    <row r="323" spans="1:53" s="16" customFormat="1" outlineLevel="1" x14ac:dyDescent="0.35">
      <c r="A323" s="22" t="s">
        <v>761</v>
      </c>
    </row>
    <row r="324" spans="1:53" s="16" customFormat="1" outlineLevel="1" x14ac:dyDescent="0.35">
      <c r="A324" s="22"/>
      <c r="AB324" s="16" t="s">
        <v>127</v>
      </c>
      <c r="AC324" s="16">
        <f>100*AC325</f>
        <v>50</v>
      </c>
      <c r="AD324" s="16" t="s">
        <v>128</v>
      </c>
    </row>
    <row r="325" spans="1:53" s="16" customFormat="1" outlineLevel="1" x14ac:dyDescent="0.35">
      <c r="A325" s="230"/>
      <c r="AB325" s="16" t="s">
        <v>776</v>
      </c>
      <c r="AC325" s="16">
        <v>0.5</v>
      </c>
    </row>
    <row r="326" spans="1:53" s="16" customFormat="1" outlineLevel="1" x14ac:dyDescent="0.35">
      <c r="A326" s="21"/>
      <c r="AB326" s="16" t="s">
        <v>129</v>
      </c>
      <c r="AC326" s="16">
        <v>25</v>
      </c>
      <c r="AD326" s="16" t="s">
        <v>130</v>
      </c>
    </row>
    <row r="327" spans="1:53" s="16" customFormat="1" outlineLevel="1" x14ac:dyDescent="0.35">
      <c r="A327" s="21"/>
      <c r="AB327" s="16" t="s">
        <v>777</v>
      </c>
      <c r="AC327" s="16">
        <v>6</v>
      </c>
      <c r="AD327" s="16" t="s">
        <v>779</v>
      </c>
    </row>
    <row r="328" spans="1:53" s="16" customFormat="1" outlineLevel="1" x14ac:dyDescent="0.35">
      <c r="A328" s="21"/>
      <c r="AB328" s="16" t="s">
        <v>778</v>
      </c>
      <c r="AC328" s="16">
        <v>20</v>
      </c>
      <c r="AD328" s="16" t="s">
        <v>130</v>
      </c>
    </row>
    <row r="329" spans="1:53" s="16" customFormat="1" outlineLevel="1" x14ac:dyDescent="0.35">
      <c r="AB329" s="16" t="s">
        <v>780</v>
      </c>
      <c r="AC329" s="16">
        <f>B315</f>
        <v>17123.287671232876</v>
      </c>
      <c r="AD329" s="16" t="s">
        <v>749</v>
      </c>
    </row>
    <row r="330" spans="1:53" s="16" customFormat="1" outlineLevel="1" x14ac:dyDescent="0.35"/>
    <row r="331" spans="1:53" s="16" customFormat="1" outlineLevel="1" x14ac:dyDescent="0.35">
      <c r="AB331" s="16" t="s">
        <v>798</v>
      </c>
      <c r="AC331" s="16">
        <v>0.25</v>
      </c>
    </row>
    <row r="332" spans="1:53" s="16" customFormat="1" outlineLevel="1" x14ac:dyDescent="0.35">
      <c r="A332" s="22"/>
      <c r="AB332" s="16" t="s">
        <v>799</v>
      </c>
      <c r="AC332" s="16">
        <v>0.9</v>
      </c>
    </row>
    <row r="333" spans="1:53" outlineLevel="1" x14ac:dyDescent="0.35">
      <c r="B333" s="25">
        <v>2030</v>
      </c>
      <c r="C333" s="25">
        <v>2031</v>
      </c>
      <c r="D333" s="25">
        <v>2032</v>
      </c>
      <c r="E333" s="25">
        <v>2033</v>
      </c>
      <c r="F333" s="25">
        <v>2034</v>
      </c>
      <c r="G333" s="25">
        <v>2035</v>
      </c>
      <c r="H333" s="25">
        <v>2036</v>
      </c>
      <c r="I333" s="25">
        <v>2037</v>
      </c>
      <c r="J333" s="25">
        <v>2038</v>
      </c>
      <c r="K333" s="25">
        <v>2039</v>
      </c>
      <c r="L333" s="25">
        <v>2040</v>
      </c>
      <c r="M333" s="25">
        <v>2041</v>
      </c>
      <c r="N333" s="25">
        <v>2042</v>
      </c>
      <c r="O333" s="25">
        <v>2043</v>
      </c>
      <c r="P333" s="25">
        <v>2044</v>
      </c>
      <c r="Q333" s="25">
        <v>2045</v>
      </c>
      <c r="R333" s="25">
        <v>2046</v>
      </c>
      <c r="S333" s="25">
        <v>2047</v>
      </c>
      <c r="T333" s="25">
        <v>2048</v>
      </c>
      <c r="U333" s="25">
        <v>2049</v>
      </c>
      <c r="V333" s="25">
        <v>2050</v>
      </c>
      <c r="W333" s="25">
        <v>2051</v>
      </c>
      <c r="X333" s="25">
        <v>2052</v>
      </c>
      <c r="Y333" s="25">
        <v>2053</v>
      </c>
      <c r="Z333" s="25">
        <v>2054</v>
      </c>
      <c r="AC333" s="25">
        <v>2030</v>
      </c>
      <c r="AD333" s="25">
        <v>2031</v>
      </c>
      <c r="AE333" s="25">
        <v>2032</v>
      </c>
      <c r="AF333" s="25">
        <v>2033</v>
      </c>
      <c r="AG333" s="25">
        <v>2034</v>
      </c>
      <c r="AH333" s="25">
        <v>2035</v>
      </c>
      <c r="AI333" s="25">
        <v>2036</v>
      </c>
      <c r="AJ333" s="25">
        <v>2037</v>
      </c>
      <c r="AK333" s="25">
        <v>2038</v>
      </c>
      <c r="AL333" s="25">
        <v>2039</v>
      </c>
      <c r="AM333" s="25">
        <v>2040</v>
      </c>
      <c r="AN333" s="25">
        <v>2041</v>
      </c>
      <c r="AO333" s="25">
        <v>2042</v>
      </c>
      <c r="AP333" s="25">
        <v>2043</v>
      </c>
      <c r="AQ333" s="25">
        <v>2044</v>
      </c>
      <c r="AR333" s="25">
        <v>2045</v>
      </c>
      <c r="AS333" s="25">
        <v>2046</v>
      </c>
      <c r="AT333" s="25">
        <v>2047</v>
      </c>
      <c r="AU333" s="25">
        <v>2048</v>
      </c>
      <c r="AV333" s="25">
        <v>2049</v>
      </c>
      <c r="AW333" s="25">
        <v>2050</v>
      </c>
      <c r="AX333" s="25">
        <v>2051</v>
      </c>
      <c r="AY333" s="25">
        <v>2052</v>
      </c>
      <c r="AZ333" s="25">
        <v>2053</v>
      </c>
      <c r="BA333" s="25">
        <v>2054</v>
      </c>
    </row>
    <row r="334" spans="1:53" outlineLevel="1" x14ac:dyDescent="0.35">
      <c r="A334" s="6" t="s">
        <v>21</v>
      </c>
      <c r="B334" s="6">
        <f>B50</f>
        <v>75.549006646233693</v>
      </c>
      <c r="AB334" s="6" t="s">
        <v>117</v>
      </c>
      <c r="AC334" s="6">
        <f>SUM(B334:B345)+B347</f>
        <v>2845.4572022954248</v>
      </c>
    </row>
    <row r="335" spans="1:53" outlineLevel="1" x14ac:dyDescent="0.35">
      <c r="A335" s="6" t="s">
        <v>23</v>
      </c>
      <c r="B335" s="6">
        <f t="shared" ref="B335:B345" si="38">B51</f>
        <v>315.279997833935</v>
      </c>
      <c r="AB335" s="6" t="s">
        <v>118</v>
      </c>
      <c r="AC335" s="6">
        <f>B346</f>
        <v>134.47314994416075</v>
      </c>
    </row>
    <row r="336" spans="1:53" outlineLevel="1" x14ac:dyDescent="0.35">
      <c r="A336" s="6" t="s">
        <v>26</v>
      </c>
      <c r="B336" s="6">
        <f t="shared" si="38"/>
        <v>318.13655504746191</v>
      </c>
      <c r="AB336" s="6" t="s">
        <v>119</v>
      </c>
      <c r="BA336" s="6">
        <f>SUM(Z348:Z359)</f>
        <v>41.824707218963411</v>
      </c>
    </row>
    <row r="337" spans="1:53" outlineLevel="1" x14ac:dyDescent="0.35">
      <c r="A337" s="6" t="s">
        <v>28</v>
      </c>
      <c r="B337" s="6">
        <f t="shared" si="38"/>
        <v>247.39685044349511</v>
      </c>
      <c r="AB337" s="6" t="s">
        <v>120</v>
      </c>
      <c r="BA337" s="6">
        <f>Z360</f>
        <v>0.64850850214682942</v>
      </c>
    </row>
    <row r="338" spans="1:53" outlineLevel="1" x14ac:dyDescent="0.35">
      <c r="A338" s="6" t="s">
        <v>29</v>
      </c>
      <c r="B338" s="6">
        <f t="shared" si="38"/>
        <v>123.04843891538729</v>
      </c>
      <c r="AB338" s="6" t="s">
        <v>121</v>
      </c>
      <c r="AC338" s="6">
        <f>B361</f>
        <v>118.1438789925995</v>
      </c>
      <c r="AF338" s="6">
        <f>E361</f>
        <v>116.6612753102726</v>
      </c>
      <c r="AI338" s="6">
        <f>H361</f>
        <v>116.18081695012491</v>
      </c>
      <c r="AL338" s="6">
        <f>K361</f>
        <v>115.90171224187471</v>
      </c>
      <c r="AO338" s="6">
        <f>N361</f>
        <v>115.3805853817795</v>
      </c>
      <c r="AR338" s="6">
        <f>Q361</f>
        <v>114.3803047375598</v>
      </c>
      <c r="AU338" s="6">
        <f>T361</f>
        <v>113.57035329969089</v>
      </c>
      <c r="AX338" s="6">
        <f>W361</f>
        <v>113.03996369373409</v>
      </c>
      <c r="BA338" s="6">
        <f>Z361</f>
        <v>112.7955257307044</v>
      </c>
    </row>
    <row r="339" spans="1:53" outlineLevel="1" x14ac:dyDescent="0.35">
      <c r="A339" s="6" t="s">
        <v>31</v>
      </c>
      <c r="B339" s="6">
        <f t="shared" si="38"/>
        <v>86.986946654413728</v>
      </c>
      <c r="AB339" s="6" t="s">
        <v>797</v>
      </c>
      <c r="AC339" s="6">
        <f>B365</f>
        <v>427.36665791586307</v>
      </c>
      <c r="AD339" s="6">
        <f t="shared" ref="AD339:BA339" si="39">C365</f>
        <v>427.36665791586307</v>
      </c>
      <c r="AE339" s="6">
        <f t="shared" si="39"/>
        <v>427.36665791586307</v>
      </c>
      <c r="AF339" s="6">
        <f t="shared" si="39"/>
        <v>427.36665791586307</v>
      </c>
      <c r="AG339" s="6">
        <f t="shared" si="39"/>
        <v>427.36665791586307</v>
      </c>
      <c r="AH339" s="6">
        <f t="shared" si="39"/>
        <v>427.36665791586307</v>
      </c>
      <c r="AI339" s="6">
        <f t="shared" si="39"/>
        <v>427.36665791586307</v>
      </c>
      <c r="AJ339" s="6">
        <f t="shared" si="39"/>
        <v>427.36665791586307</v>
      </c>
      <c r="AK339" s="6">
        <f t="shared" si="39"/>
        <v>427.36665791586307</v>
      </c>
      <c r="AL339" s="6">
        <f t="shared" si="39"/>
        <v>427.36665791586307</v>
      </c>
      <c r="AM339" s="6">
        <f t="shared" si="39"/>
        <v>427.36665791586307</v>
      </c>
      <c r="AN339" s="6">
        <f t="shared" si="39"/>
        <v>427.36665791586307</v>
      </c>
      <c r="AO339" s="6">
        <f t="shared" si="39"/>
        <v>427.36665791586307</v>
      </c>
      <c r="AP339" s="6">
        <f t="shared" si="39"/>
        <v>427.36665791586307</v>
      </c>
      <c r="AQ339" s="6">
        <f t="shared" si="39"/>
        <v>427.36665791586307</v>
      </c>
      <c r="AR339" s="6">
        <f t="shared" si="39"/>
        <v>427.36665791586307</v>
      </c>
      <c r="AS339" s="6">
        <f t="shared" si="39"/>
        <v>427.36665791586307</v>
      </c>
      <c r="AT339" s="6">
        <f t="shared" si="39"/>
        <v>427.36665791586307</v>
      </c>
      <c r="AU339" s="6">
        <f t="shared" si="39"/>
        <v>427.36665791586307</v>
      </c>
      <c r="AV339" s="6">
        <f t="shared" si="39"/>
        <v>427.36665791586307</v>
      </c>
      <c r="AW339" s="6">
        <f t="shared" si="39"/>
        <v>427.36665791586307</v>
      </c>
      <c r="AX339" s="6">
        <f t="shared" si="39"/>
        <v>427.36665791586307</v>
      </c>
      <c r="AY339" s="6">
        <f t="shared" si="39"/>
        <v>427.36665791586307</v>
      </c>
      <c r="AZ339" s="6">
        <f t="shared" si="39"/>
        <v>427.36665791586307</v>
      </c>
      <c r="BA339" s="6">
        <f t="shared" si="39"/>
        <v>427.36665791586307</v>
      </c>
    </row>
    <row r="340" spans="1:53" outlineLevel="1" x14ac:dyDescent="0.35">
      <c r="A340" s="6" t="s">
        <v>34</v>
      </c>
      <c r="B340" s="6">
        <f t="shared" si="38"/>
        <v>58.68274634077617</v>
      </c>
      <c r="AB340" s="6" t="s">
        <v>122</v>
      </c>
      <c r="AC340" s="6">
        <f t="shared" ref="AC340:AV340" si="40">B364+B363</f>
        <v>358.69644334642675</v>
      </c>
      <c r="AD340" s="6">
        <f t="shared" si="40"/>
        <v>357.59232279727053</v>
      </c>
      <c r="AE340" s="6">
        <f t="shared" si="40"/>
        <v>356.44409717738995</v>
      </c>
      <c r="AF340" s="6">
        <f t="shared" si="40"/>
        <v>351.84376975163292</v>
      </c>
      <c r="AG340" s="6">
        <f t="shared" si="40"/>
        <v>350.61835489118874</v>
      </c>
      <c r="AH340" s="6">
        <f t="shared" si="40"/>
        <v>349.33524773708046</v>
      </c>
      <c r="AI340" s="6">
        <f t="shared" si="40"/>
        <v>348.4438643827429</v>
      </c>
      <c r="AJ340" s="6">
        <f t="shared" si="40"/>
        <v>347.67724668500045</v>
      </c>
      <c r="AK340" s="6">
        <f t="shared" si="40"/>
        <v>344.63615054643702</v>
      </c>
      <c r="AL340" s="6">
        <f t="shared" si="40"/>
        <v>343.93467111398826</v>
      </c>
      <c r="AM340" s="6">
        <f t="shared" si="40"/>
        <v>343.21030926221925</v>
      </c>
      <c r="AN340" s="6">
        <f t="shared" si="40"/>
        <v>341.8083831341479</v>
      </c>
      <c r="AO340" s="6">
        <f t="shared" si="40"/>
        <v>340.41709546723558</v>
      </c>
      <c r="AP340" s="6">
        <f t="shared" si="40"/>
        <v>338.3892326937343</v>
      </c>
      <c r="AQ340" s="6">
        <f t="shared" si="40"/>
        <v>337.02484757418512</v>
      </c>
      <c r="AR340" s="6">
        <f t="shared" si="40"/>
        <v>335.66358209561156</v>
      </c>
      <c r="AS340" s="6">
        <f t="shared" si="40"/>
        <v>334.46067114811427</v>
      </c>
      <c r="AT340" s="6">
        <f t="shared" si="40"/>
        <v>333.27329739842304</v>
      </c>
      <c r="AU340" s="6">
        <f t="shared" si="40"/>
        <v>331.48883444721366</v>
      </c>
      <c r="AV340" s="6">
        <f t="shared" si="40"/>
        <v>330.34603930797505</v>
      </c>
      <c r="AW340" s="6">
        <f>V364</f>
        <v>329.2043376522779</v>
      </c>
      <c r="AX340" s="6">
        <f>W364</f>
        <v>328.90599139451098</v>
      </c>
      <c r="AY340" s="6">
        <f>X364</f>
        <v>328.6120514283096</v>
      </c>
      <c r="AZ340" s="6">
        <f>Y364</f>
        <v>328.32161102859078</v>
      </c>
      <c r="BA340" s="6">
        <f>Z364</f>
        <v>328.03437667071159</v>
      </c>
    </row>
    <row r="341" spans="1:53" outlineLevel="1" x14ac:dyDescent="0.35">
      <c r="A341" s="6" t="s">
        <v>36</v>
      </c>
      <c r="B341" s="6">
        <f t="shared" si="38"/>
        <v>61.417377484540921</v>
      </c>
      <c r="AB341" s="6" t="s">
        <v>123</v>
      </c>
      <c r="AC341" s="6">
        <f t="shared" ref="AC341:BA341" si="41">B362</f>
        <v>1.0491225599096661</v>
      </c>
      <c r="AD341" s="6">
        <f t="shared" si="41"/>
        <v>1.027401806406417</v>
      </c>
      <c r="AE341" s="6">
        <f t="shared" si="41"/>
        <v>1.0057642936358111</v>
      </c>
      <c r="AF341" s="6">
        <f t="shared" si="41"/>
        <v>0.98221667844679195</v>
      </c>
      <c r="AG341" s="6">
        <f t="shared" si="41"/>
        <v>0.9607522773877375</v>
      </c>
      <c r="AH341" s="6">
        <f t="shared" si="41"/>
        <v>0.93936765387875298</v>
      </c>
      <c r="AI341" s="6">
        <f t="shared" si="41"/>
        <v>0.932384363339954</v>
      </c>
      <c r="AJ341" s="6">
        <f t="shared" si="41"/>
        <v>0.92536843551353598</v>
      </c>
      <c r="AK341" s="6">
        <f t="shared" si="41"/>
        <v>0.9166160598013825</v>
      </c>
      <c r="AL341" s="6">
        <f t="shared" si="41"/>
        <v>0.90946985221201548</v>
      </c>
      <c r="AM341" s="6">
        <f t="shared" si="41"/>
        <v>0.90226503241288403</v>
      </c>
      <c r="AN341" s="6">
        <f t="shared" si="41"/>
        <v>0.89523401359043098</v>
      </c>
      <c r="AO341" s="6">
        <f t="shared" si="41"/>
        <v>0.88810294722364946</v>
      </c>
      <c r="AP341" s="6">
        <f t="shared" si="41"/>
        <v>0.88046653807669895</v>
      </c>
      <c r="AQ341" s="6">
        <f t="shared" si="41"/>
        <v>0.87314118181948752</v>
      </c>
      <c r="AR341" s="6">
        <f t="shared" si="41"/>
        <v>0.86571688125533497</v>
      </c>
      <c r="AS341" s="6">
        <f t="shared" si="41"/>
        <v>0.872448415081999</v>
      </c>
      <c r="AT341" s="6">
        <f t="shared" si="41"/>
        <v>0.87911152231088596</v>
      </c>
      <c r="AU341" s="6">
        <f t="shared" si="41"/>
        <v>0.88530963511926153</v>
      </c>
      <c r="AV341" s="6">
        <f t="shared" si="41"/>
        <v>0.89183816187355003</v>
      </c>
      <c r="AW341" s="6">
        <f t="shared" si="41"/>
        <v>0.89829946339581901</v>
      </c>
      <c r="AX341" s="6">
        <f t="shared" si="41"/>
        <v>0.88943566757136505</v>
      </c>
      <c r="AY341" s="6">
        <f t="shared" si="41"/>
        <v>0.8806165999814165</v>
      </c>
      <c r="AZ341" s="6">
        <f t="shared" si="41"/>
        <v>0.87178926130808054</v>
      </c>
      <c r="BA341" s="6">
        <f t="shared" si="41"/>
        <v>0.86295213042933949</v>
      </c>
    </row>
    <row r="342" spans="1:53" outlineLevel="1" x14ac:dyDescent="0.35">
      <c r="A342" s="6" t="s">
        <v>38</v>
      </c>
      <c r="B342" s="6">
        <f t="shared" si="38"/>
        <v>660.18683262205275</v>
      </c>
      <c r="AB342" s="6" t="s">
        <v>124</v>
      </c>
      <c r="AC342" s="6">
        <f>-$AC$323*$AC$324</f>
        <v>0</v>
      </c>
      <c r="AD342" s="6">
        <f t="shared" ref="AD342:BA342" si="42">-$AC$323*$AC$324</f>
        <v>0</v>
      </c>
      <c r="AE342" s="6">
        <f t="shared" si="42"/>
        <v>0</v>
      </c>
      <c r="AF342" s="6">
        <f t="shared" si="42"/>
        <v>0</v>
      </c>
      <c r="AG342" s="6">
        <f t="shared" si="42"/>
        <v>0</v>
      </c>
      <c r="AH342" s="6">
        <f t="shared" si="42"/>
        <v>0</v>
      </c>
      <c r="AI342" s="6">
        <f t="shared" si="42"/>
        <v>0</v>
      </c>
      <c r="AJ342" s="6">
        <f t="shared" si="42"/>
        <v>0</v>
      </c>
      <c r="AK342" s="6">
        <f t="shared" si="42"/>
        <v>0</v>
      </c>
      <c r="AL342" s="6">
        <f t="shared" si="42"/>
        <v>0</v>
      </c>
      <c r="AM342" s="6">
        <f t="shared" si="42"/>
        <v>0</v>
      </c>
      <c r="AN342" s="6">
        <f t="shared" si="42"/>
        <v>0</v>
      </c>
      <c r="AO342" s="6">
        <f t="shared" si="42"/>
        <v>0</v>
      </c>
      <c r="AP342" s="6">
        <f t="shared" si="42"/>
        <v>0</v>
      </c>
      <c r="AQ342" s="6">
        <f t="shared" si="42"/>
        <v>0</v>
      </c>
      <c r="AR342" s="6">
        <f t="shared" si="42"/>
        <v>0</v>
      </c>
      <c r="AS342" s="6">
        <f t="shared" si="42"/>
        <v>0</v>
      </c>
      <c r="AT342" s="6">
        <f t="shared" si="42"/>
        <v>0</v>
      </c>
      <c r="AU342" s="6">
        <f t="shared" si="42"/>
        <v>0</v>
      </c>
      <c r="AV342" s="6">
        <f t="shared" si="42"/>
        <v>0</v>
      </c>
      <c r="AW342" s="6">
        <f t="shared" si="42"/>
        <v>0</v>
      </c>
      <c r="AX342" s="6">
        <f t="shared" si="42"/>
        <v>0</v>
      </c>
      <c r="AY342" s="6">
        <f t="shared" si="42"/>
        <v>0</v>
      </c>
      <c r="AZ342" s="6">
        <f t="shared" si="42"/>
        <v>0</v>
      </c>
      <c r="BA342" s="6">
        <f t="shared" si="42"/>
        <v>0</v>
      </c>
    </row>
    <row r="343" spans="1:53" outlineLevel="1" x14ac:dyDescent="0.35">
      <c r="A343" s="6" t="s">
        <v>39</v>
      </c>
      <c r="B343" s="6">
        <f t="shared" si="38"/>
        <v>724.53561676640027</v>
      </c>
      <c r="AB343" s="23" t="s">
        <v>125</v>
      </c>
      <c r="AC343" s="17">
        <f t="shared" ref="AC343:BA343" si="43">SUM(AC334:AC342)</f>
        <v>3885.1864550543851</v>
      </c>
      <c r="AD343" s="17">
        <f t="shared" si="43"/>
        <v>785.98638251953992</v>
      </c>
      <c r="AE343" s="17">
        <f t="shared" si="43"/>
        <v>784.81651938688879</v>
      </c>
      <c r="AF343" s="17">
        <f t="shared" si="43"/>
        <v>896.85391965621534</v>
      </c>
      <c r="AG343" s="17">
        <f t="shared" si="43"/>
        <v>778.94576508443959</v>
      </c>
      <c r="AH343" s="17">
        <f t="shared" si="43"/>
        <v>777.64127330682231</v>
      </c>
      <c r="AI343" s="17">
        <f t="shared" si="43"/>
        <v>892.92372361207072</v>
      </c>
      <c r="AJ343" s="17">
        <f t="shared" si="43"/>
        <v>775.96927303637699</v>
      </c>
      <c r="AK343" s="17">
        <f t="shared" si="43"/>
        <v>772.91942452210151</v>
      </c>
      <c r="AL343" s="17">
        <f t="shared" si="43"/>
        <v>888.11251112393813</v>
      </c>
      <c r="AM343" s="17">
        <f t="shared" si="43"/>
        <v>771.47923221049518</v>
      </c>
      <c r="AN343" s="17">
        <f t="shared" si="43"/>
        <v>770.07027506360146</v>
      </c>
      <c r="AO343" s="17">
        <f t="shared" si="43"/>
        <v>884.05244171210188</v>
      </c>
      <c r="AP343" s="17">
        <f t="shared" si="43"/>
        <v>766.63635714767406</v>
      </c>
      <c r="AQ343" s="17">
        <f t="shared" si="43"/>
        <v>765.26464667186769</v>
      </c>
      <c r="AR343" s="17">
        <f t="shared" si="43"/>
        <v>878.27626163028981</v>
      </c>
      <c r="AS343" s="17">
        <f t="shared" si="43"/>
        <v>762.69977747905932</v>
      </c>
      <c r="AT343" s="17">
        <f t="shared" si="43"/>
        <v>761.51906683659695</v>
      </c>
      <c r="AU343" s="17">
        <f t="shared" si="43"/>
        <v>873.3111552978869</v>
      </c>
      <c r="AV343" s="17">
        <f t="shared" si="43"/>
        <v>758.60453538571176</v>
      </c>
      <c r="AW343" s="17">
        <f t="shared" si="43"/>
        <v>757.46929503153672</v>
      </c>
      <c r="AX343" s="17">
        <f t="shared" si="43"/>
        <v>870.20204867167956</v>
      </c>
      <c r="AY343" s="17">
        <f t="shared" si="43"/>
        <v>756.85932594415408</v>
      </c>
      <c r="AZ343" s="17">
        <f t="shared" si="43"/>
        <v>756.56005820576195</v>
      </c>
      <c r="BA343" s="17">
        <f t="shared" si="43"/>
        <v>911.53272816881861</v>
      </c>
    </row>
    <row r="344" spans="1:53" outlineLevel="1" x14ac:dyDescent="0.35">
      <c r="A344" s="6" t="s">
        <v>41</v>
      </c>
      <c r="B344" s="6">
        <f t="shared" si="38"/>
        <v>53.672827910833327</v>
      </c>
    </row>
    <row r="345" spans="1:53" outlineLevel="1" x14ac:dyDescent="0.35">
      <c r="A345" s="6" t="s">
        <v>43</v>
      </c>
      <c r="B345" s="6">
        <f t="shared" si="38"/>
        <v>73.361900432224502</v>
      </c>
      <c r="AB345" s="272"/>
      <c r="AC345" s="272"/>
      <c r="AD345" s="272"/>
      <c r="AE345" s="272"/>
      <c r="AF345" s="272"/>
      <c r="AG345" s="272"/>
      <c r="AH345" s="272"/>
      <c r="AI345" s="272"/>
      <c r="AJ345" s="272"/>
      <c r="AK345" s="272"/>
      <c r="AL345" s="272"/>
      <c r="AM345" s="272"/>
      <c r="AN345" s="272"/>
      <c r="AO345" s="272"/>
      <c r="AP345" s="272"/>
      <c r="AQ345" s="272"/>
      <c r="AR345" s="272"/>
      <c r="AS345" s="272"/>
      <c r="AT345" s="272"/>
      <c r="AU345" s="272"/>
      <c r="AV345" s="272"/>
      <c r="AW345" s="272"/>
      <c r="AX345" s="272"/>
      <c r="AY345" s="272"/>
      <c r="AZ345" s="272"/>
      <c r="BA345" s="272"/>
    </row>
    <row r="346" spans="1:53" outlineLevel="1" x14ac:dyDescent="0.35">
      <c r="A346" s="6" t="s">
        <v>44</v>
      </c>
      <c r="B346" s="6">
        <f>B62*AC325</f>
        <v>134.47314994416075</v>
      </c>
      <c r="AB346" s="272"/>
      <c r="AC346" s="272"/>
      <c r="AD346" s="272"/>
      <c r="AE346" s="272"/>
      <c r="AF346" s="272"/>
      <c r="AG346" s="272"/>
      <c r="AH346" s="272"/>
      <c r="AI346" s="272"/>
      <c r="AJ346" s="272"/>
      <c r="AK346" s="272"/>
      <c r="AL346" s="272"/>
      <c r="AM346" s="272"/>
      <c r="AN346" s="272"/>
      <c r="AO346" s="272"/>
      <c r="AP346" s="272"/>
      <c r="AQ346" s="272"/>
      <c r="AR346" s="272"/>
      <c r="AS346" s="272"/>
      <c r="AT346" s="272"/>
      <c r="AU346" s="272"/>
      <c r="AV346" s="272"/>
      <c r="AW346" s="272"/>
      <c r="AX346" s="272"/>
      <c r="AY346" s="272"/>
      <c r="AZ346" s="272"/>
      <c r="BA346" s="272"/>
    </row>
    <row r="347" spans="1:53" outlineLevel="1" x14ac:dyDescent="0.35">
      <c r="A347" s="6" t="s">
        <v>757</v>
      </c>
      <c r="B347" s="6">
        <f>B63*AC325</f>
        <v>47.202105197669972</v>
      </c>
      <c r="AB347" s="272"/>
      <c r="AC347" s="272"/>
      <c r="AD347" s="272"/>
      <c r="AE347" s="272"/>
      <c r="AF347" s="272"/>
      <c r="AG347" s="272"/>
      <c r="AH347" s="272"/>
      <c r="AI347" s="272"/>
      <c r="AJ347" s="272"/>
      <c r="AK347" s="272"/>
      <c r="AL347" s="272"/>
      <c r="AM347" s="272"/>
      <c r="AN347" s="272"/>
      <c r="AO347" s="272"/>
      <c r="AP347" s="272"/>
      <c r="AQ347" s="272"/>
      <c r="AR347" s="272"/>
      <c r="AS347" s="272"/>
      <c r="AT347" s="272"/>
      <c r="AU347" s="272"/>
      <c r="AV347" s="272"/>
      <c r="AW347" s="272"/>
      <c r="AX347" s="272"/>
      <c r="AY347" s="272"/>
      <c r="AZ347" s="272"/>
      <c r="BA347" s="272"/>
    </row>
    <row r="348" spans="1:53" outlineLevel="1" x14ac:dyDescent="0.35">
      <c r="A348" s="6" t="s">
        <v>22</v>
      </c>
      <c r="Z348" s="6">
        <f>Z64</f>
        <v>0.32256488079999551</v>
      </c>
      <c r="AB348" s="272"/>
      <c r="AC348" s="272"/>
      <c r="AD348" s="272"/>
      <c r="AE348" s="272"/>
      <c r="AF348" s="272"/>
      <c r="AG348" s="272"/>
      <c r="AH348" s="272"/>
      <c r="AI348" s="272"/>
      <c r="AJ348" s="272"/>
      <c r="AK348" s="272"/>
      <c r="AL348" s="272"/>
      <c r="AM348" s="272"/>
      <c r="AN348" s="272"/>
      <c r="AO348" s="272"/>
      <c r="AP348" s="272"/>
      <c r="AQ348" s="272"/>
      <c r="AR348" s="272"/>
      <c r="AS348" s="272"/>
      <c r="AT348" s="272"/>
      <c r="AU348" s="272"/>
      <c r="AV348" s="272"/>
      <c r="AW348" s="272"/>
      <c r="AX348" s="272"/>
      <c r="AY348" s="272"/>
      <c r="AZ348" s="272"/>
      <c r="BA348" s="272"/>
    </row>
    <row r="349" spans="1:53" outlineLevel="1" x14ac:dyDescent="0.35">
      <c r="A349" s="6" t="s">
        <v>24</v>
      </c>
      <c r="Z349" s="6">
        <f t="shared" ref="Z349:Z359" si="44">Z65</f>
        <v>0.3586164175343079</v>
      </c>
      <c r="AB349" s="272"/>
      <c r="AC349" s="272"/>
      <c r="AD349" s="272"/>
      <c r="AE349" s="272"/>
      <c r="AF349" s="272"/>
      <c r="AG349" s="272"/>
      <c r="AH349" s="272"/>
      <c r="AI349" s="272"/>
      <c r="AJ349" s="272"/>
      <c r="AK349" s="272"/>
      <c r="AL349" s="272"/>
      <c r="AM349" s="272"/>
      <c r="AN349" s="272"/>
      <c r="AO349" s="272"/>
      <c r="AP349" s="272"/>
      <c r="AQ349" s="272"/>
      <c r="AR349" s="272"/>
      <c r="AS349" s="272"/>
      <c r="AT349" s="272"/>
      <c r="AU349" s="272"/>
      <c r="AV349" s="272"/>
      <c r="AW349" s="272"/>
      <c r="AX349" s="272"/>
      <c r="AY349" s="272"/>
      <c r="AZ349" s="272"/>
      <c r="BA349" s="272"/>
    </row>
    <row r="350" spans="1:53" outlineLevel="1" x14ac:dyDescent="0.35">
      <c r="A350" s="6" t="s">
        <v>25</v>
      </c>
      <c r="Z350" s="6">
        <f t="shared" si="44"/>
        <v>1.632742117781969</v>
      </c>
      <c r="AB350" s="272"/>
      <c r="AC350" s="272"/>
      <c r="AD350" s="272"/>
      <c r="AE350" s="272"/>
      <c r="AF350" s="272"/>
      <c r="AG350" s="272"/>
      <c r="AH350" s="272"/>
      <c r="AI350" s="272"/>
      <c r="AJ350" s="272"/>
      <c r="AK350" s="272"/>
      <c r="AL350" s="272"/>
      <c r="AM350" s="272"/>
      <c r="AN350" s="272"/>
      <c r="AO350" s="272"/>
      <c r="AP350" s="272"/>
      <c r="AQ350" s="272"/>
      <c r="AR350" s="272"/>
      <c r="AS350" s="272"/>
      <c r="AT350" s="272"/>
      <c r="AU350" s="272"/>
      <c r="AV350" s="272"/>
      <c r="AW350" s="272"/>
      <c r="AX350" s="272"/>
      <c r="AY350" s="272"/>
      <c r="AZ350" s="272"/>
      <c r="BA350" s="272"/>
    </row>
    <row r="351" spans="1:53" outlineLevel="1" x14ac:dyDescent="0.35">
      <c r="A351" s="6" t="s">
        <v>27</v>
      </c>
      <c r="Z351" s="6">
        <f t="shared" si="44"/>
        <v>0.99804902585087185</v>
      </c>
      <c r="AB351" s="272"/>
      <c r="AC351" s="272"/>
      <c r="AD351" s="272"/>
      <c r="AE351" s="272"/>
      <c r="AF351" s="272"/>
      <c r="AG351" s="272"/>
      <c r="AH351" s="272"/>
      <c r="AI351" s="272"/>
      <c r="AJ351" s="272"/>
      <c r="AK351" s="272"/>
      <c r="AL351" s="272"/>
      <c r="AM351" s="272"/>
      <c r="AN351" s="272"/>
      <c r="AO351" s="272"/>
      <c r="AP351" s="272"/>
      <c r="AQ351" s="272"/>
      <c r="AR351" s="272"/>
      <c r="AS351" s="272"/>
      <c r="AT351" s="272"/>
      <c r="AU351" s="272"/>
      <c r="AV351" s="272"/>
      <c r="AW351" s="272"/>
      <c r="AX351" s="272"/>
      <c r="AY351" s="272"/>
      <c r="AZ351" s="272"/>
      <c r="BA351" s="272"/>
    </row>
    <row r="352" spans="1:53" outlineLevel="1" x14ac:dyDescent="0.35">
      <c r="A352" s="6" t="s">
        <v>30</v>
      </c>
      <c r="Z352" s="6">
        <f t="shared" si="44"/>
        <v>0.39579861091332591</v>
      </c>
      <c r="AB352" s="272"/>
      <c r="AC352" s="272"/>
      <c r="AD352" s="272"/>
      <c r="AE352" s="272"/>
      <c r="AF352" s="272"/>
      <c r="AG352" s="272"/>
      <c r="AH352" s="272"/>
      <c r="AI352" s="272"/>
      <c r="AJ352" s="272"/>
      <c r="AK352" s="272"/>
      <c r="AL352" s="272"/>
      <c r="AM352" s="272"/>
      <c r="AN352" s="272"/>
      <c r="AO352" s="272"/>
      <c r="AP352" s="272"/>
      <c r="AQ352" s="272"/>
      <c r="AR352" s="272"/>
      <c r="AS352" s="272"/>
      <c r="AT352" s="272"/>
      <c r="AU352" s="272"/>
      <c r="AV352" s="272"/>
      <c r="AW352" s="272"/>
      <c r="AX352" s="272"/>
      <c r="AY352" s="272"/>
      <c r="AZ352" s="272"/>
      <c r="BA352" s="272"/>
    </row>
    <row r="353" spans="1:53" outlineLevel="1" x14ac:dyDescent="0.35">
      <c r="A353" s="6" t="s">
        <v>32</v>
      </c>
      <c r="Z353" s="6">
        <f t="shared" si="44"/>
        <v>0.1772504828934679</v>
      </c>
      <c r="AB353" s="272"/>
      <c r="AC353" s="272"/>
      <c r="AD353" s="272"/>
      <c r="AE353" s="272"/>
      <c r="AF353" s="272"/>
      <c r="AG353" s="272"/>
      <c r="AH353" s="272"/>
      <c r="AI353" s="272"/>
      <c r="AJ353" s="272"/>
      <c r="AK353" s="272"/>
      <c r="AL353" s="272"/>
      <c r="AM353" s="272"/>
      <c r="AN353" s="272"/>
      <c r="AO353" s="272"/>
      <c r="AP353" s="272"/>
      <c r="AQ353" s="272"/>
      <c r="AR353" s="272"/>
      <c r="AS353" s="272"/>
      <c r="AT353" s="272"/>
      <c r="AU353" s="272"/>
      <c r="AV353" s="272"/>
      <c r="AW353" s="272"/>
      <c r="AX353" s="272"/>
      <c r="AY353" s="272"/>
      <c r="AZ353" s="272"/>
      <c r="BA353" s="272"/>
    </row>
    <row r="354" spans="1:53" outlineLevel="1" x14ac:dyDescent="0.35">
      <c r="A354" s="6" t="s">
        <v>33</v>
      </c>
      <c r="Z354" s="6">
        <f t="shared" si="44"/>
        <v>0.10228466236576519</v>
      </c>
      <c r="AB354" s="272"/>
      <c r="AC354" s="272"/>
      <c r="AD354" s="272"/>
      <c r="AE354" s="272"/>
      <c r="AF354" s="272"/>
      <c r="AG354" s="272"/>
      <c r="AH354" s="272"/>
      <c r="AI354" s="272"/>
      <c r="AJ354" s="272"/>
      <c r="AK354" s="272"/>
      <c r="AL354" s="272"/>
      <c r="AM354" s="272"/>
      <c r="AN354" s="272"/>
      <c r="AO354" s="272"/>
      <c r="AP354" s="272"/>
      <c r="AQ354" s="272"/>
      <c r="AR354" s="272"/>
      <c r="AS354" s="272"/>
      <c r="AT354" s="272"/>
      <c r="AU354" s="272"/>
      <c r="AV354" s="272"/>
      <c r="AW354" s="272"/>
      <c r="AX354" s="272"/>
      <c r="AY354" s="272"/>
      <c r="AZ354" s="272"/>
      <c r="BA354" s="272"/>
    </row>
    <row r="355" spans="1:53" outlineLevel="1" x14ac:dyDescent="0.35">
      <c r="A355" s="6" t="s">
        <v>35</v>
      </c>
      <c r="Z355" s="6">
        <f t="shared" si="44"/>
        <v>0.20456932473153031</v>
      </c>
      <c r="AB355" s="272"/>
      <c r="AC355" s="272"/>
      <c r="AD355" s="272"/>
      <c r="AE355" s="272"/>
      <c r="AF355" s="272"/>
      <c r="AG355" s="272"/>
      <c r="AH355" s="272"/>
      <c r="AI355" s="272"/>
      <c r="AJ355" s="272"/>
      <c r="AK355" s="272"/>
      <c r="AL355" s="272"/>
      <c r="AM355" s="272"/>
      <c r="AN355" s="272"/>
      <c r="AO355" s="272"/>
      <c r="AP355" s="272"/>
      <c r="AQ355" s="272"/>
      <c r="AR355" s="272"/>
      <c r="AS355" s="272"/>
      <c r="AT355" s="272"/>
      <c r="AU355" s="272"/>
      <c r="AV355" s="272"/>
      <c r="AW355" s="272"/>
      <c r="AX355" s="272"/>
      <c r="AY355" s="272"/>
      <c r="AZ355" s="272"/>
      <c r="BA355" s="272"/>
    </row>
    <row r="356" spans="1:53" outlineLevel="1" x14ac:dyDescent="0.35">
      <c r="A356" s="6" t="s">
        <v>37</v>
      </c>
      <c r="Z356" s="6">
        <f t="shared" si="44"/>
        <v>3.024714710988802</v>
      </c>
      <c r="AB356" s="272"/>
      <c r="AC356" s="272"/>
      <c r="AD356" s="272"/>
      <c r="AE356" s="272"/>
      <c r="AF356" s="272"/>
      <c r="AG356" s="272"/>
      <c r="AH356" s="272"/>
      <c r="AI356" s="272"/>
      <c r="AJ356" s="272"/>
      <c r="AK356" s="272"/>
      <c r="AL356" s="272"/>
      <c r="AM356" s="272"/>
      <c r="AN356" s="272"/>
      <c r="AO356" s="272"/>
      <c r="AP356" s="272"/>
      <c r="AQ356" s="272"/>
      <c r="AR356" s="272"/>
      <c r="AS356" s="272"/>
      <c r="AT356" s="272"/>
      <c r="AU356" s="272"/>
      <c r="AV356" s="272"/>
      <c r="AW356" s="272"/>
      <c r="AX356" s="272"/>
      <c r="AY356" s="272"/>
      <c r="AZ356" s="272"/>
      <c r="BA356" s="272"/>
    </row>
    <row r="357" spans="1:53" outlineLevel="1" x14ac:dyDescent="0.35">
      <c r="A357" s="6" t="s">
        <v>40</v>
      </c>
      <c r="Z357" s="6">
        <f t="shared" si="44"/>
        <v>1.402924819378335</v>
      </c>
    </row>
    <row r="358" spans="1:53" outlineLevel="1" x14ac:dyDescent="0.35">
      <c r="A358" s="6" t="s">
        <v>42</v>
      </c>
      <c r="Z358" s="6">
        <f t="shared" si="44"/>
        <v>3.747290872792246</v>
      </c>
    </row>
    <row r="359" spans="1:53" outlineLevel="1" x14ac:dyDescent="0.35">
      <c r="A359" s="6" t="s">
        <v>115</v>
      </c>
      <c r="Z359" s="6">
        <f t="shared" si="44"/>
        <v>29.457901292932799</v>
      </c>
    </row>
    <row r="360" spans="1:53" outlineLevel="1" x14ac:dyDescent="0.35">
      <c r="A360" s="6" t="s">
        <v>45</v>
      </c>
      <c r="Z360" s="6">
        <f>Z76*AC325</f>
        <v>0.64850850214682942</v>
      </c>
    </row>
    <row r="361" spans="1:53" outlineLevel="1" x14ac:dyDescent="0.35">
      <c r="A361" s="6" t="s">
        <v>116</v>
      </c>
      <c r="B361" s="6">
        <f>B77</f>
        <v>118.1438789925995</v>
      </c>
      <c r="C361" s="6">
        <f t="shared" ref="C361:Z361" si="45">C77</f>
        <v>117.88238480174731</v>
      </c>
      <c r="D361" s="6">
        <f t="shared" si="45"/>
        <v>117.6174673115036</v>
      </c>
      <c r="E361" s="6">
        <f t="shared" si="45"/>
        <v>116.6612753102726</v>
      </c>
      <c r="F361" s="6">
        <f t="shared" si="45"/>
        <v>116.39178890133201</v>
      </c>
      <c r="G361" s="6">
        <f t="shared" si="45"/>
        <v>116.1185569651705</v>
      </c>
      <c r="H361" s="6">
        <f t="shared" si="45"/>
        <v>116.18081695012491</v>
      </c>
      <c r="I361" s="6">
        <f t="shared" si="45"/>
        <v>116.242129598603</v>
      </c>
      <c r="J361" s="6">
        <f t="shared" si="45"/>
        <v>115.8391048924309</v>
      </c>
      <c r="K361" s="6">
        <f t="shared" si="45"/>
        <v>115.90171224187471</v>
      </c>
      <c r="L361" s="6">
        <f t="shared" si="45"/>
        <v>115.96177005098851</v>
      </c>
      <c r="M361" s="6">
        <f t="shared" si="45"/>
        <v>115.6708242437779</v>
      </c>
      <c r="N361" s="6">
        <f t="shared" si="45"/>
        <v>115.3805853817795</v>
      </c>
      <c r="O361" s="6">
        <f t="shared" si="45"/>
        <v>114.95261991976891</v>
      </c>
      <c r="P361" s="6">
        <f t="shared" si="45"/>
        <v>114.6661954020653</v>
      </c>
      <c r="Q361" s="6">
        <f t="shared" si="45"/>
        <v>114.3803047375598</v>
      </c>
      <c r="R361" s="6">
        <f t="shared" si="45"/>
        <v>114.15315750777199</v>
      </c>
      <c r="S361" s="6">
        <f t="shared" si="45"/>
        <v>113.92641215678221</v>
      </c>
      <c r="T361" s="6">
        <f t="shared" si="45"/>
        <v>113.57035329969089</v>
      </c>
      <c r="U361" s="6">
        <f t="shared" si="45"/>
        <v>113.3464707565312</v>
      </c>
      <c r="V361" s="6">
        <f t="shared" si="45"/>
        <v>113.1229108780152</v>
      </c>
      <c r="W361" s="6">
        <f t="shared" si="45"/>
        <v>113.03996369373409</v>
      </c>
      <c r="X361" s="6">
        <f t="shared" si="45"/>
        <v>112.95785787044269</v>
      </c>
      <c r="Y361" s="6">
        <f t="shared" si="45"/>
        <v>112.8763866533386</v>
      </c>
      <c r="Z361" s="6">
        <f t="shared" si="45"/>
        <v>112.7955257307044</v>
      </c>
    </row>
    <row r="362" spans="1:53" outlineLevel="1" x14ac:dyDescent="0.35">
      <c r="A362" s="6" t="s">
        <v>758</v>
      </c>
      <c r="B362" s="6">
        <f>B78*$AC$325</f>
        <v>1.0491225599096661</v>
      </c>
      <c r="C362" s="6">
        <f t="shared" ref="C362:Z363" si="46">C78*$AC$325</f>
        <v>1.027401806406417</v>
      </c>
      <c r="D362" s="6">
        <f t="shared" si="46"/>
        <v>1.0057642936358111</v>
      </c>
      <c r="E362" s="6">
        <f t="shared" si="46"/>
        <v>0.98221667844679195</v>
      </c>
      <c r="F362" s="6">
        <f t="shared" si="46"/>
        <v>0.9607522773877375</v>
      </c>
      <c r="G362" s="6">
        <f t="shared" si="46"/>
        <v>0.93936765387875298</v>
      </c>
      <c r="H362" s="6">
        <f t="shared" si="46"/>
        <v>0.932384363339954</v>
      </c>
      <c r="I362" s="6">
        <f t="shared" si="46"/>
        <v>0.92536843551353598</v>
      </c>
      <c r="J362" s="6">
        <f t="shared" si="46"/>
        <v>0.9166160598013825</v>
      </c>
      <c r="K362" s="6">
        <f t="shared" si="46"/>
        <v>0.90946985221201548</v>
      </c>
      <c r="L362" s="6">
        <f t="shared" si="46"/>
        <v>0.90226503241288403</v>
      </c>
      <c r="M362" s="6">
        <f t="shared" si="46"/>
        <v>0.89523401359043098</v>
      </c>
      <c r="N362" s="6">
        <f t="shared" si="46"/>
        <v>0.88810294722364946</v>
      </c>
      <c r="O362" s="6">
        <f t="shared" si="46"/>
        <v>0.88046653807669895</v>
      </c>
      <c r="P362" s="6">
        <f t="shared" si="46"/>
        <v>0.87314118181948752</v>
      </c>
      <c r="Q362" s="6">
        <f t="shared" si="46"/>
        <v>0.86571688125533497</v>
      </c>
      <c r="R362" s="6">
        <f t="shared" si="46"/>
        <v>0.872448415081999</v>
      </c>
      <c r="S362" s="6">
        <f t="shared" si="46"/>
        <v>0.87911152231088596</v>
      </c>
      <c r="T362" s="6">
        <f t="shared" si="46"/>
        <v>0.88530963511926153</v>
      </c>
      <c r="U362" s="6">
        <f t="shared" si="46"/>
        <v>0.89183816187355003</v>
      </c>
      <c r="V362" s="6">
        <f t="shared" si="46"/>
        <v>0.89829946339581901</v>
      </c>
      <c r="W362" s="6">
        <f t="shared" si="46"/>
        <v>0.88943566757136505</v>
      </c>
      <c r="X362" s="6">
        <f t="shared" si="46"/>
        <v>0.8806165999814165</v>
      </c>
      <c r="Y362" s="6">
        <f t="shared" si="46"/>
        <v>0.87178926130808054</v>
      </c>
      <c r="Z362" s="6">
        <f t="shared" si="46"/>
        <v>0.86295213042933949</v>
      </c>
    </row>
    <row r="363" spans="1:53" outlineLevel="1" x14ac:dyDescent="0.35">
      <c r="A363" s="6" t="s">
        <v>759</v>
      </c>
      <c r="B363" s="6">
        <f>B79*$AC$325</f>
        <v>0</v>
      </c>
      <c r="C363" s="6">
        <f t="shared" si="46"/>
        <v>0</v>
      </c>
      <c r="D363" s="6">
        <f t="shared" si="46"/>
        <v>0</v>
      </c>
      <c r="E363" s="6">
        <f t="shared" si="46"/>
        <v>0</v>
      </c>
      <c r="F363" s="6">
        <f t="shared" si="46"/>
        <v>0</v>
      </c>
      <c r="G363" s="6">
        <f t="shared" si="46"/>
        <v>0</v>
      </c>
      <c r="H363" s="6">
        <f t="shared" si="46"/>
        <v>0</v>
      </c>
      <c r="I363" s="6">
        <f t="shared" si="46"/>
        <v>0</v>
      </c>
      <c r="J363" s="6">
        <f t="shared" si="46"/>
        <v>0</v>
      </c>
      <c r="K363" s="6">
        <f t="shared" si="46"/>
        <v>0</v>
      </c>
      <c r="L363" s="6">
        <f t="shared" si="46"/>
        <v>0</v>
      </c>
      <c r="M363" s="6">
        <f t="shared" si="46"/>
        <v>0</v>
      </c>
      <c r="N363" s="6">
        <f t="shared" si="46"/>
        <v>0</v>
      </c>
      <c r="O363" s="6">
        <f t="shared" si="46"/>
        <v>0</v>
      </c>
      <c r="P363" s="6">
        <f t="shared" si="46"/>
        <v>0</v>
      </c>
      <c r="Q363" s="6">
        <f t="shared" si="46"/>
        <v>0</v>
      </c>
      <c r="R363" s="6">
        <f t="shared" si="46"/>
        <v>0</v>
      </c>
      <c r="S363" s="6">
        <f t="shared" si="46"/>
        <v>0</v>
      </c>
      <c r="T363" s="6">
        <f t="shared" si="46"/>
        <v>0</v>
      </c>
      <c r="U363" s="6">
        <f t="shared" si="46"/>
        <v>0</v>
      </c>
      <c r="V363" s="6">
        <f t="shared" si="46"/>
        <v>0</v>
      </c>
      <c r="W363" s="6">
        <f t="shared" si="46"/>
        <v>0</v>
      </c>
      <c r="X363" s="6">
        <f t="shared" si="46"/>
        <v>0</v>
      </c>
      <c r="Y363" s="6">
        <f t="shared" si="46"/>
        <v>0</v>
      </c>
      <c r="Z363" s="6">
        <f t="shared" si="46"/>
        <v>0</v>
      </c>
    </row>
    <row r="364" spans="1:53" outlineLevel="1" x14ac:dyDescent="0.35">
      <c r="A364" s="6" t="s">
        <v>760</v>
      </c>
      <c r="B364" s="6">
        <f>$B$252*50*'Results - raw data ReCiPe (E)'!BC121/(1-0.5)*(1+'Results ReCiPe (E) - HHD'!$AC$271/'Results ReCiPe (E) - HHD'!$AC$272-'Results ReCiPe (E) - HHD'!$AC$271)</f>
        <v>358.69644334642675</v>
      </c>
      <c r="C364" s="6">
        <f>$B$252*50*'Results - raw data ReCiPe (E)'!BD121/(1-0.5)*(1+'Results ReCiPe (E) - HHD'!$AC$271/'Results ReCiPe (E) - HHD'!$AC$272-'Results ReCiPe (E) - HHD'!$AC$271)</f>
        <v>357.59232279727053</v>
      </c>
      <c r="D364" s="6">
        <f>$B$252*50*'Results - raw data ReCiPe (E)'!BE121/(1-0.5)*(1+'Results ReCiPe (E) - HHD'!$AC$271/'Results ReCiPe (E) - HHD'!$AC$272-'Results ReCiPe (E) - HHD'!$AC$271)</f>
        <v>356.44409717738995</v>
      </c>
      <c r="E364" s="6">
        <f>$B$252*50*'Results - raw data ReCiPe (E)'!BF121/(1-0.5)*(1+'Results ReCiPe (E) - HHD'!$AC$271/'Results ReCiPe (E) - HHD'!$AC$272-'Results ReCiPe (E) - HHD'!$AC$271)</f>
        <v>351.84376975163292</v>
      </c>
      <c r="F364" s="6">
        <f>$B$252*50*'Results - raw data ReCiPe (E)'!BG121/(1-0.5)*(1+'Results ReCiPe (E) - HHD'!$AC$271/'Results ReCiPe (E) - HHD'!$AC$272-'Results ReCiPe (E) - HHD'!$AC$271)</f>
        <v>350.61835489118874</v>
      </c>
      <c r="G364" s="6">
        <f>$B$252*50*'Results - raw data ReCiPe (E)'!BH121/(1-0.5)*(1+'Results ReCiPe (E) - HHD'!$AC$271/'Results ReCiPe (E) - HHD'!$AC$272-'Results ReCiPe (E) - HHD'!$AC$271)</f>
        <v>349.33524773708046</v>
      </c>
      <c r="H364" s="6">
        <f>$B$252*50*'Results - raw data ReCiPe (E)'!BI121/(1-0.5)*(1+'Results ReCiPe (E) - HHD'!$AC$271/'Results ReCiPe (E) - HHD'!$AC$272-'Results ReCiPe (E) - HHD'!$AC$271)</f>
        <v>348.4438643827429</v>
      </c>
      <c r="I364" s="6">
        <f>$B$252*50*'Results - raw data ReCiPe (E)'!BJ121/(1-0.5)*(1+'Results ReCiPe (E) - HHD'!$AC$271/'Results ReCiPe (E) - HHD'!$AC$272-'Results ReCiPe (E) - HHD'!$AC$271)</f>
        <v>347.67724668500045</v>
      </c>
      <c r="J364" s="6">
        <f>$B$252*50*'Results - raw data ReCiPe (E)'!BK121/(1-0.5)*(1+'Results ReCiPe (E) - HHD'!$AC$271/'Results ReCiPe (E) - HHD'!$AC$272-'Results ReCiPe (E) - HHD'!$AC$271)</f>
        <v>344.63615054643702</v>
      </c>
      <c r="K364" s="6">
        <f>$B$252*50*'Results - raw data ReCiPe (E)'!BL121/(1-0.5)*(1+'Results ReCiPe (E) - HHD'!$AC$271/'Results ReCiPe (E) - HHD'!$AC$272-'Results ReCiPe (E) - HHD'!$AC$271)</f>
        <v>343.93467111398826</v>
      </c>
      <c r="L364" s="6">
        <f>$B$252*50*'Results - raw data ReCiPe (E)'!BM121/(1-0.5)*(1+'Results ReCiPe (E) - HHD'!$AC$271/'Results ReCiPe (E) - HHD'!$AC$272-'Results ReCiPe (E) - HHD'!$AC$271)</f>
        <v>343.21030926221925</v>
      </c>
      <c r="M364" s="6">
        <f>$B$252*50*'Results - raw data ReCiPe (E)'!BN121/(1-0.5)*(1+'Results ReCiPe (E) - HHD'!$AC$271/'Results ReCiPe (E) - HHD'!$AC$272-'Results ReCiPe (E) - HHD'!$AC$271)</f>
        <v>341.8083831341479</v>
      </c>
      <c r="N364" s="6">
        <f>$B$252*50*'Results - raw data ReCiPe (E)'!BO121/(1-0.5)*(1+'Results ReCiPe (E) - HHD'!$AC$271/'Results ReCiPe (E) - HHD'!$AC$272-'Results ReCiPe (E) - HHD'!$AC$271)</f>
        <v>340.41709546723558</v>
      </c>
      <c r="O364" s="6">
        <f>$B$252*50*'Results - raw data ReCiPe (E)'!BP121/(1-0.5)*(1+'Results ReCiPe (E) - HHD'!$AC$271/'Results ReCiPe (E) - HHD'!$AC$272-'Results ReCiPe (E) - HHD'!$AC$271)</f>
        <v>338.3892326937343</v>
      </c>
      <c r="P364" s="6">
        <f>$B$252*50*'Results - raw data ReCiPe (E)'!BQ121/(1-0.5)*(1+'Results ReCiPe (E) - HHD'!$AC$271/'Results ReCiPe (E) - HHD'!$AC$272-'Results ReCiPe (E) - HHD'!$AC$271)</f>
        <v>337.02484757418512</v>
      </c>
      <c r="Q364" s="6">
        <f>$B$252*50*'Results - raw data ReCiPe (E)'!BR121/(1-0.5)*(1+'Results ReCiPe (E) - HHD'!$AC$271/'Results ReCiPe (E) - HHD'!$AC$272-'Results ReCiPe (E) - HHD'!$AC$271)</f>
        <v>335.66358209561156</v>
      </c>
      <c r="R364" s="6">
        <f>$B$252*50*'Results - raw data ReCiPe (E)'!BS121/(1-0.5)*(1+'Results ReCiPe (E) - HHD'!$AC$271/'Results ReCiPe (E) - HHD'!$AC$272-'Results ReCiPe (E) - HHD'!$AC$271)</f>
        <v>334.46067114811427</v>
      </c>
      <c r="S364" s="6">
        <f>$B$252*50*'Results - raw data ReCiPe (E)'!BT121/(1-0.5)*(1+'Results ReCiPe (E) - HHD'!$AC$271/'Results ReCiPe (E) - HHD'!$AC$272-'Results ReCiPe (E) - HHD'!$AC$271)</f>
        <v>333.27329739842304</v>
      </c>
      <c r="T364" s="6">
        <f>$B$252*50*'Results - raw data ReCiPe (E)'!BU121/(1-0.5)*(1+'Results ReCiPe (E) - HHD'!$AC$271/'Results ReCiPe (E) - HHD'!$AC$272-'Results ReCiPe (E) - HHD'!$AC$271)</f>
        <v>331.48883444721366</v>
      </c>
      <c r="U364" s="6">
        <f>$B$252*50*'Results - raw data ReCiPe (E)'!BV121/(1-0.5)*(1+'Results ReCiPe (E) - HHD'!$AC$271/'Results ReCiPe (E) - HHD'!$AC$272-'Results ReCiPe (E) - HHD'!$AC$271)</f>
        <v>330.34603930797505</v>
      </c>
      <c r="V364" s="6">
        <f>$B$252*50*'Results - raw data ReCiPe (E)'!BW121/(1-0.5)*(1+'Results ReCiPe (E) - HHD'!$AC$271/'Results ReCiPe (E) - HHD'!$AC$272-'Results ReCiPe (E) - HHD'!$AC$271)</f>
        <v>329.2043376522779</v>
      </c>
      <c r="W364" s="6">
        <f>$B$252*50*'Results - raw data ReCiPe (E)'!BX121/(1-0.5)*(1+'Results ReCiPe (E) - HHD'!$AC$271/'Results ReCiPe (E) - HHD'!$AC$272-'Results ReCiPe (E) - HHD'!$AC$271)</f>
        <v>328.90599139451098</v>
      </c>
      <c r="X364" s="6">
        <f>$B$252*50*'Results - raw data ReCiPe (E)'!BY121/(1-0.5)*(1+'Results ReCiPe (E) - HHD'!$AC$271/'Results ReCiPe (E) - HHD'!$AC$272-'Results ReCiPe (E) - HHD'!$AC$271)</f>
        <v>328.6120514283096</v>
      </c>
      <c r="Y364" s="6">
        <f>$B$252*50*'Results - raw data ReCiPe (E)'!BZ121/(1-0.5)*(1+'Results ReCiPe (E) - HHD'!$AC$271/'Results ReCiPe (E) - HHD'!$AC$272-'Results ReCiPe (E) - HHD'!$AC$271)</f>
        <v>328.32161102859078</v>
      </c>
      <c r="Z364" s="6">
        <f>$B$252*50*'Results - raw data ReCiPe (E)'!CA121/(1-0.5)*(1+'Results ReCiPe (E) - HHD'!$AC$271/'Results ReCiPe (E) - HHD'!$AC$272-'Results ReCiPe (E) - HHD'!$AC$271)</f>
        <v>328.03437667071159</v>
      </c>
    </row>
    <row r="365" spans="1:53" outlineLevel="1" x14ac:dyDescent="0.35">
      <c r="A365" s="6" t="s">
        <v>797</v>
      </c>
      <c r="B365" s="6">
        <f>$B$320*$AC$324</f>
        <v>427.36665791586307</v>
      </c>
      <c r="C365" s="6">
        <f t="shared" ref="C365:Z365" si="47">$B$320*$AC$324</f>
        <v>427.36665791586307</v>
      </c>
      <c r="D365" s="6">
        <f t="shared" si="47"/>
        <v>427.36665791586307</v>
      </c>
      <c r="E365" s="6">
        <f t="shared" si="47"/>
        <v>427.36665791586307</v>
      </c>
      <c r="F365" s="6">
        <f t="shared" si="47"/>
        <v>427.36665791586307</v>
      </c>
      <c r="G365" s="6">
        <f t="shared" si="47"/>
        <v>427.36665791586307</v>
      </c>
      <c r="H365" s="6">
        <f t="shared" si="47"/>
        <v>427.36665791586307</v>
      </c>
      <c r="I365" s="6">
        <f t="shared" si="47"/>
        <v>427.36665791586307</v>
      </c>
      <c r="J365" s="6">
        <f t="shared" si="47"/>
        <v>427.36665791586307</v>
      </c>
      <c r="K365" s="6">
        <f t="shared" si="47"/>
        <v>427.36665791586307</v>
      </c>
      <c r="L365" s="6">
        <f t="shared" si="47"/>
        <v>427.36665791586307</v>
      </c>
      <c r="M365" s="6">
        <f t="shared" si="47"/>
        <v>427.36665791586307</v>
      </c>
      <c r="N365" s="6">
        <f t="shared" si="47"/>
        <v>427.36665791586307</v>
      </c>
      <c r="O365" s="6">
        <f t="shared" si="47"/>
        <v>427.36665791586307</v>
      </c>
      <c r="P365" s="6">
        <f t="shared" si="47"/>
        <v>427.36665791586307</v>
      </c>
      <c r="Q365" s="6">
        <f t="shared" si="47"/>
        <v>427.36665791586307</v>
      </c>
      <c r="R365" s="6">
        <f t="shared" si="47"/>
        <v>427.36665791586307</v>
      </c>
      <c r="S365" s="6">
        <f t="shared" si="47"/>
        <v>427.36665791586307</v>
      </c>
      <c r="T365" s="6">
        <f t="shared" si="47"/>
        <v>427.36665791586307</v>
      </c>
      <c r="U365" s="6">
        <f t="shared" si="47"/>
        <v>427.36665791586307</v>
      </c>
      <c r="V365" s="6">
        <f t="shared" si="47"/>
        <v>427.36665791586307</v>
      </c>
      <c r="W365" s="6">
        <f t="shared" si="47"/>
        <v>427.36665791586307</v>
      </c>
      <c r="X365" s="6">
        <f t="shared" si="47"/>
        <v>427.36665791586307</v>
      </c>
      <c r="Y365" s="6">
        <f t="shared" si="47"/>
        <v>427.36665791586307</v>
      </c>
      <c r="Z365" s="6">
        <f t="shared" si="47"/>
        <v>427.36665791586307</v>
      </c>
    </row>
    <row r="366" spans="1:53" outlineLevel="1" x14ac:dyDescent="0.35">
      <c r="A366" s="23" t="s">
        <v>125</v>
      </c>
      <c r="B366" s="17">
        <f>SUM(B334:B364)</f>
        <v>3457.8197971385221</v>
      </c>
      <c r="C366" s="17">
        <f t="shared" ref="C366:Z366" si="48">SUM(C334:C364)</f>
        <v>476.50210940542422</v>
      </c>
      <c r="D366" s="17">
        <f t="shared" si="48"/>
        <v>475.06732878252933</v>
      </c>
      <c r="E366" s="17">
        <f t="shared" si="48"/>
        <v>469.48726174035232</v>
      </c>
      <c r="F366" s="17">
        <f t="shared" si="48"/>
        <v>467.97089606990846</v>
      </c>
      <c r="G366" s="17">
        <f t="shared" si="48"/>
        <v>466.3931723561297</v>
      </c>
      <c r="H366" s="17">
        <f t="shared" si="48"/>
        <v>465.55706569620776</v>
      </c>
      <c r="I366" s="17">
        <f t="shared" si="48"/>
        <v>464.84474471911699</v>
      </c>
      <c r="J366" s="17">
        <f t="shared" si="48"/>
        <v>461.39187149866927</v>
      </c>
      <c r="K366" s="17">
        <f t="shared" si="48"/>
        <v>460.745853208075</v>
      </c>
      <c r="L366" s="17">
        <f t="shared" si="48"/>
        <v>460.07434434562066</v>
      </c>
      <c r="M366" s="17">
        <f t="shared" si="48"/>
        <v>458.37444139151626</v>
      </c>
      <c r="N366" s="17">
        <f t="shared" si="48"/>
        <v>456.68578379623875</v>
      </c>
      <c r="O366" s="17">
        <f t="shared" si="48"/>
        <v>454.22231915157988</v>
      </c>
      <c r="P366" s="17">
        <f t="shared" si="48"/>
        <v>452.56418415806991</v>
      </c>
      <c r="Q366" s="17">
        <f t="shared" si="48"/>
        <v>450.90960371442668</v>
      </c>
      <c r="R366" s="17">
        <f t="shared" si="48"/>
        <v>449.4862770709683</v>
      </c>
      <c r="S366" s="17">
        <f t="shared" si="48"/>
        <v>448.07882107751612</v>
      </c>
      <c r="T366" s="17">
        <f t="shared" si="48"/>
        <v>445.94449738202383</v>
      </c>
      <c r="U366" s="17">
        <f t="shared" si="48"/>
        <v>444.5843482263798</v>
      </c>
      <c r="V366" s="17">
        <f t="shared" si="48"/>
        <v>443.22554799368891</v>
      </c>
      <c r="W366" s="17">
        <f t="shared" si="48"/>
        <v>442.83539075581643</v>
      </c>
      <c r="X366" s="17">
        <f t="shared" si="48"/>
        <v>442.4505258987337</v>
      </c>
      <c r="Y366" s="17">
        <f t="shared" si="48"/>
        <v>442.06978694323743</v>
      </c>
      <c r="Z366" s="17">
        <f t="shared" si="48"/>
        <v>484.16607025295559</v>
      </c>
    </row>
    <row r="367" spans="1:53" outlineLevel="1" x14ac:dyDescent="0.35"/>
    <row r="368" spans="1:53" s="18" customFormat="1" ht="21" x14ac:dyDescent="0.5">
      <c r="A368" s="18" t="s">
        <v>94</v>
      </c>
    </row>
    <row r="369" spans="1:31" s="20" customFormat="1" outlineLevel="1" x14ac:dyDescent="0.35">
      <c r="A369" s="19" t="s">
        <v>788</v>
      </c>
    </row>
    <row r="370" spans="1:31" s="20" customFormat="1" outlineLevel="1" x14ac:dyDescent="0.35">
      <c r="A370" s="273" t="s">
        <v>775</v>
      </c>
      <c r="B370" s="20">
        <v>1</v>
      </c>
      <c r="C370" s="274" t="s">
        <v>787</v>
      </c>
    </row>
    <row r="371" spans="1:31" s="20" customFormat="1" outlineLevel="1" x14ac:dyDescent="0.35">
      <c r="A371" s="273" t="s">
        <v>781</v>
      </c>
      <c r="B371" s="20">
        <v>100000</v>
      </c>
      <c r="C371" s="20" t="s">
        <v>782</v>
      </c>
      <c r="E371" s="274"/>
    </row>
    <row r="372" spans="1:31" s="20" customFormat="1" outlineLevel="1" x14ac:dyDescent="0.35">
      <c r="A372" s="273" t="s">
        <v>783</v>
      </c>
      <c r="B372" s="20">
        <v>1500</v>
      </c>
      <c r="C372" s="20" t="s">
        <v>592</v>
      </c>
    </row>
    <row r="373" spans="1:31" s="20" customFormat="1" outlineLevel="1" x14ac:dyDescent="0.35">
      <c r="A373" s="273" t="s">
        <v>784</v>
      </c>
      <c r="B373" s="20">
        <v>8760</v>
      </c>
      <c r="C373" s="20" t="s">
        <v>785</v>
      </c>
    </row>
    <row r="374" spans="1:31" s="20" customFormat="1" outlineLevel="1" x14ac:dyDescent="0.35">
      <c r="A374" s="273"/>
    </row>
    <row r="375" spans="1:31" s="20" customFormat="1" outlineLevel="1" x14ac:dyDescent="0.35">
      <c r="A375" s="275" t="s">
        <v>786</v>
      </c>
      <c r="B375" s="275">
        <f>(B371*B372)/(B373*B370)</f>
        <v>17123.287671232876</v>
      </c>
      <c r="C375" s="275" t="s">
        <v>749</v>
      </c>
    </row>
    <row r="376" spans="1:31" s="20" customFormat="1" outlineLevel="1" x14ac:dyDescent="0.35">
      <c r="A376" s="19"/>
    </row>
    <row r="377" spans="1:31" s="20" customFormat="1" outlineLevel="1" x14ac:dyDescent="0.35">
      <c r="A377" s="19" t="s">
        <v>793</v>
      </c>
    </row>
    <row r="378" spans="1:31" s="20" customFormat="1" outlineLevel="1" x14ac:dyDescent="0.35">
      <c r="A378" s="273" t="s">
        <v>789</v>
      </c>
      <c r="B378" s="20">
        <f>SUM('Results - raw data ReCiPe (E)'!BC156:BC157)+'Results - raw data ReCiPe (E)'!BC160+SUM('Results - raw data ReCiPe (E)'!BC158:BC159)*AC387</f>
        <v>76.880933073510548</v>
      </c>
      <c r="C378" s="20" t="s">
        <v>902</v>
      </c>
    </row>
    <row r="379" spans="1:31" s="20" customFormat="1" outlineLevel="1" x14ac:dyDescent="0.35">
      <c r="A379" s="20" t="s">
        <v>792</v>
      </c>
      <c r="B379" s="20">
        <f>B371*AC385</f>
        <v>50000</v>
      </c>
      <c r="C379" s="274" t="s">
        <v>795</v>
      </c>
    </row>
    <row r="380" spans="1:31" s="20" customFormat="1" outlineLevel="1" x14ac:dyDescent="0.35">
      <c r="A380" s="20" t="s">
        <v>791</v>
      </c>
      <c r="B380" s="20">
        <f>(B378*AC387*B375)/(B379*AC386)*(AC386/AC388)</f>
        <v>7.8987260007031379</v>
      </c>
      <c r="C380" s="20" t="s">
        <v>903</v>
      </c>
      <c r="E380" s="274" t="s">
        <v>796</v>
      </c>
    </row>
    <row r="381" spans="1:31" s="20" customFormat="1" outlineLevel="1" x14ac:dyDescent="0.35">
      <c r="A381" s="19"/>
    </row>
    <row r="382" spans="1:31" s="16" customFormat="1" outlineLevel="1" x14ac:dyDescent="0.35">
      <c r="A382" s="21"/>
      <c r="AE382" s="15"/>
    </row>
    <row r="383" spans="1:31" s="16" customFormat="1" outlineLevel="1" x14ac:dyDescent="0.35">
      <c r="A383" s="22" t="s">
        <v>761</v>
      </c>
    </row>
    <row r="384" spans="1:31" s="16" customFormat="1" outlineLevel="1" x14ac:dyDescent="0.35">
      <c r="A384" s="22"/>
      <c r="AB384" s="16" t="s">
        <v>127</v>
      </c>
      <c r="AC384" s="16">
        <f>100*AC385</f>
        <v>50</v>
      </c>
      <c r="AD384" s="16" t="s">
        <v>128</v>
      </c>
    </row>
    <row r="385" spans="1:53" s="16" customFormat="1" outlineLevel="1" x14ac:dyDescent="0.35">
      <c r="A385" s="230"/>
      <c r="AB385" s="16" t="s">
        <v>776</v>
      </c>
      <c r="AC385" s="16">
        <v>0.5</v>
      </c>
    </row>
    <row r="386" spans="1:53" s="16" customFormat="1" outlineLevel="1" x14ac:dyDescent="0.35">
      <c r="A386" s="21"/>
      <c r="AB386" s="16" t="s">
        <v>129</v>
      </c>
      <c r="AC386" s="16">
        <v>25</v>
      </c>
      <c r="AD386" s="16" t="s">
        <v>130</v>
      </c>
    </row>
    <row r="387" spans="1:53" s="16" customFormat="1" outlineLevel="1" x14ac:dyDescent="0.35">
      <c r="A387" s="21"/>
      <c r="AB387" s="16" t="s">
        <v>777</v>
      </c>
      <c r="AC387" s="16">
        <v>6</v>
      </c>
      <c r="AD387" s="16" t="s">
        <v>779</v>
      </c>
    </row>
    <row r="388" spans="1:53" s="16" customFormat="1" outlineLevel="1" x14ac:dyDescent="0.35">
      <c r="A388" s="21"/>
      <c r="AB388" s="16" t="s">
        <v>778</v>
      </c>
      <c r="AC388" s="16">
        <v>20</v>
      </c>
      <c r="AD388" s="16" t="s">
        <v>130</v>
      </c>
    </row>
    <row r="389" spans="1:53" s="16" customFormat="1" outlineLevel="1" x14ac:dyDescent="0.35">
      <c r="AB389" s="16" t="s">
        <v>780</v>
      </c>
      <c r="AC389" s="16">
        <f>B375</f>
        <v>17123.287671232876</v>
      </c>
      <c r="AD389" s="16" t="s">
        <v>749</v>
      </c>
    </row>
    <row r="390" spans="1:53" s="16" customFormat="1" outlineLevel="1" x14ac:dyDescent="0.35"/>
    <row r="391" spans="1:53" s="16" customFormat="1" outlineLevel="1" x14ac:dyDescent="0.35">
      <c r="AB391" s="16" t="s">
        <v>798</v>
      </c>
      <c r="AC391" s="16">
        <v>0.25</v>
      </c>
    </row>
    <row r="392" spans="1:53" s="16" customFormat="1" outlineLevel="1" x14ac:dyDescent="0.35">
      <c r="A392" s="22"/>
      <c r="AB392" s="16" t="s">
        <v>799</v>
      </c>
      <c r="AC392" s="16">
        <v>0.9</v>
      </c>
    </row>
    <row r="393" spans="1:53" s="16" customFormat="1" outlineLevel="1" x14ac:dyDescent="0.35">
      <c r="A393" s="22"/>
    </row>
    <row r="394" spans="1:53" outlineLevel="1" x14ac:dyDescent="0.35">
      <c r="B394" s="25">
        <v>2030</v>
      </c>
      <c r="C394" s="25">
        <v>2031</v>
      </c>
      <c r="D394" s="25">
        <v>2032</v>
      </c>
      <c r="E394" s="25">
        <v>2033</v>
      </c>
      <c r="F394" s="25">
        <v>2034</v>
      </c>
      <c r="G394" s="25">
        <v>2035</v>
      </c>
      <c r="H394" s="25">
        <v>2036</v>
      </c>
      <c r="I394" s="25">
        <v>2037</v>
      </c>
      <c r="J394" s="25">
        <v>2038</v>
      </c>
      <c r="K394" s="25">
        <v>2039</v>
      </c>
      <c r="L394" s="25">
        <v>2040</v>
      </c>
      <c r="M394" s="25">
        <v>2041</v>
      </c>
      <c r="N394" s="25">
        <v>2042</v>
      </c>
      <c r="O394" s="25">
        <v>2043</v>
      </c>
      <c r="P394" s="25">
        <v>2044</v>
      </c>
      <c r="Q394" s="25">
        <v>2045</v>
      </c>
      <c r="R394" s="25">
        <v>2046</v>
      </c>
      <c r="S394" s="25">
        <v>2047</v>
      </c>
      <c r="T394" s="25">
        <v>2048</v>
      </c>
      <c r="U394" s="25">
        <v>2049</v>
      </c>
      <c r="V394" s="25">
        <v>2050</v>
      </c>
      <c r="W394" s="25">
        <v>2051</v>
      </c>
      <c r="X394" s="25">
        <v>2052</v>
      </c>
      <c r="Y394" s="25">
        <v>2053</v>
      </c>
      <c r="Z394" s="25">
        <v>2054</v>
      </c>
      <c r="AC394" s="25">
        <v>2030</v>
      </c>
      <c r="AD394" s="25">
        <v>2031</v>
      </c>
      <c r="AE394" s="25">
        <v>2032</v>
      </c>
      <c r="AF394" s="25">
        <v>2033</v>
      </c>
      <c r="AG394" s="25">
        <v>2034</v>
      </c>
      <c r="AH394" s="25">
        <v>2035</v>
      </c>
      <c r="AI394" s="25">
        <v>2036</v>
      </c>
      <c r="AJ394" s="25">
        <v>2037</v>
      </c>
      <c r="AK394" s="25">
        <v>2038</v>
      </c>
      <c r="AL394" s="25">
        <v>2039</v>
      </c>
      <c r="AM394" s="25">
        <v>2040</v>
      </c>
      <c r="AN394" s="25">
        <v>2041</v>
      </c>
      <c r="AO394" s="25">
        <v>2042</v>
      </c>
      <c r="AP394" s="25">
        <v>2043</v>
      </c>
      <c r="AQ394" s="25">
        <v>2044</v>
      </c>
      <c r="AR394" s="25">
        <v>2045</v>
      </c>
      <c r="AS394" s="25">
        <v>2046</v>
      </c>
      <c r="AT394" s="25">
        <v>2047</v>
      </c>
      <c r="AU394" s="25">
        <v>2048</v>
      </c>
      <c r="AV394" s="25">
        <v>2049</v>
      </c>
      <c r="AW394" s="25">
        <v>2050</v>
      </c>
      <c r="AX394" s="25">
        <v>2051</v>
      </c>
      <c r="AY394" s="25">
        <v>2052</v>
      </c>
      <c r="AZ394" s="25">
        <v>2053</v>
      </c>
      <c r="BA394" s="25">
        <v>2054</v>
      </c>
    </row>
    <row r="395" spans="1:53" outlineLevel="1" x14ac:dyDescent="0.35">
      <c r="A395" s="6" t="s">
        <v>21</v>
      </c>
      <c r="B395" s="6">
        <f>B90</f>
        <v>71.697576674124974</v>
      </c>
      <c r="AB395" s="6" t="s">
        <v>117</v>
      </c>
      <c r="AC395" s="6">
        <f>SUM(B395:B406)+B408</f>
        <v>2656.732541756694</v>
      </c>
    </row>
    <row r="396" spans="1:53" outlineLevel="1" x14ac:dyDescent="0.35">
      <c r="A396" s="6" t="s">
        <v>23</v>
      </c>
      <c r="B396" s="6">
        <f t="shared" ref="B396:B406" si="49">B91</f>
        <v>309.91249364426312</v>
      </c>
      <c r="AB396" s="6" t="s">
        <v>118</v>
      </c>
      <c r="AC396" s="6">
        <f>B407</f>
        <v>129.85176274384099</v>
      </c>
    </row>
    <row r="397" spans="1:53" outlineLevel="1" x14ac:dyDescent="0.35">
      <c r="A397" s="6" t="s">
        <v>26</v>
      </c>
      <c r="B397" s="6">
        <f t="shared" si="49"/>
        <v>305.29947245707018</v>
      </c>
      <c r="AB397" s="6" t="s">
        <v>119</v>
      </c>
      <c r="BA397" s="6">
        <f>SUM(Z409:Z420)</f>
        <v>38.803973700478906</v>
      </c>
    </row>
    <row r="398" spans="1:53" outlineLevel="1" x14ac:dyDescent="0.35">
      <c r="A398" s="6" t="s">
        <v>28</v>
      </c>
      <c r="B398" s="6">
        <f t="shared" si="49"/>
        <v>233.71099142564279</v>
      </c>
      <c r="AB398" s="6" t="s">
        <v>120</v>
      </c>
      <c r="BA398" s="6">
        <f>Z421</f>
        <v>0.61461293148737006</v>
      </c>
    </row>
    <row r="399" spans="1:53" outlineLevel="1" x14ac:dyDescent="0.35">
      <c r="A399" s="6" t="s">
        <v>29</v>
      </c>
      <c r="B399" s="6">
        <f t="shared" si="49"/>
        <v>113.53461870398969</v>
      </c>
      <c r="AB399" s="6" t="s">
        <v>121</v>
      </c>
      <c r="AC399" s="6">
        <f>B422</f>
        <v>114.3683807366764</v>
      </c>
      <c r="AF399" s="6">
        <f>E422</f>
        <v>112.5935013842018</v>
      </c>
      <c r="AI399" s="6">
        <f>H422</f>
        <v>112.32417693968689</v>
      </c>
      <c r="AL399" s="6">
        <f>K422</f>
        <v>113.32500088396689</v>
      </c>
      <c r="AO399" s="6">
        <f>N422</f>
        <v>113.72581624339961</v>
      </c>
      <c r="AR399" s="6">
        <f>Q422</f>
        <v>113.5067955292801</v>
      </c>
      <c r="AU399" s="6">
        <f>T422</f>
        <v>112.3594591286536</v>
      </c>
      <c r="AX399" s="6">
        <f>W422</f>
        <v>111.6217687079732</v>
      </c>
      <c r="BA399" s="6">
        <f>Z422</f>
        <v>111.42686667692951</v>
      </c>
    </row>
    <row r="400" spans="1:53" outlineLevel="1" x14ac:dyDescent="0.35">
      <c r="A400" s="6" t="s">
        <v>31</v>
      </c>
      <c r="B400" s="6">
        <f t="shared" si="49"/>
        <v>82.338946667026192</v>
      </c>
      <c r="AB400" s="6" t="s">
        <v>797</v>
      </c>
      <c r="AC400" s="6">
        <f>B426</f>
        <v>394.93630003515688</v>
      </c>
      <c r="AD400" s="6">
        <f t="shared" ref="AD400:BA400" si="50">C426</f>
        <v>394.93630003515688</v>
      </c>
      <c r="AE400" s="6">
        <f t="shared" si="50"/>
        <v>394.93630003515688</v>
      </c>
      <c r="AF400" s="6">
        <f t="shared" si="50"/>
        <v>394.93630003515688</v>
      </c>
      <c r="AG400" s="6">
        <f t="shared" si="50"/>
        <v>394.93630003515688</v>
      </c>
      <c r="AH400" s="6">
        <f t="shared" si="50"/>
        <v>394.93630003515688</v>
      </c>
      <c r="AI400" s="6">
        <f t="shared" si="50"/>
        <v>394.93630003515688</v>
      </c>
      <c r="AJ400" s="6">
        <f t="shared" si="50"/>
        <v>394.93630003515688</v>
      </c>
      <c r="AK400" s="6">
        <f t="shared" si="50"/>
        <v>394.93630003515688</v>
      </c>
      <c r="AL400" s="6">
        <f t="shared" si="50"/>
        <v>394.93630003515688</v>
      </c>
      <c r="AM400" s="6">
        <f t="shared" si="50"/>
        <v>394.93630003515688</v>
      </c>
      <c r="AN400" s="6">
        <f t="shared" si="50"/>
        <v>394.93630003515688</v>
      </c>
      <c r="AO400" s="6">
        <f t="shared" si="50"/>
        <v>394.93630003515688</v>
      </c>
      <c r="AP400" s="6">
        <f t="shared" si="50"/>
        <v>394.93630003515688</v>
      </c>
      <c r="AQ400" s="6">
        <f t="shared" si="50"/>
        <v>394.93630003515688</v>
      </c>
      <c r="AR400" s="6">
        <f t="shared" si="50"/>
        <v>394.93630003515688</v>
      </c>
      <c r="AS400" s="6">
        <f t="shared" si="50"/>
        <v>394.93630003515688</v>
      </c>
      <c r="AT400" s="6">
        <f t="shared" si="50"/>
        <v>394.93630003515688</v>
      </c>
      <c r="AU400" s="6">
        <f t="shared" si="50"/>
        <v>394.93630003515688</v>
      </c>
      <c r="AV400" s="6">
        <f t="shared" si="50"/>
        <v>394.93630003515688</v>
      </c>
      <c r="AW400" s="6">
        <f t="shared" si="50"/>
        <v>394.93630003515688</v>
      </c>
      <c r="AX400" s="6">
        <f t="shared" si="50"/>
        <v>394.93630003515688</v>
      </c>
      <c r="AY400" s="6">
        <f t="shared" si="50"/>
        <v>394.93630003515688</v>
      </c>
      <c r="AZ400" s="6">
        <f t="shared" si="50"/>
        <v>394.93630003515688</v>
      </c>
      <c r="BA400" s="6">
        <f t="shared" si="50"/>
        <v>394.93630003515688</v>
      </c>
    </row>
    <row r="401" spans="1:53" outlineLevel="1" x14ac:dyDescent="0.35">
      <c r="A401" s="6" t="s">
        <v>34</v>
      </c>
      <c r="B401" s="6">
        <f t="shared" si="49"/>
        <v>54.333383214348338</v>
      </c>
      <c r="AB401" s="6" t="s">
        <v>122</v>
      </c>
      <c r="AC401" s="6">
        <f t="shared" ref="AC401:BA401" si="51">B425+B424</f>
        <v>343.63100871615785</v>
      </c>
      <c r="AD401" s="6">
        <f t="shared" si="51"/>
        <v>342.18231227440481</v>
      </c>
      <c r="AE401" s="6">
        <f t="shared" si="51"/>
        <v>340.69875838242308</v>
      </c>
      <c r="AF401" s="6">
        <f t="shared" si="51"/>
        <v>335.89318105675125</v>
      </c>
      <c r="AG401" s="6">
        <f t="shared" si="51"/>
        <v>334.31251090586187</v>
      </c>
      <c r="AH401" s="6">
        <f t="shared" si="51"/>
        <v>332.71073339248062</v>
      </c>
      <c r="AI401" s="6">
        <f t="shared" si="51"/>
        <v>333.55285467362825</v>
      </c>
      <c r="AJ401" s="6">
        <f t="shared" si="51"/>
        <v>334.35659946650907</v>
      </c>
      <c r="AK401" s="6">
        <f t="shared" si="51"/>
        <v>332.92830585312964</v>
      </c>
      <c r="AL401" s="6">
        <f t="shared" si="51"/>
        <v>333.68601227850797</v>
      </c>
      <c r="AM401" s="6">
        <f t="shared" si="51"/>
        <v>334.41228895803846</v>
      </c>
      <c r="AN401" s="6">
        <f t="shared" si="51"/>
        <v>333.79392716755342</v>
      </c>
      <c r="AO401" s="6">
        <f t="shared" si="51"/>
        <v>333.18395056295878</v>
      </c>
      <c r="AP401" s="6">
        <f t="shared" si="51"/>
        <v>331.96932120698267</v>
      </c>
      <c r="AQ401" s="6">
        <f t="shared" si="51"/>
        <v>331.36844177607867</v>
      </c>
      <c r="AR401" s="6">
        <f t="shared" si="51"/>
        <v>330.76051871195915</v>
      </c>
      <c r="AS401" s="6">
        <f t="shared" si="51"/>
        <v>329.24687785767935</v>
      </c>
      <c r="AT401" s="6">
        <f t="shared" si="51"/>
        <v>327.74901812243371</v>
      </c>
      <c r="AU401" s="6">
        <f t="shared" si="51"/>
        <v>325.68699244859096</v>
      </c>
      <c r="AV401" s="6">
        <f t="shared" si="51"/>
        <v>324.20602854414409</v>
      </c>
      <c r="AW401" s="6">
        <f t="shared" si="51"/>
        <v>322.65755968954522</v>
      </c>
      <c r="AX401" s="6">
        <f t="shared" si="51"/>
        <v>322.30203198617886</v>
      </c>
      <c r="AY401" s="6">
        <f t="shared" si="51"/>
        <v>321.94909526485566</v>
      </c>
      <c r="AZ401" s="6">
        <f t="shared" si="51"/>
        <v>321.59766526326007</v>
      </c>
      <c r="BA401" s="6">
        <f t="shared" si="51"/>
        <v>321.24771428412777</v>
      </c>
    </row>
    <row r="402" spans="1:53" outlineLevel="1" x14ac:dyDescent="0.35">
      <c r="A402" s="6" t="s">
        <v>36</v>
      </c>
      <c r="B402" s="6">
        <f t="shared" si="49"/>
        <v>56.910791768127723</v>
      </c>
      <c r="AB402" s="6" t="s">
        <v>123</v>
      </c>
      <c r="AC402" s="6">
        <f t="shared" ref="AC402:BA402" si="52">B423</f>
        <v>61.510209945817195</v>
      </c>
      <c r="AD402" s="6">
        <f t="shared" si="52"/>
        <v>56.584177610870498</v>
      </c>
      <c r="AE402" s="6">
        <f t="shared" si="52"/>
        <v>51.655273331232451</v>
      </c>
      <c r="AF402" s="6">
        <f t="shared" si="52"/>
        <v>46.497810775147727</v>
      </c>
      <c r="AG402" s="6">
        <f t="shared" si="52"/>
        <v>41.555857100641944</v>
      </c>
      <c r="AH402" s="6">
        <f t="shared" si="52"/>
        <v>36.611864864755034</v>
      </c>
      <c r="AI402" s="6">
        <f t="shared" si="52"/>
        <v>41.942416154324356</v>
      </c>
      <c r="AJ402" s="6">
        <f t="shared" si="52"/>
        <v>47.235960166414166</v>
      </c>
      <c r="AK402" s="6">
        <f t="shared" si="52"/>
        <v>52.272292193057147</v>
      </c>
      <c r="AL402" s="6">
        <f t="shared" si="52"/>
        <v>57.485568725046157</v>
      </c>
      <c r="AM402" s="6">
        <f t="shared" si="52"/>
        <v>62.663127688765549</v>
      </c>
      <c r="AN402" s="6">
        <f t="shared" si="52"/>
        <v>69.265167520377247</v>
      </c>
      <c r="AO402" s="6">
        <f t="shared" si="52"/>
        <v>75.8571402833348</v>
      </c>
      <c r="AP402" s="6">
        <f t="shared" si="52"/>
        <v>82.389122881688351</v>
      </c>
      <c r="AQ402" s="6">
        <f t="shared" si="52"/>
        <v>88.962095347636648</v>
      </c>
      <c r="AR402" s="6">
        <f t="shared" si="52"/>
        <v>95.524714101707048</v>
      </c>
      <c r="AS402" s="6">
        <f t="shared" si="52"/>
        <v>93.506937355162904</v>
      </c>
      <c r="AT402" s="6">
        <f t="shared" si="52"/>
        <v>91.480564753575948</v>
      </c>
      <c r="AU402" s="6">
        <f t="shared" si="52"/>
        <v>89.399968776605405</v>
      </c>
      <c r="AV402" s="6">
        <f t="shared" si="52"/>
        <v>87.357371708389252</v>
      </c>
      <c r="AW402" s="6">
        <f t="shared" si="52"/>
        <v>85.305724408369997</v>
      </c>
      <c r="AX402" s="6">
        <f t="shared" si="52"/>
        <v>85.206072702176854</v>
      </c>
      <c r="AY402" s="6">
        <f t="shared" si="52"/>
        <v>85.110785316630952</v>
      </c>
      <c r="AZ402" s="6">
        <f t="shared" si="52"/>
        <v>85.014804481834503</v>
      </c>
      <c r="BA402" s="6">
        <f t="shared" si="52"/>
        <v>84.918024704498691</v>
      </c>
    </row>
    <row r="403" spans="1:53" outlineLevel="1" x14ac:dyDescent="0.35">
      <c r="A403" s="6" t="s">
        <v>38</v>
      </c>
      <c r="B403" s="6">
        <f t="shared" si="49"/>
        <v>633.85156952885507</v>
      </c>
      <c r="AB403" s="6" t="s">
        <v>124</v>
      </c>
      <c r="AC403" s="6">
        <f>-$AC$384*$AC$383</f>
        <v>0</v>
      </c>
      <c r="AD403" s="6">
        <f t="shared" ref="AD403:BA403" si="53">-$AC$384*$AC$383</f>
        <v>0</v>
      </c>
      <c r="AE403" s="6">
        <f t="shared" si="53"/>
        <v>0</v>
      </c>
      <c r="AF403" s="6">
        <f t="shared" si="53"/>
        <v>0</v>
      </c>
      <c r="AG403" s="6">
        <f t="shared" si="53"/>
        <v>0</v>
      </c>
      <c r="AH403" s="6">
        <f t="shared" si="53"/>
        <v>0</v>
      </c>
      <c r="AI403" s="6">
        <f t="shared" si="53"/>
        <v>0</v>
      </c>
      <c r="AJ403" s="6">
        <f t="shared" si="53"/>
        <v>0</v>
      </c>
      <c r="AK403" s="6">
        <f t="shared" si="53"/>
        <v>0</v>
      </c>
      <c r="AL403" s="6">
        <f t="shared" si="53"/>
        <v>0</v>
      </c>
      <c r="AM403" s="6">
        <f t="shared" si="53"/>
        <v>0</v>
      </c>
      <c r="AN403" s="6">
        <f t="shared" si="53"/>
        <v>0</v>
      </c>
      <c r="AO403" s="6">
        <f t="shared" si="53"/>
        <v>0</v>
      </c>
      <c r="AP403" s="6">
        <f t="shared" si="53"/>
        <v>0</v>
      </c>
      <c r="AQ403" s="6">
        <f t="shared" si="53"/>
        <v>0</v>
      </c>
      <c r="AR403" s="6">
        <f t="shared" si="53"/>
        <v>0</v>
      </c>
      <c r="AS403" s="6">
        <f t="shared" si="53"/>
        <v>0</v>
      </c>
      <c r="AT403" s="6">
        <f t="shared" si="53"/>
        <v>0</v>
      </c>
      <c r="AU403" s="6">
        <f t="shared" si="53"/>
        <v>0</v>
      </c>
      <c r="AV403" s="6">
        <f t="shared" si="53"/>
        <v>0</v>
      </c>
      <c r="AW403" s="6">
        <f t="shared" si="53"/>
        <v>0</v>
      </c>
      <c r="AX403" s="6">
        <f t="shared" si="53"/>
        <v>0</v>
      </c>
      <c r="AY403" s="6">
        <f t="shared" si="53"/>
        <v>0</v>
      </c>
      <c r="AZ403" s="6">
        <f t="shared" si="53"/>
        <v>0</v>
      </c>
      <c r="BA403" s="6">
        <f t="shared" si="53"/>
        <v>0</v>
      </c>
    </row>
    <row r="404" spans="1:53" outlineLevel="1" x14ac:dyDescent="0.35">
      <c r="A404" s="6" t="s">
        <v>39</v>
      </c>
      <c r="B404" s="6">
        <f t="shared" si="49"/>
        <v>624.93478538201657</v>
      </c>
      <c r="AB404" s="23" t="s">
        <v>125</v>
      </c>
      <c r="AC404" s="17">
        <f t="shared" ref="AC404:BA404" si="54">SUM(AC395:AC403)</f>
        <v>3701.0302039343433</v>
      </c>
      <c r="AD404" s="17">
        <f t="shared" si="54"/>
        <v>793.70278992043222</v>
      </c>
      <c r="AE404" s="17">
        <f t="shared" si="54"/>
        <v>787.29033174881249</v>
      </c>
      <c r="AF404" s="17">
        <f t="shared" si="54"/>
        <v>889.92079325125769</v>
      </c>
      <c r="AG404" s="17">
        <f t="shared" si="54"/>
        <v>770.80466804166065</v>
      </c>
      <c r="AH404" s="17">
        <f t="shared" si="54"/>
        <v>764.25889829239259</v>
      </c>
      <c r="AI404" s="17">
        <f t="shared" si="54"/>
        <v>882.75574780279646</v>
      </c>
      <c r="AJ404" s="17">
        <f t="shared" si="54"/>
        <v>776.52885966808014</v>
      </c>
      <c r="AK404" s="17">
        <f t="shared" si="54"/>
        <v>780.1368980813437</v>
      </c>
      <c r="AL404" s="17">
        <f t="shared" si="54"/>
        <v>899.43288192267789</v>
      </c>
      <c r="AM404" s="17">
        <f t="shared" si="54"/>
        <v>792.01171668196093</v>
      </c>
      <c r="AN404" s="17">
        <f t="shared" si="54"/>
        <v>797.99539472308743</v>
      </c>
      <c r="AO404" s="17">
        <f t="shared" si="54"/>
        <v>917.70320712485011</v>
      </c>
      <c r="AP404" s="17">
        <f t="shared" si="54"/>
        <v>809.29474412382785</v>
      </c>
      <c r="AQ404" s="17">
        <f t="shared" si="54"/>
        <v>815.26683715887225</v>
      </c>
      <c r="AR404" s="17">
        <f t="shared" si="54"/>
        <v>934.72832837810324</v>
      </c>
      <c r="AS404" s="17">
        <f t="shared" si="54"/>
        <v>817.69011524799919</v>
      </c>
      <c r="AT404" s="17">
        <f t="shared" si="54"/>
        <v>814.16588291116659</v>
      </c>
      <c r="AU404" s="17">
        <f t="shared" si="54"/>
        <v>922.38272038900686</v>
      </c>
      <c r="AV404" s="17">
        <f t="shared" si="54"/>
        <v>806.49970028769019</v>
      </c>
      <c r="AW404" s="17">
        <f t="shared" si="54"/>
        <v>802.89958413307204</v>
      </c>
      <c r="AX404" s="17">
        <f t="shared" si="54"/>
        <v>914.06617343148571</v>
      </c>
      <c r="AY404" s="17">
        <f t="shared" si="54"/>
        <v>801.99618061664353</v>
      </c>
      <c r="AZ404" s="17">
        <f t="shared" si="54"/>
        <v>801.5487697802514</v>
      </c>
      <c r="BA404" s="17">
        <f t="shared" si="54"/>
        <v>951.9474923326793</v>
      </c>
    </row>
    <row r="405" spans="1:53" outlineLevel="1" x14ac:dyDescent="0.35">
      <c r="A405" s="6" t="s">
        <v>41</v>
      </c>
      <c r="B405" s="6">
        <f t="shared" si="49"/>
        <v>53.826181440223777</v>
      </c>
    </row>
    <row r="406" spans="1:53" outlineLevel="1" x14ac:dyDescent="0.35">
      <c r="A406" s="6" t="s">
        <v>43</v>
      </c>
      <c r="B406" s="6">
        <f t="shared" si="49"/>
        <v>70.875745924850293</v>
      </c>
      <c r="AB406" s="272"/>
      <c r="AC406" s="272"/>
      <c r="AD406" s="272"/>
      <c r="AE406" s="272"/>
      <c r="AF406" s="272"/>
      <c r="AG406" s="272"/>
      <c r="AH406" s="272"/>
      <c r="AI406" s="272"/>
      <c r="AJ406" s="272"/>
      <c r="AK406" s="272"/>
      <c r="AL406" s="272"/>
      <c r="AM406" s="272"/>
      <c r="AN406" s="272"/>
      <c r="AO406" s="272"/>
      <c r="AP406" s="272"/>
      <c r="AQ406" s="272"/>
      <c r="AR406" s="272"/>
      <c r="AS406" s="272"/>
      <c r="AT406" s="272"/>
      <c r="AU406" s="272"/>
      <c r="AV406" s="272"/>
      <c r="AW406" s="272"/>
      <c r="AX406" s="272"/>
      <c r="AY406" s="272"/>
      <c r="AZ406" s="272"/>
      <c r="BA406" s="272"/>
    </row>
    <row r="407" spans="1:53" outlineLevel="1" x14ac:dyDescent="0.35">
      <c r="A407" s="6" t="s">
        <v>44</v>
      </c>
      <c r="B407" s="6">
        <f>B102*AC385</f>
        <v>129.85176274384099</v>
      </c>
      <c r="AB407" s="272"/>
      <c r="AC407" s="272"/>
      <c r="AD407" s="272"/>
      <c r="AE407" s="272"/>
      <c r="AF407" s="272"/>
      <c r="AG407" s="272"/>
      <c r="AH407" s="272"/>
      <c r="AI407" s="272"/>
      <c r="AJ407" s="272"/>
      <c r="AK407" s="272"/>
      <c r="AL407" s="272"/>
      <c r="AM407" s="272"/>
      <c r="AN407" s="272"/>
      <c r="AO407" s="272"/>
      <c r="AP407" s="272"/>
      <c r="AQ407" s="272"/>
      <c r="AR407" s="272"/>
      <c r="AS407" s="272"/>
      <c r="AT407" s="272"/>
      <c r="AU407" s="272"/>
      <c r="AV407" s="272"/>
      <c r="AW407" s="272"/>
      <c r="AX407" s="272"/>
      <c r="AY407" s="272"/>
      <c r="AZ407" s="272"/>
      <c r="BA407" s="272"/>
    </row>
    <row r="408" spans="1:53" outlineLevel="1" x14ac:dyDescent="0.35">
      <c r="A408" s="6" t="s">
        <v>757</v>
      </c>
      <c r="B408" s="6">
        <f>B103*AC385</f>
        <v>45.505984926155371</v>
      </c>
      <c r="AB408" s="272"/>
      <c r="AC408" s="272"/>
      <c r="AD408" s="272"/>
      <c r="AE408" s="272"/>
      <c r="AF408" s="272"/>
      <c r="AG408" s="272"/>
      <c r="AH408" s="272"/>
      <c r="AI408" s="272"/>
      <c r="AJ408" s="272"/>
      <c r="AK408" s="272"/>
      <c r="AL408" s="272"/>
      <c r="AM408" s="272"/>
      <c r="AN408" s="272"/>
      <c r="AO408" s="272"/>
      <c r="AP408" s="272"/>
      <c r="AQ408" s="272"/>
      <c r="AR408" s="272"/>
      <c r="AS408" s="272"/>
      <c r="AT408" s="272"/>
      <c r="AU408" s="272"/>
      <c r="AV408" s="272"/>
      <c r="AW408" s="272"/>
      <c r="AX408" s="272"/>
      <c r="AY408" s="272"/>
      <c r="AZ408" s="272"/>
      <c r="BA408" s="272"/>
    </row>
    <row r="409" spans="1:53" outlineLevel="1" x14ac:dyDescent="0.35">
      <c r="A409" s="6" t="s">
        <v>22</v>
      </c>
      <c r="Z409" s="6">
        <f>Z104</f>
        <v>0.30645463756563912</v>
      </c>
      <c r="AB409" s="272"/>
      <c r="AC409" s="272"/>
      <c r="AD409" s="272"/>
      <c r="AE409" s="272"/>
      <c r="AF409" s="272"/>
      <c r="AG409" s="272"/>
      <c r="AH409" s="272"/>
      <c r="AI409" s="272"/>
      <c r="AJ409" s="272"/>
      <c r="AK409" s="272"/>
      <c r="AL409" s="272"/>
      <c r="AM409" s="272"/>
      <c r="AN409" s="272"/>
      <c r="AO409" s="272"/>
      <c r="AP409" s="272"/>
      <c r="AQ409" s="272"/>
      <c r="AR409" s="272"/>
      <c r="AS409" s="272"/>
      <c r="AT409" s="272"/>
      <c r="AU409" s="272"/>
      <c r="AV409" s="272"/>
      <c r="AW409" s="272"/>
      <c r="AX409" s="272"/>
      <c r="AY409" s="272"/>
      <c r="AZ409" s="272"/>
      <c r="BA409" s="272"/>
    </row>
    <row r="410" spans="1:53" outlineLevel="1" x14ac:dyDescent="0.35">
      <c r="A410" s="6" t="s">
        <v>24</v>
      </c>
      <c r="Z410" s="6">
        <f t="shared" ref="Z410:Z420" si="55">Z105</f>
        <v>0.3399986060911393</v>
      </c>
      <c r="AB410" s="272"/>
      <c r="AC410" s="272"/>
      <c r="AD410" s="272"/>
      <c r="AE410" s="272"/>
      <c r="AF410" s="272"/>
      <c r="AG410" s="272"/>
      <c r="AH410" s="272"/>
      <c r="AI410" s="272"/>
      <c r="AJ410" s="272"/>
      <c r="AK410" s="272"/>
      <c r="AL410" s="272"/>
      <c r="AM410" s="272"/>
      <c r="AN410" s="272"/>
      <c r="AO410" s="272"/>
      <c r="AP410" s="272"/>
      <c r="AQ410" s="272"/>
      <c r="AR410" s="272"/>
      <c r="AS410" s="272"/>
      <c r="AT410" s="272"/>
      <c r="AU410" s="272"/>
      <c r="AV410" s="272"/>
      <c r="AW410" s="272"/>
      <c r="AX410" s="272"/>
      <c r="AY410" s="272"/>
      <c r="AZ410" s="272"/>
      <c r="BA410" s="272"/>
    </row>
    <row r="411" spans="1:53" outlineLevel="1" x14ac:dyDescent="0.35">
      <c r="A411" s="6" t="s">
        <v>25</v>
      </c>
      <c r="Z411" s="6">
        <f t="shared" si="55"/>
        <v>1.5469447682086319</v>
      </c>
      <c r="AB411" s="272"/>
      <c r="AC411" s="272"/>
      <c r="AD411" s="272"/>
      <c r="AE411" s="272"/>
      <c r="AF411" s="272"/>
      <c r="AG411" s="272"/>
      <c r="AH411" s="272"/>
      <c r="AI411" s="272"/>
      <c r="AJ411" s="272"/>
      <c r="AK411" s="272"/>
      <c r="AL411" s="272"/>
      <c r="AM411" s="272"/>
      <c r="AN411" s="272"/>
      <c r="AO411" s="272"/>
      <c r="AP411" s="272"/>
      <c r="AQ411" s="272"/>
      <c r="AR411" s="272"/>
      <c r="AS411" s="272"/>
      <c r="AT411" s="272"/>
      <c r="AU411" s="272"/>
      <c r="AV411" s="272"/>
      <c r="AW411" s="272"/>
      <c r="AX411" s="272"/>
      <c r="AY411" s="272"/>
      <c r="AZ411" s="272"/>
      <c r="BA411" s="272"/>
    </row>
    <row r="412" spans="1:53" outlineLevel="1" x14ac:dyDescent="0.35">
      <c r="A412" s="6" t="s">
        <v>27</v>
      </c>
      <c r="Z412" s="6">
        <f t="shared" si="55"/>
        <v>0.94596137523052126</v>
      </c>
      <c r="AB412" s="272"/>
      <c r="AC412" s="272"/>
      <c r="AD412" s="272"/>
      <c r="AE412" s="272"/>
      <c r="AF412" s="272"/>
      <c r="AG412" s="272"/>
      <c r="AH412" s="272"/>
      <c r="AI412" s="272"/>
      <c r="AJ412" s="272"/>
      <c r="AK412" s="272"/>
      <c r="AL412" s="272"/>
      <c r="AM412" s="272"/>
      <c r="AN412" s="272"/>
      <c r="AO412" s="272"/>
      <c r="AP412" s="272"/>
      <c r="AQ412" s="272"/>
      <c r="AR412" s="272"/>
      <c r="AS412" s="272"/>
      <c r="AT412" s="272"/>
      <c r="AU412" s="272"/>
      <c r="AV412" s="272"/>
      <c r="AW412" s="272"/>
      <c r="AX412" s="272"/>
      <c r="AY412" s="272"/>
      <c r="AZ412" s="272"/>
      <c r="BA412" s="272"/>
    </row>
    <row r="413" spans="1:53" outlineLevel="1" x14ac:dyDescent="0.35">
      <c r="A413" s="6" t="s">
        <v>30</v>
      </c>
      <c r="Z413" s="6">
        <f t="shared" si="55"/>
        <v>0.37616038726092632</v>
      </c>
      <c r="AB413" s="272"/>
      <c r="AC413" s="272"/>
      <c r="AD413" s="272"/>
      <c r="AE413" s="272"/>
      <c r="AF413" s="272"/>
      <c r="AG413" s="272"/>
      <c r="AH413" s="272"/>
      <c r="AI413" s="272"/>
      <c r="AJ413" s="272"/>
      <c r="AK413" s="272"/>
      <c r="AL413" s="272"/>
      <c r="AM413" s="272"/>
      <c r="AN413" s="272"/>
      <c r="AO413" s="272"/>
      <c r="AP413" s="272"/>
      <c r="AQ413" s="272"/>
      <c r="AR413" s="272"/>
      <c r="AS413" s="272"/>
      <c r="AT413" s="272"/>
      <c r="AU413" s="272"/>
      <c r="AV413" s="272"/>
      <c r="AW413" s="272"/>
      <c r="AX413" s="272"/>
      <c r="AY413" s="272"/>
      <c r="AZ413" s="272"/>
      <c r="BA413" s="272"/>
    </row>
    <row r="414" spans="1:53" outlineLevel="1" x14ac:dyDescent="0.35">
      <c r="A414" s="6" t="s">
        <v>32</v>
      </c>
      <c r="Z414" s="6">
        <f t="shared" si="55"/>
        <v>0.16899067547104371</v>
      </c>
      <c r="AB414" s="272"/>
      <c r="AC414" s="272"/>
      <c r="AD414" s="272"/>
      <c r="AE414" s="272"/>
      <c r="AF414" s="272"/>
      <c r="AG414" s="272"/>
      <c r="AH414" s="272"/>
      <c r="AI414" s="272"/>
      <c r="AJ414" s="272"/>
      <c r="AK414" s="272"/>
      <c r="AL414" s="272"/>
      <c r="AM414" s="272"/>
      <c r="AN414" s="272"/>
      <c r="AO414" s="272"/>
      <c r="AP414" s="272"/>
      <c r="AQ414" s="272"/>
      <c r="AR414" s="272"/>
      <c r="AS414" s="272"/>
      <c r="AT414" s="272"/>
      <c r="AU414" s="272"/>
      <c r="AV414" s="272"/>
      <c r="AW414" s="272"/>
      <c r="AX414" s="272"/>
      <c r="AY414" s="272"/>
      <c r="AZ414" s="272"/>
      <c r="BA414" s="272"/>
    </row>
    <row r="415" spans="1:53" outlineLevel="1" x14ac:dyDescent="0.35">
      <c r="A415" s="6" t="s">
        <v>33</v>
      </c>
      <c r="Z415" s="6">
        <f t="shared" si="55"/>
        <v>9.7220591364325634E-2</v>
      </c>
      <c r="AB415" s="272"/>
      <c r="AC415" s="272"/>
      <c r="AD415" s="272"/>
      <c r="AE415" s="272"/>
      <c r="AF415" s="272"/>
      <c r="AG415" s="272"/>
      <c r="AH415" s="272"/>
      <c r="AI415" s="272"/>
      <c r="AJ415" s="272"/>
      <c r="AK415" s="272"/>
      <c r="AL415" s="272"/>
      <c r="AM415" s="272"/>
      <c r="AN415" s="272"/>
      <c r="AO415" s="272"/>
      <c r="AP415" s="272"/>
      <c r="AQ415" s="272"/>
      <c r="AR415" s="272"/>
      <c r="AS415" s="272"/>
      <c r="AT415" s="272"/>
      <c r="AU415" s="272"/>
      <c r="AV415" s="272"/>
      <c r="AW415" s="272"/>
      <c r="AX415" s="272"/>
      <c r="AY415" s="272"/>
      <c r="AZ415" s="272"/>
      <c r="BA415" s="272"/>
    </row>
    <row r="416" spans="1:53" outlineLevel="1" x14ac:dyDescent="0.35">
      <c r="A416" s="6" t="s">
        <v>35</v>
      </c>
      <c r="Z416" s="6">
        <f t="shared" si="55"/>
        <v>0.1944411827286513</v>
      </c>
      <c r="AB416" s="272"/>
      <c r="AC416" s="272"/>
      <c r="AD416" s="272"/>
      <c r="AE416" s="272"/>
      <c r="AF416" s="272"/>
      <c r="AG416" s="272"/>
      <c r="AH416" s="272"/>
      <c r="AI416" s="272"/>
      <c r="AJ416" s="272"/>
      <c r="AK416" s="272"/>
      <c r="AL416" s="272"/>
      <c r="AM416" s="272"/>
      <c r="AN416" s="272"/>
      <c r="AO416" s="272"/>
      <c r="AP416" s="272"/>
      <c r="AQ416" s="272"/>
      <c r="AR416" s="272"/>
      <c r="AS416" s="272"/>
      <c r="AT416" s="272"/>
      <c r="AU416" s="272"/>
      <c r="AV416" s="272"/>
      <c r="AW416" s="272"/>
      <c r="AX416" s="272"/>
      <c r="AY416" s="272"/>
      <c r="AZ416" s="272"/>
      <c r="BA416" s="272"/>
    </row>
    <row r="417" spans="1:53" outlineLevel="1" x14ac:dyDescent="0.35">
      <c r="A417" s="6" t="s">
        <v>37</v>
      </c>
      <c r="Z417" s="6">
        <f t="shared" si="55"/>
        <v>2.8647805737763981</v>
      </c>
      <c r="AB417" s="272"/>
      <c r="AC417" s="272"/>
      <c r="AD417" s="272"/>
      <c r="AE417" s="272"/>
      <c r="AF417" s="272"/>
      <c r="AG417" s="272"/>
      <c r="AH417" s="272"/>
      <c r="AI417" s="272"/>
      <c r="AJ417" s="272"/>
      <c r="AK417" s="272"/>
      <c r="AL417" s="272"/>
      <c r="AM417" s="272"/>
      <c r="AN417" s="272"/>
      <c r="AO417" s="272"/>
      <c r="AP417" s="272"/>
      <c r="AQ417" s="272"/>
      <c r="AR417" s="272"/>
      <c r="AS417" s="272"/>
      <c r="AT417" s="272"/>
      <c r="AU417" s="272"/>
      <c r="AV417" s="272"/>
      <c r="AW417" s="272"/>
      <c r="AX417" s="272"/>
      <c r="AY417" s="272"/>
      <c r="AZ417" s="272"/>
      <c r="BA417" s="272"/>
    </row>
    <row r="418" spans="1:53" outlineLevel="1" x14ac:dyDescent="0.35">
      <c r="A418" s="6" t="s">
        <v>40</v>
      </c>
      <c r="Z418" s="6">
        <f t="shared" si="55"/>
        <v>1.338740524566238</v>
      </c>
    </row>
    <row r="419" spans="1:53" outlineLevel="1" x14ac:dyDescent="0.35">
      <c r="A419" s="6" t="s">
        <v>42</v>
      </c>
      <c r="Z419" s="6">
        <f t="shared" si="55"/>
        <v>3.6068373150242472</v>
      </c>
    </row>
    <row r="420" spans="1:53" outlineLevel="1" x14ac:dyDescent="0.35">
      <c r="A420" s="6" t="s">
        <v>115</v>
      </c>
      <c r="Z420" s="6">
        <f t="shared" si="55"/>
        <v>27.017443063191141</v>
      </c>
    </row>
    <row r="421" spans="1:53" outlineLevel="1" x14ac:dyDescent="0.35">
      <c r="A421" s="6" t="s">
        <v>45</v>
      </c>
      <c r="Z421" s="6">
        <f>Z116*AC385</f>
        <v>0.61461293148737006</v>
      </c>
    </row>
    <row r="422" spans="1:53" outlineLevel="1" x14ac:dyDescent="0.35">
      <c r="A422" s="6" t="s">
        <v>116</v>
      </c>
      <c r="B422" s="6">
        <f>B117</f>
        <v>114.3683807366764</v>
      </c>
      <c r="C422" s="6">
        <f t="shared" ref="C422:Z422" si="56">C117</f>
        <v>114.0017039751709</v>
      </c>
      <c r="D422" s="6">
        <f t="shared" si="56"/>
        <v>113.6289420981055</v>
      </c>
      <c r="E422" s="6">
        <f t="shared" si="56"/>
        <v>112.5935013842018</v>
      </c>
      <c r="F422" s="6">
        <f t="shared" si="56"/>
        <v>112.21447205134019</v>
      </c>
      <c r="G422" s="6">
        <f t="shared" si="56"/>
        <v>111.8279247721663</v>
      </c>
      <c r="H422" s="6">
        <f t="shared" si="56"/>
        <v>112.32417693968689</v>
      </c>
      <c r="I422" s="6">
        <f t="shared" si="56"/>
        <v>112.8105214019901</v>
      </c>
      <c r="J422" s="6">
        <f t="shared" si="56"/>
        <v>112.8515245628945</v>
      </c>
      <c r="K422" s="6">
        <f t="shared" si="56"/>
        <v>113.32500088396689</v>
      </c>
      <c r="L422" s="6">
        <f t="shared" si="56"/>
        <v>113.78920751582319</v>
      </c>
      <c r="M422" s="6">
        <f t="shared" si="56"/>
        <v>113.7575356663548</v>
      </c>
      <c r="N422" s="6">
        <f t="shared" si="56"/>
        <v>113.72581624339961</v>
      </c>
      <c r="O422" s="6">
        <f t="shared" si="56"/>
        <v>113.5646941347681</v>
      </c>
      <c r="P422" s="6">
        <f t="shared" si="56"/>
        <v>113.53587591421029</v>
      </c>
      <c r="Q422" s="6">
        <f t="shared" si="56"/>
        <v>113.5067955292801</v>
      </c>
      <c r="R422" s="6">
        <f t="shared" si="56"/>
        <v>113.1631040623593</v>
      </c>
      <c r="S422" s="6">
        <f t="shared" si="56"/>
        <v>112.821248289135</v>
      </c>
      <c r="T422" s="6">
        <f t="shared" si="56"/>
        <v>112.3594591286536</v>
      </c>
      <c r="U422" s="6">
        <f t="shared" si="56"/>
        <v>112.0229508624944</v>
      </c>
      <c r="V422" s="6">
        <f t="shared" si="56"/>
        <v>111.6876654012725</v>
      </c>
      <c r="W422" s="6">
        <f t="shared" si="56"/>
        <v>111.6217687079732</v>
      </c>
      <c r="X422" s="6">
        <f t="shared" si="56"/>
        <v>111.5564699160188</v>
      </c>
      <c r="Y422" s="6">
        <f t="shared" si="56"/>
        <v>111.4915057401156</v>
      </c>
      <c r="Z422" s="6">
        <f t="shared" si="56"/>
        <v>111.42686667692951</v>
      </c>
    </row>
    <row r="423" spans="1:53" outlineLevel="1" x14ac:dyDescent="0.35">
      <c r="A423" s="6" t="s">
        <v>758</v>
      </c>
      <c r="B423" s="6">
        <f>B118*$AC$385</f>
        <v>61.510209945817195</v>
      </c>
      <c r="C423" s="6">
        <f t="shared" ref="C423:Z424" si="57">C118*$AC$385</f>
        <v>56.584177610870498</v>
      </c>
      <c r="D423" s="6">
        <f t="shared" si="57"/>
        <v>51.655273331232451</v>
      </c>
      <c r="E423" s="6">
        <f t="shared" si="57"/>
        <v>46.497810775147727</v>
      </c>
      <c r="F423" s="6">
        <f t="shared" si="57"/>
        <v>41.555857100641944</v>
      </c>
      <c r="G423" s="6">
        <f t="shared" si="57"/>
        <v>36.611864864755034</v>
      </c>
      <c r="H423" s="6">
        <f t="shared" si="57"/>
        <v>41.942416154324356</v>
      </c>
      <c r="I423" s="6">
        <f t="shared" si="57"/>
        <v>47.235960166414166</v>
      </c>
      <c r="J423" s="6">
        <f t="shared" si="57"/>
        <v>52.272292193057147</v>
      </c>
      <c r="K423" s="6">
        <f t="shared" si="57"/>
        <v>57.485568725046157</v>
      </c>
      <c r="L423" s="6">
        <f t="shared" si="57"/>
        <v>62.663127688765549</v>
      </c>
      <c r="M423" s="6">
        <f t="shared" si="57"/>
        <v>69.265167520377247</v>
      </c>
      <c r="N423" s="6">
        <f t="shared" si="57"/>
        <v>75.8571402833348</v>
      </c>
      <c r="O423" s="6">
        <f t="shared" si="57"/>
        <v>82.389122881688351</v>
      </c>
      <c r="P423" s="6">
        <f t="shared" si="57"/>
        <v>88.962095347636648</v>
      </c>
      <c r="Q423" s="6">
        <f t="shared" si="57"/>
        <v>95.524714101707048</v>
      </c>
      <c r="R423" s="6">
        <f t="shared" si="57"/>
        <v>93.506937355162904</v>
      </c>
      <c r="S423" s="6">
        <f t="shared" si="57"/>
        <v>91.480564753575948</v>
      </c>
      <c r="T423" s="6">
        <f t="shared" si="57"/>
        <v>89.399968776605405</v>
      </c>
      <c r="U423" s="6">
        <f t="shared" si="57"/>
        <v>87.357371708389252</v>
      </c>
      <c r="V423" s="6">
        <f t="shared" si="57"/>
        <v>85.305724408369997</v>
      </c>
      <c r="W423" s="6">
        <f t="shared" si="57"/>
        <v>85.206072702176854</v>
      </c>
      <c r="X423" s="6">
        <f t="shared" si="57"/>
        <v>85.110785316630952</v>
      </c>
      <c r="Y423" s="6">
        <f t="shared" si="57"/>
        <v>85.014804481834503</v>
      </c>
      <c r="Z423" s="6">
        <f t="shared" si="57"/>
        <v>84.918024704498691</v>
      </c>
    </row>
    <row r="424" spans="1:53" outlineLevel="1" x14ac:dyDescent="0.35">
      <c r="A424" s="6" t="s">
        <v>759</v>
      </c>
      <c r="B424" s="6">
        <f>B119*$AC$385</f>
        <v>0</v>
      </c>
      <c r="C424" s="6">
        <f t="shared" si="57"/>
        <v>0</v>
      </c>
      <c r="D424" s="6">
        <f t="shared" si="57"/>
        <v>0</v>
      </c>
      <c r="E424" s="6">
        <f t="shared" si="57"/>
        <v>0</v>
      </c>
      <c r="F424" s="6">
        <f t="shared" si="57"/>
        <v>0</v>
      </c>
      <c r="G424" s="6">
        <f t="shared" si="57"/>
        <v>0</v>
      </c>
      <c r="H424" s="6">
        <f t="shared" si="57"/>
        <v>0</v>
      </c>
      <c r="I424" s="6">
        <f t="shared" si="57"/>
        <v>0</v>
      </c>
      <c r="J424" s="6">
        <f t="shared" si="57"/>
        <v>0</v>
      </c>
      <c r="K424" s="6">
        <f t="shared" si="57"/>
        <v>0</v>
      </c>
      <c r="L424" s="6">
        <f t="shared" si="57"/>
        <v>0</v>
      </c>
      <c r="M424" s="6">
        <f t="shared" si="57"/>
        <v>0</v>
      </c>
      <c r="N424" s="6">
        <f t="shared" si="57"/>
        <v>0</v>
      </c>
      <c r="O424" s="6">
        <f t="shared" si="57"/>
        <v>0</v>
      </c>
      <c r="P424" s="6">
        <f t="shared" si="57"/>
        <v>0</v>
      </c>
      <c r="Q424" s="6">
        <f t="shared" si="57"/>
        <v>0</v>
      </c>
      <c r="R424" s="6">
        <f t="shared" si="57"/>
        <v>0</v>
      </c>
      <c r="S424" s="6">
        <f t="shared" si="57"/>
        <v>0</v>
      </c>
      <c r="T424" s="6">
        <f t="shared" si="57"/>
        <v>0</v>
      </c>
      <c r="U424" s="6">
        <f t="shared" si="57"/>
        <v>0</v>
      </c>
      <c r="V424" s="6">
        <f t="shared" si="57"/>
        <v>0</v>
      </c>
      <c r="W424" s="6">
        <f t="shared" si="57"/>
        <v>0</v>
      </c>
      <c r="X424" s="6">
        <f t="shared" si="57"/>
        <v>0</v>
      </c>
      <c r="Y424" s="6">
        <f t="shared" si="57"/>
        <v>0</v>
      </c>
      <c r="Z424" s="6">
        <f t="shared" si="57"/>
        <v>0</v>
      </c>
    </row>
    <row r="425" spans="1:53" outlineLevel="1" x14ac:dyDescent="0.35">
      <c r="A425" s="6" t="s">
        <v>760</v>
      </c>
      <c r="B425" s="6">
        <f>$B$252*50*'Results - raw data ReCiPe (E)'!BC128/(1-0.5)*(1+'Results ReCiPe (E) - HHD'!$AC$271/'Results ReCiPe (E) - HHD'!$AC$272-'Results ReCiPe (E) - HHD'!$AC$271)</f>
        <v>343.63100871615785</v>
      </c>
      <c r="C425" s="6">
        <f>$B$252*50*'Results - raw data ReCiPe (E)'!BD128/(1-0.5)*(1+'Results ReCiPe (E) - HHD'!$AC$271/'Results ReCiPe (E) - HHD'!$AC$272-'Results ReCiPe (E) - HHD'!$AC$271)</f>
        <v>342.18231227440481</v>
      </c>
      <c r="D425" s="6">
        <f>$B$252*50*'Results - raw data ReCiPe (E)'!BE128/(1-0.5)*(1+'Results ReCiPe (E) - HHD'!$AC$271/'Results ReCiPe (E) - HHD'!$AC$272-'Results ReCiPe (E) - HHD'!$AC$271)</f>
        <v>340.69875838242308</v>
      </c>
      <c r="E425" s="6">
        <f>$B$252*50*'Results - raw data ReCiPe (E)'!BF128/(1-0.5)*(1+'Results ReCiPe (E) - HHD'!$AC$271/'Results ReCiPe (E) - HHD'!$AC$272-'Results ReCiPe (E) - HHD'!$AC$271)</f>
        <v>335.89318105675125</v>
      </c>
      <c r="F425" s="6">
        <f>$B$252*50*'Results - raw data ReCiPe (E)'!BG128/(1-0.5)*(1+'Results ReCiPe (E) - HHD'!$AC$271/'Results ReCiPe (E) - HHD'!$AC$272-'Results ReCiPe (E) - HHD'!$AC$271)</f>
        <v>334.31251090586187</v>
      </c>
      <c r="G425" s="6">
        <f>$B$252*50*'Results - raw data ReCiPe (E)'!BH128/(1-0.5)*(1+'Results ReCiPe (E) - HHD'!$AC$271/'Results ReCiPe (E) - HHD'!$AC$272-'Results ReCiPe (E) - HHD'!$AC$271)</f>
        <v>332.71073339248062</v>
      </c>
      <c r="H425" s="6">
        <f>$B$252*50*'Results - raw data ReCiPe (E)'!BI128/(1-0.5)*(1+'Results ReCiPe (E) - HHD'!$AC$271/'Results ReCiPe (E) - HHD'!$AC$272-'Results ReCiPe (E) - HHD'!$AC$271)</f>
        <v>333.55285467362825</v>
      </c>
      <c r="I425" s="6">
        <f>$B$252*50*'Results - raw data ReCiPe (E)'!BJ128/(1-0.5)*(1+'Results ReCiPe (E) - HHD'!$AC$271/'Results ReCiPe (E) - HHD'!$AC$272-'Results ReCiPe (E) - HHD'!$AC$271)</f>
        <v>334.35659946650907</v>
      </c>
      <c r="J425" s="6">
        <f>$B$252*50*'Results - raw data ReCiPe (E)'!BK128/(1-0.5)*(1+'Results ReCiPe (E) - HHD'!$AC$271/'Results ReCiPe (E) - HHD'!$AC$272-'Results ReCiPe (E) - HHD'!$AC$271)</f>
        <v>332.92830585312964</v>
      </c>
      <c r="K425" s="6">
        <f>$B$252*50*'Results - raw data ReCiPe (E)'!BL128/(1-0.5)*(1+'Results ReCiPe (E) - HHD'!$AC$271/'Results ReCiPe (E) - HHD'!$AC$272-'Results ReCiPe (E) - HHD'!$AC$271)</f>
        <v>333.68601227850797</v>
      </c>
      <c r="L425" s="6">
        <f>$B$252*50*'Results - raw data ReCiPe (E)'!BM128/(1-0.5)*(1+'Results ReCiPe (E) - HHD'!$AC$271/'Results ReCiPe (E) - HHD'!$AC$272-'Results ReCiPe (E) - HHD'!$AC$271)</f>
        <v>334.41228895803846</v>
      </c>
      <c r="M425" s="6">
        <f>$B$252*50*'Results - raw data ReCiPe (E)'!BN128/(1-0.5)*(1+'Results ReCiPe (E) - HHD'!$AC$271/'Results ReCiPe (E) - HHD'!$AC$272-'Results ReCiPe (E) - HHD'!$AC$271)</f>
        <v>333.79392716755342</v>
      </c>
      <c r="N425" s="6">
        <f>$B$252*50*'Results - raw data ReCiPe (E)'!BO128/(1-0.5)*(1+'Results ReCiPe (E) - HHD'!$AC$271/'Results ReCiPe (E) - HHD'!$AC$272-'Results ReCiPe (E) - HHD'!$AC$271)</f>
        <v>333.18395056295878</v>
      </c>
      <c r="O425" s="6">
        <f>$B$252*50*'Results - raw data ReCiPe (E)'!BP128/(1-0.5)*(1+'Results ReCiPe (E) - HHD'!$AC$271/'Results ReCiPe (E) - HHD'!$AC$272-'Results ReCiPe (E) - HHD'!$AC$271)</f>
        <v>331.96932120698267</v>
      </c>
      <c r="P425" s="6">
        <f>$B$252*50*'Results - raw data ReCiPe (E)'!BQ128/(1-0.5)*(1+'Results ReCiPe (E) - HHD'!$AC$271/'Results ReCiPe (E) - HHD'!$AC$272-'Results ReCiPe (E) - HHD'!$AC$271)</f>
        <v>331.36844177607867</v>
      </c>
      <c r="Q425" s="6">
        <f>$B$252*50*'Results - raw data ReCiPe (E)'!BR128/(1-0.5)*(1+'Results ReCiPe (E) - HHD'!$AC$271/'Results ReCiPe (E) - HHD'!$AC$272-'Results ReCiPe (E) - HHD'!$AC$271)</f>
        <v>330.76051871195915</v>
      </c>
      <c r="R425" s="6">
        <f>$B$252*50*'Results - raw data ReCiPe (E)'!BS128/(1-0.5)*(1+'Results ReCiPe (E) - HHD'!$AC$271/'Results ReCiPe (E) - HHD'!$AC$272-'Results ReCiPe (E) - HHD'!$AC$271)</f>
        <v>329.24687785767935</v>
      </c>
      <c r="S425" s="6">
        <f>$B$252*50*'Results - raw data ReCiPe (E)'!BT128/(1-0.5)*(1+'Results ReCiPe (E) - HHD'!$AC$271/'Results ReCiPe (E) - HHD'!$AC$272-'Results ReCiPe (E) - HHD'!$AC$271)</f>
        <v>327.74901812243371</v>
      </c>
      <c r="T425" s="6">
        <f>$B$252*50*'Results - raw data ReCiPe (E)'!BU128/(1-0.5)*(1+'Results ReCiPe (E) - HHD'!$AC$271/'Results ReCiPe (E) - HHD'!$AC$272-'Results ReCiPe (E) - HHD'!$AC$271)</f>
        <v>325.68699244859096</v>
      </c>
      <c r="U425" s="6">
        <f>$B$252*50*'Results - raw data ReCiPe (E)'!BV128/(1-0.5)*(1+'Results ReCiPe (E) - HHD'!$AC$271/'Results ReCiPe (E) - HHD'!$AC$272-'Results ReCiPe (E) - HHD'!$AC$271)</f>
        <v>324.20602854414409</v>
      </c>
      <c r="V425" s="6">
        <f>$B$252*50*'Results - raw data ReCiPe (E)'!BW128/(1-0.5)*(1+'Results ReCiPe (E) - HHD'!$AC$271/'Results ReCiPe (E) - HHD'!$AC$272-'Results ReCiPe (E) - HHD'!$AC$271)</f>
        <v>322.65755968954522</v>
      </c>
      <c r="W425" s="6">
        <f>$B$252*50*'Results - raw data ReCiPe (E)'!BX128/(1-0.5)*(1+'Results ReCiPe (E) - HHD'!$AC$271/'Results ReCiPe (E) - HHD'!$AC$272-'Results ReCiPe (E) - HHD'!$AC$271)</f>
        <v>322.30203198617886</v>
      </c>
      <c r="X425" s="6">
        <f>$B$252*50*'Results - raw data ReCiPe (E)'!BY128/(1-0.5)*(1+'Results ReCiPe (E) - HHD'!$AC$271/'Results ReCiPe (E) - HHD'!$AC$272-'Results ReCiPe (E) - HHD'!$AC$271)</f>
        <v>321.94909526485566</v>
      </c>
      <c r="Y425" s="6">
        <f>$B$252*50*'Results - raw data ReCiPe (E)'!BZ128/(1-0.5)*(1+'Results ReCiPe (E) - HHD'!$AC$271/'Results ReCiPe (E) - HHD'!$AC$272-'Results ReCiPe (E) - HHD'!$AC$271)</f>
        <v>321.59766526326007</v>
      </c>
      <c r="Z425" s="6">
        <f>$B$252*50*'Results - raw data ReCiPe (E)'!CA128/(1-0.5)*(1+'Results ReCiPe (E) - HHD'!$AC$271/'Results ReCiPe (E) - HHD'!$AC$272-'Results ReCiPe (E) - HHD'!$AC$271)</f>
        <v>321.24771428412777</v>
      </c>
    </row>
    <row r="426" spans="1:53" outlineLevel="1" x14ac:dyDescent="0.35">
      <c r="A426" s="6" t="s">
        <v>797</v>
      </c>
      <c r="B426" s="6">
        <f>$B$380*$AC$384</f>
        <v>394.93630003515688</v>
      </c>
      <c r="C426" s="6">
        <f t="shared" ref="C426:Z426" si="58">$B$380*$AC$384</f>
        <v>394.93630003515688</v>
      </c>
      <c r="D426" s="6">
        <f t="shared" si="58"/>
        <v>394.93630003515688</v>
      </c>
      <c r="E426" s="6">
        <f t="shared" si="58"/>
        <v>394.93630003515688</v>
      </c>
      <c r="F426" s="6">
        <f t="shared" si="58"/>
        <v>394.93630003515688</v>
      </c>
      <c r="G426" s="6">
        <f t="shared" si="58"/>
        <v>394.93630003515688</v>
      </c>
      <c r="H426" s="6">
        <f t="shared" si="58"/>
        <v>394.93630003515688</v>
      </c>
      <c r="I426" s="6">
        <f t="shared" si="58"/>
        <v>394.93630003515688</v>
      </c>
      <c r="J426" s="6">
        <f t="shared" si="58"/>
        <v>394.93630003515688</v>
      </c>
      <c r="K426" s="6">
        <f t="shared" si="58"/>
        <v>394.93630003515688</v>
      </c>
      <c r="L426" s="6">
        <f t="shared" si="58"/>
        <v>394.93630003515688</v>
      </c>
      <c r="M426" s="6">
        <f t="shared" si="58"/>
        <v>394.93630003515688</v>
      </c>
      <c r="N426" s="6">
        <f t="shared" si="58"/>
        <v>394.93630003515688</v>
      </c>
      <c r="O426" s="6">
        <f t="shared" si="58"/>
        <v>394.93630003515688</v>
      </c>
      <c r="P426" s="6">
        <f t="shared" si="58"/>
        <v>394.93630003515688</v>
      </c>
      <c r="Q426" s="6">
        <f t="shared" si="58"/>
        <v>394.93630003515688</v>
      </c>
      <c r="R426" s="6">
        <f t="shared" si="58"/>
        <v>394.93630003515688</v>
      </c>
      <c r="S426" s="6">
        <f t="shared" si="58"/>
        <v>394.93630003515688</v>
      </c>
      <c r="T426" s="6">
        <f t="shared" si="58"/>
        <v>394.93630003515688</v>
      </c>
      <c r="U426" s="6">
        <f t="shared" si="58"/>
        <v>394.93630003515688</v>
      </c>
      <c r="V426" s="6">
        <f t="shared" si="58"/>
        <v>394.93630003515688</v>
      </c>
      <c r="W426" s="6">
        <f t="shared" si="58"/>
        <v>394.93630003515688</v>
      </c>
      <c r="X426" s="6">
        <f t="shared" si="58"/>
        <v>394.93630003515688</v>
      </c>
      <c r="Y426" s="6">
        <f t="shared" si="58"/>
        <v>394.93630003515688</v>
      </c>
      <c r="Z426" s="6">
        <f t="shared" si="58"/>
        <v>394.93630003515688</v>
      </c>
    </row>
    <row r="427" spans="1:53" outlineLevel="1" x14ac:dyDescent="0.35">
      <c r="A427" s="23" t="s">
        <v>125</v>
      </c>
      <c r="B427" s="17">
        <f>SUM(B395:B425)</f>
        <v>3306.0939038991864</v>
      </c>
      <c r="C427" s="17">
        <f t="shared" ref="C427:Z427" si="59">SUM(C395:C425)</f>
        <v>512.76819386044622</v>
      </c>
      <c r="D427" s="17">
        <f t="shared" si="59"/>
        <v>505.98297381176104</v>
      </c>
      <c r="E427" s="17">
        <f t="shared" si="59"/>
        <v>494.98449321610076</v>
      </c>
      <c r="F427" s="17">
        <f t="shared" si="59"/>
        <v>488.08284005784401</v>
      </c>
      <c r="G427" s="17">
        <f t="shared" si="59"/>
        <v>481.15052302940194</v>
      </c>
      <c r="H427" s="17">
        <f t="shared" si="59"/>
        <v>487.81944776763953</v>
      </c>
      <c r="I427" s="17">
        <f t="shared" si="59"/>
        <v>494.40308103491333</v>
      </c>
      <c r="J427" s="17">
        <f t="shared" si="59"/>
        <v>498.05212260908127</v>
      </c>
      <c r="K427" s="17">
        <f t="shared" si="59"/>
        <v>504.49658188752102</v>
      </c>
      <c r="L427" s="17">
        <f t="shared" si="59"/>
        <v>510.86462416262719</v>
      </c>
      <c r="M427" s="17">
        <f t="shared" si="59"/>
        <v>516.81663035428551</v>
      </c>
      <c r="N427" s="17">
        <f t="shared" si="59"/>
        <v>522.76690708969318</v>
      </c>
      <c r="O427" s="17">
        <f t="shared" si="59"/>
        <v>527.92313822343908</v>
      </c>
      <c r="P427" s="17">
        <f t="shared" si="59"/>
        <v>533.86641303792567</v>
      </c>
      <c r="Q427" s="17">
        <f t="shared" si="59"/>
        <v>539.79202834294631</v>
      </c>
      <c r="R427" s="17">
        <f t="shared" si="59"/>
        <v>535.91691927520151</v>
      </c>
      <c r="S427" s="17">
        <f t="shared" si="59"/>
        <v>532.0508311651447</v>
      </c>
      <c r="T427" s="17">
        <f t="shared" si="59"/>
        <v>527.44642035384993</v>
      </c>
      <c r="U427" s="17">
        <f t="shared" si="59"/>
        <v>523.58635111502781</v>
      </c>
      <c r="V427" s="17">
        <f t="shared" si="59"/>
        <v>519.65094949918773</v>
      </c>
      <c r="W427" s="17">
        <f t="shared" si="59"/>
        <v>519.12987339632889</v>
      </c>
      <c r="X427" s="17">
        <f t="shared" si="59"/>
        <v>518.61635049750544</v>
      </c>
      <c r="Y427" s="17">
        <f t="shared" si="59"/>
        <v>518.10397548521019</v>
      </c>
      <c r="Z427" s="17">
        <f t="shared" si="59"/>
        <v>557.01119229752226</v>
      </c>
    </row>
    <row r="428" spans="1:53" s="26" customFormat="1" outlineLevel="1" x14ac:dyDescent="0.35"/>
    <row r="429" spans="1:53" s="236" customFormat="1" ht="21" x14ac:dyDescent="0.5">
      <c r="A429" s="236" t="s">
        <v>136</v>
      </c>
    </row>
    <row r="432" spans="1:53" x14ac:dyDescent="0.35">
      <c r="A432" s="331" t="s">
        <v>131</v>
      </c>
      <c r="B432" s="331"/>
      <c r="C432" s="331"/>
      <c r="D432" s="331"/>
      <c r="E432" s="331"/>
      <c r="F432" s="331"/>
      <c r="G432" s="331"/>
      <c r="H432" s="331"/>
      <c r="I432" s="331"/>
      <c r="J432" s="331"/>
      <c r="K432" s="331"/>
    </row>
    <row r="433" spans="1:11" x14ac:dyDescent="0.35">
      <c r="A433" s="6" t="s">
        <v>907</v>
      </c>
    </row>
    <row r="434" spans="1:11" x14ac:dyDescent="0.35">
      <c r="B434" s="6" t="s">
        <v>889</v>
      </c>
      <c r="C434" s="6" t="s">
        <v>891</v>
      </c>
      <c r="D434" s="6" t="s">
        <v>890</v>
      </c>
      <c r="E434" s="6" t="s">
        <v>892</v>
      </c>
      <c r="F434" s="6" t="s">
        <v>893</v>
      </c>
      <c r="G434" s="6" t="s">
        <v>894</v>
      </c>
      <c r="H434" s="6" t="s">
        <v>896</v>
      </c>
      <c r="I434" s="6" t="s">
        <v>897</v>
      </c>
      <c r="J434" s="6" t="s">
        <v>895</v>
      </c>
    </row>
    <row r="435" spans="1:11" x14ac:dyDescent="0.35">
      <c r="A435" s="6" t="s">
        <v>117</v>
      </c>
      <c r="B435" s="6">
        <f>SUM(AC10:BA10)</f>
        <v>2965.0301428358648</v>
      </c>
      <c r="C435" s="6">
        <f>SUM(AC50:BA50)</f>
        <v>2892.6593074930947</v>
      </c>
      <c r="D435" s="6">
        <f>SUM(AC90:BA90)</f>
        <v>2702.2385266828496</v>
      </c>
      <c r="E435" s="6">
        <f>SUM(AC132:BA132)</f>
        <v>2965.0301428358648</v>
      </c>
      <c r="F435" s="6">
        <f>SUM(AC173:BA173)</f>
        <v>2892.6593074930947</v>
      </c>
      <c r="G435" s="6">
        <f>SUM(AC214:BA214)</f>
        <v>2702.2385266828496</v>
      </c>
      <c r="H435" s="6">
        <f>SUM(AC274:BA274)</f>
        <v>2917.0162501260224</v>
      </c>
      <c r="I435" s="6">
        <f>SUM(AC334:BA334)</f>
        <v>2845.4572022954248</v>
      </c>
      <c r="J435" s="6">
        <f>SUM(AC395:BA395)</f>
        <v>2656.732541756694</v>
      </c>
    </row>
    <row r="436" spans="1:11" x14ac:dyDescent="0.35">
      <c r="A436" s="6" t="s">
        <v>118</v>
      </c>
      <c r="B436" s="6">
        <f>SUM(AC11:BA11)</f>
        <v>272.33360397786203</v>
      </c>
      <c r="C436" s="6">
        <f>SUM(AC51:BA51)</f>
        <v>268.94629988832151</v>
      </c>
      <c r="D436" s="6">
        <f>SUM(AC91:BA91)</f>
        <v>259.70352548768199</v>
      </c>
      <c r="E436" s="6">
        <f>SUM(AC133:BA133)</f>
        <v>272.33360397786203</v>
      </c>
      <c r="F436" s="6">
        <f>SUM(AC174:BA174)</f>
        <v>268.94629988832151</v>
      </c>
      <c r="G436" s="6">
        <f>SUM(AC215:BA215)</f>
        <v>259.70352548768199</v>
      </c>
      <c r="H436" s="6">
        <f t="shared" ref="H436:H444" si="60">SUM(AC275:BA275)</f>
        <v>136.16680198893101</v>
      </c>
      <c r="I436" s="6">
        <f t="shared" ref="I436:I444" si="61">SUM(AC335:BA335)</f>
        <v>134.47314994416075</v>
      </c>
      <c r="J436" s="6">
        <f t="shared" ref="J436:J444" si="62">SUM(AC396:BA396)</f>
        <v>129.85176274384099</v>
      </c>
    </row>
    <row r="437" spans="1:11" x14ac:dyDescent="0.35">
      <c r="A437" s="6" t="s">
        <v>119</v>
      </c>
      <c r="B437" s="6">
        <f>SUM(AC12:BA12)</f>
        <v>46.163153956689108</v>
      </c>
      <c r="C437" s="6">
        <f>SUM(AC52:BA52)</f>
        <v>41.824707218963411</v>
      </c>
      <c r="D437" s="6">
        <f>SUM(AC92:BA92)</f>
        <v>38.803973700478906</v>
      </c>
      <c r="E437" s="6">
        <f>SUM(AC134:BA134)</f>
        <v>46.163153956689108</v>
      </c>
      <c r="F437" s="6">
        <f>SUM(AC175:BA175)</f>
        <v>41.824707218963411</v>
      </c>
      <c r="G437" s="6">
        <f>SUM(AC216:BA216)</f>
        <v>38.803973700478906</v>
      </c>
      <c r="H437" s="6">
        <f t="shared" si="60"/>
        <v>46.163153956689108</v>
      </c>
      <c r="I437" s="6">
        <f t="shared" si="61"/>
        <v>41.824707218963411</v>
      </c>
      <c r="J437" s="6">
        <f t="shared" si="62"/>
        <v>38.803973700478906</v>
      </c>
    </row>
    <row r="438" spans="1:11" x14ac:dyDescent="0.35">
      <c r="A438" s="6" t="s">
        <v>120</v>
      </c>
      <c r="B438" s="6">
        <f>SUM(AC13:BA13)</f>
        <v>1.3503554367435455</v>
      </c>
      <c r="C438" s="6">
        <f>SUM(AC53:BA53)</f>
        <v>1.2970170042936588</v>
      </c>
      <c r="D438" s="6">
        <f>SUM(AC93:BA93)</f>
        <v>1.2292258629747401</v>
      </c>
      <c r="E438" s="6">
        <f>SUM(AC135:BA135)</f>
        <v>1.3503554367435455</v>
      </c>
      <c r="F438" s="6">
        <f>SUM(AC176:BA176)</f>
        <v>1.2970170042936588</v>
      </c>
      <c r="G438" s="6">
        <f>SUM(AC217:BA217)</f>
        <v>1.2292258629747401</v>
      </c>
      <c r="H438" s="6">
        <f t="shared" si="60"/>
        <v>0.67517771837177276</v>
      </c>
      <c r="I438" s="6">
        <f t="shared" si="61"/>
        <v>0.64850850214682942</v>
      </c>
      <c r="J438" s="6">
        <f t="shared" si="62"/>
        <v>0.61461293148737006</v>
      </c>
    </row>
    <row r="439" spans="1:11" x14ac:dyDescent="0.35">
      <c r="A439" s="6" t="s">
        <v>121</v>
      </c>
      <c r="B439" s="6">
        <f>SUM(AC14:BA14)</f>
        <v>1061.8355127960647</v>
      </c>
      <c r="C439" s="6">
        <f>SUM(AC54:BA54)</f>
        <v>1036.0544163383402</v>
      </c>
      <c r="D439" s="6">
        <f>SUM(AC94:BA94)</f>
        <v>1015.251766230768</v>
      </c>
      <c r="E439" s="6">
        <f>SUM(AC136:BA136)</f>
        <v>1061.8355127960647</v>
      </c>
      <c r="F439" s="6">
        <f>SUM(AC177:BA177)</f>
        <v>1036.0544163383402</v>
      </c>
      <c r="G439" s="6">
        <f>SUM(AC218:BA218)</f>
        <v>1015.251766230768</v>
      </c>
      <c r="H439" s="6">
        <f t="shared" si="60"/>
        <v>1061.8355127960647</v>
      </c>
      <c r="I439" s="6">
        <f t="shared" si="61"/>
        <v>1036.0544163383402</v>
      </c>
      <c r="J439" s="6">
        <f t="shared" si="62"/>
        <v>1015.251766230768</v>
      </c>
    </row>
    <row r="440" spans="1:11" x14ac:dyDescent="0.35">
      <c r="A440" s="6" t="s">
        <v>800</v>
      </c>
      <c r="H440" s="6">
        <f t="shared" si="60"/>
        <v>10968.746206937201</v>
      </c>
      <c r="I440" s="6">
        <f t="shared" si="61"/>
        <v>10684.166447896583</v>
      </c>
      <c r="J440" s="6">
        <f t="shared" si="62"/>
        <v>9873.4075008789223</v>
      </c>
    </row>
    <row r="441" spans="1:11" x14ac:dyDescent="0.35">
      <c r="A441" s="6" t="s">
        <v>122</v>
      </c>
      <c r="B441" s="6">
        <f>SUM(AC15:BA15)</f>
        <v>84564.672037557059</v>
      </c>
      <c r="C441" s="6">
        <f>SUM(AC55:BA55)</f>
        <v>58135.325476073216</v>
      </c>
      <c r="D441" s="6">
        <f>SUM(AC95:BA95)</f>
        <v>44202.939417291935</v>
      </c>
      <c r="E441" s="6">
        <f>SUM(AC137:BA137)</f>
        <v>66168.389059345194</v>
      </c>
      <c r="F441" s="6">
        <f>SUM(AC178:BA178)</f>
        <v>45975.200170188575</v>
      </c>
      <c r="G441" s="6">
        <f>SUM(AC219:BA219)</f>
        <v>35298.969131397105</v>
      </c>
      <c r="H441" s="6">
        <f t="shared" si="60"/>
        <v>8700.6788848561664</v>
      </c>
      <c r="I441" s="6">
        <f t="shared" si="61"/>
        <v>8518.3828291324189</v>
      </c>
      <c r="J441" s="6">
        <f t="shared" si="62"/>
        <v>8276.0837088442404</v>
      </c>
    </row>
    <row r="442" spans="1:11" x14ac:dyDescent="0.35">
      <c r="A442" s="6" t="s">
        <v>123</v>
      </c>
      <c r="B442" s="6">
        <f>SUM(AC16:BA16)</f>
        <v>6563.9435299025272</v>
      </c>
      <c r="C442" s="6">
        <f>SUM(AC56:BA56)</f>
        <v>45.770382863964535</v>
      </c>
      <c r="D442" s="6">
        <f>SUM(AC96:BA96)</f>
        <v>3510.6261057961219</v>
      </c>
      <c r="E442" s="6">
        <f>SUM(AC138:BA138)</f>
        <v>6563.9435299025272</v>
      </c>
      <c r="F442" s="6">
        <f>SUM(AC179:BA179)</f>
        <v>4577.0382863964533</v>
      </c>
      <c r="G442" s="6">
        <f>SUM(AC220:BA220)</f>
        <v>3510.6261057961219</v>
      </c>
      <c r="H442" s="6">
        <f t="shared" si="60"/>
        <v>3281.9717649512636</v>
      </c>
      <c r="I442" s="6">
        <f t="shared" si="61"/>
        <v>22.885191431982268</v>
      </c>
      <c r="J442" s="6">
        <f t="shared" si="62"/>
        <v>1755.313052898061</v>
      </c>
    </row>
    <row r="443" spans="1:11" x14ac:dyDescent="0.35">
      <c r="A443" s="6" t="s">
        <v>124</v>
      </c>
      <c r="B443" s="6">
        <f>SUM(AC17:BA17)</f>
        <v>0</v>
      </c>
      <c r="C443" s="6">
        <f>SUM(AC57:BA57)</f>
        <v>0</v>
      </c>
      <c r="D443" s="6">
        <f>SUM(AC97:BA97)</f>
        <v>0</v>
      </c>
      <c r="E443" s="6">
        <f>SUM(AC139:BA139)</f>
        <v>0</v>
      </c>
      <c r="F443" s="6">
        <f>SUM(AC180:BA180)</f>
        <v>0</v>
      </c>
      <c r="G443" s="6">
        <f>SUM(AC221:BA221)</f>
        <v>0</v>
      </c>
      <c r="H443" s="6">
        <f t="shared" si="60"/>
        <v>0</v>
      </c>
      <c r="I443" s="6">
        <f t="shared" si="61"/>
        <v>0</v>
      </c>
      <c r="J443" s="6">
        <f t="shared" si="62"/>
        <v>0</v>
      </c>
    </row>
    <row r="444" spans="1:11" x14ac:dyDescent="0.35">
      <c r="A444" s="6" t="s">
        <v>137</v>
      </c>
      <c r="B444" s="6">
        <f>SUM(AC18:BA18)</f>
        <v>95475.328336462801</v>
      </c>
      <c r="C444" s="6">
        <f>SUM(AC58:BA58)</f>
        <v>62421.877606880196</v>
      </c>
      <c r="D444" s="6">
        <f>SUM(AC98:BA98)</f>
        <v>51730.792541052811</v>
      </c>
      <c r="E444" s="6">
        <f>SUM(AC140:BA140)</f>
        <v>77079.045358250965</v>
      </c>
      <c r="F444" s="6">
        <f>SUM(AC181:BA181)</f>
        <v>54793.020204528046</v>
      </c>
      <c r="G444" s="6">
        <f>SUM(AC222:BA222)</f>
        <v>42826.822255157975</v>
      </c>
      <c r="H444" s="6">
        <f t="shared" si="60"/>
        <v>27113.253753330708</v>
      </c>
      <c r="I444" s="6">
        <f t="shared" si="61"/>
        <v>23283.892452760014</v>
      </c>
      <c r="J444" s="6">
        <f t="shared" si="62"/>
        <v>23746.058919984494</v>
      </c>
    </row>
    <row r="446" spans="1:11" x14ac:dyDescent="0.35">
      <c r="A446" s="331" t="s">
        <v>133</v>
      </c>
      <c r="B446" s="331"/>
      <c r="C446" s="331"/>
      <c r="D446" s="331"/>
      <c r="E446" s="331"/>
      <c r="F446" s="331"/>
      <c r="G446" s="331"/>
      <c r="H446" s="331"/>
      <c r="I446" s="331"/>
      <c r="J446" s="331"/>
      <c r="K446" s="331"/>
    </row>
    <row r="447" spans="1:11" x14ac:dyDescent="0.35">
      <c r="A447" s="6" t="s">
        <v>908</v>
      </c>
    </row>
    <row r="448" spans="1:11" x14ac:dyDescent="0.35">
      <c r="B448" s="6" t="s">
        <v>889</v>
      </c>
      <c r="C448" s="6" t="s">
        <v>891</v>
      </c>
      <c r="D448" s="6" t="s">
        <v>890</v>
      </c>
      <c r="E448" s="6" t="s">
        <v>892</v>
      </c>
      <c r="F448" s="6" t="s">
        <v>893</v>
      </c>
      <c r="G448" s="6" t="s">
        <v>894</v>
      </c>
      <c r="H448" s="6" t="s">
        <v>896</v>
      </c>
      <c r="I448" s="6" t="s">
        <v>897</v>
      </c>
      <c r="J448" s="6" t="s">
        <v>895</v>
      </c>
    </row>
    <row r="449" spans="1:11" x14ac:dyDescent="0.35">
      <c r="A449" s="6" t="s">
        <v>117</v>
      </c>
      <c r="B449" s="6">
        <f>B435/25</f>
        <v>118.6012057134346</v>
      </c>
      <c r="C449" s="6">
        <f t="shared" ref="C449:J449" si="63">C435/25</f>
        <v>115.7063722997238</v>
      </c>
      <c r="D449" s="6">
        <f t="shared" si="63"/>
        <v>108.08954106731399</v>
      </c>
      <c r="E449" s="6">
        <f t="shared" si="63"/>
        <v>118.6012057134346</v>
      </c>
      <c r="F449" s="6">
        <f t="shared" si="63"/>
        <v>115.7063722997238</v>
      </c>
      <c r="G449" s="6">
        <f t="shared" si="63"/>
        <v>108.08954106731399</v>
      </c>
      <c r="H449" s="6">
        <f t="shared" si="63"/>
        <v>116.6806500050409</v>
      </c>
      <c r="I449" s="6">
        <f t="shared" si="63"/>
        <v>113.818288091817</v>
      </c>
      <c r="J449" s="6">
        <f t="shared" si="63"/>
        <v>106.26930167026777</v>
      </c>
    </row>
    <row r="450" spans="1:11" x14ac:dyDescent="0.35">
      <c r="A450" s="6" t="s">
        <v>118</v>
      </c>
      <c r="B450" s="6">
        <f t="shared" ref="B450:J458" si="64">B436/25</f>
        <v>10.893344159114481</v>
      </c>
      <c r="C450" s="6">
        <f t="shared" si="64"/>
        <v>10.75785199553286</v>
      </c>
      <c r="D450" s="6">
        <f t="shared" si="64"/>
        <v>10.38814101950728</v>
      </c>
      <c r="E450" s="6">
        <f t="shared" si="64"/>
        <v>10.893344159114481</v>
      </c>
      <c r="F450" s="6">
        <f t="shared" si="64"/>
        <v>10.75785199553286</v>
      </c>
      <c r="G450" s="6">
        <f t="shared" si="64"/>
        <v>10.38814101950728</v>
      </c>
      <c r="H450" s="6">
        <f t="shared" si="64"/>
        <v>5.4466720795572403</v>
      </c>
      <c r="I450" s="6">
        <f t="shared" si="64"/>
        <v>5.3789259977664301</v>
      </c>
      <c r="J450" s="6">
        <f t="shared" si="64"/>
        <v>5.1940705097536402</v>
      </c>
    </row>
    <row r="451" spans="1:11" x14ac:dyDescent="0.35">
      <c r="A451" s="6" t="s">
        <v>119</v>
      </c>
      <c r="B451" s="6">
        <f t="shared" si="64"/>
        <v>1.8465261582675643</v>
      </c>
      <c r="C451" s="6">
        <f t="shared" si="64"/>
        <v>1.6729882887585363</v>
      </c>
      <c r="D451" s="6">
        <f t="shared" si="64"/>
        <v>1.5521589480191562</v>
      </c>
      <c r="E451" s="6">
        <f t="shared" si="64"/>
        <v>1.8465261582675643</v>
      </c>
      <c r="F451" s="6">
        <f t="shared" si="64"/>
        <v>1.6729882887585363</v>
      </c>
      <c r="G451" s="6">
        <f t="shared" si="64"/>
        <v>1.5521589480191562</v>
      </c>
      <c r="H451" s="6">
        <f t="shared" si="64"/>
        <v>1.8465261582675643</v>
      </c>
      <c r="I451" s="6">
        <f t="shared" si="64"/>
        <v>1.6729882887585363</v>
      </c>
      <c r="J451" s="6">
        <f t="shared" si="64"/>
        <v>1.5521589480191562</v>
      </c>
    </row>
    <row r="452" spans="1:11" x14ac:dyDescent="0.35">
      <c r="A452" s="6" t="s">
        <v>120</v>
      </c>
      <c r="B452" s="6">
        <f t="shared" si="64"/>
        <v>5.4014217469741818E-2</v>
      </c>
      <c r="C452" s="6">
        <f t="shared" si="64"/>
        <v>5.1880680171746352E-2</v>
      </c>
      <c r="D452" s="6">
        <f t="shared" si="64"/>
        <v>4.9169034518989602E-2</v>
      </c>
      <c r="E452" s="6">
        <f t="shared" si="64"/>
        <v>5.4014217469741818E-2</v>
      </c>
      <c r="F452" s="6">
        <f t="shared" si="64"/>
        <v>5.1880680171746352E-2</v>
      </c>
      <c r="G452" s="6">
        <f t="shared" si="64"/>
        <v>4.9169034518989602E-2</v>
      </c>
      <c r="H452" s="6">
        <f t="shared" si="64"/>
        <v>2.7007108734870909E-2</v>
      </c>
      <c r="I452" s="6">
        <f t="shared" si="64"/>
        <v>2.5940340085873176E-2</v>
      </c>
      <c r="J452" s="6">
        <f t="shared" si="64"/>
        <v>2.4584517259494801E-2</v>
      </c>
    </row>
    <row r="453" spans="1:11" x14ac:dyDescent="0.35">
      <c r="A453" s="6" t="s">
        <v>121</v>
      </c>
      <c r="B453" s="6">
        <f t="shared" si="64"/>
        <v>42.47342051184259</v>
      </c>
      <c r="C453" s="6">
        <f t="shared" si="64"/>
        <v>41.442176653533608</v>
      </c>
      <c r="D453" s="6">
        <f t="shared" si="64"/>
        <v>40.610070649230721</v>
      </c>
      <c r="E453" s="6">
        <f t="shared" si="64"/>
        <v>42.47342051184259</v>
      </c>
      <c r="F453" s="6">
        <f t="shared" si="64"/>
        <v>41.442176653533608</v>
      </c>
      <c r="G453" s="6">
        <f t="shared" si="64"/>
        <v>40.610070649230721</v>
      </c>
      <c r="H453" s="6">
        <f t="shared" si="64"/>
        <v>42.47342051184259</v>
      </c>
      <c r="I453" s="6">
        <f t="shared" si="64"/>
        <v>41.442176653533608</v>
      </c>
      <c r="J453" s="6">
        <f t="shared" si="64"/>
        <v>40.610070649230721</v>
      </c>
    </row>
    <row r="454" spans="1:11" x14ac:dyDescent="0.35">
      <c r="A454" s="6" t="s">
        <v>800</v>
      </c>
      <c r="B454" s="6">
        <f t="shared" si="64"/>
        <v>0</v>
      </c>
      <c r="C454" s="6">
        <f t="shared" si="64"/>
        <v>0</v>
      </c>
      <c r="D454" s="6">
        <f t="shared" si="64"/>
        <v>0</v>
      </c>
      <c r="E454" s="6">
        <f t="shared" si="64"/>
        <v>0</v>
      </c>
      <c r="F454" s="6">
        <f t="shared" si="64"/>
        <v>0</v>
      </c>
      <c r="G454" s="6">
        <f t="shared" si="64"/>
        <v>0</v>
      </c>
      <c r="H454" s="6">
        <f t="shared" si="64"/>
        <v>438.74984827748807</v>
      </c>
      <c r="I454" s="6">
        <f t="shared" si="64"/>
        <v>427.3666579158633</v>
      </c>
      <c r="J454" s="6">
        <f t="shared" si="64"/>
        <v>394.93630003515688</v>
      </c>
    </row>
    <row r="455" spans="1:11" x14ac:dyDescent="0.35">
      <c r="A455" s="6" t="s">
        <v>122</v>
      </c>
      <c r="B455" s="6">
        <f t="shared" si="64"/>
        <v>3382.5868815022823</v>
      </c>
      <c r="C455" s="6">
        <f t="shared" si="64"/>
        <v>2325.4130190429287</v>
      </c>
      <c r="D455" s="6">
        <f t="shared" si="64"/>
        <v>1768.1175766916774</v>
      </c>
      <c r="E455" s="6">
        <f t="shared" si="64"/>
        <v>2646.7355623738076</v>
      </c>
      <c r="F455" s="6">
        <f t="shared" si="64"/>
        <v>1839.0080068075431</v>
      </c>
      <c r="G455" s="6">
        <f t="shared" si="64"/>
        <v>1411.9587652558841</v>
      </c>
      <c r="H455" s="6">
        <f t="shared" si="64"/>
        <v>348.02715539424668</v>
      </c>
      <c r="I455" s="6">
        <f t="shared" si="64"/>
        <v>340.73531316529676</v>
      </c>
      <c r="J455" s="6">
        <f t="shared" si="64"/>
        <v>331.0433483537696</v>
      </c>
    </row>
    <row r="456" spans="1:11" x14ac:dyDescent="0.35">
      <c r="A456" s="6" t="s">
        <v>123</v>
      </c>
      <c r="B456" s="6">
        <f t="shared" si="64"/>
        <v>262.55774119610106</v>
      </c>
      <c r="C456" s="6">
        <f t="shared" si="64"/>
        <v>1.8308153145585815</v>
      </c>
      <c r="D456" s="6">
        <f t="shared" si="64"/>
        <v>140.42504423184488</v>
      </c>
      <c r="E456" s="6">
        <f t="shared" si="64"/>
        <v>262.55774119610106</v>
      </c>
      <c r="F456" s="6">
        <f t="shared" si="64"/>
        <v>183.08153145585814</v>
      </c>
      <c r="G456" s="6">
        <f t="shared" si="64"/>
        <v>140.42504423184488</v>
      </c>
      <c r="H456" s="6">
        <f t="shared" si="64"/>
        <v>131.27887059805053</v>
      </c>
      <c r="I456" s="6">
        <f t="shared" si="64"/>
        <v>0.91540765727929074</v>
      </c>
      <c r="J456" s="6">
        <f t="shared" si="64"/>
        <v>70.21252211592244</v>
      </c>
    </row>
    <row r="457" spans="1:11" x14ac:dyDescent="0.35">
      <c r="A457" s="6" t="s">
        <v>124</v>
      </c>
      <c r="B457" s="6">
        <f t="shared" si="64"/>
        <v>0</v>
      </c>
      <c r="C457" s="6">
        <f t="shared" si="64"/>
        <v>0</v>
      </c>
      <c r="D457" s="6">
        <f t="shared" si="64"/>
        <v>0</v>
      </c>
      <c r="E457" s="6">
        <f t="shared" si="64"/>
        <v>0</v>
      </c>
      <c r="F457" s="6">
        <f t="shared" si="64"/>
        <v>0</v>
      </c>
      <c r="G457" s="6">
        <f t="shared" si="64"/>
        <v>0</v>
      </c>
      <c r="H457" s="6">
        <f t="shared" si="64"/>
        <v>0</v>
      </c>
      <c r="I457" s="6">
        <f t="shared" si="64"/>
        <v>0</v>
      </c>
      <c r="J457" s="6">
        <f t="shared" si="64"/>
        <v>0</v>
      </c>
    </row>
    <row r="458" spans="1:11" x14ac:dyDescent="0.35">
      <c r="A458" s="6" t="s">
        <v>137</v>
      </c>
      <c r="B458" s="6">
        <f t="shared" si="64"/>
        <v>3819.0131334585121</v>
      </c>
      <c r="C458" s="6">
        <f t="shared" si="64"/>
        <v>2496.8751042752078</v>
      </c>
      <c r="D458" s="6">
        <f t="shared" si="64"/>
        <v>2069.2317016421125</v>
      </c>
      <c r="E458" s="6">
        <f t="shared" si="64"/>
        <v>3083.1618143300384</v>
      </c>
      <c r="F458" s="6">
        <f t="shared" si="64"/>
        <v>2191.7208081811218</v>
      </c>
      <c r="G458" s="6">
        <f t="shared" si="64"/>
        <v>1713.072890206319</v>
      </c>
      <c r="H458" s="6">
        <f t="shared" si="64"/>
        <v>1084.5301501332283</v>
      </c>
      <c r="I458" s="6">
        <f t="shared" si="64"/>
        <v>931.35569811040057</v>
      </c>
      <c r="J458" s="6">
        <f t="shared" si="64"/>
        <v>949.84235679937979</v>
      </c>
    </row>
    <row r="461" spans="1:11" x14ac:dyDescent="0.35">
      <c r="A461" s="331" t="s">
        <v>135</v>
      </c>
      <c r="B461" s="331"/>
      <c r="C461" s="331"/>
      <c r="D461" s="331"/>
      <c r="E461" s="331"/>
      <c r="F461" s="331"/>
      <c r="G461" s="331"/>
      <c r="H461" s="331"/>
      <c r="I461" s="331"/>
      <c r="J461" s="331"/>
      <c r="K461" s="331"/>
    </row>
    <row r="462" spans="1:11" x14ac:dyDescent="0.35">
      <c r="A462" s="6" t="s">
        <v>909</v>
      </c>
    </row>
    <row r="463" spans="1:11" x14ac:dyDescent="0.35">
      <c r="A463" s="6" t="s">
        <v>139</v>
      </c>
      <c r="B463" s="6">
        <v>100</v>
      </c>
      <c r="C463" s="6" t="s">
        <v>128</v>
      </c>
    </row>
    <row r="464" spans="1:11" x14ac:dyDescent="0.35">
      <c r="A464" s="6" t="s">
        <v>140</v>
      </c>
      <c r="B464" s="6">
        <v>50</v>
      </c>
      <c r="C464" s="6" t="s">
        <v>128</v>
      </c>
    </row>
    <row r="466" spans="1:12" x14ac:dyDescent="0.35">
      <c r="B466" s="6" t="s">
        <v>889</v>
      </c>
      <c r="C466" s="6" t="s">
        <v>891</v>
      </c>
      <c r="D466" s="6" t="s">
        <v>890</v>
      </c>
      <c r="E466" s="6" t="s">
        <v>892</v>
      </c>
      <c r="F466" s="6" t="s">
        <v>893</v>
      </c>
      <c r="G466" s="6" t="s">
        <v>894</v>
      </c>
      <c r="H466" s="6" t="s">
        <v>896</v>
      </c>
      <c r="I466" s="6" t="s">
        <v>897</v>
      </c>
      <c r="J466" s="6" t="s">
        <v>895</v>
      </c>
    </row>
    <row r="467" spans="1:12" x14ac:dyDescent="0.35">
      <c r="A467" s="6" t="s">
        <v>117</v>
      </c>
      <c r="B467" s="6">
        <f t="shared" ref="B467:G467" si="65">B449/$B$463</f>
        <v>1.186012057134346</v>
      </c>
      <c r="C467" s="6">
        <f t="shared" si="65"/>
        <v>1.157063722997238</v>
      </c>
      <c r="D467" s="6">
        <f t="shared" si="65"/>
        <v>1.0808954106731399</v>
      </c>
      <c r="E467" s="6">
        <f t="shared" si="65"/>
        <v>1.186012057134346</v>
      </c>
      <c r="F467" s="6">
        <f t="shared" si="65"/>
        <v>1.157063722997238</v>
      </c>
      <c r="G467" s="6">
        <f t="shared" si="65"/>
        <v>1.0808954106731399</v>
      </c>
      <c r="H467" s="6">
        <f>H449/$B$464</f>
        <v>2.3336130001008182</v>
      </c>
      <c r="I467" s="6">
        <f>I449/$B$464</f>
        <v>2.27636576183634</v>
      </c>
      <c r="J467" s="6">
        <f>J449/$B$464</f>
        <v>2.1253860334053551</v>
      </c>
    </row>
    <row r="468" spans="1:12" x14ac:dyDescent="0.35">
      <c r="A468" s="6" t="s">
        <v>118</v>
      </c>
      <c r="B468" s="6">
        <f t="shared" ref="B468:G476" si="66">B450/$B$463</f>
        <v>0.10893344159114481</v>
      </c>
      <c r="C468" s="6">
        <f t="shared" si="66"/>
        <v>0.10757851995532861</v>
      </c>
      <c r="D468" s="6">
        <f t="shared" si="66"/>
        <v>0.1038814101950728</v>
      </c>
      <c r="E468" s="6">
        <f t="shared" si="66"/>
        <v>0.10893344159114481</v>
      </c>
      <c r="F468" s="6">
        <f t="shared" si="66"/>
        <v>0.10757851995532861</v>
      </c>
      <c r="G468" s="6">
        <f t="shared" si="66"/>
        <v>0.1038814101950728</v>
      </c>
      <c r="H468" s="6">
        <f t="shared" ref="H468:J476" si="67">H450/$B$464</f>
        <v>0.10893344159114481</v>
      </c>
      <c r="I468" s="6">
        <f t="shared" si="67"/>
        <v>0.10757851995532861</v>
      </c>
      <c r="J468" s="6">
        <f t="shared" si="67"/>
        <v>0.1038814101950728</v>
      </c>
    </row>
    <row r="469" spans="1:12" x14ac:dyDescent="0.35">
      <c r="A469" s="6" t="s">
        <v>119</v>
      </c>
      <c r="B469" s="6">
        <f t="shared" si="66"/>
        <v>1.8465261582675644E-2</v>
      </c>
      <c r="C469" s="6">
        <f t="shared" si="66"/>
        <v>1.6729882887585364E-2</v>
      </c>
      <c r="D469" s="6">
        <f t="shared" si="66"/>
        <v>1.5521589480191562E-2</v>
      </c>
      <c r="E469" s="6">
        <f t="shared" si="66"/>
        <v>1.8465261582675644E-2</v>
      </c>
      <c r="F469" s="6">
        <f t="shared" si="66"/>
        <v>1.6729882887585364E-2</v>
      </c>
      <c r="G469" s="6">
        <f t="shared" si="66"/>
        <v>1.5521589480191562E-2</v>
      </c>
      <c r="H469" s="6">
        <f t="shared" si="67"/>
        <v>3.6930523165351288E-2</v>
      </c>
      <c r="I469" s="6">
        <f t="shared" si="67"/>
        <v>3.3459765775170729E-2</v>
      </c>
      <c r="J469" s="6">
        <f t="shared" si="67"/>
        <v>3.1043178960383125E-2</v>
      </c>
    </row>
    <row r="470" spans="1:12" x14ac:dyDescent="0.35">
      <c r="A470" s="6" t="s">
        <v>120</v>
      </c>
      <c r="B470" s="6">
        <f t="shared" si="66"/>
        <v>5.4014217469741817E-4</v>
      </c>
      <c r="C470" s="6">
        <f t="shared" si="66"/>
        <v>5.1880680171746349E-4</v>
      </c>
      <c r="D470" s="6">
        <f t="shared" si="66"/>
        <v>4.9169034518989601E-4</v>
      </c>
      <c r="E470" s="6">
        <f t="shared" si="66"/>
        <v>5.4014217469741817E-4</v>
      </c>
      <c r="F470" s="6">
        <f t="shared" si="66"/>
        <v>5.1880680171746349E-4</v>
      </c>
      <c r="G470" s="6">
        <f t="shared" si="66"/>
        <v>4.9169034518989601E-4</v>
      </c>
      <c r="H470" s="6">
        <f t="shared" si="67"/>
        <v>5.4014217469741817E-4</v>
      </c>
      <c r="I470" s="6">
        <f t="shared" si="67"/>
        <v>5.1880680171746349E-4</v>
      </c>
      <c r="J470" s="6">
        <f t="shared" si="67"/>
        <v>4.9169034518989601E-4</v>
      </c>
    </row>
    <row r="471" spans="1:12" x14ac:dyDescent="0.35">
      <c r="A471" s="6" t="s">
        <v>121</v>
      </c>
      <c r="B471" s="6">
        <f t="shared" si="66"/>
        <v>0.42473420511842591</v>
      </c>
      <c r="C471" s="6">
        <f t="shared" si="66"/>
        <v>0.41442176653533608</v>
      </c>
      <c r="D471" s="6">
        <f t="shared" si="66"/>
        <v>0.40610070649230723</v>
      </c>
      <c r="E471" s="6">
        <f t="shared" si="66"/>
        <v>0.42473420511842591</v>
      </c>
      <c r="F471" s="6">
        <f t="shared" si="66"/>
        <v>0.41442176653533608</v>
      </c>
      <c r="G471" s="6">
        <f t="shared" si="66"/>
        <v>0.40610070649230723</v>
      </c>
      <c r="H471" s="6">
        <f t="shared" si="67"/>
        <v>0.84946841023685182</v>
      </c>
      <c r="I471" s="6">
        <f t="shared" si="67"/>
        <v>0.82884353307067216</v>
      </c>
      <c r="J471" s="6">
        <f t="shared" si="67"/>
        <v>0.81220141298461446</v>
      </c>
    </row>
    <row r="472" spans="1:12" x14ac:dyDescent="0.35">
      <c r="A472" s="6" t="s">
        <v>800</v>
      </c>
      <c r="B472" s="6">
        <f t="shared" si="66"/>
        <v>0</v>
      </c>
      <c r="C472" s="6">
        <f t="shared" si="66"/>
        <v>0</v>
      </c>
      <c r="D472" s="6">
        <f t="shared" si="66"/>
        <v>0</v>
      </c>
      <c r="E472" s="6">
        <f t="shared" si="66"/>
        <v>0</v>
      </c>
      <c r="F472" s="6">
        <f t="shared" si="66"/>
        <v>0</v>
      </c>
      <c r="G472" s="6">
        <f t="shared" si="66"/>
        <v>0</v>
      </c>
      <c r="H472" s="6">
        <f t="shared" si="67"/>
        <v>8.7749969655497608</v>
      </c>
      <c r="I472" s="6">
        <f t="shared" si="67"/>
        <v>8.5473331583172651</v>
      </c>
      <c r="J472" s="6">
        <f t="shared" si="67"/>
        <v>7.8987260007031379</v>
      </c>
    </row>
    <row r="473" spans="1:12" x14ac:dyDescent="0.35">
      <c r="A473" s="6" t="s">
        <v>122</v>
      </c>
      <c r="B473" s="6">
        <f t="shared" si="66"/>
        <v>33.825868815022822</v>
      </c>
      <c r="C473" s="6">
        <f t="shared" si="66"/>
        <v>23.254130190429287</v>
      </c>
      <c r="D473" s="6">
        <f t="shared" si="66"/>
        <v>17.681175766916773</v>
      </c>
      <c r="E473" s="6">
        <f t="shared" si="66"/>
        <v>26.467355623738076</v>
      </c>
      <c r="F473" s="6">
        <f t="shared" si="66"/>
        <v>18.390080068075431</v>
      </c>
      <c r="G473" s="6">
        <f t="shared" si="66"/>
        <v>14.119587652558842</v>
      </c>
      <c r="H473" s="6">
        <f t="shared" si="67"/>
        <v>6.9605431078849334</v>
      </c>
      <c r="I473" s="6">
        <f t="shared" si="67"/>
        <v>6.8147062633059354</v>
      </c>
      <c r="J473" s="6">
        <f t="shared" si="67"/>
        <v>6.6208669670753917</v>
      </c>
      <c r="L473" s="1"/>
    </row>
    <row r="474" spans="1:12" x14ac:dyDescent="0.35">
      <c r="A474" s="6" t="s">
        <v>123</v>
      </c>
      <c r="B474" s="6">
        <f t="shared" si="66"/>
        <v>2.6255774119610105</v>
      </c>
      <c r="C474" s="6">
        <f t="shared" si="66"/>
        <v>1.8308153145585815E-2</v>
      </c>
      <c r="D474" s="6">
        <f t="shared" si="66"/>
        <v>1.4042504423184488</v>
      </c>
      <c r="E474" s="6">
        <f t="shared" si="66"/>
        <v>2.6255774119610105</v>
      </c>
      <c r="F474" s="6">
        <f t="shared" si="66"/>
        <v>1.8308153145585815</v>
      </c>
      <c r="G474" s="6">
        <f t="shared" si="66"/>
        <v>1.4042504423184488</v>
      </c>
      <c r="H474" s="6">
        <f t="shared" si="67"/>
        <v>2.6255774119610105</v>
      </c>
      <c r="I474" s="6">
        <f t="shared" si="67"/>
        <v>1.8308153145585815E-2</v>
      </c>
      <c r="J474" s="6">
        <f t="shared" si="67"/>
        <v>1.4042504423184488</v>
      </c>
    </row>
    <row r="475" spans="1:12" x14ac:dyDescent="0.35">
      <c r="A475" s="6" t="s">
        <v>124</v>
      </c>
      <c r="B475" s="6">
        <f t="shared" si="66"/>
        <v>0</v>
      </c>
      <c r="C475" s="6">
        <f t="shared" si="66"/>
        <v>0</v>
      </c>
      <c r="D475" s="6">
        <f t="shared" si="66"/>
        <v>0</v>
      </c>
      <c r="E475" s="6">
        <f t="shared" si="66"/>
        <v>0</v>
      </c>
      <c r="F475" s="6">
        <f t="shared" si="66"/>
        <v>0</v>
      </c>
      <c r="G475" s="6">
        <f t="shared" si="66"/>
        <v>0</v>
      </c>
      <c r="H475" s="6">
        <f t="shared" si="67"/>
        <v>0</v>
      </c>
      <c r="I475" s="6">
        <f t="shared" si="67"/>
        <v>0</v>
      </c>
      <c r="J475" s="6">
        <f t="shared" si="67"/>
        <v>0</v>
      </c>
    </row>
    <row r="476" spans="1:12" x14ac:dyDescent="0.35">
      <c r="A476" s="6" t="s">
        <v>137</v>
      </c>
      <c r="B476" s="6">
        <f t="shared" si="66"/>
        <v>38.190131334585118</v>
      </c>
      <c r="C476" s="6">
        <f t="shared" si="66"/>
        <v>24.968751042752078</v>
      </c>
      <c r="D476" s="6">
        <f t="shared" si="66"/>
        <v>20.692317016421125</v>
      </c>
      <c r="E476" s="6">
        <f t="shared" si="66"/>
        <v>30.831618143300386</v>
      </c>
      <c r="F476" s="6">
        <f t="shared" si="66"/>
        <v>21.917208081811218</v>
      </c>
      <c r="G476" s="6">
        <f t="shared" si="66"/>
        <v>17.13072890206319</v>
      </c>
      <c r="H476" s="6">
        <f t="shared" si="67"/>
        <v>21.690603002664567</v>
      </c>
      <c r="I476" s="6">
        <f t="shared" si="67"/>
        <v>18.627113962208011</v>
      </c>
      <c r="J476" s="6">
        <f t="shared" si="67"/>
        <v>18.996847135987597</v>
      </c>
    </row>
  </sheetData>
  <mergeCells count="3">
    <mergeCell ref="A461:K461"/>
    <mergeCell ref="A432:K432"/>
    <mergeCell ref="A446:K446"/>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48709-F245-4A2B-AEC7-CB4556DE0EA8}">
  <sheetPr>
    <tabColor theme="5" tint="-0.249977111117893"/>
  </sheetPr>
  <dimension ref="A1:BA476"/>
  <sheetViews>
    <sheetView topLeftCell="J1" zoomScale="58" zoomScaleNormal="40" workbookViewId="0">
      <selection activeCell="Z241" sqref="Z241"/>
    </sheetView>
  </sheetViews>
  <sheetFormatPr defaultColWidth="8.54296875" defaultRowHeight="14.5" outlineLevelRow="1" x14ac:dyDescent="0.35"/>
  <cols>
    <col min="1" max="1" width="37.54296875" style="6" customWidth="1"/>
    <col min="2" max="2" width="16.453125" style="6" bestFit="1" customWidth="1"/>
    <col min="3" max="14" width="10.54296875" style="6" bestFit="1" customWidth="1"/>
    <col min="15" max="16" width="10.1796875" style="6" bestFit="1" customWidth="1"/>
    <col min="17" max="24" width="10.54296875" style="6" bestFit="1" customWidth="1"/>
    <col min="25" max="25" width="10.1796875" style="6" bestFit="1" customWidth="1"/>
    <col min="26" max="26" width="16.453125" style="6" bestFit="1" customWidth="1"/>
    <col min="27" max="27" width="8.54296875" style="6"/>
    <col min="28" max="28" width="35" style="6" bestFit="1" customWidth="1"/>
    <col min="29" max="29" width="16.453125" style="6" bestFit="1" customWidth="1"/>
    <col min="30" max="53" width="12.81640625" style="6" bestFit="1" customWidth="1"/>
    <col min="54" max="16384" width="8.54296875" style="6"/>
  </cols>
  <sheetData>
    <row r="1" spans="1:53" s="139" customFormat="1" ht="21" x14ac:dyDescent="0.5">
      <c r="A1" s="138" t="s">
        <v>696</v>
      </c>
    </row>
    <row r="2" spans="1:53" s="221" customFormat="1" ht="21" x14ac:dyDescent="0.5">
      <c r="A2" s="229" t="s">
        <v>849</v>
      </c>
    </row>
    <row r="3" spans="1:53" s="18" customFormat="1" ht="21" x14ac:dyDescent="0.5">
      <c r="A3" s="18" t="s">
        <v>72</v>
      </c>
    </row>
    <row r="4" spans="1:53" s="20" customFormat="1" outlineLevel="1" x14ac:dyDescent="0.35">
      <c r="A4" s="19" t="s">
        <v>767</v>
      </c>
    </row>
    <row r="5" spans="1:53" s="16" customFormat="1" outlineLevel="1" x14ac:dyDescent="0.35">
      <c r="A5" s="21"/>
      <c r="AB5" s="16" t="s">
        <v>47</v>
      </c>
      <c r="AC5" s="16">
        <v>1</v>
      </c>
      <c r="AD5" s="16" t="s">
        <v>146</v>
      </c>
    </row>
    <row r="6" spans="1:53" s="16" customFormat="1" outlineLevel="1" x14ac:dyDescent="0.35">
      <c r="A6" s="22" t="s">
        <v>566</v>
      </c>
      <c r="AC6" s="16">
        <f>AC5*1000</f>
        <v>1000</v>
      </c>
      <c r="AD6" s="16" t="s">
        <v>144</v>
      </c>
    </row>
    <row r="7" spans="1:53" s="16" customFormat="1" outlineLevel="1" x14ac:dyDescent="0.35">
      <c r="A7" s="22"/>
      <c r="AB7" s="16" t="s">
        <v>127</v>
      </c>
      <c r="AC7" s="16">
        <v>100</v>
      </c>
      <c r="AD7" s="16" t="s">
        <v>128</v>
      </c>
    </row>
    <row r="8" spans="1:53" s="16" customFormat="1" outlineLevel="1" x14ac:dyDescent="0.35">
      <c r="A8" s="22"/>
      <c r="AB8" s="16" t="s">
        <v>129</v>
      </c>
      <c r="AC8" s="16">
        <v>25</v>
      </c>
      <c r="AD8" s="16" t="s">
        <v>130</v>
      </c>
    </row>
    <row r="9" spans="1:53" outlineLevel="1" x14ac:dyDescent="0.35">
      <c r="B9" s="25">
        <v>2030</v>
      </c>
      <c r="C9" s="25">
        <v>2031</v>
      </c>
      <c r="D9" s="25">
        <v>2032</v>
      </c>
      <c r="E9" s="25">
        <v>2033</v>
      </c>
      <c r="F9" s="25">
        <v>2034</v>
      </c>
      <c r="G9" s="25">
        <v>2035</v>
      </c>
      <c r="H9" s="25">
        <v>2036</v>
      </c>
      <c r="I9" s="25">
        <v>2037</v>
      </c>
      <c r="J9" s="25">
        <v>2038</v>
      </c>
      <c r="K9" s="25">
        <v>2039</v>
      </c>
      <c r="L9" s="25">
        <v>2040</v>
      </c>
      <c r="M9" s="25">
        <v>2041</v>
      </c>
      <c r="N9" s="25">
        <v>2042</v>
      </c>
      <c r="O9" s="25">
        <v>2043</v>
      </c>
      <c r="P9" s="25">
        <v>2044</v>
      </c>
      <c r="Q9" s="25">
        <v>2045</v>
      </c>
      <c r="R9" s="25">
        <v>2046</v>
      </c>
      <c r="S9" s="25">
        <v>2047</v>
      </c>
      <c r="T9" s="25">
        <v>2048</v>
      </c>
      <c r="U9" s="25">
        <v>2049</v>
      </c>
      <c r="V9" s="25">
        <v>2050</v>
      </c>
      <c r="W9" s="25">
        <v>2051</v>
      </c>
      <c r="X9" s="25">
        <v>2052</v>
      </c>
      <c r="Y9" s="25">
        <v>2053</v>
      </c>
      <c r="Z9" s="25">
        <v>2054</v>
      </c>
      <c r="AC9" s="25">
        <v>2030</v>
      </c>
      <c r="AD9" s="25">
        <v>2031</v>
      </c>
      <c r="AE9" s="25">
        <v>2032</v>
      </c>
      <c r="AF9" s="25">
        <v>2033</v>
      </c>
      <c r="AG9" s="25">
        <v>2034</v>
      </c>
      <c r="AH9" s="25">
        <v>2035</v>
      </c>
      <c r="AI9" s="25">
        <v>2036</v>
      </c>
      <c r="AJ9" s="25">
        <v>2037</v>
      </c>
      <c r="AK9" s="25">
        <v>2038</v>
      </c>
      <c r="AL9" s="25">
        <v>2039</v>
      </c>
      <c r="AM9" s="25">
        <v>2040</v>
      </c>
      <c r="AN9" s="25">
        <v>2041</v>
      </c>
      <c r="AO9" s="25">
        <v>2042</v>
      </c>
      <c r="AP9" s="25">
        <v>2043</v>
      </c>
      <c r="AQ9" s="25">
        <v>2044</v>
      </c>
      <c r="AR9" s="25">
        <v>2045</v>
      </c>
      <c r="AS9" s="25">
        <v>2046</v>
      </c>
      <c r="AT9" s="25">
        <v>2047</v>
      </c>
      <c r="AU9" s="25">
        <v>2048</v>
      </c>
      <c r="AV9" s="25">
        <v>2049</v>
      </c>
      <c r="AW9" s="25">
        <v>2050</v>
      </c>
      <c r="AX9" s="25">
        <v>2051</v>
      </c>
      <c r="AY9" s="25">
        <v>2052</v>
      </c>
      <c r="AZ9" s="25">
        <v>2053</v>
      </c>
      <c r="BA9" s="25">
        <v>2054</v>
      </c>
    </row>
    <row r="10" spans="1:53" outlineLevel="1" x14ac:dyDescent="0.35">
      <c r="A10" s="6" t="s">
        <v>21</v>
      </c>
      <c r="B10" s="6">
        <f>'Results - raw data ReCiPe (E)'!CC5</f>
        <v>651.25812318150281</v>
      </c>
      <c r="AB10" s="6" t="s">
        <v>117</v>
      </c>
      <c r="AC10" s="6">
        <f>SUM(B10:B21)+B23</f>
        <v>28361.809087835707</v>
      </c>
    </row>
    <row r="11" spans="1:53" outlineLevel="1" x14ac:dyDescent="0.35">
      <c r="A11" s="6" t="s">
        <v>23</v>
      </c>
      <c r="B11" s="6">
        <f>'Results - raw data ReCiPe (E)'!CC6</f>
        <v>862.08257287646234</v>
      </c>
      <c r="AB11" s="6" t="s">
        <v>118</v>
      </c>
      <c r="AC11" s="6">
        <f>B22</f>
        <v>2219.4940594747154</v>
      </c>
    </row>
    <row r="12" spans="1:53" outlineLevel="1" x14ac:dyDescent="0.35">
      <c r="A12" s="6" t="s">
        <v>26</v>
      </c>
      <c r="B12" s="6">
        <f>'Results - raw data ReCiPe (E)'!CC7</f>
        <v>2656.784936094527</v>
      </c>
      <c r="AB12" s="6" t="s">
        <v>119</v>
      </c>
      <c r="BA12" s="6">
        <f>SUM(Z24:Z35)</f>
        <v>580.04942097986282</v>
      </c>
    </row>
    <row r="13" spans="1:53" outlineLevel="1" x14ac:dyDescent="0.35">
      <c r="A13" s="6" t="s">
        <v>28</v>
      </c>
      <c r="B13" s="6">
        <f>'Results - raw data ReCiPe (E)'!CC8</f>
        <v>2445.1830978739772</v>
      </c>
      <c r="AB13" s="6" t="s">
        <v>120</v>
      </c>
      <c r="BA13" s="6">
        <f>Z36</f>
        <v>21.40281274934447</v>
      </c>
    </row>
    <row r="14" spans="1:53" outlineLevel="1" x14ac:dyDescent="0.35">
      <c r="A14" s="6" t="s">
        <v>29</v>
      </c>
      <c r="B14" s="6">
        <f>'Results - raw data ReCiPe (E)'!CC9</f>
        <v>1458.226901918091</v>
      </c>
      <c r="AB14" s="6" t="s">
        <v>121</v>
      </c>
      <c r="AC14" s="6">
        <f>B37</f>
        <v>1037.493275938863</v>
      </c>
      <c r="AF14" s="6">
        <f>E37</f>
        <v>1027.697547156306</v>
      </c>
      <c r="AI14" s="6">
        <f>H37</f>
        <v>1025.202036574439</v>
      </c>
      <c r="AL14" s="6">
        <f>K37</f>
        <v>1025.3040187287079</v>
      </c>
      <c r="AO14" s="6">
        <f>N37</f>
        <v>1030.1790192937119</v>
      </c>
      <c r="AR14" s="6">
        <f>Q37</f>
        <v>1035.5510426582489</v>
      </c>
      <c r="AU14" s="6">
        <f>T37</f>
        <v>1022.5109258357249</v>
      </c>
      <c r="AX14" s="6">
        <f>W37</f>
        <v>1007.600052632234</v>
      </c>
      <c r="BA14" s="6">
        <f>Z37</f>
        <v>987.38631762704017</v>
      </c>
    </row>
    <row r="15" spans="1:53" outlineLevel="1" x14ac:dyDescent="0.35">
      <c r="A15" s="6" t="s">
        <v>31</v>
      </c>
      <c r="B15" s="6">
        <f>'Results - raw data ReCiPe (E)'!CC10</f>
        <v>1036.4455748921571</v>
      </c>
      <c r="AB15" s="6" t="s">
        <v>122</v>
      </c>
      <c r="AC15" s="6">
        <f>B40+B39</f>
        <v>34250.087218896842</v>
      </c>
      <c r="AD15" s="6">
        <f t="shared" ref="AD15:BA15" si="0">C40+C39</f>
        <v>34218.56778611405</v>
      </c>
      <c r="AE15" s="6">
        <f t="shared" si="0"/>
        <v>34187.206709616687</v>
      </c>
      <c r="AF15" s="6">
        <f t="shared" si="0"/>
        <v>34129.026179517758</v>
      </c>
      <c r="AG15" s="6">
        <f t="shared" si="0"/>
        <v>34098.098951609783</v>
      </c>
      <c r="AH15" s="6">
        <f t="shared" si="0"/>
        <v>34067.170621471523</v>
      </c>
      <c r="AI15" s="6">
        <f t="shared" si="0"/>
        <v>36652.792163409693</v>
      </c>
      <c r="AJ15" s="6">
        <f t="shared" si="0"/>
        <v>39234.925875793131</v>
      </c>
      <c r="AK15" s="6">
        <f t="shared" si="0"/>
        <v>41796.15005611298</v>
      </c>
      <c r="AL15" s="6">
        <f t="shared" si="0"/>
        <v>44375.240252589741</v>
      </c>
      <c r="AM15" s="6">
        <f t="shared" si="0"/>
        <v>46950.866049747638</v>
      </c>
      <c r="AN15" s="6">
        <f t="shared" si="0"/>
        <v>51536.539565813597</v>
      </c>
      <c r="AO15" s="6">
        <f t="shared" si="0"/>
        <v>56131.949131323927</v>
      </c>
      <c r="AP15" s="6">
        <f t="shared" si="0"/>
        <v>60733.967083794632</v>
      </c>
      <c r="AQ15" s="6">
        <f t="shared" si="0"/>
        <v>65348.643071347557</v>
      </c>
      <c r="AR15" s="6">
        <f t="shared" si="0"/>
        <v>69973.044542118281</v>
      </c>
      <c r="AS15" s="6">
        <f t="shared" si="0"/>
        <v>70753.251525696367</v>
      </c>
      <c r="AT15" s="6">
        <f t="shared" si="0"/>
        <v>71533.326766455531</v>
      </c>
      <c r="AU15" s="6">
        <f t="shared" si="0"/>
        <v>72310.55495966773</v>
      </c>
      <c r="AV15" s="6">
        <f t="shared" si="0"/>
        <v>73090.690856536341</v>
      </c>
      <c r="AW15" s="6">
        <f t="shared" si="0"/>
        <v>73870.917099097816</v>
      </c>
      <c r="AX15" s="6">
        <f t="shared" si="0"/>
        <v>72250.276918973395</v>
      </c>
      <c r="AY15" s="6">
        <f t="shared" si="0"/>
        <v>70432.872089330616</v>
      </c>
      <c r="AZ15" s="6">
        <f t="shared" si="0"/>
        <v>68609.55768213296</v>
      </c>
      <c r="BA15" s="6">
        <f t="shared" si="0"/>
        <v>66780.276200489709</v>
      </c>
    </row>
    <row r="16" spans="1:53" outlineLevel="1" x14ac:dyDescent="0.35">
      <c r="A16" s="6" t="s">
        <v>34</v>
      </c>
      <c r="B16" s="6">
        <f>'Results - raw data ReCiPe (E)'!CC11</f>
        <v>691.98724990181552</v>
      </c>
      <c r="AB16" s="6" t="s">
        <v>123</v>
      </c>
      <c r="AC16" s="6">
        <f>B38</f>
        <v>2743.9771892642539</v>
      </c>
      <c r="AD16" s="6">
        <f t="shared" ref="AD16:BA16" si="1">C38</f>
        <v>2737.3661407894861</v>
      </c>
      <c r="AE16" s="6">
        <f t="shared" si="1"/>
        <v>2730.7728764204148</v>
      </c>
      <c r="AF16" s="6">
        <f t="shared" si="1"/>
        <v>2721.7527406765089</v>
      </c>
      <c r="AG16" s="6">
        <f t="shared" si="1"/>
        <v>2715.199466561869</v>
      </c>
      <c r="AH16" s="6">
        <f t="shared" si="1"/>
        <v>2708.6480619983449</v>
      </c>
      <c r="AI16" s="6">
        <f t="shared" si="1"/>
        <v>2901.0930184483618</v>
      </c>
      <c r="AJ16" s="6">
        <f t="shared" si="1"/>
        <v>3092.7286295864442</v>
      </c>
      <c r="AK16" s="6">
        <f t="shared" si="1"/>
        <v>3281.9814984845921</v>
      </c>
      <c r="AL16" s="6">
        <f t="shared" si="1"/>
        <v>3472.3015125199281</v>
      </c>
      <c r="AM16" s="6">
        <f t="shared" si="1"/>
        <v>3661.8152926740072</v>
      </c>
      <c r="AN16" s="6">
        <f t="shared" si="1"/>
        <v>4002.9824095637841</v>
      </c>
      <c r="AO16" s="6">
        <f t="shared" si="1"/>
        <v>4344.1070893422648</v>
      </c>
      <c r="AP16" s="6">
        <f t="shared" si="1"/>
        <v>4684.8958807889321</v>
      </c>
      <c r="AQ16" s="6">
        <f t="shared" si="1"/>
        <v>5025.9130293415083</v>
      </c>
      <c r="AR16" s="6">
        <f t="shared" si="1"/>
        <v>5366.8785654933899</v>
      </c>
      <c r="AS16" s="6">
        <f t="shared" si="1"/>
        <v>5419.7539496457648</v>
      </c>
      <c r="AT16" s="6">
        <f t="shared" si="1"/>
        <v>5472.5049329524281</v>
      </c>
      <c r="AU16" s="6">
        <f t="shared" si="1"/>
        <v>5524.8709599259801</v>
      </c>
      <c r="AV16" s="6">
        <f t="shared" si="1"/>
        <v>5577.3949781239262</v>
      </c>
      <c r="AW16" s="6">
        <f t="shared" si="1"/>
        <v>5629.8089703054502</v>
      </c>
      <c r="AX16" s="6">
        <f t="shared" si="1"/>
        <v>5497.8173591778768</v>
      </c>
      <c r="AY16" s="6">
        <f t="shared" si="1"/>
        <v>5351.7561811989463</v>
      </c>
      <c r="AZ16" s="6">
        <f t="shared" si="1"/>
        <v>5205.7941815858294</v>
      </c>
      <c r="BA16" s="6">
        <f t="shared" si="1"/>
        <v>5059.9281735392342</v>
      </c>
    </row>
    <row r="17" spans="1:53" outlineLevel="1" x14ac:dyDescent="0.35">
      <c r="A17" s="6" t="s">
        <v>36</v>
      </c>
      <c r="B17" s="6">
        <f>'Results - raw data ReCiPe (E)'!CC12</f>
        <v>596.53688010329222</v>
      </c>
      <c r="AB17" s="6" t="s">
        <v>124</v>
      </c>
      <c r="AC17" s="6">
        <f>-$AC$7*$AC$6</f>
        <v>-100000</v>
      </c>
      <c r="AD17" s="6">
        <f t="shared" ref="AD17:BA17" si="2">-$AC$7*$AC$6</f>
        <v>-100000</v>
      </c>
      <c r="AE17" s="6">
        <f t="shared" si="2"/>
        <v>-100000</v>
      </c>
      <c r="AF17" s="6">
        <f t="shared" si="2"/>
        <v>-100000</v>
      </c>
      <c r="AG17" s="6">
        <f t="shared" si="2"/>
        <v>-100000</v>
      </c>
      <c r="AH17" s="6">
        <f t="shared" si="2"/>
        <v>-100000</v>
      </c>
      <c r="AI17" s="6">
        <f t="shared" si="2"/>
        <v>-100000</v>
      </c>
      <c r="AJ17" s="6">
        <f t="shared" si="2"/>
        <v>-100000</v>
      </c>
      <c r="AK17" s="6">
        <f t="shared" si="2"/>
        <v>-100000</v>
      </c>
      <c r="AL17" s="6">
        <f t="shared" si="2"/>
        <v>-100000</v>
      </c>
      <c r="AM17" s="6">
        <f t="shared" si="2"/>
        <v>-100000</v>
      </c>
      <c r="AN17" s="6">
        <f t="shared" si="2"/>
        <v>-100000</v>
      </c>
      <c r="AO17" s="6">
        <f t="shared" si="2"/>
        <v>-100000</v>
      </c>
      <c r="AP17" s="6">
        <f t="shared" si="2"/>
        <v>-100000</v>
      </c>
      <c r="AQ17" s="6">
        <f t="shared" si="2"/>
        <v>-100000</v>
      </c>
      <c r="AR17" s="6">
        <f t="shared" si="2"/>
        <v>-100000</v>
      </c>
      <c r="AS17" s="6">
        <f t="shared" si="2"/>
        <v>-100000</v>
      </c>
      <c r="AT17" s="6">
        <f t="shared" si="2"/>
        <v>-100000</v>
      </c>
      <c r="AU17" s="6">
        <f t="shared" si="2"/>
        <v>-100000</v>
      </c>
      <c r="AV17" s="6">
        <f t="shared" si="2"/>
        <v>-100000</v>
      </c>
      <c r="AW17" s="6">
        <f t="shared" si="2"/>
        <v>-100000</v>
      </c>
      <c r="AX17" s="6">
        <f t="shared" si="2"/>
        <v>-100000</v>
      </c>
      <c r="AY17" s="6">
        <f t="shared" si="2"/>
        <v>-100000</v>
      </c>
      <c r="AZ17" s="6">
        <f t="shared" si="2"/>
        <v>-100000</v>
      </c>
      <c r="BA17" s="6">
        <f t="shared" si="2"/>
        <v>-100000</v>
      </c>
    </row>
    <row r="18" spans="1:53" outlineLevel="1" x14ac:dyDescent="0.35">
      <c r="A18" s="6" t="s">
        <v>38</v>
      </c>
      <c r="B18" s="6">
        <f>'Results - raw data ReCiPe (E)'!CC13</f>
        <v>5345.6598221409758</v>
      </c>
      <c r="AB18" s="23" t="s">
        <v>125</v>
      </c>
      <c r="AC18" s="17">
        <f>SUM(AC10:AC17)</f>
        <v>-31387.139168589609</v>
      </c>
      <c r="AD18" s="17">
        <f t="shared" ref="AD18:BA18" si="3">SUM(AD10:AD17)</f>
        <v>-63044.066073096466</v>
      </c>
      <c r="AE18" s="17">
        <f t="shared" si="3"/>
        <v>-63082.020413962899</v>
      </c>
      <c r="AF18" s="17">
        <f t="shared" si="3"/>
        <v>-62121.523532649429</v>
      </c>
      <c r="AG18" s="17">
        <f t="shared" si="3"/>
        <v>-63186.701581828347</v>
      </c>
      <c r="AH18" s="17">
        <f t="shared" si="3"/>
        <v>-63224.181316530128</v>
      </c>
      <c r="AI18" s="17">
        <f t="shared" si="3"/>
        <v>-59420.912781567509</v>
      </c>
      <c r="AJ18" s="17">
        <f t="shared" si="3"/>
        <v>-57672.345494620422</v>
      </c>
      <c r="AK18" s="17">
        <f t="shared" si="3"/>
        <v>-54921.868445402426</v>
      </c>
      <c r="AL18" s="17">
        <f t="shared" si="3"/>
        <v>-51127.154216161623</v>
      </c>
      <c r="AM18" s="17">
        <f t="shared" si="3"/>
        <v>-49387.318657578355</v>
      </c>
      <c r="AN18" s="17">
        <f t="shared" si="3"/>
        <v>-44460.478024622622</v>
      </c>
      <c r="AO18" s="17">
        <f t="shared" si="3"/>
        <v>-38493.764760040096</v>
      </c>
      <c r="AP18" s="17">
        <f t="shared" si="3"/>
        <v>-34581.137035416439</v>
      </c>
      <c r="AQ18" s="17">
        <f t="shared" si="3"/>
        <v>-29625.443899310936</v>
      </c>
      <c r="AR18" s="17">
        <f t="shared" si="3"/>
        <v>-23624.525849730082</v>
      </c>
      <c r="AS18" s="17">
        <f t="shared" si="3"/>
        <v>-23826.994524657872</v>
      </c>
      <c r="AT18" s="17">
        <f t="shared" si="3"/>
        <v>-22994.168300592035</v>
      </c>
      <c r="AU18" s="17">
        <f t="shared" si="3"/>
        <v>-21142.063154570569</v>
      </c>
      <c r="AV18" s="17">
        <f t="shared" si="3"/>
        <v>-21331.914165339738</v>
      </c>
      <c r="AW18" s="17">
        <f t="shared" si="3"/>
        <v>-20499.273930596741</v>
      </c>
      <c r="AX18" s="17">
        <f t="shared" si="3"/>
        <v>-21244.305669216497</v>
      </c>
      <c r="AY18" s="17">
        <f t="shared" si="3"/>
        <v>-24215.37172947044</v>
      </c>
      <c r="AZ18" s="17">
        <f t="shared" si="3"/>
        <v>-26184.648136281205</v>
      </c>
      <c r="BA18" s="17">
        <f t="shared" si="3"/>
        <v>-26570.957074614809</v>
      </c>
    </row>
    <row r="19" spans="1:53" outlineLevel="1" x14ac:dyDescent="0.35">
      <c r="A19" s="6" t="s">
        <v>39</v>
      </c>
      <c r="B19" s="6">
        <f>'Results - raw data ReCiPe (E)'!CC14</f>
        <v>10336.805358145069</v>
      </c>
    </row>
    <row r="20" spans="1:53" outlineLevel="1" x14ac:dyDescent="0.35">
      <c r="A20" s="6" t="s">
        <v>41</v>
      </c>
      <c r="B20" s="6">
        <f>'Results - raw data ReCiPe (E)'!CC15</f>
        <v>97.949429025859729</v>
      </c>
    </row>
    <row r="21" spans="1:53" outlineLevel="1" x14ac:dyDescent="0.35">
      <c r="A21" s="6" t="s">
        <v>43</v>
      </c>
      <c r="B21" s="6">
        <f>'Results - raw data ReCiPe (E)'!CC16</f>
        <v>496.58841906124889</v>
      </c>
      <c r="AB21" s="187"/>
      <c r="AC21" s="187"/>
      <c r="AD21" s="187"/>
      <c r="AE21" s="187"/>
      <c r="AF21" s="187"/>
      <c r="AG21" s="187"/>
      <c r="AH21" s="187"/>
      <c r="AI21" s="187"/>
      <c r="AJ21" s="187"/>
      <c r="AK21" s="187"/>
      <c r="AL21" s="187"/>
      <c r="AM21" s="187"/>
      <c r="AN21" s="187"/>
      <c r="AO21" s="187"/>
      <c r="AP21" s="187"/>
      <c r="AQ21" s="187"/>
      <c r="AR21" s="187"/>
      <c r="AS21" s="187"/>
      <c r="AT21" s="187"/>
      <c r="AU21" s="187"/>
      <c r="AV21" s="187"/>
      <c r="AW21" s="187"/>
      <c r="AX21" s="187"/>
      <c r="AY21" s="187"/>
      <c r="AZ21" s="187"/>
      <c r="BA21" s="187"/>
    </row>
    <row r="22" spans="1:53" outlineLevel="1" x14ac:dyDescent="0.35">
      <c r="A22" s="6" t="s">
        <v>44</v>
      </c>
      <c r="B22" s="6">
        <f>'Results - raw data ReCiPe (E)'!CC17*AC7*AC8</f>
        <v>2219.4940594747154</v>
      </c>
      <c r="AB22" s="187"/>
      <c r="AC22" s="187"/>
      <c r="AD22" s="187"/>
      <c r="AE22" s="187"/>
      <c r="AF22" s="187"/>
      <c r="AG22" s="187"/>
      <c r="AH22" s="187"/>
      <c r="AI22" s="187"/>
      <c r="AJ22" s="187"/>
      <c r="AK22" s="187"/>
      <c r="AL22" s="187"/>
      <c r="AM22" s="187"/>
      <c r="AN22" s="187"/>
      <c r="AO22" s="187"/>
      <c r="AP22" s="187"/>
      <c r="AQ22" s="187"/>
      <c r="AR22" s="187"/>
      <c r="AS22" s="187"/>
      <c r="AT22" s="187"/>
      <c r="AU22" s="187"/>
      <c r="AV22" s="187"/>
      <c r="AW22" s="187"/>
      <c r="AX22" s="187"/>
      <c r="AY22" s="187"/>
      <c r="AZ22" s="187"/>
      <c r="BA22" s="187"/>
    </row>
    <row r="23" spans="1:53" outlineLevel="1" x14ac:dyDescent="0.35">
      <c r="A23" s="6" t="s">
        <v>757</v>
      </c>
      <c r="B23" s="6">
        <f>'Results - raw data ReCiPe (E)'!CC18*AC8*AC7</f>
        <v>1686.3007226207299</v>
      </c>
      <c r="AB23" s="187"/>
      <c r="AC23" s="187"/>
      <c r="AD23" s="187"/>
      <c r="AE23" s="187"/>
      <c r="AF23" s="187"/>
      <c r="AG23" s="187"/>
      <c r="AH23" s="187"/>
      <c r="AI23" s="187"/>
      <c r="AJ23" s="187"/>
      <c r="AK23" s="187"/>
      <c r="AL23" s="187"/>
      <c r="AM23" s="187"/>
      <c r="AN23" s="187"/>
      <c r="AO23" s="187"/>
      <c r="AP23" s="187"/>
      <c r="AQ23" s="187"/>
      <c r="AR23" s="187"/>
      <c r="AS23" s="187"/>
      <c r="AT23" s="187"/>
      <c r="AU23" s="187"/>
      <c r="AV23" s="187"/>
      <c r="AW23" s="187"/>
      <c r="AX23" s="187"/>
      <c r="AY23" s="187"/>
      <c r="AZ23" s="187"/>
      <c r="BA23" s="187"/>
    </row>
    <row r="24" spans="1:53" outlineLevel="1" x14ac:dyDescent="0.35">
      <c r="A24" s="6" t="s">
        <v>22</v>
      </c>
      <c r="Z24" s="6">
        <f>'Results - raw data ReCiPe (E)'!DA19</f>
        <v>17.843500032398001</v>
      </c>
      <c r="AB24" s="187"/>
      <c r="AC24" s="187"/>
      <c r="AD24" s="187"/>
      <c r="AE24" s="187"/>
      <c r="AF24" s="187"/>
      <c r="AG24" s="187"/>
      <c r="AH24" s="187"/>
      <c r="AI24" s="187"/>
      <c r="AJ24" s="187"/>
      <c r="AK24" s="187"/>
      <c r="AL24" s="187"/>
      <c r="AM24" s="187"/>
      <c r="AN24" s="187"/>
      <c r="AO24" s="187"/>
      <c r="AP24" s="187"/>
      <c r="AQ24" s="187"/>
      <c r="AR24" s="187"/>
      <c r="AS24" s="187"/>
      <c r="AT24" s="187"/>
      <c r="AU24" s="187"/>
      <c r="AV24" s="187"/>
      <c r="AW24" s="187"/>
      <c r="AX24" s="187"/>
      <c r="AY24" s="187"/>
      <c r="AZ24" s="187"/>
      <c r="BA24" s="187"/>
    </row>
    <row r="25" spans="1:53" outlineLevel="1" x14ac:dyDescent="0.35">
      <c r="A25" s="6" t="s">
        <v>24</v>
      </c>
      <c r="Z25" s="6">
        <f>'Results - raw data ReCiPe (E)'!DA20</f>
        <v>6.6306644676033351</v>
      </c>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row>
    <row r="26" spans="1:53" outlineLevel="1" x14ac:dyDescent="0.35">
      <c r="A26" s="6" t="s">
        <v>25</v>
      </c>
      <c r="Z26" s="6">
        <f>'Results - raw data ReCiPe (E)'!DA21</f>
        <v>23.29547196294692</v>
      </c>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row>
    <row r="27" spans="1:53" outlineLevel="1" x14ac:dyDescent="0.35">
      <c r="A27" s="6" t="s">
        <v>27</v>
      </c>
      <c r="Z27" s="6">
        <f>'Results - raw data ReCiPe (E)'!DA22</f>
        <v>6.6915547577702146</v>
      </c>
      <c r="AB27" s="187"/>
      <c r="AC27" s="187"/>
      <c r="AD27" s="187"/>
      <c r="AE27" s="187"/>
      <c r="AF27" s="187"/>
      <c r="AG27" s="187"/>
      <c r="AH27" s="187"/>
      <c r="AI27" s="187"/>
      <c r="AJ27" s="187"/>
      <c r="AK27" s="187"/>
      <c r="AL27" s="187"/>
      <c r="AM27" s="187"/>
      <c r="AN27" s="187"/>
      <c r="AO27" s="187"/>
      <c r="AP27" s="187"/>
      <c r="AQ27" s="187"/>
      <c r="AR27" s="187"/>
      <c r="AS27" s="187"/>
      <c r="AT27" s="187"/>
      <c r="AU27" s="187"/>
      <c r="AV27" s="187"/>
      <c r="AW27" s="187"/>
      <c r="AX27" s="187"/>
      <c r="AY27" s="187"/>
      <c r="AZ27" s="187"/>
      <c r="BA27" s="187"/>
    </row>
    <row r="28" spans="1:53" outlineLevel="1" x14ac:dyDescent="0.35">
      <c r="A28" s="6" t="s">
        <v>30</v>
      </c>
      <c r="Z28" s="6">
        <f>'Results - raw data ReCiPe (E)'!DA23</f>
        <v>23.26475923404065</v>
      </c>
      <c r="AB28" s="187"/>
      <c r="AC28" s="187"/>
      <c r="AD28" s="187"/>
      <c r="AE28" s="187"/>
      <c r="AF28" s="187"/>
      <c r="AG28" s="187"/>
      <c r="AH28" s="187"/>
      <c r="AI28" s="187"/>
      <c r="AJ28" s="187"/>
      <c r="AK28" s="187"/>
      <c r="AL28" s="187"/>
      <c r="AM28" s="187"/>
      <c r="AN28" s="187"/>
      <c r="AO28" s="187"/>
      <c r="AP28" s="187"/>
      <c r="AQ28" s="187"/>
      <c r="AR28" s="187"/>
      <c r="AS28" s="187"/>
      <c r="AT28" s="187"/>
      <c r="AU28" s="187"/>
      <c r="AV28" s="187"/>
      <c r="AW28" s="187"/>
      <c r="AX28" s="187"/>
      <c r="AY28" s="187"/>
      <c r="AZ28" s="187"/>
      <c r="BA28" s="187"/>
    </row>
    <row r="29" spans="1:53" outlineLevel="1" x14ac:dyDescent="0.35">
      <c r="A29" s="6" t="s">
        <v>32</v>
      </c>
      <c r="Z29" s="6">
        <f>'Results - raw data ReCiPe (E)'!DA24</f>
        <v>0.84622886278788056</v>
      </c>
      <c r="AB29" s="187"/>
      <c r="AC29" s="187"/>
      <c r="AD29" s="187"/>
      <c r="AE29" s="187"/>
      <c r="AF29" s="187"/>
      <c r="AG29" s="187"/>
      <c r="AH29" s="187"/>
      <c r="AI29" s="187"/>
      <c r="AJ29" s="187"/>
      <c r="AK29" s="187"/>
      <c r="AL29" s="187"/>
      <c r="AM29" s="187"/>
      <c r="AN29" s="187"/>
      <c r="AO29" s="187"/>
      <c r="AP29" s="187"/>
      <c r="AQ29" s="187"/>
      <c r="AR29" s="187"/>
      <c r="AS29" s="187"/>
      <c r="AT29" s="187"/>
      <c r="AU29" s="187"/>
      <c r="AV29" s="187"/>
      <c r="AW29" s="187"/>
      <c r="AX29" s="187"/>
      <c r="AY29" s="187"/>
      <c r="AZ29" s="187"/>
      <c r="BA29" s="187"/>
    </row>
    <row r="30" spans="1:53" outlineLevel="1" x14ac:dyDescent="0.35">
      <c r="A30" s="6" t="s">
        <v>33</v>
      </c>
      <c r="Z30" s="6">
        <f>'Results - raw data ReCiPe (E)'!DA25</f>
        <v>5.5443723125488624</v>
      </c>
      <c r="AB30" s="187"/>
      <c r="AC30" s="187"/>
      <c r="AD30" s="187"/>
      <c r="AE30" s="187"/>
      <c r="AF30" s="187"/>
      <c r="AG30" s="187"/>
      <c r="AH30" s="187"/>
      <c r="AI30" s="187"/>
      <c r="AJ30" s="187"/>
      <c r="AK30" s="187"/>
      <c r="AL30" s="187"/>
      <c r="AM30" s="187"/>
      <c r="AN30" s="187"/>
      <c r="AO30" s="187"/>
      <c r="AP30" s="187"/>
      <c r="AQ30" s="187"/>
      <c r="AR30" s="187"/>
      <c r="AS30" s="187"/>
      <c r="AT30" s="187"/>
      <c r="AU30" s="187"/>
      <c r="AV30" s="187"/>
      <c r="AW30" s="187"/>
      <c r="AX30" s="187"/>
      <c r="AY30" s="187"/>
      <c r="AZ30" s="187"/>
      <c r="BA30" s="187"/>
    </row>
    <row r="31" spans="1:53" outlineLevel="1" x14ac:dyDescent="0.35">
      <c r="A31" s="6" t="s">
        <v>35</v>
      </c>
      <c r="Z31" s="6">
        <f>'Results - raw data ReCiPe (E)'!DA26</f>
        <v>11.08874462509772</v>
      </c>
      <c r="AB31" s="187"/>
      <c r="AC31" s="187"/>
      <c r="AD31" s="187"/>
      <c r="AE31" s="187"/>
      <c r="AF31" s="187"/>
      <c r="AG31" s="187"/>
      <c r="AH31" s="187"/>
      <c r="AI31" s="187"/>
      <c r="AJ31" s="187"/>
      <c r="AK31" s="187"/>
      <c r="AL31" s="187"/>
      <c r="AM31" s="187"/>
      <c r="AN31" s="187"/>
      <c r="AO31" s="187"/>
      <c r="AP31" s="187"/>
      <c r="AQ31" s="187"/>
      <c r="AR31" s="187"/>
      <c r="AS31" s="187"/>
      <c r="AT31" s="187"/>
      <c r="AU31" s="187"/>
      <c r="AV31" s="187"/>
      <c r="AW31" s="187"/>
      <c r="AX31" s="187"/>
      <c r="AY31" s="187"/>
      <c r="AZ31" s="187"/>
      <c r="BA31" s="187"/>
    </row>
    <row r="32" spans="1:53" outlineLevel="1" x14ac:dyDescent="0.35">
      <c r="A32" s="6" t="s">
        <v>37</v>
      </c>
      <c r="Z32" s="6">
        <f>'Results - raw data ReCiPe (E)'!DA27</f>
        <v>12.818247429642589</v>
      </c>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row>
    <row r="33" spans="1:30" outlineLevel="1" x14ac:dyDescent="0.35">
      <c r="A33" s="6" t="s">
        <v>40</v>
      </c>
      <c r="Z33" s="6">
        <f>'Results - raw data ReCiPe (E)'!DA28</f>
        <v>216.27830743506141</v>
      </c>
    </row>
    <row r="34" spans="1:30" outlineLevel="1" x14ac:dyDescent="0.35">
      <c r="A34" s="6" t="s">
        <v>42</v>
      </c>
      <c r="Z34" s="6">
        <f>'Results - raw data ReCiPe (E)'!DA29</f>
        <v>20.36988039435165</v>
      </c>
    </row>
    <row r="35" spans="1:30" outlineLevel="1" x14ac:dyDescent="0.35">
      <c r="A35" s="6" t="s">
        <v>115</v>
      </c>
      <c r="Z35" s="6">
        <f>'Results - raw data ReCiPe (E)'!DA30</f>
        <v>235.3776894656136</v>
      </c>
    </row>
    <row r="36" spans="1:30" outlineLevel="1" x14ac:dyDescent="0.35">
      <c r="A36" s="6" t="s">
        <v>45</v>
      </c>
      <c r="Z36" s="6">
        <f>'Results - raw data ReCiPe (E)'!DA31*AC7*AC8</f>
        <v>21.40281274934447</v>
      </c>
    </row>
    <row r="37" spans="1:30" outlineLevel="1" x14ac:dyDescent="0.35">
      <c r="A37" s="6" t="s">
        <v>116</v>
      </c>
      <c r="B37" s="6">
        <f>'Results - raw data ReCiPe (E)'!CC32</f>
        <v>1037.493275938863</v>
      </c>
      <c r="C37" s="6">
        <f>'Results - raw data ReCiPe (E)'!CD32</f>
        <v>1035.7399576388721</v>
      </c>
      <c r="D37" s="6">
        <f>'Results - raw data ReCiPe (E)'!CE32</f>
        <v>1034.0056038228749</v>
      </c>
      <c r="E37" s="6">
        <f>'Results - raw data ReCiPe (E)'!CF32</f>
        <v>1027.697547156306</v>
      </c>
      <c r="F37" s="6">
        <f>'Results - raw data ReCiPe (E)'!CG32</f>
        <v>1025.9908010251111</v>
      </c>
      <c r="G37" s="6">
        <f>'Results - raw data ReCiPe (E)'!CH32</f>
        <v>1024.2916076393731</v>
      </c>
      <c r="H37" s="6">
        <f>'Results - raw data ReCiPe (E)'!CI32</f>
        <v>1025.202036574439</v>
      </c>
      <c r="I37" s="6">
        <f>'Results - raw data ReCiPe (E)'!CJ32</f>
        <v>1026.128487412376</v>
      </c>
      <c r="J37" s="6">
        <f>'Results - raw data ReCiPe (E)'!CK32</f>
        <v>1024.3107847544079</v>
      </c>
      <c r="K37" s="6">
        <f>'Results - raw data ReCiPe (E)'!CL32</f>
        <v>1025.3040187287079</v>
      </c>
      <c r="L37" s="6">
        <f>'Results - raw data ReCiPe (E)'!CM32</f>
        <v>1026.3085715144889</v>
      </c>
      <c r="M37" s="6">
        <f>'Results - raw data ReCiPe (E)'!CN32</f>
        <v>1028.2349760279301</v>
      </c>
      <c r="N37" s="6">
        <f>'Results - raw data ReCiPe (E)'!CO32</f>
        <v>1030.1790192937119</v>
      </c>
      <c r="O37" s="6">
        <f>'Results - raw data ReCiPe (E)'!CP32</f>
        <v>1031.5313030359559</v>
      </c>
      <c r="P37" s="6">
        <f>'Results - raw data ReCiPe (E)'!CQ32</f>
        <v>1033.5340865339131</v>
      </c>
      <c r="Q37" s="6">
        <f>'Results - raw data ReCiPe (E)'!CR32</f>
        <v>1035.5510426582489</v>
      </c>
      <c r="R37" s="6">
        <f>'Results - raw data ReCiPe (E)'!CS32</f>
        <v>1031.423766847804</v>
      </c>
      <c r="S37" s="6">
        <f>'Results - raw data ReCiPe (E)'!CT32</f>
        <v>1027.2855055101479</v>
      </c>
      <c r="T37" s="6">
        <f>'Results - raw data ReCiPe (E)'!CU32</f>
        <v>1022.5109258357249</v>
      </c>
      <c r="U37" s="6">
        <f>'Results - raw data ReCiPe (E)'!CV32</f>
        <v>1018.337256042481</v>
      </c>
      <c r="V37" s="6">
        <f>'Results - raw data ReCiPe (E)'!CW32</f>
        <v>1014.13814400604</v>
      </c>
      <c r="W37" s="6">
        <f>'Results - raw data ReCiPe (E)'!CX32</f>
        <v>1007.600052632234</v>
      </c>
      <c r="X37" s="6">
        <f>'Results - raw data ReCiPe (E)'!CY32</f>
        <v>1000.892990260865</v>
      </c>
      <c r="Y37" s="6">
        <f>'Results - raw data ReCiPe (E)'!CZ32</f>
        <v>994.15531261359172</v>
      </c>
      <c r="Z37" s="6">
        <f>'Results - raw data ReCiPe (E)'!DA32</f>
        <v>987.38631762704017</v>
      </c>
    </row>
    <row r="38" spans="1:30" outlineLevel="1" x14ac:dyDescent="0.35">
      <c r="A38" s="6" t="s">
        <v>758</v>
      </c>
      <c r="B38" s="6">
        <f>'Results - raw data ReCiPe (E)'!CC33*$AC$7</f>
        <v>2743.9771892642539</v>
      </c>
      <c r="C38" s="6">
        <f>'Results - raw data ReCiPe (E)'!CD33*$AC$7</f>
        <v>2737.3661407894861</v>
      </c>
      <c r="D38" s="6">
        <f>'Results - raw data ReCiPe (E)'!CE33*$AC$7</f>
        <v>2730.7728764204148</v>
      </c>
      <c r="E38" s="6">
        <f>'Results - raw data ReCiPe (E)'!CF33*$AC$7</f>
        <v>2721.7527406765089</v>
      </c>
      <c r="F38" s="6">
        <f>'Results - raw data ReCiPe (E)'!CG33*$AC$7</f>
        <v>2715.199466561869</v>
      </c>
      <c r="G38" s="6">
        <f>'Results - raw data ReCiPe (E)'!CH33*$AC$7</f>
        <v>2708.6480619983449</v>
      </c>
      <c r="H38" s="6">
        <f>'Results - raw data ReCiPe (E)'!CI33*$AC$7</f>
        <v>2901.0930184483618</v>
      </c>
      <c r="I38" s="6">
        <f>'Results - raw data ReCiPe (E)'!CJ33*$AC$7</f>
        <v>3092.7286295864442</v>
      </c>
      <c r="J38" s="6">
        <f>'Results - raw data ReCiPe (E)'!CK33*$AC$7</f>
        <v>3281.9814984845921</v>
      </c>
      <c r="K38" s="6">
        <f>'Results - raw data ReCiPe (E)'!CL33*$AC$7</f>
        <v>3472.3015125199281</v>
      </c>
      <c r="L38" s="6">
        <f>'Results - raw data ReCiPe (E)'!CM33*$AC$7</f>
        <v>3661.8152926740072</v>
      </c>
      <c r="M38" s="6">
        <f>'Results - raw data ReCiPe (E)'!CN33*$AC$7</f>
        <v>4002.9824095637841</v>
      </c>
      <c r="N38" s="6">
        <f>'Results - raw data ReCiPe (E)'!CO33*$AC$7</f>
        <v>4344.1070893422648</v>
      </c>
      <c r="O38" s="6">
        <f>'Results - raw data ReCiPe (E)'!CP33*$AC$7</f>
        <v>4684.8958807889321</v>
      </c>
      <c r="P38" s="6">
        <f>'Results - raw data ReCiPe (E)'!CQ33*$AC$7</f>
        <v>5025.9130293415083</v>
      </c>
      <c r="Q38" s="6">
        <f>'Results - raw data ReCiPe (E)'!CR33*$AC$7</f>
        <v>5366.8785654933899</v>
      </c>
      <c r="R38" s="6">
        <f>'Results - raw data ReCiPe (E)'!CS33*$AC$7</f>
        <v>5419.7539496457648</v>
      </c>
      <c r="S38" s="6">
        <f>'Results - raw data ReCiPe (E)'!CT33*$AC$7</f>
        <v>5472.5049329524281</v>
      </c>
      <c r="T38" s="6">
        <f>'Results - raw data ReCiPe (E)'!CU33*$AC$7</f>
        <v>5524.8709599259801</v>
      </c>
      <c r="U38" s="6">
        <f>'Results - raw data ReCiPe (E)'!CV33*$AC$7</f>
        <v>5577.3949781239262</v>
      </c>
      <c r="V38" s="6">
        <f>'Results - raw data ReCiPe (E)'!CW33*$AC$7</f>
        <v>5629.8089703054502</v>
      </c>
      <c r="W38" s="6">
        <f>'Results - raw data ReCiPe (E)'!CX33*$AC$7</f>
        <v>5497.8173591778768</v>
      </c>
      <c r="X38" s="6">
        <f>'Results - raw data ReCiPe (E)'!CY33*$AC$7</f>
        <v>5351.7561811989463</v>
      </c>
      <c r="Y38" s="6">
        <f>'Results - raw data ReCiPe (E)'!CZ33*$AC$7</f>
        <v>5205.7941815858294</v>
      </c>
      <c r="Z38" s="6">
        <f>'Results - raw data ReCiPe (E)'!DA33*$AC$7</f>
        <v>5059.9281735392342</v>
      </c>
    </row>
    <row r="39" spans="1:30" outlineLevel="1" x14ac:dyDescent="0.35">
      <c r="A39" s="6" t="s">
        <v>759</v>
      </c>
      <c r="B39" s="6">
        <f>'Results - raw data ReCiPe (E)'!CC34</f>
        <v>0</v>
      </c>
      <c r="C39" s="6">
        <f>'Results - raw data ReCiPe (E)'!CD34</f>
        <v>0</v>
      </c>
      <c r="D39" s="6">
        <f>'Results - raw data ReCiPe (E)'!CE34</f>
        <v>0</v>
      </c>
      <c r="E39" s="6">
        <f>'Results - raw data ReCiPe (E)'!CF34</f>
        <v>0</v>
      </c>
      <c r="F39" s="6">
        <f>'Results - raw data ReCiPe (E)'!CG34</f>
        <v>0</v>
      </c>
      <c r="G39" s="6">
        <f>'Results - raw data ReCiPe (E)'!CH34</f>
        <v>0</v>
      </c>
      <c r="H39" s="6">
        <f>'Results - raw data ReCiPe (E)'!CI34</f>
        <v>0</v>
      </c>
      <c r="I39" s="6">
        <f>'Results - raw data ReCiPe (E)'!CJ34</f>
        <v>0</v>
      </c>
      <c r="J39" s="6">
        <f>'Results - raw data ReCiPe (E)'!CK34</f>
        <v>0</v>
      </c>
      <c r="K39" s="6">
        <f>'Results - raw data ReCiPe (E)'!CL34</f>
        <v>0</v>
      </c>
      <c r="L39" s="6">
        <f>'Results - raw data ReCiPe (E)'!CM34</f>
        <v>0</v>
      </c>
      <c r="M39" s="6">
        <f>'Results - raw data ReCiPe (E)'!CN34</f>
        <v>0</v>
      </c>
      <c r="N39" s="6">
        <f>'Results - raw data ReCiPe (E)'!CO34</f>
        <v>0</v>
      </c>
      <c r="O39" s="6">
        <f>'Results - raw data ReCiPe (E)'!CP34</f>
        <v>0</v>
      </c>
      <c r="P39" s="6">
        <f>'Results - raw data ReCiPe (E)'!CQ34</f>
        <v>0</v>
      </c>
      <c r="Q39" s="6">
        <f>'Results - raw data ReCiPe (E)'!CR34</f>
        <v>0</v>
      </c>
      <c r="R39" s="6">
        <f>'Results - raw data ReCiPe (E)'!CS34</f>
        <v>0</v>
      </c>
      <c r="S39" s="6">
        <f>'Results - raw data ReCiPe (E)'!CT34</f>
        <v>0</v>
      </c>
      <c r="T39" s="6">
        <f>'Results - raw data ReCiPe (E)'!CU34</f>
        <v>0</v>
      </c>
      <c r="U39" s="6">
        <f>'Results - raw data ReCiPe (E)'!CV34</f>
        <v>0</v>
      </c>
      <c r="V39" s="6">
        <f>'Results - raw data ReCiPe (E)'!CW34</f>
        <v>0</v>
      </c>
      <c r="W39" s="6">
        <f>'Results - raw data ReCiPe (E)'!CX34</f>
        <v>0</v>
      </c>
      <c r="X39" s="6">
        <f>'Results - raw data ReCiPe (E)'!CY34</f>
        <v>0</v>
      </c>
      <c r="Y39" s="6">
        <f>'Results - raw data ReCiPe (E)'!CZ34</f>
        <v>0</v>
      </c>
      <c r="Z39" s="6">
        <f>'Results - raw data ReCiPe (E)'!DA34</f>
        <v>0</v>
      </c>
    </row>
    <row r="40" spans="1:30" outlineLevel="1" x14ac:dyDescent="0.35">
      <c r="A40" s="6" t="s">
        <v>760</v>
      </c>
      <c r="B40" s="6">
        <f>'Results - raw data ReCiPe (E)'!CC35</f>
        <v>34250.087218896842</v>
      </c>
      <c r="C40" s="6">
        <f>'Results - raw data ReCiPe (E)'!CD35</f>
        <v>34218.56778611405</v>
      </c>
      <c r="D40" s="6">
        <f>'Results - raw data ReCiPe (E)'!CE35</f>
        <v>34187.206709616687</v>
      </c>
      <c r="E40" s="6">
        <f>'Results - raw data ReCiPe (E)'!CF35</f>
        <v>34129.026179517758</v>
      </c>
      <c r="F40" s="6">
        <f>'Results - raw data ReCiPe (E)'!CG35</f>
        <v>34098.098951609783</v>
      </c>
      <c r="G40" s="6">
        <f>'Results - raw data ReCiPe (E)'!CH35</f>
        <v>34067.170621471523</v>
      </c>
      <c r="H40" s="6">
        <f>'Results - raw data ReCiPe (E)'!CI35</f>
        <v>36652.792163409693</v>
      </c>
      <c r="I40" s="6">
        <f>'Results - raw data ReCiPe (E)'!CJ35</f>
        <v>39234.925875793131</v>
      </c>
      <c r="J40" s="6">
        <f>'Results - raw data ReCiPe (E)'!CK35</f>
        <v>41796.15005611298</v>
      </c>
      <c r="K40" s="6">
        <f>'Results - raw data ReCiPe (E)'!CL35</f>
        <v>44375.240252589741</v>
      </c>
      <c r="L40" s="6">
        <f>'Results - raw data ReCiPe (E)'!CM35</f>
        <v>46950.866049747638</v>
      </c>
      <c r="M40" s="6">
        <f>'Results - raw data ReCiPe (E)'!CN35</f>
        <v>51536.539565813597</v>
      </c>
      <c r="N40" s="6">
        <f>'Results - raw data ReCiPe (E)'!CO35</f>
        <v>56131.949131323927</v>
      </c>
      <c r="O40" s="6">
        <f>'Results - raw data ReCiPe (E)'!CP35</f>
        <v>60733.967083794632</v>
      </c>
      <c r="P40" s="6">
        <f>'Results - raw data ReCiPe (E)'!CQ35</f>
        <v>65348.643071347557</v>
      </c>
      <c r="Q40" s="6">
        <f>'Results - raw data ReCiPe (E)'!CR35</f>
        <v>69973.044542118281</v>
      </c>
      <c r="R40" s="6">
        <f>'Results - raw data ReCiPe (E)'!CS35</f>
        <v>70753.251525696367</v>
      </c>
      <c r="S40" s="6">
        <f>'Results - raw data ReCiPe (E)'!CT35</f>
        <v>71533.326766455531</v>
      </c>
      <c r="T40" s="6">
        <f>'Results - raw data ReCiPe (E)'!CU35</f>
        <v>72310.55495966773</v>
      </c>
      <c r="U40" s="6">
        <f>'Results - raw data ReCiPe (E)'!CV35</f>
        <v>73090.690856536341</v>
      </c>
      <c r="V40" s="6">
        <f>'Results - raw data ReCiPe (E)'!CW35</f>
        <v>73870.917099097816</v>
      </c>
      <c r="W40" s="6">
        <f>'Results - raw data ReCiPe (E)'!CX35</f>
        <v>72250.276918973395</v>
      </c>
      <c r="X40" s="6">
        <f>'Results - raw data ReCiPe (E)'!CY35</f>
        <v>70432.872089330616</v>
      </c>
      <c r="Y40" s="6">
        <f>'Results - raw data ReCiPe (E)'!CZ35</f>
        <v>68609.55768213296</v>
      </c>
      <c r="Z40" s="6">
        <f>'Results - raw data ReCiPe (E)'!DA35</f>
        <v>66780.276200489709</v>
      </c>
    </row>
    <row r="41" spans="1:30" outlineLevel="1" x14ac:dyDescent="0.35">
      <c r="A41" s="23" t="s">
        <v>125</v>
      </c>
      <c r="B41" s="17">
        <f>SUM(B10:B40)</f>
        <v>68612.860831410391</v>
      </c>
      <c r="C41" s="17">
        <f>SUM(C10:C40)</f>
        <v>37991.673884542412</v>
      </c>
      <c r="D41" s="17">
        <f>SUM(D10:D40)</f>
        <v>37951.985189859974</v>
      </c>
      <c r="E41" s="17">
        <f>SUM(E10:E40)</f>
        <v>37878.476467350571</v>
      </c>
      <c r="F41" s="17">
        <f>SUM(F10:F40)</f>
        <v>37839.289219196762</v>
      </c>
      <c r="G41" s="17">
        <f t="shared" ref="G41:Z41" si="4">SUM(G10:G40)</f>
        <v>37800.110291109238</v>
      </c>
      <c r="H41" s="17">
        <f t="shared" si="4"/>
        <v>40579.087218432491</v>
      </c>
      <c r="I41" s="17">
        <f t="shared" si="4"/>
        <v>43353.782992791952</v>
      </c>
      <c r="J41" s="17">
        <f t="shared" si="4"/>
        <v>46102.442339351983</v>
      </c>
      <c r="K41" s="17">
        <f t="shared" si="4"/>
        <v>48872.845783838377</v>
      </c>
      <c r="L41" s="17">
        <f t="shared" si="4"/>
        <v>51638.989913936137</v>
      </c>
      <c r="M41" s="17">
        <f t="shared" si="4"/>
        <v>56567.75695140531</v>
      </c>
      <c r="N41" s="17">
        <f t="shared" si="4"/>
        <v>61506.235239959904</v>
      </c>
      <c r="O41" s="17">
        <f t="shared" si="4"/>
        <v>66450.394267619515</v>
      </c>
      <c r="P41" s="17">
        <f t="shared" si="4"/>
        <v>71408.090187222973</v>
      </c>
      <c r="Q41" s="17">
        <f t="shared" si="4"/>
        <v>76375.474150269918</v>
      </c>
      <c r="R41" s="17">
        <f t="shared" si="4"/>
        <v>77204.42924218993</v>
      </c>
      <c r="S41" s="17">
        <f t="shared" si="4"/>
        <v>78033.117204918104</v>
      </c>
      <c r="T41" s="17">
        <f t="shared" si="4"/>
        <v>78857.936845429431</v>
      </c>
      <c r="U41" s="17">
        <f t="shared" si="4"/>
        <v>79686.423090702752</v>
      </c>
      <c r="V41" s="17">
        <f t="shared" si="4"/>
        <v>80514.86421340931</v>
      </c>
      <c r="W41" s="17">
        <f t="shared" si="4"/>
        <v>78755.694330783503</v>
      </c>
      <c r="X41" s="17">
        <f t="shared" si="4"/>
        <v>76785.521260790425</v>
      </c>
      <c r="Y41" s="17">
        <f t="shared" si="4"/>
        <v>74809.507176332379</v>
      </c>
      <c r="Z41" s="17">
        <f t="shared" si="4"/>
        <v>73429.042925385191</v>
      </c>
    </row>
    <row r="42" spans="1:30" outlineLevel="1" x14ac:dyDescent="0.35"/>
    <row r="43" spans="1:30" s="18" customFormat="1" ht="21" x14ac:dyDescent="0.5">
      <c r="A43" s="18" t="s">
        <v>73</v>
      </c>
    </row>
    <row r="44" spans="1:30" s="20" customFormat="1" outlineLevel="1" x14ac:dyDescent="0.35">
      <c r="A44" s="19" t="s">
        <v>767</v>
      </c>
    </row>
    <row r="45" spans="1:30" s="16" customFormat="1" outlineLevel="1" x14ac:dyDescent="0.35">
      <c r="A45" s="21"/>
      <c r="AB45" s="16" t="s">
        <v>47</v>
      </c>
      <c r="AC45" s="16">
        <v>1</v>
      </c>
      <c r="AD45" s="16" t="s">
        <v>146</v>
      </c>
    </row>
    <row r="46" spans="1:30" s="16" customFormat="1" outlineLevel="1" x14ac:dyDescent="0.35">
      <c r="A46" s="22" t="s">
        <v>566</v>
      </c>
      <c r="AC46" s="16">
        <f>AC45*1000</f>
        <v>1000</v>
      </c>
      <c r="AD46" s="16" t="s">
        <v>144</v>
      </c>
    </row>
    <row r="47" spans="1:30" s="16" customFormat="1" outlineLevel="1" x14ac:dyDescent="0.35">
      <c r="A47" s="22"/>
      <c r="AB47" s="16" t="s">
        <v>127</v>
      </c>
      <c r="AC47" s="16">
        <v>100</v>
      </c>
      <c r="AD47" s="16" t="s">
        <v>128</v>
      </c>
    </row>
    <row r="48" spans="1:30" s="16" customFormat="1" outlineLevel="1" x14ac:dyDescent="0.35">
      <c r="A48" s="22"/>
      <c r="AB48" s="16" t="s">
        <v>129</v>
      </c>
      <c r="AC48" s="16">
        <v>25</v>
      </c>
      <c r="AD48" s="16" t="s">
        <v>130</v>
      </c>
    </row>
    <row r="49" spans="1:53" outlineLevel="1" x14ac:dyDescent="0.35">
      <c r="B49" s="25">
        <v>2030</v>
      </c>
      <c r="C49" s="25">
        <v>2031</v>
      </c>
      <c r="D49" s="25">
        <v>2032</v>
      </c>
      <c r="E49" s="25">
        <v>2033</v>
      </c>
      <c r="F49" s="25">
        <v>2034</v>
      </c>
      <c r="G49" s="25">
        <v>2035</v>
      </c>
      <c r="H49" s="25">
        <v>2036</v>
      </c>
      <c r="I49" s="25">
        <v>2037</v>
      </c>
      <c r="J49" s="25">
        <v>2038</v>
      </c>
      <c r="K49" s="25">
        <v>2039</v>
      </c>
      <c r="L49" s="25">
        <v>2040</v>
      </c>
      <c r="M49" s="25">
        <v>2041</v>
      </c>
      <c r="N49" s="25">
        <v>2042</v>
      </c>
      <c r="O49" s="25">
        <v>2043</v>
      </c>
      <c r="P49" s="25">
        <v>2044</v>
      </c>
      <c r="Q49" s="25">
        <v>2045</v>
      </c>
      <c r="R49" s="25">
        <v>2046</v>
      </c>
      <c r="S49" s="25">
        <v>2047</v>
      </c>
      <c r="T49" s="25">
        <v>2048</v>
      </c>
      <c r="U49" s="25">
        <v>2049</v>
      </c>
      <c r="V49" s="25">
        <v>2050</v>
      </c>
      <c r="W49" s="25">
        <v>2051</v>
      </c>
      <c r="X49" s="25">
        <v>2052</v>
      </c>
      <c r="Y49" s="25">
        <v>2053</v>
      </c>
      <c r="Z49" s="25">
        <v>2054</v>
      </c>
      <c r="AC49" s="25">
        <v>2030</v>
      </c>
      <c r="AD49" s="25">
        <v>2031</v>
      </c>
      <c r="AE49" s="25">
        <v>2032</v>
      </c>
      <c r="AF49" s="25">
        <v>2033</v>
      </c>
      <c r="AG49" s="25">
        <v>2034</v>
      </c>
      <c r="AH49" s="25">
        <v>2035</v>
      </c>
      <c r="AI49" s="25">
        <v>2036</v>
      </c>
      <c r="AJ49" s="25">
        <v>2037</v>
      </c>
      <c r="AK49" s="25">
        <v>2038</v>
      </c>
      <c r="AL49" s="25">
        <v>2039</v>
      </c>
      <c r="AM49" s="25">
        <v>2040</v>
      </c>
      <c r="AN49" s="25">
        <v>2041</v>
      </c>
      <c r="AO49" s="25">
        <v>2042</v>
      </c>
      <c r="AP49" s="25">
        <v>2043</v>
      </c>
      <c r="AQ49" s="25">
        <v>2044</v>
      </c>
      <c r="AR49" s="25">
        <v>2045</v>
      </c>
      <c r="AS49" s="25">
        <v>2046</v>
      </c>
      <c r="AT49" s="25">
        <v>2047</v>
      </c>
      <c r="AU49" s="25">
        <v>2048</v>
      </c>
      <c r="AV49" s="25">
        <v>2049</v>
      </c>
      <c r="AW49" s="25">
        <v>2050</v>
      </c>
      <c r="AX49" s="25">
        <v>2051</v>
      </c>
      <c r="AY49" s="25">
        <v>2052</v>
      </c>
      <c r="AZ49" s="25">
        <v>2053</v>
      </c>
      <c r="BA49" s="25">
        <v>2054</v>
      </c>
    </row>
    <row r="50" spans="1:53" outlineLevel="1" x14ac:dyDescent="0.35">
      <c r="A50" s="6" t="s">
        <v>21</v>
      </c>
      <c r="B50" s="6">
        <f>'Results - raw data ReCiPe (E)'!CC41</f>
        <v>585.84401750146083</v>
      </c>
      <c r="AB50" s="6" t="s">
        <v>117</v>
      </c>
      <c r="AC50" s="6">
        <f>SUM(B50:B61)+B63</f>
        <v>25813.904117498736</v>
      </c>
    </row>
    <row r="51" spans="1:53" outlineLevel="1" x14ac:dyDescent="0.35">
      <c r="A51" s="6" t="s">
        <v>23</v>
      </c>
      <c r="B51" s="6">
        <f>'Results - raw data ReCiPe (E)'!CC42</f>
        <v>785.1952395392517</v>
      </c>
      <c r="AB51" s="6" t="s">
        <v>118</v>
      </c>
      <c r="AC51" s="6">
        <f>B62</f>
        <v>2074.4586794633228</v>
      </c>
    </row>
    <row r="52" spans="1:53" outlineLevel="1" x14ac:dyDescent="0.35">
      <c r="A52" s="6" t="s">
        <v>26</v>
      </c>
      <c r="B52" s="6">
        <f>'Results - raw data ReCiPe (E)'!CC43</f>
        <v>2400.6850597788962</v>
      </c>
      <c r="AB52" s="6" t="s">
        <v>119</v>
      </c>
      <c r="BA52" s="6">
        <f>SUM(Z64:Z75)</f>
        <v>471.91965940783922</v>
      </c>
    </row>
    <row r="53" spans="1:53" outlineLevel="1" x14ac:dyDescent="0.35">
      <c r="A53" s="6" t="s">
        <v>28</v>
      </c>
      <c r="B53" s="6">
        <f>'Results - raw data ReCiPe (E)'!CC44</f>
        <v>2253.0014214784742</v>
      </c>
      <c r="AB53" s="6" t="s">
        <v>120</v>
      </c>
      <c r="BA53" s="6">
        <f>Z76</f>
        <v>19.94256618773564</v>
      </c>
    </row>
    <row r="54" spans="1:53" outlineLevel="1" x14ac:dyDescent="0.35">
      <c r="A54" s="6" t="s">
        <v>29</v>
      </c>
      <c r="B54" s="6">
        <f>'Results - raw data ReCiPe (E)'!CC45</f>
        <v>1356.2467521252081</v>
      </c>
      <c r="AB54" s="6" t="s">
        <v>121</v>
      </c>
      <c r="AC54" s="6">
        <f>B77</f>
        <v>1002.2532345357261</v>
      </c>
      <c r="AF54" s="6">
        <f>E77</f>
        <v>968.37815789759441</v>
      </c>
      <c r="AI54" s="6">
        <f>H77</f>
        <v>935.22469385907107</v>
      </c>
      <c r="AL54" s="6">
        <f>K77</f>
        <v>892.83003869097888</v>
      </c>
      <c r="AO54" s="6">
        <f>N77</f>
        <v>844.94159176113419</v>
      </c>
      <c r="AR54" s="6">
        <f>Q77</f>
        <v>792.9189308085422</v>
      </c>
      <c r="AU54" s="6">
        <f>T77</f>
        <v>755.92169116514378</v>
      </c>
      <c r="AX54" s="6">
        <f>W77</f>
        <v>729.74807912223457</v>
      </c>
      <c r="BA54" s="6">
        <f>Z77</f>
        <v>722.80509911141849</v>
      </c>
    </row>
    <row r="55" spans="1:53" outlineLevel="1" x14ac:dyDescent="0.35">
      <c r="A55" s="6" t="s">
        <v>31</v>
      </c>
      <c r="B55" s="6">
        <f>'Results - raw data ReCiPe (E)'!CC46</f>
        <v>980.98309739403408</v>
      </c>
      <c r="AB55" s="6" t="s">
        <v>122</v>
      </c>
      <c r="AC55" s="6">
        <f>B80+B79</f>
        <v>29333.972943862042</v>
      </c>
      <c r="AD55" s="6">
        <f t="shared" ref="AD55:BA55" si="5">C80+C79</f>
        <v>27292.80519406205</v>
      </c>
      <c r="AE55" s="6">
        <f t="shared" si="5"/>
        <v>25252.457053391019</v>
      </c>
      <c r="AF55" s="6">
        <f t="shared" si="5"/>
        <v>23183.885001695438</v>
      </c>
      <c r="AG55" s="6">
        <f t="shared" si="5"/>
        <v>21144.555105579959</v>
      </c>
      <c r="AH55" s="6">
        <f t="shared" si="5"/>
        <v>19105.454163521252</v>
      </c>
      <c r="AI55" s="6">
        <f t="shared" si="5"/>
        <v>17446.94626211204</v>
      </c>
      <c r="AJ55" s="6">
        <f t="shared" si="5"/>
        <v>15790.99526139489</v>
      </c>
      <c r="AK55" s="6">
        <f t="shared" si="5"/>
        <v>14112.941779038551</v>
      </c>
      <c r="AL55" s="6">
        <f t="shared" si="5"/>
        <v>12458.236000018969</v>
      </c>
      <c r="AM55" s="6">
        <f t="shared" si="5"/>
        <v>10803.59805184265</v>
      </c>
      <c r="AN55" s="6">
        <f t="shared" si="5"/>
        <v>9476.44403871336</v>
      </c>
      <c r="AO55" s="6">
        <f t="shared" si="5"/>
        <v>8144.2445028166321</v>
      </c>
      <c r="AP55" s="6">
        <f t="shared" si="5"/>
        <v>6802.2612894680433</v>
      </c>
      <c r="AQ55" s="6">
        <f t="shared" si="5"/>
        <v>5460.1562049563308</v>
      </c>
      <c r="AR55" s="6">
        <f t="shared" si="5"/>
        <v>4113.1977144212233</v>
      </c>
      <c r="AS55" s="6">
        <f t="shared" si="5"/>
        <v>3365.1819860143701</v>
      </c>
      <c r="AT55" s="6">
        <f t="shared" si="5"/>
        <v>2617.48242761751</v>
      </c>
      <c r="AU55" s="6">
        <f t="shared" si="5"/>
        <v>1866.1112904239531</v>
      </c>
      <c r="AV55" s="6">
        <f t="shared" si="5"/>
        <v>1119.2985864149889</v>
      </c>
      <c r="AW55" s="6">
        <f t="shared" si="5"/>
        <v>373.26129137393877</v>
      </c>
      <c r="AX55" s="6">
        <f t="shared" si="5"/>
        <v>103.5106643353766</v>
      </c>
      <c r="AY55" s="6">
        <f t="shared" si="5"/>
        <v>-169.81024892526969</v>
      </c>
      <c r="AZ55" s="6">
        <f t="shared" si="5"/>
        <v>-444.043635634579</v>
      </c>
      <c r="BA55" s="6">
        <f t="shared" si="5"/>
        <v>-719.2101930397281</v>
      </c>
    </row>
    <row r="56" spans="1:53" outlineLevel="1" x14ac:dyDescent="0.35">
      <c r="A56" s="6" t="s">
        <v>34</v>
      </c>
      <c r="B56" s="6">
        <f>'Results - raw data ReCiPe (E)'!CC47</f>
        <v>643.53411773634139</v>
      </c>
      <c r="AB56" s="6" t="s">
        <v>123</v>
      </c>
      <c r="AC56" s="6">
        <f t="shared" ref="AC56:BA56" si="6">B78</f>
        <v>2351.714163944283</v>
      </c>
      <c r="AD56" s="6">
        <f t="shared" si="6"/>
        <v>2190.1673768340443</v>
      </c>
      <c r="AE56" s="6">
        <f t="shared" si="6"/>
        <v>2029.3904072666951</v>
      </c>
      <c r="AF56" s="6">
        <f t="shared" si="6"/>
        <v>1866.7911576758299</v>
      </c>
      <c r="AG56" s="6">
        <f t="shared" si="6"/>
        <v>1707.502623292623</v>
      </c>
      <c r="AH56" s="6">
        <f t="shared" si="6"/>
        <v>1548.9323074469849</v>
      </c>
      <c r="AI56" s="6">
        <f t="shared" si="6"/>
        <v>1420.8989842219689</v>
      </c>
      <c r="AJ56" s="6">
        <f t="shared" si="6"/>
        <v>1293.3308573942479</v>
      </c>
      <c r="AK56" s="6">
        <f t="shared" si="6"/>
        <v>1164.1128877273279</v>
      </c>
      <c r="AL56" s="6">
        <f t="shared" si="6"/>
        <v>1037.1732653147751</v>
      </c>
      <c r="AM56" s="6">
        <f t="shared" si="6"/>
        <v>910.499631231639</v>
      </c>
      <c r="AN56" s="6">
        <f t="shared" si="6"/>
        <v>808.7977242446666</v>
      </c>
      <c r="AO56" s="6">
        <f t="shared" si="6"/>
        <v>706.74870524203391</v>
      </c>
      <c r="AP56" s="6">
        <f t="shared" si="6"/>
        <v>603.92919067835487</v>
      </c>
      <c r="AQ56" s="6">
        <f t="shared" si="6"/>
        <v>501.19625811265666</v>
      </c>
      <c r="AR56" s="6">
        <f t="shared" si="6"/>
        <v>398.1259448726446</v>
      </c>
      <c r="AS56" s="6">
        <f t="shared" si="6"/>
        <v>340.44341692369227</v>
      </c>
      <c r="AT56" s="6">
        <f t="shared" si="6"/>
        <v>282.62109837166611</v>
      </c>
      <c r="AU56" s="6">
        <f t="shared" si="6"/>
        <v>224.30575139066821</v>
      </c>
      <c r="AV56" s="6">
        <f t="shared" si="6"/>
        <v>166.2185040602605</v>
      </c>
      <c r="AW56" s="6">
        <f t="shared" si="6"/>
        <v>108.02156568474821</v>
      </c>
      <c r="AX56" s="6">
        <f t="shared" si="6"/>
        <v>87.588281224861447</v>
      </c>
      <c r="AY56" s="6">
        <f t="shared" si="6"/>
        <v>66.962919108807966</v>
      </c>
      <c r="AZ56" s="6">
        <f t="shared" si="6"/>
        <v>46.333223064412451</v>
      </c>
      <c r="BA56" s="6">
        <f t="shared" si="6"/>
        <v>25.697533708808269</v>
      </c>
    </row>
    <row r="57" spans="1:53" outlineLevel="1" x14ac:dyDescent="0.35">
      <c r="A57" s="6" t="s">
        <v>36</v>
      </c>
      <c r="B57" s="6">
        <f>'Results - raw data ReCiPe (E)'!CC48</f>
        <v>537.01822383702427</v>
      </c>
      <c r="AB57" s="6" t="s">
        <v>124</v>
      </c>
      <c r="AC57" s="6">
        <f>-$AC$7*$AC$6</f>
        <v>-100000</v>
      </c>
      <c r="AD57" s="6">
        <f t="shared" ref="AD57:BA57" si="7">-$AC$7*$AC$6</f>
        <v>-100000</v>
      </c>
      <c r="AE57" s="6">
        <f t="shared" si="7"/>
        <v>-100000</v>
      </c>
      <c r="AF57" s="6">
        <f t="shared" si="7"/>
        <v>-100000</v>
      </c>
      <c r="AG57" s="6">
        <f t="shared" si="7"/>
        <v>-100000</v>
      </c>
      <c r="AH57" s="6">
        <f t="shared" si="7"/>
        <v>-100000</v>
      </c>
      <c r="AI57" s="6">
        <f t="shared" si="7"/>
        <v>-100000</v>
      </c>
      <c r="AJ57" s="6">
        <f t="shared" si="7"/>
        <v>-100000</v>
      </c>
      <c r="AK57" s="6">
        <f t="shared" si="7"/>
        <v>-100000</v>
      </c>
      <c r="AL57" s="6">
        <f t="shared" si="7"/>
        <v>-100000</v>
      </c>
      <c r="AM57" s="6">
        <f t="shared" si="7"/>
        <v>-100000</v>
      </c>
      <c r="AN57" s="6">
        <f t="shared" si="7"/>
        <v>-100000</v>
      </c>
      <c r="AO57" s="6">
        <f t="shared" si="7"/>
        <v>-100000</v>
      </c>
      <c r="AP57" s="6">
        <f t="shared" si="7"/>
        <v>-100000</v>
      </c>
      <c r="AQ57" s="6">
        <f t="shared" si="7"/>
        <v>-100000</v>
      </c>
      <c r="AR57" s="6">
        <f t="shared" si="7"/>
        <v>-100000</v>
      </c>
      <c r="AS57" s="6">
        <f t="shared" si="7"/>
        <v>-100000</v>
      </c>
      <c r="AT57" s="6">
        <f t="shared" si="7"/>
        <v>-100000</v>
      </c>
      <c r="AU57" s="6">
        <f t="shared" si="7"/>
        <v>-100000</v>
      </c>
      <c r="AV57" s="6">
        <f t="shared" si="7"/>
        <v>-100000</v>
      </c>
      <c r="AW57" s="6">
        <f t="shared" si="7"/>
        <v>-100000</v>
      </c>
      <c r="AX57" s="6">
        <f t="shared" si="7"/>
        <v>-100000</v>
      </c>
      <c r="AY57" s="6">
        <f t="shared" si="7"/>
        <v>-100000</v>
      </c>
      <c r="AZ57" s="6">
        <f t="shared" si="7"/>
        <v>-100000</v>
      </c>
      <c r="BA57" s="6">
        <f t="shared" si="7"/>
        <v>-100000</v>
      </c>
    </row>
    <row r="58" spans="1:53" outlineLevel="1" x14ac:dyDescent="0.35">
      <c r="A58" s="6" t="s">
        <v>38</v>
      </c>
      <c r="B58" s="6">
        <f>'Results - raw data ReCiPe (E)'!CC49</f>
        <v>4812.1592907768581</v>
      </c>
      <c r="AB58" s="23" t="s">
        <v>125</v>
      </c>
      <c r="AC58" s="17">
        <f t="shared" ref="AC58:BA58" si="8">SUM(AC50:AC57)</f>
        <v>-39423.696860695891</v>
      </c>
      <c r="AD58" s="17">
        <f t="shared" si="8"/>
        <v>-70517.02742910391</v>
      </c>
      <c r="AE58" s="17">
        <f t="shared" si="8"/>
        <v>-72718.152539342293</v>
      </c>
      <c r="AF58" s="17">
        <f t="shared" si="8"/>
        <v>-73980.945682731137</v>
      </c>
      <c r="AG58" s="17">
        <f t="shared" si="8"/>
        <v>-77147.942271127424</v>
      </c>
      <c r="AH58" s="17">
        <f t="shared" si="8"/>
        <v>-79345.613529031762</v>
      </c>
      <c r="AI58" s="17">
        <f t="shared" si="8"/>
        <v>-80196.930059806909</v>
      </c>
      <c r="AJ58" s="17">
        <f t="shared" si="8"/>
        <v>-82915.673881210867</v>
      </c>
      <c r="AK58" s="17">
        <f t="shared" si="8"/>
        <v>-84722.945333234122</v>
      </c>
      <c r="AL58" s="17">
        <f t="shared" si="8"/>
        <v>-85611.760695975274</v>
      </c>
      <c r="AM58" s="17">
        <f t="shared" si="8"/>
        <v>-88285.902316925713</v>
      </c>
      <c r="AN58" s="17">
        <f t="shared" si="8"/>
        <v>-89714.75823704197</v>
      </c>
      <c r="AO58" s="17">
        <f t="shared" si="8"/>
        <v>-90304.065200180194</v>
      </c>
      <c r="AP58" s="17">
        <f t="shared" si="8"/>
        <v>-92593.809519853603</v>
      </c>
      <c r="AQ58" s="17">
        <f t="shared" si="8"/>
        <v>-94038.647536931006</v>
      </c>
      <c r="AR58" s="17">
        <f t="shared" si="8"/>
        <v>-94695.757409897589</v>
      </c>
      <c r="AS58" s="17">
        <f t="shared" si="8"/>
        <v>-96294.374597061935</v>
      </c>
      <c r="AT58" s="17">
        <f t="shared" si="8"/>
        <v>-97099.89647401082</v>
      </c>
      <c r="AU58" s="17">
        <f t="shared" si="8"/>
        <v>-97153.66126702023</v>
      </c>
      <c r="AV58" s="17">
        <f t="shared" si="8"/>
        <v>-98714.482909524755</v>
      </c>
      <c r="AW58" s="17">
        <f t="shared" si="8"/>
        <v>-99518.717142941314</v>
      </c>
      <c r="AX58" s="17">
        <f t="shared" si="8"/>
        <v>-99079.152975317527</v>
      </c>
      <c r="AY58" s="17">
        <f t="shared" si="8"/>
        <v>-100102.84732981646</v>
      </c>
      <c r="AZ58" s="17">
        <f t="shared" si="8"/>
        <v>-100397.71041257017</v>
      </c>
      <c r="BA58" s="17">
        <f t="shared" si="8"/>
        <v>-99478.845334623926</v>
      </c>
    </row>
    <row r="59" spans="1:53" outlineLevel="1" x14ac:dyDescent="0.35">
      <c r="A59" s="6" t="s">
        <v>39</v>
      </c>
      <c r="B59" s="6">
        <f>'Results - raw data ReCiPe (E)'!CC50</f>
        <v>9251.7429629223079</v>
      </c>
    </row>
    <row r="60" spans="1:53" outlineLevel="1" x14ac:dyDescent="0.35">
      <c r="A60" s="6" t="s">
        <v>41</v>
      </c>
      <c r="B60" s="6">
        <f>'Results - raw data ReCiPe (E)'!CC51</f>
        <v>86.99567380814095</v>
      </c>
    </row>
    <row r="61" spans="1:53" outlineLevel="1" x14ac:dyDescent="0.35">
      <c r="A61" s="6" t="s">
        <v>43</v>
      </c>
      <c r="B61" s="6">
        <f>'Results - raw data ReCiPe (E)'!CC52</f>
        <v>485.23137314995512</v>
      </c>
      <c r="AB61" s="187"/>
      <c r="AC61" s="187"/>
      <c r="AD61" s="187"/>
      <c r="AE61" s="187"/>
      <c r="AF61" s="187"/>
      <c r="AG61" s="187"/>
      <c r="AH61" s="187"/>
      <c r="AI61" s="187"/>
      <c r="AJ61" s="187"/>
      <c r="AK61" s="187"/>
      <c r="AL61" s="187"/>
      <c r="AM61" s="187"/>
      <c r="AN61" s="187"/>
      <c r="AO61" s="187"/>
      <c r="AP61" s="187"/>
      <c r="AQ61" s="187"/>
      <c r="AR61" s="187"/>
      <c r="AS61" s="187"/>
      <c r="AT61" s="187"/>
      <c r="AU61" s="187"/>
      <c r="AV61" s="187"/>
      <c r="AW61" s="187"/>
      <c r="AX61" s="187"/>
      <c r="AY61" s="187"/>
      <c r="AZ61" s="187"/>
      <c r="BA61" s="187"/>
    </row>
    <row r="62" spans="1:53" outlineLevel="1" x14ac:dyDescent="0.35">
      <c r="A62" s="6" t="s">
        <v>44</v>
      </c>
      <c r="B62" s="6">
        <f>'Results - raw data ReCiPe (E)'!CC53*AC47*AC48</f>
        <v>2074.4586794633228</v>
      </c>
      <c r="AB62" s="187"/>
      <c r="AC62" s="187"/>
      <c r="AD62" s="187"/>
      <c r="AE62" s="187"/>
      <c r="AF62" s="187"/>
      <c r="AG62" s="187"/>
      <c r="AH62" s="187"/>
      <c r="AI62" s="187"/>
      <c r="AJ62" s="187"/>
      <c r="AK62" s="187"/>
      <c r="AL62" s="187"/>
      <c r="AM62" s="187"/>
      <c r="AN62" s="187"/>
      <c r="AO62" s="187"/>
      <c r="AP62" s="187"/>
      <c r="AQ62" s="187"/>
      <c r="AR62" s="187"/>
      <c r="AS62" s="187"/>
      <c r="AT62" s="187"/>
      <c r="AU62" s="187"/>
      <c r="AV62" s="187"/>
      <c r="AW62" s="187"/>
      <c r="AX62" s="187"/>
      <c r="AY62" s="187"/>
      <c r="AZ62" s="187"/>
      <c r="BA62" s="187"/>
    </row>
    <row r="63" spans="1:53" outlineLevel="1" x14ac:dyDescent="0.35">
      <c r="A63" s="6" t="s">
        <v>757</v>
      </c>
      <c r="B63" s="6">
        <f>'Results - raw data ReCiPe (E)'!CC54*AC48*AC47</f>
        <v>1635.2668874507835</v>
      </c>
      <c r="AB63" s="187"/>
      <c r="AC63" s="187"/>
      <c r="AD63" s="187"/>
      <c r="AE63" s="187"/>
      <c r="AF63" s="187"/>
      <c r="AG63" s="187"/>
      <c r="AH63" s="187"/>
      <c r="AI63" s="187"/>
      <c r="AJ63" s="187"/>
      <c r="AK63" s="187"/>
      <c r="AL63" s="187"/>
      <c r="AM63" s="187"/>
      <c r="AN63" s="187"/>
      <c r="AO63" s="187"/>
      <c r="AP63" s="187"/>
      <c r="AQ63" s="187"/>
      <c r="AR63" s="187"/>
      <c r="AS63" s="187"/>
      <c r="AT63" s="187"/>
      <c r="AU63" s="187"/>
      <c r="AV63" s="187"/>
      <c r="AW63" s="187"/>
      <c r="AX63" s="187"/>
      <c r="AY63" s="187"/>
      <c r="AZ63" s="187"/>
      <c r="BA63" s="187"/>
    </row>
    <row r="64" spans="1:53" outlineLevel="1" x14ac:dyDescent="0.35">
      <c r="A64" s="6" t="s">
        <v>22</v>
      </c>
      <c r="Z64" s="6">
        <f>'Results - raw data ReCiPe (E)'!DA55</f>
        <v>17.402671337666849</v>
      </c>
      <c r="AB64" s="187"/>
      <c r="AC64" s="187"/>
      <c r="AD64" s="187"/>
      <c r="AE64" s="187"/>
      <c r="AF64" s="187"/>
      <c r="AG64" s="187"/>
      <c r="AH64" s="187"/>
      <c r="AI64" s="187"/>
      <c r="AJ64" s="187"/>
      <c r="AK64" s="187"/>
      <c r="AL64" s="187"/>
      <c r="AM64" s="187"/>
      <c r="AN64" s="187"/>
      <c r="AO64" s="187"/>
      <c r="AP64" s="187"/>
      <c r="AQ64" s="187"/>
      <c r="AR64" s="187"/>
      <c r="AS64" s="187"/>
      <c r="AT64" s="187"/>
      <c r="AU64" s="187"/>
      <c r="AV64" s="187"/>
      <c r="AW64" s="187"/>
      <c r="AX64" s="187"/>
      <c r="AY64" s="187"/>
      <c r="AZ64" s="187"/>
      <c r="BA64" s="187"/>
    </row>
    <row r="65" spans="1:53" outlineLevel="1" x14ac:dyDescent="0.35">
      <c r="A65" s="6" t="s">
        <v>24</v>
      </c>
      <c r="Z65" s="6">
        <f>'Results - raw data ReCiPe (E)'!DA56</f>
        <v>6.1769548550697717</v>
      </c>
      <c r="AB65" s="187"/>
      <c r="AC65" s="187"/>
      <c r="AD65" s="187"/>
      <c r="AE65" s="187"/>
      <c r="AF65" s="187"/>
      <c r="AG65" s="187"/>
      <c r="AH65" s="187"/>
      <c r="AI65" s="187"/>
      <c r="AJ65" s="187"/>
      <c r="AK65" s="187"/>
      <c r="AL65" s="187"/>
      <c r="AM65" s="187"/>
      <c r="AN65" s="187"/>
      <c r="AO65" s="187"/>
      <c r="AP65" s="187"/>
      <c r="AQ65" s="187"/>
      <c r="AR65" s="187"/>
      <c r="AS65" s="187"/>
      <c r="AT65" s="187"/>
      <c r="AU65" s="187"/>
      <c r="AV65" s="187"/>
      <c r="AW65" s="187"/>
      <c r="AX65" s="187"/>
      <c r="AY65" s="187"/>
      <c r="AZ65" s="187"/>
      <c r="BA65" s="187"/>
    </row>
    <row r="66" spans="1:53" outlineLevel="1" x14ac:dyDescent="0.35">
      <c r="A66" s="6" t="s">
        <v>25</v>
      </c>
      <c r="Z66" s="6">
        <f>'Results - raw data ReCiPe (E)'!DA57</f>
        <v>19.26897274884934</v>
      </c>
      <c r="AB66" s="187"/>
      <c r="AC66" s="187"/>
      <c r="AD66" s="187"/>
      <c r="AE66" s="187"/>
      <c r="AF66" s="187"/>
      <c r="AG66" s="187"/>
      <c r="AH66" s="187"/>
      <c r="AI66" s="187"/>
      <c r="AJ66" s="187"/>
      <c r="AK66" s="187"/>
      <c r="AL66" s="187"/>
      <c r="AM66" s="187"/>
      <c r="AN66" s="187"/>
      <c r="AO66" s="187"/>
      <c r="AP66" s="187"/>
      <c r="AQ66" s="187"/>
      <c r="AR66" s="187"/>
      <c r="AS66" s="187"/>
      <c r="AT66" s="187"/>
      <c r="AU66" s="187"/>
      <c r="AV66" s="187"/>
      <c r="AW66" s="187"/>
      <c r="AX66" s="187"/>
      <c r="AY66" s="187"/>
      <c r="AZ66" s="187"/>
      <c r="BA66" s="187"/>
    </row>
    <row r="67" spans="1:53" outlineLevel="1" x14ac:dyDescent="0.35">
      <c r="A67" s="6" t="s">
        <v>27</v>
      </c>
      <c r="Z67" s="6">
        <f>'Results - raw data ReCiPe (E)'!DA58</f>
        <v>5.5999857476329256</v>
      </c>
      <c r="AB67" s="187"/>
      <c r="AC67" s="187"/>
      <c r="AD67" s="187"/>
      <c r="AE67" s="187"/>
      <c r="AF67" s="187"/>
      <c r="AG67" s="187"/>
      <c r="AH67" s="187"/>
      <c r="AI67" s="187"/>
      <c r="AJ67" s="187"/>
      <c r="AK67" s="187"/>
      <c r="AL67" s="187"/>
      <c r="AM67" s="187"/>
      <c r="AN67" s="187"/>
      <c r="AO67" s="187"/>
      <c r="AP67" s="187"/>
      <c r="AQ67" s="187"/>
      <c r="AR67" s="187"/>
      <c r="AS67" s="187"/>
      <c r="AT67" s="187"/>
      <c r="AU67" s="187"/>
      <c r="AV67" s="187"/>
      <c r="AW67" s="187"/>
      <c r="AX67" s="187"/>
      <c r="AY67" s="187"/>
      <c r="AZ67" s="187"/>
      <c r="BA67" s="187"/>
    </row>
    <row r="68" spans="1:53" outlineLevel="1" x14ac:dyDescent="0.35">
      <c r="A68" s="6" t="s">
        <v>30</v>
      </c>
      <c r="Z68" s="6">
        <f>'Results - raw data ReCiPe (E)'!DA59</f>
        <v>22.683971971680389</v>
      </c>
      <c r="AB68" s="187"/>
      <c r="AC68" s="187"/>
      <c r="AD68" s="187"/>
      <c r="AE68" s="187"/>
      <c r="AF68" s="187"/>
      <c r="AG68" s="187"/>
      <c r="AH68" s="187"/>
      <c r="AI68" s="187"/>
      <c r="AJ68" s="187"/>
      <c r="AK68" s="187"/>
      <c r="AL68" s="187"/>
      <c r="AM68" s="187"/>
      <c r="AN68" s="187"/>
      <c r="AO68" s="187"/>
      <c r="AP68" s="187"/>
      <c r="AQ68" s="187"/>
      <c r="AR68" s="187"/>
      <c r="AS68" s="187"/>
      <c r="AT68" s="187"/>
      <c r="AU68" s="187"/>
      <c r="AV68" s="187"/>
      <c r="AW68" s="187"/>
      <c r="AX68" s="187"/>
      <c r="AY68" s="187"/>
      <c r="AZ68" s="187"/>
      <c r="BA68" s="187"/>
    </row>
    <row r="69" spans="1:53" outlineLevel="1" x14ac:dyDescent="0.35">
      <c r="A69" s="6" t="s">
        <v>32</v>
      </c>
      <c r="Z69" s="6">
        <f>'Results - raw data ReCiPe (E)'!DA60</f>
        <v>0.59376131311437297</v>
      </c>
      <c r="AB69" s="187"/>
      <c r="AC69" s="187"/>
      <c r="AD69" s="187"/>
      <c r="AE69" s="187"/>
      <c r="AF69" s="187"/>
      <c r="AG69" s="187"/>
      <c r="AH69" s="187"/>
      <c r="AI69" s="187"/>
      <c r="AJ69" s="187"/>
      <c r="AK69" s="187"/>
      <c r="AL69" s="187"/>
      <c r="AM69" s="187"/>
      <c r="AN69" s="187"/>
      <c r="AO69" s="187"/>
      <c r="AP69" s="187"/>
      <c r="AQ69" s="187"/>
      <c r="AR69" s="187"/>
      <c r="AS69" s="187"/>
      <c r="AT69" s="187"/>
      <c r="AU69" s="187"/>
      <c r="AV69" s="187"/>
      <c r="AW69" s="187"/>
      <c r="AX69" s="187"/>
      <c r="AY69" s="187"/>
      <c r="AZ69" s="187"/>
      <c r="BA69" s="187"/>
    </row>
    <row r="70" spans="1:53" outlineLevel="1" x14ac:dyDescent="0.35">
      <c r="A70" s="6" t="s">
        <v>33</v>
      </c>
      <c r="Z70" s="6">
        <f>'Results - raw data ReCiPe (E)'!DA61</f>
        <v>5.372475015797618</v>
      </c>
      <c r="AB70" s="187"/>
      <c r="AC70" s="187"/>
      <c r="AD70" s="187"/>
      <c r="AE70" s="187"/>
      <c r="AF70" s="187"/>
      <c r="AG70" s="187"/>
      <c r="AH70" s="187"/>
      <c r="AI70" s="187"/>
      <c r="AJ70" s="187"/>
      <c r="AK70" s="187"/>
      <c r="AL70" s="187"/>
      <c r="AM70" s="187"/>
      <c r="AN70" s="187"/>
      <c r="AO70" s="187"/>
      <c r="AP70" s="187"/>
      <c r="AQ70" s="187"/>
      <c r="AR70" s="187"/>
      <c r="AS70" s="187"/>
      <c r="AT70" s="187"/>
      <c r="AU70" s="187"/>
      <c r="AV70" s="187"/>
      <c r="AW70" s="187"/>
      <c r="AX70" s="187"/>
      <c r="AY70" s="187"/>
      <c r="AZ70" s="187"/>
      <c r="BA70" s="187"/>
    </row>
    <row r="71" spans="1:53" outlineLevel="1" x14ac:dyDescent="0.35">
      <c r="A71" s="6" t="s">
        <v>35</v>
      </c>
      <c r="Z71" s="6">
        <f>'Results - raw data ReCiPe (E)'!DA62</f>
        <v>10.74495003159524</v>
      </c>
      <c r="AB71" s="187"/>
      <c r="AC71" s="187"/>
      <c r="AD71" s="187"/>
      <c r="AE71" s="187"/>
      <c r="AF71" s="187"/>
      <c r="AG71" s="187"/>
      <c r="AH71" s="187"/>
      <c r="AI71" s="187"/>
      <c r="AJ71" s="187"/>
      <c r="AK71" s="187"/>
      <c r="AL71" s="187"/>
      <c r="AM71" s="187"/>
      <c r="AN71" s="187"/>
      <c r="AO71" s="187"/>
      <c r="AP71" s="187"/>
      <c r="AQ71" s="187"/>
      <c r="AR71" s="187"/>
      <c r="AS71" s="187"/>
      <c r="AT71" s="187"/>
      <c r="AU71" s="187"/>
      <c r="AV71" s="187"/>
      <c r="AW71" s="187"/>
      <c r="AX71" s="187"/>
      <c r="AY71" s="187"/>
      <c r="AZ71" s="187"/>
      <c r="BA71" s="187"/>
    </row>
    <row r="72" spans="1:53" outlineLevel="1" x14ac:dyDescent="0.35">
      <c r="A72" s="6" t="s">
        <v>37</v>
      </c>
      <c r="Z72" s="6">
        <f>'Results - raw data ReCiPe (E)'!DA63</f>
        <v>9.4928621034112748</v>
      </c>
      <c r="AB72" s="187"/>
      <c r="AC72" s="187"/>
      <c r="AD72" s="187"/>
      <c r="AE72" s="187"/>
      <c r="AF72" s="187"/>
      <c r="AG72" s="187"/>
      <c r="AH72" s="187"/>
      <c r="AI72" s="187"/>
      <c r="AJ72" s="187"/>
      <c r="AK72" s="187"/>
      <c r="AL72" s="187"/>
      <c r="AM72" s="187"/>
      <c r="AN72" s="187"/>
      <c r="AO72" s="187"/>
      <c r="AP72" s="187"/>
      <c r="AQ72" s="187"/>
      <c r="AR72" s="187"/>
      <c r="AS72" s="187"/>
      <c r="AT72" s="187"/>
      <c r="AU72" s="187"/>
      <c r="AV72" s="187"/>
      <c r="AW72" s="187"/>
      <c r="AX72" s="187"/>
      <c r="AY72" s="187"/>
      <c r="AZ72" s="187"/>
      <c r="BA72" s="187"/>
    </row>
    <row r="73" spans="1:53" outlineLevel="1" x14ac:dyDescent="0.35">
      <c r="A73" s="6" t="s">
        <v>40</v>
      </c>
      <c r="Z73" s="6">
        <f>'Results - raw data ReCiPe (E)'!DA64</f>
        <v>209.81640473959629</v>
      </c>
    </row>
    <row r="74" spans="1:53" outlineLevel="1" x14ac:dyDescent="0.35">
      <c r="A74" s="6" t="s">
        <v>42</v>
      </c>
      <c r="Z74" s="6">
        <f>'Results - raw data ReCiPe (E)'!DA65</f>
        <v>14.503479976805369</v>
      </c>
    </row>
    <row r="75" spans="1:53" outlineLevel="1" x14ac:dyDescent="0.35">
      <c r="A75" s="6" t="s">
        <v>115</v>
      </c>
      <c r="Z75" s="6">
        <f>'Results - raw data ReCiPe (E)'!DA66</f>
        <v>150.26316956661981</v>
      </c>
    </row>
    <row r="76" spans="1:53" outlineLevel="1" x14ac:dyDescent="0.35">
      <c r="A76" s="6" t="s">
        <v>45</v>
      </c>
      <c r="Z76" s="6">
        <f>'Results - raw data ReCiPe (E)'!DA67*AC47*AC48</f>
        <v>19.94256618773564</v>
      </c>
    </row>
    <row r="77" spans="1:53" outlineLevel="1" x14ac:dyDescent="0.35">
      <c r="A77" s="6" t="s">
        <v>116</v>
      </c>
      <c r="B77" s="6">
        <f>'Results - raw data ReCiPe (E)'!CC68</f>
        <v>1002.2532345357261</v>
      </c>
      <c r="C77" s="6">
        <f>'Results - raw data ReCiPe (E)'!CD68</f>
        <v>992.54241268132228</v>
      </c>
      <c r="D77" s="6">
        <f>'Results - raw data ReCiPe (E)'!CE68</f>
        <v>982.76907952971146</v>
      </c>
      <c r="E77" s="6">
        <f>'Results - raw data ReCiPe (E)'!CF68</f>
        <v>968.37815789759441</v>
      </c>
      <c r="F77" s="6">
        <f>'Results - raw data ReCiPe (E)'!CG68</f>
        <v>958.46475580946662</v>
      </c>
      <c r="G77" s="6">
        <f>'Results - raw data ReCiPe (E)'!CH68</f>
        <v>948.46600267142333</v>
      </c>
      <c r="H77" s="6">
        <f>'Results - raw data ReCiPe (E)'!CI68</f>
        <v>935.22469385907107</v>
      </c>
      <c r="I77" s="6">
        <f>'Results - raw data ReCiPe (E)'!CJ68</f>
        <v>922.0081961481834</v>
      </c>
      <c r="J77" s="6">
        <f>'Results - raw data ReCiPe (E)'!CK68</f>
        <v>906.04641641951764</v>
      </c>
      <c r="K77" s="6">
        <f>'Results - raw data ReCiPe (E)'!CL68</f>
        <v>892.83003869097888</v>
      </c>
      <c r="L77" s="6">
        <f>'Results - raw data ReCiPe (E)'!CM68</f>
        <v>879.57125123777155</v>
      </c>
      <c r="M77" s="6">
        <f>'Results - raw data ReCiPe (E)'!CN68</f>
        <v>862.21096677589401</v>
      </c>
      <c r="N77" s="6">
        <f>'Results - raw data ReCiPe (E)'!CO68</f>
        <v>844.94159176113419</v>
      </c>
      <c r="O77" s="6">
        <f>'Results - raw data ReCiPe (E)'!CP68</f>
        <v>826.9847790614333</v>
      </c>
      <c r="P77" s="6">
        <f>'Results - raw data ReCiPe (E)'!CQ68</f>
        <v>809.90918314563464</v>
      </c>
      <c r="Q77" s="6">
        <f>'Results - raw data ReCiPe (E)'!CR68</f>
        <v>792.9189308085422</v>
      </c>
      <c r="R77" s="6">
        <f>'Results - raw data ReCiPe (E)'!CS68</f>
        <v>780.71505395214228</v>
      </c>
      <c r="S77" s="6">
        <f>'Results - raw data ReCiPe (E)'!CT68</f>
        <v>768.58776830630893</v>
      </c>
      <c r="T77" s="6">
        <f>'Results - raw data ReCiPe (E)'!CU68</f>
        <v>755.92169116514378</v>
      </c>
      <c r="U77" s="6">
        <f>'Results - raw data ReCiPe (E)'!CV68</f>
        <v>743.9597511950426</v>
      </c>
      <c r="V77" s="6">
        <f>'Results - raw data ReCiPe (E)'!CW68</f>
        <v>732.07338633778875</v>
      </c>
      <c r="W77" s="6">
        <f>'Results - raw data ReCiPe (E)'!CX68</f>
        <v>729.74807912223457</v>
      </c>
      <c r="X77" s="6">
        <f>'Results - raw data ReCiPe (E)'!CY68</f>
        <v>727.41623510815828</v>
      </c>
      <c r="Y77" s="6">
        <f>'Results - raw data ReCiPe (E)'!CZ68</f>
        <v>725.10197470826199</v>
      </c>
      <c r="Z77" s="6">
        <f>'Results - raw data ReCiPe (E)'!DA68</f>
        <v>722.80509911141849</v>
      </c>
    </row>
    <row r="78" spans="1:53" outlineLevel="1" x14ac:dyDescent="0.35">
      <c r="A78" s="6" t="s">
        <v>758</v>
      </c>
      <c r="B78" s="6">
        <f>'Results - raw data ReCiPe (E)'!CC69*$AC$47</f>
        <v>2351.714163944283</v>
      </c>
      <c r="C78" s="6">
        <f>'Results - raw data ReCiPe (E)'!CD69*$AC$47</f>
        <v>2190.1673768340443</v>
      </c>
      <c r="D78" s="6">
        <f>'Results - raw data ReCiPe (E)'!CE69*$AC$47</f>
        <v>2029.3904072666951</v>
      </c>
      <c r="E78" s="6">
        <f>'Results - raw data ReCiPe (E)'!CF69*$AC$47</f>
        <v>1866.7911576758299</v>
      </c>
      <c r="F78" s="6">
        <f>'Results - raw data ReCiPe (E)'!CG69*$AC$47</f>
        <v>1707.502623292623</v>
      </c>
      <c r="G78" s="6">
        <f>'Results - raw data ReCiPe (E)'!CH69*$AC$47</f>
        <v>1548.9323074469849</v>
      </c>
      <c r="H78" s="6">
        <f>'Results - raw data ReCiPe (E)'!CI69*$AC$47</f>
        <v>1420.8989842219689</v>
      </c>
      <c r="I78" s="6">
        <f>'Results - raw data ReCiPe (E)'!CJ69*$AC$47</f>
        <v>1293.3308573942479</v>
      </c>
      <c r="J78" s="6">
        <f>'Results - raw data ReCiPe (E)'!CK69*$AC$47</f>
        <v>1164.1128877273279</v>
      </c>
      <c r="K78" s="6">
        <f>'Results - raw data ReCiPe (E)'!CL69*$AC$47</f>
        <v>1037.1732653147751</v>
      </c>
      <c r="L78" s="6">
        <f>'Results - raw data ReCiPe (E)'!CM69*$AC$47</f>
        <v>910.499631231639</v>
      </c>
      <c r="M78" s="6">
        <f>'Results - raw data ReCiPe (E)'!CN69*$AC$47</f>
        <v>808.7977242446666</v>
      </c>
      <c r="N78" s="6">
        <f>'Results - raw data ReCiPe (E)'!CO69*$AC$47</f>
        <v>706.74870524203391</v>
      </c>
      <c r="O78" s="6">
        <f>'Results - raw data ReCiPe (E)'!CP69*$AC$47</f>
        <v>603.92919067835487</v>
      </c>
      <c r="P78" s="6">
        <f>'Results - raw data ReCiPe (E)'!CQ69*$AC$47</f>
        <v>501.19625811265666</v>
      </c>
      <c r="Q78" s="6">
        <f>'Results - raw data ReCiPe (E)'!CR69*$AC$47</f>
        <v>398.1259448726446</v>
      </c>
      <c r="R78" s="6">
        <f>'Results - raw data ReCiPe (E)'!CS69*$AC$47</f>
        <v>340.44341692369227</v>
      </c>
      <c r="S78" s="6">
        <f>'Results - raw data ReCiPe (E)'!CT69*$AC$47</f>
        <v>282.62109837166611</v>
      </c>
      <c r="T78" s="6">
        <f>'Results - raw data ReCiPe (E)'!CU69*$AC$47</f>
        <v>224.30575139066821</v>
      </c>
      <c r="U78" s="6">
        <f>'Results - raw data ReCiPe (E)'!CV69*$AC$47</f>
        <v>166.2185040602605</v>
      </c>
      <c r="V78" s="6">
        <f>'Results - raw data ReCiPe (E)'!CW69*$AC$47</f>
        <v>108.02156568474821</v>
      </c>
      <c r="W78" s="6">
        <f>'Results - raw data ReCiPe (E)'!CX69*$AC$47</f>
        <v>87.588281224861447</v>
      </c>
      <c r="X78" s="6">
        <f>'Results - raw data ReCiPe (E)'!CY69*$AC$47</f>
        <v>66.962919108807966</v>
      </c>
      <c r="Y78" s="6">
        <f>'Results - raw data ReCiPe (E)'!CZ69*$AC$47</f>
        <v>46.333223064412451</v>
      </c>
      <c r="Z78" s="6">
        <f>'Results - raw data ReCiPe (E)'!DA69*$AC$47</f>
        <v>25.697533708808269</v>
      </c>
    </row>
    <row r="79" spans="1:53" outlineLevel="1" x14ac:dyDescent="0.35">
      <c r="A79" s="6" t="s">
        <v>759</v>
      </c>
      <c r="B79" s="6">
        <f>'Results - raw data ReCiPe (E)'!CC70</f>
        <v>0</v>
      </c>
      <c r="C79" s="6">
        <f>'Results - raw data ReCiPe (E)'!CD70</f>
        <v>0</v>
      </c>
      <c r="D79" s="6">
        <f>'Results - raw data ReCiPe (E)'!CE70</f>
        <v>0</v>
      </c>
      <c r="E79" s="6">
        <f>'Results - raw data ReCiPe (E)'!CF70</f>
        <v>0</v>
      </c>
      <c r="F79" s="6">
        <f>'Results - raw data ReCiPe (E)'!CG70</f>
        <v>0</v>
      </c>
      <c r="G79" s="6">
        <f>'Results - raw data ReCiPe (E)'!CH70</f>
        <v>0</v>
      </c>
      <c r="H79" s="6">
        <f>'Results - raw data ReCiPe (E)'!CI70</f>
        <v>0</v>
      </c>
      <c r="I79" s="6">
        <f>'Results - raw data ReCiPe (E)'!CJ70</f>
        <v>0</v>
      </c>
      <c r="J79" s="6">
        <f>'Results - raw data ReCiPe (E)'!CK70</f>
        <v>0</v>
      </c>
      <c r="K79" s="6">
        <f>'Results - raw data ReCiPe (E)'!CL70</f>
        <v>0</v>
      </c>
      <c r="L79" s="6">
        <f>'Results - raw data ReCiPe (E)'!CM70</f>
        <v>0</v>
      </c>
      <c r="M79" s="6">
        <f>'Results - raw data ReCiPe (E)'!CN70</f>
        <v>0</v>
      </c>
      <c r="N79" s="6">
        <f>'Results - raw data ReCiPe (E)'!CO70</f>
        <v>0</v>
      </c>
      <c r="O79" s="6">
        <f>'Results - raw data ReCiPe (E)'!CP70</f>
        <v>0</v>
      </c>
      <c r="P79" s="6">
        <f>'Results - raw data ReCiPe (E)'!CQ70</f>
        <v>0</v>
      </c>
      <c r="Q79" s="6">
        <f>'Results - raw data ReCiPe (E)'!CR70</f>
        <v>0</v>
      </c>
      <c r="R79" s="6">
        <f>'Results - raw data ReCiPe (E)'!CS70</f>
        <v>0</v>
      </c>
      <c r="S79" s="6">
        <f>'Results - raw data ReCiPe (E)'!CT70</f>
        <v>0</v>
      </c>
      <c r="T79" s="6">
        <f>'Results - raw data ReCiPe (E)'!CU70</f>
        <v>0</v>
      </c>
      <c r="U79" s="6">
        <f>'Results - raw data ReCiPe (E)'!CV70</f>
        <v>0</v>
      </c>
      <c r="V79" s="6">
        <f>'Results - raw data ReCiPe (E)'!CW70</f>
        <v>0</v>
      </c>
      <c r="W79" s="6">
        <f>'Results - raw data ReCiPe (E)'!CX70</f>
        <v>0</v>
      </c>
      <c r="X79" s="6">
        <f>'Results - raw data ReCiPe (E)'!CY70</f>
        <v>0</v>
      </c>
      <c r="Y79" s="6">
        <f>'Results - raw data ReCiPe (E)'!CZ70</f>
        <v>0</v>
      </c>
      <c r="Z79" s="6">
        <f>'Results - raw data ReCiPe (E)'!DA70</f>
        <v>0</v>
      </c>
    </row>
    <row r="80" spans="1:53" outlineLevel="1" x14ac:dyDescent="0.35">
      <c r="A80" s="6" t="s">
        <v>760</v>
      </c>
      <c r="B80" s="6">
        <f>'Results - raw data ReCiPe (E)'!CC71</f>
        <v>29333.972943862042</v>
      </c>
      <c r="C80" s="6">
        <f>'Results - raw data ReCiPe (E)'!CD71</f>
        <v>27292.80519406205</v>
      </c>
      <c r="D80" s="6">
        <f>'Results - raw data ReCiPe (E)'!CE71</f>
        <v>25252.457053391019</v>
      </c>
      <c r="E80" s="6">
        <f>'Results - raw data ReCiPe (E)'!CF71</f>
        <v>23183.885001695438</v>
      </c>
      <c r="F80" s="6">
        <f>'Results - raw data ReCiPe (E)'!CG71</f>
        <v>21144.555105579959</v>
      </c>
      <c r="G80" s="6">
        <f>'Results - raw data ReCiPe (E)'!CH71</f>
        <v>19105.454163521252</v>
      </c>
      <c r="H80" s="6">
        <f>'Results - raw data ReCiPe (E)'!CI71</f>
        <v>17446.94626211204</v>
      </c>
      <c r="I80" s="6">
        <f>'Results - raw data ReCiPe (E)'!CJ71</f>
        <v>15790.99526139489</v>
      </c>
      <c r="J80" s="6">
        <f>'Results - raw data ReCiPe (E)'!CK71</f>
        <v>14112.941779038551</v>
      </c>
      <c r="K80" s="6">
        <f>'Results - raw data ReCiPe (E)'!CL71</f>
        <v>12458.236000018969</v>
      </c>
      <c r="L80" s="6">
        <f>'Results - raw data ReCiPe (E)'!CM71</f>
        <v>10803.59805184265</v>
      </c>
      <c r="M80" s="6">
        <f>'Results - raw data ReCiPe (E)'!CN71</f>
        <v>9476.44403871336</v>
      </c>
      <c r="N80" s="6">
        <f>'Results - raw data ReCiPe (E)'!CO71</f>
        <v>8144.2445028166321</v>
      </c>
      <c r="O80" s="6">
        <f>'Results - raw data ReCiPe (E)'!CP71</f>
        <v>6802.2612894680433</v>
      </c>
      <c r="P80" s="6">
        <f>'Results - raw data ReCiPe (E)'!CQ71</f>
        <v>5460.1562049563308</v>
      </c>
      <c r="Q80" s="6">
        <f>'Results - raw data ReCiPe (E)'!CR71</f>
        <v>4113.1977144212233</v>
      </c>
      <c r="R80" s="6">
        <f>'Results - raw data ReCiPe (E)'!CS71</f>
        <v>3365.1819860143701</v>
      </c>
      <c r="S80" s="6">
        <f>'Results - raw data ReCiPe (E)'!CT71</f>
        <v>2617.48242761751</v>
      </c>
      <c r="T80" s="6">
        <f>'Results - raw data ReCiPe (E)'!CU71</f>
        <v>1866.1112904239531</v>
      </c>
      <c r="U80" s="6">
        <f>'Results - raw data ReCiPe (E)'!CV71</f>
        <v>1119.2985864149889</v>
      </c>
      <c r="V80" s="6">
        <f>'Results - raw data ReCiPe (E)'!CW71</f>
        <v>373.26129137393877</v>
      </c>
      <c r="W80" s="6">
        <f>'Results - raw data ReCiPe (E)'!CX71</f>
        <v>103.5106643353766</v>
      </c>
      <c r="X80" s="6">
        <f>'Results - raw data ReCiPe (E)'!CY71</f>
        <v>-169.81024892526969</v>
      </c>
      <c r="Y80" s="6">
        <f>'Results - raw data ReCiPe (E)'!CZ71</f>
        <v>-444.043635634579</v>
      </c>
      <c r="Z80" s="6">
        <f>'Results - raw data ReCiPe (E)'!DA71</f>
        <v>-719.2101930397281</v>
      </c>
    </row>
    <row r="81" spans="1:53" outlineLevel="1" x14ac:dyDescent="0.35">
      <c r="A81" s="23" t="s">
        <v>125</v>
      </c>
      <c r="B81" s="17">
        <f t="shared" ref="B81:Z81" si="9">SUM(B50:B80)</f>
        <v>60576.303139304102</v>
      </c>
      <c r="C81" s="17">
        <f t="shared" si="9"/>
        <v>30475.514983577417</v>
      </c>
      <c r="D81" s="17">
        <f t="shared" si="9"/>
        <v>28264.616540187424</v>
      </c>
      <c r="E81" s="17">
        <f t="shared" si="9"/>
        <v>26019.054317268863</v>
      </c>
      <c r="F81" s="17">
        <f t="shared" si="9"/>
        <v>23810.522484682049</v>
      </c>
      <c r="G81" s="17">
        <f t="shared" si="9"/>
        <v>21602.852473639661</v>
      </c>
      <c r="H81" s="17">
        <f t="shared" si="9"/>
        <v>19803.06994019308</v>
      </c>
      <c r="I81" s="17">
        <f t="shared" si="9"/>
        <v>18006.334314937321</v>
      </c>
      <c r="J81" s="17">
        <f t="shared" si="9"/>
        <v>16183.101083185396</v>
      </c>
      <c r="K81" s="17">
        <f t="shared" si="9"/>
        <v>14388.239304024723</v>
      </c>
      <c r="L81" s="17">
        <f t="shared" si="9"/>
        <v>12593.66893431206</v>
      </c>
      <c r="M81" s="17">
        <f t="shared" si="9"/>
        <v>11147.452729733921</v>
      </c>
      <c r="N81" s="17">
        <f t="shared" si="9"/>
        <v>9695.9347998198009</v>
      </c>
      <c r="O81" s="17">
        <f t="shared" si="9"/>
        <v>8233.1752592078319</v>
      </c>
      <c r="P81" s="17">
        <f t="shared" si="9"/>
        <v>6771.2616462146216</v>
      </c>
      <c r="Q81" s="17">
        <f t="shared" si="9"/>
        <v>5304.2425901024098</v>
      </c>
      <c r="R81" s="17">
        <f t="shared" si="9"/>
        <v>4486.3404568902042</v>
      </c>
      <c r="S81" s="17">
        <f t="shared" si="9"/>
        <v>3668.691294295485</v>
      </c>
      <c r="T81" s="17">
        <f t="shared" si="9"/>
        <v>2846.3387329797652</v>
      </c>
      <c r="U81" s="17">
        <f t="shared" si="9"/>
        <v>2029.4768416702921</v>
      </c>
      <c r="V81" s="17">
        <f t="shared" si="9"/>
        <v>1213.3562433964757</v>
      </c>
      <c r="W81" s="17">
        <f t="shared" si="9"/>
        <v>920.84702468247269</v>
      </c>
      <c r="X81" s="17">
        <f t="shared" si="9"/>
        <v>624.56890529169664</v>
      </c>
      <c r="Y81" s="17">
        <f t="shared" si="9"/>
        <v>327.39156213809542</v>
      </c>
      <c r="Z81" s="17">
        <f t="shared" si="9"/>
        <v>521.15466537607369</v>
      </c>
    </row>
    <row r="82" spans="1:53" outlineLevel="1" x14ac:dyDescent="0.35"/>
    <row r="83" spans="1:53" s="18" customFormat="1" ht="21" x14ac:dyDescent="0.5">
      <c r="A83" s="18" t="s">
        <v>94</v>
      </c>
    </row>
    <row r="84" spans="1:53" s="20" customFormat="1" outlineLevel="1" x14ac:dyDescent="0.35">
      <c r="A84" s="19" t="s">
        <v>767</v>
      </c>
    </row>
    <row r="85" spans="1:53" s="16" customFormat="1" outlineLevel="1" x14ac:dyDescent="0.35">
      <c r="A85" s="21"/>
      <c r="AB85" s="16" t="s">
        <v>47</v>
      </c>
      <c r="AC85" s="16">
        <v>1</v>
      </c>
      <c r="AD85" s="16" t="s">
        <v>146</v>
      </c>
    </row>
    <row r="86" spans="1:53" s="16" customFormat="1" outlineLevel="1" x14ac:dyDescent="0.35">
      <c r="A86" s="22" t="s">
        <v>566</v>
      </c>
      <c r="AC86" s="16">
        <f>AC85*1000</f>
        <v>1000</v>
      </c>
      <c r="AD86" s="16" t="s">
        <v>144</v>
      </c>
    </row>
    <row r="87" spans="1:53" s="16" customFormat="1" outlineLevel="1" x14ac:dyDescent="0.35">
      <c r="A87" s="22"/>
      <c r="AB87" s="16" t="s">
        <v>127</v>
      </c>
      <c r="AC87" s="16">
        <v>100</v>
      </c>
      <c r="AD87" s="16" t="s">
        <v>128</v>
      </c>
    </row>
    <row r="88" spans="1:53" s="16" customFormat="1" outlineLevel="1" x14ac:dyDescent="0.35">
      <c r="A88" s="22"/>
      <c r="AB88" s="16" t="s">
        <v>129</v>
      </c>
      <c r="AC88" s="16">
        <v>25</v>
      </c>
      <c r="AD88" s="16" t="s">
        <v>130</v>
      </c>
    </row>
    <row r="89" spans="1:53" outlineLevel="1" x14ac:dyDescent="0.35">
      <c r="B89" s="25">
        <v>2030</v>
      </c>
      <c r="C89" s="25">
        <v>2031</v>
      </c>
      <c r="D89" s="25">
        <v>2032</v>
      </c>
      <c r="E89" s="25">
        <v>2033</v>
      </c>
      <c r="F89" s="25">
        <v>2034</v>
      </c>
      <c r="G89" s="25">
        <v>2035</v>
      </c>
      <c r="H89" s="25">
        <v>2036</v>
      </c>
      <c r="I89" s="25">
        <v>2037</v>
      </c>
      <c r="J89" s="25">
        <v>2038</v>
      </c>
      <c r="K89" s="25">
        <v>2039</v>
      </c>
      <c r="L89" s="25">
        <v>2040</v>
      </c>
      <c r="M89" s="25">
        <v>2041</v>
      </c>
      <c r="N89" s="25">
        <v>2042</v>
      </c>
      <c r="O89" s="25">
        <v>2043</v>
      </c>
      <c r="P89" s="25">
        <v>2044</v>
      </c>
      <c r="Q89" s="25">
        <v>2045</v>
      </c>
      <c r="R89" s="25">
        <v>2046</v>
      </c>
      <c r="S89" s="25">
        <v>2047</v>
      </c>
      <c r="T89" s="25">
        <v>2048</v>
      </c>
      <c r="U89" s="25">
        <v>2049</v>
      </c>
      <c r="V89" s="25">
        <v>2050</v>
      </c>
      <c r="W89" s="25">
        <v>2051</v>
      </c>
      <c r="X89" s="25">
        <v>2052</v>
      </c>
      <c r="Y89" s="25">
        <v>2053</v>
      </c>
      <c r="Z89" s="25">
        <v>2054</v>
      </c>
      <c r="AC89" s="25">
        <v>2030</v>
      </c>
      <c r="AD89" s="25">
        <v>2031</v>
      </c>
      <c r="AE89" s="25">
        <v>2032</v>
      </c>
      <c r="AF89" s="25">
        <v>2033</v>
      </c>
      <c r="AG89" s="25">
        <v>2034</v>
      </c>
      <c r="AH89" s="25">
        <v>2035</v>
      </c>
      <c r="AI89" s="25">
        <v>2036</v>
      </c>
      <c r="AJ89" s="25">
        <v>2037</v>
      </c>
      <c r="AK89" s="25">
        <v>2038</v>
      </c>
      <c r="AL89" s="25">
        <v>2039</v>
      </c>
      <c r="AM89" s="25">
        <v>2040</v>
      </c>
      <c r="AN89" s="25">
        <v>2041</v>
      </c>
      <c r="AO89" s="25">
        <v>2042</v>
      </c>
      <c r="AP89" s="25">
        <v>2043</v>
      </c>
      <c r="AQ89" s="25">
        <v>2044</v>
      </c>
      <c r="AR89" s="25">
        <v>2045</v>
      </c>
      <c r="AS89" s="25">
        <v>2046</v>
      </c>
      <c r="AT89" s="25">
        <v>2047</v>
      </c>
      <c r="AU89" s="25">
        <v>2048</v>
      </c>
      <c r="AV89" s="25">
        <v>2049</v>
      </c>
      <c r="AW89" s="25">
        <v>2050</v>
      </c>
      <c r="AX89" s="25">
        <v>2051</v>
      </c>
      <c r="AY89" s="25">
        <v>2052</v>
      </c>
      <c r="AZ89" s="25">
        <v>2053</v>
      </c>
      <c r="BA89" s="25">
        <v>2054</v>
      </c>
    </row>
    <row r="90" spans="1:53" outlineLevel="1" x14ac:dyDescent="0.35">
      <c r="A90" s="6" t="s">
        <v>21</v>
      </c>
      <c r="B90" s="6">
        <f>'Results - raw data ReCiPe (E)'!CC77</f>
        <v>456.66549758974878</v>
      </c>
      <c r="AB90" s="6" t="s">
        <v>117</v>
      </c>
      <c r="AC90" s="6">
        <f>SUM(B90:B101)+B103</f>
        <v>18734.754242367293</v>
      </c>
    </row>
    <row r="91" spans="1:53" outlineLevel="1" x14ac:dyDescent="0.35">
      <c r="A91" s="6" t="s">
        <v>23</v>
      </c>
      <c r="B91" s="6">
        <f>'Results - raw data ReCiPe (E)'!CC78</f>
        <v>610.73079541271613</v>
      </c>
      <c r="AB91" s="6" t="s">
        <v>118</v>
      </c>
      <c r="AC91" s="6">
        <f>B102</f>
        <v>1806.9972059599825</v>
      </c>
    </row>
    <row r="92" spans="1:53" outlineLevel="1" x14ac:dyDescent="0.35">
      <c r="A92" s="6" t="s">
        <v>26</v>
      </c>
      <c r="B92" s="6">
        <f>'Results - raw data ReCiPe (E)'!CC79</f>
        <v>2011.039070131885</v>
      </c>
      <c r="AB92" s="6" t="s">
        <v>119</v>
      </c>
      <c r="BA92" s="6">
        <f>SUM(Z104:Z115)</f>
        <v>401.67894942234688</v>
      </c>
    </row>
    <row r="93" spans="1:53" outlineLevel="1" x14ac:dyDescent="0.35">
      <c r="A93" s="6" t="s">
        <v>28</v>
      </c>
      <c r="B93" s="6">
        <f>'Results - raw data ReCiPe (E)'!CC80</f>
        <v>1809.4907882550019</v>
      </c>
      <c r="AB93" s="6" t="s">
        <v>120</v>
      </c>
      <c r="BA93" s="6">
        <f>Z116</f>
        <v>18.734548309715944</v>
      </c>
    </row>
    <row r="94" spans="1:53" outlineLevel="1" x14ac:dyDescent="0.35">
      <c r="A94" s="6" t="s">
        <v>29</v>
      </c>
      <c r="B94" s="6">
        <f>'Results - raw data ReCiPe (E)'!CC81</f>
        <v>1003.521703680859</v>
      </c>
      <c r="AB94" s="6" t="s">
        <v>121</v>
      </c>
      <c r="AC94" s="6">
        <f>B117</f>
        <v>836.15304835919005</v>
      </c>
      <c r="AF94" s="6">
        <f>E117</f>
        <v>776.29424088243638</v>
      </c>
      <c r="AI94" s="6">
        <f>H117</f>
        <v>732.22544703005042</v>
      </c>
      <c r="AL94" s="6">
        <f>K117</f>
        <v>713.55013307811748</v>
      </c>
      <c r="AO94" s="6">
        <f>N117</f>
        <v>704.9299374269367</v>
      </c>
      <c r="AR94" s="6">
        <f>Q117</f>
        <v>699.39372002031462</v>
      </c>
      <c r="AU94" s="6">
        <f>T117</f>
        <v>693.68200539906138</v>
      </c>
      <c r="AX94" s="6">
        <f>W117</f>
        <v>688.82780991828383</v>
      </c>
      <c r="BA94" s="6">
        <f>Z117</f>
        <v>684.38892527547046</v>
      </c>
    </row>
    <row r="95" spans="1:53" outlineLevel="1" x14ac:dyDescent="0.35">
      <c r="A95" s="6" t="s">
        <v>31</v>
      </c>
      <c r="B95" s="6">
        <f>'Results - raw data ReCiPe (E)'!CC82</f>
        <v>818.35442339690667</v>
      </c>
      <c r="AB95" s="6" t="s">
        <v>122</v>
      </c>
      <c r="AC95" s="6">
        <f>B120+B119</f>
        <v>12738.04869252668</v>
      </c>
      <c r="AD95" s="6">
        <f t="shared" ref="AD95:BA95" si="10">C120+C119</f>
        <v>10478.749552531461</v>
      </c>
      <c r="AE95" s="6">
        <f t="shared" si="10"/>
        <v>8218.0108182124641</v>
      </c>
      <c r="AF95" s="6">
        <f t="shared" si="10"/>
        <v>5923.7647587629936</v>
      </c>
      <c r="AG95" s="6">
        <f t="shared" si="10"/>
        <v>3657.27663683117</v>
      </c>
      <c r="AH95" s="6">
        <f t="shared" si="10"/>
        <v>1387.97138516821</v>
      </c>
      <c r="AI95" s="6">
        <f t="shared" si="10"/>
        <v>684.9712252259709</v>
      </c>
      <c r="AJ95" s="6">
        <f t="shared" si="10"/>
        <v>-20.915231660612559</v>
      </c>
      <c r="AK95" s="6">
        <f t="shared" si="10"/>
        <v>-757.77154695561785</v>
      </c>
      <c r="AL95" s="6">
        <f t="shared" si="10"/>
        <v>-1470.426682177984</v>
      </c>
      <c r="AM95" s="6">
        <f t="shared" si="10"/>
        <v>-2186.0842806529108</v>
      </c>
      <c r="AN95" s="6">
        <f t="shared" si="10"/>
        <v>-2622.7163336528101</v>
      </c>
      <c r="AO95" s="6">
        <f t="shared" si="10"/>
        <v>-3058.1971890509931</v>
      </c>
      <c r="AP95" s="6">
        <f t="shared" si="10"/>
        <v>-3497.625559903247</v>
      </c>
      <c r="AQ95" s="6">
        <f t="shared" si="10"/>
        <v>-3930.759211855946</v>
      </c>
      <c r="AR95" s="6">
        <f t="shared" si="10"/>
        <v>-4362.897592900008</v>
      </c>
      <c r="AS95" s="6">
        <f t="shared" si="10"/>
        <v>-4891.5532944873103</v>
      </c>
      <c r="AT95" s="6">
        <f t="shared" si="10"/>
        <v>-5415.978521346904</v>
      </c>
      <c r="AU95" s="6">
        <f t="shared" si="10"/>
        <v>-5939.573347136863</v>
      </c>
      <c r="AV95" s="6">
        <f t="shared" si="10"/>
        <v>-6455.3844749702102</v>
      </c>
      <c r="AW95" s="6">
        <f t="shared" si="10"/>
        <v>-6967.0640599973112</v>
      </c>
      <c r="AX95" s="6">
        <f t="shared" si="10"/>
        <v>-7498.2388249949981</v>
      </c>
      <c r="AY95" s="6">
        <f t="shared" si="10"/>
        <v>-8032.4013649238459</v>
      </c>
      <c r="AZ95" s="6">
        <f t="shared" si="10"/>
        <v>-8568.0086214884395</v>
      </c>
      <c r="BA95" s="6">
        <f t="shared" si="10"/>
        <v>-9105.0801594301392</v>
      </c>
    </row>
    <row r="96" spans="1:53" outlineLevel="1" x14ac:dyDescent="0.35">
      <c r="A96" s="6" t="s">
        <v>34</v>
      </c>
      <c r="B96" s="6">
        <f>'Results - raw data ReCiPe (E)'!CC83</f>
        <v>477.29942450815997</v>
      </c>
      <c r="AB96" s="6" t="s">
        <v>123</v>
      </c>
      <c r="AC96" s="6">
        <f t="shared" ref="AC96:BA96" si="11">B118</f>
        <v>1064.178773872263</v>
      </c>
      <c r="AD96" s="6">
        <f t="shared" si="11"/>
        <v>887.70150060663673</v>
      </c>
      <c r="AE96" s="6">
        <f t="shared" si="11"/>
        <v>712.28289419117573</v>
      </c>
      <c r="AF96" s="6">
        <f t="shared" si="11"/>
        <v>535.1447661606876</v>
      </c>
      <c r="AG96" s="6">
        <f t="shared" si="11"/>
        <v>361.6110433195467</v>
      </c>
      <c r="AH96" s="6">
        <f t="shared" si="11"/>
        <v>189.00900792195162</v>
      </c>
      <c r="AI96" s="6">
        <f t="shared" si="11"/>
        <v>135.82208206701111</v>
      </c>
      <c r="AJ96" s="6">
        <f t="shared" si="11"/>
        <v>82.645308146514978</v>
      </c>
      <c r="AK96" s="6">
        <f t="shared" si="11"/>
        <v>27.178799907393408</v>
      </c>
      <c r="AL96" s="6">
        <f t="shared" si="11"/>
        <v>-26.038868515217199</v>
      </c>
      <c r="AM96" s="6">
        <f t="shared" si="11"/>
        <v>-79.251467758259324</v>
      </c>
      <c r="AN96" s="6">
        <f t="shared" si="11"/>
        <v>-112.2046290666368</v>
      </c>
      <c r="AO96" s="6">
        <f t="shared" si="11"/>
        <v>-145.11796913305719</v>
      </c>
      <c r="AP96" s="6">
        <f t="shared" si="11"/>
        <v>-178.4238384313507</v>
      </c>
      <c r="AQ96" s="6">
        <f t="shared" si="11"/>
        <v>-211.25293495554951</v>
      </c>
      <c r="AR96" s="6">
        <f t="shared" si="11"/>
        <v>-244.05437173072909</v>
      </c>
      <c r="AS96" s="6">
        <f t="shared" si="11"/>
        <v>-286.18405190110172</v>
      </c>
      <c r="AT96" s="6">
        <f t="shared" si="11"/>
        <v>-328.3603473128004</v>
      </c>
      <c r="AU96" s="6">
        <f t="shared" si="11"/>
        <v>-370.87072569568062</v>
      </c>
      <c r="AV96" s="6">
        <f t="shared" si="11"/>
        <v>-413.11591676598897</v>
      </c>
      <c r="AW96" s="6">
        <f t="shared" si="11"/>
        <v>-455.40369116783506</v>
      </c>
      <c r="AX96" s="6">
        <f t="shared" si="11"/>
        <v>-494.82446512450406</v>
      </c>
      <c r="AY96" s="6">
        <f t="shared" si="11"/>
        <v>-534.34164655585573</v>
      </c>
      <c r="AZ96" s="6">
        <f t="shared" si="11"/>
        <v>-573.84703923126597</v>
      </c>
      <c r="BA96" s="6">
        <f t="shared" si="11"/>
        <v>-613.34197781009084</v>
      </c>
    </row>
    <row r="97" spans="1:53" outlineLevel="1" x14ac:dyDescent="0.35">
      <c r="A97" s="6" t="s">
        <v>36</v>
      </c>
      <c r="B97" s="6">
        <f>'Results - raw data ReCiPe (E)'!CC84</f>
        <v>375.52857512831969</v>
      </c>
      <c r="AB97" s="6" t="s">
        <v>124</v>
      </c>
      <c r="AC97" s="6">
        <f>-$AC$7*$AC$6</f>
        <v>-100000</v>
      </c>
      <c r="AD97" s="6">
        <f t="shared" ref="AD97:BA97" si="12">-$AC$7*$AC$6</f>
        <v>-100000</v>
      </c>
      <c r="AE97" s="6">
        <f t="shared" si="12"/>
        <v>-100000</v>
      </c>
      <c r="AF97" s="6">
        <f t="shared" si="12"/>
        <v>-100000</v>
      </c>
      <c r="AG97" s="6">
        <f t="shared" si="12"/>
        <v>-100000</v>
      </c>
      <c r="AH97" s="6">
        <f t="shared" si="12"/>
        <v>-100000</v>
      </c>
      <c r="AI97" s="6">
        <f t="shared" si="12"/>
        <v>-100000</v>
      </c>
      <c r="AJ97" s="6">
        <f t="shared" si="12"/>
        <v>-100000</v>
      </c>
      <c r="AK97" s="6">
        <f t="shared" si="12"/>
        <v>-100000</v>
      </c>
      <c r="AL97" s="6">
        <f t="shared" si="12"/>
        <v>-100000</v>
      </c>
      <c r="AM97" s="6">
        <f t="shared" si="12"/>
        <v>-100000</v>
      </c>
      <c r="AN97" s="6">
        <f t="shared" si="12"/>
        <v>-100000</v>
      </c>
      <c r="AO97" s="6">
        <f t="shared" si="12"/>
        <v>-100000</v>
      </c>
      <c r="AP97" s="6">
        <f t="shared" si="12"/>
        <v>-100000</v>
      </c>
      <c r="AQ97" s="6">
        <f t="shared" si="12"/>
        <v>-100000</v>
      </c>
      <c r="AR97" s="6">
        <f t="shared" si="12"/>
        <v>-100000</v>
      </c>
      <c r="AS97" s="6">
        <f t="shared" si="12"/>
        <v>-100000</v>
      </c>
      <c r="AT97" s="6">
        <f t="shared" si="12"/>
        <v>-100000</v>
      </c>
      <c r="AU97" s="6">
        <f t="shared" si="12"/>
        <v>-100000</v>
      </c>
      <c r="AV97" s="6">
        <f t="shared" si="12"/>
        <v>-100000</v>
      </c>
      <c r="AW97" s="6">
        <f t="shared" si="12"/>
        <v>-100000</v>
      </c>
      <c r="AX97" s="6">
        <f t="shared" si="12"/>
        <v>-100000</v>
      </c>
      <c r="AY97" s="6">
        <f t="shared" si="12"/>
        <v>-100000</v>
      </c>
      <c r="AZ97" s="6">
        <f t="shared" si="12"/>
        <v>-100000</v>
      </c>
      <c r="BA97" s="6">
        <f t="shared" si="12"/>
        <v>-100000</v>
      </c>
    </row>
    <row r="98" spans="1:53" outlineLevel="1" x14ac:dyDescent="0.35">
      <c r="A98" s="6" t="s">
        <v>38</v>
      </c>
      <c r="B98" s="6">
        <f>'Results - raw data ReCiPe (E)'!CC85</f>
        <v>4033.598008635367</v>
      </c>
      <c r="AB98" s="23" t="s">
        <v>125</v>
      </c>
      <c r="AC98" s="17">
        <f t="shared" ref="AC98:BA98" si="13">SUM(AC90:AC97)</f>
        <v>-64819.868036914595</v>
      </c>
      <c r="AD98" s="17">
        <f t="shared" si="13"/>
        <v>-88633.548946861905</v>
      </c>
      <c r="AE98" s="17">
        <f t="shared" si="13"/>
        <v>-91069.70628759636</v>
      </c>
      <c r="AF98" s="17">
        <f t="shared" si="13"/>
        <v>-92764.796234193884</v>
      </c>
      <c r="AG98" s="17">
        <f t="shared" si="13"/>
        <v>-95981.112319849286</v>
      </c>
      <c r="AH98" s="17">
        <f t="shared" si="13"/>
        <v>-98423.019606909831</v>
      </c>
      <c r="AI98" s="17">
        <f t="shared" si="13"/>
        <v>-98446.981245676972</v>
      </c>
      <c r="AJ98" s="17">
        <f t="shared" si="13"/>
        <v>-99938.269923514104</v>
      </c>
      <c r="AK98" s="17">
        <f t="shared" si="13"/>
        <v>-100730.59274704823</v>
      </c>
      <c r="AL98" s="17">
        <f t="shared" si="13"/>
        <v>-100782.91541761508</v>
      </c>
      <c r="AM98" s="17">
        <f t="shared" si="13"/>
        <v>-102265.33574841118</v>
      </c>
      <c r="AN98" s="17">
        <f t="shared" si="13"/>
        <v>-102734.92096271945</v>
      </c>
      <c r="AO98" s="17">
        <f t="shared" si="13"/>
        <v>-102498.38522075712</v>
      </c>
      <c r="AP98" s="17">
        <f t="shared" si="13"/>
        <v>-103676.0493983346</v>
      </c>
      <c r="AQ98" s="17">
        <f t="shared" si="13"/>
        <v>-104142.0121468115</v>
      </c>
      <c r="AR98" s="17">
        <f t="shared" si="13"/>
        <v>-103907.55824461042</v>
      </c>
      <c r="AS98" s="17">
        <f t="shared" si="13"/>
        <v>-105177.73734638841</v>
      </c>
      <c r="AT98" s="17">
        <f t="shared" si="13"/>
        <v>-105744.3388686597</v>
      </c>
      <c r="AU98" s="17">
        <f t="shared" si="13"/>
        <v>-105616.76206743348</v>
      </c>
      <c r="AV98" s="17">
        <f t="shared" si="13"/>
        <v>-106868.5003917362</v>
      </c>
      <c r="AW98" s="17">
        <f t="shared" si="13"/>
        <v>-107422.46775116515</v>
      </c>
      <c r="AX98" s="17">
        <f t="shared" si="13"/>
        <v>-107304.23548020121</v>
      </c>
      <c r="AY98" s="17">
        <f t="shared" si="13"/>
        <v>-108566.7430114797</v>
      </c>
      <c r="AZ98" s="17">
        <f t="shared" si="13"/>
        <v>-109141.85566071971</v>
      </c>
      <c r="BA98" s="17">
        <f t="shared" si="13"/>
        <v>-108613.6197142327</v>
      </c>
    </row>
    <row r="99" spans="1:53" outlineLevel="1" x14ac:dyDescent="0.35">
      <c r="A99" s="6" t="s">
        <v>39</v>
      </c>
      <c r="B99" s="6">
        <f>'Results - raw data ReCiPe (E)'!CC86</f>
        <v>5135.8538998225358</v>
      </c>
    </row>
    <row r="100" spans="1:53" outlineLevel="1" x14ac:dyDescent="0.35">
      <c r="A100" s="6" t="s">
        <v>41</v>
      </c>
      <c r="B100" s="6">
        <f>'Results - raw data ReCiPe (E)'!CC87</f>
        <v>73.216263230169957</v>
      </c>
    </row>
    <row r="101" spans="1:53" outlineLevel="1" x14ac:dyDescent="0.35">
      <c r="A101" s="6" t="s">
        <v>43</v>
      </c>
      <c r="B101" s="6">
        <f>'Results - raw data ReCiPe (E)'!CC88</f>
        <v>443.20246971044838</v>
      </c>
      <c r="AB101" s="187"/>
      <c r="AC101" s="187"/>
      <c r="AD101" s="187"/>
      <c r="AE101" s="187"/>
      <c r="AF101" s="187"/>
      <c r="AG101" s="187"/>
      <c r="AH101" s="187"/>
      <c r="AI101" s="187"/>
      <c r="AJ101" s="187"/>
      <c r="AK101" s="187"/>
      <c r="AL101" s="187"/>
      <c r="AM101" s="187"/>
      <c r="AN101" s="187"/>
      <c r="AO101" s="187"/>
      <c r="AP101" s="187"/>
      <c r="AQ101" s="187"/>
      <c r="AR101" s="187"/>
      <c r="AS101" s="187"/>
      <c r="AT101" s="187"/>
      <c r="AU101" s="187"/>
      <c r="AV101" s="187"/>
      <c r="AW101" s="187"/>
      <c r="AX101" s="187"/>
      <c r="AY101" s="187"/>
      <c r="AZ101" s="187"/>
      <c r="BA101" s="187"/>
    </row>
    <row r="102" spans="1:53" outlineLevel="1" x14ac:dyDescent="0.35">
      <c r="A102" s="6" t="s">
        <v>44</v>
      </c>
      <c r="B102" s="6">
        <f>'Results - raw data ReCiPe (E)'!CC89*AC87*AC88</f>
        <v>1806.9972059599825</v>
      </c>
      <c r="AB102" s="187"/>
      <c r="AC102" s="187"/>
      <c r="AD102" s="187"/>
      <c r="AE102" s="187"/>
      <c r="AF102" s="187"/>
      <c r="AG102" s="187"/>
      <c r="AH102" s="187"/>
      <c r="AI102" s="187"/>
      <c r="AJ102" s="187"/>
      <c r="AK102" s="187"/>
      <c r="AL102" s="187"/>
      <c r="AM102" s="187"/>
      <c r="AN102" s="187"/>
      <c r="AO102" s="187"/>
      <c r="AP102" s="187"/>
      <c r="AQ102" s="187"/>
      <c r="AR102" s="187"/>
      <c r="AS102" s="187"/>
      <c r="AT102" s="187"/>
      <c r="AU102" s="187"/>
      <c r="AV102" s="187"/>
      <c r="AW102" s="187"/>
      <c r="AX102" s="187"/>
      <c r="AY102" s="187"/>
      <c r="AZ102" s="187"/>
      <c r="BA102" s="187"/>
    </row>
    <row r="103" spans="1:53" outlineLevel="1" x14ac:dyDescent="0.35">
      <c r="A103" s="6" t="s">
        <v>757</v>
      </c>
      <c r="B103" s="6">
        <f>'Results - raw data ReCiPe (E)'!CC90*AC88*AC87</f>
        <v>1486.2533228651723</v>
      </c>
      <c r="AB103" s="187"/>
      <c r="AC103" s="187"/>
      <c r="AD103" s="187"/>
      <c r="AE103" s="187"/>
      <c r="AF103" s="187"/>
      <c r="AG103" s="187"/>
      <c r="AH103" s="187"/>
      <c r="AI103" s="187"/>
      <c r="AJ103" s="187"/>
      <c r="AK103" s="187"/>
      <c r="AL103" s="187"/>
      <c r="AM103" s="187"/>
      <c r="AN103" s="187"/>
      <c r="AO103" s="187"/>
      <c r="AP103" s="187"/>
      <c r="AQ103" s="187"/>
      <c r="AR103" s="187"/>
      <c r="AS103" s="187"/>
      <c r="AT103" s="187"/>
      <c r="AU103" s="187"/>
      <c r="AV103" s="187"/>
      <c r="AW103" s="187"/>
      <c r="AX103" s="187"/>
      <c r="AY103" s="187"/>
      <c r="AZ103" s="187"/>
      <c r="BA103" s="187"/>
    </row>
    <row r="104" spans="1:53" outlineLevel="1" x14ac:dyDescent="0.35">
      <c r="A104" s="6" t="s">
        <v>22</v>
      </c>
      <c r="Z104" s="6">
        <f>'Results - raw data ReCiPe (E)'!DA91</f>
        <v>17.108169512583981</v>
      </c>
      <c r="AB104" s="187"/>
      <c r="AC104" s="187"/>
      <c r="AD104" s="187"/>
      <c r="AE104" s="187"/>
      <c r="AF104" s="187"/>
      <c r="AG104" s="187"/>
      <c r="AH104" s="187"/>
      <c r="AI104" s="187"/>
      <c r="AJ104" s="187"/>
      <c r="AK104" s="187"/>
      <c r="AL104" s="187"/>
      <c r="AM104" s="187"/>
      <c r="AN104" s="187"/>
      <c r="AO104" s="187"/>
      <c r="AP104" s="187"/>
      <c r="AQ104" s="187"/>
      <c r="AR104" s="187"/>
      <c r="AS104" s="187"/>
      <c r="AT104" s="187"/>
      <c r="AU104" s="187"/>
      <c r="AV104" s="187"/>
      <c r="AW104" s="187"/>
      <c r="AX104" s="187"/>
      <c r="AY104" s="187"/>
      <c r="AZ104" s="187"/>
      <c r="BA104" s="187"/>
    </row>
    <row r="105" spans="1:53" outlineLevel="1" x14ac:dyDescent="0.35">
      <c r="A105" s="6" t="s">
        <v>24</v>
      </c>
      <c r="Z105" s="6">
        <f>'Results - raw data ReCiPe (E)'!DA92</f>
        <v>5.8437365588470422</v>
      </c>
      <c r="AB105" s="187"/>
      <c r="AC105" s="187"/>
      <c r="AD105" s="187"/>
      <c r="AE105" s="187"/>
      <c r="AF105" s="187"/>
      <c r="AG105" s="187"/>
      <c r="AH105" s="187"/>
      <c r="AI105" s="187"/>
      <c r="AJ105" s="187"/>
      <c r="AK105" s="187"/>
      <c r="AL105" s="187"/>
      <c r="AM105" s="187"/>
      <c r="AN105" s="187"/>
      <c r="AO105" s="187"/>
      <c r="AP105" s="187"/>
      <c r="AQ105" s="187"/>
      <c r="AR105" s="187"/>
      <c r="AS105" s="187"/>
      <c r="AT105" s="187"/>
      <c r="AU105" s="187"/>
      <c r="AV105" s="187"/>
      <c r="AW105" s="187"/>
      <c r="AX105" s="187"/>
      <c r="AY105" s="187"/>
      <c r="AZ105" s="187"/>
      <c r="BA105" s="187"/>
    </row>
    <row r="106" spans="1:53" outlineLevel="1" x14ac:dyDescent="0.35">
      <c r="A106" s="6" t="s">
        <v>25</v>
      </c>
      <c r="Z106" s="6">
        <f>'Results - raw data ReCiPe (E)'!DA93</f>
        <v>17.66442071885713</v>
      </c>
      <c r="AB106" s="187"/>
      <c r="AC106" s="187"/>
      <c r="AD106" s="187"/>
      <c r="AE106" s="187"/>
      <c r="AF106" s="187"/>
      <c r="AG106" s="187"/>
      <c r="AH106" s="187"/>
      <c r="AI106" s="187"/>
      <c r="AJ106" s="187"/>
      <c r="AK106" s="187"/>
      <c r="AL106" s="187"/>
      <c r="AM106" s="187"/>
      <c r="AN106" s="187"/>
      <c r="AO106" s="187"/>
      <c r="AP106" s="187"/>
      <c r="AQ106" s="187"/>
      <c r="AR106" s="187"/>
      <c r="AS106" s="187"/>
      <c r="AT106" s="187"/>
      <c r="AU106" s="187"/>
      <c r="AV106" s="187"/>
      <c r="AW106" s="187"/>
      <c r="AX106" s="187"/>
      <c r="AY106" s="187"/>
      <c r="AZ106" s="187"/>
      <c r="BA106" s="187"/>
    </row>
    <row r="107" spans="1:53" outlineLevel="1" x14ac:dyDescent="0.35">
      <c r="A107" s="6" t="s">
        <v>27</v>
      </c>
      <c r="Z107" s="6">
        <f>'Results - raw data ReCiPe (E)'!DA94</f>
        <v>4.6759875984260919</v>
      </c>
      <c r="AB107" s="187"/>
      <c r="AC107" s="187"/>
      <c r="AD107" s="187"/>
      <c r="AE107" s="187"/>
      <c r="AF107" s="187"/>
      <c r="AG107" s="187"/>
      <c r="AH107" s="187"/>
      <c r="AI107" s="187"/>
      <c r="AJ107" s="187"/>
      <c r="AK107" s="187"/>
      <c r="AL107" s="187"/>
      <c r="AM107" s="187"/>
      <c r="AN107" s="187"/>
      <c r="AO107" s="187"/>
      <c r="AP107" s="187"/>
      <c r="AQ107" s="187"/>
      <c r="AR107" s="187"/>
      <c r="AS107" s="187"/>
      <c r="AT107" s="187"/>
      <c r="AU107" s="187"/>
      <c r="AV107" s="187"/>
      <c r="AW107" s="187"/>
      <c r="AX107" s="187"/>
      <c r="AY107" s="187"/>
      <c r="AZ107" s="187"/>
      <c r="BA107" s="187"/>
    </row>
    <row r="108" spans="1:53" outlineLevel="1" x14ac:dyDescent="0.35">
      <c r="A108" s="6" t="s">
        <v>30</v>
      </c>
      <c r="Z108" s="6">
        <f>'Results - raw data ReCiPe (E)'!DA95</f>
        <v>22.323646651384621</v>
      </c>
      <c r="AB108" s="187"/>
      <c r="AC108" s="187"/>
      <c r="AD108" s="187"/>
      <c r="AE108" s="187"/>
      <c r="AF108" s="187"/>
      <c r="AG108" s="187"/>
      <c r="AH108" s="187"/>
      <c r="AI108" s="187"/>
      <c r="AJ108" s="187"/>
      <c r="AK108" s="187"/>
      <c r="AL108" s="187"/>
      <c r="AM108" s="187"/>
      <c r="AN108" s="187"/>
      <c r="AO108" s="187"/>
      <c r="AP108" s="187"/>
      <c r="AQ108" s="187"/>
      <c r="AR108" s="187"/>
      <c r="AS108" s="187"/>
      <c r="AT108" s="187"/>
      <c r="AU108" s="187"/>
      <c r="AV108" s="187"/>
      <c r="AW108" s="187"/>
      <c r="AX108" s="187"/>
      <c r="AY108" s="187"/>
      <c r="AZ108" s="187"/>
      <c r="BA108" s="187"/>
    </row>
    <row r="109" spans="1:53" outlineLevel="1" x14ac:dyDescent="0.35">
      <c r="A109" s="6" t="s">
        <v>32</v>
      </c>
      <c r="Z109" s="6">
        <f>'Results - raw data ReCiPe (E)'!DA96</f>
        <v>0.42342899875320889</v>
      </c>
      <c r="AB109" s="187"/>
      <c r="AC109" s="187"/>
      <c r="AD109" s="187"/>
      <c r="AE109" s="187"/>
      <c r="AF109" s="187"/>
      <c r="AG109" s="187"/>
      <c r="AH109" s="187"/>
      <c r="AI109" s="187"/>
      <c r="AJ109" s="187"/>
      <c r="AK109" s="187"/>
      <c r="AL109" s="187"/>
      <c r="AM109" s="187"/>
      <c r="AN109" s="187"/>
      <c r="AO109" s="187"/>
      <c r="AP109" s="187"/>
      <c r="AQ109" s="187"/>
      <c r="AR109" s="187"/>
      <c r="AS109" s="187"/>
      <c r="AT109" s="187"/>
      <c r="AU109" s="187"/>
      <c r="AV109" s="187"/>
      <c r="AW109" s="187"/>
      <c r="AX109" s="187"/>
      <c r="AY109" s="187"/>
      <c r="AZ109" s="187"/>
      <c r="BA109" s="187"/>
    </row>
    <row r="110" spans="1:53" outlineLevel="1" x14ac:dyDescent="0.35">
      <c r="A110" s="6" t="s">
        <v>33</v>
      </c>
      <c r="Z110" s="6">
        <f>'Results - raw data ReCiPe (E)'!DA97</f>
        <v>5.2794316905419718</v>
      </c>
      <c r="AB110" s="187"/>
      <c r="AC110" s="187"/>
      <c r="AD110" s="187"/>
      <c r="AE110" s="187"/>
      <c r="AF110" s="187"/>
      <c r="AG110" s="187"/>
      <c r="AH110" s="187"/>
      <c r="AI110" s="187"/>
      <c r="AJ110" s="187"/>
      <c r="AK110" s="187"/>
      <c r="AL110" s="187"/>
      <c r="AM110" s="187"/>
      <c r="AN110" s="187"/>
      <c r="AO110" s="187"/>
      <c r="AP110" s="187"/>
      <c r="AQ110" s="187"/>
      <c r="AR110" s="187"/>
      <c r="AS110" s="187"/>
      <c r="AT110" s="187"/>
      <c r="AU110" s="187"/>
      <c r="AV110" s="187"/>
      <c r="AW110" s="187"/>
      <c r="AX110" s="187"/>
      <c r="AY110" s="187"/>
      <c r="AZ110" s="187"/>
      <c r="BA110" s="187"/>
    </row>
    <row r="111" spans="1:53" outlineLevel="1" x14ac:dyDescent="0.35">
      <c r="A111" s="6" t="s">
        <v>35</v>
      </c>
      <c r="Z111" s="6">
        <f>'Results - raw data ReCiPe (E)'!DA98</f>
        <v>10.55886338108394</v>
      </c>
      <c r="AB111" s="187"/>
      <c r="AC111" s="187"/>
      <c r="AD111" s="187"/>
      <c r="AE111" s="187"/>
      <c r="AF111" s="187"/>
      <c r="AG111" s="187"/>
      <c r="AH111" s="187"/>
      <c r="AI111" s="187"/>
      <c r="AJ111" s="187"/>
      <c r="AK111" s="187"/>
      <c r="AL111" s="187"/>
      <c r="AM111" s="187"/>
      <c r="AN111" s="187"/>
      <c r="AO111" s="187"/>
      <c r="AP111" s="187"/>
      <c r="AQ111" s="187"/>
      <c r="AR111" s="187"/>
      <c r="AS111" s="187"/>
      <c r="AT111" s="187"/>
      <c r="AU111" s="187"/>
      <c r="AV111" s="187"/>
      <c r="AW111" s="187"/>
      <c r="AX111" s="187"/>
      <c r="AY111" s="187"/>
      <c r="AZ111" s="187"/>
      <c r="BA111" s="187"/>
    </row>
    <row r="112" spans="1:53" outlineLevel="1" x14ac:dyDescent="0.35">
      <c r="A112" s="6" t="s">
        <v>37</v>
      </c>
      <c r="Z112" s="6">
        <f>'Results - raw data ReCiPe (E)'!DA99</f>
        <v>6.6587974459997392</v>
      </c>
      <c r="AB112" s="187"/>
      <c r="AC112" s="187"/>
      <c r="AD112" s="187"/>
      <c r="AE112" s="187"/>
      <c r="AF112" s="187"/>
      <c r="AG112" s="187"/>
      <c r="AH112" s="187"/>
      <c r="AI112" s="187"/>
      <c r="AJ112" s="187"/>
      <c r="AK112" s="187"/>
      <c r="AL112" s="187"/>
      <c r="AM112" s="187"/>
      <c r="AN112" s="187"/>
      <c r="AO112" s="187"/>
      <c r="AP112" s="187"/>
      <c r="AQ112" s="187"/>
      <c r="AR112" s="187"/>
      <c r="AS112" s="187"/>
      <c r="AT112" s="187"/>
      <c r="AU112" s="187"/>
      <c r="AV112" s="187"/>
      <c r="AW112" s="187"/>
      <c r="AX112" s="187"/>
      <c r="AY112" s="187"/>
      <c r="AZ112" s="187"/>
      <c r="BA112" s="187"/>
    </row>
    <row r="113" spans="1:53" outlineLevel="1" x14ac:dyDescent="0.35">
      <c r="A113" s="6" t="s">
        <v>40</v>
      </c>
      <c r="Z113" s="6">
        <f>'Results - raw data ReCiPe (E)'!DA100</f>
        <v>208.39175355172091</v>
      </c>
      <c r="AB113" s="187"/>
      <c r="AC113" s="187"/>
      <c r="AD113" s="187"/>
      <c r="AE113" s="187"/>
      <c r="AF113" s="187"/>
      <c r="AG113" s="187"/>
      <c r="AH113" s="187"/>
      <c r="AI113" s="187"/>
      <c r="AJ113" s="187"/>
      <c r="AK113" s="187"/>
      <c r="AL113" s="187"/>
      <c r="AM113" s="187"/>
      <c r="AN113" s="187"/>
      <c r="AO113" s="187"/>
      <c r="AP113" s="187"/>
      <c r="AQ113" s="187"/>
      <c r="AR113" s="187"/>
      <c r="AS113" s="187"/>
      <c r="AT113" s="187"/>
      <c r="AU113" s="187"/>
      <c r="AV113" s="187"/>
      <c r="AW113" s="187"/>
      <c r="AX113" s="187"/>
      <c r="AY113" s="187"/>
      <c r="AZ113" s="187"/>
      <c r="BA113" s="187"/>
    </row>
    <row r="114" spans="1:53" outlineLevel="1" x14ac:dyDescent="0.35">
      <c r="A114" s="6" t="s">
        <v>42</v>
      </c>
      <c r="Z114" s="6">
        <f>'Results - raw data ReCiPe (E)'!DA101</f>
        <v>11.234513250129609</v>
      </c>
      <c r="AB114" s="187"/>
      <c r="AC114" s="187"/>
      <c r="AD114" s="187"/>
      <c r="AE114" s="187"/>
      <c r="AF114" s="187"/>
      <c r="AG114" s="187"/>
      <c r="AH114" s="187"/>
      <c r="AI114" s="187"/>
      <c r="AJ114" s="187"/>
      <c r="AK114" s="187"/>
      <c r="AL114" s="187"/>
      <c r="AM114" s="187"/>
      <c r="AN114" s="187"/>
      <c r="AO114" s="187"/>
      <c r="AP114" s="187"/>
      <c r="AQ114" s="187"/>
      <c r="AR114" s="187"/>
      <c r="AS114" s="187"/>
      <c r="AT114" s="187"/>
      <c r="AU114" s="187"/>
      <c r="AV114" s="187"/>
      <c r="AW114" s="187"/>
      <c r="AX114" s="187"/>
      <c r="AY114" s="187"/>
      <c r="AZ114" s="187"/>
      <c r="BA114" s="187"/>
    </row>
    <row r="115" spans="1:53" outlineLevel="1" x14ac:dyDescent="0.35">
      <c r="A115" s="6" t="s">
        <v>115</v>
      </c>
      <c r="Z115" s="6">
        <f>'Results - raw data ReCiPe (E)'!DA102</f>
        <v>91.516200064018605</v>
      </c>
    </row>
    <row r="116" spans="1:53" outlineLevel="1" x14ac:dyDescent="0.35">
      <c r="A116" s="6" t="s">
        <v>45</v>
      </c>
      <c r="Z116" s="6">
        <f>'Results - raw data ReCiPe (E)'!DA103*AC87*AC88</f>
        <v>18.734548309715944</v>
      </c>
    </row>
    <row r="117" spans="1:53" outlineLevel="1" x14ac:dyDescent="0.35">
      <c r="A117" s="6" t="s">
        <v>116</v>
      </c>
      <c r="B117" s="6">
        <f>'Results - raw data ReCiPe (E)'!CC104</f>
        <v>836.15304835919005</v>
      </c>
      <c r="C117" s="6">
        <f>'Results - raw data ReCiPe (E)'!CD104</f>
        <v>817.78336582813949</v>
      </c>
      <c r="D117" s="6">
        <f>'Results - raw data ReCiPe (E)'!CE104</f>
        <v>799.19133391986463</v>
      </c>
      <c r="E117" s="6">
        <f>'Results - raw data ReCiPe (E)'!CF104</f>
        <v>776.29424088243638</v>
      </c>
      <c r="F117" s="6">
        <f>'Results - raw data ReCiPe (E)'!CG104</f>
        <v>757.23308494772095</v>
      </c>
      <c r="G117" s="6">
        <f>'Results - raw data ReCiPe (E)'!CH104</f>
        <v>737.84508987127867</v>
      </c>
      <c r="H117" s="6">
        <f>'Results - raw data ReCiPe (E)'!CI104</f>
        <v>732.22544703005042</v>
      </c>
      <c r="I117" s="6">
        <f>'Results - raw data ReCiPe (E)'!CJ104</f>
        <v>726.67207094534535</v>
      </c>
      <c r="J117" s="6">
        <f>'Results - raw data ReCiPe (E)'!CK104</f>
        <v>718.92674995060656</v>
      </c>
      <c r="K117" s="6">
        <f>'Results - raw data ReCiPe (E)'!CL104</f>
        <v>713.55013307811748</v>
      </c>
      <c r="L117" s="6">
        <f>'Results - raw data ReCiPe (E)'!CM104</f>
        <v>708.22503611488571</v>
      </c>
      <c r="M117" s="6">
        <f>'Results - raw data ReCiPe (E)'!CN104</f>
        <v>706.57775070944831</v>
      </c>
      <c r="N117" s="6">
        <f>'Results - raw data ReCiPe (E)'!CO104</f>
        <v>704.9299374269367</v>
      </c>
      <c r="O117" s="6">
        <f>'Results - raw data ReCiPe (E)'!CP104</f>
        <v>702.65416710120769</v>
      </c>
      <c r="P117" s="6">
        <f>'Results - raw data ReCiPe (E)'!CQ104</f>
        <v>701.02633944713705</v>
      </c>
      <c r="Q117" s="6">
        <f>'Results - raw data ReCiPe (E)'!CR104</f>
        <v>699.39372002031462</v>
      </c>
      <c r="R117" s="6">
        <f>'Results - raw data ReCiPe (E)'!CS104</f>
        <v>697.61471991921735</v>
      </c>
      <c r="S117" s="6">
        <f>'Results - raw data ReCiPe (E)'!CT104</f>
        <v>695.8546407020857</v>
      </c>
      <c r="T117" s="6">
        <f>'Results - raw data ReCiPe (E)'!CU104</f>
        <v>693.68200539906138</v>
      </c>
      <c r="U117" s="6">
        <f>'Results - raw data ReCiPe (E)'!CV104</f>
        <v>691.98224148303984</v>
      </c>
      <c r="V117" s="6">
        <f>'Results - raw data ReCiPe (E)'!CW104</f>
        <v>690.29879714395975</v>
      </c>
      <c r="W117" s="6">
        <f>'Results - raw data ReCiPe (E)'!CX104</f>
        <v>688.82780991828383</v>
      </c>
      <c r="X117" s="6">
        <f>'Results - raw data ReCiPe (E)'!CY104</f>
        <v>687.34128868081211</v>
      </c>
      <c r="Y117" s="6">
        <f>'Results - raw data ReCiPe (E)'!CZ104</f>
        <v>685.86168833886018</v>
      </c>
      <c r="Z117" s="6">
        <f>'Results - raw data ReCiPe (E)'!DA104</f>
        <v>684.38892527547046</v>
      </c>
    </row>
    <row r="118" spans="1:53" outlineLevel="1" x14ac:dyDescent="0.35">
      <c r="A118" s="6" t="s">
        <v>758</v>
      </c>
      <c r="B118" s="6">
        <f>'Results - raw data ReCiPe (E)'!CC105*$AC$87</f>
        <v>1064.178773872263</v>
      </c>
      <c r="C118" s="6">
        <f>'Results - raw data ReCiPe (E)'!CD105*$AC$87</f>
        <v>887.70150060663673</v>
      </c>
      <c r="D118" s="6">
        <f>'Results - raw data ReCiPe (E)'!CE105*$AC$87</f>
        <v>712.28289419117573</v>
      </c>
      <c r="E118" s="6">
        <f>'Results - raw data ReCiPe (E)'!CF105*$AC$87</f>
        <v>535.1447661606876</v>
      </c>
      <c r="F118" s="6">
        <f>'Results - raw data ReCiPe (E)'!CG105*$AC$87</f>
        <v>361.6110433195467</v>
      </c>
      <c r="G118" s="6">
        <f>'Results - raw data ReCiPe (E)'!CH105*$AC$87</f>
        <v>189.00900792195162</v>
      </c>
      <c r="H118" s="6">
        <f>'Results - raw data ReCiPe (E)'!CI105*$AC$87</f>
        <v>135.82208206701111</v>
      </c>
      <c r="I118" s="6">
        <f>'Results - raw data ReCiPe (E)'!CJ105*$AC$87</f>
        <v>82.645308146514978</v>
      </c>
      <c r="J118" s="6">
        <f>'Results - raw data ReCiPe (E)'!CK105*$AC$87</f>
        <v>27.178799907393408</v>
      </c>
      <c r="K118" s="6">
        <f>'Results - raw data ReCiPe (E)'!CL105*$AC$87</f>
        <v>-26.038868515217199</v>
      </c>
      <c r="L118" s="6">
        <f>'Results - raw data ReCiPe (E)'!CM105*$AC$87</f>
        <v>-79.251467758259324</v>
      </c>
      <c r="M118" s="6">
        <f>'Results - raw data ReCiPe (E)'!CN105*$AC$87</f>
        <v>-112.2046290666368</v>
      </c>
      <c r="N118" s="6">
        <f>'Results - raw data ReCiPe (E)'!CO105*$AC$87</f>
        <v>-145.11796913305719</v>
      </c>
      <c r="O118" s="6">
        <f>'Results - raw data ReCiPe (E)'!CP105*$AC$87</f>
        <v>-178.4238384313507</v>
      </c>
      <c r="P118" s="6">
        <f>'Results - raw data ReCiPe (E)'!CQ105*$AC$87</f>
        <v>-211.25293495554951</v>
      </c>
      <c r="Q118" s="6">
        <f>'Results - raw data ReCiPe (E)'!CR105*$AC$87</f>
        <v>-244.05437173072909</v>
      </c>
      <c r="R118" s="6">
        <f>'Results - raw data ReCiPe (E)'!CS105*$AC$87</f>
        <v>-286.18405190110172</v>
      </c>
      <c r="S118" s="6">
        <f>'Results - raw data ReCiPe (E)'!CT105*$AC$87</f>
        <v>-328.3603473128004</v>
      </c>
      <c r="T118" s="6">
        <f>'Results - raw data ReCiPe (E)'!CU105*$AC$87</f>
        <v>-370.87072569568062</v>
      </c>
      <c r="U118" s="6">
        <f>'Results - raw data ReCiPe (E)'!CV105*$AC$87</f>
        <v>-413.11591676598897</v>
      </c>
      <c r="V118" s="6">
        <f>'Results - raw data ReCiPe (E)'!CW105*$AC$87</f>
        <v>-455.40369116783506</v>
      </c>
      <c r="W118" s="6">
        <f>'Results - raw data ReCiPe (E)'!CX105*$AC$87</f>
        <v>-494.82446512450406</v>
      </c>
      <c r="X118" s="6">
        <f>'Results - raw data ReCiPe (E)'!CY105*$AC$87</f>
        <v>-534.34164655585573</v>
      </c>
      <c r="Y118" s="6">
        <f>'Results - raw data ReCiPe (E)'!CZ105*$AC$87</f>
        <v>-573.84703923126597</v>
      </c>
      <c r="Z118" s="6">
        <f>'Results - raw data ReCiPe (E)'!DA105*$AC$87</f>
        <v>-613.34197781009084</v>
      </c>
    </row>
    <row r="119" spans="1:53" outlineLevel="1" x14ac:dyDescent="0.35">
      <c r="A119" s="6" t="s">
        <v>759</v>
      </c>
      <c r="B119" s="6">
        <f>'Results - raw data ReCiPe (E)'!CC106</f>
        <v>0</v>
      </c>
      <c r="C119" s="6">
        <f>'Results - raw data ReCiPe (E)'!CD106</f>
        <v>0</v>
      </c>
      <c r="D119" s="6">
        <f>'Results - raw data ReCiPe (E)'!CE106</f>
        <v>0</v>
      </c>
      <c r="E119" s="6">
        <f>'Results - raw data ReCiPe (E)'!CF106</f>
        <v>0</v>
      </c>
      <c r="F119" s="6">
        <f>'Results - raw data ReCiPe (E)'!CG106</f>
        <v>0</v>
      </c>
      <c r="G119" s="6">
        <f>'Results - raw data ReCiPe (E)'!CH106</f>
        <v>0</v>
      </c>
      <c r="H119" s="6">
        <f>'Results - raw data ReCiPe (E)'!CI106</f>
        <v>0</v>
      </c>
      <c r="I119" s="6">
        <f>'Results - raw data ReCiPe (E)'!CJ106</f>
        <v>0</v>
      </c>
      <c r="J119" s="6">
        <f>'Results - raw data ReCiPe (E)'!CK106</f>
        <v>0</v>
      </c>
      <c r="K119" s="6">
        <f>'Results - raw data ReCiPe (E)'!CL106</f>
        <v>0</v>
      </c>
      <c r="L119" s="6">
        <f>'Results - raw data ReCiPe (E)'!CM106</f>
        <v>0</v>
      </c>
      <c r="M119" s="6">
        <f>'Results - raw data ReCiPe (E)'!CN106</f>
        <v>0</v>
      </c>
      <c r="N119" s="6">
        <f>'Results - raw data ReCiPe (E)'!CO106</f>
        <v>0</v>
      </c>
      <c r="O119" s="6">
        <f>'Results - raw data ReCiPe (E)'!CP106</f>
        <v>0</v>
      </c>
      <c r="P119" s="6">
        <f>'Results - raw data ReCiPe (E)'!CQ106</f>
        <v>0</v>
      </c>
      <c r="Q119" s="6">
        <f>'Results - raw data ReCiPe (E)'!CR106</f>
        <v>0</v>
      </c>
      <c r="R119" s="6">
        <f>'Results - raw data ReCiPe (E)'!CS106</f>
        <v>0</v>
      </c>
      <c r="S119" s="6">
        <f>'Results - raw data ReCiPe (E)'!CT106</f>
        <v>0</v>
      </c>
      <c r="T119" s="6">
        <f>'Results - raw data ReCiPe (E)'!CU106</f>
        <v>0</v>
      </c>
      <c r="U119" s="6">
        <f>'Results - raw data ReCiPe (E)'!CV106</f>
        <v>0</v>
      </c>
      <c r="V119" s="6">
        <f>'Results - raw data ReCiPe (E)'!CW106</f>
        <v>0</v>
      </c>
      <c r="W119" s="6">
        <f>'Results - raw data ReCiPe (E)'!CX106</f>
        <v>0</v>
      </c>
      <c r="X119" s="6">
        <f>'Results - raw data ReCiPe (E)'!CY106</f>
        <v>0</v>
      </c>
      <c r="Y119" s="6">
        <f>'Results - raw data ReCiPe (E)'!CZ106</f>
        <v>0</v>
      </c>
      <c r="Z119" s="6">
        <f>'Results - raw data ReCiPe (E)'!DA106</f>
        <v>0</v>
      </c>
    </row>
    <row r="120" spans="1:53" outlineLevel="1" x14ac:dyDescent="0.35">
      <c r="A120" s="6" t="s">
        <v>760</v>
      </c>
      <c r="B120" s="6">
        <f>'Results - raw data ReCiPe (E)'!CC107</f>
        <v>12738.04869252668</v>
      </c>
      <c r="C120" s="6">
        <f>'Results - raw data ReCiPe (E)'!CD107</f>
        <v>10478.749552531461</v>
      </c>
      <c r="D120" s="6">
        <f>'Results - raw data ReCiPe (E)'!CE107</f>
        <v>8218.0108182124641</v>
      </c>
      <c r="E120" s="6">
        <f>'Results - raw data ReCiPe (E)'!CF107</f>
        <v>5923.7647587629936</v>
      </c>
      <c r="F120" s="6">
        <f>'Results - raw data ReCiPe (E)'!CG107</f>
        <v>3657.27663683117</v>
      </c>
      <c r="G120" s="6">
        <f>'Results - raw data ReCiPe (E)'!CH107</f>
        <v>1387.97138516821</v>
      </c>
      <c r="H120" s="6">
        <f>'Results - raw data ReCiPe (E)'!CI107</f>
        <v>684.9712252259709</v>
      </c>
      <c r="I120" s="6">
        <f>'Results - raw data ReCiPe (E)'!CJ107</f>
        <v>-20.915231660612559</v>
      </c>
      <c r="J120" s="6">
        <f>'Results - raw data ReCiPe (E)'!CK107</f>
        <v>-757.77154695561785</v>
      </c>
      <c r="K120" s="6">
        <f>'Results - raw data ReCiPe (E)'!CL107</f>
        <v>-1470.426682177984</v>
      </c>
      <c r="L120" s="6">
        <f>'Results - raw data ReCiPe (E)'!CM107</f>
        <v>-2186.0842806529108</v>
      </c>
      <c r="M120" s="6">
        <f>'Results - raw data ReCiPe (E)'!CN107</f>
        <v>-2622.7163336528101</v>
      </c>
      <c r="N120" s="6">
        <f>'Results - raw data ReCiPe (E)'!CO107</f>
        <v>-3058.1971890509931</v>
      </c>
      <c r="O120" s="6">
        <f>'Results - raw data ReCiPe (E)'!CP107</f>
        <v>-3497.625559903247</v>
      </c>
      <c r="P120" s="6">
        <f>'Results - raw data ReCiPe (E)'!CQ107</f>
        <v>-3930.759211855946</v>
      </c>
      <c r="Q120" s="6">
        <f>'Results - raw data ReCiPe (E)'!CR107</f>
        <v>-4362.897592900008</v>
      </c>
      <c r="R120" s="6">
        <f>'Results - raw data ReCiPe (E)'!CS107</f>
        <v>-4891.5532944873103</v>
      </c>
      <c r="S120" s="6">
        <f>'Results - raw data ReCiPe (E)'!CT107</f>
        <v>-5415.978521346904</v>
      </c>
      <c r="T120" s="6">
        <f>'Results - raw data ReCiPe (E)'!CU107</f>
        <v>-5939.573347136863</v>
      </c>
      <c r="U120" s="6">
        <f>'Results - raw data ReCiPe (E)'!CV107</f>
        <v>-6455.3844749702102</v>
      </c>
      <c r="V120" s="6">
        <f>'Results - raw data ReCiPe (E)'!CW107</f>
        <v>-6967.0640599973112</v>
      </c>
      <c r="W120" s="6">
        <f>'Results - raw data ReCiPe (E)'!CX107</f>
        <v>-7498.2388249949981</v>
      </c>
      <c r="X120" s="6">
        <f>'Results - raw data ReCiPe (E)'!CY107</f>
        <v>-8032.4013649238459</v>
      </c>
      <c r="Y120" s="6">
        <f>'Results - raw data ReCiPe (E)'!CZ107</f>
        <v>-8568.0086214884395</v>
      </c>
      <c r="Z120" s="6">
        <f>'Results - raw data ReCiPe (E)'!DA107</f>
        <v>-9105.0801594301392</v>
      </c>
    </row>
    <row r="121" spans="1:53" outlineLevel="1" x14ac:dyDescent="0.35">
      <c r="A121" s="23" t="s">
        <v>125</v>
      </c>
      <c r="B121" s="17">
        <f t="shared" ref="B121:Z121" si="14">SUM(B90:B120)</f>
        <v>35180.131963085405</v>
      </c>
      <c r="C121" s="17">
        <f t="shared" si="14"/>
        <v>12184.234418966236</v>
      </c>
      <c r="D121" s="17">
        <f t="shared" si="14"/>
        <v>9729.4850463235052</v>
      </c>
      <c r="E121" s="17">
        <f t="shared" si="14"/>
        <v>7235.2037658061181</v>
      </c>
      <c r="F121" s="17">
        <f t="shared" si="14"/>
        <v>4776.1207650984379</v>
      </c>
      <c r="G121" s="17">
        <f t="shared" si="14"/>
        <v>2314.8254829614402</v>
      </c>
      <c r="H121" s="17">
        <f t="shared" si="14"/>
        <v>1553.0187543230325</v>
      </c>
      <c r="I121" s="17">
        <f t="shared" si="14"/>
        <v>788.40214743124773</v>
      </c>
      <c r="J121" s="17">
        <f t="shared" si="14"/>
        <v>-11.665997097617833</v>
      </c>
      <c r="K121" s="17">
        <f t="shared" si="14"/>
        <v>-782.91541761508381</v>
      </c>
      <c r="L121" s="17">
        <f t="shared" si="14"/>
        <v>-1557.1107122962844</v>
      </c>
      <c r="M121" s="17">
        <f t="shared" si="14"/>
        <v>-2028.3432120099988</v>
      </c>
      <c r="N121" s="17">
        <f t="shared" si="14"/>
        <v>-2498.3852207571135</v>
      </c>
      <c r="O121" s="17">
        <f t="shared" si="14"/>
        <v>-2973.3952312333899</v>
      </c>
      <c r="P121" s="17">
        <f t="shared" si="14"/>
        <v>-3440.9858073643586</v>
      </c>
      <c r="Q121" s="17">
        <f t="shared" si="14"/>
        <v>-3907.5582446104227</v>
      </c>
      <c r="R121" s="17">
        <f t="shared" si="14"/>
        <v>-4480.122626469195</v>
      </c>
      <c r="S121" s="17">
        <f t="shared" si="14"/>
        <v>-5048.4842279576187</v>
      </c>
      <c r="T121" s="17">
        <f t="shared" si="14"/>
        <v>-5616.7620674334821</v>
      </c>
      <c r="U121" s="17">
        <f t="shared" si="14"/>
        <v>-6176.5181502531595</v>
      </c>
      <c r="V121" s="17">
        <f t="shared" si="14"/>
        <v>-6732.1689540211864</v>
      </c>
      <c r="W121" s="17">
        <f t="shared" si="14"/>
        <v>-7304.2354802012187</v>
      </c>
      <c r="X121" s="17">
        <f t="shared" si="14"/>
        <v>-7879.4017227988898</v>
      </c>
      <c r="Y121" s="17">
        <f t="shared" si="14"/>
        <v>-8455.9939723808457</v>
      </c>
      <c r="Z121" s="17">
        <f t="shared" si="14"/>
        <v>-8613.6197142326964</v>
      </c>
    </row>
    <row r="122" spans="1:53" s="26" customFormat="1" outlineLevel="1" x14ac:dyDescent="0.35"/>
    <row r="123" spans="1:53" s="221" customFormat="1" ht="21" x14ac:dyDescent="0.5">
      <c r="A123" s="229" t="s">
        <v>850</v>
      </c>
    </row>
    <row r="124" spans="1:53" s="18" customFormat="1" ht="21" x14ac:dyDescent="0.5">
      <c r="A124" s="18" t="s">
        <v>72</v>
      </c>
    </row>
    <row r="125" spans="1:53" s="20" customFormat="1" outlineLevel="1" x14ac:dyDescent="0.35">
      <c r="A125" s="19" t="s">
        <v>766</v>
      </c>
    </row>
    <row r="126" spans="1:53" s="16" customFormat="1" outlineLevel="1" x14ac:dyDescent="0.35">
      <c r="A126" s="21"/>
      <c r="AB126" s="16" t="s">
        <v>47</v>
      </c>
      <c r="AC126" s="16">
        <v>1</v>
      </c>
      <c r="AD126" s="16" t="s">
        <v>146</v>
      </c>
      <c r="AE126" s="15"/>
    </row>
    <row r="127" spans="1:53" s="16" customFormat="1" outlineLevel="1" x14ac:dyDescent="0.35">
      <c r="A127" s="22" t="s">
        <v>566</v>
      </c>
      <c r="AC127" s="16">
        <f>AC126*1000</f>
        <v>1000</v>
      </c>
      <c r="AD127" s="16" t="s">
        <v>144</v>
      </c>
    </row>
    <row r="128" spans="1:53" s="16" customFormat="1" outlineLevel="1" x14ac:dyDescent="0.35">
      <c r="A128" s="22"/>
      <c r="AB128" s="16" t="s">
        <v>127</v>
      </c>
      <c r="AC128" s="16">
        <v>100</v>
      </c>
      <c r="AD128" s="16" t="s">
        <v>128</v>
      </c>
    </row>
    <row r="129" spans="1:53" s="16" customFormat="1" outlineLevel="1" x14ac:dyDescent="0.35">
      <c r="A129" s="230" t="s">
        <v>768</v>
      </c>
      <c r="AB129" s="16" t="s">
        <v>20</v>
      </c>
      <c r="AC129" s="16">
        <v>0.23</v>
      </c>
      <c r="AD129" s="16" t="s">
        <v>715</v>
      </c>
    </row>
    <row r="130" spans="1:53" s="16" customFormat="1" outlineLevel="1" x14ac:dyDescent="0.35">
      <c r="A130" s="22"/>
      <c r="AB130" s="16" t="s">
        <v>129</v>
      </c>
      <c r="AC130" s="16">
        <v>25</v>
      </c>
      <c r="AD130" s="16" t="s">
        <v>130</v>
      </c>
    </row>
    <row r="131" spans="1:53" outlineLevel="1" x14ac:dyDescent="0.35">
      <c r="B131" s="25">
        <v>2030</v>
      </c>
      <c r="C131" s="25">
        <v>2031</v>
      </c>
      <c r="D131" s="25">
        <v>2032</v>
      </c>
      <c r="E131" s="25">
        <v>2033</v>
      </c>
      <c r="F131" s="25">
        <v>2034</v>
      </c>
      <c r="G131" s="25">
        <v>2035</v>
      </c>
      <c r="H131" s="25">
        <v>2036</v>
      </c>
      <c r="I131" s="25">
        <v>2037</v>
      </c>
      <c r="J131" s="25">
        <v>2038</v>
      </c>
      <c r="K131" s="25">
        <v>2039</v>
      </c>
      <c r="L131" s="25">
        <v>2040</v>
      </c>
      <c r="M131" s="25">
        <v>2041</v>
      </c>
      <c r="N131" s="25">
        <v>2042</v>
      </c>
      <c r="O131" s="25">
        <v>2043</v>
      </c>
      <c r="P131" s="25">
        <v>2044</v>
      </c>
      <c r="Q131" s="25">
        <v>2045</v>
      </c>
      <c r="R131" s="25">
        <v>2046</v>
      </c>
      <c r="S131" s="25">
        <v>2047</v>
      </c>
      <c r="T131" s="25">
        <v>2048</v>
      </c>
      <c r="U131" s="25">
        <v>2049</v>
      </c>
      <c r="V131" s="25">
        <v>2050</v>
      </c>
      <c r="W131" s="25">
        <v>2051</v>
      </c>
      <c r="X131" s="25">
        <v>2052</v>
      </c>
      <c r="Y131" s="25">
        <v>2053</v>
      </c>
      <c r="Z131" s="25">
        <v>2054</v>
      </c>
      <c r="AC131" s="25">
        <v>2030</v>
      </c>
      <c r="AD131" s="25">
        <v>2031</v>
      </c>
      <c r="AE131" s="25">
        <v>2032</v>
      </c>
      <c r="AF131" s="25">
        <v>2033</v>
      </c>
      <c r="AG131" s="25">
        <v>2034</v>
      </c>
      <c r="AH131" s="25">
        <v>2035</v>
      </c>
      <c r="AI131" s="25">
        <v>2036</v>
      </c>
      <c r="AJ131" s="25">
        <v>2037</v>
      </c>
      <c r="AK131" s="25">
        <v>2038</v>
      </c>
      <c r="AL131" s="25">
        <v>2039</v>
      </c>
      <c r="AM131" s="25">
        <v>2040</v>
      </c>
      <c r="AN131" s="25">
        <v>2041</v>
      </c>
      <c r="AO131" s="25">
        <v>2042</v>
      </c>
      <c r="AP131" s="25">
        <v>2043</v>
      </c>
      <c r="AQ131" s="25">
        <v>2044</v>
      </c>
      <c r="AR131" s="25">
        <v>2045</v>
      </c>
      <c r="AS131" s="25">
        <v>2046</v>
      </c>
      <c r="AT131" s="25">
        <v>2047</v>
      </c>
      <c r="AU131" s="25">
        <v>2048</v>
      </c>
      <c r="AV131" s="25">
        <v>2049</v>
      </c>
      <c r="AW131" s="25">
        <v>2050</v>
      </c>
      <c r="AX131" s="25">
        <v>2051</v>
      </c>
      <c r="AY131" s="25">
        <v>2052</v>
      </c>
      <c r="AZ131" s="25">
        <v>2053</v>
      </c>
      <c r="BA131" s="25">
        <v>2054</v>
      </c>
    </row>
    <row r="132" spans="1:53" outlineLevel="1" x14ac:dyDescent="0.35">
      <c r="A132" s="6" t="s">
        <v>21</v>
      </c>
      <c r="B132" s="6">
        <f>'Results - raw data ReCiPe (E)'!CC5</f>
        <v>651.25812318150281</v>
      </c>
      <c r="AB132" s="6" t="s">
        <v>117</v>
      </c>
      <c r="AC132" s="6">
        <f>SUM(B132:B143)+B145</f>
        <v>28361.809087835707</v>
      </c>
    </row>
    <row r="133" spans="1:53" outlineLevel="1" x14ac:dyDescent="0.35">
      <c r="A133" s="6" t="s">
        <v>23</v>
      </c>
      <c r="B133" s="6">
        <f>'Results - raw data ReCiPe (E)'!CC6</f>
        <v>862.08257287646234</v>
      </c>
      <c r="AB133" s="6" t="s">
        <v>118</v>
      </c>
      <c r="AC133" s="6">
        <f>B144</f>
        <v>2219.4940594747154</v>
      </c>
    </row>
    <row r="134" spans="1:53" outlineLevel="1" x14ac:dyDescent="0.35">
      <c r="A134" s="6" t="s">
        <v>26</v>
      </c>
      <c r="B134" s="6">
        <f>'Results - raw data ReCiPe (E)'!CC7</f>
        <v>2656.784936094527</v>
      </c>
      <c r="AB134" s="6" t="s">
        <v>119</v>
      </c>
      <c r="BA134" s="6">
        <f>SUM(Z146:Z157)</f>
        <v>580.04942097986282</v>
      </c>
    </row>
    <row r="135" spans="1:53" outlineLevel="1" x14ac:dyDescent="0.35">
      <c r="A135" s="6" t="s">
        <v>28</v>
      </c>
      <c r="B135" s="6">
        <f>'Results - raw data ReCiPe (E)'!CC8</f>
        <v>2445.1830978739772</v>
      </c>
      <c r="AB135" s="6" t="s">
        <v>120</v>
      </c>
      <c r="BA135" s="6">
        <f>Z158</f>
        <v>21.40281274934447</v>
      </c>
    </row>
    <row r="136" spans="1:53" outlineLevel="1" x14ac:dyDescent="0.35">
      <c r="A136" s="6" t="s">
        <v>29</v>
      </c>
      <c r="B136" s="6">
        <f>'Results - raw data ReCiPe (E)'!CC9</f>
        <v>1458.226901918091</v>
      </c>
      <c r="AB136" s="6" t="s">
        <v>121</v>
      </c>
      <c r="AC136" s="6">
        <f>B159</f>
        <v>1037.493275938863</v>
      </c>
      <c r="AF136" s="6">
        <f>E159</f>
        <v>1027.697547156306</v>
      </c>
      <c r="AI136" s="6">
        <f>H159</f>
        <v>1025.202036574439</v>
      </c>
      <c r="AL136" s="6">
        <f>K159</f>
        <v>1025.3040187287079</v>
      </c>
      <c r="AO136" s="6">
        <f>N159</f>
        <v>1030.1790192937119</v>
      </c>
      <c r="AR136" s="6">
        <f>Q159</f>
        <v>1035.5510426582489</v>
      </c>
      <c r="AU136" s="6">
        <f>T159</f>
        <v>1022.5109258357249</v>
      </c>
      <c r="AX136" s="6">
        <f>W159</f>
        <v>1007.600052632234</v>
      </c>
      <c r="BA136" s="6">
        <f>Z159</f>
        <v>987.38631762704017</v>
      </c>
    </row>
    <row r="137" spans="1:53" outlineLevel="1" x14ac:dyDescent="0.35">
      <c r="A137" s="6" t="s">
        <v>31</v>
      </c>
      <c r="B137" s="6">
        <f>'Results - raw data ReCiPe (E)'!CC10</f>
        <v>1036.4455748921571</v>
      </c>
      <c r="AB137" s="6" t="s">
        <v>122</v>
      </c>
      <c r="AC137" s="6">
        <f>B162+B161</f>
        <v>26511.756058142531</v>
      </c>
      <c r="AD137" s="6">
        <f t="shared" ref="AD137:BA137" si="15">C162+C161</f>
        <v>26485.59824344853</v>
      </c>
      <c r="AE137" s="6">
        <f t="shared" si="15"/>
        <v>26459.640855552763</v>
      </c>
      <c r="AF137" s="6">
        <f t="shared" si="15"/>
        <v>26408.595951272724</v>
      </c>
      <c r="AG137" s="6">
        <f t="shared" si="15"/>
        <v>26383.137418468621</v>
      </c>
      <c r="AH137" s="6">
        <f t="shared" si="15"/>
        <v>26357.725179127527</v>
      </c>
      <c r="AI137" s="6">
        <f t="shared" si="15"/>
        <v>28328.573810127768</v>
      </c>
      <c r="AJ137" s="6">
        <f t="shared" si="15"/>
        <v>30296.964947641682</v>
      </c>
      <c r="AK137" s="6">
        <f t="shared" si="15"/>
        <v>32246.718200957217</v>
      </c>
      <c r="AL137" s="6">
        <f t="shared" si="15"/>
        <v>34213.160375131971</v>
      </c>
      <c r="AM137" s="6">
        <f t="shared" si="15"/>
        <v>36177.101294777785</v>
      </c>
      <c r="AN137" s="6">
        <f t="shared" si="15"/>
        <v>39675.359308165156</v>
      </c>
      <c r="AO137" s="6">
        <f t="shared" si="15"/>
        <v>43181.20552061632</v>
      </c>
      <c r="AP137" s="6">
        <f t="shared" si="15"/>
        <v>46691.6883807302</v>
      </c>
      <c r="AQ137" s="6">
        <f t="shared" si="15"/>
        <v>50212.531890328799</v>
      </c>
      <c r="AR137" s="6">
        <f t="shared" si="15"/>
        <v>53741.008670082585</v>
      </c>
      <c r="AS137" s="6">
        <f t="shared" si="15"/>
        <v>54333.458920398029</v>
      </c>
      <c r="AT137" s="6">
        <f t="shared" si="15"/>
        <v>54925.82082558539</v>
      </c>
      <c r="AU137" s="6">
        <f t="shared" si="15"/>
        <v>55515.448310045947</v>
      </c>
      <c r="AV137" s="6">
        <f t="shared" si="15"/>
        <v>56107.865340117183</v>
      </c>
      <c r="AW137" s="6">
        <f t="shared" si="15"/>
        <v>56700.347544148201</v>
      </c>
      <c r="AX137" s="6">
        <f t="shared" si="15"/>
        <v>55459.971841076593</v>
      </c>
      <c r="AY137" s="6">
        <f t="shared" si="15"/>
        <v>54069.341915194629</v>
      </c>
      <c r="AZ137" s="6">
        <f t="shared" si="15"/>
        <v>52674.199708612083</v>
      </c>
      <c r="BA137" s="6">
        <f t="shared" si="15"/>
        <v>51274.499762428422</v>
      </c>
    </row>
    <row r="138" spans="1:53" outlineLevel="1" x14ac:dyDescent="0.35">
      <c r="A138" s="6" t="s">
        <v>34</v>
      </c>
      <c r="B138" s="6">
        <f>'Results - raw data ReCiPe (E)'!CC11</f>
        <v>691.98724990181552</v>
      </c>
      <c r="AB138" s="6" t="s">
        <v>123</v>
      </c>
      <c r="AC138" s="6">
        <f t="shared" ref="AC138:BA138" si="16">B160</f>
        <v>2743.9771892642539</v>
      </c>
      <c r="AD138" s="6">
        <f t="shared" si="16"/>
        <v>2737.3661407894861</v>
      </c>
      <c r="AE138" s="6">
        <f t="shared" si="16"/>
        <v>2730.7728764204148</v>
      </c>
      <c r="AF138" s="6">
        <f t="shared" si="16"/>
        <v>2721.7527406765089</v>
      </c>
      <c r="AG138" s="6">
        <f t="shared" si="16"/>
        <v>2715.199466561869</v>
      </c>
      <c r="AH138" s="6">
        <f t="shared" si="16"/>
        <v>2708.6480619983449</v>
      </c>
      <c r="AI138" s="6">
        <f t="shared" si="16"/>
        <v>2901.0930184483618</v>
      </c>
      <c r="AJ138" s="6">
        <f t="shared" si="16"/>
        <v>3092.7286295864442</v>
      </c>
      <c r="AK138" s="6">
        <f t="shared" si="16"/>
        <v>3281.9814984845921</v>
      </c>
      <c r="AL138" s="6">
        <f t="shared" si="16"/>
        <v>3472.3015125199281</v>
      </c>
      <c r="AM138" s="6">
        <f t="shared" si="16"/>
        <v>3661.8152926740072</v>
      </c>
      <c r="AN138" s="6">
        <f t="shared" si="16"/>
        <v>4002.9824095637841</v>
      </c>
      <c r="AO138" s="6">
        <f t="shared" si="16"/>
        <v>4344.1070893422648</v>
      </c>
      <c r="AP138" s="6">
        <f t="shared" si="16"/>
        <v>4684.8958807889321</v>
      </c>
      <c r="AQ138" s="6">
        <f t="shared" si="16"/>
        <v>5025.9130293415083</v>
      </c>
      <c r="AR138" s="6">
        <f t="shared" si="16"/>
        <v>5366.8785654933899</v>
      </c>
      <c r="AS138" s="6">
        <f t="shared" si="16"/>
        <v>5419.7539496457648</v>
      </c>
      <c r="AT138" s="6">
        <f t="shared" si="16"/>
        <v>5472.5049329524281</v>
      </c>
      <c r="AU138" s="6">
        <f t="shared" si="16"/>
        <v>5524.8709599259801</v>
      </c>
      <c r="AV138" s="6">
        <f t="shared" si="16"/>
        <v>5577.3949781239262</v>
      </c>
      <c r="AW138" s="6">
        <f t="shared" si="16"/>
        <v>5629.8089703054502</v>
      </c>
      <c r="AX138" s="6">
        <f t="shared" si="16"/>
        <v>5497.8173591778768</v>
      </c>
      <c r="AY138" s="6">
        <f t="shared" si="16"/>
        <v>5351.7561811989463</v>
      </c>
      <c r="AZ138" s="6">
        <f t="shared" si="16"/>
        <v>5205.7941815858294</v>
      </c>
      <c r="BA138" s="6">
        <f t="shared" si="16"/>
        <v>5059.9281735392342</v>
      </c>
    </row>
    <row r="139" spans="1:53" outlineLevel="1" x14ac:dyDescent="0.35">
      <c r="A139" s="6" t="s">
        <v>36</v>
      </c>
      <c r="B139" s="6">
        <f>'Results - raw data ReCiPe (E)'!CC12</f>
        <v>596.53688010329222</v>
      </c>
      <c r="AB139" s="6" t="s">
        <v>124</v>
      </c>
      <c r="AC139" s="6">
        <f>-$AC$7*$AC$6</f>
        <v>-100000</v>
      </c>
      <c r="AD139" s="6">
        <f t="shared" ref="AD139:BA139" si="17">-$AC$7*$AC$6</f>
        <v>-100000</v>
      </c>
      <c r="AE139" s="6">
        <f t="shared" si="17"/>
        <v>-100000</v>
      </c>
      <c r="AF139" s="6">
        <f t="shared" si="17"/>
        <v>-100000</v>
      </c>
      <c r="AG139" s="6">
        <f t="shared" si="17"/>
        <v>-100000</v>
      </c>
      <c r="AH139" s="6">
        <f t="shared" si="17"/>
        <v>-100000</v>
      </c>
      <c r="AI139" s="6">
        <f t="shared" si="17"/>
        <v>-100000</v>
      </c>
      <c r="AJ139" s="6">
        <f t="shared" si="17"/>
        <v>-100000</v>
      </c>
      <c r="AK139" s="6">
        <f t="shared" si="17"/>
        <v>-100000</v>
      </c>
      <c r="AL139" s="6">
        <f t="shared" si="17"/>
        <v>-100000</v>
      </c>
      <c r="AM139" s="6">
        <f t="shared" si="17"/>
        <v>-100000</v>
      </c>
      <c r="AN139" s="6">
        <f t="shared" si="17"/>
        <v>-100000</v>
      </c>
      <c r="AO139" s="6">
        <f t="shared" si="17"/>
        <v>-100000</v>
      </c>
      <c r="AP139" s="6">
        <f t="shared" si="17"/>
        <v>-100000</v>
      </c>
      <c r="AQ139" s="6">
        <f t="shared" si="17"/>
        <v>-100000</v>
      </c>
      <c r="AR139" s="6">
        <f t="shared" si="17"/>
        <v>-100000</v>
      </c>
      <c r="AS139" s="6">
        <f t="shared" si="17"/>
        <v>-100000</v>
      </c>
      <c r="AT139" s="6">
        <f t="shared" si="17"/>
        <v>-100000</v>
      </c>
      <c r="AU139" s="6">
        <f t="shared" si="17"/>
        <v>-100000</v>
      </c>
      <c r="AV139" s="6">
        <f t="shared" si="17"/>
        <v>-100000</v>
      </c>
      <c r="AW139" s="6">
        <f t="shared" si="17"/>
        <v>-100000</v>
      </c>
      <c r="AX139" s="6">
        <f t="shared" si="17"/>
        <v>-100000</v>
      </c>
      <c r="AY139" s="6">
        <f t="shared" si="17"/>
        <v>-100000</v>
      </c>
      <c r="AZ139" s="6">
        <f t="shared" si="17"/>
        <v>-100000</v>
      </c>
      <c r="BA139" s="6">
        <f t="shared" si="17"/>
        <v>-100000</v>
      </c>
    </row>
    <row r="140" spans="1:53" outlineLevel="1" x14ac:dyDescent="0.35">
      <c r="A140" s="6" t="s">
        <v>38</v>
      </c>
      <c r="B140" s="6">
        <f>'Results - raw data ReCiPe (E)'!CC13</f>
        <v>5345.6598221409758</v>
      </c>
      <c r="AB140" s="23" t="s">
        <v>125</v>
      </c>
      <c r="AC140" s="17">
        <f t="shared" ref="AC140:BA140" si="18">SUM(AC132:AC139)</f>
        <v>-39125.470329343931</v>
      </c>
      <c r="AD140" s="17">
        <f t="shared" si="18"/>
        <v>-70777.035615761983</v>
      </c>
      <c r="AE140" s="17">
        <f t="shared" si="18"/>
        <v>-70809.586268026818</v>
      </c>
      <c r="AF140" s="17">
        <f t="shared" si="18"/>
        <v>-69841.953760894467</v>
      </c>
      <c r="AG140" s="17">
        <f t="shared" si="18"/>
        <v>-70901.663114969502</v>
      </c>
      <c r="AH140" s="17">
        <f t="shared" si="18"/>
        <v>-70933.626758874132</v>
      </c>
      <c r="AI140" s="17">
        <f t="shared" si="18"/>
        <v>-67745.131134849435</v>
      </c>
      <c r="AJ140" s="17">
        <f t="shared" si="18"/>
        <v>-66610.306422771871</v>
      </c>
      <c r="AK140" s="17">
        <f t="shared" si="18"/>
        <v>-64471.300300558192</v>
      </c>
      <c r="AL140" s="17">
        <f t="shared" si="18"/>
        <v>-61289.234093619394</v>
      </c>
      <c r="AM140" s="17">
        <f t="shared" si="18"/>
        <v>-60161.083412548207</v>
      </c>
      <c r="AN140" s="17">
        <f t="shared" si="18"/>
        <v>-56321.658282271062</v>
      </c>
      <c r="AO140" s="17">
        <f t="shared" si="18"/>
        <v>-51444.508370747702</v>
      </c>
      <c r="AP140" s="17">
        <f t="shared" si="18"/>
        <v>-48623.415738480864</v>
      </c>
      <c r="AQ140" s="17">
        <f t="shared" si="18"/>
        <v>-44761.555080329694</v>
      </c>
      <c r="AR140" s="17">
        <f t="shared" si="18"/>
        <v>-39856.561721765778</v>
      </c>
      <c r="AS140" s="17">
        <f t="shared" si="18"/>
        <v>-40246.78712995621</v>
      </c>
      <c r="AT140" s="17">
        <f t="shared" si="18"/>
        <v>-39601.674241462184</v>
      </c>
      <c r="AU140" s="17">
        <f t="shared" si="18"/>
        <v>-37937.169804192345</v>
      </c>
      <c r="AV140" s="17">
        <f t="shared" si="18"/>
        <v>-38314.739681758889</v>
      </c>
      <c r="AW140" s="17">
        <f t="shared" si="18"/>
        <v>-37669.843485546349</v>
      </c>
      <c r="AX140" s="17">
        <f t="shared" si="18"/>
        <v>-38034.6107471133</v>
      </c>
      <c r="AY140" s="17">
        <f t="shared" si="18"/>
        <v>-40578.901903606427</v>
      </c>
      <c r="AZ140" s="17">
        <f t="shared" si="18"/>
        <v>-42120.006109802089</v>
      </c>
      <c r="BA140" s="17">
        <f t="shared" si="18"/>
        <v>-42076.733512676095</v>
      </c>
    </row>
    <row r="141" spans="1:53" outlineLevel="1" x14ac:dyDescent="0.35">
      <c r="A141" s="6" t="s">
        <v>39</v>
      </c>
      <c r="B141" s="6">
        <f>'Results - raw data ReCiPe (E)'!CC14</f>
        <v>10336.805358145069</v>
      </c>
    </row>
    <row r="142" spans="1:53" outlineLevel="1" x14ac:dyDescent="0.35">
      <c r="A142" s="6" t="s">
        <v>41</v>
      </c>
      <c r="B142" s="6">
        <f>'Results - raw data ReCiPe (E)'!CC15</f>
        <v>97.949429025859729</v>
      </c>
    </row>
    <row r="143" spans="1:53" outlineLevel="1" x14ac:dyDescent="0.35">
      <c r="A143" s="6" t="s">
        <v>43</v>
      </c>
      <c r="B143" s="6">
        <f>'Results - raw data ReCiPe (E)'!CC16</f>
        <v>496.58841906124889</v>
      </c>
      <c r="AB143" s="219"/>
      <c r="AC143" s="219"/>
      <c r="AD143" s="219"/>
      <c r="AE143" s="219"/>
      <c r="AF143" s="219"/>
      <c r="AG143" s="219"/>
      <c r="AH143" s="219"/>
      <c r="AI143" s="219"/>
      <c r="AJ143" s="219"/>
      <c r="AK143" s="219"/>
      <c r="AL143" s="219"/>
      <c r="AM143" s="219"/>
      <c r="AN143" s="219"/>
      <c r="AO143" s="219"/>
      <c r="AP143" s="219"/>
      <c r="AQ143" s="219"/>
      <c r="AR143" s="219"/>
      <c r="AS143" s="219"/>
      <c r="AT143" s="219"/>
      <c r="AU143" s="219"/>
      <c r="AV143" s="219"/>
      <c r="AW143" s="219"/>
      <c r="AX143" s="219"/>
      <c r="AY143" s="219"/>
      <c r="AZ143" s="219"/>
      <c r="BA143" s="219"/>
    </row>
    <row r="144" spans="1:53" outlineLevel="1" x14ac:dyDescent="0.35">
      <c r="A144" s="6" t="s">
        <v>44</v>
      </c>
      <c r="B144" s="6">
        <f>'Results - raw data ReCiPe (E)'!CC17*AC128*AC130</f>
        <v>2219.4940594747154</v>
      </c>
      <c r="AB144" s="219"/>
      <c r="AC144" s="219"/>
      <c r="AD144" s="219"/>
      <c r="AE144" s="219"/>
      <c r="AF144" s="219"/>
      <c r="AG144" s="219"/>
      <c r="AH144" s="219"/>
      <c r="AI144" s="219"/>
      <c r="AJ144" s="219"/>
      <c r="AK144" s="219"/>
      <c r="AL144" s="219"/>
      <c r="AM144" s="219"/>
      <c r="AN144" s="219"/>
      <c r="AO144" s="219"/>
      <c r="AP144" s="219"/>
      <c r="AQ144" s="219"/>
      <c r="AR144" s="219"/>
      <c r="AS144" s="219"/>
      <c r="AT144" s="219"/>
      <c r="AU144" s="219"/>
      <c r="AV144" s="219"/>
      <c r="AW144" s="219"/>
      <c r="AX144" s="219"/>
      <c r="AY144" s="219"/>
      <c r="AZ144" s="219"/>
      <c r="BA144" s="219"/>
    </row>
    <row r="145" spans="1:53" outlineLevel="1" x14ac:dyDescent="0.35">
      <c r="A145" s="6" t="s">
        <v>757</v>
      </c>
      <c r="B145" s="6">
        <f>'Results - raw data ReCiPe (E)'!CC18*AC128*AC130</f>
        <v>1686.3007226207299</v>
      </c>
      <c r="AB145" s="219"/>
      <c r="AC145" s="219"/>
      <c r="AD145" s="219"/>
      <c r="AE145" s="219"/>
      <c r="AF145" s="219"/>
      <c r="AG145" s="219"/>
      <c r="AH145" s="219"/>
      <c r="AI145" s="219"/>
      <c r="AJ145" s="219"/>
      <c r="AK145" s="219"/>
      <c r="AL145" s="219"/>
      <c r="AM145" s="219"/>
      <c r="AN145" s="219"/>
      <c r="AO145" s="219"/>
      <c r="AP145" s="219"/>
      <c r="AQ145" s="219"/>
      <c r="AR145" s="219"/>
      <c r="AS145" s="219"/>
      <c r="AT145" s="219"/>
      <c r="AU145" s="219"/>
      <c r="AV145" s="219"/>
      <c r="AW145" s="219"/>
      <c r="AX145" s="219"/>
      <c r="AY145" s="219"/>
      <c r="AZ145" s="219"/>
      <c r="BA145" s="219"/>
    </row>
    <row r="146" spans="1:53" outlineLevel="1" x14ac:dyDescent="0.35">
      <c r="A146" s="6" t="s">
        <v>22</v>
      </c>
      <c r="Z146" s="6">
        <f>'Results - raw data ReCiPe (E)'!DA19</f>
        <v>17.843500032398001</v>
      </c>
      <c r="AB146" s="219"/>
      <c r="AC146" s="219"/>
      <c r="AD146" s="219"/>
      <c r="AE146" s="219"/>
      <c r="AF146" s="219"/>
      <c r="AG146" s="219"/>
      <c r="AH146" s="219"/>
      <c r="AI146" s="219"/>
      <c r="AJ146" s="219"/>
      <c r="AK146" s="219"/>
      <c r="AL146" s="219"/>
      <c r="AM146" s="219"/>
      <c r="AN146" s="219"/>
      <c r="AO146" s="219"/>
      <c r="AP146" s="219"/>
      <c r="AQ146" s="219"/>
      <c r="AR146" s="219"/>
      <c r="AS146" s="219"/>
      <c r="AT146" s="219"/>
      <c r="AU146" s="219"/>
      <c r="AV146" s="219"/>
      <c r="AW146" s="219"/>
      <c r="AX146" s="219"/>
      <c r="AY146" s="219"/>
      <c r="AZ146" s="219"/>
      <c r="BA146" s="219"/>
    </row>
    <row r="147" spans="1:53" outlineLevel="1" x14ac:dyDescent="0.35">
      <c r="A147" s="6" t="s">
        <v>24</v>
      </c>
      <c r="Z147" s="6">
        <f>'Results - raw data ReCiPe (E)'!DA20</f>
        <v>6.6306644676033351</v>
      </c>
      <c r="AB147" s="219"/>
      <c r="AC147" s="219"/>
      <c r="AD147" s="219"/>
      <c r="AE147" s="219"/>
      <c r="AF147" s="219"/>
      <c r="AG147" s="219"/>
      <c r="AH147" s="219"/>
      <c r="AI147" s="219"/>
      <c r="AJ147" s="219"/>
      <c r="AK147" s="219"/>
      <c r="AL147" s="219"/>
      <c r="AM147" s="219"/>
      <c r="AN147" s="219"/>
      <c r="AO147" s="219"/>
      <c r="AP147" s="219"/>
      <c r="AQ147" s="219"/>
      <c r="AR147" s="219"/>
      <c r="AS147" s="219"/>
      <c r="AT147" s="219"/>
      <c r="AU147" s="219"/>
      <c r="AV147" s="219"/>
      <c r="AW147" s="219"/>
      <c r="AX147" s="219"/>
      <c r="AY147" s="219"/>
      <c r="AZ147" s="219"/>
      <c r="BA147" s="219"/>
    </row>
    <row r="148" spans="1:53" outlineLevel="1" x14ac:dyDescent="0.35">
      <c r="A148" s="6" t="s">
        <v>25</v>
      </c>
      <c r="Z148" s="6">
        <f>'Results - raw data ReCiPe (E)'!DA21</f>
        <v>23.29547196294692</v>
      </c>
      <c r="AB148" s="219"/>
      <c r="AC148" s="219"/>
      <c r="AD148" s="219"/>
      <c r="AE148" s="219"/>
      <c r="AF148" s="219"/>
      <c r="AG148" s="219"/>
      <c r="AH148" s="219"/>
      <c r="AI148" s="219"/>
      <c r="AJ148" s="219"/>
      <c r="AK148" s="219"/>
      <c r="AL148" s="219"/>
      <c r="AM148" s="219"/>
      <c r="AN148" s="219"/>
      <c r="AO148" s="219"/>
      <c r="AP148" s="219"/>
      <c r="AQ148" s="219"/>
      <c r="AR148" s="219"/>
      <c r="AS148" s="219"/>
      <c r="AT148" s="219"/>
      <c r="AU148" s="219"/>
      <c r="AV148" s="219"/>
      <c r="AW148" s="219"/>
      <c r="AX148" s="219"/>
      <c r="AY148" s="219"/>
      <c r="AZ148" s="219"/>
      <c r="BA148" s="219"/>
    </row>
    <row r="149" spans="1:53" outlineLevel="1" x14ac:dyDescent="0.35">
      <c r="A149" s="6" t="s">
        <v>27</v>
      </c>
      <c r="Z149" s="6">
        <f>'Results - raw data ReCiPe (E)'!DA22</f>
        <v>6.6915547577702146</v>
      </c>
      <c r="AB149" s="219"/>
      <c r="AC149" s="219"/>
      <c r="AD149" s="219"/>
      <c r="AE149" s="219"/>
      <c r="AF149" s="219"/>
      <c r="AG149" s="219"/>
      <c r="AH149" s="219"/>
      <c r="AI149" s="219"/>
      <c r="AJ149" s="219"/>
      <c r="AK149" s="219"/>
      <c r="AL149" s="219"/>
      <c r="AM149" s="219"/>
      <c r="AN149" s="219"/>
      <c r="AO149" s="219"/>
      <c r="AP149" s="219"/>
      <c r="AQ149" s="219"/>
      <c r="AR149" s="219"/>
      <c r="AS149" s="219"/>
      <c r="AT149" s="219"/>
      <c r="AU149" s="219"/>
      <c r="AV149" s="219"/>
      <c r="AW149" s="219"/>
      <c r="AX149" s="219"/>
      <c r="AY149" s="219"/>
      <c r="AZ149" s="219"/>
      <c r="BA149" s="219"/>
    </row>
    <row r="150" spans="1:53" outlineLevel="1" x14ac:dyDescent="0.35">
      <c r="A150" s="6" t="s">
        <v>30</v>
      </c>
      <c r="Z150" s="6">
        <f>'Results - raw data ReCiPe (E)'!DA23</f>
        <v>23.26475923404065</v>
      </c>
      <c r="AB150" s="219"/>
      <c r="AC150" s="219"/>
      <c r="AD150" s="219"/>
      <c r="AE150" s="219"/>
      <c r="AF150" s="219"/>
      <c r="AG150" s="219"/>
      <c r="AH150" s="219"/>
      <c r="AI150" s="219"/>
      <c r="AJ150" s="219"/>
      <c r="AK150" s="219"/>
      <c r="AL150" s="219"/>
      <c r="AM150" s="219"/>
      <c r="AN150" s="219"/>
      <c r="AO150" s="219"/>
      <c r="AP150" s="219"/>
      <c r="AQ150" s="219"/>
      <c r="AR150" s="219"/>
      <c r="AS150" s="219"/>
      <c r="AT150" s="219"/>
      <c r="AU150" s="219"/>
      <c r="AV150" s="219"/>
      <c r="AW150" s="219"/>
      <c r="AX150" s="219"/>
      <c r="AY150" s="219"/>
      <c r="AZ150" s="219"/>
      <c r="BA150" s="219"/>
    </row>
    <row r="151" spans="1:53" outlineLevel="1" x14ac:dyDescent="0.35">
      <c r="A151" s="6" t="s">
        <v>32</v>
      </c>
      <c r="Z151" s="6">
        <f>'Results - raw data ReCiPe (E)'!DA24</f>
        <v>0.84622886278788056</v>
      </c>
      <c r="AB151" s="219"/>
      <c r="AC151" s="219"/>
      <c r="AD151" s="219"/>
      <c r="AE151" s="219"/>
      <c r="AF151" s="219"/>
      <c r="AG151" s="219"/>
      <c r="AH151" s="219"/>
      <c r="AI151" s="219"/>
      <c r="AJ151" s="219"/>
      <c r="AK151" s="219"/>
      <c r="AL151" s="219"/>
      <c r="AM151" s="219"/>
      <c r="AN151" s="219"/>
      <c r="AO151" s="219"/>
      <c r="AP151" s="219"/>
      <c r="AQ151" s="219"/>
      <c r="AR151" s="219"/>
      <c r="AS151" s="219"/>
      <c r="AT151" s="219"/>
      <c r="AU151" s="219"/>
      <c r="AV151" s="219"/>
      <c r="AW151" s="219"/>
      <c r="AX151" s="219"/>
      <c r="AY151" s="219"/>
      <c r="AZ151" s="219"/>
      <c r="BA151" s="219"/>
    </row>
    <row r="152" spans="1:53" outlineLevel="1" x14ac:dyDescent="0.35">
      <c r="A152" s="6" t="s">
        <v>33</v>
      </c>
      <c r="Z152" s="6">
        <f>'Results - raw data ReCiPe (E)'!DA25</f>
        <v>5.5443723125488624</v>
      </c>
      <c r="AB152" s="219"/>
      <c r="AC152" s="219"/>
      <c r="AD152" s="219"/>
      <c r="AE152" s="219"/>
      <c r="AF152" s="219"/>
      <c r="AG152" s="219"/>
      <c r="AH152" s="219"/>
      <c r="AI152" s="219"/>
      <c r="AJ152" s="219"/>
      <c r="AK152" s="219"/>
      <c r="AL152" s="219"/>
      <c r="AM152" s="219"/>
      <c r="AN152" s="219"/>
      <c r="AO152" s="219"/>
      <c r="AP152" s="219"/>
      <c r="AQ152" s="219"/>
      <c r="AR152" s="219"/>
      <c r="AS152" s="219"/>
      <c r="AT152" s="219"/>
      <c r="AU152" s="219"/>
      <c r="AV152" s="219"/>
      <c r="AW152" s="219"/>
      <c r="AX152" s="219"/>
      <c r="AY152" s="219"/>
      <c r="AZ152" s="219"/>
      <c r="BA152" s="219"/>
    </row>
    <row r="153" spans="1:53" outlineLevel="1" x14ac:dyDescent="0.35">
      <c r="A153" s="6" t="s">
        <v>35</v>
      </c>
      <c r="Z153" s="6">
        <f>'Results - raw data ReCiPe (E)'!DA26</f>
        <v>11.08874462509772</v>
      </c>
      <c r="AB153" s="219"/>
      <c r="AC153" s="219"/>
      <c r="AD153" s="219"/>
      <c r="AE153" s="219"/>
      <c r="AF153" s="219"/>
      <c r="AG153" s="219"/>
      <c r="AH153" s="219"/>
      <c r="AI153" s="219"/>
      <c r="AJ153" s="219"/>
      <c r="AK153" s="219"/>
      <c r="AL153" s="219"/>
      <c r="AM153" s="219"/>
      <c r="AN153" s="219"/>
      <c r="AO153" s="219"/>
      <c r="AP153" s="219"/>
      <c r="AQ153" s="219"/>
      <c r="AR153" s="219"/>
      <c r="AS153" s="219"/>
      <c r="AT153" s="219"/>
      <c r="AU153" s="219"/>
      <c r="AV153" s="219"/>
      <c r="AW153" s="219"/>
      <c r="AX153" s="219"/>
      <c r="AY153" s="219"/>
      <c r="AZ153" s="219"/>
      <c r="BA153" s="219"/>
    </row>
    <row r="154" spans="1:53" outlineLevel="1" x14ac:dyDescent="0.35">
      <c r="A154" s="6" t="s">
        <v>37</v>
      </c>
      <c r="Z154" s="6">
        <f>'Results - raw data ReCiPe (E)'!DA27</f>
        <v>12.818247429642589</v>
      </c>
      <c r="AB154" s="219"/>
      <c r="AC154" s="219"/>
      <c r="AD154" s="219"/>
      <c r="AE154" s="219"/>
      <c r="AF154" s="219"/>
      <c r="AG154" s="219"/>
      <c r="AH154" s="219"/>
      <c r="AI154" s="219"/>
      <c r="AJ154" s="219"/>
      <c r="AK154" s="219"/>
      <c r="AL154" s="219"/>
      <c r="AM154" s="219"/>
      <c r="AN154" s="219"/>
      <c r="AO154" s="219"/>
      <c r="AP154" s="219"/>
      <c r="AQ154" s="219"/>
      <c r="AR154" s="219"/>
      <c r="AS154" s="219"/>
      <c r="AT154" s="219"/>
      <c r="AU154" s="219"/>
      <c r="AV154" s="219"/>
      <c r="AW154" s="219"/>
      <c r="AX154" s="219"/>
      <c r="AY154" s="219"/>
      <c r="AZ154" s="219"/>
      <c r="BA154" s="219"/>
    </row>
    <row r="155" spans="1:53" outlineLevel="1" x14ac:dyDescent="0.35">
      <c r="A155" s="6" t="s">
        <v>40</v>
      </c>
      <c r="Z155" s="6">
        <f>'Results - raw data ReCiPe (E)'!DA28</f>
        <v>216.27830743506141</v>
      </c>
    </row>
    <row r="156" spans="1:53" outlineLevel="1" x14ac:dyDescent="0.35">
      <c r="A156" s="6" t="s">
        <v>42</v>
      </c>
      <c r="Z156" s="6">
        <f>'Results - raw data ReCiPe (E)'!DA29</f>
        <v>20.36988039435165</v>
      </c>
    </row>
    <row r="157" spans="1:53" outlineLevel="1" x14ac:dyDescent="0.35">
      <c r="A157" s="6" t="s">
        <v>115</v>
      </c>
      <c r="Z157" s="6">
        <f>'Results - raw data ReCiPe (E)'!DA30</f>
        <v>235.3776894656136</v>
      </c>
    </row>
    <row r="158" spans="1:53" outlineLevel="1" x14ac:dyDescent="0.35">
      <c r="A158" s="6" t="s">
        <v>45</v>
      </c>
      <c r="Z158" s="6">
        <f>'Results - raw data ReCiPe (E)'!DA31*AC128*AC130</f>
        <v>21.40281274934447</v>
      </c>
    </row>
    <row r="159" spans="1:53" outlineLevel="1" x14ac:dyDescent="0.35">
      <c r="A159" s="6" t="s">
        <v>116</v>
      </c>
      <c r="B159" s="6">
        <f>'Results - raw data ReCiPe (E)'!CC32</f>
        <v>1037.493275938863</v>
      </c>
      <c r="C159" s="6">
        <f>'Results - raw data ReCiPe (E)'!CD32</f>
        <v>1035.7399576388721</v>
      </c>
      <c r="D159" s="6">
        <f>'Results - raw data ReCiPe (E)'!CE32</f>
        <v>1034.0056038228749</v>
      </c>
      <c r="E159" s="6">
        <f>'Results - raw data ReCiPe (E)'!CF32</f>
        <v>1027.697547156306</v>
      </c>
      <c r="F159" s="6">
        <f>'Results - raw data ReCiPe (E)'!CG32</f>
        <v>1025.9908010251111</v>
      </c>
      <c r="G159" s="6">
        <f>'Results - raw data ReCiPe (E)'!CH32</f>
        <v>1024.2916076393731</v>
      </c>
      <c r="H159" s="6">
        <f>'Results - raw data ReCiPe (E)'!CI32</f>
        <v>1025.202036574439</v>
      </c>
      <c r="I159" s="6">
        <f>'Results - raw data ReCiPe (E)'!CJ32</f>
        <v>1026.128487412376</v>
      </c>
      <c r="J159" s="6">
        <f>'Results - raw data ReCiPe (E)'!CK32</f>
        <v>1024.3107847544079</v>
      </c>
      <c r="K159" s="6">
        <f>'Results - raw data ReCiPe (E)'!CL32</f>
        <v>1025.3040187287079</v>
      </c>
      <c r="L159" s="6">
        <f>'Results - raw data ReCiPe (E)'!CM32</f>
        <v>1026.3085715144889</v>
      </c>
      <c r="M159" s="6">
        <f>'Results - raw data ReCiPe (E)'!CN32</f>
        <v>1028.2349760279301</v>
      </c>
      <c r="N159" s="6">
        <f>'Results - raw data ReCiPe (E)'!CO32</f>
        <v>1030.1790192937119</v>
      </c>
      <c r="O159" s="6">
        <f>'Results - raw data ReCiPe (E)'!CP32</f>
        <v>1031.5313030359559</v>
      </c>
      <c r="P159" s="6">
        <f>'Results - raw data ReCiPe (E)'!CQ32</f>
        <v>1033.5340865339131</v>
      </c>
      <c r="Q159" s="6">
        <f>'Results - raw data ReCiPe (E)'!CR32</f>
        <v>1035.5510426582489</v>
      </c>
      <c r="R159" s="6">
        <f>'Results - raw data ReCiPe (E)'!CS32</f>
        <v>1031.423766847804</v>
      </c>
      <c r="S159" s="6">
        <f>'Results - raw data ReCiPe (E)'!CT32</f>
        <v>1027.2855055101479</v>
      </c>
      <c r="T159" s="6">
        <f>'Results - raw data ReCiPe (E)'!CU32</f>
        <v>1022.5109258357249</v>
      </c>
      <c r="U159" s="6">
        <f>'Results - raw data ReCiPe (E)'!CV32</f>
        <v>1018.337256042481</v>
      </c>
      <c r="V159" s="6">
        <f>'Results - raw data ReCiPe (E)'!CW32</f>
        <v>1014.13814400604</v>
      </c>
      <c r="W159" s="6">
        <f>'Results - raw data ReCiPe (E)'!CX32</f>
        <v>1007.600052632234</v>
      </c>
      <c r="X159" s="6">
        <f>'Results - raw data ReCiPe (E)'!CY32</f>
        <v>1000.892990260865</v>
      </c>
      <c r="Y159" s="6">
        <f>'Results - raw data ReCiPe (E)'!CZ32</f>
        <v>994.15531261359172</v>
      </c>
      <c r="Z159" s="6">
        <f>'Results - raw data ReCiPe (E)'!DA32</f>
        <v>987.38631762704017</v>
      </c>
    </row>
    <row r="160" spans="1:53" outlineLevel="1" x14ac:dyDescent="0.35">
      <c r="A160" s="6" t="s">
        <v>758</v>
      </c>
      <c r="B160" s="6">
        <f>'Results - raw data ReCiPe (E)'!CC33*$AC$128</f>
        <v>2743.9771892642539</v>
      </c>
      <c r="C160" s="6">
        <f>'Results - raw data ReCiPe (E)'!CD33*$AC$128</f>
        <v>2737.3661407894861</v>
      </c>
      <c r="D160" s="6">
        <f>'Results - raw data ReCiPe (E)'!CE33*$AC$128</f>
        <v>2730.7728764204148</v>
      </c>
      <c r="E160" s="6">
        <f>'Results - raw data ReCiPe (E)'!CF33*$AC$128</f>
        <v>2721.7527406765089</v>
      </c>
      <c r="F160" s="6">
        <f>'Results - raw data ReCiPe (E)'!CG33*$AC$128</f>
        <v>2715.199466561869</v>
      </c>
      <c r="G160" s="6">
        <f>'Results - raw data ReCiPe (E)'!CH33*$AC$128</f>
        <v>2708.6480619983449</v>
      </c>
      <c r="H160" s="6">
        <f>'Results - raw data ReCiPe (E)'!CI33*$AC$128</f>
        <v>2901.0930184483618</v>
      </c>
      <c r="I160" s="6">
        <f>'Results - raw data ReCiPe (E)'!CJ33*$AC$128</f>
        <v>3092.7286295864442</v>
      </c>
      <c r="J160" s="6">
        <f>'Results - raw data ReCiPe (E)'!CK33*$AC$128</f>
        <v>3281.9814984845921</v>
      </c>
      <c r="K160" s="6">
        <f>'Results - raw data ReCiPe (E)'!CL33*$AC$128</f>
        <v>3472.3015125199281</v>
      </c>
      <c r="L160" s="6">
        <f>'Results - raw data ReCiPe (E)'!CM33*$AC$128</f>
        <v>3661.8152926740072</v>
      </c>
      <c r="M160" s="6">
        <f>'Results - raw data ReCiPe (E)'!CN33*$AC$128</f>
        <v>4002.9824095637841</v>
      </c>
      <c r="N160" s="6">
        <f>'Results - raw data ReCiPe (E)'!CO33*$AC$128</f>
        <v>4344.1070893422648</v>
      </c>
      <c r="O160" s="6">
        <f>'Results - raw data ReCiPe (E)'!CP33*$AC$128</f>
        <v>4684.8958807889321</v>
      </c>
      <c r="P160" s="6">
        <f>'Results - raw data ReCiPe (E)'!CQ33*$AC$128</f>
        <v>5025.9130293415083</v>
      </c>
      <c r="Q160" s="6">
        <f>'Results - raw data ReCiPe (E)'!CR33*$AC$128</f>
        <v>5366.8785654933899</v>
      </c>
      <c r="R160" s="6">
        <f>'Results - raw data ReCiPe (E)'!CS33*$AC$128</f>
        <v>5419.7539496457648</v>
      </c>
      <c r="S160" s="6">
        <f>'Results - raw data ReCiPe (E)'!CT33*$AC$128</f>
        <v>5472.5049329524281</v>
      </c>
      <c r="T160" s="6">
        <f>'Results - raw data ReCiPe (E)'!CU33*$AC$128</f>
        <v>5524.8709599259801</v>
      </c>
      <c r="U160" s="6">
        <f>'Results - raw data ReCiPe (E)'!CV33*$AC$128</f>
        <v>5577.3949781239262</v>
      </c>
      <c r="V160" s="6">
        <f>'Results - raw data ReCiPe (E)'!CW33*$AC$128</f>
        <v>5629.8089703054502</v>
      </c>
      <c r="W160" s="6">
        <f>'Results - raw data ReCiPe (E)'!CX33*$AC$128</f>
        <v>5497.8173591778768</v>
      </c>
      <c r="X160" s="6">
        <f>'Results - raw data ReCiPe (E)'!CY33*$AC$128</f>
        <v>5351.7561811989463</v>
      </c>
      <c r="Y160" s="6">
        <f>'Results - raw data ReCiPe (E)'!CZ33*$AC$128</f>
        <v>5205.7941815858294</v>
      </c>
      <c r="Z160" s="6">
        <f>'Results - raw data ReCiPe (E)'!DA33*$AC$128</f>
        <v>5059.9281735392342</v>
      </c>
    </row>
    <row r="161" spans="1:53" outlineLevel="1" x14ac:dyDescent="0.35">
      <c r="A161" s="6" t="s">
        <v>759</v>
      </c>
      <c r="B161" s="6">
        <f>'Results - raw data ReCiPe (E)'!CC34</f>
        <v>0</v>
      </c>
      <c r="C161" s="6">
        <f>'Results - raw data ReCiPe (E)'!CD34</f>
        <v>0</v>
      </c>
      <c r="D161" s="6">
        <f>'Results - raw data ReCiPe (E)'!CE34</f>
        <v>0</v>
      </c>
      <c r="E161" s="6">
        <f>'Results - raw data ReCiPe (E)'!CF34</f>
        <v>0</v>
      </c>
      <c r="F161" s="6">
        <f>'Results - raw data ReCiPe (E)'!CG34</f>
        <v>0</v>
      </c>
      <c r="G161" s="6">
        <f>'Results - raw data ReCiPe (E)'!CH34</f>
        <v>0</v>
      </c>
      <c r="H161" s="6">
        <f>'Results - raw data ReCiPe (E)'!CI34</f>
        <v>0</v>
      </c>
      <c r="I161" s="6">
        <f>'Results - raw data ReCiPe (E)'!CJ34</f>
        <v>0</v>
      </c>
      <c r="J161" s="6">
        <f>'Results - raw data ReCiPe (E)'!CK34</f>
        <v>0</v>
      </c>
      <c r="K161" s="6">
        <f>'Results - raw data ReCiPe (E)'!CL34</f>
        <v>0</v>
      </c>
      <c r="L161" s="6">
        <f>'Results - raw data ReCiPe (E)'!CM34</f>
        <v>0</v>
      </c>
      <c r="M161" s="6">
        <f>'Results - raw data ReCiPe (E)'!CN34</f>
        <v>0</v>
      </c>
      <c r="N161" s="6">
        <f>'Results - raw data ReCiPe (E)'!CO34</f>
        <v>0</v>
      </c>
      <c r="O161" s="6">
        <f>'Results - raw data ReCiPe (E)'!CP34</f>
        <v>0</v>
      </c>
      <c r="P161" s="6">
        <f>'Results - raw data ReCiPe (E)'!CQ34</f>
        <v>0</v>
      </c>
      <c r="Q161" s="6">
        <f>'Results - raw data ReCiPe (E)'!CR34</f>
        <v>0</v>
      </c>
      <c r="R161" s="6">
        <f>'Results - raw data ReCiPe (E)'!CS34</f>
        <v>0</v>
      </c>
      <c r="S161" s="6">
        <f>'Results - raw data ReCiPe (E)'!CT34</f>
        <v>0</v>
      </c>
      <c r="T161" s="6">
        <f>'Results - raw data ReCiPe (E)'!CU34</f>
        <v>0</v>
      </c>
      <c r="U161" s="6">
        <f>'Results - raw data ReCiPe (E)'!CV34</f>
        <v>0</v>
      </c>
      <c r="V161" s="6">
        <f>'Results - raw data ReCiPe (E)'!CW34</f>
        <v>0</v>
      </c>
      <c r="W161" s="6">
        <f>'Results - raw data ReCiPe (E)'!CX34</f>
        <v>0</v>
      </c>
      <c r="X161" s="6">
        <f>'Results - raw data ReCiPe (E)'!CY34</f>
        <v>0</v>
      </c>
      <c r="Y161" s="6">
        <f>'Results - raw data ReCiPe (E)'!CZ34</f>
        <v>0</v>
      </c>
      <c r="Z161" s="6">
        <f>'Results - raw data ReCiPe (E)'!DA34</f>
        <v>0</v>
      </c>
    </row>
    <row r="162" spans="1:53" outlineLevel="1" x14ac:dyDescent="0.35">
      <c r="A162" s="6" t="s">
        <v>760</v>
      </c>
      <c r="B162" s="6">
        <f>150000*($AC$129*'Results - raw data ReCiPe (E)'!CC114+(1-'Results ReCiPe (E) - HHD'!$AC$129)*'Results - raw data ReCiPe (E)'!CC115)</f>
        <v>26511.756058142531</v>
      </c>
      <c r="C162" s="6">
        <f>150000*($AC$129*'Results - raw data ReCiPe (E)'!CD114+(1-'Results ReCiPe (E) - HHD'!$AC$129)*'Results - raw data ReCiPe (E)'!CD115)</f>
        <v>26485.59824344853</v>
      </c>
      <c r="D162" s="6">
        <f>150000*($AC$129*'Results - raw data ReCiPe (E)'!CE114+(1-'Results ReCiPe (E) - HHD'!$AC$129)*'Results - raw data ReCiPe (E)'!CE115)</f>
        <v>26459.640855552763</v>
      </c>
      <c r="E162" s="6">
        <f>150000*($AC$129*'Results - raw data ReCiPe (E)'!CF114+(1-'Results ReCiPe (E) - HHD'!$AC$129)*'Results - raw data ReCiPe (E)'!CF115)</f>
        <v>26408.595951272724</v>
      </c>
      <c r="F162" s="6">
        <f>150000*($AC$129*'Results - raw data ReCiPe (E)'!CG114+(1-'Results ReCiPe (E) - HHD'!$AC$129)*'Results - raw data ReCiPe (E)'!CG115)</f>
        <v>26383.137418468621</v>
      </c>
      <c r="G162" s="6">
        <f>150000*($AC$129*'Results - raw data ReCiPe (E)'!CH114+(1-'Results ReCiPe (E) - HHD'!$AC$129)*'Results - raw data ReCiPe (E)'!CH115)</f>
        <v>26357.725179127527</v>
      </c>
      <c r="H162" s="6">
        <f>150000*($AC$129*'Results - raw data ReCiPe (E)'!CI114+(1-'Results ReCiPe (E) - HHD'!$AC$129)*'Results - raw data ReCiPe (E)'!CI115)</f>
        <v>28328.573810127768</v>
      </c>
      <c r="I162" s="6">
        <f>150000*($AC$129*'Results - raw data ReCiPe (E)'!CJ114+(1-'Results ReCiPe (E) - HHD'!$AC$129)*'Results - raw data ReCiPe (E)'!CJ115)</f>
        <v>30296.964947641682</v>
      </c>
      <c r="J162" s="6">
        <f>150000*($AC$129*'Results - raw data ReCiPe (E)'!CK114+(1-'Results ReCiPe (E) - HHD'!$AC$129)*'Results - raw data ReCiPe (E)'!CK115)</f>
        <v>32246.718200957217</v>
      </c>
      <c r="K162" s="6">
        <f>150000*($AC$129*'Results - raw data ReCiPe (E)'!CL114+(1-'Results ReCiPe (E) - HHD'!$AC$129)*'Results - raw data ReCiPe (E)'!CL115)</f>
        <v>34213.160375131971</v>
      </c>
      <c r="L162" s="6">
        <f>150000*($AC$129*'Results - raw data ReCiPe (E)'!CM114+(1-'Results ReCiPe (E) - HHD'!$AC$129)*'Results - raw data ReCiPe (E)'!CM115)</f>
        <v>36177.101294777785</v>
      </c>
      <c r="M162" s="6">
        <f>150000*($AC$129*'Results - raw data ReCiPe (E)'!CN114+(1-'Results ReCiPe (E) - HHD'!$AC$129)*'Results - raw data ReCiPe (E)'!CN115)</f>
        <v>39675.359308165156</v>
      </c>
      <c r="N162" s="6">
        <f>150000*($AC$129*'Results - raw data ReCiPe (E)'!CO114+(1-'Results ReCiPe (E) - HHD'!$AC$129)*'Results - raw data ReCiPe (E)'!CO115)</f>
        <v>43181.20552061632</v>
      </c>
      <c r="O162" s="6">
        <f>150000*($AC$129*'Results - raw data ReCiPe (E)'!CP114+(1-'Results ReCiPe (E) - HHD'!$AC$129)*'Results - raw data ReCiPe (E)'!CP115)</f>
        <v>46691.6883807302</v>
      </c>
      <c r="P162" s="6">
        <f>150000*($AC$129*'Results - raw data ReCiPe (E)'!CQ114+(1-'Results ReCiPe (E) - HHD'!$AC$129)*'Results - raw data ReCiPe (E)'!CQ115)</f>
        <v>50212.531890328799</v>
      </c>
      <c r="Q162" s="6">
        <f>150000*($AC$129*'Results - raw data ReCiPe (E)'!CR114+(1-'Results ReCiPe (E) - HHD'!$AC$129)*'Results - raw data ReCiPe (E)'!CR115)</f>
        <v>53741.008670082585</v>
      </c>
      <c r="R162" s="6">
        <f>150000*($AC$129*'Results - raw data ReCiPe (E)'!CS114+(1-'Results ReCiPe (E) - HHD'!$AC$129)*'Results - raw data ReCiPe (E)'!CS115)</f>
        <v>54333.458920398029</v>
      </c>
      <c r="S162" s="6">
        <f>150000*($AC$129*'Results - raw data ReCiPe (E)'!CT114+(1-'Results ReCiPe (E) - HHD'!$AC$129)*'Results - raw data ReCiPe (E)'!CT115)</f>
        <v>54925.82082558539</v>
      </c>
      <c r="T162" s="6">
        <f>150000*($AC$129*'Results - raw data ReCiPe (E)'!CU114+(1-'Results ReCiPe (E) - HHD'!$AC$129)*'Results - raw data ReCiPe (E)'!CU115)</f>
        <v>55515.448310045947</v>
      </c>
      <c r="U162" s="6">
        <f>150000*($AC$129*'Results - raw data ReCiPe (E)'!CV114+(1-'Results ReCiPe (E) - HHD'!$AC$129)*'Results - raw data ReCiPe (E)'!CV115)</f>
        <v>56107.865340117183</v>
      </c>
      <c r="V162" s="6">
        <f>150000*($AC$129*'Results - raw data ReCiPe (E)'!CW114+(1-'Results ReCiPe (E) - HHD'!$AC$129)*'Results - raw data ReCiPe (E)'!CW115)</f>
        <v>56700.347544148201</v>
      </c>
      <c r="W162" s="6">
        <f>150000*($AC$129*'Results - raw data ReCiPe (E)'!CX114+(1-'Results ReCiPe (E) - HHD'!$AC$129)*'Results - raw data ReCiPe (E)'!CX115)</f>
        <v>55459.971841076593</v>
      </c>
      <c r="X162" s="6">
        <f>150000*($AC$129*'Results - raw data ReCiPe (E)'!CY114+(1-'Results ReCiPe (E) - HHD'!$AC$129)*'Results - raw data ReCiPe (E)'!CY115)</f>
        <v>54069.341915194629</v>
      </c>
      <c r="Y162" s="6">
        <f>150000*($AC$129*'Results - raw data ReCiPe (E)'!CZ114+(1-'Results ReCiPe (E) - HHD'!$AC$129)*'Results - raw data ReCiPe (E)'!CZ115)</f>
        <v>52674.199708612083</v>
      </c>
      <c r="Z162" s="6">
        <f>150000*($AC$129*'Results - raw data ReCiPe (E)'!DA114+(1-'Results ReCiPe (E) - HHD'!$AC$129)*'Results - raw data ReCiPe (E)'!DA115)</f>
        <v>51274.499762428422</v>
      </c>
    </row>
    <row r="163" spans="1:53" outlineLevel="1" x14ac:dyDescent="0.35">
      <c r="A163" s="23" t="s">
        <v>125</v>
      </c>
      <c r="B163" s="17">
        <f t="shared" ref="B163:Z163" si="19">SUM(B132:B162)</f>
        <v>60874.529670656077</v>
      </c>
      <c r="C163" s="17">
        <f t="shared" si="19"/>
        <v>30258.704341876888</v>
      </c>
      <c r="D163" s="17">
        <f t="shared" si="19"/>
        <v>30224.419335796054</v>
      </c>
      <c r="E163" s="17">
        <f t="shared" si="19"/>
        <v>30158.046239105541</v>
      </c>
      <c r="F163" s="17">
        <f t="shared" si="19"/>
        <v>30124.3276860556</v>
      </c>
      <c r="G163" s="17">
        <f t="shared" si="19"/>
        <v>30090.664848765246</v>
      </c>
      <c r="H163" s="17">
        <f t="shared" si="19"/>
        <v>32254.868865150569</v>
      </c>
      <c r="I163" s="17">
        <f t="shared" si="19"/>
        <v>34415.822064640503</v>
      </c>
      <c r="J163" s="17">
        <f t="shared" si="19"/>
        <v>36553.010484196217</v>
      </c>
      <c r="K163" s="17">
        <f t="shared" si="19"/>
        <v>38710.765906380606</v>
      </c>
      <c r="L163" s="17">
        <f t="shared" si="19"/>
        <v>40865.225158966277</v>
      </c>
      <c r="M163" s="17">
        <f t="shared" si="19"/>
        <v>44706.57669375687</v>
      </c>
      <c r="N163" s="17">
        <f t="shared" si="19"/>
        <v>48555.491629252298</v>
      </c>
      <c r="O163" s="17">
        <f t="shared" si="19"/>
        <v>52408.11556455509</v>
      </c>
      <c r="P163" s="17">
        <f t="shared" si="19"/>
        <v>56271.979006204223</v>
      </c>
      <c r="Q163" s="17">
        <f t="shared" si="19"/>
        <v>60143.438278234222</v>
      </c>
      <c r="R163" s="17">
        <f t="shared" si="19"/>
        <v>60784.636636891599</v>
      </c>
      <c r="S163" s="17">
        <f t="shared" si="19"/>
        <v>61425.61126404797</v>
      </c>
      <c r="T163" s="17">
        <f t="shared" si="19"/>
        <v>62062.830195807655</v>
      </c>
      <c r="U163" s="17">
        <f t="shared" si="19"/>
        <v>62703.597574283587</v>
      </c>
      <c r="V163" s="17">
        <f t="shared" si="19"/>
        <v>63344.294658459694</v>
      </c>
      <c r="W163" s="17">
        <f t="shared" si="19"/>
        <v>61965.3892528867</v>
      </c>
      <c r="X163" s="17">
        <f t="shared" si="19"/>
        <v>60421.991086654438</v>
      </c>
      <c r="Y163" s="17">
        <f t="shared" si="19"/>
        <v>58874.149202811503</v>
      </c>
      <c r="Z163" s="17">
        <f t="shared" si="19"/>
        <v>57923.266487323905</v>
      </c>
    </row>
    <row r="164" spans="1:53" outlineLevel="1" x14ac:dyDescent="0.35"/>
    <row r="165" spans="1:53" s="18" customFormat="1" ht="21" x14ac:dyDescent="0.5">
      <c r="A165" s="18" t="s">
        <v>73</v>
      </c>
    </row>
    <row r="166" spans="1:53" s="20" customFormat="1" outlineLevel="1" x14ac:dyDescent="0.35">
      <c r="A166" s="19" t="s">
        <v>766</v>
      </c>
    </row>
    <row r="167" spans="1:53" s="16" customFormat="1" outlineLevel="1" x14ac:dyDescent="0.35">
      <c r="A167" s="21"/>
      <c r="AB167" s="16" t="s">
        <v>47</v>
      </c>
      <c r="AC167" s="16">
        <v>1</v>
      </c>
      <c r="AD167" s="16" t="s">
        <v>146</v>
      </c>
      <c r="AE167" s="15"/>
    </row>
    <row r="168" spans="1:53" s="16" customFormat="1" outlineLevel="1" x14ac:dyDescent="0.35">
      <c r="A168" s="22" t="s">
        <v>566</v>
      </c>
      <c r="AC168" s="16">
        <f>AC167*1000</f>
        <v>1000</v>
      </c>
      <c r="AD168" s="16" t="s">
        <v>144</v>
      </c>
    </row>
    <row r="169" spans="1:53" s="16" customFormat="1" outlineLevel="1" x14ac:dyDescent="0.35">
      <c r="A169" s="22"/>
      <c r="AB169" s="16" t="s">
        <v>127</v>
      </c>
      <c r="AC169" s="16">
        <v>100</v>
      </c>
      <c r="AD169" s="16" t="s">
        <v>128</v>
      </c>
    </row>
    <row r="170" spans="1:53" s="16" customFormat="1" outlineLevel="1" x14ac:dyDescent="0.35">
      <c r="A170" s="230" t="s">
        <v>768</v>
      </c>
      <c r="AB170" s="16" t="s">
        <v>20</v>
      </c>
      <c r="AC170" s="16">
        <v>0.23</v>
      </c>
      <c r="AD170" s="16" t="s">
        <v>715</v>
      </c>
    </row>
    <row r="171" spans="1:53" s="16" customFormat="1" outlineLevel="1" x14ac:dyDescent="0.35">
      <c r="A171" s="22"/>
      <c r="AB171" s="16" t="s">
        <v>129</v>
      </c>
      <c r="AC171" s="16">
        <v>25</v>
      </c>
      <c r="AD171" s="16" t="s">
        <v>130</v>
      </c>
    </row>
    <row r="172" spans="1:53" outlineLevel="1" x14ac:dyDescent="0.35">
      <c r="B172" s="25">
        <v>2030</v>
      </c>
      <c r="C172" s="25">
        <v>2031</v>
      </c>
      <c r="D172" s="25">
        <v>2032</v>
      </c>
      <c r="E172" s="25">
        <v>2033</v>
      </c>
      <c r="F172" s="25">
        <v>2034</v>
      </c>
      <c r="G172" s="25">
        <v>2035</v>
      </c>
      <c r="H172" s="25">
        <v>2036</v>
      </c>
      <c r="I172" s="25">
        <v>2037</v>
      </c>
      <c r="J172" s="25">
        <v>2038</v>
      </c>
      <c r="K172" s="25">
        <v>2039</v>
      </c>
      <c r="L172" s="25">
        <v>2040</v>
      </c>
      <c r="M172" s="25">
        <v>2041</v>
      </c>
      <c r="N172" s="25">
        <v>2042</v>
      </c>
      <c r="O172" s="25">
        <v>2043</v>
      </c>
      <c r="P172" s="25">
        <v>2044</v>
      </c>
      <c r="Q172" s="25">
        <v>2045</v>
      </c>
      <c r="R172" s="25">
        <v>2046</v>
      </c>
      <c r="S172" s="25">
        <v>2047</v>
      </c>
      <c r="T172" s="25">
        <v>2048</v>
      </c>
      <c r="U172" s="25">
        <v>2049</v>
      </c>
      <c r="V172" s="25">
        <v>2050</v>
      </c>
      <c r="W172" s="25">
        <v>2051</v>
      </c>
      <c r="X172" s="25">
        <v>2052</v>
      </c>
      <c r="Y172" s="25">
        <v>2053</v>
      </c>
      <c r="Z172" s="25">
        <v>2054</v>
      </c>
      <c r="AC172" s="25">
        <v>2030</v>
      </c>
      <c r="AD172" s="25">
        <v>2031</v>
      </c>
      <c r="AE172" s="25">
        <v>2032</v>
      </c>
      <c r="AF172" s="25">
        <v>2033</v>
      </c>
      <c r="AG172" s="25">
        <v>2034</v>
      </c>
      <c r="AH172" s="25">
        <v>2035</v>
      </c>
      <c r="AI172" s="25">
        <v>2036</v>
      </c>
      <c r="AJ172" s="25">
        <v>2037</v>
      </c>
      <c r="AK172" s="25">
        <v>2038</v>
      </c>
      <c r="AL172" s="25">
        <v>2039</v>
      </c>
      <c r="AM172" s="25">
        <v>2040</v>
      </c>
      <c r="AN172" s="25">
        <v>2041</v>
      </c>
      <c r="AO172" s="25">
        <v>2042</v>
      </c>
      <c r="AP172" s="25">
        <v>2043</v>
      </c>
      <c r="AQ172" s="25">
        <v>2044</v>
      </c>
      <c r="AR172" s="25">
        <v>2045</v>
      </c>
      <c r="AS172" s="25">
        <v>2046</v>
      </c>
      <c r="AT172" s="25">
        <v>2047</v>
      </c>
      <c r="AU172" s="25">
        <v>2048</v>
      </c>
      <c r="AV172" s="25">
        <v>2049</v>
      </c>
      <c r="AW172" s="25">
        <v>2050</v>
      </c>
      <c r="AX172" s="25">
        <v>2051</v>
      </c>
      <c r="AY172" s="25">
        <v>2052</v>
      </c>
      <c r="AZ172" s="25">
        <v>2053</v>
      </c>
      <c r="BA172" s="25">
        <v>2054</v>
      </c>
    </row>
    <row r="173" spans="1:53" outlineLevel="1" x14ac:dyDescent="0.35">
      <c r="A173" s="6" t="s">
        <v>21</v>
      </c>
      <c r="B173" s="6">
        <f>'Results - raw data ReCiPe (E)'!CC41</f>
        <v>585.84401750146083</v>
      </c>
      <c r="AB173" s="6" t="s">
        <v>117</v>
      </c>
      <c r="AC173" s="6">
        <f>SUM(B173:B184)+B186</f>
        <v>25813.904117498736</v>
      </c>
    </row>
    <row r="174" spans="1:53" outlineLevel="1" x14ac:dyDescent="0.35">
      <c r="A174" s="6" t="s">
        <v>23</v>
      </c>
      <c r="B174" s="6">
        <f>'Results - raw data ReCiPe (E)'!CC42</f>
        <v>785.1952395392517</v>
      </c>
      <c r="AB174" s="6" t="s">
        <v>118</v>
      </c>
      <c r="AC174" s="6">
        <f>B185</f>
        <v>2074.4586794633228</v>
      </c>
    </row>
    <row r="175" spans="1:53" outlineLevel="1" x14ac:dyDescent="0.35">
      <c r="A175" s="6" t="s">
        <v>26</v>
      </c>
      <c r="B175" s="6">
        <f>'Results - raw data ReCiPe (E)'!CC43</f>
        <v>2400.6850597788962</v>
      </c>
      <c r="AB175" s="6" t="s">
        <v>119</v>
      </c>
      <c r="BA175" s="6">
        <f>SUM(Z187:Z198)</f>
        <v>471.91965940783922</v>
      </c>
    </row>
    <row r="176" spans="1:53" outlineLevel="1" x14ac:dyDescent="0.35">
      <c r="A176" s="6" t="s">
        <v>28</v>
      </c>
      <c r="B176" s="6">
        <f>'Results - raw data ReCiPe (E)'!CC44</f>
        <v>2253.0014214784742</v>
      </c>
      <c r="AB176" s="6" t="s">
        <v>120</v>
      </c>
      <c r="BA176" s="6">
        <f>Z199</f>
        <v>19.94256618773564</v>
      </c>
    </row>
    <row r="177" spans="1:53" outlineLevel="1" x14ac:dyDescent="0.35">
      <c r="A177" s="6" t="s">
        <v>29</v>
      </c>
      <c r="B177" s="6">
        <f>'Results - raw data ReCiPe (E)'!CC45</f>
        <v>1356.2467521252081</v>
      </c>
      <c r="AB177" s="6" t="s">
        <v>121</v>
      </c>
      <c r="AC177" s="6">
        <f>B200</f>
        <v>1002.2532345357261</v>
      </c>
      <c r="AF177" s="6">
        <f>E200</f>
        <v>968.37815789759441</v>
      </c>
      <c r="AI177" s="6">
        <f>H200</f>
        <v>935.22469385907107</v>
      </c>
      <c r="AL177" s="6">
        <f>K200</f>
        <v>892.83003869097888</v>
      </c>
      <c r="AO177" s="6">
        <f>N200</f>
        <v>844.94159176113419</v>
      </c>
      <c r="AR177" s="6">
        <f>Q200</f>
        <v>792.9189308085422</v>
      </c>
      <c r="AU177" s="6">
        <f>T200</f>
        <v>755.92169116514378</v>
      </c>
      <c r="AX177" s="6">
        <f>W200</f>
        <v>729.74807912223457</v>
      </c>
      <c r="BA177" s="6">
        <f>Z200</f>
        <v>722.80509911141849</v>
      </c>
    </row>
    <row r="178" spans="1:53" outlineLevel="1" x14ac:dyDescent="0.35">
      <c r="A178" s="6" t="s">
        <v>31</v>
      </c>
      <c r="B178" s="6">
        <f>'Results - raw data ReCiPe (E)'!CC46</f>
        <v>980.98309739403408</v>
      </c>
      <c r="AB178" s="6" t="s">
        <v>122</v>
      </c>
      <c r="AC178" s="6">
        <f>B203+B202</f>
        <v>22687.388138253878</v>
      </c>
      <c r="AD178" s="6">
        <f t="shared" ref="AD178:AV178" si="20">C203+C202</f>
        <v>21115.698490240859</v>
      </c>
      <c r="AE178" s="6">
        <f t="shared" si="20"/>
        <v>19544.515964920807</v>
      </c>
      <c r="AF178" s="6">
        <f t="shared" si="20"/>
        <v>17947.133770783741</v>
      </c>
      <c r="AG178" s="6">
        <f t="shared" si="20"/>
        <v>16376.552770248396</v>
      </c>
      <c r="AH178" s="6">
        <f t="shared" si="20"/>
        <v>14806.039185439733</v>
      </c>
      <c r="AI178" s="6">
        <f t="shared" si="20"/>
        <v>13527.654232578599</v>
      </c>
      <c r="AJ178" s="6">
        <f t="shared" si="20"/>
        <v>12252.268403810076</v>
      </c>
      <c r="AK178" s="6">
        <f t="shared" si="20"/>
        <v>10957.733296289556</v>
      </c>
      <c r="AL178" s="6">
        <f t="shared" si="20"/>
        <v>9683.8326697362936</v>
      </c>
      <c r="AM178" s="6">
        <f t="shared" si="20"/>
        <v>8409.929355357508</v>
      </c>
      <c r="AN178" s="6">
        <f t="shared" si="20"/>
        <v>7386.4704429924759</v>
      </c>
      <c r="AO178" s="6">
        <f t="shared" si="20"/>
        <v>6359.3090478766153</v>
      </c>
      <c r="AP178" s="6">
        <f t="shared" si="20"/>
        <v>5324.1055879715996</v>
      </c>
      <c r="AQ178" s="6">
        <f t="shared" si="20"/>
        <v>4289.7020441248487</v>
      </c>
      <c r="AR178" s="6">
        <f t="shared" si="20"/>
        <v>3251.7707647436118</v>
      </c>
      <c r="AS178" s="6">
        <f t="shared" si="20"/>
        <v>2673.8073974995732</v>
      </c>
      <c r="AT178" s="6">
        <f t="shared" si="20"/>
        <v>2096.2773744369356</v>
      </c>
      <c r="AU178" s="6">
        <f t="shared" si="20"/>
        <v>1515.5515829966278</v>
      </c>
      <c r="AV178" s="6">
        <f t="shared" si="20"/>
        <v>939.17734047113515</v>
      </c>
      <c r="AW178" s="6">
        <f>V203</f>
        <v>363.80853909143917</v>
      </c>
      <c r="AX178" s="6">
        <f>W203</f>
        <v>156.1117423355783</v>
      </c>
      <c r="AY178" s="6">
        <f>X203</f>
        <v>-54.350042229869615</v>
      </c>
      <c r="AZ178" s="6">
        <f>Y203</f>
        <v>-265.48818749032716</v>
      </c>
      <c r="BA178" s="6">
        <f>Z203</f>
        <v>-477.317038598301</v>
      </c>
    </row>
    <row r="179" spans="1:53" outlineLevel="1" x14ac:dyDescent="0.35">
      <c r="A179" s="6" t="s">
        <v>34</v>
      </c>
      <c r="B179" s="6">
        <f>'Results - raw data ReCiPe (E)'!CC47</f>
        <v>643.53411773634139</v>
      </c>
      <c r="AB179" s="6" t="s">
        <v>123</v>
      </c>
      <c r="AC179" s="6">
        <f t="shared" ref="AC179:BA179" si="21">B201</f>
        <v>2351.714163944283</v>
      </c>
      <c r="AD179" s="6">
        <f t="shared" si="21"/>
        <v>2190.1673768340443</v>
      </c>
      <c r="AE179" s="6">
        <f t="shared" si="21"/>
        <v>2029.3904072666951</v>
      </c>
      <c r="AF179" s="6">
        <f t="shared" si="21"/>
        <v>1866.7911576758299</v>
      </c>
      <c r="AG179" s="6">
        <f t="shared" si="21"/>
        <v>1707.502623292623</v>
      </c>
      <c r="AH179" s="6">
        <f t="shared" si="21"/>
        <v>1548.9323074469849</v>
      </c>
      <c r="AI179" s="6">
        <f t="shared" si="21"/>
        <v>1420.8989842219689</v>
      </c>
      <c r="AJ179" s="6">
        <f t="shared" si="21"/>
        <v>1293.3308573942479</v>
      </c>
      <c r="AK179" s="6">
        <f t="shared" si="21"/>
        <v>1164.1128877273279</v>
      </c>
      <c r="AL179" s="6">
        <f t="shared" si="21"/>
        <v>1037.1732653147751</v>
      </c>
      <c r="AM179" s="6">
        <f t="shared" si="21"/>
        <v>910.499631231639</v>
      </c>
      <c r="AN179" s="6">
        <f t="shared" si="21"/>
        <v>808.7977242446666</v>
      </c>
      <c r="AO179" s="6">
        <f t="shared" si="21"/>
        <v>706.74870524203391</v>
      </c>
      <c r="AP179" s="6">
        <f t="shared" si="21"/>
        <v>603.92919067835487</v>
      </c>
      <c r="AQ179" s="6">
        <f t="shared" si="21"/>
        <v>501.19625811265666</v>
      </c>
      <c r="AR179" s="6">
        <f t="shared" si="21"/>
        <v>398.1259448726446</v>
      </c>
      <c r="AS179" s="6">
        <f t="shared" si="21"/>
        <v>340.44341692369227</v>
      </c>
      <c r="AT179" s="6">
        <f t="shared" si="21"/>
        <v>282.62109837166611</v>
      </c>
      <c r="AU179" s="6">
        <f t="shared" si="21"/>
        <v>224.30575139066821</v>
      </c>
      <c r="AV179" s="6">
        <f t="shared" si="21"/>
        <v>166.2185040602605</v>
      </c>
      <c r="AW179" s="6">
        <f t="shared" si="21"/>
        <v>108.02156568474821</v>
      </c>
      <c r="AX179" s="6">
        <f t="shared" si="21"/>
        <v>87.588281224861447</v>
      </c>
      <c r="AY179" s="6">
        <f t="shared" si="21"/>
        <v>66.962919108807966</v>
      </c>
      <c r="AZ179" s="6">
        <f t="shared" si="21"/>
        <v>46.333223064412451</v>
      </c>
      <c r="BA179" s="6">
        <f t="shared" si="21"/>
        <v>25.697533708808269</v>
      </c>
    </row>
    <row r="180" spans="1:53" outlineLevel="1" x14ac:dyDescent="0.35">
      <c r="A180" s="6" t="s">
        <v>36</v>
      </c>
      <c r="B180" s="6">
        <f>'Results - raw data ReCiPe (E)'!CC48</f>
        <v>537.01822383702427</v>
      </c>
      <c r="AB180" s="6" t="s">
        <v>124</v>
      </c>
      <c r="AC180" s="6">
        <f>-$AC$7*$AC$6</f>
        <v>-100000</v>
      </c>
      <c r="AD180" s="6">
        <f t="shared" ref="AD180:BA180" si="22">-$AC$7*$AC$6</f>
        <v>-100000</v>
      </c>
      <c r="AE180" s="6">
        <f t="shared" si="22"/>
        <v>-100000</v>
      </c>
      <c r="AF180" s="6">
        <f t="shared" si="22"/>
        <v>-100000</v>
      </c>
      <c r="AG180" s="6">
        <f t="shared" si="22"/>
        <v>-100000</v>
      </c>
      <c r="AH180" s="6">
        <f t="shared" si="22"/>
        <v>-100000</v>
      </c>
      <c r="AI180" s="6">
        <f t="shared" si="22"/>
        <v>-100000</v>
      </c>
      <c r="AJ180" s="6">
        <f t="shared" si="22"/>
        <v>-100000</v>
      </c>
      <c r="AK180" s="6">
        <f t="shared" si="22"/>
        <v>-100000</v>
      </c>
      <c r="AL180" s="6">
        <f t="shared" si="22"/>
        <v>-100000</v>
      </c>
      <c r="AM180" s="6">
        <f t="shared" si="22"/>
        <v>-100000</v>
      </c>
      <c r="AN180" s="6">
        <f t="shared" si="22"/>
        <v>-100000</v>
      </c>
      <c r="AO180" s="6">
        <f t="shared" si="22"/>
        <v>-100000</v>
      </c>
      <c r="AP180" s="6">
        <f t="shared" si="22"/>
        <v>-100000</v>
      </c>
      <c r="AQ180" s="6">
        <f t="shared" si="22"/>
        <v>-100000</v>
      </c>
      <c r="AR180" s="6">
        <f t="shared" si="22"/>
        <v>-100000</v>
      </c>
      <c r="AS180" s="6">
        <f t="shared" si="22"/>
        <v>-100000</v>
      </c>
      <c r="AT180" s="6">
        <f t="shared" si="22"/>
        <v>-100000</v>
      </c>
      <c r="AU180" s="6">
        <f t="shared" si="22"/>
        <v>-100000</v>
      </c>
      <c r="AV180" s="6">
        <f t="shared" si="22"/>
        <v>-100000</v>
      </c>
      <c r="AW180" s="6">
        <f t="shared" si="22"/>
        <v>-100000</v>
      </c>
      <c r="AX180" s="6">
        <f t="shared" si="22"/>
        <v>-100000</v>
      </c>
      <c r="AY180" s="6">
        <f t="shared" si="22"/>
        <v>-100000</v>
      </c>
      <c r="AZ180" s="6">
        <f t="shared" si="22"/>
        <v>-100000</v>
      </c>
      <c r="BA180" s="6">
        <f t="shared" si="22"/>
        <v>-100000</v>
      </c>
    </row>
    <row r="181" spans="1:53" outlineLevel="1" x14ac:dyDescent="0.35">
      <c r="A181" s="6" t="s">
        <v>38</v>
      </c>
      <c r="B181" s="6">
        <f>'Results - raw data ReCiPe (E)'!CC49</f>
        <v>4812.1592907768581</v>
      </c>
      <c r="AB181" s="23" t="s">
        <v>125</v>
      </c>
      <c r="AC181" s="17">
        <f>SUM(AC173:AC180)</f>
        <v>-46070.281666304058</v>
      </c>
      <c r="AD181" s="17">
        <f t="shared" ref="AD181:BA181" si="23">SUM(AD173:AD180)</f>
        <v>-76694.134132925101</v>
      </c>
      <c r="AE181" s="17">
        <f t="shared" si="23"/>
        <v>-78426.093627812501</v>
      </c>
      <c r="AF181" s="17">
        <f t="shared" si="23"/>
        <v>-79217.696913642838</v>
      </c>
      <c r="AG181" s="17">
        <f t="shared" si="23"/>
        <v>-81915.944606458972</v>
      </c>
      <c r="AH181" s="17">
        <f t="shared" si="23"/>
        <v>-83645.028507113282</v>
      </c>
      <c r="AI181" s="17">
        <f t="shared" si="23"/>
        <v>-84116.222089340357</v>
      </c>
      <c r="AJ181" s="17">
        <f t="shared" si="23"/>
        <v>-86454.400738795681</v>
      </c>
      <c r="AK181" s="17">
        <f t="shared" si="23"/>
        <v>-87878.153815983111</v>
      </c>
      <c r="AL181" s="17">
        <f t="shared" si="23"/>
        <v>-88386.164026257946</v>
      </c>
      <c r="AM181" s="17">
        <f t="shared" si="23"/>
        <v>-90679.571013410852</v>
      </c>
      <c r="AN181" s="17">
        <f t="shared" si="23"/>
        <v>-91804.73183276286</v>
      </c>
      <c r="AO181" s="17">
        <f t="shared" si="23"/>
        <v>-92089.00065512021</v>
      </c>
      <c r="AP181" s="17">
        <f t="shared" si="23"/>
        <v>-94071.965221350052</v>
      </c>
      <c r="AQ181" s="17">
        <f t="shared" si="23"/>
        <v>-95209.101697762497</v>
      </c>
      <c r="AR181" s="17">
        <f t="shared" si="23"/>
        <v>-95557.1843595752</v>
      </c>
      <c r="AS181" s="17">
        <f t="shared" si="23"/>
        <v>-96985.749185576729</v>
      </c>
      <c r="AT181" s="17">
        <f t="shared" si="23"/>
        <v>-97621.101527191393</v>
      </c>
      <c r="AU181" s="17">
        <f t="shared" si="23"/>
        <v>-97504.220974447555</v>
      </c>
      <c r="AV181" s="17">
        <f t="shared" si="23"/>
        <v>-98894.604155468609</v>
      </c>
      <c r="AW181" s="17">
        <f t="shared" si="23"/>
        <v>-99528.169895223808</v>
      </c>
      <c r="AX181" s="17">
        <f t="shared" si="23"/>
        <v>-99026.551897317331</v>
      </c>
      <c r="AY181" s="17">
        <f t="shared" si="23"/>
        <v>-99987.387123121065</v>
      </c>
      <c r="AZ181" s="17">
        <f t="shared" si="23"/>
        <v>-100219.15496442592</v>
      </c>
      <c r="BA181" s="17">
        <f t="shared" si="23"/>
        <v>-99236.952180182503</v>
      </c>
    </row>
    <row r="182" spans="1:53" outlineLevel="1" x14ac:dyDescent="0.35">
      <c r="A182" s="6" t="s">
        <v>39</v>
      </c>
      <c r="B182" s="6">
        <f>'Results - raw data ReCiPe (E)'!CC50</f>
        <v>9251.7429629223079</v>
      </c>
    </row>
    <row r="183" spans="1:53" outlineLevel="1" x14ac:dyDescent="0.35">
      <c r="A183" s="6" t="s">
        <v>41</v>
      </c>
      <c r="B183" s="6">
        <f>'Results - raw data ReCiPe (E)'!CC51</f>
        <v>86.99567380814095</v>
      </c>
    </row>
    <row r="184" spans="1:53" outlineLevel="1" x14ac:dyDescent="0.35">
      <c r="A184" s="6" t="s">
        <v>43</v>
      </c>
      <c r="B184" s="6">
        <f>'Results - raw data ReCiPe (E)'!CC52</f>
        <v>485.23137314995512</v>
      </c>
      <c r="AB184" s="219"/>
      <c r="AC184" s="219"/>
      <c r="AD184" s="219"/>
      <c r="AE184" s="219"/>
      <c r="AF184" s="219"/>
      <c r="AG184" s="219"/>
      <c r="AH184" s="219"/>
      <c r="AI184" s="219"/>
      <c r="AJ184" s="219"/>
      <c r="AK184" s="219"/>
      <c r="AL184" s="219"/>
      <c r="AM184" s="219"/>
      <c r="AN184" s="219"/>
      <c r="AO184" s="219"/>
      <c r="AP184" s="219"/>
      <c r="AQ184" s="219"/>
      <c r="AR184" s="219"/>
      <c r="AS184" s="219"/>
      <c r="AT184" s="219"/>
      <c r="AU184" s="219"/>
      <c r="AV184" s="219"/>
      <c r="AW184" s="219"/>
      <c r="AX184" s="219"/>
      <c r="AY184" s="219"/>
      <c r="AZ184" s="219"/>
      <c r="BA184" s="219"/>
    </row>
    <row r="185" spans="1:53" outlineLevel="1" x14ac:dyDescent="0.35">
      <c r="A185" s="6" t="s">
        <v>44</v>
      </c>
      <c r="B185" s="6">
        <f>'Results - raw data ReCiPe (E)'!CC53*AC169*AC171</f>
        <v>2074.4586794633228</v>
      </c>
      <c r="AB185" s="219"/>
      <c r="AC185" s="219"/>
      <c r="AD185" s="219"/>
      <c r="AE185" s="219"/>
      <c r="AF185" s="219"/>
      <c r="AG185" s="219"/>
      <c r="AH185" s="219"/>
      <c r="AI185" s="219"/>
      <c r="AJ185" s="219"/>
      <c r="AK185" s="219"/>
      <c r="AL185" s="219"/>
      <c r="AM185" s="219"/>
      <c r="AN185" s="219"/>
      <c r="AO185" s="219"/>
      <c r="AP185" s="219"/>
      <c r="AQ185" s="219"/>
      <c r="AR185" s="219"/>
      <c r="AS185" s="219"/>
      <c r="AT185" s="219"/>
      <c r="AU185" s="219"/>
      <c r="AV185" s="219"/>
      <c r="AW185" s="219"/>
      <c r="AX185" s="219"/>
      <c r="AY185" s="219"/>
      <c r="AZ185" s="219"/>
      <c r="BA185" s="219"/>
    </row>
    <row r="186" spans="1:53" outlineLevel="1" x14ac:dyDescent="0.35">
      <c r="A186" s="6" t="s">
        <v>757</v>
      </c>
      <c r="B186" s="6">
        <f>'Results - raw data ReCiPe (E)'!CC54*AC169*AC171</f>
        <v>1635.2668874507835</v>
      </c>
      <c r="AB186" s="219"/>
      <c r="AC186" s="219"/>
      <c r="AD186" s="219"/>
      <c r="AE186" s="219"/>
      <c r="AF186" s="219"/>
      <c r="AG186" s="219"/>
      <c r="AH186" s="219"/>
      <c r="AI186" s="219"/>
      <c r="AJ186" s="219"/>
      <c r="AK186" s="219"/>
      <c r="AL186" s="219"/>
      <c r="AM186" s="219"/>
      <c r="AN186" s="219"/>
      <c r="AO186" s="219"/>
      <c r="AP186" s="219"/>
      <c r="AQ186" s="219"/>
      <c r="AR186" s="219"/>
      <c r="AS186" s="219"/>
      <c r="AT186" s="219"/>
      <c r="AU186" s="219"/>
      <c r="AV186" s="219"/>
      <c r="AW186" s="219"/>
      <c r="AX186" s="219"/>
      <c r="AY186" s="219"/>
      <c r="AZ186" s="219"/>
      <c r="BA186" s="219"/>
    </row>
    <row r="187" spans="1:53" outlineLevel="1" x14ac:dyDescent="0.35">
      <c r="A187" s="6" t="s">
        <v>22</v>
      </c>
      <c r="Z187" s="6">
        <f>'Results - raw data ReCiPe (E)'!DA55</f>
        <v>17.402671337666849</v>
      </c>
      <c r="AB187" s="219"/>
      <c r="AC187" s="219"/>
      <c r="AD187" s="219"/>
      <c r="AE187" s="219"/>
      <c r="AF187" s="219"/>
      <c r="AG187" s="219"/>
      <c r="AH187" s="219"/>
      <c r="AI187" s="219"/>
      <c r="AJ187" s="219"/>
      <c r="AK187" s="219"/>
      <c r="AL187" s="219"/>
      <c r="AM187" s="219"/>
      <c r="AN187" s="219"/>
      <c r="AO187" s="219"/>
      <c r="AP187" s="219"/>
      <c r="AQ187" s="219"/>
      <c r="AR187" s="219"/>
      <c r="AS187" s="219"/>
      <c r="AT187" s="219"/>
      <c r="AU187" s="219"/>
      <c r="AV187" s="219"/>
      <c r="AW187" s="219"/>
      <c r="AX187" s="219"/>
      <c r="AY187" s="219"/>
      <c r="AZ187" s="219"/>
      <c r="BA187" s="219"/>
    </row>
    <row r="188" spans="1:53" outlineLevel="1" x14ac:dyDescent="0.35">
      <c r="A188" s="6" t="s">
        <v>24</v>
      </c>
      <c r="Z188" s="6">
        <f>'Results - raw data ReCiPe (E)'!DA56</f>
        <v>6.1769548550697717</v>
      </c>
      <c r="AB188" s="219"/>
      <c r="AC188" s="219"/>
      <c r="AD188" s="219"/>
      <c r="AE188" s="219"/>
      <c r="AF188" s="219"/>
      <c r="AG188" s="219"/>
      <c r="AH188" s="219"/>
      <c r="AI188" s="219"/>
      <c r="AJ188" s="219"/>
      <c r="AK188" s="219"/>
      <c r="AL188" s="219"/>
      <c r="AM188" s="219"/>
      <c r="AN188" s="219"/>
      <c r="AO188" s="219"/>
      <c r="AP188" s="219"/>
      <c r="AQ188" s="219"/>
      <c r="AR188" s="219"/>
      <c r="AS188" s="219"/>
      <c r="AT188" s="219"/>
      <c r="AU188" s="219"/>
      <c r="AV188" s="219"/>
      <c r="AW188" s="219"/>
      <c r="AX188" s="219"/>
      <c r="AY188" s="219"/>
      <c r="AZ188" s="219"/>
      <c r="BA188" s="219"/>
    </row>
    <row r="189" spans="1:53" outlineLevel="1" x14ac:dyDescent="0.35">
      <c r="A189" s="6" t="s">
        <v>25</v>
      </c>
      <c r="Z189" s="6">
        <f>'Results - raw data ReCiPe (E)'!DA57</f>
        <v>19.26897274884934</v>
      </c>
      <c r="AB189" s="219"/>
      <c r="AC189" s="219"/>
      <c r="AD189" s="219"/>
      <c r="AE189" s="219"/>
      <c r="AF189" s="219"/>
      <c r="AG189" s="219"/>
      <c r="AH189" s="219"/>
      <c r="AI189" s="219"/>
      <c r="AJ189" s="219"/>
      <c r="AK189" s="219"/>
      <c r="AL189" s="219"/>
      <c r="AM189" s="219"/>
      <c r="AN189" s="219"/>
      <c r="AO189" s="219"/>
      <c r="AP189" s="219"/>
      <c r="AQ189" s="219"/>
      <c r="AR189" s="219"/>
      <c r="AS189" s="219"/>
      <c r="AT189" s="219"/>
      <c r="AU189" s="219"/>
      <c r="AV189" s="219"/>
      <c r="AW189" s="219"/>
      <c r="AX189" s="219"/>
      <c r="AY189" s="219"/>
      <c r="AZ189" s="219"/>
      <c r="BA189" s="219"/>
    </row>
    <row r="190" spans="1:53" outlineLevel="1" x14ac:dyDescent="0.35">
      <c r="A190" s="6" t="s">
        <v>27</v>
      </c>
      <c r="Z190" s="6">
        <f>'Results - raw data ReCiPe (E)'!DA58</f>
        <v>5.5999857476329256</v>
      </c>
      <c r="AB190" s="219"/>
      <c r="AC190" s="219"/>
      <c r="AD190" s="219"/>
      <c r="AE190" s="219"/>
      <c r="AF190" s="219"/>
      <c r="AG190" s="219"/>
      <c r="AH190" s="219"/>
      <c r="AI190" s="219"/>
      <c r="AJ190" s="219"/>
      <c r="AK190" s="219"/>
      <c r="AL190" s="219"/>
      <c r="AM190" s="219"/>
      <c r="AN190" s="219"/>
      <c r="AO190" s="219"/>
      <c r="AP190" s="219"/>
      <c r="AQ190" s="219"/>
      <c r="AR190" s="219"/>
      <c r="AS190" s="219"/>
      <c r="AT190" s="219"/>
      <c r="AU190" s="219"/>
      <c r="AV190" s="219"/>
      <c r="AW190" s="219"/>
      <c r="AX190" s="219"/>
      <c r="AY190" s="219"/>
      <c r="AZ190" s="219"/>
      <c r="BA190" s="219"/>
    </row>
    <row r="191" spans="1:53" outlineLevel="1" x14ac:dyDescent="0.35">
      <c r="A191" s="6" t="s">
        <v>30</v>
      </c>
      <c r="Z191" s="6">
        <f>'Results - raw data ReCiPe (E)'!DA59</f>
        <v>22.683971971680389</v>
      </c>
      <c r="AB191" s="219"/>
      <c r="AC191" s="219"/>
      <c r="AD191" s="219"/>
      <c r="AE191" s="219"/>
      <c r="AF191" s="219"/>
      <c r="AG191" s="219"/>
      <c r="AH191" s="219"/>
      <c r="AI191" s="219"/>
      <c r="AJ191" s="219"/>
      <c r="AK191" s="219"/>
      <c r="AL191" s="219"/>
      <c r="AM191" s="219"/>
      <c r="AN191" s="219"/>
      <c r="AO191" s="219"/>
      <c r="AP191" s="219"/>
      <c r="AQ191" s="219"/>
      <c r="AR191" s="219"/>
      <c r="AS191" s="219"/>
      <c r="AT191" s="219"/>
      <c r="AU191" s="219"/>
      <c r="AV191" s="219"/>
      <c r="AW191" s="219"/>
      <c r="AX191" s="219"/>
      <c r="AY191" s="219"/>
      <c r="AZ191" s="219"/>
      <c r="BA191" s="219"/>
    </row>
    <row r="192" spans="1:53" outlineLevel="1" x14ac:dyDescent="0.35">
      <c r="A192" s="6" t="s">
        <v>32</v>
      </c>
      <c r="Z192" s="6">
        <f>'Results - raw data ReCiPe (E)'!DA60</f>
        <v>0.59376131311437297</v>
      </c>
      <c r="AB192" s="219"/>
      <c r="AC192" s="219"/>
      <c r="AD192" s="219"/>
      <c r="AE192" s="219"/>
      <c r="AF192" s="219"/>
      <c r="AG192" s="219"/>
      <c r="AH192" s="219"/>
      <c r="AI192" s="219"/>
      <c r="AJ192" s="219"/>
      <c r="AK192" s="219"/>
      <c r="AL192" s="219"/>
      <c r="AM192" s="219"/>
      <c r="AN192" s="219"/>
      <c r="AO192" s="219"/>
      <c r="AP192" s="219"/>
      <c r="AQ192" s="219"/>
      <c r="AR192" s="219"/>
      <c r="AS192" s="219"/>
      <c r="AT192" s="219"/>
      <c r="AU192" s="219"/>
      <c r="AV192" s="219"/>
      <c r="AW192" s="219"/>
      <c r="AX192" s="219"/>
      <c r="AY192" s="219"/>
      <c r="AZ192" s="219"/>
      <c r="BA192" s="219"/>
    </row>
    <row r="193" spans="1:53" outlineLevel="1" x14ac:dyDescent="0.35">
      <c r="A193" s="6" t="s">
        <v>33</v>
      </c>
      <c r="Z193" s="6">
        <f>'Results - raw data ReCiPe (E)'!DA61</f>
        <v>5.372475015797618</v>
      </c>
      <c r="AB193" s="219"/>
      <c r="AC193" s="219"/>
      <c r="AD193" s="219"/>
      <c r="AE193" s="219"/>
      <c r="AF193" s="219"/>
      <c r="AG193" s="219"/>
      <c r="AH193" s="219"/>
      <c r="AI193" s="219"/>
      <c r="AJ193" s="219"/>
      <c r="AK193" s="219"/>
      <c r="AL193" s="219"/>
      <c r="AM193" s="219"/>
      <c r="AN193" s="219"/>
      <c r="AO193" s="219"/>
      <c r="AP193" s="219"/>
      <c r="AQ193" s="219"/>
      <c r="AR193" s="219"/>
      <c r="AS193" s="219"/>
      <c r="AT193" s="219"/>
      <c r="AU193" s="219"/>
      <c r="AV193" s="219"/>
      <c r="AW193" s="219"/>
      <c r="AX193" s="219"/>
      <c r="AY193" s="219"/>
      <c r="AZ193" s="219"/>
      <c r="BA193" s="219"/>
    </row>
    <row r="194" spans="1:53" outlineLevel="1" x14ac:dyDescent="0.35">
      <c r="A194" s="6" t="s">
        <v>35</v>
      </c>
      <c r="Z194" s="6">
        <f>'Results - raw data ReCiPe (E)'!DA62</f>
        <v>10.74495003159524</v>
      </c>
      <c r="AB194" s="219"/>
      <c r="AC194" s="219"/>
      <c r="AD194" s="219"/>
      <c r="AE194" s="219"/>
      <c r="AF194" s="219"/>
      <c r="AG194" s="219"/>
      <c r="AH194" s="219"/>
      <c r="AI194" s="219"/>
      <c r="AJ194" s="219"/>
      <c r="AK194" s="219"/>
      <c r="AL194" s="219"/>
      <c r="AM194" s="219"/>
      <c r="AN194" s="219"/>
      <c r="AO194" s="219"/>
      <c r="AP194" s="219"/>
      <c r="AQ194" s="219"/>
      <c r="AR194" s="219"/>
      <c r="AS194" s="219"/>
      <c r="AT194" s="219"/>
      <c r="AU194" s="219"/>
      <c r="AV194" s="219"/>
      <c r="AW194" s="219"/>
      <c r="AX194" s="219"/>
      <c r="AY194" s="219"/>
      <c r="AZ194" s="219"/>
      <c r="BA194" s="219"/>
    </row>
    <row r="195" spans="1:53" outlineLevel="1" x14ac:dyDescent="0.35">
      <c r="A195" s="6" t="s">
        <v>37</v>
      </c>
      <c r="Z195" s="6">
        <f>'Results - raw data ReCiPe (E)'!DA63</f>
        <v>9.4928621034112748</v>
      </c>
      <c r="AB195" s="219"/>
      <c r="AC195" s="219"/>
      <c r="AD195" s="219"/>
      <c r="AE195" s="219"/>
      <c r="AF195" s="219"/>
      <c r="AG195" s="219"/>
      <c r="AH195" s="219"/>
      <c r="AI195" s="219"/>
      <c r="AJ195" s="219"/>
      <c r="AK195" s="219"/>
      <c r="AL195" s="219"/>
      <c r="AM195" s="219"/>
      <c r="AN195" s="219"/>
      <c r="AO195" s="219"/>
      <c r="AP195" s="219"/>
      <c r="AQ195" s="219"/>
      <c r="AR195" s="219"/>
      <c r="AS195" s="219"/>
      <c r="AT195" s="219"/>
      <c r="AU195" s="219"/>
      <c r="AV195" s="219"/>
      <c r="AW195" s="219"/>
      <c r="AX195" s="219"/>
      <c r="AY195" s="219"/>
      <c r="AZ195" s="219"/>
      <c r="BA195" s="219"/>
    </row>
    <row r="196" spans="1:53" outlineLevel="1" x14ac:dyDescent="0.35">
      <c r="A196" s="6" t="s">
        <v>40</v>
      </c>
      <c r="Z196" s="6">
        <f>'Results - raw data ReCiPe (E)'!DA64</f>
        <v>209.81640473959629</v>
      </c>
    </row>
    <row r="197" spans="1:53" outlineLevel="1" x14ac:dyDescent="0.35">
      <c r="A197" s="6" t="s">
        <v>42</v>
      </c>
      <c r="Z197" s="6">
        <f>'Results - raw data ReCiPe (E)'!DA65</f>
        <v>14.503479976805369</v>
      </c>
    </row>
    <row r="198" spans="1:53" outlineLevel="1" x14ac:dyDescent="0.35">
      <c r="A198" s="6" t="s">
        <v>115</v>
      </c>
      <c r="Z198" s="6">
        <f>'Results - raw data ReCiPe (E)'!DA66</f>
        <v>150.26316956661981</v>
      </c>
    </row>
    <row r="199" spans="1:53" outlineLevel="1" x14ac:dyDescent="0.35">
      <c r="A199" s="6" t="s">
        <v>45</v>
      </c>
      <c r="Z199" s="6">
        <f>'Results - raw data ReCiPe (E)'!DA67*AC169*AC171</f>
        <v>19.94256618773564</v>
      </c>
    </row>
    <row r="200" spans="1:53" outlineLevel="1" x14ac:dyDescent="0.35">
      <c r="A200" s="6" t="s">
        <v>116</v>
      </c>
      <c r="B200" s="6">
        <f>'Results - raw data ReCiPe (E)'!CC68</f>
        <v>1002.2532345357261</v>
      </c>
      <c r="C200" s="6">
        <f>'Results - raw data ReCiPe (E)'!CD68</f>
        <v>992.54241268132228</v>
      </c>
      <c r="D200" s="6">
        <f>'Results - raw data ReCiPe (E)'!CE68</f>
        <v>982.76907952971146</v>
      </c>
      <c r="E200" s="6">
        <f>'Results - raw data ReCiPe (E)'!CF68</f>
        <v>968.37815789759441</v>
      </c>
      <c r="F200" s="6">
        <f>'Results - raw data ReCiPe (E)'!CG68</f>
        <v>958.46475580946662</v>
      </c>
      <c r="G200" s="6">
        <f>'Results - raw data ReCiPe (E)'!CH68</f>
        <v>948.46600267142333</v>
      </c>
      <c r="H200" s="6">
        <f>'Results - raw data ReCiPe (E)'!CI68</f>
        <v>935.22469385907107</v>
      </c>
      <c r="I200" s="6">
        <f>'Results - raw data ReCiPe (E)'!CJ68</f>
        <v>922.0081961481834</v>
      </c>
      <c r="J200" s="6">
        <f>'Results - raw data ReCiPe (E)'!CK68</f>
        <v>906.04641641951764</v>
      </c>
      <c r="K200" s="6">
        <f>'Results - raw data ReCiPe (E)'!CL68</f>
        <v>892.83003869097888</v>
      </c>
      <c r="L200" s="6">
        <f>'Results - raw data ReCiPe (E)'!CM68</f>
        <v>879.57125123777155</v>
      </c>
      <c r="M200" s="6">
        <f>'Results - raw data ReCiPe (E)'!CN68</f>
        <v>862.21096677589401</v>
      </c>
      <c r="N200" s="6">
        <f>'Results - raw data ReCiPe (E)'!CO68</f>
        <v>844.94159176113419</v>
      </c>
      <c r="O200" s="6">
        <f>'Results - raw data ReCiPe (E)'!CP68</f>
        <v>826.9847790614333</v>
      </c>
      <c r="P200" s="6">
        <f>'Results - raw data ReCiPe (E)'!CQ68</f>
        <v>809.90918314563464</v>
      </c>
      <c r="Q200" s="6">
        <f>'Results - raw data ReCiPe (E)'!CR68</f>
        <v>792.9189308085422</v>
      </c>
      <c r="R200" s="6">
        <f>'Results - raw data ReCiPe (E)'!CS68</f>
        <v>780.71505395214228</v>
      </c>
      <c r="S200" s="6">
        <f>'Results - raw data ReCiPe (E)'!CT68</f>
        <v>768.58776830630893</v>
      </c>
      <c r="T200" s="6">
        <f>'Results - raw data ReCiPe (E)'!CU68</f>
        <v>755.92169116514378</v>
      </c>
      <c r="U200" s="6">
        <f>'Results - raw data ReCiPe (E)'!CV68</f>
        <v>743.9597511950426</v>
      </c>
      <c r="V200" s="6">
        <f>'Results - raw data ReCiPe (E)'!CW68</f>
        <v>732.07338633778875</v>
      </c>
      <c r="W200" s="6">
        <f>'Results - raw data ReCiPe (E)'!CX68</f>
        <v>729.74807912223457</v>
      </c>
      <c r="X200" s="6">
        <f>'Results - raw data ReCiPe (E)'!CY68</f>
        <v>727.41623510815828</v>
      </c>
      <c r="Y200" s="6">
        <f>'Results - raw data ReCiPe (E)'!CZ68</f>
        <v>725.10197470826199</v>
      </c>
      <c r="Z200" s="6">
        <f>'Results - raw data ReCiPe (E)'!DA68</f>
        <v>722.80509911141849</v>
      </c>
    </row>
    <row r="201" spans="1:53" outlineLevel="1" x14ac:dyDescent="0.35">
      <c r="A201" s="6" t="s">
        <v>758</v>
      </c>
      <c r="B201" s="6">
        <f>'Results - raw data ReCiPe (E)'!CC69*$AC$169</f>
        <v>2351.714163944283</v>
      </c>
      <c r="C201" s="6">
        <f>'Results - raw data ReCiPe (E)'!CD69*$AC$169</f>
        <v>2190.1673768340443</v>
      </c>
      <c r="D201" s="6">
        <f>'Results - raw data ReCiPe (E)'!CE69*$AC$169</f>
        <v>2029.3904072666951</v>
      </c>
      <c r="E201" s="6">
        <f>'Results - raw data ReCiPe (E)'!CF69*$AC$169</f>
        <v>1866.7911576758299</v>
      </c>
      <c r="F201" s="6">
        <f>'Results - raw data ReCiPe (E)'!CG69*$AC$169</f>
        <v>1707.502623292623</v>
      </c>
      <c r="G201" s="6">
        <f>'Results - raw data ReCiPe (E)'!CH69*$AC$169</f>
        <v>1548.9323074469849</v>
      </c>
      <c r="H201" s="6">
        <f>'Results - raw data ReCiPe (E)'!CI69*$AC$169</f>
        <v>1420.8989842219689</v>
      </c>
      <c r="I201" s="6">
        <f>'Results - raw data ReCiPe (E)'!CJ69*$AC$169</f>
        <v>1293.3308573942479</v>
      </c>
      <c r="J201" s="6">
        <f>'Results - raw data ReCiPe (E)'!CK69*$AC$169</f>
        <v>1164.1128877273279</v>
      </c>
      <c r="K201" s="6">
        <f>'Results - raw data ReCiPe (E)'!CL69*$AC$169</f>
        <v>1037.1732653147751</v>
      </c>
      <c r="L201" s="6">
        <f>'Results - raw data ReCiPe (E)'!CM69*$AC$169</f>
        <v>910.499631231639</v>
      </c>
      <c r="M201" s="6">
        <f>'Results - raw data ReCiPe (E)'!CN69*$AC$169</f>
        <v>808.7977242446666</v>
      </c>
      <c r="N201" s="6">
        <f>'Results - raw data ReCiPe (E)'!CO69*$AC$169</f>
        <v>706.74870524203391</v>
      </c>
      <c r="O201" s="6">
        <f>'Results - raw data ReCiPe (E)'!CP69*$AC$169</f>
        <v>603.92919067835487</v>
      </c>
      <c r="P201" s="6">
        <f>'Results - raw data ReCiPe (E)'!CQ69*$AC$169</f>
        <v>501.19625811265666</v>
      </c>
      <c r="Q201" s="6">
        <f>'Results - raw data ReCiPe (E)'!CR69*$AC$169</f>
        <v>398.1259448726446</v>
      </c>
      <c r="R201" s="6">
        <f>'Results - raw data ReCiPe (E)'!CS69*$AC$169</f>
        <v>340.44341692369227</v>
      </c>
      <c r="S201" s="6">
        <f>'Results - raw data ReCiPe (E)'!CT69*$AC$169</f>
        <v>282.62109837166611</v>
      </c>
      <c r="T201" s="6">
        <f>'Results - raw data ReCiPe (E)'!CU69*$AC$169</f>
        <v>224.30575139066821</v>
      </c>
      <c r="U201" s="6">
        <f>'Results - raw data ReCiPe (E)'!CV69*$AC$169</f>
        <v>166.2185040602605</v>
      </c>
      <c r="V201" s="6">
        <f>'Results - raw data ReCiPe (E)'!CW69*$AC$169</f>
        <v>108.02156568474821</v>
      </c>
      <c r="W201" s="6">
        <f>'Results - raw data ReCiPe (E)'!CX69*$AC$169</f>
        <v>87.588281224861447</v>
      </c>
      <c r="X201" s="6">
        <f>'Results - raw data ReCiPe (E)'!CY69*$AC$169</f>
        <v>66.962919108807966</v>
      </c>
      <c r="Y201" s="6">
        <f>'Results - raw data ReCiPe (E)'!CZ69*$AC$169</f>
        <v>46.333223064412451</v>
      </c>
      <c r="Z201" s="6">
        <f>'Results - raw data ReCiPe (E)'!DA69*$AC$169</f>
        <v>25.697533708808269</v>
      </c>
    </row>
    <row r="202" spans="1:53" outlineLevel="1" x14ac:dyDescent="0.35">
      <c r="A202" s="6" t="s">
        <v>759</v>
      </c>
      <c r="B202" s="6">
        <f>'Results - raw data ReCiPe (E)'!CC70</f>
        <v>0</v>
      </c>
      <c r="C202" s="6">
        <f>'Results - raw data ReCiPe (E)'!CD70</f>
        <v>0</v>
      </c>
      <c r="D202" s="6">
        <f>'Results - raw data ReCiPe (E)'!CE70</f>
        <v>0</v>
      </c>
      <c r="E202" s="6">
        <f>'Results - raw data ReCiPe (E)'!CF70</f>
        <v>0</v>
      </c>
      <c r="F202" s="6">
        <f>'Results - raw data ReCiPe (E)'!CG70</f>
        <v>0</v>
      </c>
      <c r="G202" s="6">
        <f>'Results - raw data ReCiPe (E)'!CH70</f>
        <v>0</v>
      </c>
      <c r="H202" s="6">
        <f>'Results - raw data ReCiPe (E)'!CI70</f>
        <v>0</v>
      </c>
      <c r="I202" s="6">
        <f>'Results - raw data ReCiPe (E)'!CJ70</f>
        <v>0</v>
      </c>
      <c r="J202" s="6">
        <f>'Results - raw data ReCiPe (E)'!CK70</f>
        <v>0</v>
      </c>
      <c r="K202" s="6">
        <f>'Results - raw data ReCiPe (E)'!CL70</f>
        <v>0</v>
      </c>
      <c r="L202" s="6">
        <f>'Results - raw data ReCiPe (E)'!CM70</f>
        <v>0</v>
      </c>
      <c r="M202" s="6">
        <f>'Results - raw data ReCiPe (E)'!CN70</f>
        <v>0</v>
      </c>
      <c r="N202" s="6">
        <f>'Results - raw data ReCiPe (E)'!CO70</f>
        <v>0</v>
      </c>
      <c r="O202" s="6">
        <f>'Results - raw data ReCiPe (E)'!CP70</f>
        <v>0</v>
      </c>
      <c r="P202" s="6">
        <f>'Results - raw data ReCiPe (E)'!CQ70</f>
        <v>0</v>
      </c>
      <c r="Q202" s="6">
        <f>'Results - raw data ReCiPe (E)'!CR70</f>
        <v>0</v>
      </c>
      <c r="R202" s="6">
        <f>'Results - raw data ReCiPe (E)'!CS70</f>
        <v>0</v>
      </c>
      <c r="S202" s="6">
        <f>'Results - raw data ReCiPe (E)'!CT70</f>
        <v>0</v>
      </c>
      <c r="T202" s="6">
        <f>'Results - raw data ReCiPe (E)'!CU70</f>
        <v>0</v>
      </c>
      <c r="U202" s="6">
        <f>'Results - raw data ReCiPe (E)'!CV70</f>
        <v>0</v>
      </c>
      <c r="V202" s="6">
        <f>'Results - raw data ReCiPe (E)'!CW70</f>
        <v>0</v>
      </c>
      <c r="W202" s="6">
        <f>'Results - raw data ReCiPe (E)'!CX70</f>
        <v>0</v>
      </c>
      <c r="X202" s="6">
        <f>'Results - raw data ReCiPe (E)'!CY70</f>
        <v>0</v>
      </c>
      <c r="Y202" s="6">
        <f>'Results - raw data ReCiPe (E)'!CZ70</f>
        <v>0</v>
      </c>
      <c r="Z202" s="6">
        <f>'Results - raw data ReCiPe (E)'!DA70</f>
        <v>0</v>
      </c>
    </row>
    <row r="203" spans="1:53" outlineLevel="1" x14ac:dyDescent="0.35">
      <c r="A203" s="6" t="s">
        <v>760</v>
      </c>
      <c r="B203" s="6">
        <f>150000*($AC$170*'Results - raw data ReCiPe (E)'!CC121+(1-'Results ReCiPe (E) - HHD'!$AC$170)*'Results - raw data ReCiPe (E)'!CC122)</f>
        <v>22687.388138253878</v>
      </c>
      <c r="C203" s="6">
        <f>150000*($AC$170*'Results - raw data ReCiPe (E)'!CD121+(1-'Results ReCiPe (E) - HHD'!$AC$170)*'Results - raw data ReCiPe (E)'!CD122)</f>
        <v>21115.698490240859</v>
      </c>
      <c r="D203" s="6">
        <f>150000*($AC$170*'Results - raw data ReCiPe (E)'!CE121+(1-'Results ReCiPe (E) - HHD'!$AC$170)*'Results - raw data ReCiPe (E)'!CE122)</f>
        <v>19544.515964920807</v>
      </c>
      <c r="E203" s="6">
        <f>150000*($AC$170*'Results - raw data ReCiPe (E)'!CF121+(1-'Results ReCiPe (E) - HHD'!$AC$170)*'Results - raw data ReCiPe (E)'!CF122)</f>
        <v>17947.133770783741</v>
      </c>
      <c r="F203" s="6">
        <f>150000*($AC$170*'Results - raw data ReCiPe (E)'!CG121+(1-'Results ReCiPe (E) - HHD'!$AC$170)*'Results - raw data ReCiPe (E)'!CG122)</f>
        <v>16376.552770248396</v>
      </c>
      <c r="G203" s="6">
        <f>150000*($AC$170*'Results - raw data ReCiPe (E)'!CH121+(1-'Results ReCiPe (E) - HHD'!$AC$170)*'Results - raw data ReCiPe (E)'!CH122)</f>
        <v>14806.039185439733</v>
      </c>
      <c r="H203" s="6">
        <f>150000*($AC$170*'Results - raw data ReCiPe (E)'!CI121+(1-'Results ReCiPe (E) - HHD'!$AC$170)*'Results - raw data ReCiPe (E)'!CI122)</f>
        <v>13527.654232578599</v>
      </c>
      <c r="I203" s="6">
        <f>150000*($AC$170*'Results - raw data ReCiPe (E)'!CJ121+(1-'Results ReCiPe (E) - HHD'!$AC$170)*'Results - raw data ReCiPe (E)'!CJ122)</f>
        <v>12252.268403810076</v>
      </c>
      <c r="J203" s="6">
        <f>150000*($AC$170*'Results - raw data ReCiPe (E)'!CK121+(1-'Results ReCiPe (E) - HHD'!$AC$170)*'Results - raw data ReCiPe (E)'!CK122)</f>
        <v>10957.733296289556</v>
      </c>
      <c r="K203" s="6">
        <f>150000*($AC$170*'Results - raw data ReCiPe (E)'!CL121+(1-'Results ReCiPe (E) - HHD'!$AC$170)*'Results - raw data ReCiPe (E)'!CL122)</f>
        <v>9683.8326697362936</v>
      </c>
      <c r="L203" s="6">
        <f>150000*($AC$170*'Results - raw data ReCiPe (E)'!CM121+(1-'Results ReCiPe (E) - HHD'!$AC$170)*'Results - raw data ReCiPe (E)'!CM122)</f>
        <v>8409.929355357508</v>
      </c>
      <c r="M203" s="6">
        <f>150000*($AC$170*'Results - raw data ReCiPe (E)'!CN121+(1-'Results ReCiPe (E) - HHD'!$AC$170)*'Results - raw data ReCiPe (E)'!CN122)</f>
        <v>7386.4704429924759</v>
      </c>
      <c r="N203" s="6">
        <f>150000*($AC$170*'Results - raw data ReCiPe (E)'!CO121+(1-'Results ReCiPe (E) - HHD'!$AC$170)*'Results - raw data ReCiPe (E)'!CO122)</f>
        <v>6359.3090478766153</v>
      </c>
      <c r="O203" s="6">
        <f>150000*($AC$170*'Results - raw data ReCiPe (E)'!CP121+(1-'Results ReCiPe (E) - HHD'!$AC$170)*'Results - raw data ReCiPe (E)'!CP122)</f>
        <v>5324.1055879715996</v>
      </c>
      <c r="P203" s="6">
        <f>150000*($AC$170*'Results - raw data ReCiPe (E)'!CQ121+(1-'Results ReCiPe (E) - HHD'!$AC$170)*'Results - raw data ReCiPe (E)'!CQ122)</f>
        <v>4289.7020441248487</v>
      </c>
      <c r="Q203" s="6">
        <f>150000*($AC$170*'Results - raw data ReCiPe (E)'!CR121+(1-'Results ReCiPe (E) - HHD'!$AC$170)*'Results - raw data ReCiPe (E)'!CR122)</f>
        <v>3251.7707647436118</v>
      </c>
      <c r="R203" s="6">
        <f>150000*($AC$170*'Results - raw data ReCiPe (E)'!CS121+(1-'Results ReCiPe (E) - HHD'!$AC$170)*'Results - raw data ReCiPe (E)'!CS122)</f>
        <v>2673.8073974995732</v>
      </c>
      <c r="S203" s="6">
        <f>150000*($AC$170*'Results - raw data ReCiPe (E)'!CT121+(1-'Results ReCiPe (E) - HHD'!$AC$170)*'Results - raw data ReCiPe (E)'!CT122)</f>
        <v>2096.2773744369356</v>
      </c>
      <c r="T203" s="6">
        <f>150000*($AC$170*'Results - raw data ReCiPe (E)'!CU121+(1-'Results ReCiPe (E) - HHD'!$AC$170)*'Results - raw data ReCiPe (E)'!CU122)</f>
        <v>1515.5515829966278</v>
      </c>
      <c r="U203" s="6">
        <f>150000*($AC$170*'Results - raw data ReCiPe (E)'!CV121+(1-'Results ReCiPe (E) - HHD'!$AC$170)*'Results - raw data ReCiPe (E)'!CV122)</f>
        <v>939.17734047113515</v>
      </c>
      <c r="V203" s="6">
        <f>150000*($AC$170*'Results - raw data ReCiPe (E)'!CW121+(1-'Results ReCiPe (E) - HHD'!$AC$170)*'Results - raw data ReCiPe (E)'!CW122)</f>
        <v>363.80853909143917</v>
      </c>
      <c r="W203" s="6">
        <f>150000*($AC$170*'Results - raw data ReCiPe (E)'!CX121+(1-'Results ReCiPe (E) - HHD'!$AC$170)*'Results - raw data ReCiPe (E)'!CX122)</f>
        <v>156.1117423355783</v>
      </c>
      <c r="X203" s="6">
        <f>150000*($AC$170*'Results - raw data ReCiPe (E)'!CY121+(1-'Results ReCiPe (E) - HHD'!$AC$170)*'Results - raw data ReCiPe (E)'!CY122)</f>
        <v>-54.350042229869615</v>
      </c>
      <c r="Y203" s="6">
        <f>150000*($AC$170*'Results - raw data ReCiPe (E)'!CZ121+(1-'Results ReCiPe (E) - HHD'!$AC$170)*'Results - raw data ReCiPe (E)'!CZ122)</f>
        <v>-265.48818749032716</v>
      </c>
      <c r="Z203" s="6">
        <f>150000*($AC$170*'Results - raw data ReCiPe (E)'!DA121+(1-'Results ReCiPe (E) - HHD'!$AC$170)*'Results - raw data ReCiPe (E)'!DA122)</f>
        <v>-477.317038598301</v>
      </c>
    </row>
    <row r="204" spans="1:53" outlineLevel="1" x14ac:dyDescent="0.35">
      <c r="A204" s="23" t="s">
        <v>125</v>
      </c>
      <c r="B204" s="17">
        <f>SUM(B173:B203)</f>
        <v>53929.718333695942</v>
      </c>
      <c r="C204" s="17">
        <f t="shared" ref="C204:Z204" si="24">SUM(C173:C203)</f>
        <v>24298.408279756226</v>
      </c>
      <c r="D204" s="17">
        <f t="shared" si="24"/>
        <v>22556.675451717216</v>
      </c>
      <c r="E204" s="17">
        <f t="shared" si="24"/>
        <v>20782.303086357166</v>
      </c>
      <c r="F204" s="17">
        <f t="shared" si="24"/>
        <v>19042.520149350486</v>
      </c>
      <c r="G204" s="17">
        <f t="shared" si="24"/>
        <v>17303.437495558141</v>
      </c>
      <c r="H204" s="17">
        <f t="shared" si="24"/>
        <v>15883.777910659639</v>
      </c>
      <c r="I204" s="17">
        <f t="shared" si="24"/>
        <v>14467.607457352507</v>
      </c>
      <c r="J204" s="17">
        <f t="shared" si="24"/>
        <v>13027.892600436402</v>
      </c>
      <c r="K204" s="17">
        <f t="shared" si="24"/>
        <v>11613.835973742047</v>
      </c>
      <c r="L204" s="17">
        <f t="shared" si="24"/>
        <v>10200.000237826918</v>
      </c>
      <c r="M204" s="17">
        <f t="shared" si="24"/>
        <v>9057.4791340130359</v>
      </c>
      <c r="N204" s="17">
        <f t="shared" si="24"/>
        <v>7910.9993448797832</v>
      </c>
      <c r="O204" s="17">
        <f t="shared" si="24"/>
        <v>6755.0195577113882</v>
      </c>
      <c r="P204" s="17">
        <f t="shared" si="24"/>
        <v>5600.8074853831404</v>
      </c>
      <c r="Q204" s="17">
        <f t="shared" si="24"/>
        <v>4442.8156404247984</v>
      </c>
      <c r="R204" s="17">
        <f t="shared" si="24"/>
        <v>3794.9658683754078</v>
      </c>
      <c r="S204" s="17">
        <f t="shared" si="24"/>
        <v>3147.4862411149106</v>
      </c>
      <c r="T204" s="17">
        <f t="shared" si="24"/>
        <v>2495.7790255524396</v>
      </c>
      <c r="U204" s="17">
        <f t="shared" si="24"/>
        <v>1849.3555957264384</v>
      </c>
      <c r="V204" s="17">
        <f t="shared" si="24"/>
        <v>1203.9034911139761</v>
      </c>
      <c r="W204" s="17">
        <f t="shared" si="24"/>
        <v>973.44810268267429</v>
      </c>
      <c r="X204" s="17">
        <f t="shared" si="24"/>
        <v>740.02911198709671</v>
      </c>
      <c r="Y204" s="17">
        <f t="shared" si="24"/>
        <v>505.94701028234726</v>
      </c>
      <c r="Z204" s="17">
        <f t="shared" si="24"/>
        <v>763.04781981750079</v>
      </c>
    </row>
    <row r="205" spans="1:53" outlineLevel="1" x14ac:dyDescent="0.35"/>
    <row r="206" spans="1:53" s="18" customFormat="1" ht="21" x14ac:dyDescent="0.5">
      <c r="A206" s="18" t="s">
        <v>94</v>
      </c>
    </row>
    <row r="207" spans="1:53" s="20" customFormat="1" outlineLevel="1" x14ac:dyDescent="0.35">
      <c r="A207" s="19" t="s">
        <v>766</v>
      </c>
    </row>
    <row r="208" spans="1:53" s="16" customFormat="1" outlineLevel="1" x14ac:dyDescent="0.35">
      <c r="A208" s="21"/>
      <c r="AB208" s="16" t="s">
        <v>47</v>
      </c>
      <c r="AC208" s="16">
        <v>1</v>
      </c>
      <c r="AD208" s="16" t="s">
        <v>146</v>
      </c>
      <c r="AE208" s="15"/>
    </row>
    <row r="209" spans="1:53" s="16" customFormat="1" outlineLevel="1" x14ac:dyDescent="0.35">
      <c r="A209" s="22" t="s">
        <v>566</v>
      </c>
      <c r="AC209" s="16">
        <f>AC208*1000</f>
        <v>1000</v>
      </c>
      <c r="AD209" s="16" t="s">
        <v>144</v>
      </c>
    </row>
    <row r="210" spans="1:53" s="16" customFormat="1" outlineLevel="1" x14ac:dyDescent="0.35">
      <c r="A210" s="22"/>
      <c r="AB210" s="16" t="s">
        <v>127</v>
      </c>
      <c r="AC210" s="16">
        <v>100</v>
      </c>
      <c r="AD210" s="16" t="s">
        <v>128</v>
      </c>
    </row>
    <row r="211" spans="1:53" s="16" customFormat="1" outlineLevel="1" x14ac:dyDescent="0.35">
      <c r="A211" s="230" t="s">
        <v>768</v>
      </c>
      <c r="AB211" s="16" t="s">
        <v>20</v>
      </c>
      <c r="AC211" s="16">
        <v>0.23</v>
      </c>
      <c r="AD211" s="16" t="s">
        <v>715</v>
      </c>
    </row>
    <row r="212" spans="1:53" s="16" customFormat="1" outlineLevel="1" x14ac:dyDescent="0.35">
      <c r="A212" s="22"/>
      <c r="AB212" s="16" t="s">
        <v>129</v>
      </c>
      <c r="AC212" s="16">
        <v>25</v>
      </c>
      <c r="AD212" s="16" t="s">
        <v>130</v>
      </c>
    </row>
    <row r="213" spans="1:53" outlineLevel="1" x14ac:dyDescent="0.35">
      <c r="B213" s="25">
        <v>2030</v>
      </c>
      <c r="C213" s="25">
        <v>2031</v>
      </c>
      <c r="D213" s="25">
        <v>2032</v>
      </c>
      <c r="E213" s="25">
        <v>2033</v>
      </c>
      <c r="F213" s="25">
        <v>2034</v>
      </c>
      <c r="G213" s="25">
        <v>2035</v>
      </c>
      <c r="H213" s="25">
        <v>2036</v>
      </c>
      <c r="I213" s="25">
        <v>2037</v>
      </c>
      <c r="J213" s="25">
        <v>2038</v>
      </c>
      <c r="K213" s="25">
        <v>2039</v>
      </c>
      <c r="L213" s="25">
        <v>2040</v>
      </c>
      <c r="M213" s="25">
        <v>2041</v>
      </c>
      <c r="N213" s="25">
        <v>2042</v>
      </c>
      <c r="O213" s="25">
        <v>2043</v>
      </c>
      <c r="P213" s="25">
        <v>2044</v>
      </c>
      <c r="Q213" s="25">
        <v>2045</v>
      </c>
      <c r="R213" s="25">
        <v>2046</v>
      </c>
      <c r="S213" s="25">
        <v>2047</v>
      </c>
      <c r="T213" s="25">
        <v>2048</v>
      </c>
      <c r="U213" s="25">
        <v>2049</v>
      </c>
      <c r="V213" s="25">
        <v>2050</v>
      </c>
      <c r="W213" s="25">
        <v>2051</v>
      </c>
      <c r="X213" s="25">
        <v>2052</v>
      </c>
      <c r="Y213" s="25">
        <v>2053</v>
      </c>
      <c r="Z213" s="25">
        <v>2054</v>
      </c>
      <c r="AC213" s="25">
        <v>2030</v>
      </c>
      <c r="AD213" s="25">
        <v>2031</v>
      </c>
      <c r="AE213" s="25">
        <v>2032</v>
      </c>
      <c r="AF213" s="25">
        <v>2033</v>
      </c>
      <c r="AG213" s="25">
        <v>2034</v>
      </c>
      <c r="AH213" s="25">
        <v>2035</v>
      </c>
      <c r="AI213" s="25">
        <v>2036</v>
      </c>
      <c r="AJ213" s="25">
        <v>2037</v>
      </c>
      <c r="AK213" s="25">
        <v>2038</v>
      </c>
      <c r="AL213" s="25">
        <v>2039</v>
      </c>
      <c r="AM213" s="25">
        <v>2040</v>
      </c>
      <c r="AN213" s="25">
        <v>2041</v>
      </c>
      <c r="AO213" s="25">
        <v>2042</v>
      </c>
      <c r="AP213" s="25">
        <v>2043</v>
      </c>
      <c r="AQ213" s="25">
        <v>2044</v>
      </c>
      <c r="AR213" s="25">
        <v>2045</v>
      </c>
      <c r="AS213" s="25">
        <v>2046</v>
      </c>
      <c r="AT213" s="25">
        <v>2047</v>
      </c>
      <c r="AU213" s="25">
        <v>2048</v>
      </c>
      <c r="AV213" s="25">
        <v>2049</v>
      </c>
      <c r="AW213" s="25">
        <v>2050</v>
      </c>
      <c r="AX213" s="25">
        <v>2051</v>
      </c>
      <c r="AY213" s="25">
        <v>2052</v>
      </c>
      <c r="AZ213" s="25">
        <v>2053</v>
      </c>
      <c r="BA213" s="25">
        <v>2054</v>
      </c>
    </row>
    <row r="214" spans="1:53" outlineLevel="1" x14ac:dyDescent="0.35">
      <c r="A214" s="6" t="s">
        <v>21</v>
      </c>
      <c r="B214" s="6">
        <f>'Results - raw data ReCiPe (E)'!CC77</f>
        <v>456.66549758974878</v>
      </c>
      <c r="AB214" s="6" t="s">
        <v>117</v>
      </c>
      <c r="AC214" s="6">
        <f>SUM(B214:B225)+B227</f>
        <v>18734.754242367293</v>
      </c>
    </row>
    <row r="215" spans="1:53" outlineLevel="1" x14ac:dyDescent="0.35">
      <c r="A215" s="6" t="s">
        <v>23</v>
      </c>
      <c r="B215" s="6">
        <f>'Results - raw data ReCiPe (E)'!CC78</f>
        <v>610.73079541271613</v>
      </c>
      <c r="AB215" s="6" t="s">
        <v>118</v>
      </c>
      <c r="AC215" s="6">
        <f>B226</f>
        <v>1806.9972059599825</v>
      </c>
    </row>
    <row r="216" spans="1:53" outlineLevel="1" x14ac:dyDescent="0.35">
      <c r="A216" s="6" t="s">
        <v>26</v>
      </c>
      <c r="B216" s="6">
        <f>'Results - raw data ReCiPe (E)'!CC79</f>
        <v>2011.039070131885</v>
      </c>
      <c r="AB216" s="6" t="s">
        <v>119</v>
      </c>
      <c r="BA216" s="6">
        <f>SUM(Z228:Z239)</f>
        <v>401.67894942234688</v>
      </c>
    </row>
    <row r="217" spans="1:53" outlineLevel="1" x14ac:dyDescent="0.35">
      <c r="A217" s="6" t="s">
        <v>28</v>
      </c>
      <c r="B217" s="6">
        <f>'Results - raw data ReCiPe (E)'!CC80</f>
        <v>1809.4907882550019</v>
      </c>
      <c r="AB217" s="6" t="s">
        <v>120</v>
      </c>
      <c r="BA217" s="6">
        <f>Z240</f>
        <v>18.734548309715944</v>
      </c>
    </row>
    <row r="218" spans="1:53" outlineLevel="1" x14ac:dyDescent="0.35">
      <c r="A218" s="6" t="s">
        <v>29</v>
      </c>
      <c r="B218" s="6">
        <f>'Results - raw data ReCiPe (E)'!CC81</f>
        <v>1003.521703680859</v>
      </c>
      <c r="AB218" s="6" t="s">
        <v>121</v>
      </c>
      <c r="AC218" s="6">
        <f>B241</f>
        <v>836.15304835919005</v>
      </c>
      <c r="AF218" s="6">
        <f>E241</f>
        <v>776.29424088243638</v>
      </c>
      <c r="AI218" s="6">
        <f>H241</f>
        <v>732.22544703005042</v>
      </c>
      <c r="AL218" s="6">
        <f>K241</f>
        <v>713.55013307811748</v>
      </c>
      <c r="AO218" s="6">
        <f>N241</f>
        <v>704.9299374269367</v>
      </c>
      <c r="AR218" s="6">
        <f>Q241</f>
        <v>699.39372002031462</v>
      </c>
      <c r="AU218" s="6">
        <f>T241</f>
        <v>693.68200539906138</v>
      </c>
      <c r="AX218" s="6">
        <f>W241</f>
        <v>688.82780991828383</v>
      </c>
      <c r="BA218" s="6">
        <f>Z241</f>
        <v>684.38892527547046</v>
      </c>
    </row>
    <row r="219" spans="1:53" outlineLevel="1" x14ac:dyDescent="0.35">
      <c r="A219" s="6" t="s">
        <v>31</v>
      </c>
      <c r="B219" s="6">
        <f>'Results - raw data ReCiPe (E)'!CC82</f>
        <v>818.35442339690667</v>
      </c>
      <c r="AB219" s="6" t="s">
        <v>122</v>
      </c>
      <c r="AC219" s="6">
        <f>B244+B243</f>
        <v>9909.6250378884761</v>
      </c>
      <c r="AD219" s="6">
        <f t="shared" ref="AD219:BA219" si="25">C244+C243</f>
        <v>8164.9620336760754</v>
      </c>
      <c r="AE219" s="6">
        <f t="shared" si="25"/>
        <v>6419.1852949670028</v>
      </c>
      <c r="AF219" s="6">
        <f t="shared" si="25"/>
        <v>4643.5363916894212</v>
      </c>
      <c r="AG219" s="6">
        <f t="shared" si="25"/>
        <v>2893.0406605973258</v>
      </c>
      <c r="AH219" s="6">
        <f t="shared" si="25"/>
        <v>1140.3242472783541</v>
      </c>
      <c r="AI219" s="6">
        <f t="shared" si="25"/>
        <v>595.8805936863813</v>
      </c>
      <c r="AJ219" s="6">
        <f t="shared" si="25"/>
        <v>49.327820250280574</v>
      </c>
      <c r="AK219" s="6">
        <f t="shared" si="25"/>
        <v>-523.08179529075119</v>
      </c>
      <c r="AL219" s="6">
        <f t="shared" si="25"/>
        <v>-1074.5789853481981</v>
      </c>
      <c r="AM219" s="6">
        <f t="shared" si="25"/>
        <v>-1628.2493456110089</v>
      </c>
      <c r="AN219" s="6">
        <f t="shared" si="25"/>
        <v>-1965.2492830626343</v>
      </c>
      <c r="AO219" s="6">
        <f t="shared" si="25"/>
        <v>-2301.2750718753282</v>
      </c>
      <c r="AP219" s="6">
        <f t="shared" si="25"/>
        <v>-2640.8435616632737</v>
      </c>
      <c r="AQ219" s="6">
        <f t="shared" si="25"/>
        <v>-2974.9609835504998</v>
      </c>
      <c r="AR219" s="6">
        <f t="shared" si="25"/>
        <v>-3308.286784698334</v>
      </c>
      <c r="AS219" s="6">
        <f t="shared" si="25"/>
        <v>-3714.4615868875603</v>
      </c>
      <c r="AT219" s="6">
        <f t="shared" si="25"/>
        <v>-4117.3474247670883</v>
      </c>
      <c r="AU219" s="6">
        <f t="shared" si="25"/>
        <v>-4519.9652574889578</v>
      </c>
      <c r="AV219" s="6">
        <f t="shared" si="25"/>
        <v>-4916.1701902499026</v>
      </c>
      <c r="AW219" s="6">
        <f t="shared" si="25"/>
        <v>-5309.2257740961077</v>
      </c>
      <c r="AX219" s="6">
        <f t="shared" si="25"/>
        <v>-5715.9560159032417</v>
      </c>
      <c r="AY219" s="6">
        <f t="shared" si="25"/>
        <v>-6124.9878276739391</v>
      </c>
      <c r="AZ219" s="6">
        <f t="shared" si="25"/>
        <v>-6535.0990840892655</v>
      </c>
      <c r="BA219" s="6">
        <f t="shared" si="25"/>
        <v>-6946.3050628235715</v>
      </c>
    </row>
    <row r="220" spans="1:53" outlineLevel="1" x14ac:dyDescent="0.35">
      <c r="A220" s="6" t="s">
        <v>34</v>
      </c>
      <c r="B220" s="6">
        <f>'Results - raw data ReCiPe (E)'!CC83</f>
        <v>477.29942450815997</v>
      </c>
      <c r="AB220" s="6" t="s">
        <v>123</v>
      </c>
      <c r="AC220" s="6">
        <f>B242</f>
        <v>1064.178773872263</v>
      </c>
      <c r="AD220" s="6">
        <f t="shared" ref="AD220:BA220" si="26">C242</f>
        <v>887.70150060663673</v>
      </c>
      <c r="AE220" s="6">
        <f t="shared" si="26"/>
        <v>712.28289419117573</v>
      </c>
      <c r="AF220" s="6">
        <f t="shared" si="26"/>
        <v>535.1447661606876</v>
      </c>
      <c r="AG220" s="6">
        <f t="shared" si="26"/>
        <v>361.6110433195467</v>
      </c>
      <c r="AH220" s="6">
        <f t="shared" si="26"/>
        <v>189.00900792195162</v>
      </c>
      <c r="AI220" s="6">
        <f t="shared" si="26"/>
        <v>135.82208206701111</v>
      </c>
      <c r="AJ220" s="6">
        <f t="shared" si="26"/>
        <v>82.645308146514978</v>
      </c>
      <c r="AK220" s="6">
        <f t="shared" si="26"/>
        <v>27.178799907393408</v>
      </c>
      <c r="AL220" s="6">
        <f t="shared" si="26"/>
        <v>-26.038868515217199</v>
      </c>
      <c r="AM220" s="6">
        <f t="shared" si="26"/>
        <v>-79.251467758259324</v>
      </c>
      <c r="AN220" s="6">
        <f t="shared" si="26"/>
        <v>-112.2046290666368</v>
      </c>
      <c r="AO220" s="6">
        <f t="shared" si="26"/>
        <v>-145.11796913305719</v>
      </c>
      <c r="AP220" s="6">
        <f t="shared" si="26"/>
        <v>-178.4238384313507</v>
      </c>
      <c r="AQ220" s="6">
        <f t="shared" si="26"/>
        <v>-211.25293495554951</v>
      </c>
      <c r="AR220" s="6">
        <f t="shared" si="26"/>
        <v>-244.05437173072909</v>
      </c>
      <c r="AS220" s="6">
        <f t="shared" si="26"/>
        <v>-286.18405190110172</v>
      </c>
      <c r="AT220" s="6">
        <f t="shared" si="26"/>
        <v>-328.3603473128004</v>
      </c>
      <c r="AU220" s="6">
        <f t="shared" si="26"/>
        <v>-370.87072569568062</v>
      </c>
      <c r="AV220" s="6">
        <f t="shared" si="26"/>
        <v>-413.11591676598897</v>
      </c>
      <c r="AW220" s="6">
        <f t="shared" si="26"/>
        <v>-455.40369116783506</v>
      </c>
      <c r="AX220" s="6">
        <f t="shared" si="26"/>
        <v>-494.82446512450406</v>
      </c>
      <c r="AY220" s="6">
        <f t="shared" si="26"/>
        <v>-534.34164655585573</v>
      </c>
      <c r="AZ220" s="6">
        <f t="shared" si="26"/>
        <v>-573.84703923126597</v>
      </c>
      <c r="BA220" s="6">
        <f t="shared" si="26"/>
        <v>-613.34197781009084</v>
      </c>
    </row>
    <row r="221" spans="1:53" outlineLevel="1" x14ac:dyDescent="0.35">
      <c r="A221" s="6" t="s">
        <v>36</v>
      </c>
      <c r="B221" s="6">
        <f>'Results - raw data ReCiPe (E)'!CC84</f>
        <v>375.52857512831969</v>
      </c>
      <c r="AB221" s="6" t="s">
        <v>124</v>
      </c>
      <c r="AC221" s="6">
        <f>-$AC$7*$AC$6</f>
        <v>-100000</v>
      </c>
      <c r="AD221" s="6">
        <f t="shared" ref="AD221:BA221" si="27">-$AC$7*$AC$6</f>
        <v>-100000</v>
      </c>
      <c r="AE221" s="6">
        <f t="shared" si="27"/>
        <v>-100000</v>
      </c>
      <c r="AF221" s="6">
        <f t="shared" si="27"/>
        <v>-100000</v>
      </c>
      <c r="AG221" s="6">
        <f t="shared" si="27"/>
        <v>-100000</v>
      </c>
      <c r="AH221" s="6">
        <f t="shared" si="27"/>
        <v>-100000</v>
      </c>
      <c r="AI221" s="6">
        <f t="shared" si="27"/>
        <v>-100000</v>
      </c>
      <c r="AJ221" s="6">
        <f t="shared" si="27"/>
        <v>-100000</v>
      </c>
      <c r="AK221" s="6">
        <f t="shared" si="27"/>
        <v>-100000</v>
      </c>
      <c r="AL221" s="6">
        <f t="shared" si="27"/>
        <v>-100000</v>
      </c>
      <c r="AM221" s="6">
        <f t="shared" si="27"/>
        <v>-100000</v>
      </c>
      <c r="AN221" s="6">
        <f t="shared" si="27"/>
        <v>-100000</v>
      </c>
      <c r="AO221" s="6">
        <f t="shared" si="27"/>
        <v>-100000</v>
      </c>
      <c r="AP221" s="6">
        <f t="shared" si="27"/>
        <v>-100000</v>
      </c>
      <c r="AQ221" s="6">
        <f t="shared" si="27"/>
        <v>-100000</v>
      </c>
      <c r="AR221" s="6">
        <f t="shared" si="27"/>
        <v>-100000</v>
      </c>
      <c r="AS221" s="6">
        <f t="shared" si="27"/>
        <v>-100000</v>
      </c>
      <c r="AT221" s="6">
        <f t="shared" si="27"/>
        <v>-100000</v>
      </c>
      <c r="AU221" s="6">
        <f t="shared" si="27"/>
        <v>-100000</v>
      </c>
      <c r="AV221" s="6">
        <f t="shared" si="27"/>
        <v>-100000</v>
      </c>
      <c r="AW221" s="6">
        <f t="shared" si="27"/>
        <v>-100000</v>
      </c>
      <c r="AX221" s="6">
        <f t="shared" si="27"/>
        <v>-100000</v>
      </c>
      <c r="AY221" s="6">
        <f t="shared" si="27"/>
        <v>-100000</v>
      </c>
      <c r="AZ221" s="6">
        <f t="shared" si="27"/>
        <v>-100000</v>
      </c>
      <c r="BA221" s="6">
        <f t="shared" si="27"/>
        <v>-100000</v>
      </c>
    </row>
    <row r="222" spans="1:53" outlineLevel="1" x14ac:dyDescent="0.35">
      <c r="A222" s="6" t="s">
        <v>38</v>
      </c>
      <c r="B222" s="6">
        <f>'Results - raw data ReCiPe (E)'!CC85</f>
        <v>4033.598008635367</v>
      </c>
      <c r="AB222" s="23" t="s">
        <v>125</v>
      </c>
      <c r="AC222" s="17">
        <f>SUM(AC214:AC221)</f>
        <v>-67648.291691552789</v>
      </c>
      <c r="AD222" s="17">
        <f t="shared" ref="AD222:BA222" si="28">SUM(AD214:AD221)</f>
        <v>-90947.336465717293</v>
      </c>
      <c r="AE222" s="17">
        <f t="shared" si="28"/>
        <v>-92868.531810841814</v>
      </c>
      <c r="AF222" s="17">
        <f t="shared" si="28"/>
        <v>-94045.024601267447</v>
      </c>
      <c r="AG222" s="17">
        <f t="shared" si="28"/>
        <v>-96745.348296083132</v>
      </c>
      <c r="AH222" s="17">
        <f t="shared" si="28"/>
        <v>-98670.666744799688</v>
      </c>
      <c r="AI222" s="17">
        <f t="shared" si="28"/>
        <v>-98536.071877216556</v>
      </c>
      <c r="AJ222" s="17">
        <f t="shared" si="28"/>
        <v>-99868.026871603201</v>
      </c>
      <c r="AK222" s="17">
        <f t="shared" si="28"/>
        <v>-100495.90299538335</v>
      </c>
      <c r="AL222" s="17">
        <f t="shared" si="28"/>
        <v>-100387.0677207853</v>
      </c>
      <c r="AM222" s="17">
        <f t="shared" si="28"/>
        <v>-101707.50081336928</v>
      </c>
      <c r="AN222" s="17">
        <f t="shared" si="28"/>
        <v>-102077.45391212928</v>
      </c>
      <c r="AO222" s="17">
        <f t="shared" si="28"/>
        <v>-101741.46310358145</v>
      </c>
      <c r="AP222" s="17">
        <f t="shared" si="28"/>
        <v>-102819.26740009463</v>
      </c>
      <c r="AQ222" s="17">
        <f t="shared" si="28"/>
        <v>-103186.21391850605</v>
      </c>
      <c r="AR222" s="17">
        <f t="shared" si="28"/>
        <v>-102852.94743640875</v>
      </c>
      <c r="AS222" s="17">
        <f t="shared" si="28"/>
        <v>-104000.64563878866</v>
      </c>
      <c r="AT222" s="17">
        <f t="shared" si="28"/>
        <v>-104445.70777207988</v>
      </c>
      <c r="AU222" s="17">
        <f t="shared" si="28"/>
        <v>-104197.15397778558</v>
      </c>
      <c r="AV222" s="17">
        <f t="shared" si="28"/>
        <v>-105329.2861070159</v>
      </c>
      <c r="AW222" s="17">
        <f t="shared" si="28"/>
        <v>-105764.62946526395</v>
      </c>
      <c r="AX222" s="17">
        <f t="shared" si="28"/>
        <v>-105521.95267110947</v>
      </c>
      <c r="AY222" s="17">
        <f t="shared" si="28"/>
        <v>-106659.3294742298</v>
      </c>
      <c r="AZ222" s="17">
        <f t="shared" si="28"/>
        <v>-107108.94612332054</v>
      </c>
      <c r="BA222" s="17">
        <f t="shared" si="28"/>
        <v>-106454.84461762614</v>
      </c>
    </row>
    <row r="223" spans="1:53" outlineLevel="1" x14ac:dyDescent="0.35">
      <c r="A223" s="6" t="s">
        <v>39</v>
      </c>
      <c r="B223" s="6">
        <f>'Results - raw data ReCiPe (E)'!CC86</f>
        <v>5135.8538998225358</v>
      </c>
    </row>
    <row r="224" spans="1:53" outlineLevel="1" x14ac:dyDescent="0.35">
      <c r="A224" s="6" t="s">
        <v>41</v>
      </c>
      <c r="B224" s="6">
        <f>'Results - raw data ReCiPe (E)'!CC87</f>
        <v>73.216263230169957</v>
      </c>
    </row>
    <row r="225" spans="1:53" outlineLevel="1" x14ac:dyDescent="0.35">
      <c r="A225" s="6" t="s">
        <v>43</v>
      </c>
      <c r="B225" s="6">
        <f>'Results - raw data ReCiPe (E)'!CC88</f>
        <v>443.20246971044838</v>
      </c>
      <c r="AB225" s="219"/>
      <c r="AC225" s="219"/>
      <c r="AD225" s="219"/>
      <c r="AE225" s="219"/>
      <c r="AF225" s="219"/>
      <c r="AG225" s="219"/>
      <c r="AH225" s="219"/>
      <c r="AI225" s="219"/>
      <c r="AJ225" s="219"/>
      <c r="AK225" s="219"/>
      <c r="AL225" s="219"/>
      <c r="AM225" s="219"/>
      <c r="AN225" s="219"/>
      <c r="AO225" s="219"/>
      <c r="AP225" s="219"/>
      <c r="AQ225" s="219"/>
      <c r="AR225" s="219"/>
      <c r="AS225" s="219"/>
      <c r="AT225" s="219"/>
      <c r="AU225" s="219"/>
      <c r="AV225" s="219"/>
      <c r="AW225" s="219"/>
      <c r="AX225" s="219"/>
      <c r="AY225" s="219"/>
      <c r="AZ225" s="219"/>
      <c r="BA225" s="219"/>
    </row>
    <row r="226" spans="1:53" outlineLevel="1" x14ac:dyDescent="0.35">
      <c r="A226" s="6" t="s">
        <v>44</v>
      </c>
      <c r="B226" s="6">
        <f>'Results - raw data ReCiPe (E)'!CC89*AC210*AC212</f>
        <v>1806.9972059599825</v>
      </c>
      <c r="AB226" s="219"/>
      <c r="AC226" s="219"/>
      <c r="AD226" s="219"/>
      <c r="AE226" s="219"/>
      <c r="AF226" s="219"/>
      <c r="AG226" s="219"/>
      <c r="AH226" s="219"/>
      <c r="AI226" s="219"/>
      <c r="AJ226" s="219"/>
      <c r="AK226" s="219"/>
      <c r="AL226" s="219"/>
      <c r="AM226" s="219"/>
      <c r="AN226" s="219"/>
      <c r="AO226" s="219"/>
      <c r="AP226" s="219"/>
      <c r="AQ226" s="219"/>
      <c r="AR226" s="219"/>
      <c r="AS226" s="219"/>
      <c r="AT226" s="219"/>
      <c r="AU226" s="219"/>
      <c r="AV226" s="219"/>
      <c r="AW226" s="219"/>
      <c r="AX226" s="219"/>
      <c r="AY226" s="219"/>
      <c r="AZ226" s="219"/>
      <c r="BA226" s="219"/>
    </row>
    <row r="227" spans="1:53" outlineLevel="1" x14ac:dyDescent="0.35">
      <c r="A227" s="6" t="s">
        <v>757</v>
      </c>
      <c r="B227" s="6">
        <f>'Results - raw data ReCiPe (E)'!CC90*AC210*AC212</f>
        <v>1486.2533228651723</v>
      </c>
      <c r="AB227" s="219"/>
      <c r="AC227" s="219"/>
      <c r="AD227" s="219"/>
      <c r="AE227" s="219"/>
      <c r="AF227" s="219"/>
      <c r="AG227" s="219"/>
      <c r="AH227" s="219"/>
      <c r="AI227" s="219"/>
      <c r="AJ227" s="219"/>
      <c r="AK227" s="219"/>
      <c r="AL227" s="219"/>
      <c r="AM227" s="219"/>
      <c r="AN227" s="219"/>
      <c r="AO227" s="219"/>
      <c r="AP227" s="219"/>
      <c r="AQ227" s="219"/>
      <c r="AR227" s="219"/>
      <c r="AS227" s="219"/>
      <c r="AT227" s="219"/>
      <c r="AU227" s="219"/>
      <c r="AV227" s="219"/>
      <c r="AW227" s="219"/>
      <c r="AX227" s="219"/>
      <c r="AY227" s="219"/>
      <c r="AZ227" s="219"/>
      <c r="BA227" s="219"/>
    </row>
    <row r="228" spans="1:53" outlineLevel="1" x14ac:dyDescent="0.35">
      <c r="A228" s="6" t="s">
        <v>22</v>
      </c>
      <c r="Z228" s="6">
        <f>'Results - raw data ReCiPe (E)'!DA91</f>
        <v>17.108169512583981</v>
      </c>
      <c r="AB228" s="219"/>
      <c r="AC228" s="219"/>
      <c r="AD228" s="219"/>
      <c r="AE228" s="219"/>
      <c r="AF228" s="219"/>
      <c r="AG228" s="219"/>
      <c r="AH228" s="219"/>
      <c r="AI228" s="219"/>
      <c r="AJ228" s="219"/>
      <c r="AK228" s="219"/>
      <c r="AL228" s="219"/>
      <c r="AM228" s="219"/>
      <c r="AN228" s="219"/>
      <c r="AO228" s="219"/>
      <c r="AP228" s="219"/>
      <c r="AQ228" s="219"/>
      <c r="AR228" s="219"/>
      <c r="AS228" s="219"/>
      <c r="AT228" s="219"/>
      <c r="AU228" s="219"/>
      <c r="AV228" s="219"/>
      <c r="AW228" s="219"/>
      <c r="AX228" s="219"/>
      <c r="AY228" s="219"/>
      <c r="AZ228" s="219"/>
      <c r="BA228" s="219"/>
    </row>
    <row r="229" spans="1:53" outlineLevel="1" x14ac:dyDescent="0.35">
      <c r="A229" s="6" t="s">
        <v>24</v>
      </c>
      <c r="Z229" s="6">
        <f>'Results - raw data ReCiPe (E)'!DA92</f>
        <v>5.8437365588470422</v>
      </c>
      <c r="AB229" s="219"/>
      <c r="AC229" s="219"/>
      <c r="AD229" s="219"/>
      <c r="AE229" s="219"/>
      <c r="AF229" s="219"/>
      <c r="AG229" s="219"/>
      <c r="AH229" s="219"/>
      <c r="AI229" s="219"/>
      <c r="AJ229" s="219"/>
      <c r="AK229" s="219"/>
      <c r="AL229" s="219"/>
      <c r="AM229" s="219"/>
      <c r="AN229" s="219"/>
      <c r="AO229" s="219"/>
      <c r="AP229" s="219"/>
      <c r="AQ229" s="219"/>
      <c r="AR229" s="219"/>
      <c r="AS229" s="219"/>
      <c r="AT229" s="219"/>
      <c r="AU229" s="219"/>
      <c r="AV229" s="219"/>
      <c r="AW229" s="219"/>
      <c r="AX229" s="219"/>
      <c r="AY229" s="219"/>
      <c r="AZ229" s="219"/>
      <c r="BA229" s="219"/>
    </row>
    <row r="230" spans="1:53" outlineLevel="1" x14ac:dyDescent="0.35">
      <c r="A230" s="6" t="s">
        <v>25</v>
      </c>
      <c r="Z230" s="6">
        <f>'Results - raw data ReCiPe (E)'!DA93</f>
        <v>17.66442071885713</v>
      </c>
      <c r="AB230" s="219"/>
      <c r="AC230" s="219"/>
      <c r="AD230" s="219"/>
      <c r="AE230" s="219"/>
      <c r="AF230" s="219"/>
      <c r="AG230" s="219"/>
      <c r="AH230" s="219"/>
      <c r="AI230" s="219"/>
      <c r="AJ230" s="219"/>
      <c r="AK230" s="219"/>
      <c r="AL230" s="219"/>
      <c r="AM230" s="219"/>
      <c r="AN230" s="219"/>
      <c r="AO230" s="219"/>
      <c r="AP230" s="219"/>
      <c r="AQ230" s="219"/>
      <c r="AR230" s="219"/>
      <c r="AS230" s="219"/>
      <c r="AT230" s="219"/>
      <c r="AU230" s="219"/>
      <c r="AV230" s="219"/>
      <c r="AW230" s="219"/>
      <c r="AX230" s="219"/>
      <c r="AY230" s="219"/>
      <c r="AZ230" s="219"/>
      <c r="BA230" s="219"/>
    </row>
    <row r="231" spans="1:53" outlineLevel="1" x14ac:dyDescent="0.35">
      <c r="A231" s="6" t="s">
        <v>27</v>
      </c>
      <c r="Z231" s="6">
        <f>'Results - raw data ReCiPe (E)'!DA94</f>
        <v>4.6759875984260919</v>
      </c>
      <c r="AB231" s="219"/>
      <c r="AC231" s="219"/>
      <c r="AD231" s="219"/>
      <c r="AE231" s="219"/>
      <c r="AF231" s="219"/>
      <c r="AG231" s="219"/>
      <c r="AH231" s="219"/>
      <c r="AI231" s="219"/>
      <c r="AJ231" s="219"/>
      <c r="AK231" s="219"/>
      <c r="AL231" s="219"/>
      <c r="AM231" s="219"/>
      <c r="AN231" s="219"/>
      <c r="AO231" s="219"/>
      <c r="AP231" s="219"/>
      <c r="AQ231" s="219"/>
      <c r="AR231" s="219"/>
      <c r="AS231" s="219"/>
      <c r="AT231" s="219"/>
      <c r="AU231" s="219"/>
      <c r="AV231" s="219"/>
      <c r="AW231" s="219"/>
      <c r="AX231" s="219"/>
      <c r="AY231" s="219"/>
      <c r="AZ231" s="219"/>
      <c r="BA231" s="219"/>
    </row>
    <row r="232" spans="1:53" outlineLevel="1" x14ac:dyDescent="0.35">
      <c r="A232" s="6" t="s">
        <v>30</v>
      </c>
      <c r="Z232" s="6">
        <f>'Results - raw data ReCiPe (E)'!DA95</f>
        <v>22.323646651384621</v>
      </c>
      <c r="AB232" s="219"/>
      <c r="AC232" s="219"/>
      <c r="AD232" s="219"/>
      <c r="AE232" s="219"/>
      <c r="AF232" s="219"/>
      <c r="AG232" s="219"/>
      <c r="AH232" s="219"/>
      <c r="AI232" s="219"/>
      <c r="AJ232" s="219"/>
      <c r="AK232" s="219"/>
      <c r="AL232" s="219"/>
      <c r="AM232" s="219"/>
      <c r="AN232" s="219"/>
      <c r="AO232" s="219"/>
      <c r="AP232" s="219"/>
      <c r="AQ232" s="219"/>
      <c r="AR232" s="219"/>
      <c r="AS232" s="219"/>
      <c r="AT232" s="219"/>
      <c r="AU232" s="219"/>
      <c r="AV232" s="219"/>
      <c r="AW232" s="219"/>
      <c r="AX232" s="219"/>
      <c r="AY232" s="219"/>
      <c r="AZ232" s="219"/>
      <c r="BA232" s="219"/>
    </row>
    <row r="233" spans="1:53" outlineLevel="1" x14ac:dyDescent="0.35">
      <c r="A233" s="6" t="s">
        <v>32</v>
      </c>
      <c r="Z233" s="6">
        <f>'Results - raw data ReCiPe (E)'!DA96</f>
        <v>0.42342899875320889</v>
      </c>
      <c r="AB233" s="219"/>
      <c r="AC233" s="219"/>
      <c r="AD233" s="219"/>
      <c r="AE233" s="219"/>
      <c r="AF233" s="219"/>
      <c r="AG233" s="219"/>
      <c r="AH233" s="219"/>
      <c r="AI233" s="219"/>
      <c r="AJ233" s="219"/>
      <c r="AK233" s="219"/>
      <c r="AL233" s="219"/>
      <c r="AM233" s="219"/>
      <c r="AN233" s="219"/>
      <c r="AO233" s="219"/>
      <c r="AP233" s="219"/>
      <c r="AQ233" s="219"/>
      <c r="AR233" s="219"/>
      <c r="AS233" s="219"/>
      <c r="AT233" s="219"/>
      <c r="AU233" s="219"/>
      <c r="AV233" s="219"/>
      <c r="AW233" s="219"/>
      <c r="AX233" s="219"/>
      <c r="AY233" s="219"/>
      <c r="AZ233" s="219"/>
      <c r="BA233" s="219"/>
    </row>
    <row r="234" spans="1:53" outlineLevel="1" x14ac:dyDescent="0.35">
      <c r="A234" s="6" t="s">
        <v>33</v>
      </c>
      <c r="Z234" s="6">
        <f>'Results - raw data ReCiPe (E)'!DA97</f>
        <v>5.2794316905419718</v>
      </c>
      <c r="AB234" s="219"/>
      <c r="AC234" s="219"/>
      <c r="AD234" s="219"/>
      <c r="AE234" s="219"/>
      <c r="AF234" s="219"/>
      <c r="AG234" s="219"/>
      <c r="AH234" s="219"/>
      <c r="AI234" s="219"/>
      <c r="AJ234" s="219"/>
      <c r="AK234" s="219"/>
      <c r="AL234" s="219"/>
      <c r="AM234" s="219"/>
      <c r="AN234" s="219"/>
      <c r="AO234" s="219"/>
      <c r="AP234" s="219"/>
      <c r="AQ234" s="219"/>
      <c r="AR234" s="219"/>
      <c r="AS234" s="219"/>
      <c r="AT234" s="219"/>
      <c r="AU234" s="219"/>
      <c r="AV234" s="219"/>
      <c r="AW234" s="219"/>
      <c r="AX234" s="219"/>
      <c r="AY234" s="219"/>
      <c r="AZ234" s="219"/>
      <c r="BA234" s="219"/>
    </row>
    <row r="235" spans="1:53" outlineLevel="1" x14ac:dyDescent="0.35">
      <c r="A235" s="6" t="s">
        <v>35</v>
      </c>
      <c r="Z235" s="6">
        <f>'Results - raw data ReCiPe (E)'!DA98</f>
        <v>10.55886338108394</v>
      </c>
      <c r="AB235" s="219"/>
      <c r="AC235" s="219"/>
      <c r="AD235" s="219"/>
      <c r="AE235" s="219"/>
      <c r="AF235" s="219"/>
      <c r="AG235" s="219"/>
      <c r="AH235" s="219"/>
      <c r="AI235" s="219"/>
      <c r="AJ235" s="219"/>
      <c r="AK235" s="219"/>
      <c r="AL235" s="219"/>
      <c r="AM235" s="219"/>
      <c r="AN235" s="219"/>
      <c r="AO235" s="219"/>
      <c r="AP235" s="219"/>
      <c r="AQ235" s="219"/>
      <c r="AR235" s="219"/>
      <c r="AS235" s="219"/>
      <c r="AT235" s="219"/>
      <c r="AU235" s="219"/>
      <c r="AV235" s="219"/>
      <c r="AW235" s="219"/>
      <c r="AX235" s="219"/>
      <c r="AY235" s="219"/>
      <c r="AZ235" s="219"/>
      <c r="BA235" s="219"/>
    </row>
    <row r="236" spans="1:53" outlineLevel="1" x14ac:dyDescent="0.35">
      <c r="A236" s="6" t="s">
        <v>37</v>
      </c>
      <c r="Z236" s="6">
        <f>'Results - raw data ReCiPe (E)'!DA99</f>
        <v>6.6587974459997392</v>
      </c>
      <c r="AB236" s="219"/>
      <c r="AC236" s="219"/>
      <c r="AD236" s="219"/>
      <c r="AE236" s="219"/>
      <c r="AF236" s="219"/>
      <c r="AG236" s="219"/>
      <c r="AH236" s="219"/>
      <c r="AI236" s="219"/>
      <c r="AJ236" s="219"/>
      <c r="AK236" s="219"/>
      <c r="AL236" s="219"/>
      <c r="AM236" s="219"/>
      <c r="AN236" s="219"/>
      <c r="AO236" s="219"/>
      <c r="AP236" s="219"/>
      <c r="AQ236" s="219"/>
      <c r="AR236" s="219"/>
      <c r="AS236" s="219"/>
      <c r="AT236" s="219"/>
      <c r="AU236" s="219"/>
      <c r="AV236" s="219"/>
      <c r="AW236" s="219"/>
      <c r="AX236" s="219"/>
      <c r="AY236" s="219"/>
      <c r="AZ236" s="219"/>
      <c r="BA236" s="219"/>
    </row>
    <row r="237" spans="1:53" outlineLevel="1" x14ac:dyDescent="0.35">
      <c r="A237" s="6" t="s">
        <v>40</v>
      </c>
      <c r="Z237" s="6">
        <f>'Results - raw data ReCiPe (E)'!DA100</f>
        <v>208.39175355172091</v>
      </c>
    </row>
    <row r="238" spans="1:53" outlineLevel="1" x14ac:dyDescent="0.35">
      <c r="A238" s="6" t="s">
        <v>42</v>
      </c>
      <c r="Z238" s="6">
        <f>'Results - raw data ReCiPe (E)'!DA101</f>
        <v>11.234513250129609</v>
      </c>
    </row>
    <row r="239" spans="1:53" outlineLevel="1" x14ac:dyDescent="0.35">
      <c r="A239" s="6" t="s">
        <v>115</v>
      </c>
      <c r="Z239" s="6">
        <f>'Results - raw data ReCiPe (E)'!DA102</f>
        <v>91.516200064018605</v>
      </c>
    </row>
    <row r="240" spans="1:53" outlineLevel="1" x14ac:dyDescent="0.35">
      <c r="A240" s="6" t="s">
        <v>45</v>
      </c>
      <c r="Z240" s="6">
        <f>'Results - raw data ReCiPe (E)'!DA103*AC210*AC212</f>
        <v>18.734548309715944</v>
      </c>
    </row>
    <row r="241" spans="1:26" outlineLevel="1" x14ac:dyDescent="0.35">
      <c r="A241" s="6" t="s">
        <v>116</v>
      </c>
      <c r="B241" s="6">
        <f>'Results - raw data ReCiPe (E)'!CC104</f>
        <v>836.15304835919005</v>
      </c>
      <c r="C241" s="6">
        <f>'Results - raw data ReCiPe (E)'!CD104</f>
        <v>817.78336582813949</v>
      </c>
      <c r="D241" s="6">
        <f>'Results - raw data ReCiPe (E)'!CE104</f>
        <v>799.19133391986463</v>
      </c>
      <c r="E241" s="6">
        <f>'Results - raw data ReCiPe (E)'!CF104</f>
        <v>776.29424088243638</v>
      </c>
      <c r="F241" s="6">
        <f>'Results - raw data ReCiPe (E)'!CG104</f>
        <v>757.23308494772095</v>
      </c>
      <c r="G241" s="6">
        <f>'Results - raw data ReCiPe (E)'!CH104</f>
        <v>737.84508987127867</v>
      </c>
      <c r="H241" s="6">
        <f>'Results - raw data ReCiPe (E)'!CI104</f>
        <v>732.22544703005042</v>
      </c>
      <c r="I241" s="6">
        <f>'Results - raw data ReCiPe (E)'!CJ104</f>
        <v>726.67207094534535</v>
      </c>
      <c r="J241" s="6">
        <f>'Results - raw data ReCiPe (E)'!CK104</f>
        <v>718.92674995060656</v>
      </c>
      <c r="K241" s="6">
        <f>'Results - raw data ReCiPe (E)'!CL104</f>
        <v>713.55013307811748</v>
      </c>
      <c r="L241" s="6">
        <f>'Results - raw data ReCiPe (E)'!CM104</f>
        <v>708.22503611488571</v>
      </c>
      <c r="M241" s="6">
        <f>'Results - raw data ReCiPe (E)'!CN104</f>
        <v>706.57775070944831</v>
      </c>
      <c r="N241" s="6">
        <f>'Results - raw data ReCiPe (E)'!CO104</f>
        <v>704.9299374269367</v>
      </c>
      <c r="O241" s="6">
        <f>'Results - raw data ReCiPe (E)'!CP104</f>
        <v>702.65416710120769</v>
      </c>
      <c r="P241" s="6">
        <f>'Results - raw data ReCiPe (E)'!CQ104</f>
        <v>701.02633944713705</v>
      </c>
      <c r="Q241" s="6">
        <f>'Results - raw data ReCiPe (E)'!CR104</f>
        <v>699.39372002031462</v>
      </c>
      <c r="R241" s="6">
        <f>'Results - raw data ReCiPe (E)'!CS104</f>
        <v>697.61471991921735</v>
      </c>
      <c r="S241" s="6">
        <f>'Results - raw data ReCiPe (E)'!CT104</f>
        <v>695.8546407020857</v>
      </c>
      <c r="T241" s="6">
        <f>'Results - raw data ReCiPe (E)'!CU104</f>
        <v>693.68200539906138</v>
      </c>
      <c r="U241" s="6">
        <f>'Results - raw data ReCiPe (E)'!CV104</f>
        <v>691.98224148303984</v>
      </c>
      <c r="V241" s="6">
        <f>'Results - raw data ReCiPe (E)'!CW104</f>
        <v>690.29879714395975</v>
      </c>
      <c r="W241" s="6">
        <f>'Results - raw data ReCiPe (E)'!CX104</f>
        <v>688.82780991828383</v>
      </c>
      <c r="X241" s="6">
        <f>'Results - raw data ReCiPe (E)'!CY104</f>
        <v>687.34128868081211</v>
      </c>
      <c r="Y241" s="6">
        <f>'Results - raw data ReCiPe (E)'!CZ104</f>
        <v>685.86168833886018</v>
      </c>
      <c r="Z241" s="6">
        <f>'Results - raw data ReCiPe (E)'!DA104</f>
        <v>684.38892527547046</v>
      </c>
    </row>
    <row r="242" spans="1:26" outlineLevel="1" x14ac:dyDescent="0.35">
      <c r="A242" s="6" t="s">
        <v>758</v>
      </c>
      <c r="B242" s="6">
        <f>'Results - raw data ReCiPe (E)'!CC105*$AC$210</f>
        <v>1064.178773872263</v>
      </c>
      <c r="C242" s="6">
        <f>'Results - raw data ReCiPe (E)'!CD105*$AC$210</f>
        <v>887.70150060663673</v>
      </c>
      <c r="D242" s="6">
        <f>'Results - raw data ReCiPe (E)'!CE105*$AC$210</f>
        <v>712.28289419117573</v>
      </c>
      <c r="E242" s="6">
        <f>'Results - raw data ReCiPe (E)'!CF105*$AC$210</f>
        <v>535.1447661606876</v>
      </c>
      <c r="F242" s="6">
        <f>'Results - raw data ReCiPe (E)'!CG105*$AC$210</f>
        <v>361.6110433195467</v>
      </c>
      <c r="G242" s="6">
        <f>'Results - raw data ReCiPe (E)'!CH105*$AC$210</f>
        <v>189.00900792195162</v>
      </c>
      <c r="H242" s="6">
        <f>'Results - raw data ReCiPe (E)'!CI105*$AC$210</f>
        <v>135.82208206701111</v>
      </c>
      <c r="I242" s="6">
        <f>'Results - raw data ReCiPe (E)'!CJ105*$AC$210</f>
        <v>82.645308146514978</v>
      </c>
      <c r="J242" s="6">
        <f>'Results - raw data ReCiPe (E)'!CK105*$AC$210</f>
        <v>27.178799907393408</v>
      </c>
      <c r="K242" s="6">
        <f>'Results - raw data ReCiPe (E)'!CL105*$AC$210</f>
        <v>-26.038868515217199</v>
      </c>
      <c r="L242" s="6">
        <f>'Results - raw data ReCiPe (E)'!CM105*$AC$210</f>
        <v>-79.251467758259324</v>
      </c>
      <c r="M242" s="6">
        <f>'Results - raw data ReCiPe (E)'!CN105*$AC$210</f>
        <v>-112.2046290666368</v>
      </c>
      <c r="N242" s="6">
        <f>'Results - raw data ReCiPe (E)'!CO105*$AC$210</f>
        <v>-145.11796913305719</v>
      </c>
      <c r="O242" s="6">
        <f>'Results - raw data ReCiPe (E)'!CP105*$AC$210</f>
        <v>-178.4238384313507</v>
      </c>
      <c r="P242" s="6">
        <f>'Results - raw data ReCiPe (E)'!CQ105*$AC$210</f>
        <v>-211.25293495554951</v>
      </c>
      <c r="Q242" s="6">
        <f>'Results - raw data ReCiPe (E)'!CR105*$AC$210</f>
        <v>-244.05437173072909</v>
      </c>
      <c r="R242" s="6">
        <f>'Results - raw data ReCiPe (E)'!CS105*$AC$210</f>
        <v>-286.18405190110172</v>
      </c>
      <c r="S242" s="6">
        <f>'Results - raw data ReCiPe (E)'!CT105*$AC$210</f>
        <v>-328.3603473128004</v>
      </c>
      <c r="T242" s="6">
        <f>'Results - raw data ReCiPe (E)'!CU105*$AC$210</f>
        <v>-370.87072569568062</v>
      </c>
      <c r="U242" s="6">
        <f>'Results - raw data ReCiPe (E)'!CV105*$AC$210</f>
        <v>-413.11591676598897</v>
      </c>
      <c r="V242" s="6">
        <f>'Results - raw data ReCiPe (E)'!CW105*$AC$210</f>
        <v>-455.40369116783506</v>
      </c>
      <c r="W242" s="6">
        <f>'Results - raw data ReCiPe (E)'!CX105*$AC$210</f>
        <v>-494.82446512450406</v>
      </c>
      <c r="X242" s="6">
        <f>'Results - raw data ReCiPe (E)'!CY105*$AC$210</f>
        <v>-534.34164655585573</v>
      </c>
      <c r="Y242" s="6">
        <f>'Results - raw data ReCiPe (E)'!CZ105*$AC$210</f>
        <v>-573.84703923126597</v>
      </c>
      <c r="Z242" s="6">
        <f>'Results - raw data ReCiPe (E)'!DA105*$AC$210</f>
        <v>-613.34197781009084</v>
      </c>
    </row>
    <row r="243" spans="1:26" outlineLevel="1" x14ac:dyDescent="0.35">
      <c r="A243" s="6" t="s">
        <v>759</v>
      </c>
      <c r="B243" s="6">
        <f>'Results - raw data ReCiPe (E)'!CC106</f>
        <v>0</v>
      </c>
      <c r="C243" s="6">
        <f>'Results - raw data ReCiPe (E)'!CD106</f>
        <v>0</v>
      </c>
      <c r="D243" s="6">
        <f>'Results - raw data ReCiPe (E)'!CE106</f>
        <v>0</v>
      </c>
      <c r="E243" s="6">
        <f>'Results - raw data ReCiPe (E)'!CF106</f>
        <v>0</v>
      </c>
      <c r="F243" s="6">
        <f>'Results - raw data ReCiPe (E)'!CG106</f>
        <v>0</v>
      </c>
      <c r="G243" s="6">
        <f>'Results - raw data ReCiPe (E)'!CH106</f>
        <v>0</v>
      </c>
      <c r="H243" s="6">
        <f>'Results - raw data ReCiPe (E)'!CI106</f>
        <v>0</v>
      </c>
      <c r="I243" s="6">
        <f>'Results - raw data ReCiPe (E)'!CJ106</f>
        <v>0</v>
      </c>
      <c r="J243" s="6">
        <f>'Results - raw data ReCiPe (E)'!CK106</f>
        <v>0</v>
      </c>
      <c r="K243" s="6">
        <f>'Results - raw data ReCiPe (E)'!CL106</f>
        <v>0</v>
      </c>
      <c r="L243" s="6">
        <f>'Results - raw data ReCiPe (E)'!CM106</f>
        <v>0</v>
      </c>
      <c r="M243" s="6">
        <f>'Results - raw data ReCiPe (E)'!CN106</f>
        <v>0</v>
      </c>
      <c r="N243" s="6">
        <f>'Results - raw data ReCiPe (E)'!CO106</f>
        <v>0</v>
      </c>
      <c r="O243" s="6">
        <f>'Results - raw data ReCiPe (E)'!CP106</f>
        <v>0</v>
      </c>
      <c r="P243" s="6">
        <f>'Results - raw data ReCiPe (E)'!CQ106</f>
        <v>0</v>
      </c>
      <c r="Q243" s="6">
        <f>'Results - raw data ReCiPe (E)'!CR106</f>
        <v>0</v>
      </c>
      <c r="R243" s="6">
        <f>'Results - raw data ReCiPe (E)'!CS106</f>
        <v>0</v>
      </c>
      <c r="S243" s="6">
        <f>'Results - raw data ReCiPe (E)'!CT106</f>
        <v>0</v>
      </c>
      <c r="T243" s="6">
        <f>'Results - raw data ReCiPe (E)'!CU106</f>
        <v>0</v>
      </c>
      <c r="U243" s="6">
        <f>'Results - raw data ReCiPe (E)'!CV106</f>
        <v>0</v>
      </c>
      <c r="V243" s="6">
        <f>'Results - raw data ReCiPe (E)'!CW106</f>
        <v>0</v>
      </c>
      <c r="W243" s="6">
        <f>'Results - raw data ReCiPe (E)'!CX106</f>
        <v>0</v>
      </c>
      <c r="X243" s="6">
        <f>'Results - raw data ReCiPe (E)'!CY106</f>
        <v>0</v>
      </c>
      <c r="Y243" s="6">
        <f>'Results - raw data ReCiPe (E)'!CZ106</f>
        <v>0</v>
      </c>
      <c r="Z243" s="6">
        <f>'Results - raw data ReCiPe (E)'!DA106</f>
        <v>0</v>
      </c>
    </row>
    <row r="244" spans="1:26" outlineLevel="1" x14ac:dyDescent="0.35">
      <c r="A244" s="6" t="s">
        <v>760</v>
      </c>
      <c r="B244" s="6">
        <f>150000*($AC$211*'Results - raw data ReCiPe (E)'!CC128+(1-$AC$211)*'Results - raw data ReCiPe (E)'!CC129)</f>
        <v>9909.6250378884761</v>
      </c>
      <c r="C244" s="6">
        <f>150000*($AC$211*'Results - raw data ReCiPe (E)'!CD128+(1-$AC$211)*'Results - raw data ReCiPe (E)'!CD129)</f>
        <v>8164.9620336760754</v>
      </c>
      <c r="D244" s="6">
        <f>150000*($AC$211*'Results - raw data ReCiPe (E)'!CE128+(1-$AC$211)*'Results - raw data ReCiPe (E)'!CE129)</f>
        <v>6419.1852949670028</v>
      </c>
      <c r="E244" s="6">
        <f>150000*($AC$211*'Results - raw data ReCiPe (E)'!CF128+(1-$AC$211)*'Results - raw data ReCiPe (E)'!CF129)</f>
        <v>4643.5363916894212</v>
      </c>
      <c r="F244" s="6">
        <f>150000*($AC$211*'Results - raw data ReCiPe (E)'!CG128+(1-$AC$211)*'Results - raw data ReCiPe (E)'!CG129)</f>
        <v>2893.0406605973258</v>
      </c>
      <c r="G244" s="6">
        <f>150000*($AC$211*'Results - raw data ReCiPe (E)'!CH128+(1-$AC$211)*'Results - raw data ReCiPe (E)'!CH129)</f>
        <v>1140.3242472783541</v>
      </c>
      <c r="H244" s="6">
        <f>150000*($AC$211*'Results - raw data ReCiPe (E)'!CI128+(1-$AC$211)*'Results - raw data ReCiPe (E)'!CI129)</f>
        <v>595.8805936863813</v>
      </c>
      <c r="I244" s="6">
        <f>150000*($AC$211*'Results - raw data ReCiPe (E)'!CJ128+(1-$AC$211)*'Results - raw data ReCiPe (E)'!CJ129)</f>
        <v>49.327820250280574</v>
      </c>
      <c r="J244" s="6">
        <f>150000*($AC$211*'Results - raw data ReCiPe (E)'!CK128+(1-$AC$211)*'Results - raw data ReCiPe (E)'!CK129)</f>
        <v>-523.08179529075119</v>
      </c>
      <c r="K244" s="6">
        <f>150000*($AC$211*'Results - raw data ReCiPe (E)'!CL128+(1-$AC$211)*'Results - raw data ReCiPe (E)'!CL129)</f>
        <v>-1074.5789853481981</v>
      </c>
      <c r="L244" s="6">
        <f>150000*($AC$211*'Results - raw data ReCiPe (E)'!CM128+(1-$AC$211)*'Results - raw data ReCiPe (E)'!CM129)</f>
        <v>-1628.2493456110089</v>
      </c>
      <c r="M244" s="6">
        <f>150000*($AC$211*'Results - raw data ReCiPe (E)'!CN128+(1-$AC$211)*'Results - raw data ReCiPe (E)'!CN129)</f>
        <v>-1965.2492830626343</v>
      </c>
      <c r="N244" s="6">
        <f>150000*($AC$211*'Results - raw data ReCiPe (E)'!CO128+(1-$AC$211)*'Results - raw data ReCiPe (E)'!CO129)</f>
        <v>-2301.2750718753282</v>
      </c>
      <c r="O244" s="6">
        <f>150000*($AC$211*'Results - raw data ReCiPe (E)'!CP128+(1-$AC$211)*'Results - raw data ReCiPe (E)'!CP129)</f>
        <v>-2640.8435616632737</v>
      </c>
      <c r="P244" s="6">
        <f>150000*($AC$211*'Results - raw data ReCiPe (E)'!CQ128+(1-$AC$211)*'Results - raw data ReCiPe (E)'!CQ129)</f>
        <v>-2974.9609835504998</v>
      </c>
      <c r="Q244" s="6">
        <f>150000*($AC$211*'Results - raw data ReCiPe (E)'!CR128+(1-$AC$211)*'Results - raw data ReCiPe (E)'!CR129)</f>
        <v>-3308.286784698334</v>
      </c>
      <c r="R244" s="6">
        <f>150000*($AC$211*'Results - raw data ReCiPe (E)'!CS128+(1-$AC$211)*'Results - raw data ReCiPe (E)'!CS129)</f>
        <v>-3714.4615868875603</v>
      </c>
      <c r="S244" s="6">
        <f>150000*($AC$211*'Results - raw data ReCiPe (E)'!CT128+(1-$AC$211)*'Results - raw data ReCiPe (E)'!CT129)</f>
        <v>-4117.3474247670883</v>
      </c>
      <c r="T244" s="6">
        <f>150000*($AC$211*'Results - raw data ReCiPe (E)'!CU128+(1-$AC$211)*'Results - raw data ReCiPe (E)'!CU129)</f>
        <v>-4519.9652574889578</v>
      </c>
      <c r="U244" s="6">
        <f>150000*($AC$211*'Results - raw data ReCiPe (E)'!CV128+(1-$AC$211)*'Results - raw data ReCiPe (E)'!CV129)</f>
        <v>-4916.1701902499026</v>
      </c>
      <c r="V244" s="6">
        <f>150000*($AC$211*'Results - raw data ReCiPe (E)'!CW128+(1-$AC$211)*'Results - raw data ReCiPe (E)'!CW129)</f>
        <v>-5309.2257740961077</v>
      </c>
      <c r="W244" s="6">
        <f>150000*($AC$211*'Results - raw data ReCiPe (E)'!CX128+(1-$AC$211)*'Results - raw data ReCiPe (E)'!CX129)</f>
        <v>-5715.9560159032417</v>
      </c>
      <c r="X244" s="6">
        <f>150000*($AC$211*'Results - raw data ReCiPe (E)'!CY128+(1-$AC$211)*'Results - raw data ReCiPe (E)'!CY129)</f>
        <v>-6124.9878276739391</v>
      </c>
      <c r="Y244" s="6">
        <f>150000*($AC$211*'Results - raw data ReCiPe (E)'!CZ128+(1-$AC$211)*'Results - raw data ReCiPe (E)'!CZ129)</f>
        <v>-6535.0990840892655</v>
      </c>
      <c r="Z244" s="6">
        <f>150000*($AC$211*'Results - raw data ReCiPe (E)'!DA128+(1-$AC$211)*'Results - raw data ReCiPe (E)'!DA129)</f>
        <v>-6946.3050628235715</v>
      </c>
    </row>
    <row r="245" spans="1:26" outlineLevel="1" x14ac:dyDescent="0.35">
      <c r="A245" s="23" t="s">
        <v>125</v>
      </c>
      <c r="B245" s="17">
        <f>SUM(B214:B244)</f>
        <v>32351.708308447203</v>
      </c>
      <c r="C245" s="17">
        <f t="shared" ref="C245:Z245" si="29">SUM(C214:C244)</f>
        <v>9870.4469001108519</v>
      </c>
      <c r="D245" s="17">
        <f t="shared" si="29"/>
        <v>7930.6595230780431</v>
      </c>
      <c r="E245" s="17">
        <f t="shared" si="29"/>
        <v>5954.9753987325457</v>
      </c>
      <c r="F245" s="17">
        <f t="shared" si="29"/>
        <v>4011.8847888645932</v>
      </c>
      <c r="G245" s="17">
        <f t="shared" si="29"/>
        <v>2067.1783450715843</v>
      </c>
      <c r="H245" s="17">
        <f t="shared" si="29"/>
        <v>1463.9281227834429</v>
      </c>
      <c r="I245" s="17">
        <f t="shared" si="29"/>
        <v>858.64519934214081</v>
      </c>
      <c r="J245" s="17">
        <f t="shared" si="29"/>
        <v>223.02375456724883</v>
      </c>
      <c r="K245" s="17">
        <f t="shared" si="29"/>
        <v>-387.06772078529787</v>
      </c>
      <c r="L245" s="17">
        <f t="shared" si="29"/>
        <v>-999.27577725438255</v>
      </c>
      <c r="M245" s="17">
        <f t="shared" si="29"/>
        <v>-1370.8761614198229</v>
      </c>
      <c r="N245" s="17">
        <f t="shared" si="29"/>
        <v>-1741.4631035814486</v>
      </c>
      <c r="O245" s="17">
        <f t="shared" si="29"/>
        <v>-2116.6132329934167</v>
      </c>
      <c r="P245" s="17">
        <f t="shared" si="29"/>
        <v>-2485.1875790589124</v>
      </c>
      <c r="Q245" s="17">
        <f t="shared" si="29"/>
        <v>-2852.9474364087487</v>
      </c>
      <c r="R245" s="17">
        <f t="shared" si="29"/>
        <v>-3303.0309188694446</v>
      </c>
      <c r="S245" s="17">
        <f t="shared" si="29"/>
        <v>-3749.853131377803</v>
      </c>
      <c r="T245" s="17">
        <f t="shared" si="29"/>
        <v>-4197.1539777855769</v>
      </c>
      <c r="U245" s="17">
        <f t="shared" si="29"/>
        <v>-4637.3038655328519</v>
      </c>
      <c r="V245" s="17">
        <f t="shared" si="29"/>
        <v>-5074.3306681199829</v>
      </c>
      <c r="W245" s="17">
        <f t="shared" si="29"/>
        <v>-5521.9526711094622</v>
      </c>
      <c r="X245" s="17">
        <f t="shared" si="29"/>
        <v>-5971.988185548983</v>
      </c>
      <c r="Y245" s="17">
        <f t="shared" si="29"/>
        <v>-6423.0844349816716</v>
      </c>
      <c r="Z245" s="17">
        <f t="shared" si="29"/>
        <v>-6454.8446176261295</v>
      </c>
    </row>
    <row r="246" spans="1:26" s="26" customFormat="1" outlineLevel="1" x14ac:dyDescent="0.35"/>
    <row r="247" spans="1:26" s="221" customFormat="1" ht="21" x14ac:dyDescent="0.5">
      <c r="A247" s="229" t="s">
        <v>851</v>
      </c>
    </row>
    <row r="248" spans="1:26" s="18" customFormat="1" ht="21" x14ac:dyDescent="0.5">
      <c r="A248" s="18" t="s">
        <v>72</v>
      </c>
    </row>
    <row r="249" spans="1:26" s="20" customFormat="1" outlineLevel="1" x14ac:dyDescent="0.35">
      <c r="A249" s="19" t="s">
        <v>788</v>
      </c>
    </row>
    <row r="250" spans="1:26" s="20" customFormat="1" outlineLevel="1" x14ac:dyDescent="0.35">
      <c r="A250" s="273" t="s">
        <v>775</v>
      </c>
      <c r="B250" s="20">
        <v>1</v>
      </c>
      <c r="C250" s="274" t="s">
        <v>787</v>
      </c>
    </row>
    <row r="251" spans="1:26" s="20" customFormat="1" outlineLevel="1" x14ac:dyDescent="0.35">
      <c r="A251" s="273" t="s">
        <v>781</v>
      </c>
      <c r="B251" s="20">
        <v>100000</v>
      </c>
      <c r="C251" s="20" t="s">
        <v>782</v>
      </c>
      <c r="E251" s="274"/>
    </row>
    <row r="252" spans="1:26" s="20" customFormat="1" outlineLevel="1" x14ac:dyDescent="0.35">
      <c r="A252" s="273" t="s">
        <v>783</v>
      </c>
      <c r="B252" s="20">
        <v>1500</v>
      </c>
      <c r="C252" s="20" t="s">
        <v>592</v>
      </c>
    </row>
    <row r="253" spans="1:26" s="20" customFormat="1" outlineLevel="1" x14ac:dyDescent="0.35">
      <c r="A253" s="273" t="s">
        <v>784</v>
      </c>
      <c r="B253" s="20">
        <v>8760</v>
      </c>
      <c r="C253" s="20" t="s">
        <v>785</v>
      </c>
    </row>
    <row r="254" spans="1:26" s="20" customFormat="1" outlineLevel="1" x14ac:dyDescent="0.35">
      <c r="A254" s="273"/>
    </row>
    <row r="255" spans="1:26" s="20" customFormat="1" outlineLevel="1" x14ac:dyDescent="0.35">
      <c r="A255" s="275" t="s">
        <v>786</v>
      </c>
      <c r="B255" s="275">
        <f>(B251*B252)/(B253*B250)</f>
        <v>17123.287671232876</v>
      </c>
      <c r="C255" s="275" t="s">
        <v>749</v>
      </c>
    </row>
    <row r="256" spans="1:26" s="20" customFormat="1" outlineLevel="1" x14ac:dyDescent="0.35">
      <c r="A256" s="19"/>
    </row>
    <row r="257" spans="1:31" s="20" customFormat="1" outlineLevel="1" x14ac:dyDescent="0.35">
      <c r="A257" s="19" t="s">
        <v>793</v>
      </c>
    </row>
    <row r="258" spans="1:31" s="20" customFormat="1" outlineLevel="1" x14ac:dyDescent="0.35">
      <c r="A258" s="273" t="s">
        <v>789</v>
      </c>
      <c r="B258" s="20">
        <f>SUM('Results - raw data ReCiPe (E)'!CC136:CC137)+'Results - raw data ReCiPe (E)'!CC140+SUM('Results - raw data ReCiPe (E)'!CC138:CC139)*AC267</f>
        <v>781.43932211693232</v>
      </c>
      <c r="C258" s="20" t="s">
        <v>873</v>
      </c>
    </row>
    <row r="259" spans="1:31" s="20" customFormat="1" outlineLevel="1" x14ac:dyDescent="0.35">
      <c r="A259" s="20" t="s">
        <v>792</v>
      </c>
      <c r="B259" s="20">
        <f>B251*AC265</f>
        <v>50000</v>
      </c>
      <c r="C259" s="274" t="s">
        <v>795</v>
      </c>
    </row>
    <row r="260" spans="1:31" s="20" customFormat="1" outlineLevel="1" x14ac:dyDescent="0.35">
      <c r="A260" s="20" t="s">
        <v>791</v>
      </c>
      <c r="B260" s="20">
        <f>(B258*AC267*B255)/(B259*AC266)*(AC266/AC268)</f>
        <v>80.284861861328665</v>
      </c>
      <c r="C260" s="20" t="s">
        <v>874</v>
      </c>
      <c r="E260" s="274" t="s">
        <v>796</v>
      </c>
    </row>
    <row r="261" spans="1:31" s="20" customFormat="1" outlineLevel="1" x14ac:dyDescent="0.35">
      <c r="A261" s="19"/>
    </row>
    <row r="262" spans="1:31" s="16" customFormat="1" outlineLevel="1" x14ac:dyDescent="0.35">
      <c r="A262" s="21"/>
      <c r="AB262" s="16" t="s">
        <v>801</v>
      </c>
      <c r="AC262" s="16">
        <v>1</v>
      </c>
      <c r="AD262" s="16" t="s">
        <v>146</v>
      </c>
      <c r="AE262" s="15" t="s">
        <v>714</v>
      </c>
    </row>
    <row r="263" spans="1:31" s="16" customFormat="1" outlineLevel="1" x14ac:dyDescent="0.35">
      <c r="A263" s="22" t="s">
        <v>566</v>
      </c>
      <c r="AC263" s="16">
        <f>AC262*1000</f>
        <v>1000</v>
      </c>
      <c r="AD263" s="16" t="s">
        <v>144</v>
      </c>
    </row>
    <row r="264" spans="1:31" s="16" customFormat="1" outlineLevel="1" x14ac:dyDescent="0.35">
      <c r="A264" s="22"/>
      <c r="AB264" s="16" t="s">
        <v>127</v>
      </c>
      <c r="AC264" s="276">
        <f>100*AC265</f>
        <v>50</v>
      </c>
      <c r="AD264" s="16" t="s">
        <v>128</v>
      </c>
    </row>
    <row r="265" spans="1:31" s="16" customFormat="1" outlineLevel="1" x14ac:dyDescent="0.35">
      <c r="A265" s="230"/>
      <c r="AB265" s="16" t="s">
        <v>776</v>
      </c>
      <c r="AC265" s="276">
        <v>0.5</v>
      </c>
    </row>
    <row r="266" spans="1:31" s="16" customFormat="1" outlineLevel="1" x14ac:dyDescent="0.35">
      <c r="A266" s="230"/>
      <c r="AB266" s="16" t="s">
        <v>129</v>
      </c>
      <c r="AC266" s="276">
        <v>25</v>
      </c>
      <c r="AD266" s="16" t="s">
        <v>130</v>
      </c>
    </row>
    <row r="267" spans="1:31" s="16" customFormat="1" outlineLevel="1" x14ac:dyDescent="0.35">
      <c r="A267" s="230"/>
      <c r="AB267" s="16" t="s">
        <v>777</v>
      </c>
      <c r="AC267" s="276">
        <v>6</v>
      </c>
      <c r="AD267" s="16" t="s">
        <v>779</v>
      </c>
    </row>
    <row r="268" spans="1:31" s="16" customFormat="1" outlineLevel="1" x14ac:dyDescent="0.35">
      <c r="A268" s="22"/>
      <c r="AB268" s="16" t="s">
        <v>778</v>
      </c>
      <c r="AC268" s="276">
        <v>20</v>
      </c>
      <c r="AD268" s="16" t="s">
        <v>130</v>
      </c>
    </row>
    <row r="269" spans="1:31" s="16" customFormat="1" outlineLevel="1" x14ac:dyDescent="0.35">
      <c r="A269" s="22"/>
      <c r="AB269" s="16" t="s">
        <v>780</v>
      </c>
      <c r="AC269" s="276">
        <f>B255</f>
        <v>17123.287671232876</v>
      </c>
      <c r="AD269" s="16" t="s">
        <v>749</v>
      </c>
    </row>
    <row r="270" spans="1:31" s="16" customFormat="1" outlineLevel="1" x14ac:dyDescent="0.35">
      <c r="A270" s="22"/>
    </row>
    <row r="271" spans="1:31" s="16" customFormat="1" outlineLevel="1" x14ac:dyDescent="0.35">
      <c r="A271" s="22"/>
      <c r="AB271" s="16" t="s">
        <v>798</v>
      </c>
      <c r="AC271" s="16">
        <v>0.25</v>
      </c>
    </row>
    <row r="272" spans="1:31" s="16" customFormat="1" outlineLevel="1" x14ac:dyDescent="0.35">
      <c r="A272" s="22"/>
      <c r="AB272" s="16" t="s">
        <v>799</v>
      </c>
      <c r="AC272" s="16">
        <v>0.9</v>
      </c>
    </row>
    <row r="273" spans="1:53" outlineLevel="1" x14ac:dyDescent="0.35">
      <c r="B273" s="25">
        <v>2030</v>
      </c>
      <c r="C273" s="25">
        <v>2031</v>
      </c>
      <c r="D273" s="25">
        <v>2032</v>
      </c>
      <c r="E273" s="25">
        <v>2033</v>
      </c>
      <c r="F273" s="25">
        <v>2034</v>
      </c>
      <c r="G273" s="25">
        <v>2035</v>
      </c>
      <c r="H273" s="25">
        <v>2036</v>
      </c>
      <c r="I273" s="25">
        <v>2037</v>
      </c>
      <c r="J273" s="25">
        <v>2038</v>
      </c>
      <c r="K273" s="25">
        <v>2039</v>
      </c>
      <c r="L273" s="25">
        <v>2040</v>
      </c>
      <c r="M273" s="25">
        <v>2041</v>
      </c>
      <c r="N273" s="25">
        <v>2042</v>
      </c>
      <c r="O273" s="25">
        <v>2043</v>
      </c>
      <c r="P273" s="25">
        <v>2044</v>
      </c>
      <c r="Q273" s="25">
        <v>2045</v>
      </c>
      <c r="R273" s="25">
        <v>2046</v>
      </c>
      <c r="S273" s="25">
        <v>2047</v>
      </c>
      <c r="T273" s="25">
        <v>2048</v>
      </c>
      <c r="U273" s="25">
        <v>2049</v>
      </c>
      <c r="V273" s="25">
        <v>2050</v>
      </c>
      <c r="W273" s="25">
        <v>2051</v>
      </c>
      <c r="X273" s="25">
        <v>2052</v>
      </c>
      <c r="Y273" s="25">
        <v>2053</v>
      </c>
      <c r="Z273" s="25">
        <v>2054</v>
      </c>
      <c r="AC273" s="25">
        <v>2030</v>
      </c>
      <c r="AD273" s="25">
        <v>2031</v>
      </c>
      <c r="AE273" s="25">
        <v>2032</v>
      </c>
      <c r="AF273" s="25">
        <v>2033</v>
      </c>
      <c r="AG273" s="25">
        <v>2034</v>
      </c>
      <c r="AH273" s="25">
        <v>2035</v>
      </c>
      <c r="AI273" s="25">
        <v>2036</v>
      </c>
      <c r="AJ273" s="25">
        <v>2037</v>
      </c>
      <c r="AK273" s="25">
        <v>2038</v>
      </c>
      <c r="AL273" s="25">
        <v>2039</v>
      </c>
      <c r="AM273" s="25">
        <v>2040</v>
      </c>
      <c r="AN273" s="25">
        <v>2041</v>
      </c>
      <c r="AO273" s="25">
        <v>2042</v>
      </c>
      <c r="AP273" s="25">
        <v>2043</v>
      </c>
      <c r="AQ273" s="25">
        <v>2044</v>
      </c>
      <c r="AR273" s="25">
        <v>2045</v>
      </c>
      <c r="AS273" s="25">
        <v>2046</v>
      </c>
      <c r="AT273" s="25">
        <v>2047</v>
      </c>
      <c r="AU273" s="25">
        <v>2048</v>
      </c>
      <c r="AV273" s="25">
        <v>2049</v>
      </c>
      <c r="AW273" s="25">
        <v>2050</v>
      </c>
      <c r="AX273" s="25">
        <v>2051</v>
      </c>
      <c r="AY273" s="25">
        <v>2052</v>
      </c>
      <c r="AZ273" s="25">
        <v>2053</v>
      </c>
      <c r="BA273" s="25">
        <v>2054</v>
      </c>
    </row>
    <row r="274" spans="1:53" outlineLevel="1" x14ac:dyDescent="0.35">
      <c r="A274" s="6" t="s">
        <v>21</v>
      </c>
      <c r="B274" s="6">
        <f t="shared" ref="B274:B285" si="30">B10</f>
        <v>651.25812318150281</v>
      </c>
      <c r="AB274" s="6" t="s">
        <v>117</v>
      </c>
      <c r="AC274" s="6">
        <f>SUM(B274:B285)+B287</f>
        <v>27518.65872652534</v>
      </c>
    </row>
    <row r="275" spans="1:53" outlineLevel="1" x14ac:dyDescent="0.35">
      <c r="A275" s="6" t="s">
        <v>23</v>
      </c>
      <c r="B275" s="6">
        <f t="shared" si="30"/>
        <v>862.08257287646234</v>
      </c>
      <c r="AB275" s="6" t="s">
        <v>118</v>
      </c>
      <c r="AC275" s="6">
        <f>B286</f>
        <v>1109.7470297373577</v>
      </c>
    </row>
    <row r="276" spans="1:53" outlineLevel="1" x14ac:dyDescent="0.35">
      <c r="A276" s="6" t="s">
        <v>26</v>
      </c>
      <c r="B276" s="6">
        <f t="shared" si="30"/>
        <v>2656.784936094527</v>
      </c>
      <c r="AB276" s="6" t="s">
        <v>119</v>
      </c>
      <c r="BA276" s="6">
        <f>SUM(Z288:Z299)</f>
        <v>580.04942097986282</v>
      </c>
    </row>
    <row r="277" spans="1:53" outlineLevel="1" x14ac:dyDescent="0.35">
      <c r="A277" s="6" t="s">
        <v>28</v>
      </c>
      <c r="B277" s="6">
        <f t="shared" si="30"/>
        <v>2445.1830978739772</v>
      </c>
      <c r="AB277" s="6" t="s">
        <v>120</v>
      </c>
      <c r="BA277" s="6">
        <f>Z300</f>
        <v>10.701406374672235</v>
      </c>
    </row>
    <row r="278" spans="1:53" outlineLevel="1" x14ac:dyDescent="0.35">
      <c r="A278" s="6" t="s">
        <v>29</v>
      </c>
      <c r="B278" s="6">
        <f t="shared" si="30"/>
        <v>1458.226901918091</v>
      </c>
      <c r="AB278" s="6" t="s">
        <v>121</v>
      </c>
      <c r="AC278" s="6">
        <f>B301</f>
        <v>1037.493275938863</v>
      </c>
      <c r="AF278" s="6">
        <f>E301</f>
        <v>1027.697547156306</v>
      </c>
      <c r="AI278" s="6">
        <f>H301</f>
        <v>1025.202036574439</v>
      </c>
      <c r="AL278" s="6">
        <f>K301</f>
        <v>1025.3040187287079</v>
      </c>
      <c r="AO278" s="6">
        <f>N301</f>
        <v>1030.1790192937119</v>
      </c>
      <c r="AR278" s="6">
        <f>Q301</f>
        <v>1035.5510426582489</v>
      </c>
      <c r="AU278" s="6">
        <f>T301</f>
        <v>1022.5109258357249</v>
      </c>
      <c r="AX278" s="6">
        <f>W301</f>
        <v>1007.600052632234</v>
      </c>
      <c r="BA278" s="6">
        <f>Z301</f>
        <v>987.38631762704017</v>
      </c>
    </row>
    <row r="279" spans="1:53" outlineLevel="1" x14ac:dyDescent="0.35">
      <c r="A279" s="6" t="s">
        <v>31</v>
      </c>
      <c r="B279" s="6">
        <f t="shared" si="30"/>
        <v>1036.4455748921571</v>
      </c>
      <c r="AB279" s="6" t="s">
        <v>797</v>
      </c>
      <c r="AC279" s="6">
        <f>B305</f>
        <v>4014.2430930664332</v>
      </c>
      <c r="AD279" s="6">
        <f t="shared" ref="AD279:BA279" si="31">C305</f>
        <v>4014.2430930664332</v>
      </c>
      <c r="AE279" s="6">
        <f t="shared" si="31"/>
        <v>4014.2430930664332</v>
      </c>
      <c r="AF279" s="6">
        <f t="shared" si="31"/>
        <v>4014.2430930664332</v>
      </c>
      <c r="AG279" s="6">
        <f t="shared" si="31"/>
        <v>4014.2430930664332</v>
      </c>
      <c r="AH279" s="6">
        <f t="shared" si="31"/>
        <v>4014.2430930664332</v>
      </c>
      <c r="AI279" s="6">
        <f t="shared" si="31"/>
        <v>4014.2430930664332</v>
      </c>
      <c r="AJ279" s="6">
        <f t="shared" si="31"/>
        <v>4014.2430930664332</v>
      </c>
      <c r="AK279" s="6">
        <f t="shared" si="31"/>
        <v>4014.2430930664332</v>
      </c>
      <c r="AL279" s="6">
        <f t="shared" si="31"/>
        <v>4014.2430930664332</v>
      </c>
      <c r="AM279" s="6">
        <f t="shared" si="31"/>
        <v>4014.2430930664332</v>
      </c>
      <c r="AN279" s="6">
        <f t="shared" si="31"/>
        <v>4014.2430930664332</v>
      </c>
      <c r="AO279" s="6">
        <f t="shared" si="31"/>
        <v>4014.2430930664332</v>
      </c>
      <c r="AP279" s="6">
        <f t="shared" si="31"/>
        <v>4014.2430930664332</v>
      </c>
      <c r="AQ279" s="6">
        <f t="shared" si="31"/>
        <v>4014.2430930664332</v>
      </c>
      <c r="AR279" s="6">
        <f t="shared" si="31"/>
        <v>4014.2430930664332</v>
      </c>
      <c r="AS279" s="6">
        <f t="shared" si="31"/>
        <v>4014.2430930664332</v>
      </c>
      <c r="AT279" s="6">
        <f t="shared" si="31"/>
        <v>4014.2430930664332</v>
      </c>
      <c r="AU279" s="6">
        <f t="shared" si="31"/>
        <v>4014.2430930664332</v>
      </c>
      <c r="AV279" s="6">
        <f t="shared" si="31"/>
        <v>4014.2430930664332</v>
      </c>
      <c r="AW279" s="6">
        <f t="shared" si="31"/>
        <v>4014.2430930664332</v>
      </c>
      <c r="AX279" s="6">
        <f t="shared" si="31"/>
        <v>4014.2430930664332</v>
      </c>
      <c r="AY279" s="6">
        <f t="shared" si="31"/>
        <v>4014.2430930664332</v>
      </c>
      <c r="AZ279" s="6">
        <f t="shared" si="31"/>
        <v>4014.2430930664332</v>
      </c>
      <c r="BA279" s="6">
        <f t="shared" si="31"/>
        <v>4014.2430930664332</v>
      </c>
    </row>
    <row r="280" spans="1:53" outlineLevel="1" x14ac:dyDescent="0.35">
      <c r="A280" s="6" t="s">
        <v>34</v>
      </c>
      <c r="B280" s="6">
        <f t="shared" si="30"/>
        <v>691.98724990181552</v>
      </c>
      <c r="AB280" s="6" t="s">
        <v>122</v>
      </c>
      <c r="AC280" s="6">
        <f t="shared" ref="AC280:BA280" si="32">B304+B303</f>
        <v>3304.823739147057</v>
      </c>
      <c r="AD280" s="6">
        <f t="shared" si="32"/>
        <v>3294.1532115037444</v>
      </c>
      <c r="AE280" s="6">
        <f t="shared" si="32"/>
        <v>3283.8648951712007</v>
      </c>
      <c r="AF280" s="6">
        <f t="shared" si="32"/>
        <v>3250.9290257404004</v>
      </c>
      <c r="AG280" s="6">
        <f t="shared" si="32"/>
        <v>3241.4059267483763</v>
      </c>
      <c r="AH280" s="6">
        <f t="shared" si="32"/>
        <v>3232.0985660424417</v>
      </c>
      <c r="AI280" s="6">
        <f t="shared" si="32"/>
        <v>3224.4654403535901</v>
      </c>
      <c r="AJ280" s="6">
        <f t="shared" si="32"/>
        <v>3217.7530897038232</v>
      </c>
      <c r="AK280" s="6">
        <f t="shared" si="32"/>
        <v>3197.7965482812638</v>
      </c>
      <c r="AL280" s="6">
        <f t="shared" si="32"/>
        <v>3192.7849103116391</v>
      </c>
      <c r="AM280" s="6">
        <f t="shared" si="32"/>
        <v>3188.4135629106449</v>
      </c>
      <c r="AN280" s="6">
        <f t="shared" si="32"/>
        <v>3189.1405244510274</v>
      </c>
      <c r="AO280" s="6">
        <f t="shared" si="32"/>
        <v>3190.6006397144051</v>
      </c>
      <c r="AP280" s="6">
        <f t="shared" si="32"/>
        <v>3190.0013179898319</v>
      </c>
      <c r="AQ280" s="6">
        <f t="shared" si="32"/>
        <v>3192.8339988972107</v>
      </c>
      <c r="AR280" s="6">
        <f t="shared" si="32"/>
        <v>3196.6347204104418</v>
      </c>
      <c r="AS280" s="6">
        <f t="shared" si="32"/>
        <v>3182.5681126588274</v>
      </c>
      <c r="AT280" s="6">
        <f t="shared" si="32"/>
        <v>3168.5527221451239</v>
      </c>
      <c r="AU280" s="6">
        <f t="shared" si="32"/>
        <v>3151.7491418963627</v>
      </c>
      <c r="AV280" s="6">
        <f t="shared" si="32"/>
        <v>3137.7621056489966</v>
      </c>
      <c r="AW280" s="6">
        <f t="shared" si="32"/>
        <v>3123.7495999419502</v>
      </c>
      <c r="AX280" s="6">
        <f t="shared" si="32"/>
        <v>3103.1167761870638</v>
      </c>
      <c r="AY280" s="6">
        <f t="shared" si="32"/>
        <v>3081.7256670808779</v>
      </c>
      <c r="AZ280" s="6">
        <f t="shared" si="32"/>
        <v>3060.3099302825376</v>
      </c>
      <c r="BA280" s="6">
        <f t="shared" si="32"/>
        <v>3038.8618973177158</v>
      </c>
    </row>
    <row r="281" spans="1:53" outlineLevel="1" x14ac:dyDescent="0.35">
      <c r="A281" s="6" t="s">
        <v>36</v>
      </c>
      <c r="B281" s="6">
        <f t="shared" si="30"/>
        <v>596.53688010329222</v>
      </c>
      <c r="AB281" s="6" t="s">
        <v>123</v>
      </c>
      <c r="AC281" s="6">
        <f t="shared" ref="AC281:BA281" si="33">B302</f>
        <v>1371.9885946321269</v>
      </c>
      <c r="AD281" s="6">
        <f t="shared" si="33"/>
        <v>1368.683070394743</v>
      </c>
      <c r="AE281" s="6">
        <f t="shared" si="33"/>
        <v>1365.3864382102074</v>
      </c>
      <c r="AF281" s="6">
        <f t="shared" si="33"/>
        <v>1360.8763703382544</v>
      </c>
      <c r="AG281" s="6">
        <f t="shared" si="33"/>
        <v>1357.5997332809345</v>
      </c>
      <c r="AH281" s="6">
        <f t="shared" si="33"/>
        <v>1354.3240309991725</v>
      </c>
      <c r="AI281" s="6">
        <f t="shared" si="33"/>
        <v>1450.5465092241809</v>
      </c>
      <c r="AJ281" s="6">
        <f t="shared" si="33"/>
        <v>1546.3643147932221</v>
      </c>
      <c r="AK281" s="6">
        <f t="shared" si="33"/>
        <v>1640.990749242296</v>
      </c>
      <c r="AL281" s="6">
        <f t="shared" si="33"/>
        <v>1736.1507562599641</v>
      </c>
      <c r="AM281" s="6">
        <f t="shared" si="33"/>
        <v>1830.9076463370036</v>
      </c>
      <c r="AN281" s="6">
        <f t="shared" si="33"/>
        <v>2001.4912047818921</v>
      </c>
      <c r="AO281" s="6">
        <f t="shared" si="33"/>
        <v>2172.0535446711324</v>
      </c>
      <c r="AP281" s="6">
        <f t="shared" si="33"/>
        <v>2342.4479403944661</v>
      </c>
      <c r="AQ281" s="6">
        <f t="shared" si="33"/>
        <v>2512.9565146707541</v>
      </c>
      <c r="AR281" s="6">
        <f t="shared" si="33"/>
        <v>2683.439282746695</v>
      </c>
      <c r="AS281" s="6">
        <f t="shared" si="33"/>
        <v>2709.8769748228824</v>
      </c>
      <c r="AT281" s="6">
        <f t="shared" si="33"/>
        <v>2736.2524664762141</v>
      </c>
      <c r="AU281" s="6">
        <f t="shared" si="33"/>
        <v>2762.43547996299</v>
      </c>
      <c r="AV281" s="6">
        <f t="shared" si="33"/>
        <v>2788.6974890619631</v>
      </c>
      <c r="AW281" s="6">
        <f t="shared" si="33"/>
        <v>2814.9044851527251</v>
      </c>
      <c r="AX281" s="6">
        <f t="shared" si="33"/>
        <v>2748.9086795889384</v>
      </c>
      <c r="AY281" s="6">
        <f t="shared" si="33"/>
        <v>2675.8780905994731</v>
      </c>
      <c r="AZ281" s="6">
        <f t="shared" si="33"/>
        <v>2602.8970907929147</v>
      </c>
      <c r="BA281" s="6">
        <f t="shared" si="33"/>
        <v>2529.9640867696171</v>
      </c>
    </row>
    <row r="282" spans="1:53" outlineLevel="1" x14ac:dyDescent="0.35">
      <c r="A282" s="6" t="s">
        <v>38</v>
      </c>
      <c r="B282" s="6">
        <f t="shared" si="30"/>
        <v>5345.6598221409758</v>
      </c>
      <c r="AB282" s="6" t="s">
        <v>124</v>
      </c>
      <c r="AC282" s="6">
        <f>-$AC$264*$AC$263</f>
        <v>-50000</v>
      </c>
      <c r="AD282" s="6">
        <f t="shared" ref="AD282:BA282" si="34">-$AC$264*$AC$263</f>
        <v>-50000</v>
      </c>
      <c r="AE282" s="6">
        <f t="shared" si="34"/>
        <v>-50000</v>
      </c>
      <c r="AF282" s="6">
        <f t="shared" si="34"/>
        <v>-50000</v>
      </c>
      <c r="AG282" s="6">
        <f t="shared" si="34"/>
        <v>-50000</v>
      </c>
      <c r="AH282" s="6">
        <f t="shared" si="34"/>
        <v>-50000</v>
      </c>
      <c r="AI282" s="6">
        <f t="shared" si="34"/>
        <v>-50000</v>
      </c>
      <c r="AJ282" s="6">
        <f t="shared" si="34"/>
        <v>-50000</v>
      </c>
      <c r="AK282" s="6">
        <f t="shared" si="34"/>
        <v>-50000</v>
      </c>
      <c r="AL282" s="6">
        <f t="shared" si="34"/>
        <v>-50000</v>
      </c>
      <c r="AM282" s="6">
        <f t="shared" si="34"/>
        <v>-50000</v>
      </c>
      <c r="AN282" s="6">
        <f t="shared" si="34"/>
        <v>-50000</v>
      </c>
      <c r="AO282" s="6">
        <f t="shared" si="34"/>
        <v>-50000</v>
      </c>
      <c r="AP282" s="6">
        <f t="shared" si="34"/>
        <v>-50000</v>
      </c>
      <c r="AQ282" s="6">
        <f t="shared" si="34"/>
        <v>-50000</v>
      </c>
      <c r="AR282" s="6">
        <f t="shared" si="34"/>
        <v>-50000</v>
      </c>
      <c r="AS282" s="6">
        <f t="shared" si="34"/>
        <v>-50000</v>
      </c>
      <c r="AT282" s="6">
        <f t="shared" si="34"/>
        <v>-50000</v>
      </c>
      <c r="AU282" s="6">
        <f t="shared" si="34"/>
        <v>-50000</v>
      </c>
      <c r="AV282" s="6">
        <f t="shared" si="34"/>
        <v>-50000</v>
      </c>
      <c r="AW282" s="6">
        <f t="shared" si="34"/>
        <v>-50000</v>
      </c>
      <c r="AX282" s="6">
        <f t="shared" si="34"/>
        <v>-50000</v>
      </c>
      <c r="AY282" s="6">
        <f t="shared" si="34"/>
        <v>-50000</v>
      </c>
      <c r="AZ282" s="6">
        <f t="shared" si="34"/>
        <v>-50000</v>
      </c>
      <c r="BA282" s="6">
        <f t="shared" si="34"/>
        <v>-50000</v>
      </c>
    </row>
    <row r="283" spans="1:53" outlineLevel="1" x14ac:dyDescent="0.35">
      <c r="A283" s="6" t="s">
        <v>39</v>
      </c>
      <c r="B283" s="6">
        <f t="shared" si="30"/>
        <v>10336.805358145069</v>
      </c>
      <c r="AB283" s="23" t="s">
        <v>125</v>
      </c>
      <c r="AC283" s="17">
        <f t="shared" ref="AC283:BA283" si="35">SUM(AC274:AC282)</f>
        <v>-11643.045540952822</v>
      </c>
      <c r="AD283" s="17">
        <f t="shared" si="35"/>
        <v>-41322.920625035084</v>
      </c>
      <c r="AE283" s="17">
        <f t="shared" si="35"/>
        <v>-41336.50557355216</v>
      </c>
      <c r="AF283" s="17">
        <f t="shared" si="35"/>
        <v>-40346.253963698604</v>
      </c>
      <c r="AG283" s="17">
        <f t="shared" si="35"/>
        <v>-41386.751246904256</v>
      </c>
      <c r="AH283" s="17">
        <f t="shared" si="35"/>
        <v>-41399.33430989195</v>
      </c>
      <c r="AI283" s="17">
        <f t="shared" si="35"/>
        <v>-40285.542920781358</v>
      </c>
      <c r="AJ283" s="17">
        <f t="shared" si="35"/>
        <v>-41221.639502436519</v>
      </c>
      <c r="AK283" s="17">
        <f t="shared" si="35"/>
        <v>-41146.969609410007</v>
      </c>
      <c r="AL283" s="17">
        <f t="shared" si="35"/>
        <v>-40031.517221633258</v>
      </c>
      <c r="AM283" s="17">
        <f t="shared" si="35"/>
        <v>-40966.43569768592</v>
      </c>
      <c r="AN283" s="17">
        <f t="shared" si="35"/>
        <v>-40795.125177700647</v>
      </c>
      <c r="AO283" s="17">
        <f t="shared" si="35"/>
        <v>-39592.923703254317</v>
      </c>
      <c r="AP283" s="17">
        <f t="shared" si="35"/>
        <v>-40453.307648549271</v>
      </c>
      <c r="AQ283" s="17">
        <f t="shared" si="35"/>
        <v>-40279.966393365605</v>
      </c>
      <c r="AR283" s="17">
        <f t="shared" si="35"/>
        <v>-39070.131861118178</v>
      </c>
      <c r="AS283" s="17">
        <f t="shared" si="35"/>
        <v>-40093.311819451861</v>
      </c>
      <c r="AT283" s="17">
        <f t="shared" si="35"/>
        <v>-40080.95171831223</v>
      </c>
      <c r="AU283" s="17">
        <f t="shared" si="35"/>
        <v>-39049.061359238491</v>
      </c>
      <c r="AV283" s="17">
        <f t="shared" si="35"/>
        <v>-40059.29731222261</v>
      </c>
      <c r="AW283" s="17">
        <f t="shared" si="35"/>
        <v>-40047.102821838889</v>
      </c>
      <c r="AX283" s="17">
        <f t="shared" si="35"/>
        <v>-39126.131398525329</v>
      </c>
      <c r="AY283" s="17">
        <f t="shared" si="35"/>
        <v>-40228.153149253216</v>
      </c>
      <c r="AZ283" s="17">
        <f t="shared" si="35"/>
        <v>-40322.549885858112</v>
      </c>
      <c r="BA283" s="17">
        <f t="shared" si="35"/>
        <v>-38838.793777864659</v>
      </c>
    </row>
    <row r="284" spans="1:53" outlineLevel="1" x14ac:dyDescent="0.35">
      <c r="A284" s="6" t="s">
        <v>41</v>
      </c>
      <c r="B284" s="6">
        <f t="shared" si="30"/>
        <v>97.949429025859729</v>
      </c>
    </row>
    <row r="285" spans="1:53" outlineLevel="1" x14ac:dyDescent="0.35">
      <c r="A285" s="6" t="s">
        <v>43</v>
      </c>
      <c r="B285" s="6">
        <f t="shared" si="30"/>
        <v>496.58841906124889</v>
      </c>
      <c r="AB285" s="272"/>
      <c r="AC285" s="272"/>
      <c r="AD285" s="272"/>
      <c r="AE285" s="272"/>
      <c r="AF285" s="272"/>
      <c r="AG285" s="272"/>
      <c r="AH285" s="272"/>
      <c r="AI285" s="272"/>
      <c r="AJ285" s="272"/>
      <c r="AK285" s="272"/>
      <c r="AL285" s="272"/>
      <c r="AM285" s="272"/>
      <c r="AN285" s="272"/>
      <c r="AO285" s="272"/>
      <c r="AP285" s="272"/>
      <c r="AQ285" s="272"/>
      <c r="AR285" s="272"/>
      <c r="AS285" s="272"/>
      <c r="AT285" s="272"/>
      <c r="AU285" s="272"/>
      <c r="AV285" s="272"/>
      <c r="AW285" s="272"/>
      <c r="AX285" s="272"/>
      <c r="AY285" s="272"/>
      <c r="AZ285" s="272"/>
      <c r="BA285" s="272"/>
    </row>
    <row r="286" spans="1:53" outlineLevel="1" x14ac:dyDescent="0.35">
      <c r="A286" s="6" t="s">
        <v>44</v>
      </c>
      <c r="B286" s="6">
        <f>B22*AC265</f>
        <v>1109.7470297373577</v>
      </c>
      <c r="AB286" s="272"/>
      <c r="AC286" s="272"/>
      <c r="AD286" s="272"/>
      <c r="AE286" s="272"/>
      <c r="AF286" s="272"/>
      <c r="AG286" s="272"/>
      <c r="AH286" s="272"/>
      <c r="AI286" s="272"/>
      <c r="AJ286" s="272"/>
      <c r="AK286" s="272"/>
      <c r="AL286" s="272"/>
      <c r="AM286" s="272"/>
      <c r="AN286" s="272"/>
      <c r="AO286" s="272"/>
      <c r="AP286" s="272"/>
      <c r="AQ286" s="272"/>
      <c r="AR286" s="272"/>
      <c r="AS286" s="272"/>
      <c r="AT286" s="272"/>
      <c r="AU286" s="272"/>
      <c r="AV286" s="272"/>
      <c r="AW286" s="272"/>
      <c r="AX286" s="272"/>
      <c r="AY286" s="272"/>
      <c r="AZ286" s="272"/>
      <c r="BA286" s="272"/>
    </row>
    <row r="287" spans="1:53" outlineLevel="1" x14ac:dyDescent="0.35">
      <c r="A287" s="6" t="s">
        <v>757</v>
      </c>
      <c r="B287" s="6">
        <f>B23*AC265</f>
        <v>843.15036131036493</v>
      </c>
      <c r="AB287" s="272"/>
      <c r="AC287" s="272"/>
      <c r="AD287" s="272"/>
      <c r="AE287" s="272"/>
      <c r="AF287" s="272"/>
      <c r="AG287" s="272"/>
      <c r="AH287" s="272"/>
      <c r="AI287" s="272"/>
      <c r="AJ287" s="272"/>
      <c r="AK287" s="272"/>
      <c r="AL287" s="272"/>
      <c r="AM287" s="272"/>
      <c r="AN287" s="272"/>
      <c r="AO287" s="272"/>
      <c r="AP287" s="272"/>
      <c r="AQ287" s="272"/>
      <c r="AR287" s="272"/>
      <c r="AS287" s="272"/>
      <c r="AT287" s="272"/>
      <c r="AU287" s="272"/>
      <c r="AV287" s="272"/>
      <c r="AW287" s="272"/>
      <c r="AX287" s="272"/>
      <c r="AY287" s="272"/>
      <c r="AZ287" s="272"/>
      <c r="BA287" s="272"/>
    </row>
    <row r="288" spans="1:53" outlineLevel="1" x14ac:dyDescent="0.35">
      <c r="A288" s="6" t="s">
        <v>22</v>
      </c>
      <c r="Z288" s="6">
        <f t="shared" ref="Z288:Z299" si="36">Z24</f>
        <v>17.843500032398001</v>
      </c>
      <c r="AB288" s="272"/>
      <c r="AC288" s="272"/>
      <c r="AD288" s="272"/>
      <c r="AE288" s="272"/>
      <c r="AF288" s="272"/>
      <c r="AG288" s="272"/>
      <c r="AH288" s="272"/>
      <c r="AI288" s="272"/>
      <c r="AJ288" s="272"/>
      <c r="AK288" s="272"/>
      <c r="AL288" s="272"/>
      <c r="AM288" s="272"/>
      <c r="AN288" s="272"/>
      <c r="AO288" s="272"/>
      <c r="AP288" s="272"/>
      <c r="AQ288" s="272"/>
      <c r="AR288" s="272"/>
      <c r="AS288" s="272"/>
      <c r="AT288" s="272"/>
      <c r="AU288" s="272"/>
      <c r="AV288" s="272"/>
      <c r="AW288" s="272"/>
      <c r="AX288" s="272"/>
      <c r="AY288" s="272"/>
      <c r="AZ288" s="272"/>
      <c r="BA288" s="272"/>
    </row>
    <row r="289" spans="1:53" outlineLevel="1" x14ac:dyDescent="0.35">
      <c r="A289" s="6" t="s">
        <v>24</v>
      </c>
      <c r="Z289" s="6">
        <f t="shared" si="36"/>
        <v>6.6306644676033351</v>
      </c>
      <c r="AB289" s="272"/>
      <c r="AC289" s="272"/>
      <c r="AD289" s="272"/>
      <c r="AE289" s="272"/>
      <c r="AF289" s="272"/>
      <c r="AG289" s="272"/>
      <c r="AH289" s="272"/>
      <c r="AI289" s="272"/>
      <c r="AJ289" s="272"/>
      <c r="AK289" s="272"/>
      <c r="AL289" s="272"/>
      <c r="AM289" s="272"/>
      <c r="AN289" s="272"/>
      <c r="AO289" s="272"/>
      <c r="AP289" s="272"/>
      <c r="AQ289" s="272"/>
      <c r="AR289" s="272"/>
      <c r="AS289" s="272"/>
      <c r="AT289" s="272"/>
      <c r="AU289" s="272"/>
      <c r="AV289" s="272"/>
      <c r="AW289" s="272"/>
      <c r="AX289" s="272"/>
      <c r="AY289" s="272"/>
      <c r="AZ289" s="272"/>
      <c r="BA289" s="272"/>
    </row>
    <row r="290" spans="1:53" outlineLevel="1" x14ac:dyDescent="0.35">
      <c r="A290" s="6" t="s">
        <v>25</v>
      </c>
      <c r="Z290" s="6">
        <f t="shared" si="36"/>
        <v>23.29547196294692</v>
      </c>
      <c r="AB290" s="272"/>
      <c r="AC290" s="272"/>
      <c r="AD290" s="272"/>
      <c r="AE290" s="272"/>
      <c r="AF290" s="272"/>
      <c r="AG290" s="272"/>
      <c r="AH290" s="272"/>
      <c r="AI290" s="272"/>
      <c r="AJ290" s="272"/>
      <c r="AK290" s="272"/>
      <c r="AL290" s="272"/>
      <c r="AM290" s="272"/>
      <c r="AN290" s="272"/>
      <c r="AO290" s="272"/>
      <c r="AP290" s="272"/>
      <c r="AQ290" s="272"/>
      <c r="AR290" s="272"/>
      <c r="AS290" s="272"/>
      <c r="AT290" s="272"/>
      <c r="AU290" s="272"/>
      <c r="AV290" s="272"/>
      <c r="AW290" s="272"/>
      <c r="AX290" s="272"/>
      <c r="AY290" s="272"/>
      <c r="AZ290" s="272"/>
      <c r="BA290" s="272"/>
    </row>
    <row r="291" spans="1:53" outlineLevel="1" x14ac:dyDescent="0.35">
      <c r="A291" s="6" t="s">
        <v>27</v>
      </c>
      <c r="Z291" s="6">
        <f t="shared" si="36"/>
        <v>6.6915547577702146</v>
      </c>
      <c r="AB291" s="272"/>
      <c r="AC291" s="272"/>
      <c r="AD291" s="272"/>
      <c r="AE291" s="272"/>
      <c r="AF291" s="272"/>
      <c r="AG291" s="272"/>
      <c r="AH291" s="272"/>
      <c r="AI291" s="272"/>
      <c r="AJ291" s="272"/>
      <c r="AK291" s="272"/>
      <c r="AL291" s="272"/>
      <c r="AM291" s="272"/>
      <c r="AN291" s="272"/>
      <c r="AO291" s="272"/>
      <c r="AP291" s="272"/>
      <c r="AQ291" s="272"/>
      <c r="AR291" s="272"/>
      <c r="AS291" s="272"/>
      <c r="AT291" s="272"/>
      <c r="AU291" s="272"/>
      <c r="AV291" s="272"/>
      <c r="AW291" s="272"/>
      <c r="AX291" s="272"/>
      <c r="AY291" s="272"/>
      <c r="AZ291" s="272"/>
      <c r="BA291" s="272"/>
    </row>
    <row r="292" spans="1:53" outlineLevel="1" x14ac:dyDescent="0.35">
      <c r="A292" s="6" t="s">
        <v>30</v>
      </c>
      <c r="Z292" s="6">
        <f t="shared" si="36"/>
        <v>23.26475923404065</v>
      </c>
      <c r="AB292" s="272"/>
      <c r="AC292" s="272"/>
      <c r="AD292" s="272"/>
      <c r="AE292" s="272"/>
      <c r="AF292" s="272"/>
      <c r="AG292" s="272"/>
      <c r="AH292" s="272"/>
      <c r="AI292" s="272"/>
      <c r="AJ292" s="272"/>
      <c r="AK292" s="272"/>
      <c r="AL292" s="272"/>
      <c r="AM292" s="272"/>
      <c r="AN292" s="272"/>
      <c r="AO292" s="272"/>
      <c r="AP292" s="272"/>
      <c r="AQ292" s="272"/>
      <c r="AR292" s="272"/>
      <c r="AS292" s="272"/>
      <c r="AT292" s="272"/>
      <c r="AU292" s="272"/>
      <c r="AV292" s="272"/>
      <c r="AW292" s="272"/>
      <c r="AX292" s="272"/>
      <c r="AY292" s="272"/>
      <c r="AZ292" s="272"/>
      <c r="BA292" s="272"/>
    </row>
    <row r="293" spans="1:53" outlineLevel="1" x14ac:dyDescent="0.35">
      <c r="A293" s="6" t="s">
        <v>32</v>
      </c>
      <c r="Z293" s="6">
        <f t="shared" si="36"/>
        <v>0.84622886278788056</v>
      </c>
      <c r="AB293" s="272"/>
      <c r="AC293" s="272"/>
      <c r="AD293" s="272"/>
      <c r="AE293" s="272"/>
      <c r="AF293" s="272"/>
      <c r="AG293" s="272"/>
      <c r="AH293" s="272"/>
      <c r="AI293" s="272"/>
      <c r="AJ293" s="272"/>
      <c r="AK293" s="272"/>
      <c r="AL293" s="272"/>
      <c r="AM293" s="272"/>
      <c r="AN293" s="272"/>
      <c r="AO293" s="272"/>
      <c r="AP293" s="272"/>
      <c r="AQ293" s="272"/>
      <c r="AR293" s="272"/>
      <c r="AS293" s="272"/>
      <c r="AT293" s="272"/>
      <c r="AU293" s="272"/>
      <c r="AV293" s="272"/>
      <c r="AW293" s="272"/>
      <c r="AX293" s="272"/>
      <c r="AY293" s="272"/>
      <c r="AZ293" s="272"/>
      <c r="BA293" s="272"/>
    </row>
    <row r="294" spans="1:53" outlineLevel="1" x14ac:dyDescent="0.35">
      <c r="A294" s="6" t="s">
        <v>33</v>
      </c>
      <c r="Z294" s="6">
        <f t="shared" si="36"/>
        <v>5.5443723125488624</v>
      </c>
      <c r="AB294" s="272"/>
      <c r="AC294" s="272"/>
      <c r="AD294" s="272"/>
      <c r="AE294" s="272"/>
      <c r="AF294" s="272"/>
      <c r="AG294" s="272"/>
      <c r="AH294" s="272"/>
      <c r="AI294" s="272"/>
      <c r="AJ294" s="272"/>
      <c r="AK294" s="272"/>
      <c r="AL294" s="272"/>
      <c r="AM294" s="272"/>
      <c r="AN294" s="272"/>
      <c r="AO294" s="272"/>
      <c r="AP294" s="272"/>
      <c r="AQ294" s="272"/>
      <c r="AR294" s="272"/>
      <c r="AS294" s="272"/>
      <c r="AT294" s="272"/>
      <c r="AU294" s="272"/>
      <c r="AV294" s="272"/>
      <c r="AW294" s="272"/>
      <c r="AX294" s="272"/>
      <c r="AY294" s="272"/>
      <c r="AZ294" s="272"/>
      <c r="BA294" s="272"/>
    </row>
    <row r="295" spans="1:53" outlineLevel="1" x14ac:dyDescent="0.35">
      <c r="A295" s="6" t="s">
        <v>35</v>
      </c>
      <c r="Z295" s="6">
        <f t="shared" si="36"/>
        <v>11.08874462509772</v>
      </c>
      <c r="AB295" s="272"/>
      <c r="AC295" s="272"/>
      <c r="AD295" s="272"/>
      <c r="AE295" s="272"/>
      <c r="AF295" s="272"/>
      <c r="AG295" s="272"/>
      <c r="AH295" s="272"/>
      <c r="AI295" s="272"/>
      <c r="AJ295" s="272"/>
      <c r="AK295" s="272"/>
      <c r="AL295" s="272"/>
      <c r="AM295" s="272"/>
      <c r="AN295" s="272"/>
      <c r="AO295" s="272"/>
      <c r="AP295" s="272"/>
      <c r="AQ295" s="272"/>
      <c r="AR295" s="272"/>
      <c r="AS295" s="272"/>
      <c r="AT295" s="272"/>
      <c r="AU295" s="272"/>
      <c r="AV295" s="272"/>
      <c r="AW295" s="272"/>
      <c r="AX295" s="272"/>
      <c r="AY295" s="272"/>
      <c r="AZ295" s="272"/>
      <c r="BA295" s="272"/>
    </row>
    <row r="296" spans="1:53" outlineLevel="1" x14ac:dyDescent="0.35">
      <c r="A296" s="6" t="s">
        <v>37</v>
      </c>
      <c r="Z296" s="6">
        <f t="shared" si="36"/>
        <v>12.818247429642589</v>
      </c>
      <c r="AB296" s="272"/>
      <c r="AC296" s="272"/>
      <c r="AD296" s="272"/>
      <c r="AE296" s="272"/>
      <c r="AF296" s="272"/>
      <c r="AG296" s="272"/>
      <c r="AH296" s="272"/>
      <c r="AI296" s="272"/>
      <c r="AJ296" s="272"/>
      <c r="AK296" s="272"/>
      <c r="AL296" s="272"/>
      <c r="AM296" s="272"/>
      <c r="AN296" s="272"/>
      <c r="AO296" s="272"/>
      <c r="AP296" s="272"/>
      <c r="AQ296" s="272"/>
      <c r="AR296" s="272"/>
      <c r="AS296" s="272"/>
      <c r="AT296" s="272"/>
      <c r="AU296" s="272"/>
      <c r="AV296" s="272"/>
      <c r="AW296" s="272"/>
      <c r="AX296" s="272"/>
      <c r="AY296" s="272"/>
      <c r="AZ296" s="272"/>
      <c r="BA296" s="272"/>
    </row>
    <row r="297" spans="1:53" outlineLevel="1" x14ac:dyDescent="0.35">
      <c r="A297" s="6" t="s">
        <v>40</v>
      </c>
      <c r="Z297" s="6">
        <f t="shared" si="36"/>
        <v>216.27830743506141</v>
      </c>
    </row>
    <row r="298" spans="1:53" outlineLevel="1" x14ac:dyDescent="0.35">
      <c r="A298" s="6" t="s">
        <v>42</v>
      </c>
      <c r="Z298" s="6">
        <f t="shared" si="36"/>
        <v>20.36988039435165</v>
      </c>
    </row>
    <row r="299" spans="1:53" outlineLevel="1" x14ac:dyDescent="0.35">
      <c r="A299" s="6" t="s">
        <v>115</v>
      </c>
      <c r="Z299" s="6">
        <f t="shared" si="36"/>
        <v>235.3776894656136</v>
      </c>
    </row>
    <row r="300" spans="1:53" outlineLevel="1" x14ac:dyDescent="0.35">
      <c r="A300" s="6" t="s">
        <v>45</v>
      </c>
      <c r="Z300" s="6">
        <f>Z36*AC265</f>
        <v>10.701406374672235</v>
      </c>
    </row>
    <row r="301" spans="1:53" outlineLevel="1" x14ac:dyDescent="0.35">
      <c r="A301" s="6" t="s">
        <v>116</v>
      </c>
      <c r="B301" s="6">
        <f>B37</f>
        <v>1037.493275938863</v>
      </c>
      <c r="C301" s="6">
        <f t="shared" ref="C301:Z301" si="37">C37</f>
        <v>1035.7399576388721</v>
      </c>
      <c r="D301" s="6">
        <f t="shared" si="37"/>
        <v>1034.0056038228749</v>
      </c>
      <c r="E301" s="6">
        <f t="shared" si="37"/>
        <v>1027.697547156306</v>
      </c>
      <c r="F301" s="6">
        <f t="shared" si="37"/>
        <v>1025.9908010251111</v>
      </c>
      <c r="G301" s="6">
        <f t="shared" si="37"/>
        <v>1024.2916076393731</v>
      </c>
      <c r="H301" s="6">
        <f t="shared" si="37"/>
        <v>1025.202036574439</v>
      </c>
      <c r="I301" s="6">
        <f t="shared" si="37"/>
        <v>1026.128487412376</v>
      </c>
      <c r="J301" s="6">
        <f t="shared" si="37"/>
        <v>1024.3107847544079</v>
      </c>
      <c r="K301" s="6">
        <f t="shared" si="37"/>
        <v>1025.3040187287079</v>
      </c>
      <c r="L301" s="6">
        <f t="shared" si="37"/>
        <v>1026.3085715144889</v>
      </c>
      <c r="M301" s="6">
        <f t="shared" si="37"/>
        <v>1028.2349760279301</v>
      </c>
      <c r="N301" s="6">
        <f t="shared" si="37"/>
        <v>1030.1790192937119</v>
      </c>
      <c r="O301" s="6">
        <f t="shared" si="37"/>
        <v>1031.5313030359559</v>
      </c>
      <c r="P301" s="6">
        <f t="shared" si="37"/>
        <v>1033.5340865339131</v>
      </c>
      <c r="Q301" s="6">
        <f t="shared" si="37"/>
        <v>1035.5510426582489</v>
      </c>
      <c r="R301" s="6">
        <f t="shared" si="37"/>
        <v>1031.423766847804</v>
      </c>
      <c r="S301" s="6">
        <f t="shared" si="37"/>
        <v>1027.2855055101479</v>
      </c>
      <c r="T301" s="6">
        <f t="shared" si="37"/>
        <v>1022.5109258357249</v>
      </c>
      <c r="U301" s="6">
        <f t="shared" si="37"/>
        <v>1018.337256042481</v>
      </c>
      <c r="V301" s="6">
        <f t="shared" si="37"/>
        <v>1014.13814400604</v>
      </c>
      <c r="W301" s="6">
        <f t="shared" si="37"/>
        <v>1007.600052632234</v>
      </c>
      <c r="X301" s="6">
        <f t="shared" si="37"/>
        <v>1000.892990260865</v>
      </c>
      <c r="Y301" s="6">
        <f t="shared" si="37"/>
        <v>994.15531261359172</v>
      </c>
      <c r="Z301" s="6">
        <f t="shared" si="37"/>
        <v>987.38631762704017</v>
      </c>
    </row>
    <row r="302" spans="1:53" outlineLevel="1" x14ac:dyDescent="0.35">
      <c r="A302" s="6" t="s">
        <v>758</v>
      </c>
      <c r="B302" s="6">
        <f>B38*$AC$265</f>
        <v>1371.9885946321269</v>
      </c>
      <c r="C302" s="6">
        <f t="shared" ref="C302:Z303" si="38">C38*$AC$265</f>
        <v>1368.683070394743</v>
      </c>
      <c r="D302" s="6">
        <f t="shared" si="38"/>
        <v>1365.3864382102074</v>
      </c>
      <c r="E302" s="6">
        <f t="shared" si="38"/>
        <v>1360.8763703382544</v>
      </c>
      <c r="F302" s="6">
        <f t="shared" si="38"/>
        <v>1357.5997332809345</v>
      </c>
      <c r="G302" s="6">
        <f t="shared" si="38"/>
        <v>1354.3240309991725</v>
      </c>
      <c r="H302" s="6">
        <f t="shared" si="38"/>
        <v>1450.5465092241809</v>
      </c>
      <c r="I302" s="6">
        <f t="shared" si="38"/>
        <v>1546.3643147932221</v>
      </c>
      <c r="J302" s="6">
        <f t="shared" si="38"/>
        <v>1640.990749242296</v>
      </c>
      <c r="K302" s="6">
        <f t="shared" si="38"/>
        <v>1736.1507562599641</v>
      </c>
      <c r="L302" s="6">
        <f t="shared" si="38"/>
        <v>1830.9076463370036</v>
      </c>
      <c r="M302" s="6">
        <f t="shared" si="38"/>
        <v>2001.4912047818921</v>
      </c>
      <c r="N302" s="6">
        <f t="shared" si="38"/>
        <v>2172.0535446711324</v>
      </c>
      <c r="O302" s="6">
        <f t="shared" si="38"/>
        <v>2342.4479403944661</v>
      </c>
      <c r="P302" s="6">
        <f t="shared" si="38"/>
        <v>2512.9565146707541</v>
      </c>
      <c r="Q302" s="6">
        <f t="shared" si="38"/>
        <v>2683.439282746695</v>
      </c>
      <c r="R302" s="6">
        <f t="shared" si="38"/>
        <v>2709.8769748228824</v>
      </c>
      <c r="S302" s="6">
        <f t="shared" si="38"/>
        <v>2736.2524664762141</v>
      </c>
      <c r="T302" s="6">
        <f t="shared" si="38"/>
        <v>2762.43547996299</v>
      </c>
      <c r="U302" s="6">
        <f t="shared" si="38"/>
        <v>2788.6974890619631</v>
      </c>
      <c r="V302" s="6">
        <f t="shared" si="38"/>
        <v>2814.9044851527251</v>
      </c>
      <c r="W302" s="6">
        <f t="shared" si="38"/>
        <v>2748.9086795889384</v>
      </c>
      <c r="X302" s="6">
        <f t="shared" si="38"/>
        <v>2675.8780905994731</v>
      </c>
      <c r="Y302" s="6">
        <f t="shared" si="38"/>
        <v>2602.8970907929147</v>
      </c>
      <c r="Z302" s="6">
        <f t="shared" si="38"/>
        <v>2529.9640867696171</v>
      </c>
    </row>
    <row r="303" spans="1:53" outlineLevel="1" x14ac:dyDescent="0.35">
      <c r="A303" s="6" t="s">
        <v>759</v>
      </c>
      <c r="B303" s="6">
        <f>B39*$AC$265</f>
        <v>0</v>
      </c>
      <c r="C303" s="6">
        <f t="shared" si="38"/>
        <v>0</v>
      </c>
      <c r="D303" s="6">
        <f t="shared" si="38"/>
        <v>0</v>
      </c>
      <c r="E303" s="6">
        <f t="shared" si="38"/>
        <v>0</v>
      </c>
      <c r="F303" s="6">
        <f t="shared" si="38"/>
        <v>0</v>
      </c>
      <c r="G303" s="6">
        <f t="shared" si="38"/>
        <v>0</v>
      </c>
      <c r="H303" s="6">
        <f t="shared" si="38"/>
        <v>0</v>
      </c>
      <c r="I303" s="6">
        <f t="shared" si="38"/>
        <v>0</v>
      </c>
      <c r="J303" s="6">
        <f t="shared" si="38"/>
        <v>0</v>
      </c>
      <c r="K303" s="6">
        <f t="shared" si="38"/>
        <v>0</v>
      </c>
      <c r="L303" s="6">
        <f t="shared" si="38"/>
        <v>0</v>
      </c>
      <c r="M303" s="6">
        <f t="shared" si="38"/>
        <v>0</v>
      </c>
      <c r="N303" s="6">
        <f t="shared" si="38"/>
        <v>0</v>
      </c>
      <c r="O303" s="6">
        <f t="shared" si="38"/>
        <v>0</v>
      </c>
      <c r="P303" s="6">
        <f t="shared" si="38"/>
        <v>0</v>
      </c>
      <c r="Q303" s="6">
        <f t="shared" si="38"/>
        <v>0</v>
      </c>
      <c r="R303" s="6">
        <f t="shared" si="38"/>
        <v>0</v>
      </c>
      <c r="S303" s="6">
        <f t="shared" si="38"/>
        <v>0</v>
      </c>
      <c r="T303" s="6">
        <f t="shared" si="38"/>
        <v>0</v>
      </c>
      <c r="U303" s="6">
        <f t="shared" si="38"/>
        <v>0</v>
      </c>
      <c r="V303" s="6">
        <f t="shared" si="38"/>
        <v>0</v>
      </c>
      <c r="W303" s="6">
        <f t="shared" si="38"/>
        <v>0</v>
      </c>
      <c r="X303" s="6">
        <f t="shared" si="38"/>
        <v>0</v>
      </c>
      <c r="Y303" s="6">
        <f t="shared" si="38"/>
        <v>0</v>
      </c>
      <c r="Z303" s="6">
        <f t="shared" si="38"/>
        <v>0</v>
      </c>
    </row>
    <row r="304" spans="1:53" outlineLevel="1" x14ac:dyDescent="0.35">
      <c r="A304" s="6" t="s">
        <v>760</v>
      </c>
      <c r="B304" s="6">
        <f>150000*$AC$265*'Results - raw data ReCiPe (E)'!CC114/(1-0.5)*(1+'Results ReCiPe (E) - HHD'!$AC$271/'Results ReCiPe (E) - HHD'!$AC$272-'Results ReCiPe (E) - HHD'!$AC$271)</f>
        <v>3304.823739147057</v>
      </c>
      <c r="C304" s="6">
        <f>150000*$AC$265*'Results - raw data ReCiPe (E)'!CD114/(1-0.5)*(1+'Results ReCiPe (E) - HHD'!$AC$271/'Results ReCiPe (E) - HHD'!$AC$272-'Results ReCiPe (E) - HHD'!$AC$271)</f>
        <v>3294.1532115037444</v>
      </c>
      <c r="D304" s="6">
        <f>150000*$AC$265*'Results - raw data ReCiPe (E)'!CE114/(1-0.5)*(1+'Results ReCiPe (E) - HHD'!$AC$271/'Results ReCiPe (E) - HHD'!$AC$272-'Results ReCiPe (E) - HHD'!$AC$271)</f>
        <v>3283.8648951712007</v>
      </c>
      <c r="E304" s="6">
        <f>150000*$AC$265*'Results - raw data ReCiPe (E)'!CF114/(1-0.5)*(1+'Results ReCiPe (E) - HHD'!$AC$271/'Results ReCiPe (E) - HHD'!$AC$272-'Results ReCiPe (E) - HHD'!$AC$271)</f>
        <v>3250.9290257404004</v>
      </c>
      <c r="F304" s="6">
        <f>150000*$AC$265*'Results - raw data ReCiPe (E)'!CG114/(1-0.5)*(1+'Results ReCiPe (E) - HHD'!$AC$271/'Results ReCiPe (E) - HHD'!$AC$272-'Results ReCiPe (E) - HHD'!$AC$271)</f>
        <v>3241.4059267483763</v>
      </c>
      <c r="G304" s="6">
        <f>150000*$AC$265*'Results - raw data ReCiPe (E)'!CH114/(1-0.5)*(1+'Results ReCiPe (E) - HHD'!$AC$271/'Results ReCiPe (E) - HHD'!$AC$272-'Results ReCiPe (E) - HHD'!$AC$271)</f>
        <v>3232.0985660424417</v>
      </c>
      <c r="H304" s="6">
        <f>150000*$AC$265*'Results - raw data ReCiPe (E)'!CI114/(1-0.5)*(1+'Results ReCiPe (E) - HHD'!$AC$271/'Results ReCiPe (E) - HHD'!$AC$272-'Results ReCiPe (E) - HHD'!$AC$271)</f>
        <v>3224.4654403535901</v>
      </c>
      <c r="I304" s="6">
        <f>150000*$AC$265*'Results - raw data ReCiPe (E)'!CJ114/(1-0.5)*(1+'Results ReCiPe (E) - HHD'!$AC$271/'Results ReCiPe (E) - HHD'!$AC$272-'Results ReCiPe (E) - HHD'!$AC$271)</f>
        <v>3217.7530897038232</v>
      </c>
      <c r="J304" s="6">
        <f>150000*$AC$265*'Results - raw data ReCiPe (E)'!CK114/(1-0.5)*(1+'Results ReCiPe (E) - HHD'!$AC$271/'Results ReCiPe (E) - HHD'!$AC$272-'Results ReCiPe (E) - HHD'!$AC$271)</f>
        <v>3197.7965482812638</v>
      </c>
      <c r="K304" s="6">
        <f>150000*$AC$265*'Results - raw data ReCiPe (E)'!CL114/(1-0.5)*(1+'Results ReCiPe (E) - HHD'!$AC$271/'Results ReCiPe (E) - HHD'!$AC$272-'Results ReCiPe (E) - HHD'!$AC$271)</f>
        <v>3192.7849103116391</v>
      </c>
      <c r="L304" s="6">
        <f>150000*$AC$265*'Results - raw data ReCiPe (E)'!CM114/(1-0.5)*(1+'Results ReCiPe (E) - HHD'!$AC$271/'Results ReCiPe (E) - HHD'!$AC$272-'Results ReCiPe (E) - HHD'!$AC$271)</f>
        <v>3188.4135629106449</v>
      </c>
      <c r="M304" s="6">
        <f>150000*$AC$265*'Results - raw data ReCiPe (E)'!CN114/(1-0.5)*(1+'Results ReCiPe (E) - HHD'!$AC$271/'Results ReCiPe (E) - HHD'!$AC$272-'Results ReCiPe (E) - HHD'!$AC$271)</f>
        <v>3189.1405244510274</v>
      </c>
      <c r="N304" s="6">
        <f>150000*$AC$265*'Results - raw data ReCiPe (E)'!CO114/(1-0.5)*(1+'Results ReCiPe (E) - HHD'!$AC$271/'Results ReCiPe (E) - HHD'!$AC$272-'Results ReCiPe (E) - HHD'!$AC$271)</f>
        <v>3190.6006397144051</v>
      </c>
      <c r="O304" s="6">
        <f>150000*$AC$265*'Results - raw data ReCiPe (E)'!CP114/(1-0.5)*(1+'Results ReCiPe (E) - HHD'!$AC$271/'Results ReCiPe (E) - HHD'!$AC$272-'Results ReCiPe (E) - HHD'!$AC$271)</f>
        <v>3190.0013179898319</v>
      </c>
      <c r="P304" s="6">
        <f>150000*$AC$265*'Results - raw data ReCiPe (E)'!CQ114/(1-0.5)*(1+'Results ReCiPe (E) - HHD'!$AC$271/'Results ReCiPe (E) - HHD'!$AC$272-'Results ReCiPe (E) - HHD'!$AC$271)</f>
        <v>3192.8339988972107</v>
      </c>
      <c r="Q304" s="6">
        <f>150000*$AC$265*'Results - raw data ReCiPe (E)'!CR114/(1-0.5)*(1+'Results ReCiPe (E) - HHD'!$AC$271/'Results ReCiPe (E) - HHD'!$AC$272-'Results ReCiPe (E) - HHD'!$AC$271)</f>
        <v>3196.6347204104418</v>
      </c>
      <c r="R304" s="6">
        <f>150000*$AC$265*'Results - raw data ReCiPe (E)'!CS114/(1-0.5)*(1+'Results ReCiPe (E) - HHD'!$AC$271/'Results ReCiPe (E) - HHD'!$AC$272-'Results ReCiPe (E) - HHD'!$AC$271)</f>
        <v>3182.5681126588274</v>
      </c>
      <c r="S304" s="6">
        <f>150000*$AC$265*'Results - raw data ReCiPe (E)'!CT114/(1-0.5)*(1+'Results ReCiPe (E) - HHD'!$AC$271/'Results ReCiPe (E) - HHD'!$AC$272-'Results ReCiPe (E) - HHD'!$AC$271)</f>
        <v>3168.5527221451239</v>
      </c>
      <c r="T304" s="6">
        <f>150000*$AC$265*'Results - raw data ReCiPe (E)'!CU114/(1-0.5)*(1+'Results ReCiPe (E) - HHD'!$AC$271/'Results ReCiPe (E) - HHD'!$AC$272-'Results ReCiPe (E) - HHD'!$AC$271)</f>
        <v>3151.7491418963627</v>
      </c>
      <c r="U304" s="6">
        <f>150000*$AC$265*'Results - raw data ReCiPe (E)'!CV114/(1-0.5)*(1+'Results ReCiPe (E) - HHD'!$AC$271/'Results ReCiPe (E) - HHD'!$AC$272-'Results ReCiPe (E) - HHD'!$AC$271)</f>
        <v>3137.7621056489966</v>
      </c>
      <c r="V304" s="6">
        <f>150000*$AC$265*'Results - raw data ReCiPe (E)'!CW114/(1-0.5)*(1+'Results ReCiPe (E) - HHD'!$AC$271/'Results ReCiPe (E) - HHD'!$AC$272-'Results ReCiPe (E) - HHD'!$AC$271)</f>
        <v>3123.7495999419502</v>
      </c>
      <c r="W304" s="6">
        <f>150000*$AC$265*'Results - raw data ReCiPe (E)'!CX114/(1-0.5)*(1+'Results ReCiPe (E) - HHD'!$AC$271/'Results ReCiPe (E) - HHD'!$AC$272-'Results ReCiPe (E) - HHD'!$AC$271)</f>
        <v>3103.1167761870638</v>
      </c>
      <c r="X304" s="6">
        <f>150000*$AC$265*'Results - raw data ReCiPe (E)'!CY114/(1-0.5)*(1+'Results ReCiPe (E) - HHD'!$AC$271/'Results ReCiPe (E) - HHD'!$AC$272-'Results ReCiPe (E) - HHD'!$AC$271)</f>
        <v>3081.7256670808779</v>
      </c>
      <c r="Y304" s="6">
        <f>150000*$AC$265*'Results - raw data ReCiPe (E)'!CZ114/(1-0.5)*(1+'Results ReCiPe (E) - HHD'!$AC$271/'Results ReCiPe (E) - HHD'!$AC$272-'Results ReCiPe (E) - HHD'!$AC$271)</f>
        <v>3060.3099302825376</v>
      </c>
      <c r="Z304" s="6">
        <f>150000*$AC$265*'Results - raw data ReCiPe (E)'!DA114/(1-0.5)*(1+'Results ReCiPe (E) - HHD'!$AC$271/'Results ReCiPe (E) - HHD'!$AC$272-'Results ReCiPe (E) - HHD'!$AC$271)</f>
        <v>3038.8618973177158</v>
      </c>
    </row>
    <row r="305" spans="1:26" outlineLevel="1" x14ac:dyDescent="0.35">
      <c r="A305" s="6" t="s">
        <v>797</v>
      </c>
      <c r="B305" s="6">
        <f>$B$260*$AC$264</f>
        <v>4014.2430930664332</v>
      </c>
      <c r="C305" s="6">
        <f t="shared" ref="C305:Z305" si="39">$B$260*$AC$264</f>
        <v>4014.2430930664332</v>
      </c>
      <c r="D305" s="6">
        <f t="shared" si="39"/>
        <v>4014.2430930664332</v>
      </c>
      <c r="E305" s="6">
        <f t="shared" si="39"/>
        <v>4014.2430930664332</v>
      </c>
      <c r="F305" s="6">
        <f t="shared" si="39"/>
        <v>4014.2430930664332</v>
      </c>
      <c r="G305" s="6">
        <f t="shared" si="39"/>
        <v>4014.2430930664332</v>
      </c>
      <c r="H305" s="6">
        <f t="shared" si="39"/>
        <v>4014.2430930664332</v>
      </c>
      <c r="I305" s="6">
        <f t="shared" si="39"/>
        <v>4014.2430930664332</v>
      </c>
      <c r="J305" s="6">
        <f t="shared" si="39"/>
        <v>4014.2430930664332</v>
      </c>
      <c r="K305" s="6">
        <f t="shared" si="39"/>
        <v>4014.2430930664332</v>
      </c>
      <c r="L305" s="6">
        <f t="shared" si="39"/>
        <v>4014.2430930664332</v>
      </c>
      <c r="M305" s="6">
        <f t="shared" si="39"/>
        <v>4014.2430930664332</v>
      </c>
      <c r="N305" s="6">
        <f t="shared" si="39"/>
        <v>4014.2430930664332</v>
      </c>
      <c r="O305" s="6">
        <f t="shared" si="39"/>
        <v>4014.2430930664332</v>
      </c>
      <c r="P305" s="6">
        <f t="shared" si="39"/>
        <v>4014.2430930664332</v>
      </c>
      <c r="Q305" s="6">
        <f t="shared" si="39"/>
        <v>4014.2430930664332</v>
      </c>
      <c r="R305" s="6">
        <f t="shared" si="39"/>
        <v>4014.2430930664332</v>
      </c>
      <c r="S305" s="6">
        <f t="shared" si="39"/>
        <v>4014.2430930664332</v>
      </c>
      <c r="T305" s="6">
        <f t="shared" si="39"/>
        <v>4014.2430930664332</v>
      </c>
      <c r="U305" s="6">
        <f t="shared" si="39"/>
        <v>4014.2430930664332</v>
      </c>
      <c r="V305" s="6">
        <f t="shared" si="39"/>
        <v>4014.2430930664332</v>
      </c>
      <c r="W305" s="6">
        <f t="shared" si="39"/>
        <v>4014.2430930664332</v>
      </c>
      <c r="X305" s="6">
        <f t="shared" si="39"/>
        <v>4014.2430930664332</v>
      </c>
      <c r="Y305" s="6">
        <f t="shared" si="39"/>
        <v>4014.2430930664332</v>
      </c>
      <c r="Z305" s="6">
        <f t="shared" si="39"/>
        <v>4014.2430930664332</v>
      </c>
    </row>
    <row r="306" spans="1:26" outlineLevel="1" x14ac:dyDescent="0.35">
      <c r="A306" s="23" t="s">
        <v>125</v>
      </c>
      <c r="B306" s="17">
        <f t="shared" ref="B306:Z306" si="40">SUM(B274:B304)</f>
        <v>34342.711365980744</v>
      </c>
      <c r="C306" s="17">
        <f t="shared" si="40"/>
        <v>5698.5762395373595</v>
      </c>
      <c r="D306" s="17">
        <f t="shared" si="40"/>
        <v>5683.2569372042835</v>
      </c>
      <c r="E306" s="17">
        <f t="shared" si="40"/>
        <v>5639.5029432349602</v>
      </c>
      <c r="F306" s="17">
        <f t="shared" si="40"/>
        <v>5624.9964610544221</v>
      </c>
      <c r="G306" s="17">
        <f t="shared" si="40"/>
        <v>5610.7142046809877</v>
      </c>
      <c r="H306" s="17">
        <f t="shared" si="40"/>
        <v>5700.2139861522101</v>
      </c>
      <c r="I306" s="17">
        <f t="shared" si="40"/>
        <v>5790.2458919094215</v>
      </c>
      <c r="J306" s="17">
        <f t="shared" si="40"/>
        <v>5863.0980822779675</v>
      </c>
      <c r="K306" s="17">
        <f t="shared" si="40"/>
        <v>5954.2396853003111</v>
      </c>
      <c r="L306" s="17">
        <f t="shared" si="40"/>
        <v>6045.6297807621377</v>
      </c>
      <c r="M306" s="17">
        <f t="shared" si="40"/>
        <v>6218.8667052608489</v>
      </c>
      <c r="N306" s="17">
        <f t="shared" si="40"/>
        <v>6392.833203679249</v>
      </c>
      <c r="O306" s="17">
        <f t="shared" si="40"/>
        <v>6563.9805614202542</v>
      </c>
      <c r="P306" s="17">
        <f t="shared" si="40"/>
        <v>6739.3246001018779</v>
      </c>
      <c r="Q306" s="17">
        <f t="shared" si="40"/>
        <v>6915.6250458153863</v>
      </c>
      <c r="R306" s="17">
        <f t="shared" si="40"/>
        <v>6923.8688543295139</v>
      </c>
      <c r="S306" s="17">
        <f t="shared" si="40"/>
        <v>6932.0906941314861</v>
      </c>
      <c r="T306" s="17">
        <f t="shared" si="40"/>
        <v>6936.6955476950779</v>
      </c>
      <c r="U306" s="17">
        <f t="shared" si="40"/>
        <v>6944.7968507534406</v>
      </c>
      <c r="V306" s="17">
        <f t="shared" si="40"/>
        <v>6952.7922291007153</v>
      </c>
      <c r="W306" s="17">
        <f t="shared" si="40"/>
        <v>6859.6255084082368</v>
      </c>
      <c r="X306" s="17">
        <f t="shared" si="40"/>
        <v>6758.4967479412153</v>
      </c>
      <c r="Y306" s="17">
        <f t="shared" si="40"/>
        <v>6657.3623336890441</v>
      </c>
      <c r="Z306" s="17">
        <f t="shared" si="40"/>
        <v>7146.9631290689085</v>
      </c>
    </row>
    <row r="307" spans="1:26" outlineLevel="1" x14ac:dyDescent="0.35"/>
    <row r="308" spans="1:26" s="18" customFormat="1" ht="21" x14ac:dyDescent="0.5">
      <c r="A308" s="18" t="s">
        <v>73</v>
      </c>
    </row>
    <row r="309" spans="1:26" s="20" customFormat="1" outlineLevel="1" x14ac:dyDescent="0.35">
      <c r="A309" s="19" t="s">
        <v>788</v>
      </c>
    </row>
    <row r="310" spans="1:26" s="20" customFormat="1" outlineLevel="1" x14ac:dyDescent="0.35">
      <c r="A310" s="273" t="s">
        <v>775</v>
      </c>
      <c r="B310" s="20">
        <v>1</v>
      </c>
      <c r="C310" s="274" t="s">
        <v>787</v>
      </c>
    </row>
    <row r="311" spans="1:26" s="20" customFormat="1" outlineLevel="1" x14ac:dyDescent="0.35">
      <c r="A311" s="273" t="s">
        <v>781</v>
      </c>
      <c r="B311" s="20">
        <v>100000</v>
      </c>
      <c r="C311" s="20" t="s">
        <v>782</v>
      </c>
      <c r="E311" s="274"/>
    </row>
    <row r="312" spans="1:26" s="20" customFormat="1" outlineLevel="1" x14ac:dyDescent="0.35">
      <c r="A312" s="273" t="s">
        <v>783</v>
      </c>
      <c r="B312" s="20">
        <v>1500</v>
      </c>
      <c r="C312" s="20" t="s">
        <v>592</v>
      </c>
    </row>
    <row r="313" spans="1:26" s="20" customFormat="1" outlineLevel="1" x14ac:dyDescent="0.35">
      <c r="A313" s="273" t="s">
        <v>784</v>
      </c>
      <c r="B313" s="20">
        <v>8760</v>
      </c>
      <c r="C313" s="20" t="s">
        <v>785</v>
      </c>
    </row>
    <row r="314" spans="1:26" s="20" customFormat="1" outlineLevel="1" x14ac:dyDescent="0.35">
      <c r="A314" s="273"/>
    </row>
    <row r="315" spans="1:26" s="20" customFormat="1" outlineLevel="1" x14ac:dyDescent="0.35">
      <c r="A315" s="275" t="s">
        <v>786</v>
      </c>
      <c r="B315" s="275">
        <f>(B311*B312)/(B313*B310)</f>
        <v>17123.287671232876</v>
      </c>
      <c r="C315" s="275" t="s">
        <v>749</v>
      </c>
    </row>
    <row r="316" spans="1:26" s="20" customFormat="1" outlineLevel="1" x14ac:dyDescent="0.35">
      <c r="A316" s="19"/>
    </row>
    <row r="317" spans="1:26" s="20" customFormat="1" outlineLevel="1" x14ac:dyDescent="0.35">
      <c r="A317" s="19" t="s">
        <v>793</v>
      </c>
    </row>
    <row r="318" spans="1:26" s="20" customFormat="1" outlineLevel="1" x14ac:dyDescent="0.35">
      <c r="A318" s="273" t="s">
        <v>789</v>
      </c>
      <c r="B318" s="20">
        <f>SUM('Results - raw data ReCiPe (E)'!CC146:CC147)+'Results - raw data ReCiPe (E)'!CC150+SUM('Results - raw data ReCiPe (E)'!CC148:CC149)*AC267</f>
        <v>708.53184486650139</v>
      </c>
      <c r="C318" s="20" t="s">
        <v>873</v>
      </c>
    </row>
    <row r="319" spans="1:26" s="20" customFormat="1" outlineLevel="1" x14ac:dyDescent="0.35">
      <c r="A319" s="20" t="s">
        <v>792</v>
      </c>
      <c r="B319" s="20">
        <f>B311*AC325</f>
        <v>50000</v>
      </c>
      <c r="C319" s="274" t="s">
        <v>795</v>
      </c>
    </row>
    <row r="320" spans="1:26" s="20" customFormat="1" outlineLevel="1" x14ac:dyDescent="0.35">
      <c r="A320" s="20" t="s">
        <v>791</v>
      </c>
      <c r="B320" s="20">
        <f>(B318*AC327*B315)/(B319*AC326)*(AC326/AC328)</f>
        <v>72.794367623270688</v>
      </c>
      <c r="C320" s="20" t="s">
        <v>874</v>
      </c>
      <c r="E320" s="274" t="s">
        <v>796</v>
      </c>
    </row>
    <row r="321" spans="1:53" s="20" customFormat="1" outlineLevel="1" x14ac:dyDescent="0.35">
      <c r="A321" s="19"/>
    </row>
    <row r="322" spans="1:53" s="16" customFormat="1" outlineLevel="1" x14ac:dyDescent="0.35">
      <c r="A322" s="21"/>
      <c r="AB322" s="16" t="s">
        <v>801</v>
      </c>
      <c r="AC322" s="16">
        <v>1</v>
      </c>
      <c r="AD322" s="16" t="s">
        <v>146</v>
      </c>
      <c r="AE322" s="15" t="s">
        <v>714</v>
      </c>
    </row>
    <row r="323" spans="1:53" s="16" customFormat="1" outlineLevel="1" x14ac:dyDescent="0.35">
      <c r="A323" s="22" t="s">
        <v>566</v>
      </c>
      <c r="AC323" s="16">
        <f>AC322*1000</f>
        <v>1000</v>
      </c>
      <c r="AD323" s="16" t="s">
        <v>144</v>
      </c>
    </row>
    <row r="324" spans="1:53" s="16" customFormat="1" outlineLevel="1" x14ac:dyDescent="0.35">
      <c r="A324" s="22"/>
      <c r="AB324" s="16" t="s">
        <v>127</v>
      </c>
      <c r="AC324" s="16">
        <f>100*AC325</f>
        <v>50</v>
      </c>
      <c r="AD324" s="16" t="s">
        <v>128</v>
      </c>
    </row>
    <row r="325" spans="1:53" s="16" customFormat="1" outlineLevel="1" x14ac:dyDescent="0.35">
      <c r="A325" s="230"/>
      <c r="AB325" s="16" t="s">
        <v>776</v>
      </c>
      <c r="AC325" s="16">
        <v>0.5</v>
      </c>
    </row>
    <row r="326" spans="1:53" s="16" customFormat="1" outlineLevel="1" x14ac:dyDescent="0.35">
      <c r="A326" s="21"/>
      <c r="AB326" s="16" t="s">
        <v>129</v>
      </c>
      <c r="AC326" s="16">
        <v>25</v>
      </c>
      <c r="AD326" s="16" t="s">
        <v>130</v>
      </c>
    </row>
    <row r="327" spans="1:53" s="16" customFormat="1" outlineLevel="1" x14ac:dyDescent="0.35">
      <c r="A327" s="21"/>
      <c r="AB327" s="16" t="s">
        <v>777</v>
      </c>
      <c r="AC327" s="16">
        <v>6</v>
      </c>
      <c r="AD327" s="16" t="s">
        <v>779</v>
      </c>
    </row>
    <row r="328" spans="1:53" s="16" customFormat="1" outlineLevel="1" x14ac:dyDescent="0.35">
      <c r="A328" s="21"/>
      <c r="AB328" s="16" t="s">
        <v>778</v>
      </c>
      <c r="AC328" s="16">
        <v>20</v>
      </c>
      <c r="AD328" s="16" t="s">
        <v>130</v>
      </c>
    </row>
    <row r="329" spans="1:53" s="16" customFormat="1" outlineLevel="1" x14ac:dyDescent="0.35">
      <c r="AB329" s="16" t="s">
        <v>780</v>
      </c>
      <c r="AC329" s="16">
        <f>B315</f>
        <v>17123.287671232876</v>
      </c>
      <c r="AD329" s="16" t="s">
        <v>749</v>
      </c>
    </row>
    <row r="330" spans="1:53" s="16" customFormat="1" outlineLevel="1" x14ac:dyDescent="0.35"/>
    <row r="331" spans="1:53" s="16" customFormat="1" outlineLevel="1" x14ac:dyDescent="0.35">
      <c r="AB331" s="16" t="s">
        <v>798</v>
      </c>
      <c r="AC331" s="16">
        <v>0.25</v>
      </c>
    </row>
    <row r="332" spans="1:53" s="16" customFormat="1" outlineLevel="1" x14ac:dyDescent="0.35">
      <c r="A332" s="22"/>
      <c r="AB332" s="16" t="s">
        <v>799</v>
      </c>
      <c r="AC332" s="16">
        <v>0.9</v>
      </c>
    </row>
    <row r="333" spans="1:53" outlineLevel="1" x14ac:dyDescent="0.35">
      <c r="B333" s="25">
        <v>2030</v>
      </c>
      <c r="C333" s="25">
        <v>2031</v>
      </c>
      <c r="D333" s="25">
        <v>2032</v>
      </c>
      <c r="E333" s="25">
        <v>2033</v>
      </c>
      <c r="F333" s="25">
        <v>2034</v>
      </c>
      <c r="G333" s="25">
        <v>2035</v>
      </c>
      <c r="H333" s="25">
        <v>2036</v>
      </c>
      <c r="I333" s="25">
        <v>2037</v>
      </c>
      <c r="J333" s="25">
        <v>2038</v>
      </c>
      <c r="K333" s="25">
        <v>2039</v>
      </c>
      <c r="L333" s="25">
        <v>2040</v>
      </c>
      <c r="M333" s="25">
        <v>2041</v>
      </c>
      <c r="N333" s="25">
        <v>2042</v>
      </c>
      <c r="O333" s="25">
        <v>2043</v>
      </c>
      <c r="P333" s="25">
        <v>2044</v>
      </c>
      <c r="Q333" s="25">
        <v>2045</v>
      </c>
      <c r="R333" s="25">
        <v>2046</v>
      </c>
      <c r="S333" s="25">
        <v>2047</v>
      </c>
      <c r="T333" s="25">
        <v>2048</v>
      </c>
      <c r="U333" s="25">
        <v>2049</v>
      </c>
      <c r="V333" s="25">
        <v>2050</v>
      </c>
      <c r="W333" s="25">
        <v>2051</v>
      </c>
      <c r="X333" s="25">
        <v>2052</v>
      </c>
      <c r="Y333" s="25">
        <v>2053</v>
      </c>
      <c r="Z333" s="25">
        <v>2054</v>
      </c>
      <c r="AC333" s="25">
        <v>2030</v>
      </c>
      <c r="AD333" s="25">
        <v>2031</v>
      </c>
      <c r="AE333" s="25">
        <v>2032</v>
      </c>
      <c r="AF333" s="25">
        <v>2033</v>
      </c>
      <c r="AG333" s="25">
        <v>2034</v>
      </c>
      <c r="AH333" s="25">
        <v>2035</v>
      </c>
      <c r="AI333" s="25">
        <v>2036</v>
      </c>
      <c r="AJ333" s="25">
        <v>2037</v>
      </c>
      <c r="AK333" s="25">
        <v>2038</v>
      </c>
      <c r="AL333" s="25">
        <v>2039</v>
      </c>
      <c r="AM333" s="25">
        <v>2040</v>
      </c>
      <c r="AN333" s="25">
        <v>2041</v>
      </c>
      <c r="AO333" s="25">
        <v>2042</v>
      </c>
      <c r="AP333" s="25">
        <v>2043</v>
      </c>
      <c r="AQ333" s="25">
        <v>2044</v>
      </c>
      <c r="AR333" s="25">
        <v>2045</v>
      </c>
      <c r="AS333" s="25">
        <v>2046</v>
      </c>
      <c r="AT333" s="25">
        <v>2047</v>
      </c>
      <c r="AU333" s="25">
        <v>2048</v>
      </c>
      <c r="AV333" s="25">
        <v>2049</v>
      </c>
      <c r="AW333" s="25">
        <v>2050</v>
      </c>
      <c r="AX333" s="25">
        <v>2051</v>
      </c>
      <c r="AY333" s="25">
        <v>2052</v>
      </c>
      <c r="AZ333" s="25">
        <v>2053</v>
      </c>
      <c r="BA333" s="25">
        <v>2054</v>
      </c>
    </row>
    <row r="334" spans="1:53" outlineLevel="1" x14ac:dyDescent="0.35">
      <c r="A334" s="6" t="s">
        <v>21</v>
      </c>
      <c r="B334" s="6">
        <f>B50</f>
        <v>585.84401750146083</v>
      </c>
      <c r="AB334" s="6" t="s">
        <v>117</v>
      </c>
      <c r="AC334" s="6">
        <f>SUM(B334:B345)+B347</f>
        <v>24996.270673773346</v>
      </c>
    </row>
    <row r="335" spans="1:53" outlineLevel="1" x14ac:dyDescent="0.35">
      <c r="A335" s="6" t="s">
        <v>23</v>
      </c>
      <c r="B335" s="6">
        <f t="shared" ref="B335:B345" si="41">B51</f>
        <v>785.1952395392517</v>
      </c>
      <c r="AB335" s="6" t="s">
        <v>118</v>
      </c>
      <c r="AC335" s="6">
        <f>B346</f>
        <v>1037.2293397316614</v>
      </c>
    </row>
    <row r="336" spans="1:53" outlineLevel="1" x14ac:dyDescent="0.35">
      <c r="A336" s="6" t="s">
        <v>26</v>
      </c>
      <c r="B336" s="6">
        <f t="shared" si="41"/>
        <v>2400.6850597788962</v>
      </c>
      <c r="AB336" s="6" t="s">
        <v>119</v>
      </c>
      <c r="BA336" s="6">
        <f>SUM(Z348:Z359)</f>
        <v>471.91965940783922</v>
      </c>
    </row>
    <row r="337" spans="1:53" outlineLevel="1" x14ac:dyDescent="0.35">
      <c r="A337" s="6" t="s">
        <v>28</v>
      </c>
      <c r="B337" s="6">
        <f t="shared" si="41"/>
        <v>2253.0014214784742</v>
      </c>
      <c r="AB337" s="6" t="s">
        <v>120</v>
      </c>
      <c r="BA337" s="6">
        <f>Z360</f>
        <v>9.9712830938678199</v>
      </c>
    </row>
    <row r="338" spans="1:53" outlineLevel="1" x14ac:dyDescent="0.35">
      <c r="A338" s="6" t="s">
        <v>29</v>
      </c>
      <c r="B338" s="6">
        <f t="shared" si="41"/>
        <v>1356.2467521252081</v>
      </c>
      <c r="AB338" s="6" t="s">
        <v>121</v>
      </c>
      <c r="AC338" s="6">
        <f>B361</f>
        <v>1002.2532345357261</v>
      </c>
      <c r="AF338" s="6">
        <f>E361</f>
        <v>968.37815789759441</v>
      </c>
      <c r="AI338" s="6">
        <f>H361</f>
        <v>935.22469385907107</v>
      </c>
      <c r="AL338" s="6">
        <f>K361</f>
        <v>892.83003869097888</v>
      </c>
      <c r="AO338" s="6">
        <f>N361</f>
        <v>844.94159176113419</v>
      </c>
      <c r="AR338" s="6">
        <f>Q361</f>
        <v>792.9189308085422</v>
      </c>
      <c r="AU338" s="6">
        <f>T361</f>
        <v>755.92169116514378</v>
      </c>
      <c r="AX338" s="6">
        <f>W361</f>
        <v>729.74807912223457</v>
      </c>
      <c r="BA338" s="6">
        <f>Z361</f>
        <v>722.80509911141849</v>
      </c>
    </row>
    <row r="339" spans="1:53" outlineLevel="1" x14ac:dyDescent="0.35">
      <c r="A339" s="6" t="s">
        <v>31</v>
      </c>
      <c r="B339" s="6">
        <f t="shared" si="41"/>
        <v>980.98309739403408</v>
      </c>
      <c r="AB339" s="6" t="s">
        <v>797</v>
      </c>
      <c r="AC339" s="6">
        <f>B365</f>
        <v>3639.7183811635346</v>
      </c>
      <c r="AD339" s="6">
        <f t="shared" ref="AD339:BA339" si="42">C365</f>
        <v>3639.7183811635346</v>
      </c>
      <c r="AE339" s="6">
        <f t="shared" si="42"/>
        <v>3639.7183811635346</v>
      </c>
      <c r="AF339" s="6">
        <f t="shared" si="42"/>
        <v>3639.7183811635346</v>
      </c>
      <c r="AG339" s="6">
        <f t="shared" si="42"/>
        <v>3639.7183811635346</v>
      </c>
      <c r="AH339" s="6">
        <f t="shared" si="42"/>
        <v>3639.7183811635346</v>
      </c>
      <c r="AI339" s="6">
        <f t="shared" si="42"/>
        <v>3639.7183811635346</v>
      </c>
      <c r="AJ339" s="6">
        <f t="shared" si="42"/>
        <v>3639.7183811635346</v>
      </c>
      <c r="AK339" s="6">
        <f t="shared" si="42"/>
        <v>3639.7183811635346</v>
      </c>
      <c r="AL339" s="6">
        <f t="shared" si="42"/>
        <v>3639.7183811635346</v>
      </c>
      <c r="AM339" s="6">
        <f t="shared" si="42"/>
        <v>3639.7183811635346</v>
      </c>
      <c r="AN339" s="6">
        <f t="shared" si="42"/>
        <v>3639.7183811635346</v>
      </c>
      <c r="AO339" s="6">
        <f t="shared" si="42"/>
        <v>3639.7183811635346</v>
      </c>
      <c r="AP339" s="6">
        <f t="shared" si="42"/>
        <v>3639.7183811635346</v>
      </c>
      <c r="AQ339" s="6">
        <f t="shared" si="42"/>
        <v>3639.7183811635346</v>
      </c>
      <c r="AR339" s="6">
        <f t="shared" si="42"/>
        <v>3639.7183811635346</v>
      </c>
      <c r="AS339" s="6">
        <f t="shared" si="42"/>
        <v>3639.7183811635346</v>
      </c>
      <c r="AT339" s="6">
        <f t="shared" si="42"/>
        <v>3639.7183811635346</v>
      </c>
      <c r="AU339" s="6">
        <f t="shared" si="42"/>
        <v>3639.7183811635346</v>
      </c>
      <c r="AV339" s="6">
        <f t="shared" si="42"/>
        <v>3639.7183811635346</v>
      </c>
      <c r="AW339" s="6">
        <f t="shared" si="42"/>
        <v>3639.7183811635346</v>
      </c>
      <c r="AX339" s="6">
        <f t="shared" si="42"/>
        <v>3639.7183811635346</v>
      </c>
      <c r="AY339" s="6">
        <f t="shared" si="42"/>
        <v>3639.7183811635346</v>
      </c>
      <c r="AZ339" s="6">
        <f t="shared" si="42"/>
        <v>3639.7183811635346</v>
      </c>
      <c r="BA339" s="6">
        <f t="shared" si="42"/>
        <v>3639.7183811635346</v>
      </c>
    </row>
    <row r="340" spans="1:53" outlineLevel="1" x14ac:dyDescent="0.35">
      <c r="A340" s="6" t="s">
        <v>34</v>
      </c>
      <c r="B340" s="6">
        <f t="shared" si="41"/>
        <v>643.53411773634139</v>
      </c>
      <c r="AB340" s="6" t="s">
        <v>122</v>
      </c>
      <c r="AC340" s="6">
        <f t="shared" ref="AC340:AV340" si="43">B364+B363</f>
        <v>2947.6048134142857</v>
      </c>
      <c r="AD340" s="6">
        <f t="shared" si="43"/>
        <v>2875.4433964913874</v>
      </c>
      <c r="AE340" s="6">
        <f t="shared" si="43"/>
        <v>2802.700215815657</v>
      </c>
      <c r="AF340" s="6">
        <f t="shared" si="43"/>
        <v>2707.0710983302165</v>
      </c>
      <c r="AG340" s="6">
        <f t="shared" si="43"/>
        <v>2633.4162460502762</v>
      </c>
      <c r="AH340" s="6">
        <f t="shared" si="43"/>
        <v>2559.2076926834297</v>
      </c>
      <c r="AI340" s="6">
        <f t="shared" si="43"/>
        <v>2493.3123381199803</v>
      </c>
      <c r="AJ340" s="6">
        <f t="shared" si="43"/>
        <v>2432.1319445093518</v>
      </c>
      <c r="AK340" s="6">
        <f t="shared" si="43"/>
        <v>2359.4989093427757</v>
      </c>
      <c r="AL340" s="6">
        <f t="shared" si="43"/>
        <v>2300.7230748106208</v>
      </c>
      <c r="AM340" s="6">
        <f t="shared" si="43"/>
        <v>2241.6865364109722</v>
      </c>
      <c r="AN340" s="6">
        <f t="shared" si="43"/>
        <v>2185.6657940770483</v>
      </c>
      <c r="AO340" s="6">
        <f t="shared" si="43"/>
        <v>2130.3490110859411</v>
      </c>
      <c r="AP340" s="6">
        <f t="shared" si="43"/>
        <v>2072.1680135798338</v>
      </c>
      <c r="AQ340" s="6">
        <f t="shared" si="43"/>
        <v>2018.359248315476</v>
      </c>
      <c r="AR340" s="6">
        <f t="shared" si="43"/>
        <v>1965.3781997069775</v>
      </c>
      <c r="AS340" s="6">
        <f t="shared" si="43"/>
        <v>1927.7113542516063</v>
      </c>
      <c r="AT340" s="6">
        <f t="shared" si="43"/>
        <v>1890.9420189975326</v>
      </c>
      <c r="AU340" s="6">
        <f t="shared" si="43"/>
        <v>1852.1894811577463</v>
      </c>
      <c r="AV340" s="6">
        <f t="shared" si="43"/>
        <v>1817.6464687958078</v>
      </c>
      <c r="AW340" s="6">
        <f>V364</f>
        <v>1784.9958411776861</v>
      </c>
      <c r="AX340" s="6">
        <f>W364</f>
        <v>1775.3971663035254</v>
      </c>
      <c r="AY340" s="6">
        <f>X364</f>
        <v>1765.5834265598617</v>
      </c>
      <c r="AZ340" s="6">
        <f>Y364</f>
        <v>1755.8666965696184</v>
      </c>
      <c r="BA340" s="6">
        <f>Z364</f>
        <v>1746.2532938235231</v>
      </c>
    </row>
    <row r="341" spans="1:53" outlineLevel="1" x14ac:dyDescent="0.35">
      <c r="A341" s="6" t="s">
        <v>36</v>
      </c>
      <c r="B341" s="6">
        <f t="shared" si="41"/>
        <v>537.01822383702427</v>
      </c>
      <c r="AB341" s="6" t="s">
        <v>123</v>
      </c>
      <c r="AC341" s="6">
        <f t="shared" ref="AC341:BA341" si="44">B362</f>
        <v>1175.8570819721415</v>
      </c>
      <c r="AD341" s="6">
        <f t="shared" si="44"/>
        <v>1095.0836884170221</v>
      </c>
      <c r="AE341" s="6">
        <f t="shared" si="44"/>
        <v>1014.6952036333475</v>
      </c>
      <c r="AF341" s="6">
        <f t="shared" si="44"/>
        <v>933.39557883791497</v>
      </c>
      <c r="AG341" s="6">
        <f t="shared" si="44"/>
        <v>853.75131164631148</v>
      </c>
      <c r="AH341" s="6">
        <f t="shared" si="44"/>
        <v>774.46615372349243</v>
      </c>
      <c r="AI341" s="6">
        <f t="shared" si="44"/>
        <v>710.44949211098447</v>
      </c>
      <c r="AJ341" s="6">
        <f t="shared" si="44"/>
        <v>646.66542869712396</v>
      </c>
      <c r="AK341" s="6">
        <f t="shared" si="44"/>
        <v>582.05644386366396</v>
      </c>
      <c r="AL341" s="6">
        <f t="shared" si="44"/>
        <v>518.58663265738755</v>
      </c>
      <c r="AM341" s="6">
        <f t="shared" si="44"/>
        <v>455.2498156158195</v>
      </c>
      <c r="AN341" s="6">
        <f t="shared" si="44"/>
        <v>404.3988621223333</v>
      </c>
      <c r="AO341" s="6">
        <f t="shared" si="44"/>
        <v>353.37435262101695</v>
      </c>
      <c r="AP341" s="6">
        <f t="shared" si="44"/>
        <v>301.96459533917744</v>
      </c>
      <c r="AQ341" s="6">
        <f t="shared" si="44"/>
        <v>250.59812905632833</v>
      </c>
      <c r="AR341" s="6">
        <f t="shared" si="44"/>
        <v>199.0629724363223</v>
      </c>
      <c r="AS341" s="6">
        <f t="shared" si="44"/>
        <v>170.22170846184613</v>
      </c>
      <c r="AT341" s="6">
        <f t="shared" si="44"/>
        <v>141.31054918583305</v>
      </c>
      <c r="AU341" s="6">
        <f t="shared" si="44"/>
        <v>112.1528756953341</v>
      </c>
      <c r="AV341" s="6">
        <f t="shared" si="44"/>
        <v>83.10925203013025</v>
      </c>
      <c r="AW341" s="6">
        <f t="shared" si="44"/>
        <v>54.010782842374105</v>
      </c>
      <c r="AX341" s="6">
        <f t="shared" si="44"/>
        <v>43.794140612430724</v>
      </c>
      <c r="AY341" s="6">
        <f t="shared" si="44"/>
        <v>33.481459554403983</v>
      </c>
      <c r="AZ341" s="6">
        <f t="shared" si="44"/>
        <v>23.166611532206225</v>
      </c>
      <c r="BA341" s="6">
        <f t="shared" si="44"/>
        <v>12.848766854404134</v>
      </c>
    </row>
    <row r="342" spans="1:53" outlineLevel="1" x14ac:dyDescent="0.35">
      <c r="A342" s="6" t="s">
        <v>38</v>
      </c>
      <c r="B342" s="6">
        <f t="shared" si="41"/>
        <v>4812.1592907768581</v>
      </c>
      <c r="AB342" s="6" t="s">
        <v>124</v>
      </c>
      <c r="AC342" s="6">
        <f>-$AC$323*$AC$324</f>
        <v>-50000</v>
      </c>
      <c r="AD342" s="6">
        <f t="shared" ref="AD342:BA342" si="45">-$AC$323*$AC$324</f>
        <v>-50000</v>
      </c>
      <c r="AE342" s="6">
        <f t="shared" si="45"/>
        <v>-50000</v>
      </c>
      <c r="AF342" s="6">
        <f t="shared" si="45"/>
        <v>-50000</v>
      </c>
      <c r="AG342" s="6">
        <f t="shared" si="45"/>
        <v>-50000</v>
      </c>
      <c r="AH342" s="6">
        <f t="shared" si="45"/>
        <v>-50000</v>
      </c>
      <c r="AI342" s="6">
        <f t="shared" si="45"/>
        <v>-50000</v>
      </c>
      <c r="AJ342" s="6">
        <f t="shared" si="45"/>
        <v>-50000</v>
      </c>
      <c r="AK342" s="6">
        <f t="shared" si="45"/>
        <v>-50000</v>
      </c>
      <c r="AL342" s="6">
        <f t="shared" si="45"/>
        <v>-50000</v>
      </c>
      <c r="AM342" s="6">
        <f t="shared" si="45"/>
        <v>-50000</v>
      </c>
      <c r="AN342" s="6">
        <f t="shared" si="45"/>
        <v>-50000</v>
      </c>
      <c r="AO342" s="6">
        <f t="shared" si="45"/>
        <v>-50000</v>
      </c>
      <c r="AP342" s="6">
        <f t="shared" si="45"/>
        <v>-50000</v>
      </c>
      <c r="AQ342" s="6">
        <f t="shared" si="45"/>
        <v>-50000</v>
      </c>
      <c r="AR342" s="6">
        <f t="shared" si="45"/>
        <v>-50000</v>
      </c>
      <c r="AS342" s="6">
        <f t="shared" si="45"/>
        <v>-50000</v>
      </c>
      <c r="AT342" s="6">
        <f t="shared" si="45"/>
        <v>-50000</v>
      </c>
      <c r="AU342" s="6">
        <f t="shared" si="45"/>
        <v>-50000</v>
      </c>
      <c r="AV342" s="6">
        <f t="shared" si="45"/>
        <v>-50000</v>
      </c>
      <c r="AW342" s="6">
        <f t="shared" si="45"/>
        <v>-50000</v>
      </c>
      <c r="AX342" s="6">
        <f t="shared" si="45"/>
        <v>-50000</v>
      </c>
      <c r="AY342" s="6">
        <f t="shared" si="45"/>
        <v>-50000</v>
      </c>
      <c r="AZ342" s="6">
        <f t="shared" si="45"/>
        <v>-50000</v>
      </c>
      <c r="BA342" s="6">
        <f t="shared" si="45"/>
        <v>-50000</v>
      </c>
    </row>
    <row r="343" spans="1:53" outlineLevel="1" x14ac:dyDescent="0.35">
      <c r="A343" s="6" t="s">
        <v>39</v>
      </c>
      <c r="B343" s="6">
        <f t="shared" si="41"/>
        <v>9251.7429629223079</v>
      </c>
      <c r="AB343" s="23" t="s">
        <v>125</v>
      </c>
      <c r="AC343" s="17">
        <f t="shared" ref="AC343:BA343" si="46">SUM(AC334:AC342)</f>
        <v>-15201.066475409309</v>
      </c>
      <c r="AD343" s="17">
        <f t="shared" si="46"/>
        <v>-42389.754533928055</v>
      </c>
      <c r="AE343" s="17">
        <f t="shared" si="46"/>
        <v>-42542.88619938746</v>
      </c>
      <c r="AF343" s="17">
        <f t="shared" si="46"/>
        <v>-41751.43678377074</v>
      </c>
      <c r="AG343" s="17">
        <f t="shared" si="46"/>
        <v>-42873.114061139881</v>
      </c>
      <c r="AH343" s="17">
        <f t="shared" si="46"/>
        <v>-43026.607772429546</v>
      </c>
      <c r="AI343" s="17">
        <f t="shared" si="46"/>
        <v>-42221.295094746427</v>
      </c>
      <c r="AJ343" s="17">
        <f t="shared" si="46"/>
        <v>-43281.484245629988</v>
      </c>
      <c r="AK343" s="17">
        <f t="shared" si="46"/>
        <v>-43418.726265630023</v>
      </c>
      <c r="AL343" s="17">
        <f t="shared" si="46"/>
        <v>-42648.141872677479</v>
      </c>
      <c r="AM343" s="17">
        <f t="shared" si="46"/>
        <v>-43663.345266809672</v>
      </c>
      <c r="AN343" s="17">
        <f t="shared" si="46"/>
        <v>-43770.216962637081</v>
      </c>
      <c r="AO343" s="17">
        <f t="shared" si="46"/>
        <v>-43031.616663368375</v>
      </c>
      <c r="AP343" s="17">
        <f t="shared" si="46"/>
        <v>-43986.149009917455</v>
      </c>
      <c r="AQ343" s="17">
        <f t="shared" si="46"/>
        <v>-44091.324241464659</v>
      </c>
      <c r="AR343" s="17">
        <f t="shared" si="46"/>
        <v>-43402.92151588462</v>
      </c>
      <c r="AS343" s="17">
        <f t="shared" si="46"/>
        <v>-44262.348556123012</v>
      </c>
      <c r="AT343" s="17">
        <f t="shared" si="46"/>
        <v>-44328.029050653102</v>
      </c>
      <c r="AU343" s="17">
        <f t="shared" si="46"/>
        <v>-43640.017570818243</v>
      </c>
      <c r="AV343" s="17">
        <f t="shared" si="46"/>
        <v>-44459.525898010528</v>
      </c>
      <c r="AW343" s="17">
        <f t="shared" si="46"/>
        <v>-44521.274994816406</v>
      </c>
      <c r="AX343" s="17">
        <f t="shared" si="46"/>
        <v>-43811.342232798277</v>
      </c>
      <c r="AY343" s="17">
        <f t="shared" si="46"/>
        <v>-44561.216732722198</v>
      </c>
      <c r="AZ343" s="17">
        <f t="shared" si="46"/>
        <v>-44581.248310734642</v>
      </c>
      <c r="BA343" s="17">
        <f t="shared" si="46"/>
        <v>-43396.483516545413</v>
      </c>
    </row>
    <row r="344" spans="1:53" outlineLevel="1" x14ac:dyDescent="0.35">
      <c r="A344" s="6" t="s">
        <v>41</v>
      </c>
      <c r="B344" s="6">
        <f t="shared" si="41"/>
        <v>86.99567380814095</v>
      </c>
    </row>
    <row r="345" spans="1:53" outlineLevel="1" x14ac:dyDescent="0.35">
      <c r="A345" s="6" t="s">
        <v>43</v>
      </c>
      <c r="B345" s="6">
        <f t="shared" si="41"/>
        <v>485.23137314995512</v>
      </c>
      <c r="AB345" s="272"/>
      <c r="AC345" s="272"/>
      <c r="AD345" s="272"/>
      <c r="AE345" s="272"/>
      <c r="AF345" s="272"/>
      <c r="AG345" s="272"/>
      <c r="AH345" s="272"/>
      <c r="AI345" s="272"/>
      <c r="AJ345" s="272"/>
      <c r="AK345" s="272"/>
      <c r="AL345" s="272"/>
      <c r="AM345" s="272"/>
      <c r="AN345" s="272"/>
      <c r="AO345" s="272"/>
      <c r="AP345" s="272"/>
      <c r="AQ345" s="272"/>
      <c r="AR345" s="272"/>
      <c r="AS345" s="272"/>
      <c r="AT345" s="272"/>
      <c r="AU345" s="272"/>
      <c r="AV345" s="272"/>
      <c r="AW345" s="272"/>
      <c r="AX345" s="272"/>
      <c r="AY345" s="272"/>
      <c r="AZ345" s="272"/>
      <c r="BA345" s="272"/>
    </row>
    <row r="346" spans="1:53" outlineLevel="1" x14ac:dyDescent="0.35">
      <c r="A346" s="6" t="s">
        <v>44</v>
      </c>
      <c r="B346" s="6">
        <f>B62*AC325</f>
        <v>1037.2293397316614</v>
      </c>
      <c r="AB346" s="272"/>
      <c r="AC346" s="272"/>
      <c r="AD346" s="272"/>
      <c r="AE346" s="272"/>
      <c r="AF346" s="272"/>
      <c r="AG346" s="272"/>
      <c r="AH346" s="272"/>
      <c r="AI346" s="272"/>
      <c r="AJ346" s="272"/>
      <c r="AK346" s="272"/>
      <c r="AL346" s="272"/>
      <c r="AM346" s="272"/>
      <c r="AN346" s="272"/>
      <c r="AO346" s="272"/>
      <c r="AP346" s="272"/>
      <c r="AQ346" s="272"/>
      <c r="AR346" s="272"/>
      <c r="AS346" s="272"/>
      <c r="AT346" s="272"/>
      <c r="AU346" s="272"/>
      <c r="AV346" s="272"/>
      <c r="AW346" s="272"/>
      <c r="AX346" s="272"/>
      <c r="AY346" s="272"/>
      <c r="AZ346" s="272"/>
      <c r="BA346" s="272"/>
    </row>
    <row r="347" spans="1:53" outlineLevel="1" x14ac:dyDescent="0.35">
      <c r="A347" s="6" t="s">
        <v>757</v>
      </c>
      <c r="B347" s="6">
        <f>B63*AC325</f>
        <v>817.63344372539177</v>
      </c>
      <c r="AB347" s="272"/>
      <c r="AC347" s="272"/>
      <c r="AD347" s="272"/>
      <c r="AE347" s="272"/>
      <c r="AF347" s="272"/>
      <c r="AG347" s="272"/>
      <c r="AH347" s="272"/>
      <c r="AI347" s="272"/>
      <c r="AJ347" s="272"/>
      <c r="AK347" s="272"/>
      <c r="AL347" s="272"/>
      <c r="AM347" s="272"/>
      <c r="AN347" s="272"/>
      <c r="AO347" s="272"/>
      <c r="AP347" s="272"/>
      <c r="AQ347" s="272"/>
      <c r="AR347" s="272"/>
      <c r="AS347" s="272"/>
      <c r="AT347" s="272"/>
      <c r="AU347" s="272"/>
      <c r="AV347" s="272"/>
      <c r="AW347" s="272"/>
      <c r="AX347" s="272"/>
      <c r="AY347" s="272"/>
      <c r="AZ347" s="272"/>
      <c r="BA347" s="272"/>
    </row>
    <row r="348" spans="1:53" outlineLevel="1" x14ac:dyDescent="0.35">
      <c r="A348" s="6" t="s">
        <v>22</v>
      </c>
      <c r="Z348" s="6">
        <f>Z64</f>
        <v>17.402671337666849</v>
      </c>
      <c r="AB348" s="272"/>
      <c r="AC348" s="272"/>
      <c r="AD348" s="272"/>
      <c r="AE348" s="272"/>
      <c r="AF348" s="272"/>
      <c r="AG348" s="272"/>
      <c r="AH348" s="272"/>
      <c r="AI348" s="272"/>
      <c r="AJ348" s="272"/>
      <c r="AK348" s="272"/>
      <c r="AL348" s="272"/>
      <c r="AM348" s="272"/>
      <c r="AN348" s="272"/>
      <c r="AO348" s="272"/>
      <c r="AP348" s="272"/>
      <c r="AQ348" s="272"/>
      <c r="AR348" s="272"/>
      <c r="AS348" s="272"/>
      <c r="AT348" s="272"/>
      <c r="AU348" s="272"/>
      <c r="AV348" s="272"/>
      <c r="AW348" s="272"/>
      <c r="AX348" s="272"/>
      <c r="AY348" s="272"/>
      <c r="AZ348" s="272"/>
      <c r="BA348" s="272"/>
    </row>
    <row r="349" spans="1:53" outlineLevel="1" x14ac:dyDescent="0.35">
      <c r="A349" s="6" t="s">
        <v>24</v>
      </c>
      <c r="Z349" s="6">
        <f t="shared" ref="Z349:Z359" si="47">Z65</f>
        <v>6.1769548550697717</v>
      </c>
      <c r="AB349" s="272"/>
      <c r="AC349" s="272"/>
      <c r="AD349" s="272"/>
      <c r="AE349" s="272"/>
      <c r="AF349" s="272"/>
      <c r="AG349" s="272"/>
      <c r="AH349" s="272"/>
      <c r="AI349" s="272"/>
      <c r="AJ349" s="272"/>
      <c r="AK349" s="272"/>
      <c r="AL349" s="272"/>
      <c r="AM349" s="272"/>
      <c r="AN349" s="272"/>
      <c r="AO349" s="272"/>
      <c r="AP349" s="272"/>
      <c r="AQ349" s="272"/>
      <c r="AR349" s="272"/>
      <c r="AS349" s="272"/>
      <c r="AT349" s="272"/>
      <c r="AU349" s="272"/>
      <c r="AV349" s="272"/>
      <c r="AW349" s="272"/>
      <c r="AX349" s="272"/>
      <c r="AY349" s="272"/>
      <c r="AZ349" s="272"/>
      <c r="BA349" s="272"/>
    </row>
    <row r="350" spans="1:53" outlineLevel="1" x14ac:dyDescent="0.35">
      <c r="A350" s="6" t="s">
        <v>25</v>
      </c>
      <c r="Z350" s="6">
        <f t="shared" si="47"/>
        <v>19.26897274884934</v>
      </c>
      <c r="AB350" s="272"/>
      <c r="AC350" s="272"/>
      <c r="AD350" s="272"/>
      <c r="AE350" s="272"/>
      <c r="AF350" s="272"/>
      <c r="AG350" s="272"/>
      <c r="AH350" s="272"/>
      <c r="AI350" s="272"/>
      <c r="AJ350" s="272"/>
      <c r="AK350" s="272"/>
      <c r="AL350" s="272"/>
      <c r="AM350" s="272"/>
      <c r="AN350" s="272"/>
      <c r="AO350" s="272"/>
      <c r="AP350" s="272"/>
      <c r="AQ350" s="272"/>
      <c r="AR350" s="272"/>
      <c r="AS350" s="272"/>
      <c r="AT350" s="272"/>
      <c r="AU350" s="272"/>
      <c r="AV350" s="272"/>
      <c r="AW350" s="272"/>
      <c r="AX350" s="272"/>
      <c r="AY350" s="272"/>
      <c r="AZ350" s="272"/>
      <c r="BA350" s="272"/>
    </row>
    <row r="351" spans="1:53" outlineLevel="1" x14ac:dyDescent="0.35">
      <c r="A351" s="6" t="s">
        <v>27</v>
      </c>
      <c r="Z351" s="6">
        <f t="shared" si="47"/>
        <v>5.5999857476329256</v>
      </c>
      <c r="AB351" s="272"/>
      <c r="AC351" s="272"/>
      <c r="AD351" s="272"/>
      <c r="AE351" s="272"/>
      <c r="AF351" s="272"/>
      <c r="AG351" s="272"/>
      <c r="AH351" s="272"/>
      <c r="AI351" s="272"/>
      <c r="AJ351" s="272"/>
      <c r="AK351" s="272"/>
      <c r="AL351" s="272"/>
      <c r="AM351" s="272"/>
      <c r="AN351" s="272"/>
      <c r="AO351" s="272"/>
      <c r="AP351" s="272"/>
      <c r="AQ351" s="272"/>
      <c r="AR351" s="272"/>
      <c r="AS351" s="272"/>
      <c r="AT351" s="272"/>
      <c r="AU351" s="272"/>
      <c r="AV351" s="272"/>
      <c r="AW351" s="272"/>
      <c r="AX351" s="272"/>
      <c r="AY351" s="272"/>
      <c r="AZ351" s="272"/>
      <c r="BA351" s="272"/>
    </row>
    <row r="352" spans="1:53" outlineLevel="1" x14ac:dyDescent="0.35">
      <c r="A352" s="6" t="s">
        <v>30</v>
      </c>
      <c r="Z352" s="6">
        <f t="shared" si="47"/>
        <v>22.683971971680389</v>
      </c>
      <c r="AB352" s="272"/>
      <c r="AC352" s="272"/>
      <c r="AD352" s="272"/>
      <c r="AE352" s="272"/>
      <c r="AF352" s="272"/>
      <c r="AG352" s="272"/>
      <c r="AH352" s="272"/>
      <c r="AI352" s="272"/>
      <c r="AJ352" s="272"/>
      <c r="AK352" s="272"/>
      <c r="AL352" s="272"/>
      <c r="AM352" s="272"/>
      <c r="AN352" s="272"/>
      <c r="AO352" s="272"/>
      <c r="AP352" s="272"/>
      <c r="AQ352" s="272"/>
      <c r="AR352" s="272"/>
      <c r="AS352" s="272"/>
      <c r="AT352" s="272"/>
      <c r="AU352" s="272"/>
      <c r="AV352" s="272"/>
      <c r="AW352" s="272"/>
      <c r="AX352" s="272"/>
      <c r="AY352" s="272"/>
      <c r="AZ352" s="272"/>
      <c r="BA352" s="272"/>
    </row>
    <row r="353" spans="1:53" outlineLevel="1" x14ac:dyDescent="0.35">
      <c r="A353" s="6" t="s">
        <v>32</v>
      </c>
      <c r="Z353" s="6">
        <f t="shared" si="47"/>
        <v>0.59376131311437297</v>
      </c>
      <c r="AB353" s="272"/>
      <c r="AC353" s="272"/>
      <c r="AD353" s="272"/>
      <c r="AE353" s="272"/>
      <c r="AF353" s="272"/>
      <c r="AG353" s="272"/>
      <c r="AH353" s="272"/>
      <c r="AI353" s="272"/>
      <c r="AJ353" s="272"/>
      <c r="AK353" s="272"/>
      <c r="AL353" s="272"/>
      <c r="AM353" s="272"/>
      <c r="AN353" s="272"/>
      <c r="AO353" s="272"/>
      <c r="AP353" s="272"/>
      <c r="AQ353" s="272"/>
      <c r="AR353" s="272"/>
      <c r="AS353" s="272"/>
      <c r="AT353" s="272"/>
      <c r="AU353" s="272"/>
      <c r="AV353" s="272"/>
      <c r="AW353" s="272"/>
      <c r="AX353" s="272"/>
      <c r="AY353" s="272"/>
      <c r="AZ353" s="272"/>
      <c r="BA353" s="272"/>
    </row>
    <row r="354" spans="1:53" outlineLevel="1" x14ac:dyDescent="0.35">
      <c r="A354" s="6" t="s">
        <v>33</v>
      </c>
      <c r="Z354" s="6">
        <f t="shared" si="47"/>
        <v>5.372475015797618</v>
      </c>
      <c r="AB354" s="272"/>
      <c r="AC354" s="272"/>
      <c r="AD354" s="272"/>
      <c r="AE354" s="272"/>
      <c r="AF354" s="272"/>
      <c r="AG354" s="272"/>
      <c r="AH354" s="272"/>
      <c r="AI354" s="272"/>
      <c r="AJ354" s="272"/>
      <c r="AK354" s="272"/>
      <c r="AL354" s="272"/>
      <c r="AM354" s="272"/>
      <c r="AN354" s="272"/>
      <c r="AO354" s="272"/>
      <c r="AP354" s="272"/>
      <c r="AQ354" s="272"/>
      <c r="AR354" s="272"/>
      <c r="AS354" s="272"/>
      <c r="AT354" s="272"/>
      <c r="AU354" s="272"/>
      <c r="AV354" s="272"/>
      <c r="AW354" s="272"/>
      <c r="AX354" s="272"/>
      <c r="AY354" s="272"/>
      <c r="AZ354" s="272"/>
      <c r="BA354" s="272"/>
    </row>
    <row r="355" spans="1:53" outlineLevel="1" x14ac:dyDescent="0.35">
      <c r="A355" s="6" t="s">
        <v>35</v>
      </c>
      <c r="Z355" s="6">
        <f t="shared" si="47"/>
        <v>10.74495003159524</v>
      </c>
      <c r="AB355" s="272"/>
      <c r="AC355" s="272"/>
      <c r="AD355" s="272"/>
      <c r="AE355" s="272"/>
      <c r="AF355" s="272"/>
      <c r="AG355" s="272"/>
      <c r="AH355" s="272"/>
      <c r="AI355" s="272"/>
      <c r="AJ355" s="272"/>
      <c r="AK355" s="272"/>
      <c r="AL355" s="272"/>
      <c r="AM355" s="272"/>
      <c r="AN355" s="272"/>
      <c r="AO355" s="272"/>
      <c r="AP355" s="272"/>
      <c r="AQ355" s="272"/>
      <c r="AR355" s="272"/>
      <c r="AS355" s="272"/>
      <c r="AT355" s="272"/>
      <c r="AU355" s="272"/>
      <c r="AV355" s="272"/>
      <c r="AW355" s="272"/>
      <c r="AX355" s="272"/>
      <c r="AY355" s="272"/>
      <c r="AZ355" s="272"/>
      <c r="BA355" s="272"/>
    </row>
    <row r="356" spans="1:53" outlineLevel="1" x14ac:dyDescent="0.35">
      <c r="A356" s="6" t="s">
        <v>37</v>
      </c>
      <c r="Z356" s="6">
        <f t="shared" si="47"/>
        <v>9.4928621034112748</v>
      </c>
      <c r="AB356" s="272"/>
      <c r="AC356" s="272"/>
      <c r="AD356" s="272"/>
      <c r="AE356" s="272"/>
      <c r="AF356" s="272"/>
      <c r="AG356" s="272"/>
      <c r="AH356" s="272"/>
      <c r="AI356" s="272"/>
      <c r="AJ356" s="272"/>
      <c r="AK356" s="272"/>
      <c r="AL356" s="272"/>
      <c r="AM356" s="272"/>
      <c r="AN356" s="272"/>
      <c r="AO356" s="272"/>
      <c r="AP356" s="272"/>
      <c r="AQ356" s="272"/>
      <c r="AR356" s="272"/>
      <c r="AS356" s="272"/>
      <c r="AT356" s="272"/>
      <c r="AU356" s="272"/>
      <c r="AV356" s="272"/>
      <c r="AW356" s="272"/>
      <c r="AX356" s="272"/>
      <c r="AY356" s="272"/>
      <c r="AZ356" s="272"/>
      <c r="BA356" s="272"/>
    </row>
    <row r="357" spans="1:53" outlineLevel="1" x14ac:dyDescent="0.35">
      <c r="A357" s="6" t="s">
        <v>40</v>
      </c>
      <c r="Z357" s="6">
        <f t="shared" si="47"/>
        <v>209.81640473959629</v>
      </c>
    </row>
    <row r="358" spans="1:53" outlineLevel="1" x14ac:dyDescent="0.35">
      <c r="A358" s="6" t="s">
        <v>42</v>
      </c>
      <c r="Z358" s="6">
        <f t="shared" si="47"/>
        <v>14.503479976805369</v>
      </c>
    </row>
    <row r="359" spans="1:53" outlineLevel="1" x14ac:dyDescent="0.35">
      <c r="A359" s="6" t="s">
        <v>115</v>
      </c>
      <c r="Z359" s="6">
        <f t="shared" si="47"/>
        <v>150.26316956661981</v>
      </c>
    </row>
    <row r="360" spans="1:53" outlineLevel="1" x14ac:dyDescent="0.35">
      <c r="A360" s="6" t="s">
        <v>45</v>
      </c>
      <c r="Z360" s="6">
        <f>Z76*AC325</f>
        <v>9.9712830938678199</v>
      </c>
    </row>
    <row r="361" spans="1:53" outlineLevel="1" x14ac:dyDescent="0.35">
      <c r="A361" s="6" t="s">
        <v>116</v>
      </c>
      <c r="B361" s="6">
        <f>B77</f>
        <v>1002.2532345357261</v>
      </c>
      <c r="C361" s="6">
        <f t="shared" ref="C361:Z361" si="48">C77</f>
        <v>992.54241268132228</v>
      </c>
      <c r="D361" s="6">
        <f t="shared" si="48"/>
        <v>982.76907952971146</v>
      </c>
      <c r="E361" s="6">
        <f t="shared" si="48"/>
        <v>968.37815789759441</v>
      </c>
      <c r="F361" s="6">
        <f t="shared" si="48"/>
        <v>958.46475580946662</v>
      </c>
      <c r="G361" s="6">
        <f t="shared" si="48"/>
        <v>948.46600267142333</v>
      </c>
      <c r="H361" s="6">
        <f t="shared" si="48"/>
        <v>935.22469385907107</v>
      </c>
      <c r="I361" s="6">
        <f t="shared" si="48"/>
        <v>922.0081961481834</v>
      </c>
      <c r="J361" s="6">
        <f t="shared" si="48"/>
        <v>906.04641641951764</v>
      </c>
      <c r="K361" s="6">
        <f t="shared" si="48"/>
        <v>892.83003869097888</v>
      </c>
      <c r="L361" s="6">
        <f t="shared" si="48"/>
        <v>879.57125123777155</v>
      </c>
      <c r="M361" s="6">
        <f t="shared" si="48"/>
        <v>862.21096677589401</v>
      </c>
      <c r="N361" s="6">
        <f t="shared" si="48"/>
        <v>844.94159176113419</v>
      </c>
      <c r="O361" s="6">
        <f t="shared" si="48"/>
        <v>826.9847790614333</v>
      </c>
      <c r="P361" s="6">
        <f t="shared" si="48"/>
        <v>809.90918314563464</v>
      </c>
      <c r="Q361" s="6">
        <f t="shared" si="48"/>
        <v>792.9189308085422</v>
      </c>
      <c r="R361" s="6">
        <f t="shared" si="48"/>
        <v>780.71505395214228</v>
      </c>
      <c r="S361" s="6">
        <f t="shared" si="48"/>
        <v>768.58776830630893</v>
      </c>
      <c r="T361" s="6">
        <f t="shared" si="48"/>
        <v>755.92169116514378</v>
      </c>
      <c r="U361" s="6">
        <f t="shared" si="48"/>
        <v>743.9597511950426</v>
      </c>
      <c r="V361" s="6">
        <f t="shared" si="48"/>
        <v>732.07338633778875</v>
      </c>
      <c r="W361" s="6">
        <f t="shared" si="48"/>
        <v>729.74807912223457</v>
      </c>
      <c r="X361" s="6">
        <f t="shared" si="48"/>
        <v>727.41623510815828</v>
      </c>
      <c r="Y361" s="6">
        <f t="shared" si="48"/>
        <v>725.10197470826199</v>
      </c>
      <c r="Z361" s="6">
        <f t="shared" si="48"/>
        <v>722.80509911141849</v>
      </c>
    </row>
    <row r="362" spans="1:53" outlineLevel="1" x14ac:dyDescent="0.35">
      <c r="A362" s="6" t="s">
        <v>758</v>
      </c>
      <c r="B362" s="6">
        <f>B78*$AC$325</f>
        <v>1175.8570819721415</v>
      </c>
      <c r="C362" s="6">
        <f t="shared" ref="C362:Z363" si="49">C78*$AC$325</f>
        <v>1095.0836884170221</v>
      </c>
      <c r="D362" s="6">
        <f t="shared" si="49"/>
        <v>1014.6952036333475</v>
      </c>
      <c r="E362" s="6">
        <f t="shared" si="49"/>
        <v>933.39557883791497</v>
      </c>
      <c r="F362" s="6">
        <f t="shared" si="49"/>
        <v>853.75131164631148</v>
      </c>
      <c r="G362" s="6">
        <f t="shared" si="49"/>
        <v>774.46615372349243</v>
      </c>
      <c r="H362" s="6">
        <f t="shared" si="49"/>
        <v>710.44949211098447</v>
      </c>
      <c r="I362" s="6">
        <f t="shared" si="49"/>
        <v>646.66542869712396</v>
      </c>
      <c r="J362" s="6">
        <f t="shared" si="49"/>
        <v>582.05644386366396</v>
      </c>
      <c r="K362" s="6">
        <f t="shared" si="49"/>
        <v>518.58663265738755</v>
      </c>
      <c r="L362" s="6">
        <f t="shared" si="49"/>
        <v>455.2498156158195</v>
      </c>
      <c r="M362" s="6">
        <f t="shared" si="49"/>
        <v>404.3988621223333</v>
      </c>
      <c r="N362" s="6">
        <f t="shared" si="49"/>
        <v>353.37435262101695</v>
      </c>
      <c r="O362" s="6">
        <f t="shared" si="49"/>
        <v>301.96459533917744</v>
      </c>
      <c r="P362" s="6">
        <f t="shared" si="49"/>
        <v>250.59812905632833</v>
      </c>
      <c r="Q362" s="6">
        <f t="shared" si="49"/>
        <v>199.0629724363223</v>
      </c>
      <c r="R362" s="6">
        <f t="shared" si="49"/>
        <v>170.22170846184613</v>
      </c>
      <c r="S362" s="6">
        <f t="shared" si="49"/>
        <v>141.31054918583305</v>
      </c>
      <c r="T362" s="6">
        <f t="shared" si="49"/>
        <v>112.1528756953341</v>
      </c>
      <c r="U362" s="6">
        <f t="shared" si="49"/>
        <v>83.10925203013025</v>
      </c>
      <c r="V362" s="6">
        <f t="shared" si="49"/>
        <v>54.010782842374105</v>
      </c>
      <c r="W362" s="6">
        <f t="shared" si="49"/>
        <v>43.794140612430724</v>
      </c>
      <c r="X362" s="6">
        <f t="shared" si="49"/>
        <v>33.481459554403983</v>
      </c>
      <c r="Y362" s="6">
        <f t="shared" si="49"/>
        <v>23.166611532206225</v>
      </c>
      <c r="Z362" s="6">
        <f t="shared" si="49"/>
        <v>12.848766854404134</v>
      </c>
    </row>
    <row r="363" spans="1:53" outlineLevel="1" x14ac:dyDescent="0.35">
      <c r="A363" s="6" t="s">
        <v>759</v>
      </c>
      <c r="B363" s="6">
        <f>B79*$AC$325</f>
        <v>0</v>
      </c>
      <c r="C363" s="6">
        <f t="shared" si="49"/>
        <v>0</v>
      </c>
      <c r="D363" s="6">
        <f t="shared" si="49"/>
        <v>0</v>
      </c>
      <c r="E363" s="6">
        <f t="shared" si="49"/>
        <v>0</v>
      </c>
      <c r="F363" s="6">
        <f t="shared" si="49"/>
        <v>0</v>
      </c>
      <c r="G363" s="6">
        <f t="shared" si="49"/>
        <v>0</v>
      </c>
      <c r="H363" s="6">
        <f t="shared" si="49"/>
        <v>0</v>
      </c>
      <c r="I363" s="6">
        <f t="shared" si="49"/>
        <v>0</v>
      </c>
      <c r="J363" s="6">
        <f t="shared" si="49"/>
        <v>0</v>
      </c>
      <c r="K363" s="6">
        <f t="shared" si="49"/>
        <v>0</v>
      </c>
      <c r="L363" s="6">
        <f t="shared" si="49"/>
        <v>0</v>
      </c>
      <c r="M363" s="6">
        <f t="shared" si="49"/>
        <v>0</v>
      </c>
      <c r="N363" s="6">
        <f t="shared" si="49"/>
        <v>0</v>
      </c>
      <c r="O363" s="6">
        <f t="shared" si="49"/>
        <v>0</v>
      </c>
      <c r="P363" s="6">
        <f t="shared" si="49"/>
        <v>0</v>
      </c>
      <c r="Q363" s="6">
        <f t="shared" si="49"/>
        <v>0</v>
      </c>
      <c r="R363" s="6">
        <f t="shared" si="49"/>
        <v>0</v>
      </c>
      <c r="S363" s="6">
        <f t="shared" si="49"/>
        <v>0</v>
      </c>
      <c r="T363" s="6">
        <f t="shared" si="49"/>
        <v>0</v>
      </c>
      <c r="U363" s="6">
        <f t="shared" si="49"/>
        <v>0</v>
      </c>
      <c r="V363" s="6">
        <f t="shared" si="49"/>
        <v>0</v>
      </c>
      <c r="W363" s="6">
        <f t="shared" si="49"/>
        <v>0</v>
      </c>
      <c r="X363" s="6">
        <f t="shared" si="49"/>
        <v>0</v>
      </c>
      <c r="Y363" s="6">
        <f t="shared" si="49"/>
        <v>0</v>
      </c>
      <c r="Z363" s="6">
        <f t="shared" si="49"/>
        <v>0</v>
      </c>
    </row>
    <row r="364" spans="1:53" outlineLevel="1" x14ac:dyDescent="0.35">
      <c r="A364" s="6" t="s">
        <v>760</v>
      </c>
      <c r="B364" s="6">
        <f>$B$252*50*'Results - raw data ReCiPe (E)'!CC121/(1-0.5)*(1+'Results ReCiPe (E) - HHD'!$AC$271/'Results ReCiPe (E) - HHD'!$AC$272-'Results ReCiPe (E) - HHD'!$AC$271)</f>
        <v>2947.6048134142857</v>
      </c>
      <c r="C364" s="6">
        <f>$B$252*50*'Results - raw data ReCiPe (E)'!CD121/(1-0.5)*(1+'Results ReCiPe (E) - HHD'!$AC$271/'Results ReCiPe (E) - HHD'!$AC$272-'Results ReCiPe (E) - HHD'!$AC$271)</f>
        <v>2875.4433964913874</v>
      </c>
      <c r="D364" s="6">
        <f>$B$252*50*'Results - raw data ReCiPe (E)'!CE121/(1-0.5)*(1+'Results ReCiPe (E) - HHD'!$AC$271/'Results ReCiPe (E) - HHD'!$AC$272-'Results ReCiPe (E) - HHD'!$AC$271)</f>
        <v>2802.700215815657</v>
      </c>
      <c r="E364" s="6">
        <f>$B$252*50*'Results - raw data ReCiPe (E)'!CF121/(1-0.5)*(1+'Results ReCiPe (E) - HHD'!$AC$271/'Results ReCiPe (E) - HHD'!$AC$272-'Results ReCiPe (E) - HHD'!$AC$271)</f>
        <v>2707.0710983302165</v>
      </c>
      <c r="F364" s="6">
        <f>$B$252*50*'Results - raw data ReCiPe (E)'!CG121/(1-0.5)*(1+'Results ReCiPe (E) - HHD'!$AC$271/'Results ReCiPe (E) - HHD'!$AC$272-'Results ReCiPe (E) - HHD'!$AC$271)</f>
        <v>2633.4162460502762</v>
      </c>
      <c r="G364" s="6">
        <f>$B$252*50*'Results - raw data ReCiPe (E)'!CH121/(1-0.5)*(1+'Results ReCiPe (E) - HHD'!$AC$271/'Results ReCiPe (E) - HHD'!$AC$272-'Results ReCiPe (E) - HHD'!$AC$271)</f>
        <v>2559.2076926834297</v>
      </c>
      <c r="H364" s="6">
        <f>$B$252*50*'Results - raw data ReCiPe (E)'!CI121/(1-0.5)*(1+'Results ReCiPe (E) - HHD'!$AC$271/'Results ReCiPe (E) - HHD'!$AC$272-'Results ReCiPe (E) - HHD'!$AC$271)</f>
        <v>2493.3123381199803</v>
      </c>
      <c r="I364" s="6">
        <f>$B$252*50*'Results - raw data ReCiPe (E)'!CJ121/(1-0.5)*(1+'Results ReCiPe (E) - HHD'!$AC$271/'Results ReCiPe (E) - HHD'!$AC$272-'Results ReCiPe (E) - HHD'!$AC$271)</f>
        <v>2432.1319445093518</v>
      </c>
      <c r="J364" s="6">
        <f>$B$252*50*'Results - raw data ReCiPe (E)'!CK121/(1-0.5)*(1+'Results ReCiPe (E) - HHD'!$AC$271/'Results ReCiPe (E) - HHD'!$AC$272-'Results ReCiPe (E) - HHD'!$AC$271)</f>
        <v>2359.4989093427757</v>
      </c>
      <c r="K364" s="6">
        <f>$B$252*50*'Results - raw data ReCiPe (E)'!CL121/(1-0.5)*(1+'Results ReCiPe (E) - HHD'!$AC$271/'Results ReCiPe (E) - HHD'!$AC$272-'Results ReCiPe (E) - HHD'!$AC$271)</f>
        <v>2300.7230748106208</v>
      </c>
      <c r="L364" s="6">
        <f>$B$252*50*'Results - raw data ReCiPe (E)'!CM121/(1-0.5)*(1+'Results ReCiPe (E) - HHD'!$AC$271/'Results ReCiPe (E) - HHD'!$AC$272-'Results ReCiPe (E) - HHD'!$AC$271)</f>
        <v>2241.6865364109722</v>
      </c>
      <c r="M364" s="6">
        <f>$B$252*50*'Results - raw data ReCiPe (E)'!CN121/(1-0.5)*(1+'Results ReCiPe (E) - HHD'!$AC$271/'Results ReCiPe (E) - HHD'!$AC$272-'Results ReCiPe (E) - HHD'!$AC$271)</f>
        <v>2185.6657940770483</v>
      </c>
      <c r="N364" s="6">
        <f>$B$252*50*'Results - raw data ReCiPe (E)'!CO121/(1-0.5)*(1+'Results ReCiPe (E) - HHD'!$AC$271/'Results ReCiPe (E) - HHD'!$AC$272-'Results ReCiPe (E) - HHD'!$AC$271)</f>
        <v>2130.3490110859411</v>
      </c>
      <c r="O364" s="6">
        <f>$B$252*50*'Results - raw data ReCiPe (E)'!CP121/(1-0.5)*(1+'Results ReCiPe (E) - HHD'!$AC$271/'Results ReCiPe (E) - HHD'!$AC$272-'Results ReCiPe (E) - HHD'!$AC$271)</f>
        <v>2072.1680135798338</v>
      </c>
      <c r="P364" s="6">
        <f>$B$252*50*'Results - raw data ReCiPe (E)'!CQ121/(1-0.5)*(1+'Results ReCiPe (E) - HHD'!$AC$271/'Results ReCiPe (E) - HHD'!$AC$272-'Results ReCiPe (E) - HHD'!$AC$271)</f>
        <v>2018.359248315476</v>
      </c>
      <c r="Q364" s="6">
        <f>$B$252*50*'Results - raw data ReCiPe (E)'!CR121/(1-0.5)*(1+'Results ReCiPe (E) - HHD'!$AC$271/'Results ReCiPe (E) - HHD'!$AC$272-'Results ReCiPe (E) - HHD'!$AC$271)</f>
        <v>1965.3781997069775</v>
      </c>
      <c r="R364" s="6">
        <f>$B$252*50*'Results - raw data ReCiPe (E)'!CS121/(1-0.5)*(1+'Results ReCiPe (E) - HHD'!$AC$271/'Results ReCiPe (E) - HHD'!$AC$272-'Results ReCiPe (E) - HHD'!$AC$271)</f>
        <v>1927.7113542516063</v>
      </c>
      <c r="S364" s="6">
        <f>$B$252*50*'Results - raw data ReCiPe (E)'!CT121/(1-0.5)*(1+'Results ReCiPe (E) - HHD'!$AC$271/'Results ReCiPe (E) - HHD'!$AC$272-'Results ReCiPe (E) - HHD'!$AC$271)</f>
        <v>1890.9420189975326</v>
      </c>
      <c r="T364" s="6">
        <f>$B$252*50*'Results - raw data ReCiPe (E)'!CU121/(1-0.5)*(1+'Results ReCiPe (E) - HHD'!$AC$271/'Results ReCiPe (E) - HHD'!$AC$272-'Results ReCiPe (E) - HHD'!$AC$271)</f>
        <v>1852.1894811577463</v>
      </c>
      <c r="U364" s="6">
        <f>$B$252*50*'Results - raw data ReCiPe (E)'!CV121/(1-0.5)*(1+'Results ReCiPe (E) - HHD'!$AC$271/'Results ReCiPe (E) - HHD'!$AC$272-'Results ReCiPe (E) - HHD'!$AC$271)</f>
        <v>1817.6464687958078</v>
      </c>
      <c r="V364" s="6">
        <f>$B$252*50*'Results - raw data ReCiPe (E)'!CW121/(1-0.5)*(1+'Results ReCiPe (E) - HHD'!$AC$271/'Results ReCiPe (E) - HHD'!$AC$272-'Results ReCiPe (E) - HHD'!$AC$271)</f>
        <v>1784.9958411776861</v>
      </c>
      <c r="W364" s="6">
        <f>$B$252*50*'Results - raw data ReCiPe (E)'!CX121/(1-0.5)*(1+'Results ReCiPe (E) - HHD'!$AC$271/'Results ReCiPe (E) - HHD'!$AC$272-'Results ReCiPe (E) - HHD'!$AC$271)</f>
        <v>1775.3971663035254</v>
      </c>
      <c r="X364" s="6">
        <f>$B$252*50*'Results - raw data ReCiPe (E)'!CY121/(1-0.5)*(1+'Results ReCiPe (E) - HHD'!$AC$271/'Results ReCiPe (E) - HHD'!$AC$272-'Results ReCiPe (E) - HHD'!$AC$271)</f>
        <v>1765.5834265598617</v>
      </c>
      <c r="Y364" s="6">
        <f>$B$252*50*'Results - raw data ReCiPe (E)'!CZ121/(1-0.5)*(1+'Results ReCiPe (E) - HHD'!$AC$271/'Results ReCiPe (E) - HHD'!$AC$272-'Results ReCiPe (E) - HHD'!$AC$271)</f>
        <v>1755.8666965696184</v>
      </c>
      <c r="Z364" s="6">
        <f>$B$252*50*'Results - raw data ReCiPe (E)'!DA121/(1-0.5)*(1+'Results ReCiPe (E) - HHD'!$AC$271/'Results ReCiPe (E) - HHD'!$AC$272-'Results ReCiPe (E) - HHD'!$AC$271)</f>
        <v>1746.2532938235231</v>
      </c>
    </row>
    <row r="365" spans="1:53" outlineLevel="1" x14ac:dyDescent="0.35">
      <c r="A365" s="6" t="s">
        <v>797</v>
      </c>
      <c r="B365" s="6">
        <f>$B$320*$AC$324</f>
        <v>3639.7183811635346</v>
      </c>
      <c r="C365" s="6">
        <f t="shared" ref="C365:Z365" si="50">$B$320*$AC$324</f>
        <v>3639.7183811635346</v>
      </c>
      <c r="D365" s="6">
        <f t="shared" si="50"/>
        <v>3639.7183811635346</v>
      </c>
      <c r="E365" s="6">
        <f t="shared" si="50"/>
        <v>3639.7183811635346</v>
      </c>
      <c r="F365" s="6">
        <f t="shared" si="50"/>
        <v>3639.7183811635346</v>
      </c>
      <c r="G365" s="6">
        <f t="shared" si="50"/>
        <v>3639.7183811635346</v>
      </c>
      <c r="H365" s="6">
        <f t="shared" si="50"/>
        <v>3639.7183811635346</v>
      </c>
      <c r="I365" s="6">
        <f t="shared" si="50"/>
        <v>3639.7183811635346</v>
      </c>
      <c r="J365" s="6">
        <f t="shared" si="50"/>
        <v>3639.7183811635346</v>
      </c>
      <c r="K365" s="6">
        <f t="shared" si="50"/>
        <v>3639.7183811635346</v>
      </c>
      <c r="L365" s="6">
        <f t="shared" si="50"/>
        <v>3639.7183811635346</v>
      </c>
      <c r="M365" s="6">
        <f t="shared" si="50"/>
        <v>3639.7183811635346</v>
      </c>
      <c r="N365" s="6">
        <f t="shared" si="50"/>
        <v>3639.7183811635346</v>
      </c>
      <c r="O365" s="6">
        <f t="shared" si="50"/>
        <v>3639.7183811635346</v>
      </c>
      <c r="P365" s="6">
        <f t="shared" si="50"/>
        <v>3639.7183811635346</v>
      </c>
      <c r="Q365" s="6">
        <f t="shared" si="50"/>
        <v>3639.7183811635346</v>
      </c>
      <c r="R365" s="6">
        <f t="shared" si="50"/>
        <v>3639.7183811635346</v>
      </c>
      <c r="S365" s="6">
        <f t="shared" si="50"/>
        <v>3639.7183811635346</v>
      </c>
      <c r="T365" s="6">
        <f t="shared" si="50"/>
        <v>3639.7183811635346</v>
      </c>
      <c r="U365" s="6">
        <f t="shared" si="50"/>
        <v>3639.7183811635346</v>
      </c>
      <c r="V365" s="6">
        <f t="shared" si="50"/>
        <v>3639.7183811635346</v>
      </c>
      <c r="W365" s="6">
        <f t="shared" si="50"/>
        <v>3639.7183811635346</v>
      </c>
      <c r="X365" s="6">
        <f t="shared" si="50"/>
        <v>3639.7183811635346</v>
      </c>
      <c r="Y365" s="6">
        <f t="shared" si="50"/>
        <v>3639.7183811635346</v>
      </c>
      <c r="Z365" s="6">
        <f t="shared" si="50"/>
        <v>3639.7183811635346</v>
      </c>
    </row>
    <row r="366" spans="1:53" outlineLevel="1" x14ac:dyDescent="0.35">
      <c r="A366" s="23" t="s">
        <v>125</v>
      </c>
      <c r="B366" s="17">
        <f>SUM(B334:B364)</f>
        <v>31159.215143427158</v>
      </c>
      <c r="C366" s="17">
        <f t="shared" ref="C366:Z366" si="51">SUM(C334:C364)</f>
        <v>4963.0694975897313</v>
      </c>
      <c r="D366" s="17">
        <f t="shared" si="51"/>
        <v>4800.1644989787164</v>
      </c>
      <c r="E366" s="17">
        <f t="shared" si="51"/>
        <v>4608.8448350657254</v>
      </c>
      <c r="F366" s="17">
        <f t="shared" si="51"/>
        <v>4445.6323135060538</v>
      </c>
      <c r="G366" s="17">
        <f t="shared" si="51"/>
        <v>4282.1398490783449</v>
      </c>
      <c r="H366" s="17">
        <f t="shared" si="51"/>
        <v>4138.9865240900363</v>
      </c>
      <c r="I366" s="17">
        <f t="shared" si="51"/>
        <v>4000.8055693546594</v>
      </c>
      <c r="J366" s="17">
        <f t="shared" si="51"/>
        <v>3847.6017696259573</v>
      </c>
      <c r="K366" s="17">
        <f t="shared" si="51"/>
        <v>3712.1397461589872</v>
      </c>
      <c r="L366" s="17">
        <f t="shared" si="51"/>
        <v>3576.5076032645629</v>
      </c>
      <c r="M366" s="17">
        <f t="shared" si="51"/>
        <v>3452.2756229752758</v>
      </c>
      <c r="N366" s="17">
        <f t="shared" si="51"/>
        <v>3328.6649554680926</v>
      </c>
      <c r="O366" s="17">
        <f t="shared" si="51"/>
        <v>3201.1173879804446</v>
      </c>
      <c r="P366" s="17">
        <f t="shared" si="51"/>
        <v>3078.8665605174392</v>
      </c>
      <c r="Q366" s="17">
        <f t="shared" si="51"/>
        <v>2957.3601029518422</v>
      </c>
      <c r="R366" s="17">
        <f t="shared" si="51"/>
        <v>2878.6481166655949</v>
      </c>
      <c r="S366" s="17">
        <f t="shared" si="51"/>
        <v>2800.8403364896749</v>
      </c>
      <c r="T366" s="17">
        <f t="shared" si="51"/>
        <v>2720.2640480182245</v>
      </c>
      <c r="U366" s="17">
        <f t="shared" si="51"/>
        <v>2644.7154720209805</v>
      </c>
      <c r="V366" s="17">
        <f t="shared" si="51"/>
        <v>2571.080010357849</v>
      </c>
      <c r="W366" s="17">
        <f t="shared" si="51"/>
        <v>2548.9393860381906</v>
      </c>
      <c r="X366" s="17">
        <f t="shared" si="51"/>
        <v>2526.481121222424</v>
      </c>
      <c r="Y366" s="17">
        <f t="shared" si="51"/>
        <v>2504.1352828100867</v>
      </c>
      <c r="Z366" s="17">
        <f t="shared" si="51"/>
        <v>2963.7981022910526</v>
      </c>
    </row>
    <row r="367" spans="1:53" outlineLevel="1" x14ac:dyDescent="0.35"/>
    <row r="368" spans="1:53" s="18" customFormat="1" ht="21" x14ac:dyDescent="0.5">
      <c r="A368" s="18" t="s">
        <v>94</v>
      </c>
    </row>
    <row r="369" spans="1:31" s="20" customFormat="1" outlineLevel="1" x14ac:dyDescent="0.35">
      <c r="A369" s="19" t="s">
        <v>788</v>
      </c>
    </row>
    <row r="370" spans="1:31" s="20" customFormat="1" outlineLevel="1" x14ac:dyDescent="0.35">
      <c r="A370" s="273" t="s">
        <v>775</v>
      </c>
      <c r="B370" s="20">
        <v>1</v>
      </c>
      <c r="C370" s="274" t="s">
        <v>787</v>
      </c>
    </row>
    <row r="371" spans="1:31" s="20" customFormat="1" outlineLevel="1" x14ac:dyDescent="0.35">
      <c r="A371" s="273" t="s">
        <v>781</v>
      </c>
      <c r="B371" s="20">
        <v>100000</v>
      </c>
      <c r="C371" s="20" t="s">
        <v>782</v>
      </c>
      <c r="E371" s="274"/>
    </row>
    <row r="372" spans="1:31" s="20" customFormat="1" outlineLevel="1" x14ac:dyDescent="0.35">
      <c r="A372" s="273" t="s">
        <v>783</v>
      </c>
      <c r="B372" s="20">
        <v>1500</v>
      </c>
      <c r="C372" s="20" t="s">
        <v>592</v>
      </c>
    </row>
    <row r="373" spans="1:31" s="20" customFormat="1" outlineLevel="1" x14ac:dyDescent="0.35">
      <c r="A373" s="273" t="s">
        <v>784</v>
      </c>
      <c r="B373" s="20">
        <v>8760</v>
      </c>
      <c r="C373" s="20" t="s">
        <v>785</v>
      </c>
    </row>
    <row r="374" spans="1:31" s="20" customFormat="1" outlineLevel="1" x14ac:dyDescent="0.35">
      <c r="A374" s="273"/>
    </row>
    <row r="375" spans="1:31" s="20" customFormat="1" outlineLevel="1" x14ac:dyDescent="0.35">
      <c r="A375" s="275" t="s">
        <v>786</v>
      </c>
      <c r="B375" s="275">
        <f>(B371*B372)/(B373*B370)</f>
        <v>17123.287671232876</v>
      </c>
      <c r="C375" s="275" t="s">
        <v>749</v>
      </c>
    </row>
    <row r="376" spans="1:31" s="20" customFormat="1" outlineLevel="1" x14ac:dyDescent="0.35">
      <c r="A376" s="19"/>
    </row>
    <row r="377" spans="1:31" s="20" customFormat="1" outlineLevel="1" x14ac:dyDescent="0.35">
      <c r="A377" s="19" t="s">
        <v>793</v>
      </c>
    </row>
    <row r="378" spans="1:31" s="20" customFormat="1" outlineLevel="1" x14ac:dyDescent="0.35">
      <c r="A378" s="273" t="s">
        <v>789</v>
      </c>
      <c r="B378" s="20">
        <v>68</v>
      </c>
      <c r="C378" s="20" t="s">
        <v>873</v>
      </c>
      <c r="D378" s="20">
        <f>SUM('Results - raw data ReCiPe (E)'!CC156:CC157)+'Results - raw data ReCiPe (E)'!CC160+SUM('Results - raw data ReCiPe (E)'!CC158:CC159)*AC387</f>
        <v>468.06485513571113</v>
      </c>
    </row>
    <row r="379" spans="1:31" s="20" customFormat="1" outlineLevel="1" x14ac:dyDescent="0.35">
      <c r="A379" s="20" t="s">
        <v>792</v>
      </c>
      <c r="B379" s="20">
        <f>B371*AC385</f>
        <v>50000</v>
      </c>
      <c r="C379" s="274" t="s">
        <v>795</v>
      </c>
    </row>
    <row r="380" spans="1:31" s="20" customFormat="1" outlineLevel="1" x14ac:dyDescent="0.35">
      <c r="A380" s="20" t="s">
        <v>791</v>
      </c>
      <c r="B380" s="20">
        <f>(B378*AC387*B375)/(B379*AC386)*(AC386/AC388)</f>
        <v>6.9863013698630141</v>
      </c>
      <c r="C380" s="20" t="s">
        <v>874</v>
      </c>
      <c r="E380" s="274" t="s">
        <v>796</v>
      </c>
    </row>
    <row r="381" spans="1:31" s="20" customFormat="1" outlineLevel="1" x14ac:dyDescent="0.35">
      <c r="A381" s="19"/>
    </row>
    <row r="382" spans="1:31" s="16" customFormat="1" outlineLevel="1" x14ac:dyDescent="0.35">
      <c r="A382" s="21"/>
      <c r="AB382" s="16" t="s">
        <v>801</v>
      </c>
      <c r="AC382" s="16">
        <v>1</v>
      </c>
      <c r="AD382" s="16" t="s">
        <v>146</v>
      </c>
      <c r="AE382" s="15" t="s">
        <v>714</v>
      </c>
    </row>
    <row r="383" spans="1:31" s="16" customFormat="1" outlineLevel="1" x14ac:dyDescent="0.35">
      <c r="A383" s="22" t="s">
        <v>566</v>
      </c>
      <c r="AC383" s="16">
        <f>AC382*1000</f>
        <v>1000</v>
      </c>
      <c r="AD383" s="16" t="s">
        <v>144</v>
      </c>
    </row>
    <row r="384" spans="1:31" s="16" customFormat="1" outlineLevel="1" x14ac:dyDescent="0.35">
      <c r="A384" s="22"/>
      <c r="AB384" s="16" t="s">
        <v>127</v>
      </c>
      <c r="AC384" s="16">
        <f>100*AC385</f>
        <v>50</v>
      </c>
      <c r="AD384" s="16" t="s">
        <v>128</v>
      </c>
    </row>
    <row r="385" spans="1:53" s="16" customFormat="1" outlineLevel="1" x14ac:dyDescent="0.35">
      <c r="A385" s="230"/>
      <c r="AB385" s="16" t="s">
        <v>776</v>
      </c>
      <c r="AC385" s="16">
        <v>0.5</v>
      </c>
    </row>
    <row r="386" spans="1:53" s="16" customFormat="1" outlineLevel="1" x14ac:dyDescent="0.35">
      <c r="A386" s="21"/>
      <c r="AB386" s="16" t="s">
        <v>129</v>
      </c>
      <c r="AC386" s="16">
        <v>25</v>
      </c>
      <c r="AD386" s="16" t="s">
        <v>130</v>
      </c>
    </row>
    <row r="387" spans="1:53" s="16" customFormat="1" outlineLevel="1" x14ac:dyDescent="0.35">
      <c r="A387" s="21"/>
      <c r="AB387" s="16" t="s">
        <v>777</v>
      </c>
      <c r="AC387" s="16">
        <v>6</v>
      </c>
      <c r="AD387" s="16" t="s">
        <v>779</v>
      </c>
    </row>
    <row r="388" spans="1:53" s="16" customFormat="1" outlineLevel="1" x14ac:dyDescent="0.35">
      <c r="A388" s="21"/>
      <c r="AB388" s="16" t="s">
        <v>778</v>
      </c>
      <c r="AC388" s="16">
        <v>20</v>
      </c>
      <c r="AD388" s="16" t="s">
        <v>130</v>
      </c>
    </row>
    <row r="389" spans="1:53" s="16" customFormat="1" outlineLevel="1" x14ac:dyDescent="0.35">
      <c r="AB389" s="16" t="s">
        <v>780</v>
      </c>
      <c r="AC389" s="16">
        <f>B375</f>
        <v>17123.287671232876</v>
      </c>
      <c r="AD389" s="16" t="s">
        <v>749</v>
      </c>
    </row>
    <row r="390" spans="1:53" s="16" customFormat="1" outlineLevel="1" x14ac:dyDescent="0.35"/>
    <row r="391" spans="1:53" s="16" customFormat="1" outlineLevel="1" x14ac:dyDescent="0.35">
      <c r="AB391" s="16" t="s">
        <v>798</v>
      </c>
      <c r="AC391" s="16">
        <v>0.25</v>
      </c>
    </row>
    <row r="392" spans="1:53" s="16" customFormat="1" outlineLevel="1" x14ac:dyDescent="0.35">
      <c r="A392" s="22"/>
      <c r="AB392" s="16" t="s">
        <v>799</v>
      </c>
      <c r="AC392" s="16">
        <v>0.9</v>
      </c>
    </row>
    <row r="393" spans="1:53" s="16" customFormat="1" outlineLevel="1" x14ac:dyDescent="0.35">
      <c r="A393" s="22"/>
    </row>
    <row r="394" spans="1:53" outlineLevel="1" x14ac:dyDescent="0.35">
      <c r="B394" s="25">
        <v>2030</v>
      </c>
      <c r="C394" s="25">
        <v>2031</v>
      </c>
      <c r="D394" s="25">
        <v>2032</v>
      </c>
      <c r="E394" s="25">
        <v>2033</v>
      </c>
      <c r="F394" s="25">
        <v>2034</v>
      </c>
      <c r="G394" s="25">
        <v>2035</v>
      </c>
      <c r="H394" s="25">
        <v>2036</v>
      </c>
      <c r="I394" s="25">
        <v>2037</v>
      </c>
      <c r="J394" s="25">
        <v>2038</v>
      </c>
      <c r="K394" s="25">
        <v>2039</v>
      </c>
      <c r="L394" s="25">
        <v>2040</v>
      </c>
      <c r="M394" s="25">
        <v>2041</v>
      </c>
      <c r="N394" s="25">
        <v>2042</v>
      </c>
      <c r="O394" s="25">
        <v>2043</v>
      </c>
      <c r="P394" s="25">
        <v>2044</v>
      </c>
      <c r="Q394" s="25">
        <v>2045</v>
      </c>
      <c r="R394" s="25">
        <v>2046</v>
      </c>
      <c r="S394" s="25">
        <v>2047</v>
      </c>
      <c r="T394" s="25">
        <v>2048</v>
      </c>
      <c r="U394" s="25">
        <v>2049</v>
      </c>
      <c r="V394" s="25">
        <v>2050</v>
      </c>
      <c r="W394" s="25">
        <v>2051</v>
      </c>
      <c r="X394" s="25">
        <v>2052</v>
      </c>
      <c r="Y394" s="25">
        <v>2053</v>
      </c>
      <c r="Z394" s="25">
        <v>2054</v>
      </c>
      <c r="AC394" s="25">
        <v>2030</v>
      </c>
      <c r="AD394" s="25">
        <v>2031</v>
      </c>
      <c r="AE394" s="25">
        <v>2032</v>
      </c>
      <c r="AF394" s="25">
        <v>2033</v>
      </c>
      <c r="AG394" s="25">
        <v>2034</v>
      </c>
      <c r="AH394" s="25">
        <v>2035</v>
      </c>
      <c r="AI394" s="25">
        <v>2036</v>
      </c>
      <c r="AJ394" s="25">
        <v>2037</v>
      </c>
      <c r="AK394" s="25">
        <v>2038</v>
      </c>
      <c r="AL394" s="25">
        <v>2039</v>
      </c>
      <c r="AM394" s="25">
        <v>2040</v>
      </c>
      <c r="AN394" s="25">
        <v>2041</v>
      </c>
      <c r="AO394" s="25">
        <v>2042</v>
      </c>
      <c r="AP394" s="25">
        <v>2043</v>
      </c>
      <c r="AQ394" s="25">
        <v>2044</v>
      </c>
      <c r="AR394" s="25">
        <v>2045</v>
      </c>
      <c r="AS394" s="25">
        <v>2046</v>
      </c>
      <c r="AT394" s="25">
        <v>2047</v>
      </c>
      <c r="AU394" s="25">
        <v>2048</v>
      </c>
      <c r="AV394" s="25">
        <v>2049</v>
      </c>
      <c r="AW394" s="25">
        <v>2050</v>
      </c>
      <c r="AX394" s="25">
        <v>2051</v>
      </c>
      <c r="AY394" s="25">
        <v>2052</v>
      </c>
      <c r="AZ394" s="25">
        <v>2053</v>
      </c>
      <c r="BA394" s="25">
        <v>2054</v>
      </c>
    </row>
    <row r="395" spans="1:53" outlineLevel="1" x14ac:dyDescent="0.35">
      <c r="A395" s="6" t="s">
        <v>21</v>
      </c>
      <c r="B395" s="6">
        <f>B90</f>
        <v>456.66549758974878</v>
      </c>
      <c r="AB395" s="6" t="s">
        <v>117</v>
      </c>
      <c r="AC395" s="6">
        <f>SUM(B395:B406)+B408</f>
        <v>17991.627580934706</v>
      </c>
    </row>
    <row r="396" spans="1:53" outlineLevel="1" x14ac:dyDescent="0.35">
      <c r="A396" s="6" t="s">
        <v>23</v>
      </c>
      <c r="B396" s="6">
        <f t="shared" ref="B396:B406" si="52">B91</f>
        <v>610.73079541271613</v>
      </c>
      <c r="AB396" s="6" t="s">
        <v>118</v>
      </c>
      <c r="AC396" s="6">
        <f>B407</f>
        <v>903.49860297999123</v>
      </c>
    </row>
    <row r="397" spans="1:53" outlineLevel="1" x14ac:dyDescent="0.35">
      <c r="A397" s="6" t="s">
        <v>26</v>
      </c>
      <c r="B397" s="6">
        <f t="shared" si="52"/>
        <v>2011.039070131885</v>
      </c>
      <c r="AB397" s="6" t="s">
        <v>119</v>
      </c>
      <c r="BA397" s="6">
        <f>SUM(Z409:Z420)</f>
        <v>401.67894942234688</v>
      </c>
    </row>
    <row r="398" spans="1:53" outlineLevel="1" x14ac:dyDescent="0.35">
      <c r="A398" s="6" t="s">
        <v>28</v>
      </c>
      <c r="B398" s="6">
        <f t="shared" si="52"/>
        <v>1809.4907882550019</v>
      </c>
      <c r="AB398" s="6" t="s">
        <v>120</v>
      </c>
      <c r="BA398" s="6">
        <f>Z421</f>
        <v>9.3672741548579719</v>
      </c>
    </row>
    <row r="399" spans="1:53" outlineLevel="1" x14ac:dyDescent="0.35">
      <c r="A399" s="6" t="s">
        <v>29</v>
      </c>
      <c r="B399" s="6">
        <f t="shared" si="52"/>
        <v>1003.521703680859</v>
      </c>
      <c r="AB399" s="6" t="s">
        <v>121</v>
      </c>
      <c r="AC399" s="6">
        <f>B422</f>
        <v>836.15304835919005</v>
      </c>
      <c r="AF399" s="6">
        <f>E422</f>
        <v>776.29424088243638</v>
      </c>
      <c r="AI399" s="6">
        <f>H422</f>
        <v>732.22544703005042</v>
      </c>
      <c r="AL399" s="6">
        <f>K422</f>
        <v>713.55013307811748</v>
      </c>
      <c r="AO399" s="6">
        <f>N422</f>
        <v>704.9299374269367</v>
      </c>
      <c r="AR399" s="6">
        <f>Q422</f>
        <v>699.39372002031462</v>
      </c>
      <c r="AU399" s="6">
        <f>T422</f>
        <v>693.68200539906138</v>
      </c>
      <c r="AX399" s="6">
        <f>W422</f>
        <v>688.82780991828383</v>
      </c>
      <c r="BA399" s="6">
        <f>Z422</f>
        <v>684.38892527547046</v>
      </c>
    </row>
    <row r="400" spans="1:53" outlineLevel="1" x14ac:dyDescent="0.35">
      <c r="A400" s="6" t="s">
        <v>31</v>
      </c>
      <c r="B400" s="6">
        <f t="shared" si="52"/>
        <v>818.35442339690667</v>
      </c>
      <c r="AB400" s="6" t="s">
        <v>797</v>
      </c>
      <c r="AC400" s="6">
        <f>B426</f>
        <v>349.3150684931507</v>
      </c>
      <c r="AD400" s="6">
        <f t="shared" ref="AD400:BA400" si="53">C426</f>
        <v>349.3150684931507</v>
      </c>
      <c r="AE400" s="6">
        <f t="shared" si="53"/>
        <v>349.3150684931507</v>
      </c>
      <c r="AF400" s="6">
        <f t="shared" si="53"/>
        <v>349.3150684931507</v>
      </c>
      <c r="AG400" s="6">
        <f t="shared" si="53"/>
        <v>349.3150684931507</v>
      </c>
      <c r="AH400" s="6">
        <f t="shared" si="53"/>
        <v>349.3150684931507</v>
      </c>
      <c r="AI400" s="6">
        <f t="shared" si="53"/>
        <v>349.3150684931507</v>
      </c>
      <c r="AJ400" s="6">
        <f t="shared" si="53"/>
        <v>349.3150684931507</v>
      </c>
      <c r="AK400" s="6">
        <f t="shared" si="53"/>
        <v>349.3150684931507</v>
      </c>
      <c r="AL400" s="6">
        <f t="shared" si="53"/>
        <v>349.3150684931507</v>
      </c>
      <c r="AM400" s="6">
        <f t="shared" si="53"/>
        <v>349.3150684931507</v>
      </c>
      <c r="AN400" s="6">
        <f t="shared" si="53"/>
        <v>349.3150684931507</v>
      </c>
      <c r="AO400" s="6">
        <f t="shared" si="53"/>
        <v>349.3150684931507</v>
      </c>
      <c r="AP400" s="6">
        <f t="shared" si="53"/>
        <v>349.3150684931507</v>
      </c>
      <c r="AQ400" s="6">
        <f t="shared" si="53"/>
        <v>349.3150684931507</v>
      </c>
      <c r="AR400" s="6">
        <f t="shared" si="53"/>
        <v>349.3150684931507</v>
      </c>
      <c r="AS400" s="6">
        <f t="shared" si="53"/>
        <v>349.3150684931507</v>
      </c>
      <c r="AT400" s="6">
        <f t="shared" si="53"/>
        <v>349.3150684931507</v>
      </c>
      <c r="AU400" s="6">
        <f t="shared" si="53"/>
        <v>349.3150684931507</v>
      </c>
      <c r="AV400" s="6">
        <f t="shared" si="53"/>
        <v>349.3150684931507</v>
      </c>
      <c r="AW400" s="6">
        <f t="shared" si="53"/>
        <v>349.3150684931507</v>
      </c>
      <c r="AX400" s="6">
        <f t="shared" si="53"/>
        <v>349.3150684931507</v>
      </c>
      <c r="AY400" s="6">
        <f t="shared" si="53"/>
        <v>349.3150684931507</v>
      </c>
      <c r="AZ400" s="6">
        <f t="shared" si="53"/>
        <v>349.3150684931507</v>
      </c>
      <c r="BA400" s="6">
        <f t="shared" si="53"/>
        <v>349.3150684931507</v>
      </c>
    </row>
    <row r="401" spans="1:53" outlineLevel="1" x14ac:dyDescent="0.35">
      <c r="A401" s="6" t="s">
        <v>34</v>
      </c>
      <c r="B401" s="6">
        <f t="shared" si="52"/>
        <v>477.29942450815997</v>
      </c>
      <c r="AB401" s="6" t="s">
        <v>122</v>
      </c>
      <c r="AC401" s="6">
        <f t="shared" ref="AC401:BA401" si="54">B425+B424</f>
        <v>2347.6229371844638</v>
      </c>
      <c r="AD401" s="6">
        <f t="shared" si="54"/>
        <v>2243.8341691745372</v>
      </c>
      <c r="AE401" s="6">
        <f t="shared" si="54"/>
        <v>2139.8789929477448</v>
      </c>
      <c r="AF401" s="6">
        <f t="shared" si="54"/>
        <v>2014.7738293817249</v>
      </c>
      <c r="AG401" s="6">
        <f t="shared" si="54"/>
        <v>1909.0577899078921</v>
      </c>
      <c r="AH401" s="6">
        <f t="shared" si="54"/>
        <v>1802.8819044374482</v>
      </c>
      <c r="AI401" s="6">
        <f t="shared" si="54"/>
        <v>1762.6450073294559</v>
      </c>
      <c r="AJ401" s="6">
        <f t="shared" si="54"/>
        <v>1722.8579579709822</v>
      </c>
      <c r="AK401" s="6">
        <f t="shared" si="54"/>
        <v>1672.1189939557141</v>
      </c>
      <c r="AL401" s="6">
        <f t="shared" si="54"/>
        <v>1633.4022366238937</v>
      </c>
      <c r="AM401" s="6">
        <f t="shared" si="54"/>
        <v>1595.2396141236154</v>
      </c>
      <c r="AN401" s="6">
        <f t="shared" si="54"/>
        <v>1576.2571982240559</v>
      </c>
      <c r="AO401" s="6">
        <f t="shared" si="54"/>
        <v>1557.7124486079831</v>
      </c>
      <c r="AP401" s="6">
        <f t="shared" si="54"/>
        <v>1536.5381453573559</v>
      </c>
      <c r="AQ401" s="6">
        <f t="shared" si="54"/>
        <v>1518.5446658705653</v>
      </c>
      <c r="AR401" s="6">
        <f t="shared" si="54"/>
        <v>1500.7018621344994</v>
      </c>
      <c r="AS401" s="6">
        <f t="shared" si="54"/>
        <v>1486.6680988187413</v>
      </c>
      <c r="AT401" s="6">
        <f t="shared" si="54"/>
        <v>1472.9247190246597</v>
      </c>
      <c r="AU401" s="6">
        <f t="shared" si="54"/>
        <v>1457.3826846455781</v>
      </c>
      <c r="AV401" s="6">
        <f t="shared" si="54"/>
        <v>1444.1670300351816</v>
      </c>
      <c r="AW401" s="6">
        <f t="shared" si="54"/>
        <v>1430.953012380395</v>
      </c>
      <c r="AX401" s="6">
        <f t="shared" si="54"/>
        <v>1423.3725452530432</v>
      </c>
      <c r="AY401" s="6">
        <f t="shared" si="54"/>
        <v>1415.6640246309221</v>
      </c>
      <c r="AZ401" s="6">
        <f t="shared" si="54"/>
        <v>1408.06415420645</v>
      </c>
      <c r="BA401" s="6">
        <f t="shared" si="54"/>
        <v>1400.5713066596938</v>
      </c>
    </row>
    <row r="402" spans="1:53" outlineLevel="1" x14ac:dyDescent="0.35">
      <c r="A402" s="6" t="s">
        <v>36</v>
      </c>
      <c r="B402" s="6">
        <f t="shared" si="52"/>
        <v>375.52857512831969</v>
      </c>
      <c r="AB402" s="6" t="s">
        <v>123</v>
      </c>
      <c r="AC402" s="6">
        <f t="shared" ref="AC402:BA402" si="55">B423</f>
        <v>532.08938693613152</v>
      </c>
      <c r="AD402" s="6">
        <f t="shared" si="55"/>
        <v>443.85075030331836</v>
      </c>
      <c r="AE402" s="6">
        <f t="shared" si="55"/>
        <v>356.14144709558786</v>
      </c>
      <c r="AF402" s="6">
        <f t="shared" si="55"/>
        <v>267.5723830803438</v>
      </c>
      <c r="AG402" s="6">
        <f t="shared" si="55"/>
        <v>180.80552165977335</v>
      </c>
      <c r="AH402" s="6">
        <f t="shared" si="55"/>
        <v>94.504503960975811</v>
      </c>
      <c r="AI402" s="6">
        <f t="shared" si="55"/>
        <v>67.911041033505555</v>
      </c>
      <c r="AJ402" s="6">
        <f t="shared" si="55"/>
        <v>41.322654073257489</v>
      </c>
      <c r="AK402" s="6">
        <f t="shared" si="55"/>
        <v>13.589399953696704</v>
      </c>
      <c r="AL402" s="6">
        <f t="shared" si="55"/>
        <v>-13.0194342576086</v>
      </c>
      <c r="AM402" s="6">
        <f t="shared" si="55"/>
        <v>-39.625733879129662</v>
      </c>
      <c r="AN402" s="6">
        <f t="shared" si="55"/>
        <v>-56.102314533318399</v>
      </c>
      <c r="AO402" s="6">
        <f t="shared" si="55"/>
        <v>-72.558984566528594</v>
      </c>
      <c r="AP402" s="6">
        <f t="shared" si="55"/>
        <v>-89.211919215675351</v>
      </c>
      <c r="AQ402" s="6">
        <f t="shared" si="55"/>
        <v>-105.62646747777475</v>
      </c>
      <c r="AR402" s="6">
        <f t="shared" si="55"/>
        <v>-122.02718586536454</v>
      </c>
      <c r="AS402" s="6">
        <f t="shared" si="55"/>
        <v>-143.09202595055086</v>
      </c>
      <c r="AT402" s="6">
        <f t="shared" si="55"/>
        <v>-164.1801736564002</v>
      </c>
      <c r="AU402" s="6">
        <f t="shared" si="55"/>
        <v>-185.43536284784031</v>
      </c>
      <c r="AV402" s="6">
        <f t="shared" si="55"/>
        <v>-206.55795838299449</v>
      </c>
      <c r="AW402" s="6">
        <f t="shared" si="55"/>
        <v>-227.70184558391753</v>
      </c>
      <c r="AX402" s="6">
        <f t="shared" si="55"/>
        <v>-247.41223256225203</v>
      </c>
      <c r="AY402" s="6">
        <f t="shared" si="55"/>
        <v>-267.17082327792787</v>
      </c>
      <c r="AZ402" s="6">
        <f t="shared" si="55"/>
        <v>-286.92351961563298</v>
      </c>
      <c r="BA402" s="6">
        <f t="shared" si="55"/>
        <v>-306.67098890504542</v>
      </c>
    </row>
    <row r="403" spans="1:53" outlineLevel="1" x14ac:dyDescent="0.35">
      <c r="A403" s="6" t="s">
        <v>38</v>
      </c>
      <c r="B403" s="6">
        <f t="shared" si="52"/>
        <v>4033.598008635367</v>
      </c>
      <c r="AB403" s="6" t="s">
        <v>124</v>
      </c>
      <c r="AC403" s="6">
        <f>-$AC$384*$AC$383</f>
        <v>-50000</v>
      </c>
      <c r="AD403" s="6">
        <f t="shared" ref="AD403:BA403" si="56">-$AC$384*$AC$383</f>
        <v>-50000</v>
      </c>
      <c r="AE403" s="6">
        <f t="shared" si="56"/>
        <v>-50000</v>
      </c>
      <c r="AF403" s="6">
        <f t="shared" si="56"/>
        <v>-50000</v>
      </c>
      <c r="AG403" s="6">
        <f t="shared" si="56"/>
        <v>-50000</v>
      </c>
      <c r="AH403" s="6">
        <f t="shared" si="56"/>
        <v>-50000</v>
      </c>
      <c r="AI403" s="6">
        <f t="shared" si="56"/>
        <v>-50000</v>
      </c>
      <c r="AJ403" s="6">
        <f t="shared" si="56"/>
        <v>-50000</v>
      </c>
      <c r="AK403" s="6">
        <f t="shared" si="56"/>
        <v>-50000</v>
      </c>
      <c r="AL403" s="6">
        <f t="shared" si="56"/>
        <v>-50000</v>
      </c>
      <c r="AM403" s="6">
        <f t="shared" si="56"/>
        <v>-50000</v>
      </c>
      <c r="AN403" s="6">
        <f t="shared" si="56"/>
        <v>-50000</v>
      </c>
      <c r="AO403" s="6">
        <f t="shared" si="56"/>
        <v>-50000</v>
      </c>
      <c r="AP403" s="6">
        <f t="shared" si="56"/>
        <v>-50000</v>
      </c>
      <c r="AQ403" s="6">
        <f t="shared" si="56"/>
        <v>-50000</v>
      </c>
      <c r="AR403" s="6">
        <f t="shared" si="56"/>
        <v>-50000</v>
      </c>
      <c r="AS403" s="6">
        <f t="shared" si="56"/>
        <v>-50000</v>
      </c>
      <c r="AT403" s="6">
        <f t="shared" si="56"/>
        <v>-50000</v>
      </c>
      <c r="AU403" s="6">
        <f t="shared" si="56"/>
        <v>-50000</v>
      </c>
      <c r="AV403" s="6">
        <f t="shared" si="56"/>
        <v>-50000</v>
      </c>
      <c r="AW403" s="6">
        <f t="shared" si="56"/>
        <v>-50000</v>
      </c>
      <c r="AX403" s="6">
        <f t="shared" si="56"/>
        <v>-50000</v>
      </c>
      <c r="AY403" s="6">
        <f t="shared" si="56"/>
        <v>-50000</v>
      </c>
      <c r="AZ403" s="6">
        <f t="shared" si="56"/>
        <v>-50000</v>
      </c>
      <c r="BA403" s="6">
        <f t="shared" si="56"/>
        <v>-50000</v>
      </c>
    </row>
    <row r="404" spans="1:53" outlineLevel="1" x14ac:dyDescent="0.35">
      <c r="A404" s="6" t="s">
        <v>39</v>
      </c>
      <c r="B404" s="6">
        <f t="shared" si="52"/>
        <v>5135.8538998225358</v>
      </c>
      <c r="AB404" s="23" t="s">
        <v>125</v>
      </c>
      <c r="AC404" s="17">
        <f t="shared" ref="AC404:BA404" si="57">SUM(AC395:AC403)</f>
        <v>-27039.693375112369</v>
      </c>
      <c r="AD404" s="17">
        <f t="shared" si="57"/>
        <v>-46963.000012028991</v>
      </c>
      <c r="AE404" s="17">
        <f t="shared" si="57"/>
        <v>-47154.664491463518</v>
      </c>
      <c r="AF404" s="17">
        <f t="shared" si="57"/>
        <v>-46592.044478162345</v>
      </c>
      <c r="AG404" s="17">
        <f t="shared" si="57"/>
        <v>-47560.821619939183</v>
      </c>
      <c r="AH404" s="17">
        <f t="shared" si="57"/>
        <v>-47753.298523108424</v>
      </c>
      <c r="AI404" s="17">
        <f t="shared" si="57"/>
        <v>-47087.90343611384</v>
      </c>
      <c r="AJ404" s="17">
        <f t="shared" si="57"/>
        <v>-47886.504319462612</v>
      </c>
      <c r="AK404" s="17">
        <f t="shared" si="57"/>
        <v>-47964.976537597438</v>
      </c>
      <c r="AL404" s="17">
        <f t="shared" si="57"/>
        <v>-47316.751996062449</v>
      </c>
      <c r="AM404" s="17">
        <f t="shared" si="57"/>
        <v>-48095.071051262363</v>
      </c>
      <c r="AN404" s="17">
        <f t="shared" si="57"/>
        <v>-48130.530047816115</v>
      </c>
      <c r="AO404" s="17">
        <f t="shared" si="57"/>
        <v>-47460.601530038461</v>
      </c>
      <c r="AP404" s="17">
        <f t="shared" si="57"/>
        <v>-48203.358705365172</v>
      </c>
      <c r="AQ404" s="17">
        <f t="shared" si="57"/>
        <v>-48237.766733114062</v>
      </c>
      <c r="AR404" s="17">
        <f t="shared" si="57"/>
        <v>-47572.616535217399</v>
      </c>
      <c r="AS404" s="17">
        <f t="shared" si="57"/>
        <v>-48307.108858638661</v>
      </c>
      <c r="AT404" s="17">
        <f t="shared" si="57"/>
        <v>-48341.940386138587</v>
      </c>
      <c r="AU404" s="17">
        <f t="shared" si="57"/>
        <v>-47685.055604310051</v>
      </c>
      <c r="AV404" s="17">
        <f t="shared" si="57"/>
        <v>-48413.07585985466</v>
      </c>
      <c r="AW404" s="17">
        <f t="shared" si="57"/>
        <v>-48447.433764710375</v>
      </c>
      <c r="AX404" s="17">
        <f t="shared" si="57"/>
        <v>-47785.896808897771</v>
      </c>
      <c r="AY404" s="17">
        <f t="shared" si="57"/>
        <v>-48502.191730153856</v>
      </c>
      <c r="AZ404" s="17">
        <f t="shared" si="57"/>
        <v>-48529.544296916036</v>
      </c>
      <c r="BA404" s="17">
        <f t="shared" si="57"/>
        <v>-47461.349464899526</v>
      </c>
    </row>
    <row r="405" spans="1:53" outlineLevel="1" x14ac:dyDescent="0.35">
      <c r="A405" s="6" t="s">
        <v>41</v>
      </c>
      <c r="B405" s="6">
        <f t="shared" si="52"/>
        <v>73.216263230169957</v>
      </c>
    </row>
    <row r="406" spans="1:53" outlineLevel="1" x14ac:dyDescent="0.35">
      <c r="A406" s="6" t="s">
        <v>43</v>
      </c>
      <c r="B406" s="6">
        <f t="shared" si="52"/>
        <v>443.20246971044838</v>
      </c>
      <c r="AB406" s="272"/>
      <c r="AC406" s="272"/>
      <c r="AD406" s="272"/>
      <c r="AE406" s="272"/>
      <c r="AF406" s="272"/>
      <c r="AG406" s="272"/>
      <c r="AH406" s="272"/>
      <c r="AI406" s="272"/>
      <c r="AJ406" s="272"/>
      <c r="AK406" s="272"/>
      <c r="AL406" s="272"/>
      <c r="AM406" s="272"/>
      <c r="AN406" s="272"/>
      <c r="AO406" s="272"/>
      <c r="AP406" s="272"/>
      <c r="AQ406" s="272"/>
      <c r="AR406" s="272"/>
      <c r="AS406" s="272"/>
      <c r="AT406" s="272"/>
      <c r="AU406" s="272"/>
      <c r="AV406" s="272"/>
      <c r="AW406" s="272"/>
      <c r="AX406" s="272"/>
      <c r="AY406" s="272"/>
      <c r="AZ406" s="272"/>
      <c r="BA406" s="272"/>
    </row>
    <row r="407" spans="1:53" outlineLevel="1" x14ac:dyDescent="0.35">
      <c r="A407" s="6" t="s">
        <v>44</v>
      </c>
      <c r="B407" s="6">
        <f>B102*AC385</f>
        <v>903.49860297999123</v>
      </c>
      <c r="AB407" s="272"/>
      <c r="AC407" s="272"/>
      <c r="AD407" s="272"/>
      <c r="AE407" s="272"/>
      <c r="AF407" s="272"/>
      <c r="AG407" s="272"/>
      <c r="AH407" s="272"/>
      <c r="AI407" s="272"/>
      <c r="AJ407" s="272"/>
      <c r="AK407" s="272"/>
      <c r="AL407" s="272"/>
      <c r="AM407" s="272"/>
      <c r="AN407" s="272"/>
      <c r="AO407" s="272"/>
      <c r="AP407" s="272"/>
      <c r="AQ407" s="272"/>
      <c r="AR407" s="272"/>
      <c r="AS407" s="272"/>
      <c r="AT407" s="272"/>
      <c r="AU407" s="272"/>
      <c r="AV407" s="272"/>
      <c r="AW407" s="272"/>
      <c r="AX407" s="272"/>
      <c r="AY407" s="272"/>
      <c r="AZ407" s="272"/>
      <c r="BA407" s="272"/>
    </row>
    <row r="408" spans="1:53" outlineLevel="1" x14ac:dyDescent="0.35">
      <c r="A408" s="6" t="s">
        <v>757</v>
      </c>
      <c r="B408" s="6">
        <f>B103*AC385</f>
        <v>743.12666143258616</v>
      </c>
      <c r="AB408" s="272"/>
      <c r="AC408" s="272"/>
      <c r="AD408" s="272"/>
      <c r="AE408" s="272"/>
      <c r="AF408" s="272"/>
      <c r="AG408" s="272"/>
      <c r="AH408" s="272"/>
      <c r="AI408" s="272"/>
      <c r="AJ408" s="272"/>
      <c r="AK408" s="272"/>
      <c r="AL408" s="272"/>
      <c r="AM408" s="272"/>
      <c r="AN408" s="272"/>
      <c r="AO408" s="272"/>
      <c r="AP408" s="272"/>
      <c r="AQ408" s="272"/>
      <c r="AR408" s="272"/>
      <c r="AS408" s="272"/>
      <c r="AT408" s="272"/>
      <c r="AU408" s="272"/>
      <c r="AV408" s="272"/>
      <c r="AW408" s="272"/>
      <c r="AX408" s="272"/>
      <c r="AY408" s="272"/>
      <c r="AZ408" s="272"/>
      <c r="BA408" s="272"/>
    </row>
    <row r="409" spans="1:53" outlineLevel="1" x14ac:dyDescent="0.35">
      <c r="A409" s="6" t="s">
        <v>22</v>
      </c>
      <c r="Z409" s="6">
        <f>Z104</f>
        <v>17.108169512583981</v>
      </c>
      <c r="AB409" s="272"/>
      <c r="AC409" s="272"/>
      <c r="AD409" s="272"/>
      <c r="AE409" s="272"/>
      <c r="AF409" s="272"/>
      <c r="AG409" s="272"/>
      <c r="AH409" s="272"/>
      <c r="AI409" s="272"/>
      <c r="AJ409" s="272"/>
      <c r="AK409" s="272"/>
      <c r="AL409" s="272"/>
      <c r="AM409" s="272"/>
      <c r="AN409" s="272"/>
      <c r="AO409" s="272"/>
      <c r="AP409" s="272"/>
      <c r="AQ409" s="272"/>
      <c r="AR409" s="272"/>
      <c r="AS409" s="272"/>
      <c r="AT409" s="272"/>
      <c r="AU409" s="272"/>
      <c r="AV409" s="272"/>
      <c r="AW409" s="272"/>
      <c r="AX409" s="272"/>
      <c r="AY409" s="272"/>
      <c r="AZ409" s="272"/>
      <c r="BA409" s="272"/>
    </row>
    <row r="410" spans="1:53" outlineLevel="1" x14ac:dyDescent="0.35">
      <c r="A410" s="6" t="s">
        <v>24</v>
      </c>
      <c r="Z410" s="6">
        <f t="shared" ref="Z410:Z420" si="58">Z105</f>
        <v>5.8437365588470422</v>
      </c>
      <c r="AB410" s="272"/>
      <c r="AC410" s="272"/>
      <c r="AD410" s="272"/>
      <c r="AE410" s="272"/>
      <c r="AF410" s="272"/>
      <c r="AG410" s="272"/>
      <c r="AH410" s="272"/>
      <c r="AI410" s="272"/>
      <c r="AJ410" s="272"/>
      <c r="AK410" s="272"/>
      <c r="AL410" s="272"/>
      <c r="AM410" s="272"/>
      <c r="AN410" s="272"/>
      <c r="AO410" s="272"/>
      <c r="AP410" s="272"/>
      <c r="AQ410" s="272"/>
      <c r="AR410" s="272"/>
      <c r="AS410" s="272"/>
      <c r="AT410" s="272"/>
      <c r="AU410" s="272"/>
      <c r="AV410" s="272"/>
      <c r="AW410" s="272"/>
      <c r="AX410" s="272"/>
      <c r="AY410" s="272"/>
      <c r="AZ410" s="272"/>
      <c r="BA410" s="272"/>
    </row>
    <row r="411" spans="1:53" outlineLevel="1" x14ac:dyDescent="0.35">
      <c r="A411" s="6" t="s">
        <v>25</v>
      </c>
      <c r="Z411" s="6">
        <f t="shared" si="58"/>
        <v>17.66442071885713</v>
      </c>
      <c r="AB411" s="272"/>
      <c r="AC411" s="272"/>
      <c r="AD411" s="272"/>
      <c r="AE411" s="272"/>
      <c r="AF411" s="272"/>
      <c r="AG411" s="272"/>
      <c r="AH411" s="272"/>
      <c r="AI411" s="272"/>
      <c r="AJ411" s="272"/>
      <c r="AK411" s="272"/>
      <c r="AL411" s="272"/>
      <c r="AM411" s="272"/>
      <c r="AN411" s="272"/>
      <c r="AO411" s="272"/>
      <c r="AP411" s="272"/>
      <c r="AQ411" s="272"/>
      <c r="AR411" s="272"/>
      <c r="AS411" s="272"/>
      <c r="AT411" s="272"/>
      <c r="AU411" s="272"/>
      <c r="AV411" s="272"/>
      <c r="AW411" s="272"/>
      <c r="AX411" s="272"/>
      <c r="AY411" s="272"/>
      <c r="AZ411" s="272"/>
      <c r="BA411" s="272"/>
    </row>
    <row r="412" spans="1:53" outlineLevel="1" x14ac:dyDescent="0.35">
      <c r="A412" s="6" t="s">
        <v>27</v>
      </c>
      <c r="Z412" s="6">
        <f t="shared" si="58"/>
        <v>4.6759875984260919</v>
      </c>
      <c r="AB412" s="272"/>
      <c r="AC412" s="272"/>
      <c r="AD412" s="272"/>
      <c r="AE412" s="272"/>
      <c r="AF412" s="272"/>
      <c r="AG412" s="272"/>
      <c r="AH412" s="272"/>
      <c r="AI412" s="272"/>
      <c r="AJ412" s="272"/>
      <c r="AK412" s="272"/>
      <c r="AL412" s="272"/>
      <c r="AM412" s="272"/>
      <c r="AN412" s="272"/>
      <c r="AO412" s="272"/>
      <c r="AP412" s="272"/>
      <c r="AQ412" s="272"/>
      <c r="AR412" s="272"/>
      <c r="AS412" s="272"/>
      <c r="AT412" s="272"/>
      <c r="AU412" s="272"/>
      <c r="AV412" s="272"/>
      <c r="AW412" s="272"/>
      <c r="AX412" s="272"/>
      <c r="AY412" s="272"/>
      <c r="AZ412" s="272"/>
      <c r="BA412" s="272"/>
    </row>
    <row r="413" spans="1:53" outlineLevel="1" x14ac:dyDescent="0.35">
      <c r="A413" s="6" t="s">
        <v>30</v>
      </c>
      <c r="Z413" s="6">
        <f t="shared" si="58"/>
        <v>22.323646651384621</v>
      </c>
      <c r="AB413" s="272"/>
      <c r="AC413" s="272"/>
      <c r="AD413" s="272"/>
      <c r="AE413" s="272"/>
      <c r="AF413" s="272"/>
      <c r="AG413" s="272"/>
      <c r="AH413" s="272"/>
      <c r="AI413" s="272"/>
      <c r="AJ413" s="272"/>
      <c r="AK413" s="272"/>
      <c r="AL413" s="272"/>
      <c r="AM413" s="272"/>
      <c r="AN413" s="272"/>
      <c r="AO413" s="272"/>
      <c r="AP413" s="272"/>
      <c r="AQ413" s="272"/>
      <c r="AR413" s="272"/>
      <c r="AS413" s="272"/>
      <c r="AT413" s="272"/>
      <c r="AU413" s="272"/>
      <c r="AV413" s="272"/>
      <c r="AW413" s="272"/>
      <c r="AX413" s="272"/>
      <c r="AY413" s="272"/>
      <c r="AZ413" s="272"/>
      <c r="BA413" s="272"/>
    </row>
    <row r="414" spans="1:53" outlineLevel="1" x14ac:dyDescent="0.35">
      <c r="A414" s="6" t="s">
        <v>32</v>
      </c>
      <c r="Z414" s="6">
        <f t="shared" si="58"/>
        <v>0.42342899875320889</v>
      </c>
      <c r="AB414" s="272"/>
      <c r="AC414" s="272"/>
      <c r="AD414" s="272"/>
      <c r="AE414" s="272"/>
      <c r="AF414" s="272"/>
      <c r="AG414" s="272"/>
      <c r="AH414" s="272"/>
      <c r="AI414" s="272"/>
      <c r="AJ414" s="272"/>
      <c r="AK414" s="272"/>
      <c r="AL414" s="272"/>
      <c r="AM414" s="272"/>
      <c r="AN414" s="272"/>
      <c r="AO414" s="272"/>
      <c r="AP414" s="272"/>
      <c r="AQ414" s="272"/>
      <c r="AR414" s="272"/>
      <c r="AS414" s="272"/>
      <c r="AT414" s="272"/>
      <c r="AU414" s="272"/>
      <c r="AV414" s="272"/>
      <c r="AW414" s="272"/>
      <c r="AX414" s="272"/>
      <c r="AY414" s="272"/>
      <c r="AZ414" s="272"/>
      <c r="BA414" s="272"/>
    </row>
    <row r="415" spans="1:53" outlineLevel="1" x14ac:dyDescent="0.35">
      <c r="A415" s="6" t="s">
        <v>33</v>
      </c>
      <c r="Z415" s="6">
        <f t="shared" si="58"/>
        <v>5.2794316905419718</v>
      </c>
      <c r="AB415" s="272"/>
      <c r="AC415" s="272"/>
      <c r="AD415" s="272"/>
      <c r="AE415" s="272"/>
      <c r="AF415" s="272"/>
      <c r="AG415" s="272"/>
      <c r="AH415" s="272"/>
      <c r="AI415" s="272"/>
      <c r="AJ415" s="272"/>
      <c r="AK415" s="272"/>
      <c r="AL415" s="272"/>
      <c r="AM415" s="272"/>
      <c r="AN415" s="272"/>
      <c r="AO415" s="272"/>
      <c r="AP415" s="272"/>
      <c r="AQ415" s="272"/>
      <c r="AR415" s="272"/>
      <c r="AS415" s="272"/>
      <c r="AT415" s="272"/>
      <c r="AU415" s="272"/>
      <c r="AV415" s="272"/>
      <c r="AW415" s="272"/>
      <c r="AX415" s="272"/>
      <c r="AY415" s="272"/>
      <c r="AZ415" s="272"/>
      <c r="BA415" s="272"/>
    </row>
    <row r="416" spans="1:53" outlineLevel="1" x14ac:dyDescent="0.35">
      <c r="A416" s="6" t="s">
        <v>35</v>
      </c>
      <c r="Z416" s="6">
        <f t="shared" si="58"/>
        <v>10.55886338108394</v>
      </c>
      <c r="AB416" s="272"/>
      <c r="AC416" s="272"/>
      <c r="AD416" s="272"/>
      <c r="AE416" s="272"/>
      <c r="AF416" s="272"/>
      <c r="AG416" s="272"/>
      <c r="AH416" s="272"/>
      <c r="AI416" s="272"/>
      <c r="AJ416" s="272"/>
      <c r="AK416" s="272"/>
      <c r="AL416" s="272"/>
      <c r="AM416" s="272"/>
      <c r="AN416" s="272"/>
      <c r="AO416" s="272"/>
      <c r="AP416" s="272"/>
      <c r="AQ416" s="272"/>
      <c r="AR416" s="272"/>
      <c r="AS416" s="272"/>
      <c r="AT416" s="272"/>
      <c r="AU416" s="272"/>
      <c r="AV416" s="272"/>
      <c r="AW416" s="272"/>
      <c r="AX416" s="272"/>
      <c r="AY416" s="272"/>
      <c r="AZ416" s="272"/>
      <c r="BA416" s="272"/>
    </row>
    <row r="417" spans="1:53" outlineLevel="1" x14ac:dyDescent="0.35">
      <c r="A417" s="6" t="s">
        <v>37</v>
      </c>
      <c r="Z417" s="6">
        <f t="shared" si="58"/>
        <v>6.6587974459997392</v>
      </c>
      <c r="AB417" s="272"/>
      <c r="AC417" s="272"/>
      <c r="AD417" s="272"/>
      <c r="AE417" s="272"/>
      <c r="AF417" s="272"/>
      <c r="AG417" s="272"/>
      <c r="AH417" s="272"/>
      <c r="AI417" s="272"/>
      <c r="AJ417" s="272"/>
      <c r="AK417" s="272"/>
      <c r="AL417" s="272"/>
      <c r="AM417" s="272"/>
      <c r="AN417" s="272"/>
      <c r="AO417" s="272"/>
      <c r="AP417" s="272"/>
      <c r="AQ417" s="272"/>
      <c r="AR417" s="272"/>
      <c r="AS417" s="272"/>
      <c r="AT417" s="272"/>
      <c r="AU417" s="272"/>
      <c r="AV417" s="272"/>
      <c r="AW417" s="272"/>
      <c r="AX417" s="272"/>
      <c r="AY417" s="272"/>
      <c r="AZ417" s="272"/>
      <c r="BA417" s="272"/>
    </row>
    <row r="418" spans="1:53" outlineLevel="1" x14ac:dyDescent="0.35">
      <c r="A418" s="6" t="s">
        <v>40</v>
      </c>
      <c r="Z418" s="6">
        <f t="shared" si="58"/>
        <v>208.39175355172091</v>
      </c>
    </row>
    <row r="419" spans="1:53" outlineLevel="1" x14ac:dyDescent="0.35">
      <c r="A419" s="6" t="s">
        <v>42</v>
      </c>
      <c r="Z419" s="6">
        <f t="shared" si="58"/>
        <v>11.234513250129609</v>
      </c>
    </row>
    <row r="420" spans="1:53" outlineLevel="1" x14ac:dyDescent="0.35">
      <c r="A420" s="6" t="s">
        <v>115</v>
      </c>
      <c r="Z420" s="6">
        <f t="shared" si="58"/>
        <v>91.516200064018605</v>
      </c>
    </row>
    <row r="421" spans="1:53" outlineLevel="1" x14ac:dyDescent="0.35">
      <c r="A421" s="6" t="s">
        <v>45</v>
      </c>
      <c r="Z421" s="6">
        <f>Z116*AC385</f>
        <v>9.3672741548579719</v>
      </c>
    </row>
    <row r="422" spans="1:53" outlineLevel="1" x14ac:dyDescent="0.35">
      <c r="A422" s="6" t="s">
        <v>116</v>
      </c>
      <c r="B422" s="6">
        <f>B117</f>
        <v>836.15304835919005</v>
      </c>
      <c r="C422" s="6">
        <f t="shared" ref="C422:Z422" si="59">C117</f>
        <v>817.78336582813949</v>
      </c>
      <c r="D422" s="6">
        <f t="shared" si="59"/>
        <v>799.19133391986463</v>
      </c>
      <c r="E422" s="6">
        <f t="shared" si="59"/>
        <v>776.29424088243638</v>
      </c>
      <c r="F422" s="6">
        <f t="shared" si="59"/>
        <v>757.23308494772095</v>
      </c>
      <c r="G422" s="6">
        <f t="shared" si="59"/>
        <v>737.84508987127867</v>
      </c>
      <c r="H422" s="6">
        <f t="shared" si="59"/>
        <v>732.22544703005042</v>
      </c>
      <c r="I422" s="6">
        <f t="shared" si="59"/>
        <v>726.67207094534535</v>
      </c>
      <c r="J422" s="6">
        <f t="shared" si="59"/>
        <v>718.92674995060656</v>
      </c>
      <c r="K422" s="6">
        <f t="shared" si="59"/>
        <v>713.55013307811748</v>
      </c>
      <c r="L422" s="6">
        <f t="shared" si="59"/>
        <v>708.22503611488571</v>
      </c>
      <c r="M422" s="6">
        <f t="shared" si="59"/>
        <v>706.57775070944831</v>
      </c>
      <c r="N422" s="6">
        <f t="shared" si="59"/>
        <v>704.9299374269367</v>
      </c>
      <c r="O422" s="6">
        <f t="shared" si="59"/>
        <v>702.65416710120769</v>
      </c>
      <c r="P422" s="6">
        <f t="shared" si="59"/>
        <v>701.02633944713705</v>
      </c>
      <c r="Q422" s="6">
        <f t="shared" si="59"/>
        <v>699.39372002031462</v>
      </c>
      <c r="R422" s="6">
        <f t="shared" si="59"/>
        <v>697.61471991921735</v>
      </c>
      <c r="S422" s="6">
        <f t="shared" si="59"/>
        <v>695.8546407020857</v>
      </c>
      <c r="T422" s="6">
        <f t="shared" si="59"/>
        <v>693.68200539906138</v>
      </c>
      <c r="U422" s="6">
        <f t="shared" si="59"/>
        <v>691.98224148303984</v>
      </c>
      <c r="V422" s="6">
        <f t="shared" si="59"/>
        <v>690.29879714395975</v>
      </c>
      <c r="W422" s="6">
        <f t="shared" si="59"/>
        <v>688.82780991828383</v>
      </c>
      <c r="X422" s="6">
        <f t="shared" si="59"/>
        <v>687.34128868081211</v>
      </c>
      <c r="Y422" s="6">
        <f t="shared" si="59"/>
        <v>685.86168833886018</v>
      </c>
      <c r="Z422" s="6">
        <f t="shared" si="59"/>
        <v>684.38892527547046</v>
      </c>
    </row>
    <row r="423" spans="1:53" outlineLevel="1" x14ac:dyDescent="0.35">
      <c r="A423" s="6" t="s">
        <v>758</v>
      </c>
      <c r="B423" s="6">
        <f>B118*$AC$385</f>
        <v>532.08938693613152</v>
      </c>
      <c r="C423" s="6">
        <f t="shared" ref="C423:Z424" si="60">C118*$AC$385</f>
        <v>443.85075030331836</v>
      </c>
      <c r="D423" s="6">
        <f t="shared" si="60"/>
        <v>356.14144709558786</v>
      </c>
      <c r="E423" s="6">
        <f t="shared" si="60"/>
        <v>267.5723830803438</v>
      </c>
      <c r="F423" s="6">
        <f t="shared" si="60"/>
        <v>180.80552165977335</v>
      </c>
      <c r="G423" s="6">
        <f t="shared" si="60"/>
        <v>94.504503960975811</v>
      </c>
      <c r="H423" s="6">
        <f t="shared" si="60"/>
        <v>67.911041033505555</v>
      </c>
      <c r="I423" s="6">
        <f t="shared" si="60"/>
        <v>41.322654073257489</v>
      </c>
      <c r="J423" s="6">
        <f t="shared" si="60"/>
        <v>13.589399953696704</v>
      </c>
      <c r="K423" s="6">
        <f t="shared" si="60"/>
        <v>-13.0194342576086</v>
      </c>
      <c r="L423" s="6">
        <f t="shared" si="60"/>
        <v>-39.625733879129662</v>
      </c>
      <c r="M423" s="6">
        <f t="shared" si="60"/>
        <v>-56.102314533318399</v>
      </c>
      <c r="N423" s="6">
        <f t="shared" si="60"/>
        <v>-72.558984566528594</v>
      </c>
      <c r="O423" s="6">
        <f t="shared" si="60"/>
        <v>-89.211919215675351</v>
      </c>
      <c r="P423" s="6">
        <f t="shared" si="60"/>
        <v>-105.62646747777475</v>
      </c>
      <c r="Q423" s="6">
        <f t="shared" si="60"/>
        <v>-122.02718586536454</v>
      </c>
      <c r="R423" s="6">
        <f t="shared" si="60"/>
        <v>-143.09202595055086</v>
      </c>
      <c r="S423" s="6">
        <f t="shared" si="60"/>
        <v>-164.1801736564002</v>
      </c>
      <c r="T423" s="6">
        <f t="shared" si="60"/>
        <v>-185.43536284784031</v>
      </c>
      <c r="U423" s="6">
        <f t="shared" si="60"/>
        <v>-206.55795838299449</v>
      </c>
      <c r="V423" s="6">
        <f t="shared" si="60"/>
        <v>-227.70184558391753</v>
      </c>
      <c r="W423" s="6">
        <f t="shared" si="60"/>
        <v>-247.41223256225203</v>
      </c>
      <c r="X423" s="6">
        <f t="shared" si="60"/>
        <v>-267.17082327792787</v>
      </c>
      <c r="Y423" s="6">
        <f t="shared" si="60"/>
        <v>-286.92351961563298</v>
      </c>
      <c r="Z423" s="6">
        <f t="shared" si="60"/>
        <v>-306.67098890504542</v>
      </c>
    </row>
    <row r="424" spans="1:53" outlineLevel="1" x14ac:dyDescent="0.35">
      <c r="A424" s="6" t="s">
        <v>759</v>
      </c>
      <c r="B424" s="6">
        <f>B119*$AC$385</f>
        <v>0</v>
      </c>
      <c r="C424" s="6">
        <f t="shared" si="60"/>
        <v>0</v>
      </c>
      <c r="D424" s="6">
        <f t="shared" si="60"/>
        <v>0</v>
      </c>
      <c r="E424" s="6">
        <f t="shared" si="60"/>
        <v>0</v>
      </c>
      <c r="F424" s="6">
        <f t="shared" si="60"/>
        <v>0</v>
      </c>
      <c r="G424" s="6">
        <f t="shared" si="60"/>
        <v>0</v>
      </c>
      <c r="H424" s="6">
        <f t="shared" si="60"/>
        <v>0</v>
      </c>
      <c r="I424" s="6">
        <f t="shared" si="60"/>
        <v>0</v>
      </c>
      <c r="J424" s="6">
        <f t="shared" si="60"/>
        <v>0</v>
      </c>
      <c r="K424" s="6">
        <f t="shared" si="60"/>
        <v>0</v>
      </c>
      <c r="L424" s="6">
        <f t="shared" si="60"/>
        <v>0</v>
      </c>
      <c r="M424" s="6">
        <f t="shared" si="60"/>
        <v>0</v>
      </c>
      <c r="N424" s="6">
        <f t="shared" si="60"/>
        <v>0</v>
      </c>
      <c r="O424" s="6">
        <f t="shared" si="60"/>
        <v>0</v>
      </c>
      <c r="P424" s="6">
        <f t="shared" si="60"/>
        <v>0</v>
      </c>
      <c r="Q424" s="6">
        <f t="shared" si="60"/>
        <v>0</v>
      </c>
      <c r="R424" s="6">
        <f t="shared" si="60"/>
        <v>0</v>
      </c>
      <c r="S424" s="6">
        <f t="shared" si="60"/>
        <v>0</v>
      </c>
      <c r="T424" s="6">
        <f t="shared" si="60"/>
        <v>0</v>
      </c>
      <c r="U424" s="6">
        <f t="shared" si="60"/>
        <v>0</v>
      </c>
      <c r="V424" s="6">
        <f t="shared" si="60"/>
        <v>0</v>
      </c>
      <c r="W424" s="6">
        <f t="shared" si="60"/>
        <v>0</v>
      </c>
      <c r="X424" s="6">
        <f t="shared" si="60"/>
        <v>0</v>
      </c>
      <c r="Y424" s="6">
        <f t="shared" si="60"/>
        <v>0</v>
      </c>
      <c r="Z424" s="6">
        <f t="shared" si="60"/>
        <v>0</v>
      </c>
    </row>
    <row r="425" spans="1:53" outlineLevel="1" x14ac:dyDescent="0.35">
      <c r="A425" s="6" t="s">
        <v>760</v>
      </c>
      <c r="B425" s="6">
        <f>$B$252*50*'Results - raw data ReCiPe (E)'!CC128/(1-0.5)*(1+'Results ReCiPe (E) - HHD'!$AC$271/'Results ReCiPe (E) - HHD'!$AC$272-'Results ReCiPe (E) - HHD'!$AC$271)</f>
        <v>2347.6229371844638</v>
      </c>
      <c r="C425" s="6">
        <f>$B$252*50*'Results - raw data ReCiPe (E)'!CD128/(1-0.5)*(1+'Results ReCiPe (E) - HHD'!$AC$271/'Results ReCiPe (E) - HHD'!$AC$272-'Results ReCiPe (E) - HHD'!$AC$271)</f>
        <v>2243.8341691745372</v>
      </c>
      <c r="D425" s="6">
        <f>$B$252*50*'Results - raw data ReCiPe (E)'!CE128/(1-0.5)*(1+'Results ReCiPe (E) - HHD'!$AC$271/'Results ReCiPe (E) - HHD'!$AC$272-'Results ReCiPe (E) - HHD'!$AC$271)</f>
        <v>2139.8789929477448</v>
      </c>
      <c r="E425" s="6">
        <f>$B$252*50*'Results - raw data ReCiPe (E)'!CF128/(1-0.5)*(1+'Results ReCiPe (E) - HHD'!$AC$271/'Results ReCiPe (E) - HHD'!$AC$272-'Results ReCiPe (E) - HHD'!$AC$271)</f>
        <v>2014.7738293817249</v>
      </c>
      <c r="F425" s="6">
        <f>$B$252*50*'Results - raw data ReCiPe (E)'!CG128/(1-0.5)*(1+'Results ReCiPe (E) - HHD'!$AC$271/'Results ReCiPe (E) - HHD'!$AC$272-'Results ReCiPe (E) - HHD'!$AC$271)</f>
        <v>1909.0577899078921</v>
      </c>
      <c r="G425" s="6">
        <f>$B$252*50*'Results - raw data ReCiPe (E)'!CH128/(1-0.5)*(1+'Results ReCiPe (E) - HHD'!$AC$271/'Results ReCiPe (E) - HHD'!$AC$272-'Results ReCiPe (E) - HHD'!$AC$271)</f>
        <v>1802.8819044374482</v>
      </c>
      <c r="H425" s="6">
        <f>$B$252*50*'Results - raw data ReCiPe (E)'!CI128/(1-0.5)*(1+'Results ReCiPe (E) - HHD'!$AC$271/'Results ReCiPe (E) - HHD'!$AC$272-'Results ReCiPe (E) - HHD'!$AC$271)</f>
        <v>1762.6450073294559</v>
      </c>
      <c r="I425" s="6">
        <f>$B$252*50*'Results - raw data ReCiPe (E)'!CJ128/(1-0.5)*(1+'Results ReCiPe (E) - HHD'!$AC$271/'Results ReCiPe (E) - HHD'!$AC$272-'Results ReCiPe (E) - HHD'!$AC$271)</f>
        <v>1722.8579579709822</v>
      </c>
      <c r="J425" s="6">
        <f>$B$252*50*'Results - raw data ReCiPe (E)'!CK128/(1-0.5)*(1+'Results ReCiPe (E) - HHD'!$AC$271/'Results ReCiPe (E) - HHD'!$AC$272-'Results ReCiPe (E) - HHD'!$AC$271)</f>
        <v>1672.1189939557141</v>
      </c>
      <c r="K425" s="6">
        <f>$B$252*50*'Results - raw data ReCiPe (E)'!CL128/(1-0.5)*(1+'Results ReCiPe (E) - HHD'!$AC$271/'Results ReCiPe (E) - HHD'!$AC$272-'Results ReCiPe (E) - HHD'!$AC$271)</f>
        <v>1633.4022366238937</v>
      </c>
      <c r="L425" s="6">
        <f>$B$252*50*'Results - raw data ReCiPe (E)'!CM128/(1-0.5)*(1+'Results ReCiPe (E) - HHD'!$AC$271/'Results ReCiPe (E) - HHD'!$AC$272-'Results ReCiPe (E) - HHD'!$AC$271)</f>
        <v>1595.2396141236154</v>
      </c>
      <c r="M425" s="6">
        <f>$B$252*50*'Results - raw data ReCiPe (E)'!CN128/(1-0.5)*(1+'Results ReCiPe (E) - HHD'!$AC$271/'Results ReCiPe (E) - HHD'!$AC$272-'Results ReCiPe (E) - HHD'!$AC$271)</f>
        <v>1576.2571982240559</v>
      </c>
      <c r="N425" s="6">
        <f>$B$252*50*'Results - raw data ReCiPe (E)'!CO128/(1-0.5)*(1+'Results ReCiPe (E) - HHD'!$AC$271/'Results ReCiPe (E) - HHD'!$AC$272-'Results ReCiPe (E) - HHD'!$AC$271)</f>
        <v>1557.7124486079831</v>
      </c>
      <c r="O425" s="6">
        <f>$B$252*50*'Results - raw data ReCiPe (E)'!CP128/(1-0.5)*(1+'Results ReCiPe (E) - HHD'!$AC$271/'Results ReCiPe (E) - HHD'!$AC$272-'Results ReCiPe (E) - HHD'!$AC$271)</f>
        <v>1536.5381453573559</v>
      </c>
      <c r="P425" s="6">
        <f>$B$252*50*'Results - raw data ReCiPe (E)'!CQ128/(1-0.5)*(1+'Results ReCiPe (E) - HHD'!$AC$271/'Results ReCiPe (E) - HHD'!$AC$272-'Results ReCiPe (E) - HHD'!$AC$271)</f>
        <v>1518.5446658705653</v>
      </c>
      <c r="Q425" s="6">
        <f>$B$252*50*'Results - raw data ReCiPe (E)'!CR128/(1-0.5)*(1+'Results ReCiPe (E) - HHD'!$AC$271/'Results ReCiPe (E) - HHD'!$AC$272-'Results ReCiPe (E) - HHD'!$AC$271)</f>
        <v>1500.7018621344994</v>
      </c>
      <c r="R425" s="6">
        <f>$B$252*50*'Results - raw data ReCiPe (E)'!CS128/(1-0.5)*(1+'Results ReCiPe (E) - HHD'!$AC$271/'Results ReCiPe (E) - HHD'!$AC$272-'Results ReCiPe (E) - HHD'!$AC$271)</f>
        <v>1486.6680988187413</v>
      </c>
      <c r="S425" s="6">
        <f>$B$252*50*'Results - raw data ReCiPe (E)'!CT128/(1-0.5)*(1+'Results ReCiPe (E) - HHD'!$AC$271/'Results ReCiPe (E) - HHD'!$AC$272-'Results ReCiPe (E) - HHD'!$AC$271)</f>
        <v>1472.9247190246597</v>
      </c>
      <c r="T425" s="6">
        <f>$B$252*50*'Results - raw data ReCiPe (E)'!CU128/(1-0.5)*(1+'Results ReCiPe (E) - HHD'!$AC$271/'Results ReCiPe (E) - HHD'!$AC$272-'Results ReCiPe (E) - HHD'!$AC$271)</f>
        <v>1457.3826846455781</v>
      </c>
      <c r="U425" s="6">
        <f>$B$252*50*'Results - raw data ReCiPe (E)'!CV128/(1-0.5)*(1+'Results ReCiPe (E) - HHD'!$AC$271/'Results ReCiPe (E) - HHD'!$AC$272-'Results ReCiPe (E) - HHD'!$AC$271)</f>
        <v>1444.1670300351816</v>
      </c>
      <c r="V425" s="6">
        <f>$B$252*50*'Results - raw data ReCiPe (E)'!CW128/(1-0.5)*(1+'Results ReCiPe (E) - HHD'!$AC$271/'Results ReCiPe (E) - HHD'!$AC$272-'Results ReCiPe (E) - HHD'!$AC$271)</f>
        <v>1430.953012380395</v>
      </c>
      <c r="W425" s="6">
        <f>$B$252*50*'Results - raw data ReCiPe (E)'!CX128/(1-0.5)*(1+'Results ReCiPe (E) - HHD'!$AC$271/'Results ReCiPe (E) - HHD'!$AC$272-'Results ReCiPe (E) - HHD'!$AC$271)</f>
        <v>1423.3725452530432</v>
      </c>
      <c r="X425" s="6">
        <f>$B$252*50*'Results - raw data ReCiPe (E)'!CY128/(1-0.5)*(1+'Results ReCiPe (E) - HHD'!$AC$271/'Results ReCiPe (E) - HHD'!$AC$272-'Results ReCiPe (E) - HHD'!$AC$271)</f>
        <v>1415.6640246309221</v>
      </c>
      <c r="Y425" s="6">
        <f>$B$252*50*'Results - raw data ReCiPe (E)'!CZ128/(1-0.5)*(1+'Results ReCiPe (E) - HHD'!$AC$271/'Results ReCiPe (E) - HHD'!$AC$272-'Results ReCiPe (E) - HHD'!$AC$271)</f>
        <v>1408.06415420645</v>
      </c>
      <c r="Z425" s="6">
        <f>$B$252*50*'Results - raw data ReCiPe (E)'!DA128/(1-0.5)*(1+'Results ReCiPe (E) - HHD'!$AC$271/'Results ReCiPe (E) - HHD'!$AC$272-'Results ReCiPe (E) - HHD'!$AC$271)</f>
        <v>1400.5713066596938</v>
      </c>
    </row>
    <row r="426" spans="1:53" outlineLevel="1" x14ac:dyDescent="0.35">
      <c r="A426" s="6" t="s">
        <v>797</v>
      </c>
      <c r="B426" s="6">
        <f>$B$380*$AC$384</f>
        <v>349.3150684931507</v>
      </c>
      <c r="C426" s="6">
        <f t="shared" ref="C426:Z426" si="61">$B$380*$AC$384</f>
        <v>349.3150684931507</v>
      </c>
      <c r="D426" s="6">
        <f t="shared" si="61"/>
        <v>349.3150684931507</v>
      </c>
      <c r="E426" s="6">
        <f t="shared" si="61"/>
        <v>349.3150684931507</v>
      </c>
      <c r="F426" s="6">
        <f t="shared" si="61"/>
        <v>349.3150684931507</v>
      </c>
      <c r="G426" s="6">
        <f t="shared" si="61"/>
        <v>349.3150684931507</v>
      </c>
      <c r="H426" s="6">
        <f t="shared" si="61"/>
        <v>349.3150684931507</v>
      </c>
      <c r="I426" s="6">
        <f t="shared" si="61"/>
        <v>349.3150684931507</v>
      </c>
      <c r="J426" s="6">
        <f t="shared" si="61"/>
        <v>349.3150684931507</v>
      </c>
      <c r="K426" s="6">
        <f t="shared" si="61"/>
        <v>349.3150684931507</v>
      </c>
      <c r="L426" s="6">
        <f t="shared" si="61"/>
        <v>349.3150684931507</v>
      </c>
      <c r="M426" s="6">
        <f t="shared" si="61"/>
        <v>349.3150684931507</v>
      </c>
      <c r="N426" s="6">
        <f t="shared" si="61"/>
        <v>349.3150684931507</v>
      </c>
      <c r="O426" s="6">
        <f t="shared" si="61"/>
        <v>349.3150684931507</v>
      </c>
      <c r="P426" s="6">
        <f t="shared" si="61"/>
        <v>349.3150684931507</v>
      </c>
      <c r="Q426" s="6">
        <f t="shared" si="61"/>
        <v>349.3150684931507</v>
      </c>
      <c r="R426" s="6">
        <f t="shared" si="61"/>
        <v>349.3150684931507</v>
      </c>
      <c r="S426" s="6">
        <f t="shared" si="61"/>
        <v>349.3150684931507</v>
      </c>
      <c r="T426" s="6">
        <f t="shared" si="61"/>
        <v>349.3150684931507</v>
      </c>
      <c r="U426" s="6">
        <f t="shared" si="61"/>
        <v>349.3150684931507</v>
      </c>
      <c r="V426" s="6">
        <f t="shared" si="61"/>
        <v>349.3150684931507</v>
      </c>
      <c r="W426" s="6">
        <f t="shared" si="61"/>
        <v>349.3150684931507</v>
      </c>
      <c r="X426" s="6">
        <f t="shared" si="61"/>
        <v>349.3150684931507</v>
      </c>
      <c r="Y426" s="6">
        <f t="shared" si="61"/>
        <v>349.3150684931507</v>
      </c>
      <c r="Z426" s="6">
        <f t="shared" si="61"/>
        <v>349.3150684931507</v>
      </c>
    </row>
    <row r="427" spans="1:53" outlineLevel="1" x14ac:dyDescent="0.35">
      <c r="A427" s="23" t="s">
        <v>125</v>
      </c>
      <c r="B427" s="17">
        <f>SUM(B395:B425)</f>
        <v>22610.991556394481</v>
      </c>
      <c r="C427" s="17">
        <f t="shared" ref="C427:Z427" si="62">SUM(C395:C425)</f>
        <v>3505.4682853059949</v>
      </c>
      <c r="D427" s="17">
        <f t="shared" si="62"/>
        <v>3295.2117739631972</v>
      </c>
      <c r="E427" s="17">
        <f t="shared" si="62"/>
        <v>3058.6404533445047</v>
      </c>
      <c r="F427" s="17">
        <f t="shared" si="62"/>
        <v>2847.0963965153865</v>
      </c>
      <c r="G427" s="17">
        <f t="shared" si="62"/>
        <v>2635.2314982697026</v>
      </c>
      <c r="H427" s="17">
        <f t="shared" si="62"/>
        <v>2562.7814953930119</v>
      </c>
      <c r="I427" s="17">
        <f t="shared" si="62"/>
        <v>2490.852682989585</v>
      </c>
      <c r="J427" s="17">
        <f t="shared" si="62"/>
        <v>2404.6351438600173</v>
      </c>
      <c r="K427" s="17">
        <f t="shared" si="62"/>
        <v>2333.9329354444026</v>
      </c>
      <c r="L427" s="17">
        <f t="shared" si="62"/>
        <v>2263.8389163593715</v>
      </c>
      <c r="M427" s="17">
        <f t="shared" si="62"/>
        <v>2226.7326344001858</v>
      </c>
      <c r="N427" s="17">
        <f t="shared" si="62"/>
        <v>2190.0834014683915</v>
      </c>
      <c r="O427" s="17">
        <f t="shared" si="62"/>
        <v>2149.9803932428881</v>
      </c>
      <c r="P427" s="17">
        <f t="shared" si="62"/>
        <v>2113.9445378399278</v>
      </c>
      <c r="Q427" s="17">
        <f t="shared" si="62"/>
        <v>2078.0683962894495</v>
      </c>
      <c r="R427" s="17">
        <f t="shared" si="62"/>
        <v>2041.1907927874079</v>
      </c>
      <c r="S427" s="17">
        <f t="shared" si="62"/>
        <v>2004.5991860703452</v>
      </c>
      <c r="T427" s="17">
        <f t="shared" si="62"/>
        <v>1965.6293271967993</v>
      </c>
      <c r="U427" s="17">
        <f t="shared" si="62"/>
        <v>1929.591313135227</v>
      </c>
      <c r="V427" s="17">
        <f t="shared" si="62"/>
        <v>1893.5499639404372</v>
      </c>
      <c r="W427" s="17">
        <f t="shared" si="62"/>
        <v>1864.7881226090749</v>
      </c>
      <c r="X427" s="17">
        <f t="shared" si="62"/>
        <v>1835.8344900338063</v>
      </c>
      <c r="Y427" s="17">
        <f t="shared" si="62"/>
        <v>1807.0023229296771</v>
      </c>
      <c r="Z427" s="17">
        <f t="shared" si="62"/>
        <v>2189.3354666073237</v>
      </c>
    </row>
    <row r="428" spans="1:53" s="26" customFormat="1" outlineLevel="1" x14ac:dyDescent="0.35"/>
    <row r="429" spans="1:53" s="236" customFormat="1" ht="21" x14ac:dyDescent="0.5">
      <c r="A429" s="236" t="s">
        <v>136</v>
      </c>
    </row>
    <row r="432" spans="1:53" x14ac:dyDescent="0.35">
      <c r="A432" s="331" t="s">
        <v>131</v>
      </c>
      <c r="B432" s="331"/>
      <c r="C432" s="331"/>
      <c r="D432" s="331"/>
      <c r="E432" s="331"/>
      <c r="F432" s="331"/>
      <c r="G432" s="331"/>
      <c r="H432" s="331"/>
      <c r="I432" s="331"/>
      <c r="J432" s="331"/>
      <c r="K432" s="331"/>
    </row>
    <row r="433" spans="1:11" x14ac:dyDescent="0.35">
      <c r="A433" s="6" t="s">
        <v>875</v>
      </c>
    </row>
    <row r="434" spans="1:11" x14ac:dyDescent="0.35">
      <c r="B434" s="6" t="s">
        <v>889</v>
      </c>
      <c r="C434" s="6" t="s">
        <v>891</v>
      </c>
      <c r="D434" s="6" t="s">
        <v>890</v>
      </c>
      <c r="E434" s="6" t="s">
        <v>892</v>
      </c>
      <c r="F434" s="6" t="s">
        <v>893</v>
      </c>
      <c r="G434" s="6" t="s">
        <v>894</v>
      </c>
      <c r="H434" s="6" t="s">
        <v>896</v>
      </c>
      <c r="I434" s="6" t="s">
        <v>897</v>
      </c>
      <c r="J434" s="6" t="s">
        <v>895</v>
      </c>
    </row>
    <row r="435" spans="1:11" x14ac:dyDescent="0.35">
      <c r="A435" s="6" t="s">
        <v>117</v>
      </c>
      <c r="B435" s="6">
        <f>SUM(AC10:BA10)</f>
        <v>28361.809087835707</v>
      </c>
      <c r="C435" s="6">
        <f>SUM(AC50:BA50)</f>
        <v>25813.904117498736</v>
      </c>
      <c r="D435" s="6">
        <f>SUM(AC90:BA90)</f>
        <v>18734.754242367293</v>
      </c>
      <c r="E435" s="6">
        <f>SUM(AC132:BA132)</f>
        <v>28361.809087835707</v>
      </c>
      <c r="F435" s="6">
        <f>SUM(AC173:BA173)</f>
        <v>25813.904117498736</v>
      </c>
      <c r="G435" s="6">
        <f>SUM(AC214:BA214)</f>
        <v>18734.754242367293</v>
      </c>
      <c r="H435" s="6">
        <f>SUM(AC274:BA274)</f>
        <v>27518.65872652534</v>
      </c>
      <c r="I435" s="6">
        <f>SUM(AC334:BA334)</f>
        <v>24996.270673773346</v>
      </c>
      <c r="J435" s="6">
        <f>SUM(AC395:BA395)</f>
        <v>17991.627580934706</v>
      </c>
    </row>
    <row r="436" spans="1:11" x14ac:dyDescent="0.35">
      <c r="A436" s="6" t="s">
        <v>118</v>
      </c>
      <c r="B436" s="6">
        <f>SUM(AC11:BA11)</f>
        <v>2219.4940594747154</v>
      </c>
      <c r="C436" s="6">
        <f>SUM(AC51:BA51)</f>
        <v>2074.4586794633228</v>
      </c>
      <c r="D436" s="6">
        <f>SUM(AC91:BA91)</f>
        <v>1806.9972059599825</v>
      </c>
      <c r="E436" s="6">
        <f>SUM(AC133:BA133)</f>
        <v>2219.4940594747154</v>
      </c>
      <c r="F436" s="6">
        <f>SUM(AC174:BA174)</f>
        <v>2074.4586794633228</v>
      </c>
      <c r="G436" s="6">
        <f>SUM(AC215:BA215)</f>
        <v>1806.9972059599825</v>
      </c>
      <c r="H436" s="6">
        <f t="shared" ref="H436:H444" si="63">SUM(AC275:BA275)</f>
        <v>1109.7470297373577</v>
      </c>
      <c r="I436" s="6">
        <f t="shared" ref="I436:I444" si="64">SUM(AC335:BA335)</f>
        <v>1037.2293397316614</v>
      </c>
      <c r="J436" s="6">
        <f t="shared" ref="J436:J444" si="65">SUM(AC396:BA396)</f>
        <v>903.49860297999123</v>
      </c>
    </row>
    <row r="437" spans="1:11" x14ac:dyDescent="0.35">
      <c r="A437" s="6" t="s">
        <v>119</v>
      </c>
      <c r="B437" s="6">
        <f>SUM(AC12:BA12)</f>
        <v>580.04942097986282</v>
      </c>
      <c r="C437" s="6">
        <f>SUM(AC52:BA52)</f>
        <v>471.91965940783922</v>
      </c>
      <c r="D437" s="6">
        <f>SUM(AC92:BA92)</f>
        <v>401.67894942234688</v>
      </c>
      <c r="E437" s="6">
        <f>SUM(AC134:BA134)</f>
        <v>580.04942097986282</v>
      </c>
      <c r="F437" s="6">
        <f>SUM(AC175:BA175)</f>
        <v>471.91965940783922</v>
      </c>
      <c r="G437" s="6">
        <f>SUM(AC216:BA216)</f>
        <v>401.67894942234688</v>
      </c>
      <c r="H437" s="6">
        <f t="shared" si="63"/>
        <v>580.04942097986282</v>
      </c>
      <c r="I437" s="6">
        <f t="shared" si="64"/>
        <v>471.91965940783922</v>
      </c>
      <c r="J437" s="6">
        <f t="shared" si="65"/>
        <v>401.67894942234688</v>
      </c>
    </row>
    <row r="438" spans="1:11" x14ac:dyDescent="0.35">
      <c r="A438" s="6" t="s">
        <v>120</v>
      </c>
      <c r="B438" s="6">
        <f>SUM(AC13:BA13)</f>
        <v>21.40281274934447</v>
      </c>
      <c r="C438" s="6">
        <f>SUM(AC53:BA53)</f>
        <v>19.94256618773564</v>
      </c>
      <c r="D438" s="6">
        <f>SUM(AC93:BA93)</f>
        <v>18.734548309715944</v>
      </c>
      <c r="E438" s="6">
        <f>SUM(AC135:BA135)</f>
        <v>21.40281274934447</v>
      </c>
      <c r="F438" s="6">
        <f>SUM(AC176:BA176)</f>
        <v>19.94256618773564</v>
      </c>
      <c r="G438" s="6">
        <f>SUM(AC217:BA217)</f>
        <v>18.734548309715944</v>
      </c>
      <c r="H438" s="6">
        <f t="shared" si="63"/>
        <v>10.701406374672235</v>
      </c>
      <c r="I438" s="6">
        <f t="shared" si="64"/>
        <v>9.9712830938678199</v>
      </c>
      <c r="J438" s="6">
        <f t="shared" si="65"/>
        <v>9.3672741548579719</v>
      </c>
    </row>
    <row r="439" spans="1:11" x14ac:dyDescent="0.35">
      <c r="A439" s="6" t="s">
        <v>121</v>
      </c>
      <c r="B439" s="6">
        <f>SUM(AC14:BA14)</f>
        <v>9198.9242364452748</v>
      </c>
      <c r="C439" s="6">
        <f>SUM(AC54:BA54)</f>
        <v>7645.0215169518433</v>
      </c>
      <c r="D439" s="6">
        <f>SUM(AC94:BA94)</f>
        <v>6529.4452673898613</v>
      </c>
      <c r="E439" s="6">
        <f>SUM(AC136:BA136)</f>
        <v>9198.9242364452748</v>
      </c>
      <c r="F439" s="6">
        <f>SUM(AC177:BA177)</f>
        <v>7645.0215169518433</v>
      </c>
      <c r="G439" s="6">
        <f>SUM(AC218:BA218)</f>
        <v>6529.4452673898613</v>
      </c>
      <c r="H439" s="6">
        <f t="shared" si="63"/>
        <v>9198.9242364452748</v>
      </c>
      <c r="I439" s="6">
        <f t="shared" si="64"/>
        <v>7645.0215169518433</v>
      </c>
      <c r="J439" s="6">
        <f t="shared" si="65"/>
        <v>6529.4452673898613</v>
      </c>
    </row>
    <row r="440" spans="1:11" x14ac:dyDescent="0.35">
      <c r="A440" s="6" t="s">
        <v>800</v>
      </c>
      <c r="H440" s="6">
        <f t="shared" si="63"/>
        <v>100356.07732666079</v>
      </c>
      <c r="I440" s="6">
        <f t="shared" si="64"/>
        <v>90992.959529088344</v>
      </c>
      <c r="J440" s="6">
        <f t="shared" si="65"/>
        <v>8732.8767123287689</v>
      </c>
    </row>
    <row r="441" spans="1:11" x14ac:dyDescent="0.35">
      <c r="A441" s="6" t="s">
        <v>122</v>
      </c>
      <c r="B441" s="6">
        <f>SUM(AC15:BA15)</f>
        <v>1357315.9993576582</v>
      </c>
      <c r="C441" s="6">
        <f>SUM(AC55:BA55)</f>
        <v>258033.93273547493</v>
      </c>
      <c r="D441" s="6">
        <f>SUM(AC95:BA95)</f>
        <v>-41691.883228327206</v>
      </c>
      <c r="E441" s="6">
        <f>SUM(AC137:BA137)</f>
        <v>1044431.7202721788</v>
      </c>
      <c r="F441" s="6">
        <f>SUM(AC178:BA178)</f>
        <v>200867.68287388139</v>
      </c>
      <c r="G441" s="6">
        <f>SUM(AC219:BA219)</f>
        <v>-30500.161955046358</v>
      </c>
      <c r="H441" s="6">
        <f t="shared" si="63"/>
        <v>79636.096070536543</v>
      </c>
      <c r="I441" s="6">
        <f t="shared" si="64"/>
        <v>55041.302280381133</v>
      </c>
      <c r="J441" s="6">
        <f t="shared" si="65"/>
        <v>41473.835328886598</v>
      </c>
    </row>
    <row r="442" spans="1:11" x14ac:dyDescent="0.35">
      <c r="A442" s="6" t="s">
        <v>123</v>
      </c>
      <c r="B442" s="6">
        <f>SUM(AC16:BA16)</f>
        <v>104932.0430884095</v>
      </c>
      <c r="C442" s="6">
        <f>SUM(AC56:BA56)</f>
        <v>21887.5037790387</v>
      </c>
      <c r="D442" s="6">
        <f>SUM(AC96:BA96)</f>
        <v>-1071.0597649627412</v>
      </c>
      <c r="E442" s="6">
        <f>SUM(AC138:BA138)</f>
        <v>104932.0430884095</v>
      </c>
      <c r="F442" s="6">
        <f>SUM(AC179:BA179)</f>
        <v>21887.5037790387</v>
      </c>
      <c r="G442" s="6">
        <f>SUM(AC220:BA220)</f>
        <v>-1071.0597649627412</v>
      </c>
      <c r="H442" s="6">
        <f t="shared" si="63"/>
        <v>52466.021544204748</v>
      </c>
      <c r="I442" s="6">
        <f t="shared" si="64"/>
        <v>10943.75188951935</v>
      </c>
      <c r="J442" s="6">
        <f t="shared" si="65"/>
        <v>-535.52988248137058</v>
      </c>
    </row>
    <row r="443" spans="1:11" x14ac:dyDescent="0.35">
      <c r="A443" s="6" t="s">
        <v>124</v>
      </c>
      <c r="B443" s="6">
        <f>SUM(AC17:BA17)</f>
        <v>-2500000</v>
      </c>
      <c r="C443" s="6">
        <f>SUM(AC57:BA57)</f>
        <v>-2500000</v>
      </c>
      <c r="D443" s="6">
        <f>SUM(AC97:BA97)</f>
        <v>-2500000</v>
      </c>
      <c r="E443" s="6">
        <f>SUM(AC139:BA139)</f>
        <v>-2500000</v>
      </c>
      <c r="F443" s="6">
        <f>SUM(AC180:BA180)</f>
        <v>-2500000</v>
      </c>
      <c r="G443" s="6">
        <f>SUM(AC221:BA221)</f>
        <v>-2500000</v>
      </c>
      <c r="H443" s="6">
        <f t="shared" si="63"/>
        <v>-1250000</v>
      </c>
      <c r="I443" s="6">
        <f t="shared" si="64"/>
        <v>-1250000</v>
      </c>
      <c r="J443" s="6">
        <f t="shared" si="65"/>
        <v>-1250000</v>
      </c>
    </row>
    <row r="444" spans="1:11" x14ac:dyDescent="0.35">
      <c r="A444" s="6" t="s">
        <v>137</v>
      </c>
      <c r="B444" s="6">
        <f>SUM(AC18:BA18)</f>
        <v>-997370.27793644718</v>
      </c>
      <c r="C444" s="6">
        <f>SUM(AC58:BA58)</f>
        <v>-2184053.316945977</v>
      </c>
      <c r="D444" s="6">
        <f>SUM(AC98:BA98)</f>
        <v>-2515271.332779841</v>
      </c>
      <c r="E444" s="6">
        <f>SUM(AC140:BA140)</f>
        <v>-1310254.5570219266</v>
      </c>
      <c r="F444" s="6">
        <f>SUM(AC181:BA181)</f>
        <v>-2241219.5668075704</v>
      </c>
      <c r="G444" s="6">
        <f>SUM(AC222:BA222)</f>
        <v>-2504079.6115065599</v>
      </c>
      <c r="H444" s="6">
        <f t="shared" si="63"/>
        <v>-979123.72423853539</v>
      </c>
      <c r="I444" s="6">
        <f t="shared" si="64"/>
        <v>-1058861.5738280523</v>
      </c>
      <c r="J444" s="6">
        <f t="shared" si="65"/>
        <v>-1174493.2001663842</v>
      </c>
    </row>
    <row r="446" spans="1:11" x14ac:dyDescent="0.35">
      <c r="A446" s="331" t="s">
        <v>133</v>
      </c>
      <c r="B446" s="331"/>
      <c r="C446" s="331"/>
      <c r="D446" s="331"/>
      <c r="E446" s="331"/>
      <c r="F446" s="331"/>
      <c r="G446" s="331"/>
      <c r="H446" s="331"/>
      <c r="I446" s="331"/>
      <c r="J446" s="331"/>
      <c r="K446" s="331"/>
    </row>
    <row r="447" spans="1:11" x14ac:dyDescent="0.35">
      <c r="A447" s="6" t="s">
        <v>876</v>
      </c>
    </row>
    <row r="448" spans="1:11" x14ac:dyDescent="0.35">
      <c r="B448" s="6" t="s">
        <v>889</v>
      </c>
      <c r="C448" s="6" t="s">
        <v>891</v>
      </c>
      <c r="D448" s="6" t="s">
        <v>890</v>
      </c>
      <c r="E448" s="6" t="s">
        <v>892</v>
      </c>
      <c r="F448" s="6" t="s">
        <v>893</v>
      </c>
      <c r="G448" s="6" t="s">
        <v>894</v>
      </c>
      <c r="H448" s="6" t="s">
        <v>896</v>
      </c>
      <c r="I448" s="6" t="s">
        <v>897</v>
      </c>
      <c r="J448" s="6" t="s">
        <v>895</v>
      </c>
    </row>
    <row r="449" spans="1:11" x14ac:dyDescent="0.35">
      <c r="A449" s="6" t="s">
        <v>117</v>
      </c>
      <c r="B449" s="6">
        <f>B435/25</f>
        <v>1134.4723635134283</v>
      </c>
      <c r="C449" s="6">
        <f t="shared" ref="C449:J449" si="66">C435/25</f>
        <v>1032.5561646999495</v>
      </c>
      <c r="D449" s="6">
        <f t="shared" si="66"/>
        <v>749.39016969469174</v>
      </c>
      <c r="E449" s="6">
        <f t="shared" si="66"/>
        <v>1134.4723635134283</v>
      </c>
      <c r="F449" s="6">
        <f t="shared" si="66"/>
        <v>1032.5561646999495</v>
      </c>
      <c r="G449" s="6">
        <f t="shared" si="66"/>
        <v>749.39016969469174</v>
      </c>
      <c r="H449" s="6">
        <f t="shared" si="66"/>
        <v>1100.7463490610137</v>
      </c>
      <c r="I449" s="6">
        <f t="shared" si="66"/>
        <v>999.85082695093388</v>
      </c>
      <c r="J449" s="6">
        <f t="shared" si="66"/>
        <v>719.66510323738828</v>
      </c>
    </row>
    <row r="450" spans="1:11" x14ac:dyDescent="0.35">
      <c r="A450" s="6" t="s">
        <v>118</v>
      </c>
      <c r="B450" s="6">
        <f t="shared" ref="B450:J458" si="67">B436/25</f>
        <v>88.779762378988622</v>
      </c>
      <c r="C450" s="6">
        <f t="shared" si="67"/>
        <v>82.978347178532914</v>
      </c>
      <c r="D450" s="6">
        <f t="shared" si="67"/>
        <v>72.279888238399295</v>
      </c>
      <c r="E450" s="6">
        <f t="shared" si="67"/>
        <v>88.779762378988622</v>
      </c>
      <c r="F450" s="6">
        <f t="shared" si="67"/>
        <v>82.978347178532914</v>
      </c>
      <c r="G450" s="6">
        <f t="shared" si="67"/>
        <v>72.279888238399295</v>
      </c>
      <c r="H450" s="6">
        <f t="shared" si="67"/>
        <v>44.389881189494311</v>
      </c>
      <c r="I450" s="6">
        <f t="shared" si="67"/>
        <v>41.489173589266457</v>
      </c>
      <c r="J450" s="6">
        <f t="shared" si="67"/>
        <v>36.139944119199647</v>
      </c>
    </row>
    <row r="451" spans="1:11" x14ac:dyDescent="0.35">
      <c r="A451" s="6" t="s">
        <v>119</v>
      </c>
      <c r="B451" s="6">
        <f t="shared" si="67"/>
        <v>23.201976839194511</v>
      </c>
      <c r="C451" s="6">
        <f t="shared" si="67"/>
        <v>18.876786376313568</v>
      </c>
      <c r="D451" s="6">
        <f t="shared" si="67"/>
        <v>16.067157976893874</v>
      </c>
      <c r="E451" s="6">
        <f t="shared" si="67"/>
        <v>23.201976839194511</v>
      </c>
      <c r="F451" s="6">
        <f t="shared" si="67"/>
        <v>18.876786376313568</v>
      </c>
      <c r="G451" s="6">
        <f t="shared" si="67"/>
        <v>16.067157976893874</v>
      </c>
      <c r="H451" s="6">
        <f t="shared" si="67"/>
        <v>23.201976839194511</v>
      </c>
      <c r="I451" s="6">
        <f t="shared" si="67"/>
        <v>18.876786376313568</v>
      </c>
      <c r="J451" s="6">
        <f t="shared" si="67"/>
        <v>16.067157976893874</v>
      </c>
    </row>
    <row r="452" spans="1:11" x14ac:dyDescent="0.35">
      <c r="A452" s="6" t="s">
        <v>120</v>
      </c>
      <c r="B452" s="6">
        <f t="shared" si="67"/>
        <v>0.85611250997377875</v>
      </c>
      <c r="C452" s="6">
        <f t="shared" si="67"/>
        <v>0.79770264750942554</v>
      </c>
      <c r="D452" s="6">
        <f t="shared" si="67"/>
        <v>0.74938193238863771</v>
      </c>
      <c r="E452" s="6">
        <f t="shared" si="67"/>
        <v>0.85611250997377875</v>
      </c>
      <c r="F452" s="6">
        <f t="shared" si="67"/>
        <v>0.79770264750942554</v>
      </c>
      <c r="G452" s="6">
        <f t="shared" si="67"/>
        <v>0.74938193238863771</v>
      </c>
      <c r="H452" s="6">
        <f t="shared" si="67"/>
        <v>0.42805625498688937</v>
      </c>
      <c r="I452" s="6">
        <f t="shared" si="67"/>
        <v>0.39885132375471277</v>
      </c>
      <c r="J452" s="6">
        <f t="shared" si="67"/>
        <v>0.37469096619431885</v>
      </c>
    </row>
    <row r="453" spans="1:11" x14ac:dyDescent="0.35">
      <c r="A453" s="6" t="s">
        <v>121</v>
      </c>
      <c r="B453" s="6">
        <f t="shared" si="67"/>
        <v>367.956969457811</v>
      </c>
      <c r="C453" s="6">
        <f t="shared" si="67"/>
        <v>305.80086067807372</v>
      </c>
      <c r="D453" s="6">
        <f t="shared" si="67"/>
        <v>261.17781069559447</v>
      </c>
      <c r="E453" s="6">
        <f t="shared" si="67"/>
        <v>367.956969457811</v>
      </c>
      <c r="F453" s="6">
        <f t="shared" si="67"/>
        <v>305.80086067807372</v>
      </c>
      <c r="G453" s="6">
        <f t="shared" si="67"/>
        <v>261.17781069559447</v>
      </c>
      <c r="H453" s="6">
        <f t="shared" si="67"/>
        <v>367.956969457811</v>
      </c>
      <c r="I453" s="6">
        <f t="shared" si="67"/>
        <v>305.80086067807372</v>
      </c>
      <c r="J453" s="6">
        <f t="shared" si="67"/>
        <v>261.17781069559447</v>
      </c>
    </row>
    <row r="454" spans="1:11" x14ac:dyDescent="0.35">
      <c r="A454" s="6" t="s">
        <v>800</v>
      </c>
      <c r="B454" s="6">
        <f t="shared" si="67"/>
        <v>0</v>
      </c>
      <c r="C454" s="6">
        <f t="shared" si="67"/>
        <v>0</v>
      </c>
      <c r="D454" s="6">
        <f t="shared" si="67"/>
        <v>0</v>
      </c>
      <c r="E454" s="6">
        <f t="shared" si="67"/>
        <v>0</v>
      </c>
      <c r="F454" s="6">
        <f t="shared" si="67"/>
        <v>0</v>
      </c>
      <c r="G454" s="6">
        <f t="shared" si="67"/>
        <v>0</v>
      </c>
      <c r="H454" s="6">
        <f t="shared" si="67"/>
        <v>4014.2430930664314</v>
      </c>
      <c r="I454" s="6">
        <f t="shared" si="67"/>
        <v>3639.7183811635336</v>
      </c>
      <c r="J454" s="6">
        <f t="shared" si="67"/>
        <v>349.31506849315076</v>
      </c>
    </row>
    <row r="455" spans="1:11" x14ac:dyDescent="0.35">
      <c r="A455" s="6" t="s">
        <v>122</v>
      </c>
      <c r="B455" s="6">
        <f t="shared" si="67"/>
        <v>54292.63997430633</v>
      </c>
      <c r="C455" s="6">
        <f t="shared" si="67"/>
        <v>10321.357309418998</v>
      </c>
      <c r="D455" s="6">
        <f t="shared" si="67"/>
        <v>-1667.6753291330883</v>
      </c>
      <c r="E455" s="6">
        <f t="shared" si="67"/>
        <v>41777.268810887152</v>
      </c>
      <c r="F455" s="6">
        <f t="shared" si="67"/>
        <v>8034.7073149552562</v>
      </c>
      <c r="G455" s="6">
        <f t="shared" si="67"/>
        <v>-1220.0064782018544</v>
      </c>
      <c r="H455" s="6">
        <f t="shared" si="67"/>
        <v>3185.4438428214617</v>
      </c>
      <c r="I455" s="6">
        <f t="shared" si="67"/>
        <v>2201.6520912152455</v>
      </c>
      <c r="J455" s="6">
        <f t="shared" si="67"/>
        <v>1658.953413155464</v>
      </c>
    </row>
    <row r="456" spans="1:11" x14ac:dyDescent="0.35">
      <c r="A456" s="6" t="s">
        <v>123</v>
      </c>
      <c r="B456" s="6">
        <f t="shared" si="67"/>
        <v>4197.28172353638</v>
      </c>
      <c r="C456" s="6">
        <f t="shared" si="67"/>
        <v>875.50015116154793</v>
      </c>
      <c r="D456" s="6">
        <f t="shared" si="67"/>
        <v>-42.842390598509645</v>
      </c>
      <c r="E456" s="6">
        <f t="shared" si="67"/>
        <v>4197.28172353638</v>
      </c>
      <c r="F456" s="6">
        <f t="shared" si="67"/>
        <v>875.50015116154793</v>
      </c>
      <c r="G456" s="6">
        <f t="shared" si="67"/>
        <v>-42.842390598509645</v>
      </c>
      <c r="H456" s="6">
        <f t="shared" si="67"/>
        <v>2098.64086176819</v>
      </c>
      <c r="I456" s="6">
        <f t="shared" si="67"/>
        <v>437.75007558077397</v>
      </c>
      <c r="J456" s="6">
        <f t="shared" si="67"/>
        <v>-21.421195299254823</v>
      </c>
    </row>
    <row r="457" spans="1:11" x14ac:dyDescent="0.35">
      <c r="A457" s="6" t="s">
        <v>124</v>
      </c>
      <c r="B457" s="6">
        <f t="shared" si="67"/>
        <v>-100000</v>
      </c>
      <c r="C457" s="6">
        <f t="shared" si="67"/>
        <v>-100000</v>
      </c>
      <c r="D457" s="6">
        <f t="shared" si="67"/>
        <v>-100000</v>
      </c>
      <c r="E457" s="6">
        <f t="shared" si="67"/>
        <v>-100000</v>
      </c>
      <c r="F457" s="6">
        <f t="shared" si="67"/>
        <v>-100000</v>
      </c>
      <c r="G457" s="6">
        <f t="shared" si="67"/>
        <v>-100000</v>
      </c>
      <c r="H457" s="6">
        <f t="shared" si="67"/>
        <v>-50000</v>
      </c>
      <c r="I457" s="6">
        <f t="shared" si="67"/>
        <v>-50000</v>
      </c>
      <c r="J457" s="6">
        <f t="shared" si="67"/>
        <v>-50000</v>
      </c>
    </row>
    <row r="458" spans="1:11" x14ac:dyDescent="0.35">
      <c r="A458" s="6" t="s">
        <v>137</v>
      </c>
      <c r="B458" s="6">
        <f t="shared" si="67"/>
        <v>-39894.811117457888</v>
      </c>
      <c r="C458" s="6">
        <f t="shared" si="67"/>
        <v>-87362.132677839079</v>
      </c>
      <c r="D458" s="6">
        <f t="shared" si="67"/>
        <v>-100610.85331119364</v>
      </c>
      <c r="E458" s="6">
        <f t="shared" si="67"/>
        <v>-52410.182280877067</v>
      </c>
      <c r="F458" s="6">
        <f t="shared" si="67"/>
        <v>-89648.782672302812</v>
      </c>
      <c r="G458" s="6">
        <f t="shared" si="67"/>
        <v>-100163.18446026239</v>
      </c>
      <c r="H458" s="6">
        <f t="shared" si="67"/>
        <v>-39164.948969541416</v>
      </c>
      <c r="I458" s="6">
        <f t="shared" si="67"/>
        <v>-42354.462953122093</v>
      </c>
      <c r="J458" s="6">
        <f t="shared" si="67"/>
        <v>-46979.728006655372</v>
      </c>
    </row>
    <row r="461" spans="1:11" x14ac:dyDescent="0.35">
      <c r="A461" s="331" t="s">
        <v>135</v>
      </c>
      <c r="B461" s="331"/>
      <c r="C461" s="331"/>
      <c r="D461" s="331"/>
      <c r="E461" s="331"/>
      <c r="F461" s="331"/>
      <c r="G461" s="331"/>
      <c r="H461" s="331"/>
      <c r="I461" s="331"/>
      <c r="J461" s="331"/>
      <c r="K461" s="331"/>
    </row>
    <row r="462" spans="1:11" x14ac:dyDescent="0.35">
      <c r="A462" s="6" t="s">
        <v>877</v>
      </c>
    </row>
    <row r="463" spans="1:11" x14ac:dyDescent="0.35">
      <c r="A463" s="6" t="s">
        <v>139</v>
      </c>
      <c r="B463" s="6">
        <v>100</v>
      </c>
      <c r="C463" s="6" t="s">
        <v>128</v>
      </c>
    </row>
    <row r="464" spans="1:11" x14ac:dyDescent="0.35">
      <c r="A464" s="6" t="s">
        <v>140</v>
      </c>
      <c r="B464" s="6">
        <v>50</v>
      </c>
      <c r="C464" s="6" t="s">
        <v>128</v>
      </c>
    </row>
    <row r="466" spans="1:12" x14ac:dyDescent="0.35">
      <c r="B466" s="6" t="s">
        <v>889</v>
      </c>
      <c r="C466" s="6" t="s">
        <v>891</v>
      </c>
      <c r="D466" s="6" t="s">
        <v>890</v>
      </c>
      <c r="E466" s="6" t="s">
        <v>892</v>
      </c>
      <c r="F466" s="6" t="s">
        <v>893</v>
      </c>
      <c r="G466" s="6" t="s">
        <v>894</v>
      </c>
      <c r="H466" s="6" t="s">
        <v>896</v>
      </c>
      <c r="I466" s="6" t="s">
        <v>897</v>
      </c>
      <c r="J466" s="6" t="s">
        <v>895</v>
      </c>
    </row>
    <row r="467" spans="1:12" x14ac:dyDescent="0.35">
      <c r="A467" s="6" t="s">
        <v>117</v>
      </c>
      <c r="B467" s="6">
        <f t="shared" ref="B467:G467" si="68">B449/$B$463</f>
        <v>11.344723635134283</v>
      </c>
      <c r="C467" s="6">
        <f t="shared" si="68"/>
        <v>10.325561646999494</v>
      </c>
      <c r="D467" s="6">
        <f t="shared" si="68"/>
        <v>7.4939016969469172</v>
      </c>
      <c r="E467" s="6">
        <f t="shared" si="68"/>
        <v>11.344723635134283</v>
      </c>
      <c r="F467" s="6">
        <f t="shared" si="68"/>
        <v>10.325561646999494</v>
      </c>
      <c r="G467" s="6">
        <f t="shared" si="68"/>
        <v>7.4939016969469172</v>
      </c>
      <c r="H467" s="6">
        <f>H449/$B$464</f>
        <v>22.014926981220274</v>
      </c>
      <c r="I467" s="6">
        <f>I449/$B$464</f>
        <v>19.997016539018677</v>
      </c>
      <c r="J467" s="6">
        <f>J449/$B$464</f>
        <v>14.393302064747765</v>
      </c>
    </row>
    <row r="468" spans="1:12" x14ac:dyDescent="0.35">
      <c r="A468" s="6" t="s">
        <v>118</v>
      </c>
      <c r="B468" s="6">
        <f t="shared" ref="B468:G476" si="69">B450/$B$463</f>
        <v>0.88779762378988625</v>
      </c>
      <c r="C468" s="6">
        <f t="shared" si="69"/>
        <v>0.82978347178532919</v>
      </c>
      <c r="D468" s="6">
        <f t="shared" si="69"/>
        <v>0.72279888238399292</v>
      </c>
      <c r="E468" s="6">
        <f t="shared" si="69"/>
        <v>0.88779762378988625</v>
      </c>
      <c r="F468" s="6">
        <f t="shared" si="69"/>
        <v>0.82978347178532919</v>
      </c>
      <c r="G468" s="6">
        <f t="shared" si="69"/>
        <v>0.72279888238399292</v>
      </c>
      <c r="H468" s="6">
        <f t="shared" ref="H468:J476" si="70">H450/$B$464</f>
        <v>0.88779762378988625</v>
      </c>
      <c r="I468" s="6">
        <f t="shared" si="70"/>
        <v>0.82978347178532919</v>
      </c>
      <c r="J468" s="6">
        <f t="shared" si="70"/>
        <v>0.72279888238399292</v>
      </c>
    </row>
    <row r="469" spans="1:12" x14ac:dyDescent="0.35">
      <c r="A469" s="6" t="s">
        <v>119</v>
      </c>
      <c r="B469" s="6">
        <f t="shared" si="69"/>
        <v>0.2320197683919451</v>
      </c>
      <c r="C469" s="6">
        <f t="shared" si="69"/>
        <v>0.18876786376313567</v>
      </c>
      <c r="D469" s="6">
        <f t="shared" si="69"/>
        <v>0.16067157976893875</v>
      </c>
      <c r="E469" s="6">
        <f t="shared" si="69"/>
        <v>0.2320197683919451</v>
      </c>
      <c r="F469" s="6">
        <f t="shared" si="69"/>
        <v>0.18876786376313567</v>
      </c>
      <c r="G469" s="6">
        <f t="shared" si="69"/>
        <v>0.16067157976893875</v>
      </c>
      <c r="H469" s="6">
        <f t="shared" si="70"/>
        <v>0.46403953678389021</v>
      </c>
      <c r="I469" s="6">
        <f t="shared" si="70"/>
        <v>0.37753572752627135</v>
      </c>
      <c r="J469" s="6">
        <f t="shared" si="70"/>
        <v>0.32134315953787751</v>
      </c>
    </row>
    <row r="470" spans="1:12" x14ac:dyDescent="0.35">
      <c r="A470" s="6" t="s">
        <v>120</v>
      </c>
      <c r="B470" s="6">
        <f t="shared" si="69"/>
        <v>8.5611250997377868E-3</v>
      </c>
      <c r="C470" s="6">
        <f t="shared" si="69"/>
        <v>7.9770264750942555E-3</v>
      </c>
      <c r="D470" s="6">
        <f t="shared" si="69"/>
        <v>7.4938193238863774E-3</v>
      </c>
      <c r="E470" s="6">
        <f t="shared" si="69"/>
        <v>8.5611250997377868E-3</v>
      </c>
      <c r="F470" s="6">
        <f t="shared" si="69"/>
        <v>7.9770264750942555E-3</v>
      </c>
      <c r="G470" s="6">
        <f t="shared" si="69"/>
        <v>7.4938193238863774E-3</v>
      </c>
      <c r="H470" s="6">
        <f t="shared" si="70"/>
        <v>8.5611250997377868E-3</v>
      </c>
      <c r="I470" s="6">
        <f t="shared" si="70"/>
        <v>7.9770264750942555E-3</v>
      </c>
      <c r="J470" s="6">
        <f t="shared" si="70"/>
        <v>7.4938193238863774E-3</v>
      </c>
    </row>
    <row r="471" spans="1:12" x14ac:dyDescent="0.35">
      <c r="A471" s="6" t="s">
        <v>121</v>
      </c>
      <c r="B471" s="6">
        <f t="shared" si="69"/>
        <v>3.67956969457811</v>
      </c>
      <c r="C471" s="6">
        <f t="shared" si="69"/>
        <v>3.0580086067807373</v>
      </c>
      <c r="D471" s="6">
        <f t="shared" si="69"/>
        <v>2.6117781069559447</v>
      </c>
      <c r="E471" s="6">
        <f t="shared" si="69"/>
        <v>3.67956969457811</v>
      </c>
      <c r="F471" s="6">
        <f t="shared" si="69"/>
        <v>3.0580086067807373</v>
      </c>
      <c r="G471" s="6">
        <f t="shared" si="69"/>
        <v>2.6117781069559447</v>
      </c>
      <c r="H471" s="6">
        <f t="shared" si="70"/>
        <v>7.35913938915622</v>
      </c>
      <c r="I471" s="6">
        <f t="shared" si="70"/>
        <v>6.1160172135614745</v>
      </c>
      <c r="J471" s="6">
        <f t="shared" si="70"/>
        <v>5.2235562139118894</v>
      </c>
    </row>
    <row r="472" spans="1:12" x14ac:dyDescent="0.35">
      <c r="A472" s="6" t="s">
        <v>800</v>
      </c>
      <c r="B472" s="6">
        <f t="shared" si="69"/>
        <v>0</v>
      </c>
      <c r="C472" s="6">
        <f t="shared" si="69"/>
        <v>0</v>
      </c>
      <c r="D472" s="6">
        <f t="shared" si="69"/>
        <v>0</v>
      </c>
      <c r="E472" s="6">
        <f t="shared" si="69"/>
        <v>0</v>
      </c>
      <c r="F472" s="6">
        <f t="shared" si="69"/>
        <v>0</v>
      </c>
      <c r="G472" s="6">
        <f t="shared" si="69"/>
        <v>0</v>
      </c>
      <c r="H472" s="6">
        <f t="shared" si="70"/>
        <v>80.284861861328622</v>
      </c>
      <c r="I472" s="6">
        <f t="shared" si="70"/>
        <v>72.794367623270674</v>
      </c>
      <c r="J472" s="6">
        <f t="shared" si="70"/>
        <v>6.986301369863015</v>
      </c>
    </row>
    <row r="473" spans="1:12" x14ac:dyDescent="0.35">
      <c r="A473" s="6" t="s">
        <v>122</v>
      </c>
      <c r="B473" s="6">
        <f t="shared" si="69"/>
        <v>542.92639974306326</v>
      </c>
      <c r="C473" s="6">
        <f t="shared" si="69"/>
        <v>103.21357309418998</v>
      </c>
      <c r="D473" s="6">
        <f t="shared" si="69"/>
        <v>-16.676753291330883</v>
      </c>
      <c r="E473" s="6">
        <f t="shared" si="69"/>
        <v>417.77268810887153</v>
      </c>
      <c r="F473" s="6">
        <f t="shared" si="69"/>
        <v>80.347073149552557</v>
      </c>
      <c r="G473" s="6">
        <f t="shared" si="69"/>
        <v>-12.200064782018543</v>
      </c>
      <c r="H473" s="6">
        <f t="shared" si="70"/>
        <v>63.708876856429235</v>
      </c>
      <c r="I473" s="6">
        <f t="shared" si="70"/>
        <v>44.03304182430491</v>
      </c>
      <c r="J473" s="6">
        <f t="shared" si="70"/>
        <v>33.179068263109279</v>
      </c>
      <c r="L473" s="1"/>
    </row>
    <row r="474" spans="1:12" x14ac:dyDescent="0.35">
      <c r="A474" s="6" t="s">
        <v>123</v>
      </c>
      <c r="B474" s="6">
        <f t="shared" si="69"/>
        <v>41.972817235363799</v>
      </c>
      <c r="C474" s="6">
        <f t="shared" si="69"/>
        <v>8.7550015116154789</v>
      </c>
      <c r="D474" s="6">
        <f t="shared" si="69"/>
        <v>-0.42842390598509644</v>
      </c>
      <c r="E474" s="6">
        <f t="shared" si="69"/>
        <v>41.972817235363799</v>
      </c>
      <c r="F474" s="6">
        <f t="shared" si="69"/>
        <v>8.7550015116154789</v>
      </c>
      <c r="G474" s="6">
        <f t="shared" si="69"/>
        <v>-0.42842390598509644</v>
      </c>
      <c r="H474" s="6">
        <f t="shared" si="70"/>
        <v>41.972817235363799</v>
      </c>
      <c r="I474" s="6">
        <f t="shared" si="70"/>
        <v>8.7550015116154789</v>
      </c>
      <c r="J474" s="6">
        <f t="shared" si="70"/>
        <v>-0.42842390598509644</v>
      </c>
    </row>
    <row r="475" spans="1:12" x14ac:dyDescent="0.35">
      <c r="A475" s="6" t="s">
        <v>124</v>
      </c>
      <c r="B475" s="6">
        <f t="shared" si="69"/>
        <v>-1000</v>
      </c>
      <c r="C475" s="6">
        <f t="shared" si="69"/>
        <v>-1000</v>
      </c>
      <c r="D475" s="6">
        <f t="shared" si="69"/>
        <v>-1000</v>
      </c>
      <c r="E475" s="6">
        <f t="shared" si="69"/>
        <v>-1000</v>
      </c>
      <c r="F475" s="6">
        <f t="shared" si="69"/>
        <v>-1000</v>
      </c>
      <c r="G475" s="6">
        <f t="shared" si="69"/>
        <v>-1000</v>
      </c>
      <c r="H475" s="6">
        <f t="shared" si="70"/>
        <v>-1000</v>
      </c>
      <c r="I475" s="6">
        <f t="shared" si="70"/>
        <v>-1000</v>
      </c>
      <c r="J475" s="6">
        <f t="shared" si="70"/>
        <v>-1000</v>
      </c>
    </row>
    <row r="476" spans="1:12" x14ac:dyDescent="0.35">
      <c r="A476" s="6" t="s">
        <v>137</v>
      </c>
      <c r="B476" s="6">
        <f t="shared" si="69"/>
        <v>-398.94811117457886</v>
      </c>
      <c r="C476" s="6">
        <f t="shared" si="69"/>
        <v>-873.62132677839077</v>
      </c>
      <c r="D476" s="6">
        <f t="shared" si="69"/>
        <v>-1006.1085331119364</v>
      </c>
      <c r="E476" s="6">
        <f t="shared" si="69"/>
        <v>-524.10182280877063</v>
      </c>
      <c r="F476" s="6">
        <f t="shared" si="69"/>
        <v>-896.48782672302809</v>
      </c>
      <c r="G476" s="6">
        <f t="shared" si="69"/>
        <v>-1001.6318446026239</v>
      </c>
      <c r="H476" s="6">
        <f t="shared" si="70"/>
        <v>-783.29897939082832</v>
      </c>
      <c r="I476" s="6">
        <f t="shared" si="70"/>
        <v>-847.0892590624419</v>
      </c>
      <c r="J476" s="6">
        <f t="shared" si="70"/>
        <v>-939.59456013310739</v>
      </c>
    </row>
  </sheetData>
  <mergeCells count="3">
    <mergeCell ref="A461:K461"/>
    <mergeCell ref="A432:K432"/>
    <mergeCell ref="A446:K446"/>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E7122-8CEB-419E-B908-C255301F3330}">
  <sheetPr>
    <tabColor theme="5" tint="-0.249977111117893"/>
  </sheetPr>
  <dimension ref="A1:BA476"/>
  <sheetViews>
    <sheetView topLeftCell="O430" zoomScale="60" zoomScaleNormal="60" workbookViewId="0">
      <selection activeCell="Z241" sqref="Z241"/>
    </sheetView>
  </sheetViews>
  <sheetFormatPr defaultColWidth="8.54296875" defaultRowHeight="14.5" outlineLevelRow="1" x14ac:dyDescent="0.35"/>
  <cols>
    <col min="1" max="1" width="37.54296875" style="6" customWidth="1"/>
    <col min="2" max="2" width="16.453125" style="6" bestFit="1" customWidth="1"/>
    <col min="3" max="14" width="10.54296875" style="6" bestFit="1" customWidth="1"/>
    <col min="15" max="16" width="10.1796875" style="6" bestFit="1" customWidth="1"/>
    <col min="17" max="24" width="10.54296875" style="6" bestFit="1" customWidth="1"/>
    <col min="25" max="25" width="10.1796875" style="6" bestFit="1" customWidth="1"/>
    <col min="26" max="26" width="16.453125" style="6" bestFit="1" customWidth="1"/>
    <col min="27" max="27" width="8.54296875" style="6"/>
    <col min="28" max="28" width="35" style="6" bestFit="1" customWidth="1"/>
    <col min="29" max="29" width="16.453125" style="6" bestFit="1" customWidth="1"/>
    <col min="30" max="30" width="16.54296875" style="6" customWidth="1"/>
    <col min="31" max="53" width="12.81640625" style="6" bestFit="1" customWidth="1"/>
    <col min="54" max="16384" width="8.54296875" style="6"/>
  </cols>
  <sheetData>
    <row r="1" spans="1:53" s="139" customFormat="1" ht="21" x14ac:dyDescent="0.5">
      <c r="A1" s="138" t="s">
        <v>687</v>
      </c>
    </row>
    <row r="2" spans="1:53" s="221" customFormat="1" ht="21" x14ac:dyDescent="0.5">
      <c r="A2" s="229" t="s">
        <v>849</v>
      </c>
    </row>
    <row r="3" spans="1:53" s="18" customFormat="1" ht="21" x14ac:dyDescent="0.5">
      <c r="A3" s="18" t="s">
        <v>72</v>
      </c>
    </row>
    <row r="4" spans="1:53" s="20" customFormat="1" outlineLevel="1" x14ac:dyDescent="0.35">
      <c r="A4" s="19" t="s">
        <v>767</v>
      </c>
    </row>
    <row r="5" spans="1:53" s="16" customFormat="1" outlineLevel="1" x14ac:dyDescent="0.35">
      <c r="A5" s="21"/>
      <c r="AB5" s="16" t="s">
        <v>47</v>
      </c>
      <c r="AC5" s="16">
        <v>8.1199999999999999E-8</v>
      </c>
      <c r="AD5" s="16" t="s">
        <v>48</v>
      </c>
      <c r="AE5" s="15" t="s">
        <v>714</v>
      </c>
    </row>
    <row r="6" spans="1:53" s="16" customFormat="1" outlineLevel="1" x14ac:dyDescent="0.35">
      <c r="A6" s="22" t="s">
        <v>564</v>
      </c>
      <c r="AC6" s="16">
        <f>AC5*1000</f>
        <v>8.1199999999999995E-5</v>
      </c>
      <c r="AD6" s="16" t="s">
        <v>126</v>
      </c>
    </row>
    <row r="7" spans="1:53" s="16" customFormat="1" outlineLevel="1" x14ac:dyDescent="0.35">
      <c r="A7" s="22"/>
      <c r="AB7" s="16" t="s">
        <v>127</v>
      </c>
      <c r="AC7" s="16">
        <v>100</v>
      </c>
      <c r="AD7" s="16" t="s">
        <v>128</v>
      </c>
    </row>
    <row r="8" spans="1:53" s="16" customFormat="1" outlineLevel="1" x14ac:dyDescent="0.35">
      <c r="A8" s="22"/>
      <c r="AB8" s="16" t="s">
        <v>129</v>
      </c>
      <c r="AC8" s="16">
        <v>25</v>
      </c>
      <c r="AD8" s="16" t="s">
        <v>130</v>
      </c>
    </row>
    <row r="9" spans="1:53" outlineLevel="1" x14ac:dyDescent="0.35">
      <c r="B9" s="25">
        <v>2030</v>
      </c>
      <c r="C9" s="25">
        <v>2031</v>
      </c>
      <c r="D9" s="25">
        <v>2032</v>
      </c>
      <c r="E9" s="25">
        <v>2033</v>
      </c>
      <c r="F9" s="25">
        <v>2034</v>
      </c>
      <c r="G9" s="25">
        <v>2035</v>
      </c>
      <c r="H9" s="25">
        <v>2036</v>
      </c>
      <c r="I9" s="25">
        <v>2037</v>
      </c>
      <c r="J9" s="25">
        <v>2038</v>
      </c>
      <c r="K9" s="25">
        <v>2039</v>
      </c>
      <c r="L9" s="25">
        <v>2040</v>
      </c>
      <c r="M9" s="25">
        <v>2041</v>
      </c>
      <c r="N9" s="25">
        <v>2042</v>
      </c>
      <c r="O9" s="25">
        <v>2043</v>
      </c>
      <c r="P9" s="25">
        <v>2044</v>
      </c>
      <c r="Q9" s="25">
        <v>2045</v>
      </c>
      <c r="R9" s="25">
        <v>2046</v>
      </c>
      <c r="S9" s="25">
        <v>2047</v>
      </c>
      <c r="T9" s="25">
        <v>2048</v>
      </c>
      <c r="U9" s="25">
        <v>2049</v>
      </c>
      <c r="V9" s="25">
        <v>2050</v>
      </c>
      <c r="W9" s="25">
        <v>2051</v>
      </c>
      <c r="X9" s="25">
        <v>2052</v>
      </c>
      <c r="Y9" s="25">
        <v>2053</v>
      </c>
      <c r="Z9" s="25">
        <v>2054</v>
      </c>
      <c r="AC9" s="25">
        <v>2030</v>
      </c>
      <c r="AD9" s="25">
        <v>2031</v>
      </c>
      <c r="AE9" s="25">
        <v>2032</v>
      </c>
      <c r="AF9" s="25">
        <v>2033</v>
      </c>
      <c r="AG9" s="25">
        <v>2034</v>
      </c>
      <c r="AH9" s="25">
        <v>2035</v>
      </c>
      <c r="AI9" s="25">
        <v>2036</v>
      </c>
      <c r="AJ9" s="25">
        <v>2037</v>
      </c>
      <c r="AK9" s="25">
        <v>2038</v>
      </c>
      <c r="AL9" s="25">
        <v>2039</v>
      </c>
      <c r="AM9" s="25">
        <v>2040</v>
      </c>
      <c r="AN9" s="25">
        <v>2041</v>
      </c>
      <c r="AO9" s="25">
        <v>2042</v>
      </c>
      <c r="AP9" s="25">
        <v>2043</v>
      </c>
      <c r="AQ9" s="25">
        <v>2044</v>
      </c>
      <c r="AR9" s="25">
        <v>2045</v>
      </c>
      <c r="AS9" s="25">
        <v>2046</v>
      </c>
      <c r="AT9" s="25">
        <v>2047</v>
      </c>
      <c r="AU9" s="25">
        <v>2048</v>
      </c>
      <c r="AV9" s="25">
        <v>2049</v>
      </c>
      <c r="AW9" s="25">
        <v>2050</v>
      </c>
      <c r="AX9" s="25">
        <v>2051</v>
      </c>
      <c r="AY9" s="25">
        <v>2052</v>
      </c>
      <c r="AZ9" s="25">
        <v>2053</v>
      </c>
      <c r="BA9" s="25">
        <v>2054</v>
      </c>
    </row>
    <row r="10" spans="1:53" outlineLevel="1" x14ac:dyDescent="0.35">
      <c r="A10" s="6" t="s">
        <v>21</v>
      </c>
      <c r="B10" s="6">
        <f>'Results - raw data ReCiPe (I)'!C5</f>
        <v>3.4482324452453388E-4</v>
      </c>
      <c r="AB10" s="6" t="s">
        <v>117</v>
      </c>
      <c r="AC10" s="6">
        <f>SUM(B10:B21)+B23</f>
        <v>1.7797818670811004E-2</v>
      </c>
    </row>
    <row r="11" spans="1:53" outlineLevel="1" x14ac:dyDescent="0.35">
      <c r="A11" s="6" t="s">
        <v>23</v>
      </c>
      <c r="B11" s="6">
        <f>'Results - raw data ReCiPe (I)'!C6</f>
        <v>4.7946797325153261E-4</v>
      </c>
      <c r="AB11" s="6" t="s">
        <v>118</v>
      </c>
      <c r="AC11" s="6">
        <f>B22</f>
        <v>1.057067915274905E-3</v>
      </c>
    </row>
    <row r="12" spans="1:53" outlineLevel="1" x14ac:dyDescent="0.35">
      <c r="A12" s="6" t="s">
        <v>26</v>
      </c>
      <c r="B12" s="6">
        <f>'Results - raw data ReCiPe (I)'!C7</f>
        <v>1.571898438205927E-3</v>
      </c>
      <c r="AB12" s="6" t="s">
        <v>119</v>
      </c>
      <c r="BA12" s="6">
        <f>SUM(Z24:Z35)</f>
        <v>1.5084924361783567E-4</v>
      </c>
    </row>
    <row r="13" spans="1:53" outlineLevel="1" x14ac:dyDescent="0.35">
      <c r="A13" s="6" t="s">
        <v>28</v>
      </c>
      <c r="B13" s="6">
        <f>'Results - raw data ReCiPe (I)'!C8</f>
        <v>2.6377271881221618E-3</v>
      </c>
      <c r="AB13" s="6" t="s">
        <v>120</v>
      </c>
      <c r="BA13" s="6">
        <f>Z36</f>
        <v>5.1688461306668095E-6</v>
      </c>
    </row>
    <row r="14" spans="1:53" outlineLevel="1" x14ac:dyDescent="0.35">
      <c r="A14" s="6" t="s">
        <v>29</v>
      </c>
      <c r="B14" s="6">
        <f>'Results - raw data ReCiPe (I)'!C9</f>
        <v>1.6956900718161901E-3</v>
      </c>
      <c r="AB14" s="6" t="s">
        <v>121</v>
      </c>
      <c r="AC14" s="6">
        <f>B37</f>
        <v>3.0950823392567891E-4</v>
      </c>
      <c r="AF14" s="6">
        <f>E37</f>
        <v>3.0470171244799881E-4</v>
      </c>
      <c r="AI14" s="6">
        <f>H37</f>
        <v>3.0220482749963639E-4</v>
      </c>
      <c r="AL14" s="6">
        <f>K37</f>
        <v>3.0088082558559647E-4</v>
      </c>
      <c r="AO14" s="6">
        <f>N37</f>
        <v>3.0032218865651928E-4</v>
      </c>
      <c r="AR14" s="6">
        <f>Q37</f>
        <v>2.9975776117043001E-4</v>
      </c>
      <c r="AU14" s="6">
        <f>T37</f>
        <v>2.9488735419779449E-4</v>
      </c>
      <c r="AX14" s="6">
        <f>W37</f>
        <v>3.0452007285205519E-4</v>
      </c>
      <c r="BA14" s="6">
        <f>Z37</f>
        <v>2.9772367667854253E-4</v>
      </c>
    </row>
    <row r="15" spans="1:53" outlineLevel="1" x14ac:dyDescent="0.35">
      <c r="A15" s="6" t="s">
        <v>31</v>
      </c>
      <c r="B15" s="6">
        <f>'Results - raw data ReCiPe (I)'!C10</f>
        <v>9.1842149141053552E-4</v>
      </c>
      <c r="AB15" s="6" t="s">
        <v>122</v>
      </c>
      <c r="AC15" s="6">
        <f>B40+B39</f>
        <v>8.1843757451045343E-3</v>
      </c>
      <c r="AD15" s="6">
        <f t="shared" ref="AD15:BA15" si="0">C40+C39</f>
        <v>8.183167088913439E-3</v>
      </c>
      <c r="AE15" s="6">
        <f t="shared" si="0"/>
        <v>8.1609008218352999E-3</v>
      </c>
      <c r="AF15" s="6">
        <f t="shared" si="0"/>
        <v>8.1257248633846927E-3</v>
      </c>
      <c r="AG15" s="6">
        <f t="shared" si="0"/>
        <v>8.0970341069473879E-3</v>
      </c>
      <c r="AH15" s="6">
        <f t="shared" si="0"/>
        <v>8.0683824953632285E-3</v>
      </c>
      <c r="AI15" s="6">
        <f t="shared" si="0"/>
        <v>8.3145443428219619E-3</v>
      </c>
      <c r="AJ15" s="6">
        <f t="shared" si="0"/>
        <v>8.5595823774225789E-3</v>
      </c>
      <c r="AK15" s="6">
        <f t="shared" si="0"/>
        <v>8.8011401679052408E-3</v>
      </c>
      <c r="AL15" s="6">
        <f t="shared" si="0"/>
        <v>9.0435159591937039E-3</v>
      </c>
      <c r="AM15" s="6">
        <f t="shared" si="0"/>
        <v>9.2844277756689835E-3</v>
      </c>
      <c r="AN15" s="6">
        <f t="shared" si="0"/>
        <v>9.7584680957714613E-3</v>
      </c>
      <c r="AO15" s="6">
        <f t="shared" si="0"/>
        <v>1.023149638473928E-2</v>
      </c>
      <c r="AP15" s="6">
        <f t="shared" si="0"/>
        <v>1.070302603523589E-2</v>
      </c>
      <c r="AQ15" s="6">
        <f t="shared" si="0"/>
        <v>1.117386823033798E-2</v>
      </c>
      <c r="AR15" s="6">
        <f t="shared" si="0"/>
        <v>1.164367695656064E-2</v>
      </c>
      <c r="AS15" s="6">
        <f t="shared" si="0"/>
        <v>1.1648222122417231E-2</v>
      </c>
      <c r="AT15" s="6">
        <f t="shared" si="0"/>
        <v>1.1650966164193789E-2</v>
      </c>
      <c r="AU15" s="6">
        <f t="shared" si="0"/>
        <v>1.165288764507936E-2</v>
      </c>
      <c r="AV15" s="6">
        <f t="shared" si="0"/>
        <v>1.165501116578539E-2</v>
      </c>
      <c r="AW15" s="6">
        <f t="shared" si="0"/>
        <v>1.165687052050482E-2</v>
      </c>
      <c r="AX15" s="6">
        <f t="shared" si="0"/>
        <v>1.17821384509451E-2</v>
      </c>
      <c r="AY15" s="6">
        <f t="shared" si="0"/>
        <v>1.1509816403075589E-2</v>
      </c>
      <c r="AZ15" s="6">
        <f t="shared" si="0"/>
        <v>1.123657085773243E-2</v>
      </c>
      <c r="BA15" s="6">
        <f t="shared" si="0"/>
        <v>1.096238891410801E-2</v>
      </c>
    </row>
    <row r="16" spans="1:53" outlineLevel="1" x14ac:dyDescent="0.35">
      <c r="A16" s="6" t="s">
        <v>34</v>
      </c>
      <c r="B16" s="6">
        <f>'Results - raw data ReCiPe (I)'!C11</f>
        <v>7.0849442354684153E-4</v>
      </c>
      <c r="AB16" s="6" t="s">
        <v>123</v>
      </c>
      <c r="AC16" s="6">
        <f>B38</f>
        <v>6.9626821690351197E-4</v>
      </c>
      <c r="AD16" s="6">
        <f t="shared" ref="AD16:BA16" si="1">C38</f>
        <v>6.9518556264451319E-4</v>
      </c>
      <c r="AE16" s="6">
        <f t="shared" si="1"/>
        <v>6.9249428319766528E-4</v>
      </c>
      <c r="AF16" s="6">
        <f t="shared" si="1"/>
        <v>6.8869480005077379E-4</v>
      </c>
      <c r="AG16" s="6">
        <f t="shared" si="1"/>
        <v>6.8550999698434431E-4</v>
      </c>
      <c r="AH16" s="6">
        <f t="shared" si="1"/>
        <v>6.8233401918268923E-4</v>
      </c>
      <c r="AI16" s="6">
        <f t="shared" si="1"/>
        <v>7.0021464825593938E-4</v>
      </c>
      <c r="AJ16" s="6">
        <f t="shared" si="1"/>
        <v>7.1796014035621441E-4</v>
      </c>
      <c r="AK16" s="6">
        <f t="shared" si="1"/>
        <v>7.3535192485880041E-4</v>
      </c>
      <c r="AL16" s="6">
        <f t="shared" si="1"/>
        <v>7.5279176882448622E-4</v>
      </c>
      <c r="AM16" s="6">
        <f t="shared" si="1"/>
        <v>7.700717953665544E-4</v>
      </c>
      <c r="AN16" s="6">
        <f t="shared" si="1"/>
        <v>8.0501827637082738E-4</v>
      </c>
      <c r="AO16" s="6">
        <f t="shared" si="1"/>
        <v>8.3980997825860223E-4</v>
      </c>
      <c r="AP16" s="6">
        <f t="shared" si="1"/>
        <v>8.7439825065709076E-4</v>
      </c>
      <c r="AQ16" s="6">
        <f t="shared" si="1"/>
        <v>9.0886900906079994E-4</v>
      </c>
      <c r="AR16" s="6">
        <f t="shared" si="1"/>
        <v>9.4318429539489237E-4</v>
      </c>
      <c r="AS16" s="6">
        <f t="shared" si="1"/>
        <v>9.4256312298396372E-4</v>
      </c>
      <c r="AT16" s="6">
        <f t="shared" si="1"/>
        <v>9.4180553465094536E-4</v>
      </c>
      <c r="AU16" s="6">
        <f t="shared" si="1"/>
        <v>9.4097339760617206E-4</v>
      </c>
      <c r="AV16" s="6">
        <f t="shared" si="1"/>
        <v>9.4016658207743767E-4</v>
      </c>
      <c r="AW16" s="6">
        <f t="shared" si="1"/>
        <v>9.3933858786915186E-4</v>
      </c>
      <c r="AX16" s="6">
        <f t="shared" si="1"/>
        <v>9.4924314679693887E-4</v>
      </c>
      <c r="AY16" s="6">
        <f t="shared" si="1"/>
        <v>9.2724763069335276E-4</v>
      </c>
      <c r="AZ16" s="6">
        <f t="shared" si="1"/>
        <v>9.052598912295569E-4</v>
      </c>
      <c r="BA16" s="6">
        <f t="shared" si="1"/>
        <v>8.8327876161998337E-4</v>
      </c>
    </row>
    <row r="17" spans="1:53" outlineLevel="1" x14ac:dyDescent="0.35">
      <c r="A17" s="6" t="s">
        <v>36</v>
      </c>
      <c r="B17" s="6">
        <f>'Results - raw data ReCiPe (I)'!C12</f>
        <v>2.9394021232551797E-4</v>
      </c>
      <c r="AB17" s="6" t="s">
        <v>124</v>
      </c>
      <c r="AC17" s="6">
        <f>-$AC$7*$AC$6</f>
        <v>-8.1199999999999987E-3</v>
      </c>
      <c r="AD17" s="6">
        <f t="shared" ref="AD17:BA17" si="2">-$AC$7*$AC$6</f>
        <v>-8.1199999999999987E-3</v>
      </c>
      <c r="AE17" s="6">
        <f t="shared" si="2"/>
        <v>-8.1199999999999987E-3</v>
      </c>
      <c r="AF17" s="6">
        <f t="shared" si="2"/>
        <v>-8.1199999999999987E-3</v>
      </c>
      <c r="AG17" s="6">
        <f t="shared" si="2"/>
        <v>-8.1199999999999987E-3</v>
      </c>
      <c r="AH17" s="6">
        <f t="shared" si="2"/>
        <v>-8.1199999999999987E-3</v>
      </c>
      <c r="AI17" s="6">
        <f t="shared" si="2"/>
        <v>-8.1199999999999987E-3</v>
      </c>
      <c r="AJ17" s="6">
        <f t="shared" si="2"/>
        <v>-8.1199999999999987E-3</v>
      </c>
      <c r="AK17" s="6">
        <f t="shared" si="2"/>
        <v>-8.1199999999999987E-3</v>
      </c>
      <c r="AL17" s="6">
        <f t="shared" si="2"/>
        <v>-8.1199999999999987E-3</v>
      </c>
      <c r="AM17" s="6">
        <f t="shared" si="2"/>
        <v>-8.1199999999999987E-3</v>
      </c>
      <c r="AN17" s="6">
        <f t="shared" si="2"/>
        <v>-8.1199999999999987E-3</v>
      </c>
      <c r="AO17" s="6">
        <f t="shared" si="2"/>
        <v>-8.1199999999999987E-3</v>
      </c>
      <c r="AP17" s="6">
        <f t="shared" si="2"/>
        <v>-8.1199999999999987E-3</v>
      </c>
      <c r="AQ17" s="6">
        <f t="shared" si="2"/>
        <v>-8.1199999999999987E-3</v>
      </c>
      <c r="AR17" s="6">
        <f t="shared" si="2"/>
        <v>-8.1199999999999987E-3</v>
      </c>
      <c r="AS17" s="6">
        <f t="shared" si="2"/>
        <v>-8.1199999999999987E-3</v>
      </c>
      <c r="AT17" s="6">
        <f t="shared" si="2"/>
        <v>-8.1199999999999987E-3</v>
      </c>
      <c r="AU17" s="6">
        <f t="shared" si="2"/>
        <v>-8.1199999999999987E-3</v>
      </c>
      <c r="AV17" s="6">
        <f t="shared" si="2"/>
        <v>-8.1199999999999987E-3</v>
      </c>
      <c r="AW17" s="6">
        <f t="shared" si="2"/>
        <v>-8.1199999999999987E-3</v>
      </c>
      <c r="AX17" s="6">
        <f t="shared" si="2"/>
        <v>-8.1199999999999987E-3</v>
      </c>
      <c r="AY17" s="6">
        <f t="shared" si="2"/>
        <v>-8.1199999999999987E-3</v>
      </c>
      <c r="AZ17" s="6">
        <f t="shared" si="2"/>
        <v>-8.1199999999999987E-3</v>
      </c>
      <c r="BA17" s="6">
        <f t="shared" si="2"/>
        <v>-8.1199999999999987E-3</v>
      </c>
    </row>
    <row r="18" spans="1:53" outlineLevel="1" x14ac:dyDescent="0.35">
      <c r="A18" s="6" t="s">
        <v>38</v>
      </c>
      <c r="B18" s="6">
        <f>'Results - raw data ReCiPe (I)'!C13</f>
        <v>3.0387950122960721E-3</v>
      </c>
      <c r="AB18" s="23" t="s">
        <v>125</v>
      </c>
      <c r="AC18" s="17">
        <f>SUM(AC10:AC17)</f>
        <v>1.9925038782019636E-2</v>
      </c>
      <c r="AD18" s="17">
        <f t="shared" ref="AD18:BA18" si="3">SUM(AD10:AD17)</f>
        <v>7.5835265155795376E-4</v>
      </c>
      <c r="AE18" s="17">
        <f t="shared" si="3"/>
        <v>7.3339510503296623E-4</v>
      </c>
      <c r="AF18" s="17">
        <f t="shared" si="3"/>
        <v>9.991213758834671E-4</v>
      </c>
      <c r="AG18" s="17">
        <f t="shared" si="3"/>
        <v>6.6254410393173403E-4</v>
      </c>
      <c r="AH18" s="17">
        <f t="shared" si="3"/>
        <v>6.3071651454591968E-4</v>
      </c>
      <c r="AI18" s="17">
        <f t="shared" si="3"/>
        <v>1.1969638185775396E-3</v>
      </c>
      <c r="AJ18" s="17">
        <f t="shared" si="3"/>
        <v>1.1575425177787948E-3</v>
      </c>
      <c r="AK18" s="17">
        <f t="shared" si="3"/>
        <v>1.4164920927640431E-3</v>
      </c>
      <c r="AL18" s="17">
        <f t="shared" si="3"/>
        <v>1.9771885536037873E-3</v>
      </c>
      <c r="AM18" s="17">
        <f t="shared" si="3"/>
        <v>1.9344995710355393E-3</v>
      </c>
      <c r="AN18" s="17">
        <f t="shared" si="3"/>
        <v>2.4434863721422891E-3</v>
      </c>
      <c r="AO18" s="17">
        <f t="shared" si="3"/>
        <v>3.2516285516544039E-3</v>
      </c>
      <c r="AP18" s="17">
        <f t="shared" si="3"/>
        <v>3.4574242858929818E-3</v>
      </c>
      <c r="AQ18" s="17">
        <f t="shared" si="3"/>
        <v>3.9627372393987812E-3</v>
      </c>
      <c r="AR18" s="17">
        <f t="shared" si="3"/>
        <v>4.7666190131259636E-3</v>
      </c>
      <c r="AS18" s="17">
        <f t="shared" si="3"/>
        <v>4.4707852454011956E-3</v>
      </c>
      <c r="AT18" s="17">
        <f t="shared" si="3"/>
        <v>4.4727716988447359E-3</v>
      </c>
      <c r="AU18" s="17">
        <f t="shared" si="3"/>
        <v>4.768748396883328E-3</v>
      </c>
      <c r="AV18" s="17">
        <f t="shared" si="3"/>
        <v>4.4751777478628293E-3</v>
      </c>
      <c r="AW18" s="17">
        <f t="shared" si="3"/>
        <v>4.4762091083739731E-3</v>
      </c>
      <c r="AX18" s="17">
        <f t="shared" si="3"/>
        <v>4.9159016705940944E-3</v>
      </c>
      <c r="AY18" s="17">
        <f t="shared" si="3"/>
        <v>4.3170640337689432E-3</v>
      </c>
      <c r="AZ18" s="17">
        <f t="shared" si="3"/>
        <v>4.0218307489619885E-3</v>
      </c>
      <c r="BA18" s="17">
        <f t="shared" si="3"/>
        <v>4.1794094421550403E-3</v>
      </c>
    </row>
    <row r="19" spans="1:53" outlineLevel="1" x14ac:dyDescent="0.35">
      <c r="A19" s="6" t="s">
        <v>39</v>
      </c>
      <c r="B19" s="6">
        <f>'Results - raw data ReCiPe (I)'!C14</f>
        <v>4.0042660555487464E-3</v>
      </c>
    </row>
    <row r="20" spans="1:53" outlineLevel="1" x14ac:dyDescent="0.35">
      <c r="A20" s="6" t="s">
        <v>41</v>
      </c>
      <c r="B20" s="6">
        <f>'Results - raw data ReCiPe (I)'!C15</f>
        <v>1.711764216090895E-5</v>
      </c>
    </row>
    <row r="21" spans="1:53" outlineLevel="1" x14ac:dyDescent="0.35">
      <c r="A21" s="6" t="s">
        <v>43</v>
      </c>
      <c r="B21" s="6">
        <f>'Results - raw data ReCiPe (I)'!C16</f>
        <v>1.2630230587234361E-4</v>
      </c>
      <c r="AB21" s="187"/>
      <c r="AC21" s="187"/>
      <c r="AD21" s="187"/>
      <c r="AE21" s="187"/>
      <c r="AF21" s="187"/>
      <c r="AG21" s="187"/>
      <c r="AH21" s="187"/>
      <c r="AI21" s="187"/>
      <c r="AJ21" s="187"/>
      <c r="AK21" s="187"/>
      <c r="AL21" s="187"/>
      <c r="AM21" s="187"/>
      <c r="AN21" s="187"/>
      <c r="AO21" s="187"/>
      <c r="AP21" s="187"/>
      <c r="AQ21" s="187"/>
      <c r="AR21" s="187"/>
      <c r="AS21" s="187"/>
      <c r="AT21" s="187"/>
      <c r="AU21" s="187"/>
      <c r="AV21" s="187"/>
      <c r="AW21" s="187"/>
      <c r="AX21" s="187"/>
      <c r="AY21" s="187"/>
      <c r="AZ21" s="187"/>
      <c r="BA21" s="187"/>
    </row>
    <row r="22" spans="1:53" outlineLevel="1" x14ac:dyDescent="0.35">
      <c r="A22" s="6" t="s">
        <v>44</v>
      </c>
      <c r="B22" s="6">
        <f>'Results - raw data ReCiPe (I)'!C17*AC7*AC8</f>
        <v>1.057067915274905E-3</v>
      </c>
      <c r="AB22" s="187"/>
      <c r="AC22" s="187"/>
      <c r="AD22" s="187"/>
      <c r="AE22" s="187"/>
      <c r="AF22" s="187"/>
      <c r="AG22" s="187"/>
      <c r="AH22" s="187"/>
      <c r="AI22" s="187"/>
      <c r="AJ22" s="187"/>
      <c r="AK22" s="187"/>
      <c r="AL22" s="187"/>
      <c r="AM22" s="187"/>
      <c r="AN22" s="187"/>
      <c r="AO22" s="187"/>
      <c r="AP22" s="187"/>
      <c r="AQ22" s="187"/>
      <c r="AR22" s="187"/>
      <c r="AS22" s="187"/>
      <c r="AT22" s="187"/>
      <c r="AU22" s="187"/>
      <c r="AV22" s="187"/>
      <c r="AW22" s="187"/>
      <c r="AX22" s="187"/>
      <c r="AY22" s="187"/>
      <c r="AZ22" s="187"/>
      <c r="BA22" s="187"/>
    </row>
    <row r="23" spans="1:53" outlineLevel="1" x14ac:dyDescent="0.35">
      <c r="A23" s="6" t="s">
        <v>757</v>
      </c>
      <c r="B23" s="6">
        <f>'Results - raw data ReCiPe (I)'!C18*AC8*AC7</f>
        <v>1.9608746117296934E-3</v>
      </c>
      <c r="AB23" s="187"/>
      <c r="AC23" s="187"/>
      <c r="AD23" s="187"/>
      <c r="AE23" s="187"/>
      <c r="AF23" s="187"/>
      <c r="AG23" s="187"/>
      <c r="AH23" s="187"/>
      <c r="AI23" s="187"/>
      <c r="AJ23" s="187"/>
      <c r="AK23" s="187"/>
      <c r="AL23" s="187"/>
      <c r="AM23" s="187"/>
      <c r="AN23" s="187"/>
      <c r="AO23" s="187"/>
      <c r="AP23" s="187"/>
      <c r="AQ23" s="187"/>
      <c r="AR23" s="187"/>
      <c r="AS23" s="187"/>
      <c r="AT23" s="187"/>
      <c r="AU23" s="187"/>
      <c r="AV23" s="187"/>
      <c r="AW23" s="187"/>
      <c r="AX23" s="187"/>
      <c r="AY23" s="187"/>
      <c r="AZ23" s="187"/>
      <c r="BA23" s="187"/>
    </row>
    <row r="24" spans="1:53" outlineLevel="1" x14ac:dyDescent="0.35">
      <c r="A24" s="6" t="s">
        <v>22</v>
      </c>
      <c r="Z24" s="6">
        <f>'Results - raw data ReCiPe (I)'!AA19</f>
        <v>2.538889440119622E-6</v>
      </c>
      <c r="AB24" s="187"/>
      <c r="AC24" s="187"/>
      <c r="AD24" s="187"/>
      <c r="AE24" s="187"/>
      <c r="AF24" s="187"/>
      <c r="AG24" s="187"/>
      <c r="AH24" s="187"/>
      <c r="AI24" s="187"/>
      <c r="AJ24" s="187"/>
      <c r="AK24" s="187"/>
      <c r="AL24" s="187"/>
      <c r="AM24" s="187"/>
      <c r="AN24" s="187"/>
      <c r="AO24" s="187"/>
      <c r="AP24" s="187"/>
      <c r="AQ24" s="187"/>
      <c r="AR24" s="187"/>
      <c r="AS24" s="187"/>
      <c r="AT24" s="187"/>
      <c r="AU24" s="187"/>
      <c r="AV24" s="187"/>
      <c r="AW24" s="187"/>
      <c r="AX24" s="187"/>
      <c r="AY24" s="187"/>
      <c r="AZ24" s="187"/>
      <c r="BA24" s="187"/>
    </row>
    <row r="25" spans="1:53" outlineLevel="1" x14ac:dyDescent="0.35">
      <c r="A25" s="6" t="s">
        <v>24</v>
      </c>
      <c r="Z25" s="6">
        <f>'Results - raw data ReCiPe (I)'!AA20</f>
        <v>1.6334825227852129E-6</v>
      </c>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row>
    <row r="26" spans="1:53" outlineLevel="1" x14ac:dyDescent="0.35">
      <c r="A26" s="6" t="s">
        <v>25</v>
      </c>
      <c r="Z26" s="6">
        <f>'Results - raw data ReCiPe (I)'!AA21</f>
        <v>6.6095528098662483E-6</v>
      </c>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row>
    <row r="27" spans="1:53" outlineLevel="1" x14ac:dyDescent="0.35">
      <c r="A27" s="6" t="s">
        <v>27</v>
      </c>
      <c r="Z27" s="6">
        <f>'Results - raw data ReCiPe (I)'!AA22</f>
        <v>3.134529379639164E-6</v>
      </c>
      <c r="AB27" s="187"/>
      <c r="AC27" s="187"/>
      <c r="AD27" s="187"/>
      <c r="AE27" s="187"/>
      <c r="AF27" s="187"/>
      <c r="AG27" s="187"/>
      <c r="AH27" s="187"/>
      <c r="AI27" s="187"/>
      <c r="AJ27" s="187"/>
      <c r="AK27" s="187"/>
      <c r="AL27" s="187"/>
      <c r="AM27" s="187"/>
      <c r="AN27" s="187"/>
      <c r="AO27" s="187"/>
      <c r="AP27" s="187"/>
      <c r="AQ27" s="187"/>
      <c r="AR27" s="187"/>
      <c r="AS27" s="187"/>
      <c r="AT27" s="187"/>
      <c r="AU27" s="187"/>
      <c r="AV27" s="187"/>
      <c r="AW27" s="187"/>
      <c r="AX27" s="187"/>
      <c r="AY27" s="187"/>
      <c r="AZ27" s="187"/>
      <c r="BA27" s="187"/>
    </row>
    <row r="28" spans="1:53" outlineLevel="1" x14ac:dyDescent="0.35">
      <c r="A28" s="6" t="s">
        <v>30</v>
      </c>
      <c r="Z28" s="6">
        <f>'Results - raw data ReCiPe (I)'!AA23</f>
        <v>3.336901303527635E-6</v>
      </c>
      <c r="AB28" s="187"/>
      <c r="AC28" s="187"/>
      <c r="AD28" s="187"/>
      <c r="AE28" s="187"/>
      <c r="AF28" s="187"/>
      <c r="AG28" s="187"/>
      <c r="AH28" s="187"/>
      <c r="AI28" s="187"/>
      <c r="AJ28" s="187"/>
      <c r="AK28" s="187"/>
      <c r="AL28" s="187"/>
      <c r="AM28" s="187"/>
      <c r="AN28" s="187"/>
      <c r="AO28" s="187"/>
      <c r="AP28" s="187"/>
      <c r="AQ28" s="187"/>
      <c r="AR28" s="187"/>
      <c r="AS28" s="187"/>
      <c r="AT28" s="187"/>
      <c r="AU28" s="187"/>
      <c r="AV28" s="187"/>
      <c r="AW28" s="187"/>
      <c r="AX28" s="187"/>
      <c r="AY28" s="187"/>
      <c r="AZ28" s="187"/>
      <c r="BA28" s="187"/>
    </row>
    <row r="29" spans="1:53" outlineLevel="1" x14ac:dyDescent="0.35">
      <c r="A29" s="6" t="s">
        <v>32</v>
      </c>
      <c r="Z29" s="6">
        <f>'Results - raw data ReCiPe (I)'!AA24</f>
        <v>7.6879032170706784E-7</v>
      </c>
      <c r="AB29" s="187"/>
      <c r="AC29" s="187"/>
      <c r="AD29" s="187"/>
      <c r="AE29" s="187"/>
      <c r="AF29" s="187"/>
      <c r="AG29" s="187"/>
      <c r="AH29" s="187"/>
      <c r="AI29" s="187"/>
      <c r="AJ29" s="187"/>
      <c r="AK29" s="187"/>
      <c r="AL29" s="187"/>
      <c r="AM29" s="187"/>
      <c r="AN29" s="187"/>
      <c r="AO29" s="187"/>
      <c r="AP29" s="187"/>
      <c r="AQ29" s="187"/>
      <c r="AR29" s="187"/>
      <c r="AS29" s="187"/>
      <c r="AT29" s="187"/>
      <c r="AU29" s="187"/>
      <c r="AV29" s="187"/>
      <c r="AW29" s="187"/>
      <c r="AX29" s="187"/>
      <c r="AY29" s="187"/>
      <c r="AZ29" s="187"/>
      <c r="BA29" s="187"/>
    </row>
    <row r="30" spans="1:53" outlineLevel="1" x14ac:dyDescent="0.35">
      <c r="A30" s="6" t="s">
        <v>33</v>
      </c>
      <c r="Z30" s="6">
        <f>'Results - raw data ReCiPe (I)'!AA25</f>
        <v>8.8305977484162056E-7</v>
      </c>
      <c r="AB30" s="187"/>
      <c r="AC30" s="187"/>
      <c r="AD30" s="187"/>
      <c r="AE30" s="187"/>
      <c r="AF30" s="187"/>
      <c r="AG30" s="187"/>
      <c r="AH30" s="187"/>
      <c r="AI30" s="187"/>
      <c r="AJ30" s="187"/>
      <c r="AK30" s="187"/>
      <c r="AL30" s="187"/>
      <c r="AM30" s="187"/>
      <c r="AN30" s="187"/>
      <c r="AO30" s="187"/>
      <c r="AP30" s="187"/>
      <c r="AQ30" s="187"/>
      <c r="AR30" s="187"/>
      <c r="AS30" s="187"/>
      <c r="AT30" s="187"/>
      <c r="AU30" s="187"/>
      <c r="AV30" s="187"/>
      <c r="AW30" s="187"/>
      <c r="AX30" s="187"/>
      <c r="AY30" s="187"/>
      <c r="AZ30" s="187"/>
      <c r="BA30" s="187"/>
    </row>
    <row r="31" spans="1:53" outlineLevel="1" x14ac:dyDescent="0.35">
      <c r="A31" s="6" t="s">
        <v>35</v>
      </c>
      <c r="Z31" s="6">
        <f>'Results - raw data ReCiPe (I)'!AA26</f>
        <v>1.7661195496832409E-6</v>
      </c>
      <c r="AB31" s="187"/>
      <c r="AC31" s="187"/>
      <c r="AD31" s="187"/>
      <c r="AE31" s="187"/>
      <c r="AF31" s="187"/>
      <c r="AG31" s="187"/>
      <c r="AH31" s="187"/>
      <c r="AI31" s="187"/>
      <c r="AJ31" s="187"/>
      <c r="AK31" s="187"/>
      <c r="AL31" s="187"/>
      <c r="AM31" s="187"/>
      <c r="AN31" s="187"/>
      <c r="AO31" s="187"/>
      <c r="AP31" s="187"/>
      <c r="AQ31" s="187"/>
      <c r="AR31" s="187"/>
      <c r="AS31" s="187"/>
      <c r="AT31" s="187"/>
      <c r="AU31" s="187"/>
      <c r="AV31" s="187"/>
      <c r="AW31" s="187"/>
      <c r="AX31" s="187"/>
      <c r="AY31" s="187"/>
      <c r="AZ31" s="187"/>
      <c r="BA31" s="187"/>
    </row>
    <row r="32" spans="1:53" outlineLevel="1" x14ac:dyDescent="0.35">
      <c r="A32" s="6" t="s">
        <v>37</v>
      </c>
      <c r="Z32" s="6">
        <f>'Results - raw data ReCiPe (I)'!AA27</f>
        <v>8.8549884257343697E-6</v>
      </c>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row>
    <row r="33" spans="1:53" outlineLevel="1" x14ac:dyDescent="0.35">
      <c r="A33" s="6" t="s">
        <v>40</v>
      </c>
      <c r="Z33" s="6">
        <f>'Results - raw data ReCiPe (I)'!AA28</f>
        <v>4.5846092685782783E-5</v>
      </c>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row>
    <row r="34" spans="1:53" outlineLevel="1" x14ac:dyDescent="0.35">
      <c r="A34" s="6" t="s">
        <v>42</v>
      </c>
      <c r="Z34" s="6">
        <f>'Results - raw data ReCiPe (I)'!AA29</f>
        <v>1.3356334419104131E-5</v>
      </c>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row>
    <row r="35" spans="1:53" outlineLevel="1" x14ac:dyDescent="0.35">
      <c r="A35" s="6" t="s">
        <v>115</v>
      </c>
      <c r="Z35" s="6">
        <f>'Results - raw data ReCiPe (I)'!AA30</f>
        <v>6.2120502985044574E-5</v>
      </c>
    </row>
    <row r="36" spans="1:53" outlineLevel="1" x14ac:dyDescent="0.35">
      <c r="A36" s="6" t="s">
        <v>45</v>
      </c>
      <c r="Z36" s="6">
        <f>'Results - raw data ReCiPe (I)'!AA31*AC7*AC8</f>
        <v>5.1688461306668095E-6</v>
      </c>
    </row>
    <row r="37" spans="1:53" outlineLevel="1" x14ac:dyDescent="0.35">
      <c r="A37" s="6" t="s">
        <v>116</v>
      </c>
      <c r="B37" s="6">
        <f>'Results - raw data ReCiPe (I)'!C32</f>
        <v>3.0950823392567891E-4</v>
      </c>
      <c r="C37" s="6">
        <f>'Results - raw data ReCiPe (I)'!D32</f>
        <v>3.0842646343384332E-4</v>
      </c>
      <c r="D37" s="6">
        <f>'Results - raw data ReCiPe (I)'!E32</f>
        <v>3.0733816132392128E-4</v>
      </c>
      <c r="E37" s="6">
        <f>'Results - raw data ReCiPe (I)'!F32</f>
        <v>3.0470171244799881E-4</v>
      </c>
      <c r="F37" s="6">
        <f>'Results - raw data ReCiPe (I)'!G32</f>
        <v>3.0359916895327102E-4</v>
      </c>
      <c r="G37" s="6">
        <f>'Results - raw data ReCiPe (I)'!H32</f>
        <v>3.0250842900321592E-4</v>
      </c>
      <c r="H37" s="6">
        <f>'Results - raw data ReCiPe (I)'!I32</f>
        <v>3.0220482749963639E-4</v>
      </c>
      <c r="I37" s="6">
        <f>'Results - raw data ReCiPe (I)'!J32</f>
        <v>3.0191161897902242E-4</v>
      </c>
      <c r="J37" s="6">
        <f>'Results - raw data ReCiPe (I)'!K32</f>
        <v>3.0116098244104819E-4</v>
      </c>
      <c r="K37" s="6">
        <f>'Results - raw data ReCiPe (I)'!L32</f>
        <v>3.0088082558559647E-4</v>
      </c>
      <c r="L37" s="6">
        <f>'Results - raw data ReCiPe (I)'!M32</f>
        <v>3.0061050207937578E-4</v>
      </c>
      <c r="M37" s="6">
        <f>'Results - raw data ReCiPe (I)'!N32</f>
        <v>3.0046472362970207E-4</v>
      </c>
      <c r="N37" s="6">
        <f>'Results - raw data ReCiPe (I)'!O32</f>
        <v>3.0032218865651928E-4</v>
      </c>
      <c r="O37" s="6">
        <f>'Results - raw data ReCiPe (I)'!P32</f>
        <v>3.0002363913981872E-4</v>
      </c>
      <c r="P37" s="6">
        <f>'Results - raw data ReCiPe (I)'!Q32</f>
        <v>2.9988909134041908E-4</v>
      </c>
      <c r="Q37" s="6">
        <f>'Results - raw data ReCiPe (I)'!R32</f>
        <v>2.9975776117043001E-4</v>
      </c>
      <c r="R37" s="6">
        <f>'Results - raw data ReCiPe (I)'!S32</f>
        <v>2.9819326867828652E-4</v>
      </c>
      <c r="S37" s="6">
        <f>'Results - raw data ReCiPe (I)'!T32</f>
        <v>2.966174560763587E-4</v>
      </c>
      <c r="T37" s="6">
        <f>'Results - raw data ReCiPe (I)'!U32</f>
        <v>2.9488735419779449E-4</v>
      </c>
      <c r="U37" s="6">
        <f>'Results - raw data ReCiPe (I)'!V32</f>
        <v>2.9329321073249501E-4</v>
      </c>
      <c r="V37" s="6">
        <f>'Results - raw data ReCiPe (I)'!W32</f>
        <v>2.9168945793858249E-4</v>
      </c>
      <c r="W37" s="6">
        <f>'Results - raw data ReCiPe (I)'!X32</f>
        <v>3.0452007285205519E-4</v>
      </c>
      <c r="X37" s="6">
        <f>'Results - raw data ReCiPe (I)'!Y32</f>
        <v>3.0226784476485138E-4</v>
      </c>
      <c r="Y37" s="6">
        <f>'Results - raw data ReCiPe (I)'!Z32</f>
        <v>3.0000241858584692E-4</v>
      </c>
      <c r="Z37" s="6">
        <f>'Results - raw data ReCiPe (I)'!AA32</f>
        <v>2.9772367667854253E-4</v>
      </c>
    </row>
    <row r="38" spans="1:53" outlineLevel="1" x14ac:dyDescent="0.35">
      <c r="A38" s="6" t="s">
        <v>758</v>
      </c>
      <c r="B38" s="6">
        <f>'Results - raw data ReCiPe (I)'!C33*$AC$7</f>
        <v>6.9626821690351197E-4</v>
      </c>
      <c r="C38" s="6">
        <f>'Results - raw data ReCiPe (I)'!D33*$AC$7</f>
        <v>6.9518556264451319E-4</v>
      </c>
      <c r="D38" s="6">
        <f>'Results - raw data ReCiPe (I)'!E33*$AC$7</f>
        <v>6.9249428319766528E-4</v>
      </c>
      <c r="E38" s="6">
        <f>'Results - raw data ReCiPe (I)'!F33*$AC$7</f>
        <v>6.8869480005077379E-4</v>
      </c>
      <c r="F38" s="6">
        <f>'Results - raw data ReCiPe (I)'!G33*$AC$7</f>
        <v>6.8550999698434431E-4</v>
      </c>
      <c r="G38" s="6">
        <f>'Results - raw data ReCiPe (I)'!H33*$AC$7</f>
        <v>6.8233401918268923E-4</v>
      </c>
      <c r="H38" s="6">
        <f>'Results - raw data ReCiPe (I)'!I33*$AC$7</f>
        <v>7.0021464825593938E-4</v>
      </c>
      <c r="I38" s="6">
        <f>'Results - raw data ReCiPe (I)'!J33*$AC$7</f>
        <v>7.1796014035621441E-4</v>
      </c>
      <c r="J38" s="6">
        <f>'Results - raw data ReCiPe (I)'!K33*$AC$7</f>
        <v>7.3535192485880041E-4</v>
      </c>
      <c r="K38" s="6">
        <f>'Results - raw data ReCiPe (I)'!L33*$AC$7</f>
        <v>7.5279176882448622E-4</v>
      </c>
      <c r="L38" s="6">
        <f>'Results - raw data ReCiPe (I)'!M33*$AC$7</f>
        <v>7.700717953665544E-4</v>
      </c>
      <c r="M38" s="6">
        <f>'Results - raw data ReCiPe (I)'!N33*$AC$7</f>
        <v>8.0501827637082738E-4</v>
      </c>
      <c r="N38" s="6">
        <f>'Results - raw data ReCiPe (I)'!O33*$AC$7</f>
        <v>8.3980997825860223E-4</v>
      </c>
      <c r="O38" s="6">
        <f>'Results - raw data ReCiPe (I)'!P33*$AC$7</f>
        <v>8.7439825065709076E-4</v>
      </c>
      <c r="P38" s="6">
        <f>'Results - raw data ReCiPe (I)'!Q33*$AC$7</f>
        <v>9.0886900906079994E-4</v>
      </c>
      <c r="Q38" s="6">
        <f>'Results - raw data ReCiPe (I)'!R33*$AC$7</f>
        <v>9.4318429539489237E-4</v>
      </c>
      <c r="R38" s="6">
        <f>'Results - raw data ReCiPe (I)'!S33*$AC$7</f>
        <v>9.4256312298396372E-4</v>
      </c>
      <c r="S38" s="6">
        <f>'Results - raw data ReCiPe (I)'!T33*$AC$7</f>
        <v>9.4180553465094536E-4</v>
      </c>
      <c r="T38" s="6">
        <f>'Results - raw data ReCiPe (I)'!U33*$AC$7</f>
        <v>9.4097339760617206E-4</v>
      </c>
      <c r="U38" s="6">
        <f>'Results - raw data ReCiPe (I)'!V33*$AC$7</f>
        <v>9.4016658207743767E-4</v>
      </c>
      <c r="V38" s="6">
        <f>'Results - raw data ReCiPe (I)'!W33*$AC$7</f>
        <v>9.3933858786915186E-4</v>
      </c>
      <c r="W38" s="6">
        <f>'Results - raw data ReCiPe (I)'!X33*$AC$7</f>
        <v>9.4924314679693887E-4</v>
      </c>
      <c r="X38" s="6">
        <f>'Results - raw data ReCiPe (I)'!Y33*$AC$7</f>
        <v>9.2724763069335276E-4</v>
      </c>
      <c r="Y38" s="6">
        <f>'Results - raw data ReCiPe (I)'!Z33*$AC$7</f>
        <v>9.052598912295569E-4</v>
      </c>
      <c r="Z38" s="6">
        <f>'Results - raw data ReCiPe (I)'!AA33*$AC$7</f>
        <v>8.8327876161998337E-4</v>
      </c>
    </row>
    <row r="39" spans="1:53" outlineLevel="1" x14ac:dyDescent="0.35">
      <c r="A39" s="6" t="s">
        <v>759</v>
      </c>
      <c r="B39" s="6">
        <f>'Results - raw data ReCiPe (I)'!C34</f>
        <v>0</v>
      </c>
      <c r="C39" s="6">
        <f>'Results - raw data ReCiPe (I)'!D34</f>
        <v>0</v>
      </c>
      <c r="D39" s="6">
        <f>'Results - raw data ReCiPe (I)'!E34</f>
        <v>0</v>
      </c>
      <c r="E39" s="6">
        <f>'Results - raw data ReCiPe (I)'!F34</f>
        <v>0</v>
      </c>
      <c r="F39" s="6">
        <f>'Results - raw data ReCiPe (I)'!G34</f>
        <v>0</v>
      </c>
      <c r="G39" s="6">
        <f>'Results - raw data ReCiPe (I)'!H34</f>
        <v>0</v>
      </c>
      <c r="H39" s="6">
        <f>'Results - raw data ReCiPe (I)'!I34</f>
        <v>0</v>
      </c>
      <c r="I39" s="6">
        <f>'Results - raw data ReCiPe (I)'!J34</f>
        <v>0</v>
      </c>
      <c r="J39" s="6">
        <f>'Results - raw data ReCiPe (I)'!K34</f>
        <v>0</v>
      </c>
      <c r="K39" s="6">
        <f>'Results - raw data ReCiPe (I)'!L34</f>
        <v>0</v>
      </c>
      <c r="L39" s="6">
        <f>'Results - raw data ReCiPe (I)'!M34</f>
        <v>0</v>
      </c>
      <c r="M39" s="6">
        <f>'Results - raw data ReCiPe (I)'!N34</f>
        <v>0</v>
      </c>
      <c r="N39" s="6">
        <f>'Results - raw data ReCiPe (I)'!O34</f>
        <v>0</v>
      </c>
      <c r="O39" s="6">
        <f>'Results - raw data ReCiPe (I)'!P34</f>
        <v>0</v>
      </c>
      <c r="P39" s="6">
        <f>'Results - raw data ReCiPe (I)'!Q34</f>
        <v>0</v>
      </c>
      <c r="Q39" s="6">
        <f>'Results - raw data ReCiPe (I)'!R34</f>
        <v>0</v>
      </c>
      <c r="R39" s="6">
        <f>'Results - raw data ReCiPe (I)'!S34</f>
        <v>0</v>
      </c>
      <c r="S39" s="6">
        <f>'Results - raw data ReCiPe (I)'!T34</f>
        <v>0</v>
      </c>
      <c r="T39" s="6">
        <f>'Results - raw data ReCiPe (I)'!U34</f>
        <v>0</v>
      </c>
      <c r="U39" s="6">
        <f>'Results - raw data ReCiPe (I)'!V34</f>
        <v>0</v>
      </c>
      <c r="V39" s="6">
        <f>'Results - raw data ReCiPe (I)'!W34</f>
        <v>0</v>
      </c>
      <c r="W39" s="6">
        <f>'Results - raw data ReCiPe (I)'!X34</f>
        <v>0</v>
      </c>
      <c r="X39" s="6">
        <f>'Results - raw data ReCiPe (I)'!Y34</f>
        <v>0</v>
      </c>
      <c r="Y39" s="6">
        <f>'Results - raw data ReCiPe (I)'!Z34</f>
        <v>0</v>
      </c>
      <c r="Z39" s="6">
        <f>'Results - raw data ReCiPe (I)'!AA34</f>
        <v>0</v>
      </c>
    </row>
    <row r="40" spans="1:53" outlineLevel="1" x14ac:dyDescent="0.35">
      <c r="A40" s="6" t="s">
        <v>760</v>
      </c>
      <c r="B40" s="6">
        <f>'Results - raw data ReCiPe (I)'!C35</f>
        <v>8.1843757451045343E-3</v>
      </c>
      <c r="C40" s="6">
        <f>'Results - raw data ReCiPe (I)'!D35</f>
        <v>8.183167088913439E-3</v>
      </c>
      <c r="D40" s="6">
        <f>'Results - raw data ReCiPe (I)'!E35</f>
        <v>8.1609008218352999E-3</v>
      </c>
      <c r="E40" s="6">
        <f>'Results - raw data ReCiPe (I)'!F35</f>
        <v>8.1257248633846927E-3</v>
      </c>
      <c r="F40" s="6">
        <f>'Results - raw data ReCiPe (I)'!G35</f>
        <v>8.0970341069473879E-3</v>
      </c>
      <c r="G40" s="6">
        <f>'Results - raw data ReCiPe (I)'!H35</f>
        <v>8.0683824953632285E-3</v>
      </c>
      <c r="H40" s="6">
        <f>'Results - raw data ReCiPe (I)'!I35</f>
        <v>8.3145443428219619E-3</v>
      </c>
      <c r="I40" s="6">
        <f>'Results - raw data ReCiPe (I)'!J35</f>
        <v>8.5595823774225789E-3</v>
      </c>
      <c r="J40" s="6">
        <f>'Results - raw data ReCiPe (I)'!K35</f>
        <v>8.8011401679052408E-3</v>
      </c>
      <c r="K40" s="6">
        <f>'Results - raw data ReCiPe (I)'!L35</f>
        <v>9.0435159591937039E-3</v>
      </c>
      <c r="L40" s="6">
        <f>'Results - raw data ReCiPe (I)'!M35</f>
        <v>9.2844277756689835E-3</v>
      </c>
      <c r="M40" s="6">
        <f>'Results - raw data ReCiPe (I)'!N35</f>
        <v>9.7584680957714613E-3</v>
      </c>
      <c r="N40" s="6">
        <f>'Results - raw data ReCiPe (I)'!O35</f>
        <v>1.023149638473928E-2</v>
      </c>
      <c r="O40" s="6">
        <f>'Results - raw data ReCiPe (I)'!P35</f>
        <v>1.070302603523589E-2</v>
      </c>
      <c r="P40" s="6">
        <f>'Results - raw data ReCiPe (I)'!Q35</f>
        <v>1.117386823033798E-2</v>
      </c>
      <c r="Q40" s="6">
        <f>'Results - raw data ReCiPe (I)'!R35</f>
        <v>1.164367695656064E-2</v>
      </c>
      <c r="R40" s="6">
        <f>'Results - raw data ReCiPe (I)'!S35</f>
        <v>1.1648222122417231E-2</v>
      </c>
      <c r="S40" s="6">
        <f>'Results - raw data ReCiPe (I)'!T35</f>
        <v>1.1650966164193789E-2</v>
      </c>
      <c r="T40" s="6">
        <f>'Results - raw data ReCiPe (I)'!U35</f>
        <v>1.165288764507936E-2</v>
      </c>
      <c r="U40" s="6">
        <f>'Results - raw data ReCiPe (I)'!V35</f>
        <v>1.165501116578539E-2</v>
      </c>
      <c r="V40" s="6">
        <f>'Results - raw data ReCiPe (I)'!W35</f>
        <v>1.165687052050482E-2</v>
      </c>
      <c r="W40" s="6">
        <f>'Results - raw data ReCiPe (I)'!X35</f>
        <v>1.17821384509451E-2</v>
      </c>
      <c r="X40" s="6">
        <f>'Results - raw data ReCiPe (I)'!Y35</f>
        <v>1.1509816403075589E-2</v>
      </c>
      <c r="Y40" s="6">
        <f>'Results - raw data ReCiPe (I)'!Z35</f>
        <v>1.123657085773243E-2</v>
      </c>
      <c r="Z40" s="6">
        <f>'Results - raw data ReCiPe (I)'!AA35</f>
        <v>1.096238891410801E-2</v>
      </c>
    </row>
    <row r="41" spans="1:53" outlineLevel="1" x14ac:dyDescent="0.35">
      <c r="A41" s="23" t="s">
        <v>125</v>
      </c>
      <c r="B41" s="17">
        <f>SUM(B10:B40)</f>
        <v>2.8045038782019634E-2</v>
      </c>
      <c r="C41" s="17">
        <f>SUM(C10:C40)</f>
        <v>9.1867791149917964E-3</v>
      </c>
      <c r="D41" s="17">
        <f>SUM(D10:D40)</f>
        <v>9.160733266356887E-3</v>
      </c>
      <c r="E41" s="17">
        <f>SUM(E10:E40)</f>
        <v>9.1191213758834658E-3</v>
      </c>
      <c r="F41" s="17">
        <f>SUM(F10:F40)</f>
        <v>9.0861432728850042E-3</v>
      </c>
      <c r="G41" s="17">
        <f t="shared" ref="G41:Z41" si="4">SUM(G10:G40)</f>
        <v>9.0532249435491333E-3</v>
      </c>
      <c r="H41" s="17">
        <f t="shared" si="4"/>
        <v>9.3169638185775384E-3</v>
      </c>
      <c r="I41" s="17">
        <f t="shared" si="4"/>
        <v>9.5794541367578163E-3</v>
      </c>
      <c r="J41" s="17">
        <f t="shared" si="4"/>
        <v>9.8376530752050887E-3</v>
      </c>
      <c r="K41" s="17">
        <f t="shared" si="4"/>
        <v>1.0097188553603786E-2</v>
      </c>
      <c r="L41" s="17">
        <f t="shared" si="4"/>
        <v>1.0355110073114914E-2</v>
      </c>
      <c r="M41" s="17">
        <f t="shared" si="4"/>
        <v>1.0863951095771991E-2</v>
      </c>
      <c r="N41" s="17">
        <f t="shared" si="4"/>
        <v>1.1371628551654401E-2</v>
      </c>
      <c r="O41" s="17">
        <f t="shared" si="4"/>
        <v>1.18774479250328E-2</v>
      </c>
      <c r="P41" s="17">
        <f t="shared" si="4"/>
        <v>1.2382626330739199E-2</v>
      </c>
      <c r="Q41" s="17">
        <f t="shared" si="4"/>
        <v>1.2886619013125962E-2</v>
      </c>
      <c r="R41" s="17">
        <f t="shared" si="4"/>
        <v>1.2888978514079481E-2</v>
      </c>
      <c r="S41" s="17">
        <f t="shared" si="4"/>
        <v>1.2889389154921093E-2</v>
      </c>
      <c r="T41" s="17">
        <f t="shared" si="4"/>
        <v>1.2888748396883327E-2</v>
      </c>
      <c r="U41" s="17">
        <f t="shared" si="4"/>
        <v>1.2888470958595324E-2</v>
      </c>
      <c r="V41" s="17">
        <f t="shared" si="4"/>
        <v>1.2887898566312554E-2</v>
      </c>
      <c r="W41" s="17">
        <f t="shared" si="4"/>
        <v>1.3035901670594093E-2</v>
      </c>
      <c r="X41" s="17">
        <f t="shared" si="4"/>
        <v>1.2739331878533794E-2</v>
      </c>
      <c r="Y41" s="17">
        <f t="shared" si="4"/>
        <v>1.2441833167547833E-2</v>
      </c>
      <c r="Z41" s="17">
        <f t="shared" si="4"/>
        <v>1.2299409442155039E-2</v>
      </c>
    </row>
    <row r="42" spans="1:53" outlineLevel="1" x14ac:dyDescent="0.35"/>
    <row r="43" spans="1:53" s="18" customFormat="1" ht="21" x14ac:dyDescent="0.5">
      <c r="A43" s="18" t="s">
        <v>73</v>
      </c>
    </row>
    <row r="44" spans="1:53" s="20" customFormat="1" outlineLevel="1" x14ac:dyDescent="0.35">
      <c r="A44" s="19" t="s">
        <v>767</v>
      </c>
    </row>
    <row r="45" spans="1:53" s="16" customFormat="1" outlineLevel="1" x14ac:dyDescent="0.35">
      <c r="A45" s="21"/>
      <c r="AB45" s="16" t="s">
        <v>47</v>
      </c>
      <c r="AC45" s="16">
        <v>8.1199999999999999E-8</v>
      </c>
      <c r="AD45" s="16" t="s">
        <v>48</v>
      </c>
      <c r="AE45" s="15" t="s">
        <v>714</v>
      </c>
    </row>
    <row r="46" spans="1:53" s="16" customFormat="1" outlineLevel="1" x14ac:dyDescent="0.35">
      <c r="A46" s="22" t="s">
        <v>564</v>
      </c>
      <c r="AC46" s="16">
        <f>AC45*1000</f>
        <v>8.1199999999999995E-5</v>
      </c>
      <c r="AD46" s="16" t="s">
        <v>126</v>
      </c>
    </row>
    <row r="47" spans="1:53" s="16" customFormat="1" outlineLevel="1" x14ac:dyDescent="0.35">
      <c r="A47" s="22"/>
      <c r="AB47" s="16" t="s">
        <v>127</v>
      </c>
      <c r="AC47" s="16">
        <v>100</v>
      </c>
      <c r="AD47" s="16" t="s">
        <v>128</v>
      </c>
    </row>
    <row r="48" spans="1:53" s="16" customFormat="1" outlineLevel="1" x14ac:dyDescent="0.35">
      <c r="A48" s="22"/>
      <c r="AB48" s="16" t="s">
        <v>129</v>
      </c>
      <c r="AC48" s="16">
        <v>25</v>
      </c>
      <c r="AD48" s="16" t="s">
        <v>130</v>
      </c>
    </row>
    <row r="49" spans="1:53" outlineLevel="1" x14ac:dyDescent="0.35">
      <c r="B49" s="25">
        <v>2030</v>
      </c>
      <c r="C49" s="25">
        <v>2031</v>
      </c>
      <c r="D49" s="25">
        <v>2032</v>
      </c>
      <c r="E49" s="25">
        <v>2033</v>
      </c>
      <c r="F49" s="25">
        <v>2034</v>
      </c>
      <c r="G49" s="25">
        <v>2035</v>
      </c>
      <c r="H49" s="25">
        <v>2036</v>
      </c>
      <c r="I49" s="25">
        <v>2037</v>
      </c>
      <c r="J49" s="25">
        <v>2038</v>
      </c>
      <c r="K49" s="25">
        <v>2039</v>
      </c>
      <c r="L49" s="25">
        <v>2040</v>
      </c>
      <c r="M49" s="25">
        <v>2041</v>
      </c>
      <c r="N49" s="25">
        <v>2042</v>
      </c>
      <c r="O49" s="25">
        <v>2043</v>
      </c>
      <c r="P49" s="25">
        <v>2044</v>
      </c>
      <c r="Q49" s="25">
        <v>2045</v>
      </c>
      <c r="R49" s="25">
        <v>2046</v>
      </c>
      <c r="S49" s="25">
        <v>2047</v>
      </c>
      <c r="T49" s="25">
        <v>2048</v>
      </c>
      <c r="U49" s="25">
        <v>2049</v>
      </c>
      <c r="V49" s="25">
        <v>2050</v>
      </c>
      <c r="W49" s="25">
        <v>2051</v>
      </c>
      <c r="X49" s="25">
        <v>2052</v>
      </c>
      <c r="Y49" s="25">
        <v>2053</v>
      </c>
      <c r="Z49" s="25">
        <v>2054</v>
      </c>
      <c r="AC49" s="25">
        <v>2030</v>
      </c>
      <c r="AD49" s="25">
        <v>2031</v>
      </c>
      <c r="AE49" s="25">
        <v>2032</v>
      </c>
      <c r="AF49" s="25">
        <v>2033</v>
      </c>
      <c r="AG49" s="25">
        <v>2034</v>
      </c>
      <c r="AH49" s="25">
        <v>2035</v>
      </c>
      <c r="AI49" s="25">
        <v>2036</v>
      </c>
      <c r="AJ49" s="25">
        <v>2037</v>
      </c>
      <c r="AK49" s="25">
        <v>2038</v>
      </c>
      <c r="AL49" s="25">
        <v>2039</v>
      </c>
      <c r="AM49" s="25">
        <v>2040</v>
      </c>
      <c r="AN49" s="25">
        <v>2041</v>
      </c>
      <c r="AO49" s="25">
        <v>2042</v>
      </c>
      <c r="AP49" s="25">
        <v>2043</v>
      </c>
      <c r="AQ49" s="25">
        <v>2044</v>
      </c>
      <c r="AR49" s="25">
        <v>2045</v>
      </c>
      <c r="AS49" s="25">
        <v>2046</v>
      </c>
      <c r="AT49" s="25">
        <v>2047</v>
      </c>
      <c r="AU49" s="25">
        <v>2048</v>
      </c>
      <c r="AV49" s="25">
        <v>2049</v>
      </c>
      <c r="AW49" s="25">
        <v>2050</v>
      </c>
      <c r="AX49" s="25">
        <v>2051</v>
      </c>
      <c r="AY49" s="25">
        <v>2052</v>
      </c>
      <c r="AZ49" s="25">
        <v>2053</v>
      </c>
      <c r="BA49" s="25">
        <v>2054</v>
      </c>
    </row>
    <row r="50" spans="1:53" outlineLevel="1" x14ac:dyDescent="0.35">
      <c r="A50" s="6" t="s">
        <v>21</v>
      </c>
      <c r="B50" s="6">
        <f>'Results - raw data ReCiPe (I)'!C41</f>
        <v>3.1821965122054842E-4</v>
      </c>
      <c r="AB50" s="6" t="s">
        <v>117</v>
      </c>
      <c r="AC50" s="6">
        <f>SUM(B50:B61)+B63</f>
        <v>1.6995353320054075E-2</v>
      </c>
    </row>
    <row r="51" spans="1:53" outlineLevel="1" x14ac:dyDescent="0.35">
      <c r="A51" s="6" t="s">
        <v>23</v>
      </c>
      <c r="B51" s="6">
        <f>'Results - raw data ReCiPe (I)'!C42</f>
        <v>4.5108434667840948E-4</v>
      </c>
      <c r="AB51" s="6" t="s">
        <v>118</v>
      </c>
      <c r="AC51" s="6">
        <f>B62</f>
        <v>9.9771112859395631E-4</v>
      </c>
    </row>
    <row r="52" spans="1:53" outlineLevel="1" x14ac:dyDescent="0.35">
      <c r="A52" s="6" t="s">
        <v>26</v>
      </c>
      <c r="B52" s="6">
        <f>'Results - raw data ReCiPe (I)'!C43</f>
        <v>1.454293812173775E-3</v>
      </c>
      <c r="AB52" s="6" t="s">
        <v>119</v>
      </c>
      <c r="BA52" s="6">
        <f>SUM(Z64:Z75)</f>
        <v>1.3822951601734481E-4</v>
      </c>
    </row>
    <row r="53" spans="1:53" outlineLevel="1" x14ac:dyDescent="0.35">
      <c r="A53" s="6" t="s">
        <v>28</v>
      </c>
      <c r="B53" s="6">
        <f>'Results - raw data ReCiPe (I)'!C44</f>
        <v>2.5638112267395499E-3</v>
      </c>
      <c r="AB53" s="6" t="s">
        <v>120</v>
      </c>
      <c r="BA53" s="6">
        <f>Z76</f>
        <v>4.9710056260593857E-6</v>
      </c>
    </row>
    <row r="54" spans="1:53" outlineLevel="1" x14ac:dyDescent="0.35">
      <c r="A54" s="6" t="s">
        <v>29</v>
      </c>
      <c r="B54" s="6">
        <f>'Results - raw data ReCiPe (I)'!C45</f>
        <v>1.670041951681804E-3</v>
      </c>
      <c r="AB54" s="6" t="s">
        <v>121</v>
      </c>
      <c r="AC54" s="6">
        <f>B77</f>
        <v>3.0406400262598818E-4</v>
      </c>
      <c r="AF54" s="6">
        <f>E77</f>
        <v>2.9641770904864699E-4</v>
      </c>
      <c r="AI54" s="6">
        <f>H77</f>
        <v>2.8894461479738099E-4</v>
      </c>
      <c r="AL54" s="6">
        <f>K77</f>
        <v>2.7865961728505771E-4</v>
      </c>
      <c r="AO54" s="6">
        <f>N77</f>
        <v>2.6585850485750173E-4</v>
      </c>
      <c r="AR54" s="6">
        <f>Q77</f>
        <v>2.516049030100258E-4</v>
      </c>
      <c r="AU54" s="6">
        <f>T77</f>
        <v>2.424330204216972E-4</v>
      </c>
      <c r="AX54" s="6">
        <f>W77</f>
        <v>2.4089817230596729E-4</v>
      </c>
      <c r="BA54" s="6">
        <f>Z77</f>
        <v>2.3998846110054729E-4</v>
      </c>
    </row>
    <row r="55" spans="1:53" outlineLevel="1" x14ac:dyDescent="0.35">
      <c r="A55" s="6" t="s">
        <v>31</v>
      </c>
      <c r="B55" s="6">
        <f>'Results - raw data ReCiPe (I)'!C46</f>
        <v>9.0181183666199584E-4</v>
      </c>
      <c r="AB55" s="6" t="s">
        <v>122</v>
      </c>
      <c r="AC55" s="6">
        <f>B80+B79</f>
        <v>7.6565319050394516E-3</v>
      </c>
      <c r="AD55" s="6">
        <f t="shared" ref="AD55:BA55" si="5">C80+C79</f>
        <v>7.396942047633883E-3</v>
      </c>
      <c r="AE55" s="6">
        <f t="shared" si="5"/>
        <v>7.1214600712817353E-3</v>
      </c>
      <c r="AF55" s="6">
        <f t="shared" si="5"/>
        <v>6.8324995802353664E-3</v>
      </c>
      <c r="AG55" s="6">
        <f t="shared" si="5"/>
        <v>6.5497371293745804E-3</v>
      </c>
      <c r="AH55" s="6">
        <f t="shared" si="5"/>
        <v>6.2666202275156154E-3</v>
      </c>
      <c r="AI55" s="6">
        <f t="shared" si="5"/>
        <v>6.1112926619391952E-3</v>
      </c>
      <c r="AJ55" s="6">
        <f t="shared" si="5"/>
        <v>5.9568643965241001E-3</v>
      </c>
      <c r="AK55" s="6">
        <f t="shared" si="5"/>
        <v>5.799785638875881E-3</v>
      </c>
      <c r="AL55" s="6">
        <f t="shared" si="5"/>
        <v>5.6449025566350517E-3</v>
      </c>
      <c r="AM55" s="6">
        <f t="shared" si="5"/>
        <v>5.4894729936840357E-3</v>
      </c>
      <c r="AN55" s="6">
        <f t="shared" si="5"/>
        <v>5.3084169020852423E-3</v>
      </c>
      <c r="AO55" s="6">
        <f t="shared" si="5"/>
        <v>5.1262439020892401E-3</v>
      </c>
      <c r="AP55" s="6">
        <f t="shared" si="5"/>
        <v>4.9424464589051748E-3</v>
      </c>
      <c r="AQ55" s="6">
        <f t="shared" si="5"/>
        <v>4.7580457114767922E-3</v>
      </c>
      <c r="AR55" s="6">
        <f t="shared" si="5"/>
        <v>4.572555156956289E-3</v>
      </c>
      <c r="AS55" s="6">
        <f t="shared" si="5"/>
        <v>4.463859864905338E-3</v>
      </c>
      <c r="AT55" s="6">
        <f t="shared" si="5"/>
        <v>4.3534668788400453E-3</v>
      </c>
      <c r="AU55" s="6">
        <f t="shared" si="5"/>
        <v>4.2423548757298023E-3</v>
      </c>
      <c r="AV55" s="6">
        <f t="shared" si="5"/>
        <v>4.1317322767301396E-3</v>
      </c>
      <c r="AW55" s="6">
        <f t="shared" si="5"/>
        <v>4.0209831223895027E-3</v>
      </c>
      <c r="AX55" s="6">
        <f t="shared" si="5"/>
        <v>4.0702553347113889E-3</v>
      </c>
      <c r="AY55" s="6">
        <f t="shared" si="5"/>
        <v>4.0158438402737402E-3</v>
      </c>
      <c r="AZ55" s="6">
        <f t="shared" si="5"/>
        <v>3.9612485649405359E-3</v>
      </c>
      <c r="BA55" s="6">
        <f t="shared" si="5"/>
        <v>3.9064585313200546E-3</v>
      </c>
    </row>
    <row r="56" spans="1:53" outlineLevel="1" x14ac:dyDescent="0.35">
      <c r="A56" s="6" t="s">
        <v>34</v>
      </c>
      <c r="B56" s="6">
        <f>'Results - raw data ReCiPe (I)'!C47</f>
        <v>6.9644183426684127E-4</v>
      </c>
      <c r="AB56" s="6" t="s">
        <v>123</v>
      </c>
      <c r="AC56" s="6">
        <f t="shared" ref="AC56:BA56" si="6">B78</f>
        <v>6.5278503577573038E-4</v>
      </c>
      <c r="AD56" s="6">
        <f t="shared" si="6"/>
        <v>6.3163815054054586E-4</v>
      </c>
      <c r="AE56" s="6">
        <f t="shared" si="6"/>
        <v>6.0936914167752357E-4</v>
      </c>
      <c r="AF56" s="6">
        <f t="shared" si="6"/>
        <v>5.8604016063638475E-4</v>
      </c>
      <c r="AG56" s="6">
        <f t="shared" si="6"/>
        <v>5.6339015607056553E-4</v>
      </c>
      <c r="AH56" s="6">
        <f t="shared" si="6"/>
        <v>5.4080641481356166E-4</v>
      </c>
      <c r="AI56" s="6">
        <f t="shared" si="6"/>
        <v>5.2822285660082831E-4</v>
      </c>
      <c r="AJ56" s="6">
        <f t="shared" si="6"/>
        <v>5.1573646377868953E-4</v>
      </c>
      <c r="AK56" s="6">
        <f t="shared" si="6"/>
        <v>5.0303689991406774E-4</v>
      </c>
      <c r="AL56" s="6">
        <f t="shared" si="6"/>
        <v>4.905624031589118E-4</v>
      </c>
      <c r="AM56" s="6">
        <f t="shared" si="6"/>
        <v>4.7807044862994221E-4</v>
      </c>
      <c r="AN56" s="6">
        <f t="shared" si="6"/>
        <v>4.6383945730106921E-4</v>
      </c>
      <c r="AO56" s="6">
        <f t="shared" si="6"/>
        <v>4.4953674290099896E-4</v>
      </c>
      <c r="AP56" s="6">
        <f t="shared" si="6"/>
        <v>4.3510996225576832E-4</v>
      </c>
      <c r="AQ56" s="6">
        <f t="shared" si="6"/>
        <v>4.206626907804594E-4</v>
      </c>
      <c r="AR56" s="6">
        <f t="shared" si="6"/>
        <v>4.0614374447590175E-4</v>
      </c>
      <c r="AS56" s="6">
        <f t="shared" si="6"/>
        <v>3.9798166416057506E-4</v>
      </c>
      <c r="AT56" s="6">
        <f t="shared" si="6"/>
        <v>3.8967771168424431E-4</v>
      </c>
      <c r="AU56" s="6">
        <f t="shared" si="6"/>
        <v>3.8129284632544997E-4</v>
      </c>
      <c r="AV56" s="6">
        <f t="shared" si="6"/>
        <v>3.7293973852255358E-4</v>
      </c>
      <c r="AW56" s="6">
        <f t="shared" si="6"/>
        <v>3.6456009866230813E-4</v>
      </c>
      <c r="AX56" s="6">
        <f t="shared" si="6"/>
        <v>3.6868905892596183E-4</v>
      </c>
      <c r="AY56" s="6">
        <f t="shared" si="6"/>
        <v>3.6423180770113933E-4</v>
      </c>
      <c r="AZ56" s="6">
        <f t="shared" si="6"/>
        <v>3.5977346519706753E-4</v>
      </c>
      <c r="BA56" s="6">
        <f t="shared" si="6"/>
        <v>3.5531293899904068E-4</v>
      </c>
    </row>
    <row r="57" spans="1:53" outlineLevel="1" x14ac:dyDescent="0.35">
      <c r="A57" s="6" t="s">
        <v>36</v>
      </c>
      <c r="B57" s="6">
        <f>'Results - raw data ReCiPe (I)'!C48</f>
        <v>2.7577646249853999E-4</v>
      </c>
      <c r="AB57" s="6" t="s">
        <v>124</v>
      </c>
      <c r="AC57" s="6">
        <f>-$AC$7*$AC$6</f>
        <v>-8.1199999999999987E-3</v>
      </c>
      <c r="AD57" s="6">
        <f t="shared" ref="AD57:BA57" si="7">-$AC$7*$AC$6</f>
        <v>-8.1199999999999987E-3</v>
      </c>
      <c r="AE57" s="6">
        <f t="shared" si="7"/>
        <v>-8.1199999999999987E-3</v>
      </c>
      <c r="AF57" s="6">
        <f t="shared" si="7"/>
        <v>-8.1199999999999987E-3</v>
      </c>
      <c r="AG57" s="6">
        <f t="shared" si="7"/>
        <v>-8.1199999999999987E-3</v>
      </c>
      <c r="AH57" s="6">
        <f t="shared" si="7"/>
        <v>-8.1199999999999987E-3</v>
      </c>
      <c r="AI57" s="6">
        <f t="shared" si="7"/>
        <v>-8.1199999999999987E-3</v>
      </c>
      <c r="AJ57" s="6">
        <f t="shared" si="7"/>
        <v>-8.1199999999999987E-3</v>
      </c>
      <c r="AK57" s="6">
        <f t="shared" si="7"/>
        <v>-8.1199999999999987E-3</v>
      </c>
      <c r="AL57" s="6">
        <f t="shared" si="7"/>
        <v>-8.1199999999999987E-3</v>
      </c>
      <c r="AM57" s="6">
        <f t="shared" si="7"/>
        <v>-8.1199999999999987E-3</v>
      </c>
      <c r="AN57" s="6">
        <f t="shared" si="7"/>
        <v>-8.1199999999999987E-3</v>
      </c>
      <c r="AO57" s="6">
        <f t="shared" si="7"/>
        <v>-8.1199999999999987E-3</v>
      </c>
      <c r="AP57" s="6">
        <f t="shared" si="7"/>
        <v>-8.1199999999999987E-3</v>
      </c>
      <c r="AQ57" s="6">
        <f t="shared" si="7"/>
        <v>-8.1199999999999987E-3</v>
      </c>
      <c r="AR57" s="6">
        <f t="shared" si="7"/>
        <v>-8.1199999999999987E-3</v>
      </c>
      <c r="AS57" s="6">
        <f t="shared" si="7"/>
        <v>-8.1199999999999987E-3</v>
      </c>
      <c r="AT57" s="6">
        <f t="shared" si="7"/>
        <v>-8.1199999999999987E-3</v>
      </c>
      <c r="AU57" s="6">
        <f t="shared" si="7"/>
        <v>-8.1199999999999987E-3</v>
      </c>
      <c r="AV57" s="6">
        <f t="shared" si="7"/>
        <v>-8.1199999999999987E-3</v>
      </c>
      <c r="AW57" s="6">
        <f t="shared" si="7"/>
        <v>-8.1199999999999987E-3</v>
      </c>
      <c r="AX57" s="6">
        <f t="shared" si="7"/>
        <v>-8.1199999999999987E-3</v>
      </c>
      <c r="AY57" s="6">
        <f t="shared" si="7"/>
        <v>-8.1199999999999987E-3</v>
      </c>
      <c r="AZ57" s="6">
        <f t="shared" si="7"/>
        <v>-8.1199999999999987E-3</v>
      </c>
      <c r="BA57" s="6">
        <f t="shared" si="7"/>
        <v>-8.1199999999999987E-3</v>
      </c>
    </row>
    <row r="58" spans="1:53" outlineLevel="1" x14ac:dyDescent="0.35">
      <c r="A58" s="6" t="s">
        <v>38</v>
      </c>
      <c r="B58" s="6">
        <f>'Results - raw data ReCiPe (I)'!C49</f>
        <v>2.7883510110522408E-3</v>
      </c>
      <c r="AB58" s="23" t="s">
        <v>125</v>
      </c>
      <c r="AC58" s="17">
        <f t="shared" ref="AC58:BA58" si="8">SUM(AC50:AC57)</f>
        <v>1.8486445392089202E-2</v>
      </c>
      <c r="AD58" s="17">
        <f t="shared" si="8"/>
        <v>-9.1419801825570052E-5</v>
      </c>
      <c r="AE58" s="17">
        <f t="shared" si="8"/>
        <v>-3.8917078704074019E-4</v>
      </c>
      <c r="AF58" s="17">
        <f t="shared" si="8"/>
        <v>-4.0504255007960035E-4</v>
      </c>
      <c r="AG58" s="17">
        <f t="shared" si="8"/>
        <v>-1.0068727145548526E-3</v>
      </c>
      <c r="AH58" s="17">
        <f t="shared" si="8"/>
        <v>-1.3125733576708218E-3</v>
      </c>
      <c r="AI58" s="17">
        <f t="shared" si="8"/>
        <v>-1.1915398666625943E-3</v>
      </c>
      <c r="AJ58" s="17">
        <f t="shared" si="8"/>
        <v>-1.6473991396972094E-3</v>
      </c>
      <c r="AK58" s="17">
        <f t="shared" si="8"/>
        <v>-1.8171774612100499E-3</v>
      </c>
      <c r="AL58" s="17">
        <f t="shared" si="8"/>
        <v>-1.7058754229209777E-3</v>
      </c>
      <c r="AM58" s="17">
        <f t="shared" si="8"/>
        <v>-2.1524565576860211E-3</v>
      </c>
      <c r="AN58" s="17">
        <f t="shared" si="8"/>
        <v>-2.3477436406136873E-3</v>
      </c>
      <c r="AO58" s="17">
        <f t="shared" si="8"/>
        <v>-2.2783608501522577E-3</v>
      </c>
      <c r="AP58" s="17">
        <f t="shared" si="8"/>
        <v>-2.7424435788390555E-3</v>
      </c>
      <c r="AQ58" s="17">
        <f t="shared" si="8"/>
        <v>-2.9412915977427472E-3</v>
      </c>
      <c r="AR58" s="17">
        <f t="shared" si="8"/>
        <v>-2.8896961955577824E-3</v>
      </c>
      <c r="AS58" s="17">
        <f t="shared" si="8"/>
        <v>-3.2581584709340857E-3</v>
      </c>
      <c r="AT58" s="17">
        <f t="shared" si="8"/>
        <v>-3.3768554094757092E-3</v>
      </c>
      <c r="AU58" s="17">
        <f t="shared" si="8"/>
        <v>-3.253919257523049E-3</v>
      </c>
      <c r="AV58" s="17">
        <f t="shared" si="8"/>
        <v>-3.6153279847473052E-3</v>
      </c>
      <c r="AW58" s="17">
        <f t="shared" si="8"/>
        <v>-3.7344567789481878E-3</v>
      </c>
      <c r="AX58" s="17">
        <f t="shared" si="8"/>
        <v>-3.4401574340566813E-3</v>
      </c>
      <c r="AY58" s="17">
        <f t="shared" si="8"/>
        <v>-3.7399243520251195E-3</v>
      </c>
      <c r="AZ58" s="17">
        <f t="shared" si="8"/>
        <v>-3.7989779698623955E-3</v>
      </c>
      <c r="BA58" s="17">
        <f t="shared" si="8"/>
        <v>-3.4750395469369515E-3</v>
      </c>
    </row>
    <row r="59" spans="1:53" outlineLevel="1" x14ac:dyDescent="0.35">
      <c r="A59" s="6" t="s">
        <v>39</v>
      </c>
      <c r="B59" s="6">
        <f>'Results - raw data ReCiPe (I)'!C50</f>
        <v>3.790802282108608E-3</v>
      </c>
    </row>
    <row r="60" spans="1:53" outlineLevel="1" x14ac:dyDescent="0.35">
      <c r="A60" s="6" t="s">
        <v>41</v>
      </c>
      <c r="B60" s="6">
        <f>'Results - raw data ReCiPe (I)'!C51</f>
        <v>1.535713505087794E-5</v>
      </c>
    </row>
    <row r="61" spans="1:53" outlineLevel="1" x14ac:dyDescent="0.35">
      <c r="A61" s="6" t="s">
        <v>43</v>
      </c>
      <c r="B61" s="6">
        <f>'Results - raw data ReCiPe (I)'!C52</f>
        <v>1.2419452311635511E-4</v>
      </c>
      <c r="AB61" s="187"/>
      <c r="AC61" s="187"/>
      <c r="AD61" s="187"/>
      <c r="AE61" s="187"/>
      <c r="AF61" s="187"/>
      <c r="AG61" s="187"/>
      <c r="AH61" s="187"/>
      <c r="AI61" s="187"/>
      <c r="AJ61" s="187"/>
      <c r="AK61" s="187"/>
      <c r="AL61" s="187"/>
      <c r="AM61" s="187"/>
      <c r="AN61" s="187"/>
      <c r="AO61" s="187"/>
      <c r="AP61" s="187"/>
      <c r="AQ61" s="187"/>
      <c r="AR61" s="187"/>
      <c r="AS61" s="187"/>
      <c r="AT61" s="187"/>
      <c r="AU61" s="187"/>
      <c r="AV61" s="187"/>
      <c r="AW61" s="187"/>
      <c r="AX61" s="187"/>
      <c r="AY61" s="187"/>
      <c r="AZ61" s="187"/>
      <c r="BA61" s="187"/>
    </row>
    <row r="62" spans="1:53" outlineLevel="1" x14ac:dyDescent="0.35">
      <c r="A62" s="6" t="s">
        <v>44</v>
      </c>
      <c r="B62" s="6">
        <f>'Results - raw data ReCiPe (I)'!C53*AC47*AC48</f>
        <v>9.9771112859395631E-4</v>
      </c>
      <c r="AB62" s="187"/>
      <c r="AC62" s="187"/>
      <c r="AD62" s="187"/>
      <c r="AE62" s="187"/>
      <c r="AF62" s="187"/>
      <c r="AG62" s="187"/>
      <c r="AH62" s="187"/>
      <c r="AI62" s="187"/>
      <c r="AJ62" s="187"/>
      <c r="AK62" s="187"/>
      <c r="AL62" s="187"/>
      <c r="AM62" s="187"/>
      <c r="AN62" s="187"/>
      <c r="AO62" s="187"/>
      <c r="AP62" s="187"/>
      <c r="AQ62" s="187"/>
      <c r="AR62" s="187"/>
      <c r="AS62" s="187"/>
      <c r="AT62" s="187"/>
      <c r="AU62" s="187"/>
      <c r="AV62" s="187"/>
      <c r="AW62" s="187"/>
      <c r="AX62" s="187"/>
      <c r="AY62" s="187"/>
      <c r="AZ62" s="187"/>
      <c r="BA62" s="187"/>
    </row>
    <row r="63" spans="1:53" outlineLevel="1" x14ac:dyDescent="0.35">
      <c r="A63" s="6" t="s">
        <v>757</v>
      </c>
      <c r="B63" s="6">
        <f>'Results - raw data ReCiPe (I)'!C54*AC48*AC47</f>
        <v>1.9451672468045326E-3</v>
      </c>
      <c r="AB63" s="187"/>
      <c r="AC63" s="187"/>
      <c r="AD63" s="187"/>
      <c r="AE63" s="187"/>
      <c r="AF63" s="187"/>
      <c r="AG63" s="187"/>
      <c r="AH63" s="187"/>
      <c r="AI63" s="187"/>
      <c r="AJ63" s="187"/>
      <c r="AK63" s="187"/>
      <c r="AL63" s="187"/>
      <c r="AM63" s="187"/>
      <c r="AN63" s="187"/>
      <c r="AO63" s="187"/>
      <c r="AP63" s="187"/>
      <c r="AQ63" s="187"/>
      <c r="AR63" s="187"/>
      <c r="AS63" s="187"/>
      <c r="AT63" s="187"/>
      <c r="AU63" s="187"/>
      <c r="AV63" s="187"/>
      <c r="AW63" s="187"/>
      <c r="AX63" s="187"/>
      <c r="AY63" s="187"/>
      <c r="AZ63" s="187"/>
      <c r="BA63" s="187"/>
    </row>
    <row r="64" spans="1:53" outlineLevel="1" x14ac:dyDescent="0.35">
      <c r="A64" s="6" t="s">
        <v>22</v>
      </c>
      <c r="Z64" s="6">
        <f>'Results - raw data ReCiPe (I)'!AA55</f>
        <v>2.4731348142252328E-6</v>
      </c>
      <c r="AB64" s="187"/>
      <c r="AC64" s="187"/>
      <c r="AD64" s="187"/>
      <c r="AE64" s="187"/>
      <c r="AF64" s="187"/>
      <c r="AG64" s="187"/>
      <c r="AH64" s="187"/>
      <c r="AI64" s="187"/>
      <c r="AJ64" s="187"/>
      <c r="AK64" s="187"/>
      <c r="AL64" s="187"/>
      <c r="AM64" s="187"/>
      <c r="AN64" s="187"/>
      <c r="AO64" s="187"/>
      <c r="AP64" s="187"/>
      <c r="AQ64" s="187"/>
      <c r="AR64" s="187"/>
      <c r="AS64" s="187"/>
      <c r="AT64" s="187"/>
      <c r="AU64" s="187"/>
      <c r="AV64" s="187"/>
      <c r="AW64" s="187"/>
      <c r="AX64" s="187"/>
      <c r="AY64" s="187"/>
      <c r="AZ64" s="187"/>
      <c r="BA64" s="187"/>
    </row>
    <row r="65" spans="1:53" outlineLevel="1" x14ac:dyDescent="0.35">
      <c r="A65" s="6" t="s">
        <v>24</v>
      </c>
      <c r="Z65" s="6">
        <f>'Results - raw data ReCiPe (I)'!AA56</f>
        <v>1.566589914225409E-6</v>
      </c>
      <c r="AB65" s="187"/>
      <c r="AC65" s="187"/>
      <c r="AD65" s="187"/>
      <c r="AE65" s="187"/>
      <c r="AF65" s="187"/>
      <c r="AG65" s="187"/>
      <c r="AH65" s="187"/>
      <c r="AI65" s="187"/>
      <c r="AJ65" s="187"/>
      <c r="AK65" s="187"/>
      <c r="AL65" s="187"/>
      <c r="AM65" s="187"/>
      <c r="AN65" s="187"/>
      <c r="AO65" s="187"/>
      <c r="AP65" s="187"/>
      <c r="AQ65" s="187"/>
      <c r="AR65" s="187"/>
      <c r="AS65" s="187"/>
      <c r="AT65" s="187"/>
      <c r="AU65" s="187"/>
      <c r="AV65" s="187"/>
      <c r="AW65" s="187"/>
      <c r="AX65" s="187"/>
      <c r="AY65" s="187"/>
      <c r="AZ65" s="187"/>
      <c r="BA65" s="187"/>
    </row>
    <row r="66" spans="1:53" outlineLevel="1" x14ac:dyDescent="0.35">
      <c r="A66" s="6" t="s">
        <v>25</v>
      </c>
      <c r="Z66" s="6">
        <f>'Results - raw data ReCiPe (I)'!AA57</f>
        <v>5.8372899867207733E-6</v>
      </c>
      <c r="AB66" s="187"/>
      <c r="AC66" s="187"/>
      <c r="AD66" s="187"/>
      <c r="AE66" s="187"/>
      <c r="AF66" s="187"/>
      <c r="AG66" s="187"/>
      <c r="AH66" s="187"/>
      <c r="AI66" s="187"/>
      <c r="AJ66" s="187"/>
      <c r="AK66" s="187"/>
      <c r="AL66" s="187"/>
      <c r="AM66" s="187"/>
      <c r="AN66" s="187"/>
      <c r="AO66" s="187"/>
      <c r="AP66" s="187"/>
      <c r="AQ66" s="187"/>
      <c r="AR66" s="187"/>
      <c r="AS66" s="187"/>
      <c r="AT66" s="187"/>
      <c r="AU66" s="187"/>
      <c r="AV66" s="187"/>
      <c r="AW66" s="187"/>
      <c r="AX66" s="187"/>
      <c r="AY66" s="187"/>
      <c r="AZ66" s="187"/>
      <c r="BA66" s="187"/>
    </row>
    <row r="67" spans="1:53" outlineLevel="1" x14ac:dyDescent="0.35">
      <c r="A67" s="6" t="s">
        <v>27</v>
      </c>
      <c r="Z67" s="6">
        <f>'Results - raw data ReCiPe (I)'!AA58</f>
        <v>2.9871627518195061E-6</v>
      </c>
      <c r="AB67" s="187"/>
      <c r="AC67" s="187"/>
      <c r="AD67" s="187"/>
      <c r="AE67" s="187"/>
      <c r="AF67" s="187"/>
      <c r="AG67" s="187"/>
      <c r="AH67" s="187"/>
      <c r="AI67" s="187"/>
      <c r="AJ67" s="187"/>
      <c r="AK67" s="187"/>
      <c r="AL67" s="187"/>
      <c r="AM67" s="187"/>
      <c r="AN67" s="187"/>
      <c r="AO67" s="187"/>
      <c r="AP67" s="187"/>
      <c r="AQ67" s="187"/>
      <c r="AR67" s="187"/>
      <c r="AS67" s="187"/>
      <c r="AT67" s="187"/>
      <c r="AU67" s="187"/>
      <c r="AV67" s="187"/>
      <c r="AW67" s="187"/>
      <c r="AX67" s="187"/>
      <c r="AY67" s="187"/>
      <c r="AZ67" s="187"/>
      <c r="BA67" s="187"/>
    </row>
    <row r="68" spans="1:53" outlineLevel="1" x14ac:dyDescent="0.35">
      <c r="A68" s="6" t="s">
        <v>30</v>
      </c>
      <c r="Z68" s="6">
        <f>'Results - raw data ReCiPe (I)'!AA59</f>
        <v>3.246582373763257E-6</v>
      </c>
      <c r="AB68" s="187"/>
      <c r="AC68" s="187"/>
      <c r="AD68" s="187"/>
      <c r="AE68" s="187"/>
      <c r="AF68" s="187"/>
      <c r="AG68" s="187"/>
      <c r="AH68" s="187"/>
      <c r="AI68" s="187"/>
      <c r="AJ68" s="187"/>
      <c r="AK68" s="187"/>
      <c r="AL68" s="187"/>
      <c r="AM68" s="187"/>
      <c r="AN68" s="187"/>
      <c r="AO68" s="187"/>
      <c r="AP68" s="187"/>
      <c r="AQ68" s="187"/>
      <c r="AR68" s="187"/>
      <c r="AS68" s="187"/>
      <c r="AT68" s="187"/>
      <c r="AU68" s="187"/>
      <c r="AV68" s="187"/>
      <c r="AW68" s="187"/>
      <c r="AX68" s="187"/>
      <c r="AY68" s="187"/>
      <c r="AZ68" s="187"/>
      <c r="BA68" s="187"/>
    </row>
    <row r="69" spans="1:53" outlineLevel="1" x14ac:dyDescent="0.35">
      <c r="A69" s="6" t="s">
        <v>32</v>
      </c>
      <c r="Z69" s="6">
        <f>'Results - raw data ReCiPe (I)'!AA60</f>
        <v>7.348392897368302E-7</v>
      </c>
      <c r="AB69" s="187"/>
      <c r="AC69" s="187"/>
      <c r="AD69" s="187"/>
      <c r="AE69" s="187"/>
      <c r="AF69" s="187"/>
      <c r="AG69" s="187"/>
      <c r="AH69" s="187"/>
      <c r="AI69" s="187"/>
      <c r="AJ69" s="187"/>
      <c r="AK69" s="187"/>
      <c r="AL69" s="187"/>
      <c r="AM69" s="187"/>
      <c r="AN69" s="187"/>
      <c r="AO69" s="187"/>
      <c r="AP69" s="187"/>
      <c r="AQ69" s="187"/>
      <c r="AR69" s="187"/>
      <c r="AS69" s="187"/>
      <c r="AT69" s="187"/>
      <c r="AU69" s="187"/>
      <c r="AV69" s="187"/>
      <c r="AW69" s="187"/>
      <c r="AX69" s="187"/>
      <c r="AY69" s="187"/>
      <c r="AZ69" s="187"/>
      <c r="BA69" s="187"/>
    </row>
    <row r="70" spans="1:53" outlineLevel="1" x14ac:dyDescent="0.35">
      <c r="A70" s="6" t="s">
        <v>33</v>
      </c>
      <c r="Z70" s="6">
        <f>'Results - raw data ReCiPe (I)'!AA61</f>
        <v>8.5418660163194619E-7</v>
      </c>
      <c r="AB70" s="187"/>
      <c r="AC70" s="187"/>
      <c r="AD70" s="187"/>
      <c r="AE70" s="187"/>
      <c r="AF70" s="187"/>
      <c r="AG70" s="187"/>
      <c r="AH70" s="187"/>
      <c r="AI70" s="187"/>
      <c r="AJ70" s="187"/>
      <c r="AK70" s="187"/>
      <c r="AL70" s="187"/>
      <c r="AM70" s="187"/>
      <c r="AN70" s="187"/>
      <c r="AO70" s="187"/>
      <c r="AP70" s="187"/>
      <c r="AQ70" s="187"/>
      <c r="AR70" s="187"/>
      <c r="AS70" s="187"/>
      <c r="AT70" s="187"/>
      <c r="AU70" s="187"/>
      <c r="AV70" s="187"/>
      <c r="AW70" s="187"/>
      <c r="AX70" s="187"/>
      <c r="AY70" s="187"/>
      <c r="AZ70" s="187"/>
      <c r="BA70" s="187"/>
    </row>
    <row r="71" spans="1:53" outlineLevel="1" x14ac:dyDescent="0.35">
      <c r="A71" s="6" t="s">
        <v>35</v>
      </c>
      <c r="Z71" s="6">
        <f>'Results - raw data ReCiPe (I)'!AA62</f>
        <v>1.708373203263892E-6</v>
      </c>
      <c r="AB71" s="187"/>
      <c r="AC71" s="187"/>
      <c r="AD71" s="187"/>
      <c r="AE71" s="187"/>
      <c r="AF71" s="187"/>
      <c r="AG71" s="187"/>
      <c r="AH71" s="187"/>
      <c r="AI71" s="187"/>
      <c r="AJ71" s="187"/>
      <c r="AK71" s="187"/>
      <c r="AL71" s="187"/>
      <c r="AM71" s="187"/>
      <c r="AN71" s="187"/>
      <c r="AO71" s="187"/>
      <c r="AP71" s="187"/>
      <c r="AQ71" s="187"/>
      <c r="AR71" s="187"/>
      <c r="AS71" s="187"/>
      <c r="AT71" s="187"/>
      <c r="AU71" s="187"/>
      <c r="AV71" s="187"/>
      <c r="AW71" s="187"/>
      <c r="AX71" s="187"/>
      <c r="AY71" s="187"/>
      <c r="AZ71" s="187"/>
      <c r="BA71" s="187"/>
    </row>
    <row r="72" spans="1:53" outlineLevel="1" x14ac:dyDescent="0.35">
      <c r="A72" s="6" t="s">
        <v>37</v>
      </c>
      <c r="Z72" s="6">
        <f>'Results - raw data ReCiPe (I)'!AA63</f>
        <v>8.406359088602854E-6</v>
      </c>
      <c r="AB72" s="187"/>
      <c r="AC72" s="187"/>
      <c r="AD72" s="187"/>
      <c r="AE72" s="187"/>
      <c r="AF72" s="187"/>
      <c r="AG72" s="187"/>
      <c r="AH72" s="187"/>
      <c r="AI72" s="187"/>
      <c r="AJ72" s="187"/>
      <c r="AK72" s="187"/>
      <c r="AL72" s="187"/>
      <c r="AM72" s="187"/>
      <c r="AN72" s="187"/>
      <c r="AO72" s="187"/>
      <c r="AP72" s="187"/>
      <c r="AQ72" s="187"/>
      <c r="AR72" s="187"/>
      <c r="AS72" s="187"/>
      <c r="AT72" s="187"/>
      <c r="AU72" s="187"/>
      <c r="AV72" s="187"/>
      <c r="AW72" s="187"/>
      <c r="AX72" s="187"/>
      <c r="AY72" s="187"/>
      <c r="AZ72" s="187"/>
      <c r="BA72" s="187"/>
    </row>
    <row r="73" spans="1:53" outlineLevel="1" x14ac:dyDescent="0.35">
      <c r="A73" s="6" t="s">
        <v>40</v>
      </c>
      <c r="Z73" s="6">
        <f>'Results - raw data ReCiPe (I)'!AA64</f>
        <v>4.4561011169940931E-5</v>
      </c>
      <c r="AB73" s="187"/>
      <c r="AC73" s="187"/>
      <c r="AD73" s="187"/>
      <c r="AE73" s="187"/>
      <c r="AF73" s="187"/>
      <c r="AG73" s="187"/>
      <c r="AH73" s="187"/>
      <c r="AI73" s="187"/>
      <c r="AJ73" s="187"/>
      <c r="AK73" s="187"/>
      <c r="AL73" s="187"/>
      <c r="AM73" s="187"/>
      <c r="AN73" s="187"/>
      <c r="AO73" s="187"/>
      <c r="AP73" s="187"/>
      <c r="AQ73" s="187"/>
      <c r="AR73" s="187"/>
      <c r="AS73" s="187"/>
      <c r="AT73" s="187"/>
      <c r="AU73" s="187"/>
      <c r="AV73" s="187"/>
      <c r="AW73" s="187"/>
      <c r="AX73" s="187"/>
      <c r="AY73" s="187"/>
      <c r="AZ73" s="187"/>
      <c r="BA73" s="187"/>
    </row>
    <row r="74" spans="1:53" outlineLevel="1" x14ac:dyDescent="0.35">
      <c r="A74" s="6" t="s">
        <v>42</v>
      </c>
      <c r="Z74" s="6">
        <f>'Results - raw data ReCiPe (I)'!AA65</f>
        <v>1.26611946174033E-5</v>
      </c>
    </row>
    <row r="75" spans="1:53" outlineLevel="1" x14ac:dyDescent="0.35">
      <c r="A75" s="6" t="s">
        <v>115</v>
      </c>
      <c r="Z75" s="6">
        <f>'Results - raw data ReCiPe (I)'!AA66</f>
        <v>5.3192792206010883E-5</v>
      </c>
    </row>
    <row r="76" spans="1:53" outlineLevel="1" x14ac:dyDescent="0.35">
      <c r="A76" s="6" t="s">
        <v>45</v>
      </c>
      <c r="Z76" s="6">
        <f>'Results - raw data ReCiPe (I)'!AA67*AC47*AC48</f>
        <v>4.9710056260593857E-6</v>
      </c>
    </row>
    <row r="77" spans="1:53" outlineLevel="1" x14ac:dyDescent="0.35">
      <c r="A77" s="6" t="s">
        <v>116</v>
      </c>
      <c r="B77" s="6">
        <f>'Results - raw data ReCiPe (I)'!C68</f>
        <v>3.0406400262598818E-4</v>
      </c>
      <c r="C77" s="6">
        <f>'Results - raw data ReCiPe (I)'!D68</f>
        <v>3.0204881893775942E-4</v>
      </c>
      <c r="D77" s="6">
        <f>'Results - raw data ReCiPe (I)'!E68</f>
        <v>3.0001269711187241E-4</v>
      </c>
      <c r="E77" s="6">
        <f>'Results - raw data ReCiPe (I)'!F68</f>
        <v>2.9641770904864699E-4</v>
      </c>
      <c r="F77" s="6">
        <f>'Results - raw data ReCiPe (I)'!G68</f>
        <v>2.9433463180056661E-4</v>
      </c>
      <c r="G77" s="6">
        <f>'Results - raw data ReCiPe (I)'!H68</f>
        <v>2.9224639064194259E-4</v>
      </c>
      <c r="H77" s="6">
        <f>'Results - raw data ReCiPe (I)'!I68</f>
        <v>2.8894461479738099E-4</v>
      </c>
      <c r="I77" s="6">
        <f>'Results - raw data ReCiPe (I)'!J68</f>
        <v>2.8566935364366113E-4</v>
      </c>
      <c r="J77" s="6">
        <f>'Results - raw data ReCiPe (I)'!K68</f>
        <v>2.8193850577612738E-4</v>
      </c>
      <c r="K77" s="6">
        <f>'Results - raw data ReCiPe (I)'!L68</f>
        <v>2.7865961728505771E-4</v>
      </c>
      <c r="L77" s="6">
        <f>'Results - raw data ReCiPe (I)'!M68</f>
        <v>2.7537146889793258E-4</v>
      </c>
      <c r="M77" s="6">
        <f>'Results - raw data ReCiPe (I)'!N68</f>
        <v>2.7060112447531122E-4</v>
      </c>
      <c r="N77" s="6">
        <f>'Results - raw data ReCiPe (I)'!O68</f>
        <v>2.6585850485750173E-4</v>
      </c>
      <c r="O77" s="6">
        <f>'Results - raw data ReCiPe (I)'!P68</f>
        <v>2.609627939446373E-4</v>
      </c>
      <c r="P77" s="6">
        <f>'Results - raw data ReCiPe (I)'!Q68</f>
        <v>2.5627312292223273E-4</v>
      </c>
      <c r="Q77" s="6">
        <f>'Results - raw data ReCiPe (I)'!R68</f>
        <v>2.516049030100258E-4</v>
      </c>
      <c r="R77" s="6">
        <f>'Results - raw data ReCiPe (I)'!S68</f>
        <v>2.4858198954973008E-4</v>
      </c>
      <c r="S77" s="6">
        <f>'Results - raw data ReCiPe (I)'!T68</f>
        <v>2.4557348451335897E-4</v>
      </c>
      <c r="T77" s="6">
        <f>'Results - raw data ReCiPe (I)'!U68</f>
        <v>2.424330204216972E-4</v>
      </c>
      <c r="U77" s="6">
        <f>'Results - raw data ReCiPe (I)'!V68</f>
        <v>2.3945556552477679E-4</v>
      </c>
      <c r="V77" s="6">
        <f>'Results - raw data ReCiPe (I)'!W68</f>
        <v>2.364919560539444E-4</v>
      </c>
      <c r="W77" s="6">
        <f>'Results - raw data ReCiPe (I)'!X68</f>
        <v>2.4089817230596729E-4</v>
      </c>
      <c r="X77" s="6">
        <f>'Results - raw data ReCiPe (I)'!Y68</f>
        <v>2.4059301788226429E-4</v>
      </c>
      <c r="Y77" s="6">
        <f>'Results - raw data ReCiPe (I)'!Z68</f>
        <v>2.402897932875388E-4</v>
      </c>
      <c r="Z77" s="6">
        <f>'Results - raw data ReCiPe (I)'!AA68</f>
        <v>2.3998846110054729E-4</v>
      </c>
    </row>
    <row r="78" spans="1:53" outlineLevel="1" x14ac:dyDescent="0.35">
      <c r="A78" s="6" t="s">
        <v>758</v>
      </c>
      <c r="B78" s="6">
        <f>'Results - raw data ReCiPe (I)'!C69*$AC$47</f>
        <v>6.5278503577573038E-4</v>
      </c>
      <c r="C78" s="6">
        <f>'Results - raw data ReCiPe (I)'!D69*$AC$47</f>
        <v>6.3163815054054586E-4</v>
      </c>
      <c r="D78" s="6">
        <f>'Results - raw data ReCiPe (I)'!E69*$AC$47</f>
        <v>6.0936914167752357E-4</v>
      </c>
      <c r="E78" s="6">
        <f>'Results - raw data ReCiPe (I)'!F69*$AC$47</f>
        <v>5.8604016063638475E-4</v>
      </c>
      <c r="F78" s="6">
        <f>'Results - raw data ReCiPe (I)'!G69*$AC$47</f>
        <v>5.6339015607056553E-4</v>
      </c>
      <c r="G78" s="6">
        <f>'Results - raw data ReCiPe (I)'!H69*$AC$47</f>
        <v>5.4080641481356166E-4</v>
      </c>
      <c r="H78" s="6">
        <f>'Results - raw data ReCiPe (I)'!I69*$AC$47</f>
        <v>5.2822285660082831E-4</v>
      </c>
      <c r="I78" s="6">
        <f>'Results - raw data ReCiPe (I)'!J69*$AC$47</f>
        <v>5.1573646377868953E-4</v>
      </c>
      <c r="J78" s="6">
        <f>'Results - raw data ReCiPe (I)'!K69*$AC$47</f>
        <v>5.0303689991406774E-4</v>
      </c>
      <c r="K78" s="6">
        <f>'Results - raw data ReCiPe (I)'!L69*$AC$47</f>
        <v>4.905624031589118E-4</v>
      </c>
      <c r="L78" s="6">
        <f>'Results - raw data ReCiPe (I)'!M69*$AC$47</f>
        <v>4.7807044862994221E-4</v>
      </c>
      <c r="M78" s="6">
        <f>'Results - raw data ReCiPe (I)'!N69*$AC$47</f>
        <v>4.6383945730106921E-4</v>
      </c>
      <c r="N78" s="6">
        <f>'Results - raw data ReCiPe (I)'!O69*$AC$47</f>
        <v>4.4953674290099896E-4</v>
      </c>
      <c r="O78" s="6">
        <f>'Results - raw data ReCiPe (I)'!P69*$AC$47</f>
        <v>4.3510996225576832E-4</v>
      </c>
      <c r="P78" s="6">
        <f>'Results - raw data ReCiPe (I)'!Q69*$AC$47</f>
        <v>4.206626907804594E-4</v>
      </c>
      <c r="Q78" s="6">
        <f>'Results - raw data ReCiPe (I)'!R69*$AC$47</f>
        <v>4.0614374447590175E-4</v>
      </c>
      <c r="R78" s="6">
        <f>'Results - raw data ReCiPe (I)'!S69*$AC$47</f>
        <v>3.9798166416057506E-4</v>
      </c>
      <c r="S78" s="6">
        <f>'Results - raw data ReCiPe (I)'!T69*$AC$47</f>
        <v>3.8967771168424431E-4</v>
      </c>
      <c r="T78" s="6">
        <f>'Results - raw data ReCiPe (I)'!U69*$AC$47</f>
        <v>3.8129284632544997E-4</v>
      </c>
      <c r="U78" s="6">
        <f>'Results - raw data ReCiPe (I)'!V69*$AC$47</f>
        <v>3.7293973852255358E-4</v>
      </c>
      <c r="V78" s="6">
        <f>'Results - raw data ReCiPe (I)'!W69*$AC$47</f>
        <v>3.6456009866230813E-4</v>
      </c>
      <c r="W78" s="6">
        <f>'Results - raw data ReCiPe (I)'!X69*$AC$47</f>
        <v>3.6868905892596183E-4</v>
      </c>
      <c r="X78" s="6">
        <f>'Results - raw data ReCiPe (I)'!Y69*$AC$47</f>
        <v>3.6423180770113933E-4</v>
      </c>
      <c r="Y78" s="6">
        <f>'Results - raw data ReCiPe (I)'!Z69*$AC$47</f>
        <v>3.5977346519706753E-4</v>
      </c>
      <c r="Z78" s="6">
        <f>'Results - raw data ReCiPe (I)'!AA69*$AC$47</f>
        <v>3.5531293899904068E-4</v>
      </c>
    </row>
    <row r="79" spans="1:53" outlineLevel="1" x14ac:dyDescent="0.35">
      <c r="A79" s="6" t="s">
        <v>759</v>
      </c>
      <c r="B79" s="6">
        <f>'Results - raw data ReCiPe (I)'!C70</f>
        <v>0</v>
      </c>
      <c r="C79" s="6">
        <f>'Results - raw data ReCiPe (I)'!D70</f>
        <v>0</v>
      </c>
      <c r="D79" s="6">
        <f>'Results - raw data ReCiPe (I)'!E70</f>
        <v>0</v>
      </c>
      <c r="E79" s="6">
        <f>'Results - raw data ReCiPe (I)'!F70</f>
        <v>0</v>
      </c>
      <c r="F79" s="6">
        <f>'Results - raw data ReCiPe (I)'!G70</f>
        <v>0</v>
      </c>
      <c r="G79" s="6">
        <f>'Results - raw data ReCiPe (I)'!H70</f>
        <v>0</v>
      </c>
      <c r="H79" s="6">
        <f>'Results - raw data ReCiPe (I)'!I70</f>
        <v>0</v>
      </c>
      <c r="I79" s="6">
        <f>'Results - raw data ReCiPe (I)'!J70</f>
        <v>0</v>
      </c>
      <c r="J79" s="6">
        <f>'Results - raw data ReCiPe (I)'!K70</f>
        <v>0</v>
      </c>
      <c r="K79" s="6">
        <f>'Results - raw data ReCiPe (I)'!L70</f>
        <v>0</v>
      </c>
      <c r="L79" s="6">
        <f>'Results - raw data ReCiPe (I)'!M70</f>
        <v>0</v>
      </c>
      <c r="M79" s="6">
        <f>'Results - raw data ReCiPe (I)'!N70</f>
        <v>0</v>
      </c>
      <c r="N79" s="6">
        <f>'Results - raw data ReCiPe (I)'!O70</f>
        <v>0</v>
      </c>
      <c r="O79" s="6">
        <f>'Results - raw data ReCiPe (I)'!P70</f>
        <v>0</v>
      </c>
      <c r="P79" s="6">
        <f>'Results - raw data ReCiPe (I)'!Q70</f>
        <v>0</v>
      </c>
      <c r="Q79" s="6">
        <f>'Results - raw data ReCiPe (I)'!R70</f>
        <v>0</v>
      </c>
      <c r="R79" s="6">
        <f>'Results - raw data ReCiPe (I)'!S70</f>
        <v>0</v>
      </c>
      <c r="S79" s="6">
        <f>'Results - raw data ReCiPe (I)'!T70</f>
        <v>0</v>
      </c>
      <c r="T79" s="6">
        <f>'Results - raw data ReCiPe (I)'!U70</f>
        <v>0</v>
      </c>
      <c r="U79" s="6">
        <f>'Results - raw data ReCiPe (I)'!V70</f>
        <v>0</v>
      </c>
      <c r="V79" s="6">
        <f>'Results - raw data ReCiPe (I)'!W70</f>
        <v>0</v>
      </c>
      <c r="W79" s="6">
        <f>'Results - raw data ReCiPe (I)'!X70</f>
        <v>0</v>
      </c>
      <c r="X79" s="6">
        <f>'Results - raw data ReCiPe (I)'!Y70</f>
        <v>0</v>
      </c>
      <c r="Y79" s="6">
        <f>'Results - raw data ReCiPe (I)'!Z70</f>
        <v>0</v>
      </c>
      <c r="Z79" s="6">
        <f>'Results - raw data ReCiPe (I)'!AA70</f>
        <v>0</v>
      </c>
    </row>
    <row r="80" spans="1:53" outlineLevel="1" x14ac:dyDescent="0.35">
      <c r="A80" s="6" t="s">
        <v>760</v>
      </c>
      <c r="B80" s="6">
        <f>'Results - raw data ReCiPe (I)'!C71</f>
        <v>7.6565319050394516E-3</v>
      </c>
      <c r="C80" s="6">
        <f>'Results - raw data ReCiPe (I)'!D71</f>
        <v>7.396942047633883E-3</v>
      </c>
      <c r="D80" s="6">
        <f>'Results - raw data ReCiPe (I)'!E71</f>
        <v>7.1214600712817353E-3</v>
      </c>
      <c r="E80" s="6">
        <f>'Results - raw data ReCiPe (I)'!F71</f>
        <v>6.8324995802353664E-3</v>
      </c>
      <c r="F80" s="6">
        <f>'Results - raw data ReCiPe (I)'!G71</f>
        <v>6.5497371293745804E-3</v>
      </c>
      <c r="G80" s="6">
        <f>'Results - raw data ReCiPe (I)'!H71</f>
        <v>6.2666202275156154E-3</v>
      </c>
      <c r="H80" s="6">
        <f>'Results - raw data ReCiPe (I)'!I71</f>
        <v>6.1112926619391952E-3</v>
      </c>
      <c r="I80" s="6">
        <f>'Results - raw data ReCiPe (I)'!J71</f>
        <v>5.9568643965241001E-3</v>
      </c>
      <c r="J80" s="6">
        <f>'Results - raw data ReCiPe (I)'!K71</f>
        <v>5.799785638875881E-3</v>
      </c>
      <c r="K80" s="6">
        <f>'Results - raw data ReCiPe (I)'!L71</f>
        <v>5.6449025566350517E-3</v>
      </c>
      <c r="L80" s="6">
        <f>'Results - raw data ReCiPe (I)'!M71</f>
        <v>5.4894729936840357E-3</v>
      </c>
      <c r="M80" s="6">
        <f>'Results - raw data ReCiPe (I)'!N71</f>
        <v>5.3084169020852423E-3</v>
      </c>
      <c r="N80" s="6">
        <f>'Results - raw data ReCiPe (I)'!O71</f>
        <v>5.1262439020892401E-3</v>
      </c>
      <c r="O80" s="6">
        <f>'Results - raw data ReCiPe (I)'!P71</f>
        <v>4.9424464589051748E-3</v>
      </c>
      <c r="P80" s="6">
        <f>'Results - raw data ReCiPe (I)'!Q71</f>
        <v>4.7580457114767922E-3</v>
      </c>
      <c r="Q80" s="6">
        <f>'Results - raw data ReCiPe (I)'!R71</f>
        <v>4.572555156956289E-3</v>
      </c>
      <c r="R80" s="6">
        <f>'Results - raw data ReCiPe (I)'!S71</f>
        <v>4.463859864905338E-3</v>
      </c>
      <c r="S80" s="6">
        <f>'Results - raw data ReCiPe (I)'!T71</f>
        <v>4.3534668788400453E-3</v>
      </c>
      <c r="T80" s="6">
        <f>'Results - raw data ReCiPe (I)'!U71</f>
        <v>4.2423548757298023E-3</v>
      </c>
      <c r="U80" s="6">
        <f>'Results - raw data ReCiPe (I)'!V71</f>
        <v>4.1317322767301396E-3</v>
      </c>
      <c r="V80" s="6">
        <f>'Results - raw data ReCiPe (I)'!W71</f>
        <v>4.0209831223895027E-3</v>
      </c>
      <c r="W80" s="6">
        <f>'Results - raw data ReCiPe (I)'!X71</f>
        <v>4.0702553347113889E-3</v>
      </c>
      <c r="X80" s="6">
        <f>'Results - raw data ReCiPe (I)'!Y71</f>
        <v>4.0158438402737402E-3</v>
      </c>
      <c r="Y80" s="6">
        <f>'Results - raw data ReCiPe (I)'!Z71</f>
        <v>3.9612485649405359E-3</v>
      </c>
      <c r="Z80" s="6">
        <f>'Results - raw data ReCiPe (I)'!AA71</f>
        <v>3.9064585313200546E-3</v>
      </c>
    </row>
    <row r="81" spans="1:53" outlineLevel="1" x14ac:dyDescent="0.35">
      <c r="A81" s="23" t="s">
        <v>125</v>
      </c>
      <c r="B81" s="17">
        <f t="shared" ref="B81:Z81" si="9">SUM(B50:B80)</f>
        <v>2.6606445392089201E-2</v>
      </c>
      <c r="C81" s="17">
        <f t="shared" si="9"/>
        <v>8.3306290171121893E-3</v>
      </c>
      <c r="D81" s="17">
        <f t="shared" si="9"/>
        <v>8.0308419100711317E-3</v>
      </c>
      <c r="E81" s="17">
        <f t="shared" si="9"/>
        <v>7.7149574499203984E-3</v>
      </c>
      <c r="F81" s="17">
        <f t="shared" si="9"/>
        <v>7.4074619172457123E-3</v>
      </c>
      <c r="G81" s="17">
        <f t="shared" si="9"/>
        <v>7.0996730329711197E-3</v>
      </c>
      <c r="H81" s="17">
        <f t="shared" si="9"/>
        <v>6.9284601333374045E-3</v>
      </c>
      <c r="I81" s="17">
        <f t="shared" si="9"/>
        <v>6.7582702139464511E-3</v>
      </c>
      <c r="J81" s="17">
        <f t="shared" si="9"/>
        <v>6.5847610445660763E-3</v>
      </c>
      <c r="K81" s="17">
        <f t="shared" si="9"/>
        <v>6.4141245770790211E-3</v>
      </c>
      <c r="L81" s="17">
        <f t="shared" si="9"/>
        <v>6.2429149112119102E-3</v>
      </c>
      <c r="M81" s="17">
        <f t="shared" si="9"/>
        <v>6.0428574838616231E-3</v>
      </c>
      <c r="N81" s="17">
        <f t="shared" si="9"/>
        <v>5.841639149847741E-3</v>
      </c>
      <c r="O81" s="17">
        <f t="shared" si="9"/>
        <v>5.6385192151055807E-3</v>
      </c>
      <c r="P81" s="17">
        <f t="shared" si="9"/>
        <v>5.4349815251794843E-3</v>
      </c>
      <c r="Q81" s="17">
        <f t="shared" si="9"/>
        <v>5.2303038044422163E-3</v>
      </c>
      <c r="R81" s="17">
        <f t="shared" si="9"/>
        <v>5.1104235186156428E-3</v>
      </c>
      <c r="S81" s="17">
        <f t="shared" si="9"/>
        <v>4.9887180750376485E-3</v>
      </c>
      <c r="T81" s="17">
        <f t="shared" si="9"/>
        <v>4.8660807424769498E-3</v>
      </c>
      <c r="U81" s="17">
        <f t="shared" si="9"/>
        <v>4.7441275807774703E-3</v>
      </c>
      <c r="V81" s="17">
        <f t="shared" si="9"/>
        <v>4.6220351771057554E-3</v>
      </c>
      <c r="W81" s="17">
        <f t="shared" si="9"/>
        <v>4.6798425659433183E-3</v>
      </c>
      <c r="X81" s="17">
        <f t="shared" si="9"/>
        <v>4.6206686658571434E-3</v>
      </c>
      <c r="Y81" s="17">
        <f t="shared" si="9"/>
        <v>4.5613118234251425E-3</v>
      </c>
      <c r="Z81" s="17">
        <f t="shared" si="9"/>
        <v>4.6449604530630472E-3</v>
      </c>
    </row>
    <row r="82" spans="1:53" outlineLevel="1" x14ac:dyDescent="0.35"/>
    <row r="83" spans="1:53" s="18" customFormat="1" ht="21" x14ac:dyDescent="0.5">
      <c r="A83" s="18" t="s">
        <v>94</v>
      </c>
    </row>
    <row r="84" spans="1:53" s="20" customFormat="1" outlineLevel="1" x14ac:dyDescent="0.35">
      <c r="A84" s="19" t="s">
        <v>767</v>
      </c>
    </row>
    <row r="85" spans="1:53" s="16" customFormat="1" outlineLevel="1" x14ac:dyDescent="0.35">
      <c r="A85" s="21"/>
      <c r="AB85" s="16" t="s">
        <v>47</v>
      </c>
      <c r="AC85" s="16">
        <v>8.1199999999999999E-8</v>
      </c>
      <c r="AD85" s="16" t="s">
        <v>48</v>
      </c>
      <c r="AE85" s="15" t="s">
        <v>714</v>
      </c>
    </row>
    <row r="86" spans="1:53" s="16" customFormat="1" outlineLevel="1" x14ac:dyDescent="0.35">
      <c r="A86" s="22" t="s">
        <v>564</v>
      </c>
      <c r="AC86" s="16">
        <f>AC85*1000</f>
        <v>8.1199999999999995E-5</v>
      </c>
      <c r="AD86" s="16" t="s">
        <v>126</v>
      </c>
    </row>
    <row r="87" spans="1:53" s="16" customFormat="1" outlineLevel="1" x14ac:dyDescent="0.35">
      <c r="A87" s="22"/>
      <c r="AB87" s="16" t="s">
        <v>127</v>
      </c>
      <c r="AC87" s="16">
        <v>100</v>
      </c>
      <c r="AD87" s="16" t="s">
        <v>128</v>
      </c>
    </row>
    <row r="88" spans="1:53" s="16" customFormat="1" outlineLevel="1" x14ac:dyDescent="0.35">
      <c r="A88" s="22"/>
      <c r="AB88" s="16" t="s">
        <v>129</v>
      </c>
      <c r="AC88" s="16">
        <v>25</v>
      </c>
      <c r="AD88" s="16" t="s">
        <v>130</v>
      </c>
    </row>
    <row r="89" spans="1:53" outlineLevel="1" x14ac:dyDescent="0.35">
      <c r="B89" s="25">
        <v>2030</v>
      </c>
      <c r="C89" s="25">
        <v>2031</v>
      </c>
      <c r="D89" s="25">
        <v>2032</v>
      </c>
      <c r="E89" s="25">
        <v>2033</v>
      </c>
      <c r="F89" s="25">
        <v>2034</v>
      </c>
      <c r="G89" s="25">
        <v>2035</v>
      </c>
      <c r="H89" s="25">
        <v>2036</v>
      </c>
      <c r="I89" s="25">
        <v>2037</v>
      </c>
      <c r="J89" s="25">
        <v>2038</v>
      </c>
      <c r="K89" s="25">
        <v>2039</v>
      </c>
      <c r="L89" s="25">
        <v>2040</v>
      </c>
      <c r="M89" s="25">
        <v>2041</v>
      </c>
      <c r="N89" s="25">
        <v>2042</v>
      </c>
      <c r="O89" s="25">
        <v>2043</v>
      </c>
      <c r="P89" s="25">
        <v>2044</v>
      </c>
      <c r="Q89" s="25">
        <v>2045</v>
      </c>
      <c r="R89" s="25">
        <v>2046</v>
      </c>
      <c r="S89" s="25">
        <v>2047</v>
      </c>
      <c r="T89" s="25">
        <v>2048</v>
      </c>
      <c r="U89" s="25">
        <v>2049</v>
      </c>
      <c r="V89" s="25">
        <v>2050</v>
      </c>
      <c r="W89" s="25">
        <v>2051</v>
      </c>
      <c r="X89" s="25">
        <v>2052</v>
      </c>
      <c r="Y89" s="25">
        <v>2053</v>
      </c>
      <c r="Z89" s="25">
        <v>2054</v>
      </c>
      <c r="AC89" s="25">
        <v>2030</v>
      </c>
      <c r="AD89" s="25">
        <v>2031</v>
      </c>
      <c r="AE89" s="25">
        <v>2032</v>
      </c>
      <c r="AF89" s="25">
        <v>2033</v>
      </c>
      <c r="AG89" s="25">
        <v>2034</v>
      </c>
      <c r="AH89" s="25">
        <v>2035</v>
      </c>
      <c r="AI89" s="25">
        <v>2036</v>
      </c>
      <c r="AJ89" s="25">
        <v>2037</v>
      </c>
      <c r="AK89" s="25">
        <v>2038</v>
      </c>
      <c r="AL89" s="25">
        <v>2039</v>
      </c>
      <c r="AM89" s="25">
        <v>2040</v>
      </c>
      <c r="AN89" s="25">
        <v>2041</v>
      </c>
      <c r="AO89" s="25">
        <v>2042</v>
      </c>
      <c r="AP89" s="25">
        <v>2043</v>
      </c>
      <c r="AQ89" s="25">
        <v>2044</v>
      </c>
      <c r="AR89" s="25">
        <v>2045</v>
      </c>
      <c r="AS89" s="25">
        <v>2046</v>
      </c>
      <c r="AT89" s="25">
        <v>2047</v>
      </c>
      <c r="AU89" s="25">
        <v>2048</v>
      </c>
      <c r="AV89" s="25">
        <v>2049</v>
      </c>
      <c r="AW89" s="25">
        <v>2050</v>
      </c>
      <c r="AX89" s="25">
        <v>2051</v>
      </c>
      <c r="AY89" s="25">
        <v>2052</v>
      </c>
      <c r="AZ89" s="25">
        <v>2053</v>
      </c>
      <c r="BA89" s="25">
        <v>2054</v>
      </c>
    </row>
    <row r="90" spans="1:53" outlineLevel="1" x14ac:dyDescent="0.35">
      <c r="A90" s="6" t="s">
        <v>21</v>
      </c>
      <c r="B90" s="6">
        <f>'Results - raw data ReCiPe (I)'!C77</f>
        <v>2.8789533034225857E-4</v>
      </c>
      <c r="AB90" s="6" t="s">
        <v>117</v>
      </c>
      <c r="AC90" s="6">
        <f>SUM(B90:B101)+B103</f>
        <v>1.5356286610143191E-2</v>
      </c>
    </row>
    <row r="91" spans="1:53" outlineLevel="1" x14ac:dyDescent="0.35">
      <c r="A91" s="6" t="s">
        <v>23</v>
      </c>
      <c r="B91" s="6">
        <f>'Results - raw data ReCiPe (I)'!C78</f>
        <v>4.1040257423438121E-4</v>
      </c>
      <c r="AB91" s="6" t="s">
        <v>118</v>
      </c>
      <c r="AC91" s="6">
        <f>B102</f>
        <v>9.37129982231934E-4</v>
      </c>
    </row>
    <row r="92" spans="1:53" outlineLevel="1" x14ac:dyDescent="0.35">
      <c r="A92" s="6" t="s">
        <v>26</v>
      </c>
      <c r="B92" s="6">
        <f>'Results - raw data ReCiPe (I)'!C79</f>
        <v>1.3588660378812489E-3</v>
      </c>
      <c r="AB92" s="6" t="s">
        <v>119</v>
      </c>
      <c r="BA92" s="6">
        <f>SUM(Z104:Z115)</f>
        <v>1.321106762411555E-4</v>
      </c>
    </row>
    <row r="93" spans="1:53" outlineLevel="1" x14ac:dyDescent="0.35">
      <c r="A93" s="6" t="s">
        <v>28</v>
      </c>
      <c r="B93" s="6">
        <f>'Results - raw data ReCiPe (I)'!C80</f>
        <v>2.4450655784905438E-3</v>
      </c>
      <c r="AB93" s="6" t="s">
        <v>120</v>
      </c>
      <c r="BA93" s="6">
        <f>Z116</f>
        <v>4.8662670395198596E-6</v>
      </c>
    </row>
    <row r="94" spans="1:53" outlineLevel="1" x14ac:dyDescent="0.35">
      <c r="A94" s="6" t="s">
        <v>29</v>
      </c>
      <c r="B94" s="6">
        <f>'Results - raw data ReCiPe (I)'!C81</f>
        <v>1.5793812391416901E-3</v>
      </c>
      <c r="AB94" s="6" t="s">
        <v>121</v>
      </c>
      <c r="AC94" s="6">
        <f>B117</f>
        <v>2.6322721726552512E-4</v>
      </c>
      <c r="AF94" s="6">
        <f>E117</f>
        <v>2.4790954055705099E-4</v>
      </c>
      <c r="AI94" s="6">
        <f>H117</f>
        <v>2.3818826466101599E-4</v>
      </c>
      <c r="AL94" s="6">
        <f>K117</f>
        <v>2.3687057090296699E-4</v>
      </c>
      <c r="AO94" s="6">
        <f>N117</f>
        <v>2.3577478459469749E-4</v>
      </c>
      <c r="AR94" s="6">
        <f>Q117</f>
        <v>2.3445141905597099E-4</v>
      </c>
      <c r="AU94" s="6">
        <f>T117</f>
        <v>2.3247380057932901E-4</v>
      </c>
      <c r="AX94" s="6">
        <f>W117</f>
        <v>2.3538466572112359E-4</v>
      </c>
      <c r="BA94" s="6">
        <f>Z117</f>
        <v>2.348623971618371E-4</v>
      </c>
    </row>
    <row r="95" spans="1:53" outlineLevel="1" x14ac:dyDescent="0.35">
      <c r="A95" s="6" t="s">
        <v>31</v>
      </c>
      <c r="B95" s="6">
        <f>'Results - raw data ReCiPe (I)'!C82</f>
        <v>8.5997189882642557E-4</v>
      </c>
      <c r="AB95" s="6" t="s">
        <v>122</v>
      </c>
      <c r="AC95" s="6">
        <f>B120+B118</f>
        <v>6.1870222537963697E-3</v>
      </c>
      <c r="AD95" s="6">
        <f t="shared" ref="AD95:BA95" si="10">C120+C118</f>
        <v>5.8915925767682072E-3</v>
      </c>
      <c r="AE95" s="6">
        <f t="shared" si="10"/>
        <v>5.5893957996484044E-3</v>
      </c>
      <c r="AF95" s="6">
        <f t="shared" si="10"/>
        <v>5.2715460655625521E-3</v>
      </c>
      <c r="AG95" s="6">
        <f t="shared" si="10"/>
        <v>4.9596027563478147E-3</v>
      </c>
      <c r="AH95" s="6">
        <f t="shared" si="10"/>
        <v>4.646246742020123E-3</v>
      </c>
      <c r="AI95" s="6">
        <f t="shared" si="10"/>
        <v>4.6479930588814236E-3</v>
      </c>
      <c r="AJ95" s="6">
        <f t="shared" si="10"/>
        <v>4.6482529121452598E-3</v>
      </c>
      <c r="AK95" s="6">
        <f t="shared" si="10"/>
        <v>4.6432103401327024E-3</v>
      </c>
      <c r="AL95" s="6">
        <f t="shared" si="10"/>
        <v>4.6402944859289062E-3</v>
      </c>
      <c r="AM95" s="6">
        <f t="shared" si="10"/>
        <v>4.6359495260449536E-3</v>
      </c>
      <c r="AN95" s="6">
        <f t="shared" si="10"/>
        <v>4.6482045793664155E-3</v>
      </c>
      <c r="AO95" s="6">
        <f t="shared" si="10"/>
        <v>4.6606618927429663E-3</v>
      </c>
      <c r="AP95" s="6">
        <f t="shared" si="10"/>
        <v>4.6727573245055037E-3</v>
      </c>
      <c r="AQ95" s="6">
        <f t="shared" si="10"/>
        <v>4.685419505747997E-3</v>
      </c>
      <c r="AR95" s="6">
        <f t="shared" si="10"/>
        <v>4.6981898972640115E-3</v>
      </c>
      <c r="AS95" s="6">
        <f t="shared" si="10"/>
        <v>4.5066966319859828E-3</v>
      </c>
      <c r="AT95" s="6">
        <f t="shared" si="10"/>
        <v>4.3144647334450647E-3</v>
      </c>
      <c r="AU95" s="6">
        <f t="shared" si="10"/>
        <v>4.1228326186226573E-3</v>
      </c>
      <c r="AV95" s="6">
        <f t="shared" si="10"/>
        <v>3.933057200944722E-3</v>
      </c>
      <c r="AW95" s="6">
        <f t="shared" si="10"/>
        <v>3.7449560387859825E-3</v>
      </c>
      <c r="AX95" s="6">
        <f t="shared" si="10"/>
        <v>3.7947196769797529E-3</v>
      </c>
      <c r="AY95" s="6">
        <f t="shared" si="10"/>
        <v>3.7269366820433837E-3</v>
      </c>
      <c r="AZ95" s="6">
        <f t="shared" si="10"/>
        <v>3.6589033873254224E-3</v>
      </c>
      <c r="BA95" s="6">
        <f t="shared" si="10"/>
        <v>3.5906099064872419E-3</v>
      </c>
    </row>
    <row r="96" spans="1:53" outlineLevel="1" x14ac:dyDescent="0.35">
      <c r="A96" s="6" t="s">
        <v>34</v>
      </c>
      <c r="B96" s="6">
        <f>'Results - raw data ReCiPe (I)'!C83</f>
        <v>6.5477657721654022E-4</v>
      </c>
      <c r="AB96" s="6" t="s">
        <v>123</v>
      </c>
      <c r="AC96" s="6">
        <f t="shared" ref="AC96:BA96" si="11">B118</f>
        <v>4.9746858368287822E-4</v>
      </c>
      <c r="AD96" s="6">
        <f t="shared" si="11"/>
        <v>4.7504634846731909E-4</v>
      </c>
      <c r="AE96" s="6">
        <f t="shared" si="11"/>
        <v>4.52263553392185E-4</v>
      </c>
      <c r="AF96" s="6">
        <f t="shared" si="11"/>
        <v>4.2838489097473266E-4</v>
      </c>
      <c r="AG96" s="6">
        <f t="shared" si="11"/>
        <v>4.0515053736597963E-4</v>
      </c>
      <c r="AH96" s="6">
        <f t="shared" si="11"/>
        <v>3.8194385144874683E-4</v>
      </c>
      <c r="AI96" s="6">
        <f t="shared" si="11"/>
        <v>3.8153071290807176E-4</v>
      </c>
      <c r="AJ96" s="6">
        <f t="shared" si="11"/>
        <v>3.8101021789392397E-4</v>
      </c>
      <c r="AK96" s="6">
        <f t="shared" si="11"/>
        <v>3.800842230370935E-4</v>
      </c>
      <c r="AL96" s="6">
        <f t="shared" si="11"/>
        <v>3.7933346046292943E-4</v>
      </c>
      <c r="AM96" s="6">
        <f t="shared" si="11"/>
        <v>3.7848129519123822E-4</v>
      </c>
      <c r="AN96" s="6">
        <f t="shared" si="11"/>
        <v>3.7932150181227431E-4</v>
      </c>
      <c r="AO96" s="6">
        <f t="shared" si="11"/>
        <v>3.8018070516697319E-4</v>
      </c>
      <c r="AP96" s="6">
        <f t="shared" si="11"/>
        <v>3.8100773758655167E-4</v>
      </c>
      <c r="AQ96" s="6">
        <f t="shared" si="11"/>
        <v>3.8189052245592582E-4</v>
      </c>
      <c r="AR96" s="6">
        <f t="shared" si="11"/>
        <v>3.8278513242929053E-4</v>
      </c>
      <c r="AS96" s="6">
        <f t="shared" si="11"/>
        <v>3.7028939282599151E-4</v>
      </c>
      <c r="AT96" s="6">
        <f t="shared" si="11"/>
        <v>3.576320102046869E-4</v>
      </c>
      <c r="AU96" s="6">
        <f t="shared" si="11"/>
        <v>3.4489655940992412E-4</v>
      </c>
      <c r="AV96" s="6">
        <f t="shared" si="11"/>
        <v>3.3219025430763919E-4</v>
      </c>
      <c r="AW96" s="6">
        <f t="shared" si="11"/>
        <v>3.1949371547186563E-4</v>
      </c>
      <c r="AX96" s="6">
        <f t="shared" si="11"/>
        <v>3.2340950623228811E-4</v>
      </c>
      <c r="AY96" s="6">
        <f t="shared" si="11"/>
        <v>3.1840021938224863E-4</v>
      </c>
      <c r="AZ96" s="6">
        <f t="shared" si="11"/>
        <v>3.1338639157498839E-4</v>
      </c>
      <c r="BA96" s="6">
        <f t="shared" si="11"/>
        <v>3.083671218770378E-4</v>
      </c>
    </row>
    <row r="97" spans="1:53" outlineLevel="1" x14ac:dyDescent="0.35">
      <c r="A97" s="6" t="s">
        <v>36</v>
      </c>
      <c r="B97" s="6">
        <f>'Results - raw data ReCiPe (I)'!C84</f>
        <v>2.394702857816692E-4</v>
      </c>
      <c r="AB97" s="6" t="s">
        <v>124</v>
      </c>
      <c r="AC97" s="6">
        <f>-$AC$7*$AC$6</f>
        <v>-8.1199999999999987E-3</v>
      </c>
      <c r="AD97" s="6">
        <f t="shared" ref="AD97:BA97" si="12">-$AC$7*$AC$6</f>
        <v>-8.1199999999999987E-3</v>
      </c>
      <c r="AE97" s="6">
        <f t="shared" si="12"/>
        <v>-8.1199999999999987E-3</v>
      </c>
      <c r="AF97" s="6">
        <f t="shared" si="12"/>
        <v>-8.1199999999999987E-3</v>
      </c>
      <c r="AG97" s="6">
        <f t="shared" si="12"/>
        <v>-8.1199999999999987E-3</v>
      </c>
      <c r="AH97" s="6">
        <f t="shared" si="12"/>
        <v>-8.1199999999999987E-3</v>
      </c>
      <c r="AI97" s="6">
        <f t="shared" si="12"/>
        <v>-8.1199999999999987E-3</v>
      </c>
      <c r="AJ97" s="6">
        <f t="shared" si="12"/>
        <v>-8.1199999999999987E-3</v>
      </c>
      <c r="AK97" s="6">
        <f t="shared" si="12"/>
        <v>-8.1199999999999987E-3</v>
      </c>
      <c r="AL97" s="6">
        <f t="shared" si="12"/>
        <v>-8.1199999999999987E-3</v>
      </c>
      <c r="AM97" s="6">
        <f t="shared" si="12"/>
        <v>-8.1199999999999987E-3</v>
      </c>
      <c r="AN97" s="6">
        <f t="shared" si="12"/>
        <v>-8.1199999999999987E-3</v>
      </c>
      <c r="AO97" s="6">
        <f t="shared" si="12"/>
        <v>-8.1199999999999987E-3</v>
      </c>
      <c r="AP97" s="6">
        <f t="shared" si="12"/>
        <v>-8.1199999999999987E-3</v>
      </c>
      <c r="AQ97" s="6">
        <f t="shared" si="12"/>
        <v>-8.1199999999999987E-3</v>
      </c>
      <c r="AR97" s="6">
        <f t="shared" si="12"/>
        <v>-8.1199999999999987E-3</v>
      </c>
      <c r="AS97" s="6">
        <f t="shared" si="12"/>
        <v>-8.1199999999999987E-3</v>
      </c>
      <c r="AT97" s="6">
        <f t="shared" si="12"/>
        <v>-8.1199999999999987E-3</v>
      </c>
      <c r="AU97" s="6">
        <f t="shared" si="12"/>
        <v>-8.1199999999999987E-3</v>
      </c>
      <c r="AV97" s="6">
        <f t="shared" si="12"/>
        <v>-8.1199999999999987E-3</v>
      </c>
      <c r="AW97" s="6">
        <f t="shared" si="12"/>
        <v>-8.1199999999999987E-3</v>
      </c>
      <c r="AX97" s="6">
        <f t="shared" si="12"/>
        <v>-8.1199999999999987E-3</v>
      </c>
      <c r="AY97" s="6">
        <f t="shared" si="12"/>
        <v>-8.1199999999999987E-3</v>
      </c>
      <c r="AZ97" s="6">
        <f t="shared" si="12"/>
        <v>-8.1199999999999987E-3</v>
      </c>
      <c r="BA97" s="6">
        <f t="shared" si="12"/>
        <v>-8.1199999999999987E-3</v>
      </c>
    </row>
    <row r="98" spans="1:53" outlineLevel="1" x14ac:dyDescent="0.35">
      <c r="A98" s="6" t="s">
        <v>38</v>
      </c>
      <c r="B98" s="6">
        <f>'Results - raw data ReCiPe (I)'!C85</f>
        <v>2.5970833922964059E-3</v>
      </c>
      <c r="AB98" s="23" t="s">
        <v>125</v>
      </c>
      <c r="AC98" s="17">
        <f t="shared" ref="AC98:BA98" si="13">SUM(AC90:AC97)</f>
        <v>1.5121134647119901E-2</v>
      </c>
      <c r="AD98" s="17">
        <f t="shared" si="13"/>
        <v>-1.7533610747644725E-3</v>
      </c>
      <c r="AE98" s="17">
        <f t="shared" si="13"/>
        <v>-2.0783406469594094E-3</v>
      </c>
      <c r="AF98" s="17">
        <f t="shared" si="13"/>
        <v>-2.1721595029056632E-3</v>
      </c>
      <c r="AG98" s="17">
        <f t="shared" si="13"/>
        <v>-2.7552467062862043E-3</v>
      </c>
      <c r="AH98" s="17">
        <f t="shared" si="13"/>
        <v>-3.0918094065311291E-3</v>
      </c>
      <c r="AI98" s="17">
        <f t="shared" si="13"/>
        <v>-2.8522879635494878E-3</v>
      </c>
      <c r="AJ98" s="17">
        <f t="shared" si="13"/>
        <v>-3.0907368699608154E-3</v>
      </c>
      <c r="AK98" s="17">
        <f t="shared" si="13"/>
        <v>-3.096705436830203E-3</v>
      </c>
      <c r="AL98" s="17">
        <f t="shared" si="13"/>
        <v>-2.8635014827051962E-3</v>
      </c>
      <c r="AM98" s="17">
        <f t="shared" si="13"/>
        <v>-3.1055691787638066E-3</v>
      </c>
      <c r="AN98" s="17">
        <f t="shared" si="13"/>
        <v>-3.0924739188213091E-3</v>
      </c>
      <c r="AO98" s="17">
        <f t="shared" si="13"/>
        <v>-2.8433826174953615E-3</v>
      </c>
      <c r="AP98" s="17">
        <f t="shared" si="13"/>
        <v>-3.0662349379079433E-3</v>
      </c>
      <c r="AQ98" s="17">
        <f t="shared" si="13"/>
        <v>-3.0526899717960758E-3</v>
      </c>
      <c r="AR98" s="17">
        <f t="shared" si="13"/>
        <v>-2.8045735512507259E-3</v>
      </c>
      <c r="AS98" s="17">
        <f t="shared" si="13"/>
        <v>-3.2430139751880244E-3</v>
      </c>
      <c r="AT98" s="17">
        <f t="shared" si="13"/>
        <v>-3.447903256350247E-3</v>
      </c>
      <c r="AU98" s="17">
        <f t="shared" si="13"/>
        <v>-3.4197970213880879E-3</v>
      </c>
      <c r="AV98" s="17">
        <f t="shared" si="13"/>
        <v>-3.8547525447476371E-3</v>
      </c>
      <c r="AW98" s="17">
        <f t="shared" si="13"/>
        <v>-4.0555502457421504E-3</v>
      </c>
      <c r="AX98" s="17">
        <f t="shared" si="13"/>
        <v>-3.7664861510668338E-3</v>
      </c>
      <c r="AY98" s="17">
        <f t="shared" si="13"/>
        <v>-4.0746630985743666E-3</v>
      </c>
      <c r="AZ98" s="17">
        <f t="shared" si="13"/>
        <v>-4.1477102210995881E-3</v>
      </c>
      <c r="BA98" s="17">
        <f t="shared" si="13"/>
        <v>-3.849183631193207E-3</v>
      </c>
    </row>
    <row r="99" spans="1:53" outlineLevel="1" x14ac:dyDescent="0.35">
      <c r="A99" s="6" t="s">
        <v>39</v>
      </c>
      <c r="B99" s="6">
        <f>'Results - raw data ReCiPe (I)'!C86</f>
        <v>2.8840889681505549E-3</v>
      </c>
    </row>
    <row r="100" spans="1:53" outlineLevel="1" x14ac:dyDescent="0.35">
      <c r="A100" s="6" t="s">
        <v>41</v>
      </c>
      <c r="B100" s="6">
        <f>'Results - raw data ReCiPe (I)'!C87</f>
        <v>1.347525634018587E-5</v>
      </c>
    </row>
    <row r="101" spans="1:53" outlineLevel="1" x14ac:dyDescent="0.35">
      <c r="A101" s="6" t="s">
        <v>43</v>
      </c>
      <c r="B101" s="6">
        <f>'Results - raw data ReCiPe (I)'!C88</f>
        <v>1.1839927974793929E-4</v>
      </c>
      <c r="AB101" s="187"/>
      <c r="AC101" s="187"/>
      <c r="AD101" s="187"/>
      <c r="AE101" s="187"/>
      <c r="AF101" s="187"/>
      <c r="AG101" s="187"/>
      <c r="AH101" s="187"/>
      <c r="AI101" s="187"/>
      <c r="AJ101" s="187"/>
      <c r="AK101" s="187"/>
      <c r="AL101" s="187"/>
      <c r="AM101" s="187"/>
      <c r="AN101" s="187"/>
      <c r="AO101" s="187"/>
      <c r="AP101" s="187"/>
      <c r="AQ101" s="187"/>
      <c r="AR101" s="187"/>
      <c r="AS101" s="187"/>
      <c r="AT101" s="187"/>
      <c r="AU101" s="187"/>
      <c r="AV101" s="187"/>
      <c r="AW101" s="187"/>
      <c r="AX101" s="187"/>
      <c r="AY101" s="187"/>
      <c r="AZ101" s="187"/>
      <c r="BA101" s="187"/>
    </row>
    <row r="102" spans="1:53" outlineLevel="1" x14ac:dyDescent="0.35">
      <c r="A102" s="6" t="s">
        <v>44</v>
      </c>
      <c r="B102" s="6">
        <f>'Results - raw data ReCiPe (I)'!C89*100*25</f>
        <v>9.37129982231934E-4</v>
      </c>
      <c r="AB102" s="187"/>
      <c r="AC102" s="187"/>
      <c r="AD102" s="187"/>
      <c r="AE102" s="187"/>
      <c r="AF102" s="187"/>
      <c r="AG102" s="187"/>
      <c r="AH102" s="187"/>
      <c r="AI102" s="187"/>
      <c r="AJ102" s="187"/>
      <c r="AK102" s="187"/>
      <c r="AL102" s="187"/>
      <c r="AM102" s="187"/>
      <c r="AN102" s="187"/>
      <c r="AO102" s="187"/>
      <c r="AP102" s="187"/>
      <c r="AQ102" s="187"/>
      <c r="AR102" s="187"/>
      <c r="AS102" s="187"/>
      <c r="AT102" s="187"/>
      <c r="AU102" s="187"/>
      <c r="AV102" s="187"/>
      <c r="AW102" s="187"/>
      <c r="AX102" s="187"/>
      <c r="AY102" s="187"/>
      <c r="AZ102" s="187"/>
      <c r="BA102" s="187"/>
    </row>
    <row r="103" spans="1:53" outlineLevel="1" x14ac:dyDescent="0.35">
      <c r="A103" s="6" t="s">
        <v>757</v>
      </c>
      <c r="B103" s="6">
        <f>'Results - raw data ReCiPe (I)'!C90*100*25</f>
        <v>1.9074101916933494E-3</v>
      </c>
      <c r="AB103" s="187"/>
      <c r="AC103" s="187"/>
      <c r="AD103" s="187"/>
      <c r="AE103" s="187"/>
      <c r="AF103" s="187"/>
      <c r="AG103" s="187"/>
      <c r="AH103" s="187"/>
      <c r="AI103" s="187"/>
      <c r="AJ103" s="187"/>
      <c r="AK103" s="187"/>
      <c r="AL103" s="187"/>
      <c r="AM103" s="187"/>
      <c r="AN103" s="187"/>
      <c r="AO103" s="187"/>
      <c r="AP103" s="187"/>
      <c r="AQ103" s="187"/>
      <c r="AR103" s="187"/>
      <c r="AS103" s="187"/>
      <c r="AT103" s="187"/>
      <c r="AU103" s="187"/>
      <c r="AV103" s="187"/>
      <c r="AW103" s="187"/>
      <c r="AX103" s="187"/>
      <c r="AY103" s="187"/>
      <c r="AZ103" s="187"/>
      <c r="BA103" s="187"/>
    </row>
    <row r="104" spans="1:53" outlineLevel="1" x14ac:dyDescent="0.35">
      <c r="A104" s="6" t="s">
        <v>22</v>
      </c>
      <c r="Z104" s="6">
        <f>'Results - raw data ReCiPe (I)'!AA91</f>
        <v>2.4474508311336498E-6</v>
      </c>
      <c r="AB104" s="187"/>
      <c r="AC104" s="187"/>
      <c r="AD104" s="187"/>
      <c r="AE104" s="187"/>
      <c r="AF104" s="187"/>
      <c r="AG104" s="187"/>
      <c r="AH104" s="187"/>
      <c r="AI104" s="187"/>
      <c r="AJ104" s="187"/>
      <c r="AK104" s="187"/>
      <c r="AL104" s="187"/>
      <c r="AM104" s="187"/>
      <c r="AN104" s="187"/>
      <c r="AO104" s="187"/>
      <c r="AP104" s="187"/>
      <c r="AQ104" s="187"/>
      <c r="AR104" s="187"/>
      <c r="AS104" s="187"/>
      <c r="AT104" s="187"/>
      <c r="AU104" s="187"/>
      <c r="AV104" s="187"/>
      <c r="AW104" s="187"/>
      <c r="AX104" s="187"/>
      <c r="AY104" s="187"/>
      <c r="AZ104" s="187"/>
      <c r="BA104" s="187"/>
    </row>
    <row r="105" spans="1:53" outlineLevel="1" x14ac:dyDescent="0.35">
      <c r="A105" s="6" t="s">
        <v>24</v>
      </c>
      <c r="Z105" s="6">
        <f>'Results - raw data ReCiPe (I)'!AA92</f>
        <v>1.5372889579919939E-6</v>
      </c>
      <c r="AB105" s="187"/>
      <c r="AC105" s="187"/>
      <c r="AD105" s="187"/>
      <c r="AE105" s="187"/>
      <c r="AF105" s="187"/>
      <c r="AG105" s="187"/>
      <c r="AH105" s="187"/>
      <c r="AI105" s="187"/>
      <c r="AJ105" s="187"/>
      <c r="AK105" s="187"/>
      <c r="AL105" s="187"/>
      <c r="AM105" s="187"/>
      <c r="AN105" s="187"/>
      <c r="AO105" s="187"/>
      <c r="AP105" s="187"/>
      <c r="AQ105" s="187"/>
      <c r="AR105" s="187"/>
      <c r="AS105" s="187"/>
      <c r="AT105" s="187"/>
      <c r="AU105" s="187"/>
      <c r="AV105" s="187"/>
      <c r="AW105" s="187"/>
      <c r="AX105" s="187"/>
      <c r="AY105" s="187"/>
      <c r="AZ105" s="187"/>
      <c r="BA105" s="187"/>
    </row>
    <row r="106" spans="1:53" outlineLevel="1" x14ac:dyDescent="0.35">
      <c r="A106" s="6" t="s">
        <v>25</v>
      </c>
      <c r="Z106" s="6">
        <f>'Results - raw data ReCiPe (I)'!AA93</f>
        <v>5.6912810253079144E-6</v>
      </c>
      <c r="AB106" s="187"/>
      <c r="AC106" s="187"/>
      <c r="AD106" s="187"/>
      <c r="AE106" s="187"/>
      <c r="AF106" s="187"/>
      <c r="AG106" s="187"/>
      <c r="AH106" s="187"/>
      <c r="AI106" s="187"/>
      <c r="AJ106" s="187"/>
      <c r="AK106" s="187"/>
      <c r="AL106" s="187"/>
      <c r="AM106" s="187"/>
      <c r="AN106" s="187"/>
      <c r="AO106" s="187"/>
      <c r="AP106" s="187"/>
      <c r="AQ106" s="187"/>
      <c r="AR106" s="187"/>
      <c r="AS106" s="187"/>
      <c r="AT106" s="187"/>
      <c r="AU106" s="187"/>
      <c r="AV106" s="187"/>
      <c r="AW106" s="187"/>
      <c r="AX106" s="187"/>
      <c r="AY106" s="187"/>
      <c r="AZ106" s="187"/>
      <c r="BA106" s="187"/>
    </row>
    <row r="107" spans="1:53" outlineLevel="1" x14ac:dyDescent="0.35">
      <c r="A107" s="6" t="s">
        <v>27</v>
      </c>
      <c r="Z107" s="6">
        <f>'Results - raw data ReCiPe (I)'!AA94</f>
        <v>2.906695279293953E-6</v>
      </c>
      <c r="AB107" s="187"/>
      <c r="AC107" s="187"/>
      <c r="AD107" s="187"/>
      <c r="AE107" s="187"/>
      <c r="AF107" s="187"/>
      <c r="AG107" s="187"/>
      <c r="AH107" s="187"/>
      <c r="AI107" s="187"/>
      <c r="AJ107" s="187"/>
      <c r="AK107" s="187"/>
      <c r="AL107" s="187"/>
      <c r="AM107" s="187"/>
      <c r="AN107" s="187"/>
      <c r="AO107" s="187"/>
      <c r="AP107" s="187"/>
      <c r="AQ107" s="187"/>
      <c r="AR107" s="187"/>
      <c r="AS107" s="187"/>
      <c r="AT107" s="187"/>
      <c r="AU107" s="187"/>
      <c r="AV107" s="187"/>
      <c r="AW107" s="187"/>
      <c r="AX107" s="187"/>
      <c r="AY107" s="187"/>
      <c r="AZ107" s="187"/>
      <c r="BA107" s="187"/>
    </row>
    <row r="108" spans="1:53" outlineLevel="1" x14ac:dyDescent="0.35">
      <c r="A108" s="6" t="s">
        <v>30</v>
      </c>
      <c r="Z108" s="6">
        <f>'Results - raw data ReCiPe (I)'!AA95</f>
        <v>3.2148640186317049E-6</v>
      </c>
      <c r="AB108" s="187"/>
      <c r="AC108" s="187"/>
      <c r="AD108" s="187"/>
      <c r="AE108" s="187"/>
      <c r="AF108" s="187"/>
      <c r="AG108" s="187"/>
      <c r="AH108" s="187"/>
      <c r="AI108" s="187"/>
      <c r="AJ108" s="187"/>
      <c r="AK108" s="187"/>
      <c r="AL108" s="187"/>
      <c r="AM108" s="187"/>
      <c r="AN108" s="187"/>
      <c r="AO108" s="187"/>
      <c r="AP108" s="187"/>
      <c r="AQ108" s="187"/>
      <c r="AR108" s="187"/>
      <c r="AS108" s="187"/>
      <c r="AT108" s="187"/>
      <c r="AU108" s="187"/>
      <c r="AV108" s="187"/>
      <c r="AW108" s="187"/>
      <c r="AX108" s="187"/>
      <c r="AY108" s="187"/>
      <c r="AZ108" s="187"/>
      <c r="BA108" s="187"/>
    </row>
    <row r="109" spans="1:53" outlineLevel="1" x14ac:dyDescent="0.35">
      <c r="A109" s="6" t="s">
        <v>32</v>
      </c>
      <c r="Z109" s="6">
        <f>'Results - raw data ReCiPe (I)'!AA96</f>
        <v>7.1958515110772744E-7</v>
      </c>
      <c r="AB109" s="187"/>
      <c r="AC109" s="187"/>
      <c r="AD109" s="187"/>
      <c r="AE109" s="187"/>
      <c r="AF109" s="187"/>
      <c r="AG109" s="187"/>
      <c r="AH109" s="187"/>
      <c r="AI109" s="187"/>
      <c r="AJ109" s="187"/>
      <c r="AK109" s="187"/>
      <c r="AL109" s="187"/>
      <c r="AM109" s="187"/>
      <c r="AN109" s="187"/>
      <c r="AO109" s="187"/>
      <c r="AP109" s="187"/>
      <c r="AQ109" s="187"/>
      <c r="AR109" s="187"/>
      <c r="AS109" s="187"/>
      <c r="AT109" s="187"/>
      <c r="AU109" s="187"/>
      <c r="AV109" s="187"/>
      <c r="AW109" s="187"/>
      <c r="AX109" s="187"/>
      <c r="AY109" s="187"/>
      <c r="AZ109" s="187"/>
      <c r="BA109" s="187"/>
    </row>
    <row r="110" spans="1:53" outlineLevel="1" x14ac:dyDescent="0.35">
      <c r="A110" s="6" t="s">
        <v>33</v>
      </c>
      <c r="Z110" s="6">
        <f>'Results - raw data ReCiPe (I)'!AA97</f>
        <v>8.4578377491360246E-7</v>
      </c>
      <c r="AB110" s="187"/>
      <c r="AC110" s="187"/>
      <c r="AD110" s="187"/>
      <c r="AE110" s="187"/>
      <c r="AF110" s="187"/>
      <c r="AG110" s="187"/>
      <c r="AH110" s="187"/>
      <c r="AI110" s="187"/>
      <c r="AJ110" s="187"/>
      <c r="AK110" s="187"/>
      <c r="AL110" s="187"/>
      <c r="AM110" s="187"/>
      <c r="AN110" s="187"/>
      <c r="AO110" s="187"/>
      <c r="AP110" s="187"/>
      <c r="AQ110" s="187"/>
      <c r="AR110" s="187"/>
      <c r="AS110" s="187"/>
      <c r="AT110" s="187"/>
      <c r="AU110" s="187"/>
      <c r="AV110" s="187"/>
      <c r="AW110" s="187"/>
      <c r="AX110" s="187"/>
      <c r="AY110" s="187"/>
      <c r="AZ110" s="187"/>
      <c r="BA110" s="187"/>
    </row>
    <row r="111" spans="1:53" outlineLevel="1" x14ac:dyDescent="0.35">
      <c r="A111" s="6" t="s">
        <v>35</v>
      </c>
      <c r="Z111" s="6">
        <f>'Results - raw data ReCiPe (I)'!AA98</f>
        <v>1.6915675498272049E-6</v>
      </c>
      <c r="AB111" s="187"/>
      <c r="AC111" s="187"/>
      <c r="AD111" s="187"/>
      <c r="AE111" s="187"/>
      <c r="AF111" s="187"/>
      <c r="AG111" s="187"/>
      <c r="AH111" s="187"/>
      <c r="AI111" s="187"/>
      <c r="AJ111" s="187"/>
      <c r="AK111" s="187"/>
      <c r="AL111" s="187"/>
      <c r="AM111" s="187"/>
      <c r="AN111" s="187"/>
      <c r="AO111" s="187"/>
      <c r="AP111" s="187"/>
      <c r="AQ111" s="187"/>
      <c r="AR111" s="187"/>
      <c r="AS111" s="187"/>
      <c r="AT111" s="187"/>
      <c r="AU111" s="187"/>
      <c r="AV111" s="187"/>
      <c r="AW111" s="187"/>
      <c r="AX111" s="187"/>
      <c r="AY111" s="187"/>
      <c r="AZ111" s="187"/>
      <c r="BA111" s="187"/>
    </row>
    <row r="112" spans="1:53" outlineLevel="1" x14ac:dyDescent="0.35">
      <c r="A112" s="6" t="s">
        <v>37</v>
      </c>
      <c r="Z112" s="6">
        <f>'Results - raw data ReCiPe (I)'!AA99</f>
        <v>8.1597611603250031E-6</v>
      </c>
    </row>
    <row r="113" spans="1:31" outlineLevel="1" x14ac:dyDescent="0.35">
      <c r="A113" s="6" t="s">
        <v>40</v>
      </c>
      <c r="Z113" s="6">
        <f>'Results - raw data ReCiPe (I)'!AA100</f>
        <v>4.4420421044000268E-5</v>
      </c>
    </row>
    <row r="114" spans="1:31" outlineLevel="1" x14ac:dyDescent="0.35">
      <c r="A114" s="6" t="s">
        <v>42</v>
      </c>
      <c r="Z114" s="6">
        <f>'Results - raw data ReCiPe (I)'!AA101</f>
        <v>1.237758161694522E-5</v>
      </c>
    </row>
    <row r="115" spans="1:31" outlineLevel="1" x14ac:dyDescent="0.35">
      <c r="A115" s="6" t="s">
        <v>115</v>
      </c>
      <c r="Z115" s="6">
        <f>'Results - raw data ReCiPe (I)'!AA102</f>
        <v>4.8098395831677263E-5</v>
      </c>
    </row>
    <row r="116" spans="1:31" outlineLevel="1" x14ac:dyDescent="0.35">
      <c r="A116" s="6" t="s">
        <v>45</v>
      </c>
      <c r="Z116" s="6">
        <f>'Results - raw data ReCiPe (I)'!AA103*AC87*AC88</f>
        <v>4.8662670395198596E-6</v>
      </c>
    </row>
    <row r="117" spans="1:31" outlineLevel="1" x14ac:dyDescent="0.35">
      <c r="A117" s="6" t="s">
        <v>116</v>
      </c>
      <c r="B117" s="6">
        <f>'Results - raw data ReCiPe (I)'!C104</f>
        <v>2.6322721726552512E-4</v>
      </c>
      <c r="C117" s="6">
        <f>'Results - raw data ReCiPe (I)'!D104</f>
        <v>2.5866249207413502E-4</v>
      </c>
      <c r="D117" s="6">
        <f>'Results - raw data ReCiPe (I)'!E104</f>
        <v>2.5405869902949091E-4</v>
      </c>
      <c r="E117" s="6">
        <f>'Results - raw data ReCiPe (I)'!F104</f>
        <v>2.4790954055705099E-4</v>
      </c>
      <c r="F117" s="6">
        <f>'Results - raw data ReCiPe (I)'!G104</f>
        <v>2.4320156481659301E-4</v>
      </c>
      <c r="G117" s="6">
        <f>'Results - raw data ReCiPe (I)'!H104</f>
        <v>2.3845944276936539E-4</v>
      </c>
      <c r="H117" s="6">
        <f>'Results - raw data ReCiPe (I)'!I104</f>
        <v>2.3818826466101599E-4</v>
      </c>
      <c r="I117" s="6">
        <f>'Results - raw data ReCiPe (I)'!J104</f>
        <v>2.3790359747015221E-4</v>
      </c>
      <c r="J117" s="6">
        <f>'Results - raw data ReCiPe (I)'!K104</f>
        <v>2.3718038918044219E-4</v>
      </c>
      <c r="K117" s="6">
        <f>'Results - raw data ReCiPe (I)'!L104</f>
        <v>2.3687057090296699E-4</v>
      </c>
      <c r="L117" s="6">
        <f>'Results - raw data ReCiPe (I)'!M104</f>
        <v>2.3654989327107361E-4</v>
      </c>
      <c r="M117" s="6">
        <f>'Results - raw data ReCiPe (I)'!N104</f>
        <v>2.3616147499013471E-4</v>
      </c>
      <c r="N117" s="6">
        <f>'Results - raw data ReCiPe (I)'!O104</f>
        <v>2.3577478459469749E-4</v>
      </c>
      <c r="O117" s="6">
        <f>'Results - raw data ReCiPe (I)'!P104</f>
        <v>2.352217879272995E-4</v>
      </c>
      <c r="P117" s="6">
        <f>'Results - raw data ReCiPe (I)'!Q104</f>
        <v>2.3483722590866721E-4</v>
      </c>
      <c r="Q117" s="6">
        <f>'Results - raw data ReCiPe (I)'!R104</f>
        <v>2.3445141905597099E-4</v>
      </c>
      <c r="R117" s="6">
        <f>'Results - raw data ReCiPe (I)'!S104</f>
        <v>2.3383341452647439E-4</v>
      </c>
      <c r="S117" s="6">
        <f>'Results - raw data ReCiPe (I)'!T104</f>
        <v>2.3321729209397599E-4</v>
      </c>
      <c r="T117" s="6">
        <f>'Results - raw data ReCiPe (I)'!U104</f>
        <v>2.3247380057932901E-4</v>
      </c>
      <c r="U117" s="6">
        <f>'Results - raw data ReCiPe (I)'!V104</f>
        <v>2.3186728341628449E-4</v>
      </c>
      <c r="V117" s="6">
        <f>'Results - raw data ReCiPe (I)'!W104</f>
        <v>2.3127294302008661E-4</v>
      </c>
      <c r="W117" s="6">
        <f>'Results - raw data ReCiPe (I)'!X104</f>
        <v>2.3538466572112359E-4</v>
      </c>
      <c r="X117" s="6">
        <f>'Results - raw data ReCiPe (I)'!Y104</f>
        <v>2.352102001422839E-4</v>
      </c>
      <c r="Y117" s="6">
        <f>'Results - raw data ReCiPe (I)'!Z104</f>
        <v>2.3503611840734951E-4</v>
      </c>
      <c r="Z117" s="6">
        <f>'Results - raw data ReCiPe (I)'!AA104</f>
        <v>2.348623971618371E-4</v>
      </c>
    </row>
    <row r="118" spans="1:31" outlineLevel="1" x14ac:dyDescent="0.35">
      <c r="A118" s="6" t="s">
        <v>758</v>
      </c>
      <c r="B118" s="6">
        <f>'Results - raw data ReCiPe (I)'!C105*$AC$87</f>
        <v>4.9746858368287822E-4</v>
      </c>
      <c r="C118" s="6">
        <f>'Results - raw data ReCiPe (I)'!D105*$AC$87</f>
        <v>4.7504634846731909E-4</v>
      </c>
      <c r="D118" s="6">
        <f>'Results - raw data ReCiPe (I)'!E105*$AC$87</f>
        <v>4.52263553392185E-4</v>
      </c>
      <c r="E118" s="6">
        <f>'Results - raw data ReCiPe (I)'!F105*$AC$87</f>
        <v>4.2838489097473266E-4</v>
      </c>
      <c r="F118" s="6">
        <f>'Results - raw data ReCiPe (I)'!G105*$AC$87</f>
        <v>4.0515053736597963E-4</v>
      </c>
      <c r="G118" s="6">
        <f>'Results - raw data ReCiPe (I)'!H105*$AC$87</f>
        <v>3.8194385144874683E-4</v>
      </c>
      <c r="H118" s="6">
        <f>'Results - raw data ReCiPe (I)'!I105*$AC$87</f>
        <v>3.8153071290807176E-4</v>
      </c>
      <c r="I118" s="6">
        <f>'Results - raw data ReCiPe (I)'!J105*$AC$87</f>
        <v>3.8101021789392397E-4</v>
      </c>
      <c r="J118" s="6">
        <f>'Results - raw data ReCiPe (I)'!K105*$AC$87</f>
        <v>3.800842230370935E-4</v>
      </c>
      <c r="K118" s="6">
        <f>'Results - raw data ReCiPe (I)'!L105*$AC$87</f>
        <v>3.7933346046292943E-4</v>
      </c>
      <c r="L118" s="6">
        <f>'Results - raw data ReCiPe (I)'!M105*$AC$87</f>
        <v>3.7848129519123822E-4</v>
      </c>
      <c r="M118" s="6">
        <f>'Results - raw data ReCiPe (I)'!N105*$AC$87</f>
        <v>3.7932150181227431E-4</v>
      </c>
      <c r="N118" s="6">
        <f>'Results - raw data ReCiPe (I)'!O105*$AC$87</f>
        <v>3.8018070516697319E-4</v>
      </c>
      <c r="O118" s="6">
        <f>'Results - raw data ReCiPe (I)'!P105*$AC$87</f>
        <v>3.8100773758655167E-4</v>
      </c>
      <c r="P118" s="6">
        <f>'Results - raw data ReCiPe (I)'!Q105*$AC$87</f>
        <v>3.8189052245592582E-4</v>
      </c>
      <c r="Q118" s="6">
        <f>'Results - raw data ReCiPe (I)'!R105*$AC$87</f>
        <v>3.8278513242929053E-4</v>
      </c>
      <c r="R118" s="6">
        <f>'Results - raw data ReCiPe (I)'!S105*$AC$87</f>
        <v>3.7028939282599151E-4</v>
      </c>
      <c r="S118" s="6">
        <f>'Results - raw data ReCiPe (I)'!T105*$AC$87</f>
        <v>3.576320102046869E-4</v>
      </c>
      <c r="T118" s="6">
        <f>'Results - raw data ReCiPe (I)'!U105*$AC$87</f>
        <v>3.4489655940992412E-4</v>
      </c>
      <c r="U118" s="6">
        <f>'Results - raw data ReCiPe (I)'!V105*$AC$87</f>
        <v>3.3219025430763919E-4</v>
      </c>
      <c r="V118" s="6">
        <f>'Results - raw data ReCiPe (I)'!W105*$AC$87</f>
        <v>3.1949371547186563E-4</v>
      </c>
      <c r="W118" s="6">
        <f>'Results - raw data ReCiPe (I)'!X105*$AC$87</f>
        <v>3.2340950623228811E-4</v>
      </c>
      <c r="X118" s="6">
        <f>'Results - raw data ReCiPe (I)'!Y105*$AC$87</f>
        <v>3.1840021938224863E-4</v>
      </c>
      <c r="Y118" s="6">
        <f>'Results - raw data ReCiPe (I)'!Z105*$AC$87</f>
        <v>3.1338639157498839E-4</v>
      </c>
      <c r="Z118" s="6">
        <f>'Results - raw data ReCiPe (I)'!AA105*$AC$87</f>
        <v>3.083671218770378E-4</v>
      </c>
    </row>
    <row r="119" spans="1:31" outlineLevel="1" x14ac:dyDescent="0.35">
      <c r="A119" s="6" t="s">
        <v>759</v>
      </c>
      <c r="B119" s="6">
        <f>'Results - raw data ReCiPe (I)'!C106</f>
        <v>0</v>
      </c>
      <c r="C119" s="6">
        <f>'Results - raw data ReCiPe (I)'!D106</f>
        <v>0</v>
      </c>
      <c r="D119" s="6">
        <f>'Results - raw data ReCiPe (I)'!E106</f>
        <v>0</v>
      </c>
      <c r="E119" s="6">
        <f>'Results - raw data ReCiPe (I)'!F106</f>
        <v>0</v>
      </c>
      <c r="F119" s="6">
        <f>'Results - raw data ReCiPe (I)'!G106</f>
        <v>0</v>
      </c>
      <c r="G119" s="6">
        <f>'Results - raw data ReCiPe (I)'!H106</f>
        <v>0</v>
      </c>
      <c r="H119" s="6">
        <f>'Results - raw data ReCiPe (I)'!I106</f>
        <v>0</v>
      </c>
      <c r="I119" s="6">
        <f>'Results - raw data ReCiPe (I)'!J106</f>
        <v>0</v>
      </c>
      <c r="J119" s="6">
        <f>'Results - raw data ReCiPe (I)'!K106</f>
        <v>0</v>
      </c>
      <c r="K119" s="6">
        <f>'Results - raw data ReCiPe (I)'!L106</f>
        <v>0</v>
      </c>
      <c r="L119" s="6">
        <f>'Results - raw data ReCiPe (I)'!M106</f>
        <v>0</v>
      </c>
      <c r="M119" s="6">
        <f>'Results - raw data ReCiPe (I)'!N106</f>
        <v>0</v>
      </c>
      <c r="N119" s="6">
        <f>'Results - raw data ReCiPe (I)'!O106</f>
        <v>0</v>
      </c>
      <c r="O119" s="6">
        <f>'Results - raw data ReCiPe (I)'!P106</f>
        <v>0</v>
      </c>
      <c r="P119" s="6">
        <f>'Results - raw data ReCiPe (I)'!Q106</f>
        <v>0</v>
      </c>
      <c r="Q119" s="6">
        <f>'Results - raw data ReCiPe (I)'!R106</f>
        <v>0</v>
      </c>
      <c r="R119" s="6">
        <f>'Results - raw data ReCiPe (I)'!S106</f>
        <v>0</v>
      </c>
      <c r="S119" s="6">
        <f>'Results - raw data ReCiPe (I)'!T106</f>
        <v>0</v>
      </c>
      <c r="T119" s="6">
        <f>'Results - raw data ReCiPe (I)'!U106</f>
        <v>0</v>
      </c>
      <c r="U119" s="6">
        <f>'Results - raw data ReCiPe (I)'!V106</f>
        <v>0</v>
      </c>
      <c r="V119" s="6">
        <f>'Results - raw data ReCiPe (I)'!W106</f>
        <v>0</v>
      </c>
      <c r="W119" s="6">
        <f>'Results - raw data ReCiPe (I)'!X106</f>
        <v>0</v>
      </c>
      <c r="X119" s="6">
        <f>'Results - raw data ReCiPe (I)'!Y106</f>
        <v>0</v>
      </c>
      <c r="Y119" s="6">
        <f>'Results - raw data ReCiPe (I)'!Z106</f>
        <v>0</v>
      </c>
      <c r="Z119" s="6">
        <f>'Results - raw data ReCiPe (I)'!AA106</f>
        <v>0</v>
      </c>
    </row>
    <row r="120" spans="1:31" outlineLevel="1" x14ac:dyDescent="0.35">
      <c r="A120" s="6" t="s">
        <v>760</v>
      </c>
      <c r="B120" s="6">
        <f>'Results - raw data ReCiPe (I)'!C107</f>
        <v>5.6895536701134916E-3</v>
      </c>
      <c r="C120" s="6">
        <f>'Results - raw data ReCiPe (I)'!D107</f>
        <v>5.4165462283008881E-3</v>
      </c>
      <c r="D120" s="6">
        <f>'Results - raw data ReCiPe (I)'!E107</f>
        <v>5.1371322462562194E-3</v>
      </c>
      <c r="E120" s="6">
        <f>'Results - raw data ReCiPe (I)'!F107</f>
        <v>4.8431611745878194E-3</v>
      </c>
      <c r="F120" s="6">
        <f>'Results - raw data ReCiPe (I)'!G107</f>
        <v>4.5544522189818349E-3</v>
      </c>
      <c r="G120" s="6">
        <f>'Results - raw data ReCiPe (I)'!H107</f>
        <v>4.2643028905713764E-3</v>
      </c>
      <c r="H120" s="6">
        <f>'Results - raw data ReCiPe (I)'!I107</f>
        <v>4.2664623459733519E-3</v>
      </c>
      <c r="I120" s="6">
        <f>'Results - raw data ReCiPe (I)'!J107</f>
        <v>4.2672426942513362E-3</v>
      </c>
      <c r="J120" s="6">
        <f>'Results - raw data ReCiPe (I)'!K107</f>
        <v>4.2631261170956091E-3</v>
      </c>
      <c r="K120" s="6">
        <f>'Results - raw data ReCiPe (I)'!L107</f>
        <v>4.2609610254659763E-3</v>
      </c>
      <c r="L120" s="6">
        <f>'Results - raw data ReCiPe (I)'!M107</f>
        <v>4.257468230853715E-3</v>
      </c>
      <c r="M120" s="6">
        <f>'Results - raw data ReCiPe (I)'!N107</f>
        <v>4.2688830775541413E-3</v>
      </c>
      <c r="N120" s="6">
        <f>'Results - raw data ReCiPe (I)'!O107</f>
        <v>4.280481187575993E-3</v>
      </c>
      <c r="O120" s="6">
        <f>'Results - raw data ReCiPe (I)'!P107</f>
        <v>4.2917495869189519E-3</v>
      </c>
      <c r="P120" s="6">
        <f>'Results - raw data ReCiPe (I)'!Q107</f>
        <v>4.3035289832920711E-3</v>
      </c>
      <c r="Q120" s="6">
        <f>'Results - raw data ReCiPe (I)'!R107</f>
        <v>4.3154047648347208E-3</v>
      </c>
      <c r="R120" s="6">
        <f>'Results - raw data ReCiPe (I)'!S107</f>
        <v>4.1364072391599912E-3</v>
      </c>
      <c r="S120" s="6">
        <f>'Results - raw data ReCiPe (I)'!T107</f>
        <v>3.9568327232403777E-3</v>
      </c>
      <c r="T120" s="6">
        <f>'Results - raw data ReCiPe (I)'!U107</f>
        <v>3.7779360592127332E-3</v>
      </c>
      <c r="U120" s="6">
        <f>'Results - raw data ReCiPe (I)'!V107</f>
        <v>3.6008669466370828E-3</v>
      </c>
      <c r="V120" s="6">
        <f>'Results - raw data ReCiPe (I)'!W107</f>
        <v>3.425462323314117E-3</v>
      </c>
      <c r="W120" s="6">
        <f>'Results - raw data ReCiPe (I)'!X107</f>
        <v>3.4713101707474648E-3</v>
      </c>
      <c r="X120" s="6">
        <f>'Results - raw data ReCiPe (I)'!Y107</f>
        <v>3.4085364626611349E-3</v>
      </c>
      <c r="Y120" s="6">
        <f>'Results - raw data ReCiPe (I)'!Z107</f>
        <v>3.3455169957504341E-3</v>
      </c>
      <c r="Z120" s="6">
        <f>'Results - raw data ReCiPe (I)'!AA107</f>
        <v>3.2822427846102039E-3</v>
      </c>
    </row>
    <row r="121" spans="1:31" outlineLevel="1" x14ac:dyDescent="0.35">
      <c r="A121" s="23" t="s">
        <v>125</v>
      </c>
      <c r="B121" s="17">
        <f t="shared" ref="B121:Z121" si="14">SUM(B90:B120)</f>
        <v>2.2743666063437022E-2</v>
      </c>
      <c r="C121" s="17">
        <f t="shared" si="14"/>
        <v>6.1502550688423419E-3</v>
      </c>
      <c r="D121" s="17">
        <f t="shared" si="14"/>
        <v>5.8434544986778955E-3</v>
      </c>
      <c r="E121" s="17">
        <f t="shared" si="14"/>
        <v>5.5194556061196028E-3</v>
      </c>
      <c r="F121" s="17">
        <f t="shared" si="14"/>
        <v>5.2028043211644077E-3</v>
      </c>
      <c r="G121" s="17">
        <f t="shared" si="14"/>
        <v>4.8847061847894883E-3</v>
      </c>
      <c r="H121" s="17">
        <f t="shared" si="14"/>
        <v>4.8861813235424392E-3</v>
      </c>
      <c r="I121" s="17">
        <f t="shared" si="14"/>
        <v>4.8861565096154124E-3</v>
      </c>
      <c r="J121" s="17">
        <f t="shared" si="14"/>
        <v>4.8803907293131447E-3</v>
      </c>
      <c r="K121" s="17">
        <f t="shared" si="14"/>
        <v>4.8771650568318727E-3</v>
      </c>
      <c r="L121" s="17">
        <f t="shared" si="14"/>
        <v>4.872499419316027E-3</v>
      </c>
      <c r="M121" s="17">
        <f t="shared" si="14"/>
        <v>4.8843660543565499E-3</v>
      </c>
      <c r="N121" s="17">
        <f t="shared" si="14"/>
        <v>4.8964366773376639E-3</v>
      </c>
      <c r="O121" s="17">
        <f t="shared" si="14"/>
        <v>4.9079791124328033E-3</v>
      </c>
      <c r="P121" s="17">
        <f t="shared" si="14"/>
        <v>4.9202567316566637E-3</v>
      </c>
      <c r="Q121" s="17">
        <f t="shared" si="14"/>
        <v>4.9326413163199821E-3</v>
      </c>
      <c r="R121" s="17">
        <f t="shared" si="14"/>
        <v>4.7405300465124568E-3</v>
      </c>
      <c r="S121" s="17">
        <f t="shared" si="14"/>
        <v>4.5476820255390404E-3</v>
      </c>
      <c r="T121" s="17">
        <f t="shared" si="14"/>
        <v>4.3553064192019863E-3</v>
      </c>
      <c r="U121" s="17">
        <f t="shared" si="14"/>
        <v>4.1649244843610066E-3</v>
      </c>
      <c r="V121" s="17">
        <f t="shared" si="14"/>
        <v>3.9762289818060688E-3</v>
      </c>
      <c r="W121" s="17">
        <f t="shared" si="14"/>
        <v>4.0301043427008769E-3</v>
      </c>
      <c r="X121" s="17">
        <f t="shared" si="14"/>
        <v>3.9621468821856671E-3</v>
      </c>
      <c r="Y121" s="17">
        <f t="shared" si="14"/>
        <v>3.893939505732772E-3</v>
      </c>
      <c r="Z121" s="17">
        <f t="shared" si="14"/>
        <v>3.9624492469297543E-3</v>
      </c>
    </row>
    <row r="122" spans="1:31" s="26" customFormat="1" outlineLevel="1" x14ac:dyDescent="0.35"/>
    <row r="123" spans="1:31" s="221" customFormat="1" ht="21" x14ac:dyDescent="0.5">
      <c r="A123" s="229" t="s">
        <v>850</v>
      </c>
    </row>
    <row r="124" spans="1:31" s="18" customFormat="1" ht="21" x14ac:dyDescent="0.5">
      <c r="A124" s="18" t="s">
        <v>72</v>
      </c>
    </row>
    <row r="125" spans="1:31" s="20" customFormat="1" outlineLevel="1" x14ac:dyDescent="0.35">
      <c r="A125" s="19" t="s">
        <v>766</v>
      </c>
    </row>
    <row r="126" spans="1:31" s="16" customFormat="1" outlineLevel="1" x14ac:dyDescent="0.35">
      <c r="A126" s="21"/>
      <c r="AB126" s="16" t="s">
        <v>47</v>
      </c>
      <c r="AC126" s="16">
        <v>8.1199999999999999E-8</v>
      </c>
      <c r="AD126" s="16" t="s">
        <v>48</v>
      </c>
      <c r="AE126" s="15" t="s">
        <v>714</v>
      </c>
    </row>
    <row r="127" spans="1:31" s="16" customFormat="1" outlineLevel="1" x14ac:dyDescent="0.35">
      <c r="A127" s="22" t="s">
        <v>564</v>
      </c>
      <c r="AC127" s="16">
        <f>AC126*1000</f>
        <v>8.1199999999999995E-5</v>
      </c>
      <c r="AD127" s="16" t="s">
        <v>126</v>
      </c>
    </row>
    <row r="128" spans="1:31" s="16" customFormat="1" outlineLevel="1" x14ac:dyDescent="0.35">
      <c r="A128" s="22"/>
      <c r="AB128" s="16" t="s">
        <v>127</v>
      </c>
      <c r="AC128" s="16">
        <v>100</v>
      </c>
      <c r="AD128" s="16" t="s">
        <v>128</v>
      </c>
    </row>
    <row r="129" spans="1:53" s="16" customFormat="1" outlineLevel="1" x14ac:dyDescent="0.35">
      <c r="A129" s="230" t="s">
        <v>768</v>
      </c>
      <c r="AB129" s="16" t="s">
        <v>20</v>
      </c>
      <c r="AC129" s="16">
        <v>0.23</v>
      </c>
      <c r="AD129" s="16" t="s">
        <v>715</v>
      </c>
    </row>
    <row r="130" spans="1:53" s="16" customFormat="1" outlineLevel="1" x14ac:dyDescent="0.35">
      <c r="A130" s="22"/>
      <c r="AB130" s="16" t="s">
        <v>129</v>
      </c>
      <c r="AC130" s="16">
        <v>25</v>
      </c>
      <c r="AD130" s="16" t="s">
        <v>130</v>
      </c>
    </row>
    <row r="131" spans="1:53" outlineLevel="1" x14ac:dyDescent="0.35">
      <c r="B131" s="25">
        <v>2030</v>
      </c>
      <c r="C131" s="25">
        <v>2031</v>
      </c>
      <c r="D131" s="25">
        <v>2032</v>
      </c>
      <c r="E131" s="25">
        <v>2033</v>
      </c>
      <c r="F131" s="25">
        <v>2034</v>
      </c>
      <c r="G131" s="25">
        <v>2035</v>
      </c>
      <c r="H131" s="25">
        <v>2036</v>
      </c>
      <c r="I131" s="25">
        <v>2037</v>
      </c>
      <c r="J131" s="25">
        <v>2038</v>
      </c>
      <c r="K131" s="25">
        <v>2039</v>
      </c>
      <c r="L131" s="25">
        <v>2040</v>
      </c>
      <c r="M131" s="25">
        <v>2041</v>
      </c>
      <c r="N131" s="25">
        <v>2042</v>
      </c>
      <c r="O131" s="25">
        <v>2043</v>
      </c>
      <c r="P131" s="25">
        <v>2044</v>
      </c>
      <c r="Q131" s="25">
        <v>2045</v>
      </c>
      <c r="R131" s="25">
        <v>2046</v>
      </c>
      <c r="S131" s="25">
        <v>2047</v>
      </c>
      <c r="T131" s="25">
        <v>2048</v>
      </c>
      <c r="U131" s="25">
        <v>2049</v>
      </c>
      <c r="V131" s="25">
        <v>2050</v>
      </c>
      <c r="W131" s="25">
        <v>2051</v>
      </c>
      <c r="X131" s="25">
        <v>2052</v>
      </c>
      <c r="Y131" s="25">
        <v>2053</v>
      </c>
      <c r="Z131" s="25">
        <v>2054</v>
      </c>
      <c r="AC131" s="25">
        <v>2030</v>
      </c>
      <c r="AD131" s="25">
        <v>2031</v>
      </c>
      <c r="AE131" s="25">
        <v>2032</v>
      </c>
      <c r="AF131" s="25">
        <v>2033</v>
      </c>
      <c r="AG131" s="25">
        <v>2034</v>
      </c>
      <c r="AH131" s="25">
        <v>2035</v>
      </c>
      <c r="AI131" s="25">
        <v>2036</v>
      </c>
      <c r="AJ131" s="25">
        <v>2037</v>
      </c>
      <c r="AK131" s="25">
        <v>2038</v>
      </c>
      <c r="AL131" s="25">
        <v>2039</v>
      </c>
      <c r="AM131" s="25">
        <v>2040</v>
      </c>
      <c r="AN131" s="25">
        <v>2041</v>
      </c>
      <c r="AO131" s="25">
        <v>2042</v>
      </c>
      <c r="AP131" s="25">
        <v>2043</v>
      </c>
      <c r="AQ131" s="25">
        <v>2044</v>
      </c>
      <c r="AR131" s="25">
        <v>2045</v>
      </c>
      <c r="AS131" s="25">
        <v>2046</v>
      </c>
      <c r="AT131" s="25">
        <v>2047</v>
      </c>
      <c r="AU131" s="25">
        <v>2048</v>
      </c>
      <c r="AV131" s="25">
        <v>2049</v>
      </c>
      <c r="AW131" s="25">
        <v>2050</v>
      </c>
      <c r="AX131" s="25">
        <v>2051</v>
      </c>
      <c r="AY131" s="25">
        <v>2052</v>
      </c>
      <c r="AZ131" s="25">
        <v>2053</v>
      </c>
      <c r="BA131" s="25">
        <v>2054</v>
      </c>
    </row>
    <row r="132" spans="1:53" outlineLevel="1" x14ac:dyDescent="0.35">
      <c r="A132" s="6" t="s">
        <v>21</v>
      </c>
      <c r="B132" s="6">
        <f>'Results - raw data ReCiPe (I)'!C5</f>
        <v>3.4482324452453388E-4</v>
      </c>
      <c r="AB132" s="6" t="s">
        <v>117</v>
      </c>
      <c r="AC132" s="6">
        <f>SUM(B132:B143)+B145</f>
        <v>1.7797818670811004E-2</v>
      </c>
    </row>
    <row r="133" spans="1:53" outlineLevel="1" x14ac:dyDescent="0.35">
      <c r="A133" s="6" t="s">
        <v>23</v>
      </c>
      <c r="B133" s="6">
        <f>'Results - raw data ReCiPe (I)'!C6</f>
        <v>4.7946797325153261E-4</v>
      </c>
      <c r="AB133" s="6" t="s">
        <v>118</v>
      </c>
      <c r="AC133" s="6">
        <f>B144</f>
        <v>1.057067915274905E-3</v>
      </c>
    </row>
    <row r="134" spans="1:53" outlineLevel="1" x14ac:dyDescent="0.35">
      <c r="A134" s="6" t="s">
        <v>26</v>
      </c>
      <c r="B134" s="6">
        <f>'Results - raw data ReCiPe (I)'!C7</f>
        <v>1.571898438205927E-3</v>
      </c>
      <c r="AB134" s="6" t="s">
        <v>119</v>
      </c>
      <c r="BA134" s="6">
        <f>SUM(Z146:Z157)</f>
        <v>1.5084924361783567E-4</v>
      </c>
    </row>
    <row r="135" spans="1:53" outlineLevel="1" x14ac:dyDescent="0.35">
      <c r="A135" s="6" t="s">
        <v>28</v>
      </c>
      <c r="B135" s="6">
        <f>'Results - raw data ReCiPe (I)'!C8</f>
        <v>2.6377271881221618E-3</v>
      </c>
      <c r="AB135" s="6" t="s">
        <v>120</v>
      </c>
      <c r="BA135" s="6">
        <f>Z158</f>
        <v>5.1688461306668095E-6</v>
      </c>
    </row>
    <row r="136" spans="1:53" outlineLevel="1" x14ac:dyDescent="0.35">
      <c r="A136" s="6" t="s">
        <v>29</v>
      </c>
      <c r="B136" s="6">
        <f>'Results - raw data ReCiPe (I)'!C9</f>
        <v>1.6956900718161901E-3</v>
      </c>
      <c r="AB136" s="6" t="s">
        <v>121</v>
      </c>
      <c r="AC136" s="6">
        <f>B159</f>
        <v>3.0950823392567891E-4</v>
      </c>
      <c r="AF136" s="6">
        <f>E159</f>
        <v>3.0470171244799881E-4</v>
      </c>
      <c r="AI136" s="6">
        <f>H159</f>
        <v>3.0220482749963639E-4</v>
      </c>
      <c r="AL136" s="6">
        <f>K159</f>
        <v>3.0088082558559647E-4</v>
      </c>
      <c r="AO136" s="6">
        <f>N159</f>
        <v>3.0032218865651928E-4</v>
      </c>
      <c r="AR136" s="6">
        <f>Q159</f>
        <v>2.9975776117043001E-4</v>
      </c>
      <c r="AU136" s="6">
        <f>T159</f>
        <v>2.9488735419779449E-4</v>
      </c>
      <c r="AX136" s="6">
        <f>W159</f>
        <v>3.0452007285205519E-4</v>
      </c>
      <c r="BA136" s="6">
        <f>Z159</f>
        <v>2.9772367667854253E-4</v>
      </c>
    </row>
    <row r="137" spans="1:53" outlineLevel="1" x14ac:dyDescent="0.35">
      <c r="A137" s="6" t="s">
        <v>31</v>
      </c>
      <c r="B137" s="6">
        <f>'Results - raw data ReCiPe (I)'!C10</f>
        <v>9.1842149141053552E-4</v>
      </c>
      <c r="AB137" s="6" t="s">
        <v>122</v>
      </c>
      <c r="AC137" s="6">
        <f>B162+B161</f>
        <v>6.6205552719843432E-3</v>
      </c>
      <c r="AD137" s="6">
        <f t="shared" ref="AD137:BA137" si="15">C162+C161</f>
        <v>6.6182928625575536E-3</v>
      </c>
      <c r="AE137" s="6">
        <f t="shared" si="15"/>
        <v>6.6000074005504953E-3</v>
      </c>
      <c r="AF137" s="6">
        <f t="shared" si="15"/>
        <v>6.5704177328046445E-3</v>
      </c>
      <c r="AG137" s="6">
        <f t="shared" si="15"/>
        <v>6.5473271650997042E-3</v>
      </c>
      <c r="AH137" s="6">
        <f t="shared" si="15"/>
        <v>6.5243096756633992E-3</v>
      </c>
      <c r="AI137" s="6">
        <f t="shared" si="15"/>
        <v>6.7106939427344922E-3</v>
      </c>
      <c r="AJ137" s="6">
        <f t="shared" si="15"/>
        <v>6.8963652663903601E-3</v>
      </c>
      <c r="AK137" s="6">
        <f t="shared" si="15"/>
        <v>7.0790334602537476E-3</v>
      </c>
      <c r="AL137" s="6">
        <f t="shared" si="15"/>
        <v>7.2628930747483172E-3</v>
      </c>
      <c r="AM137" s="6">
        <f t="shared" si="15"/>
        <v>7.4457421383645039E-3</v>
      </c>
      <c r="AN137" s="6">
        <f t="shared" si="15"/>
        <v>7.806662681421243E-3</v>
      </c>
      <c r="AO137" s="6">
        <f t="shared" si="15"/>
        <v>8.1669154632676502E-3</v>
      </c>
      <c r="AP137" s="6">
        <f t="shared" si="15"/>
        <v>8.5259897362474635E-3</v>
      </c>
      <c r="AQ137" s="6">
        <f t="shared" si="15"/>
        <v>8.8847536875283923E-3</v>
      </c>
      <c r="AR137" s="6">
        <f t="shared" si="15"/>
        <v>9.242869698163337E-3</v>
      </c>
      <c r="AS137" s="6">
        <f t="shared" si="15"/>
        <v>9.2454226851398473E-3</v>
      </c>
      <c r="AT137" s="6">
        <f t="shared" si="15"/>
        <v>9.2466047774371757E-3</v>
      </c>
      <c r="AU137" s="6">
        <f t="shared" si="15"/>
        <v>9.2470372930955717E-3</v>
      </c>
      <c r="AV137" s="6">
        <f t="shared" si="15"/>
        <v>9.2477467701712369E-3</v>
      </c>
      <c r="AW137" s="6">
        <f t="shared" si="15"/>
        <v>9.2482533248818121E-3</v>
      </c>
      <c r="AX137" s="6">
        <f t="shared" si="15"/>
        <v>9.3528355391499368E-3</v>
      </c>
      <c r="AY137" s="6">
        <f t="shared" si="15"/>
        <v>9.1437299749672716E-3</v>
      </c>
      <c r="AZ137" s="6">
        <f t="shared" si="15"/>
        <v>8.9339113549565946E-3</v>
      </c>
      <c r="BA137" s="6">
        <f t="shared" si="15"/>
        <v>8.7233698208936065E-3</v>
      </c>
    </row>
    <row r="138" spans="1:53" outlineLevel="1" x14ac:dyDescent="0.35">
      <c r="A138" s="6" t="s">
        <v>34</v>
      </c>
      <c r="B138" s="6">
        <f>'Results - raw data ReCiPe (I)'!C11</f>
        <v>7.0849442354684153E-4</v>
      </c>
      <c r="AB138" s="6" t="s">
        <v>123</v>
      </c>
      <c r="AC138" s="6">
        <f t="shared" ref="AC138:BA138" si="16">B160</f>
        <v>6.9626821690351197E-4</v>
      </c>
      <c r="AD138" s="6">
        <f t="shared" si="16"/>
        <v>6.9518556264451319E-4</v>
      </c>
      <c r="AE138" s="6">
        <f t="shared" si="16"/>
        <v>6.9249428319766528E-4</v>
      </c>
      <c r="AF138" s="6">
        <f t="shared" si="16"/>
        <v>6.8869480005077379E-4</v>
      </c>
      <c r="AG138" s="6">
        <f t="shared" si="16"/>
        <v>6.8550999698434431E-4</v>
      </c>
      <c r="AH138" s="6">
        <f t="shared" si="16"/>
        <v>6.8233401918268923E-4</v>
      </c>
      <c r="AI138" s="6">
        <f t="shared" si="16"/>
        <v>7.0021464825593938E-4</v>
      </c>
      <c r="AJ138" s="6">
        <f t="shared" si="16"/>
        <v>7.1796014035621441E-4</v>
      </c>
      <c r="AK138" s="6">
        <f t="shared" si="16"/>
        <v>7.3535192485880041E-4</v>
      </c>
      <c r="AL138" s="6">
        <f t="shared" si="16"/>
        <v>7.5279176882448622E-4</v>
      </c>
      <c r="AM138" s="6">
        <f t="shared" si="16"/>
        <v>7.700717953665544E-4</v>
      </c>
      <c r="AN138" s="6">
        <f t="shared" si="16"/>
        <v>8.0501827637082738E-4</v>
      </c>
      <c r="AO138" s="6">
        <f t="shared" si="16"/>
        <v>8.3980997825860223E-4</v>
      </c>
      <c r="AP138" s="6">
        <f t="shared" si="16"/>
        <v>8.7439825065709076E-4</v>
      </c>
      <c r="AQ138" s="6">
        <f t="shared" si="16"/>
        <v>9.0886900906079994E-4</v>
      </c>
      <c r="AR138" s="6">
        <f t="shared" si="16"/>
        <v>9.4318429539489237E-4</v>
      </c>
      <c r="AS138" s="6">
        <f t="shared" si="16"/>
        <v>9.4256312298396372E-4</v>
      </c>
      <c r="AT138" s="6">
        <f t="shared" si="16"/>
        <v>9.4180553465094536E-4</v>
      </c>
      <c r="AU138" s="6">
        <f t="shared" si="16"/>
        <v>9.4097339760617206E-4</v>
      </c>
      <c r="AV138" s="6">
        <f t="shared" si="16"/>
        <v>9.4016658207743767E-4</v>
      </c>
      <c r="AW138" s="6">
        <f t="shared" si="16"/>
        <v>9.3933858786915186E-4</v>
      </c>
      <c r="AX138" s="6">
        <f t="shared" si="16"/>
        <v>9.4924314679693887E-4</v>
      </c>
      <c r="AY138" s="6">
        <f t="shared" si="16"/>
        <v>9.2724763069335276E-4</v>
      </c>
      <c r="AZ138" s="6">
        <f t="shared" si="16"/>
        <v>9.052598912295569E-4</v>
      </c>
      <c r="BA138" s="6">
        <f t="shared" si="16"/>
        <v>8.8327876161998337E-4</v>
      </c>
    </row>
    <row r="139" spans="1:53" outlineLevel="1" x14ac:dyDescent="0.35">
      <c r="A139" s="6" t="s">
        <v>36</v>
      </c>
      <c r="B139" s="6">
        <f>'Results - raw data ReCiPe (I)'!C12</f>
        <v>2.9394021232551797E-4</v>
      </c>
      <c r="AB139" s="6" t="s">
        <v>124</v>
      </c>
      <c r="AC139" s="6">
        <f>-$AC$7*$AC$6</f>
        <v>-8.1199999999999987E-3</v>
      </c>
      <c r="AD139" s="6">
        <f t="shared" ref="AD139:BA139" si="17">-$AC$7*$AC$6</f>
        <v>-8.1199999999999987E-3</v>
      </c>
      <c r="AE139" s="6">
        <f t="shared" si="17"/>
        <v>-8.1199999999999987E-3</v>
      </c>
      <c r="AF139" s="6">
        <f t="shared" si="17"/>
        <v>-8.1199999999999987E-3</v>
      </c>
      <c r="AG139" s="6">
        <f t="shared" si="17"/>
        <v>-8.1199999999999987E-3</v>
      </c>
      <c r="AH139" s="6">
        <f t="shared" si="17"/>
        <v>-8.1199999999999987E-3</v>
      </c>
      <c r="AI139" s="6">
        <f t="shared" si="17"/>
        <v>-8.1199999999999987E-3</v>
      </c>
      <c r="AJ139" s="6">
        <f t="shared" si="17"/>
        <v>-8.1199999999999987E-3</v>
      </c>
      <c r="AK139" s="6">
        <f t="shared" si="17"/>
        <v>-8.1199999999999987E-3</v>
      </c>
      <c r="AL139" s="6">
        <f t="shared" si="17"/>
        <v>-8.1199999999999987E-3</v>
      </c>
      <c r="AM139" s="6">
        <f t="shared" si="17"/>
        <v>-8.1199999999999987E-3</v>
      </c>
      <c r="AN139" s="6">
        <f t="shared" si="17"/>
        <v>-8.1199999999999987E-3</v>
      </c>
      <c r="AO139" s="6">
        <f t="shared" si="17"/>
        <v>-8.1199999999999987E-3</v>
      </c>
      <c r="AP139" s="6">
        <f t="shared" si="17"/>
        <v>-8.1199999999999987E-3</v>
      </c>
      <c r="AQ139" s="6">
        <f t="shared" si="17"/>
        <v>-8.1199999999999987E-3</v>
      </c>
      <c r="AR139" s="6">
        <f t="shared" si="17"/>
        <v>-8.1199999999999987E-3</v>
      </c>
      <c r="AS139" s="6">
        <f t="shared" si="17"/>
        <v>-8.1199999999999987E-3</v>
      </c>
      <c r="AT139" s="6">
        <f t="shared" si="17"/>
        <v>-8.1199999999999987E-3</v>
      </c>
      <c r="AU139" s="6">
        <f t="shared" si="17"/>
        <v>-8.1199999999999987E-3</v>
      </c>
      <c r="AV139" s="6">
        <f t="shared" si="17"/>
        <v>-8.1199999999999987E-3</v>
      </c>
      <c r="AW139" s="6">
        <f t="shared" si="17"/>
        <v>-8.1199999999999987E-3</v>
      </c>
      <c r="AX139" s="6">
        <f t="shared" si="17"/>
        <v>-8.1199999999999987E-3</v>
      </c>
      <c r="AY139" s="6">
        <f t="shared" si="17"/>
        <v>-8.1199999999999987E-3</v>
      </c>
      <c r="AZ139" s="6">
        <f t="shared" si="17"/>
        <v>-8.1199999999999987E-3</v>
      </c>
      <c r="BA139" s="6">
        <f t="shared" si="17"/>
        <v>-8.1199999999999987E-3</v>
      </c>
    </row>
    <row r="140" spans="1:53" outlineLevel="1" x14ac:dyDescent="0.35">
      <c r="A140" s="6" t="s">
        <v>38</v>
      </c>
      <c r="B140" s="6">
        <f>'Results - raw data ReCiPe (I)'!C13</f>
        <v>3.0387950122960721E-3</v>
      </c>
      <c r="AB140" s="23" t="s">
        <v>125</v>
      </c>
      <c r="AC140" s="17">
        <f t="shared" ref="AC140:BA140" si="18">SUM(AC132:AC139)</f>
        <v>1.8361218308899446E-2</v>
      </c>
      <c r="AD140" s="17">
        <f t="shared" si="18"/>
        <v>-8.0652157479793162E-4</v>
      </c>
      <c r="AE140" s="17">
        <f t="shared" si="18"/>
        <v>-8.2749831625183838E-4</v>
      </c>
      <c r="AF140" s="17">
        <f t="shared" si="18"/>
        <v>-5.5618575469658111E-4</v>
      </c>
      <c r="AG140" s="17">
        <f t="shared" si="18"/>
        <v>-8.8716283791595053E-4</v>
      </c>
      <c r="AH140" s="17">
        <f t="shared" si="18"/>
        <v>-9.1335630515391054E-4</v>
      </c>
      <c r="AI140" s="17">
        <f t="shared" si="18"/>
        <v>-4.0688658150993089E-4</v>
      </c>
      <c r="AJ140" s="17">
        <f t="shared" si="18"/>
        <v>-5.0567459325342404E-4</v>
      </c>
      <c r="AK140" s="17">
        <f t="shared" si="18"/>
        <v>-3.0561461488745091E-4</v>
      </c>
      <c r="AL140" s="17">
        <f t="shared" si="18"/>
        <v>1.9656566915840154E-4</v>
      </c>
      <c r="AM140" s="17">
        <f t="shared" si="18"/>
        <v>9.5813933731059633E-5</v>
      </c>
      <c r="AN140" s="17">
        <f t="shared" si="18"/>
        <v>4.916809577920709E-4</v>
      </c>
      <c r="AO140" s="17">
        <f t="shared" si="18"/>
        <v>1.1870476301827741E-3</v>
      </c>
      <c r="AP140" s="17">
        <f t="shared" si="18"/>
        <v>1.2803879869045555E-3</v>
      </c>
      <c r="AQ140" s="17">
        <f t="shared" si="18"/>
        <v>1.6736226965891939E-3</v>
      </c>
      <c r="AR140" s="17">
        <f t="shared" si="18"/>
        <v>2.3658117547286604E-3</v>
      </c>
      <c r="AS140" s="17">
        <f t="shared" si="18"/>
        <v>2.0679858081238123E-3</v>
      </c>
      <c r="AT140" s="17">
        <f t="shared" si="18"/>
        <v>2.0684103120881224E-3</v>
      </c>
      <c r="AU140" s="17">
        <f t="shared" si="18"/>
        <v>2.3628980448995394E-3</v>
      </c>
      <c r="AV140" s="17">
        <f t="shared" si="18"/>
        <v>2.0679133522486758E-3</v>
      </c>
      <c r="AW140" s="17">
        <f t="shared" si="18"/>
        <v>2.0675919127509657E-3</v>
      </c>
      <c r="AX140" s="17">
        <f t="shared" si="18"/>
        <v>2.4865987587989313E-3</v>
      </c>
      <c r="AY140" s="17">
        <f t="shared" si="18"/>
        <v>1.9509776056606254E-3</v>
      </c>
      <c r="AZ140" s="17">
        <f t="shared" si="18"/>
        <v>1.7191712461861533E-3</v>
      </c>
      <c r="BA140" s="17">
        <f t="shared" si="18"/>
        <v>1.940390348940637E-3</v>
      </c>
    </row>
    <row r="141" spans="1:53" outlineLevel="1" x14ac:dyDescent="0.35">
      <c r="A141" s="6" t="s">
        <v>39</v>
      </c>
      <c r="B141" s="6">
        <f>'Results - raw data ReCiPe (I)'!C14</f>
        <v>4.0042660555487464E-3</v>
      </c>
    </row>
    <row r="142" spans="1:53" outlineLevel="1" x14ac:dyDescent="0.35">
      <c r="A142" s="6" t="s">
        <v>41</v>
      </c>
      <c r="B142" s="6">
        <f>'Results - raw data ReCiPe (I)'!C15</f>
        <v>1.711764216090895E-5</v>
      </c>
    </row>
    <row r="143" spans="1:53" outlineLevel="1" x14ac:dyDescent="0.35">
      <c r="A143" s="6" t="s">
        <v>43</v>
      </c>
      <c r="B143" s="6">
        <f>'Results - raw data ReCiPe (I)'!C16</f>
        <v>1.2630230587234361E-4</v>
      </c>
      <c r="AB143" s="219"/>
      <c r="AC143" s="219"/>
      <c r="AD143" s="219"/>
      <c r="AE143" s="219"/>
      <c r="AF143" s="219"/>
      <c r="AG143" s="219"/>
      <c r="AH143" s="219"/>
      <c r="AI143" s="219"/>
      <c r="AJ143" s="219"/>
      <c r="AK143" s="219"/>
      <c r="AL143" s="219"/>
      <c r="AM143" s="219"/>
      <c r="AN143" s="219"/>
      <c r="AO143" s="219"/>
      <c r="AP143" s="219"/>
      <c r="AQ143" s="219"/>
      <c r="AR143" s="219"/>
      <c r="AS143" s="219"/>
      <c r="AT143" s="219"/>
      <c r="AU143" s="219"/>
      <c r="AV143" s="219"/>
      <c r="AW143" s="219"/>
      <c r="AX143" s="219"/>
      <c r="AY143" s="219"/>
      <c r="AZ143" s="219"/>
      <c r="BA143" s="219"/>
    </row>
    <row r="144" spans="1:53" outlineLevel="1" x14ac:dyDescent="0.35">
      <c r="A144" s="6" t="s">
        <v>44</v>
      </c>
      <c r="B144" s="6">
        <f>'Results - raw data ReCiPe (I)'!C17*AC128*AC130</f>
        <v>1.057067915274905E-3</v>
      </c>
      <c r="AB144" s="219"/>
      <c r="AC144" s="219"/>
      <c r="AD144" s="219"/>
      <c r="AE144" s="219"/>
      <c r="AF144" s="219"/>
      <c r="AG144" s="219"/>
      <c r="AH144" s="219"/>
      <c r="AI144" s="219"/>
      <c r="AJ144" s="219"/>
      <c r="AK144" s="219"/>
      <c r="AL144" s="219"/>
      <c r="AM144" s="219"/>
      <c r="AN144" s="219"/>
      <c r="AO144" s="219"/>
      <c r="AP144" s="219"/>
      <c r="AQ144" s="219"/>
      <c r="AR144" s="219"/>
      <c r="AS144" s="219"/>
      <c r="AT144" s="219"/>
      <c r="AU144" s="219"/>
      <c r="AV144" s="219"/>
      <c r="AW144" s="219"/>
      <c r="AX144" s="219"/>
      <c r="AY144" s="219"/>
      <c r="AZ144" s="219"/>
      <c r="BA144" s="219"/>
    </row>
    <row r="145" spans="1:53" outlineLevel="1" x14ac:dyDescent="0.35">
      <c r="A145" s="6" t="s">
        <v>757</v>
      </c>
      <c r="B145" s="6">
        <f>'Results - raw data ReCiPe (I)'!C18*AC128*AC130</f>
        <v>1.9608746117296934E-3</v>
      </c>
      <c r="AB145" s="219"/>
      <c r="AC145" s="219"/>
      <c r="AD145" s="219"/>
      <c r="AE145" s="219"/>
      <c r="AF145" s="219"/>
      <c r="AG145" s="219"/>
      <c r="AH145" s="219"/>
      <c r="AI145" s="219"/>
      <c r="AJ145" s="219"/>
      <c r="AK145" s="219"/>
      <c r="AL145" s="219"/>
      <c r="AM145" s="219"/>
      <c r="AN145" s="219"/>
      <c r="AO145" s="219"/>
      <c r="AP145" s="219"/>
      <c r="AQ145" s="219"/>
      <c r="AR145" s="219"/>
      <c r="AS145" s="219"/>
      <c r="AT145" s="219"/>
      <c r="AU145" s="219"/>
      <c r="AV145" s="219"/>
      <c r="AW145" s="219"/>
      <c r="AX145" s="219"/>
      <c r="AY145" s="219"/>
      <c r="AZ145" s="219"/>
      <c r="BA145" s="219"/>
    </row>
    <row r="146" spans="1:53" outlineLevel="1" x14ac:dyDescent="0.35">
      <c r="A146" s="6" t="s">
        <v>22</v>
      </c>
      <c r="Z146" s="6">
        <f>'Results - raw data ReCiPe (I)'!AA19</f>
        <v>2.538889440119622E-6</v>
      </c>
      <c r="AB146" s="219"/>
      <c r="AC146" s="219"/>
      <c r="AD146" s="219"/>
      <c r="AE146" s="219"/>
      <c r="AF146" s="219"/>
      <c r="AG146" s="219"/>
      <c r="AH146" s="219"/>
      <c r="AI146" s="219"/>
      <c r="AJ146" s="219"/>
      <c r="AK146" s="219"/>
      <c r="AL146" s="219"/>
      <c r="AM146" s="219"/>
      <c r="AN146" s="219"/>
      <c r="AO146" s="219"/>
      <c r="AP146" s="219"/>
      <c r="AQ146" s="219"/>
      <c r="AR146" s="219"/>
      <c r="AS146" s="219"/>
      <c r="AT146" s="219"/>
      <c r="AU146" s="219"/>
      <c r="AV146" s="219"/>
      <c r="AW146" s="219"/>
      <c r="AX146" s="219"/>
      <c r="AY146" s="219"/>
      <c r="AZ146" s="219"/>
      <c r="BA146" s="219"/>
    </row>
    <row r="147" spans="1:53" outlineLevel="1" x14ac:dyDescent="0.35">
      <c r="A147" s="6" t="s">
        <v>24</v>
      </c>
      <c r="Z147" s="6">
        <f>'Results - raw data ReCiPe (I)'!AA20</f>
        <v>1.6334825227852129E-6</v>
      </c>
      <c r="AB147" s="219"/>
      <c r="AC147" s="219"/>
      <c r="AD147" s="219"/>
      <c r="AE147" s="219"/>
      <c r="AF147" s="219"/>
      <c r="AG147" s="219"/>
      <c r="AH147" s="219"/>
      <c r="AI147" s="219"/>
      <c r="AJ147" s="219"/>
      <c r="AK147" s="219"/>
      <c r="AL147" s="219"/>
      <c r="AM147" s="219"/>
      <c r="AN147" s="219"/>
      <c r="AO147" s="219"/>
      <c r="AP147" s="219"/>
      <c r="AQ147" s="219"/>
      <c r="AR147" s="219"/>
      <c r="AS147" s="219"/>
      <c r="AT147" s="219"/>
      <c r="AU147" s="219"/>
      <c r="AV147" s="219"/>
      <c r="AW147" s="219"/>
      <c r="AX147" s="219"/>
      <c r="AY147" s="219"/>
      <c r="AZ147" s="219"/>
      <c r="BA147" s="219"/>
    </row>
    <row r="148" spans="1:53" outlineLevel="1" x14ac:dyDescent="0.35">
      <c r="A148" s="6" t="s">
        <v>25</v>
      </c>
      <c r="Z148" s="6">
        <f>'Results - raw data ReCiPe (I)'!AA21</f>
        <v>6.6095528098662483E-6</v>
      </c>
      <c r="AB148" s="219"/>
      <c r="AC148" s="219"/>
      <c r="AD148" s="219"/>
      <c r="AE148" s="219"/>
      <c r="AF148" s="219"/>
      <c r="AG148" s="219"/>
      <c r="AH148" s="219"/>
      <c r="AI148" s="219"/>
      <c r="AJ148" s="219"/>
      <c r="AK148" s="219"/>
      <c r="AL148" s="219"/>
      <c r="AM148" s="219"/>
      <c r="AN148" s="219"/>
      <c r="AO148" s="219"/>
      <c r="AP148" s="219"/>
      <c r="AQ148" s="219"/>
      <c r="AR148" s="219"/>
      <c r="AS148" s="219"/>
      <c r="AT148" s="219"/>
      <c r="AU148" s="219"/>
      <c r="AV148" s="219"/>
      <c r="AW148" s="219"/>
      <c r="AX148" s="219"/>
      <c r="AY148" s="219"/>
      <c r="AZ148" s="219"/>
      <c r="BA148" s="219"/>
    </row>
    <row r="149" spans="1:53" outlineLevel="1" x14ac:dyDescent="0.35">
      <c r="A149" s="6" t="s">
        <v>27</v>
      </c>
      <c r="Z149" s="6">
        <f>'Results - raw data ReCiPe (I)'!AA22</f>
        <v>3.134529379639164E-6</v>
      </c>
      <c r="AB149" s="219"/>
      <c r="AC149" s="219"/>
      <c r="AD149" s="219"/>
      <c r="AE149" s="219"/>
      <c r="AF149" s="219"/>
      <c r="AG149" s="219"/>
      <c r="AH149" s="219"/>
      <c r="AI149" s="219"/>
      <c r="AJ149" s="219"/>
      <c r="AK149" s="219"/>
      <c r="AL149" s="219"/>
      <c r="AM149" s="219"/>
      <c r="AN149" s="219"/>
      <c r="AO149" s="219"/>
      <c r="AP149" s="219"/>
      <c r="AQ149" s="219"/>
      <c r="AR149" s="219"/>
      <c r="AS149" s="219"/>
      <c r="AT149" s="219"/>
      <c r="AU149" s="219"/>
      <c r="AV149" s="219"/>
      <c r="AW149" s="219"/>
      <c r="AX149" s="219"/>
      <c r="AY149" s="219"/>
      <c r="AZ149" s="219"/>
      <c r="BA149" s="219"/>
    </row>
    <row r="150" spans="1:53" outlineLevel="1" x14ac:dyDescent="0.35">
      <c r="A150" s="6" t="s">
        <v>30</v>
      </c>
      <c r="Z150" s="6">
        <f>'Results - raw data ReCiPe (I)'!AA23</f>
        <v>3.336901303527635E-6</v>
      </c>
      <c r="AB150" s="219"/>
      <c r="AC150" s="219"/>
      <c r="AD150" s="219"/>
      <c r="AE150" s="219"/>
      <c r="AF150" s="219"/>
      <c r="AG150" s="219"/>
      <c r="AH150" s="219"/>
      <c r="AI150" s="219"/>
      <c r="AJ150" s="219"/>
      <c r="AK150" s="219"/>
      <c r="AL150" s="219"/>
      <c r="AM150" s="219"/>
      <c r="AN150" s="219"/>
      <c r="AO150" s="219"/>
      <c r="AP150" s="219"/>
      <c r="AQ150" s="219"/>
      <c r="AR150" s="219"/>
      <c r="AS150" s="219"/>
      <c r="AT150" s="219"/>
      <c r="AU150" s="219"/>
      <c r="AV150" s="219"/>
      <c r="AW150" s="219"/>
      <c r="AX150" s="219"/>
      <c r="AY150" s="219"/>
      <c r="AZ150" s="219"/>
      <c r="BA150" s="219"/>
    </row>
    <row r="151" spans="1:53" outlineLevel="1" x14ac:dyDescent="0.35">
      <c r="A151" s="6" t="s">
        <v>32</v>
      </c>
      <c r="Z151" s="6">
        <f>'Results - raw data ReCiPe (I)'!AA24</f>
        <v>7.6879032170706784E-7</v>
      </c>
      <c r="AB151" s="219"/>
      <c r="AC151" s="219"/>
      <c r="AD151" s="219"/>
      <c r="AE151" s="219"/>
      <c r="AF151" s="219"/>
      <c r="AG151" s="219"/>
      <c r="AH151" s="219"/>
      <c r="AI151" s="219"/>
      <c r="AJ151" s="219"/>
      <c r="AK151" s="219"/>
      <c r="AL151" s="219"/>
      <c r="AM151" s="219"/>
      <c r="AN151" s="219"/>
      <c r="AO151" s="219"/>
      <c r="AP151" s="219"/>
      <c r="AQ151" s="219"/>
      <c r="AR151" s="219"/>
      <c r="AS151" s="219"/>
      <c r="AT151" s="219"/>
      <c r="AU151" s="219"/>
      <c r="AV151" s="219"/>
      <c r="AW151" s="219"/>
      <c r="AX151" s="219"/>
      <c r="AY151" s="219"/>
      <c r="AZ151" s="219"/>
      <c r="BA151" s="219"/>
    </row>
    <row r="152" spans="1:53" outlineLevel="1" x14ac:dyDescent="0.35">
      <c r="A152" s="6" t="s">
        <v>33</v>
      </c>
      <c r="Z152" s="6">
        <f>'Results - raw data ReCiPe (I)'!AA25</f>
        <v>8.8305977484162056E-7</v>
      </c>
      <c r="AB152" s="219"/>
      <c r="AC152" s="219"/>
      <c r="AD152" s="219"/>
      <c r="AE152" s="219"/>
      <c r="AF152" s="219"/>
      <c r="AG152" s="219"/>
      <c r="AH152" s="219"/>
      <c r="AI152" s="219"/>
      <c r="AJ152" s="219"/>
      <c r="AK152" s="219"/>
      <c r="AL152" s="219"/>
      <c r="AM152" s="219"/>
      <c r="AN152" s="219"/>
      <c r="AO152" s="219"/>
      <c r="AP152" s="219"/>
      <c r="AQ152" s="219"/>
      <c r="AR152" s="219"/>
      <c r="AS152" s="219"/>
      <c r="AT152" s="219"/>
      <c r="AU152" s="219"/>
      <c r="AV152" s="219"/>
      <c r="AW152" s="219"/>
      <c r="AX152" s="219"/>
      <c r="AY152" s="219"/>
      <c r="AZ152" s="219"/>
      <c r="BA152" s="219"/>
    </row>
    <row r="153" spans="1:53" outlineLevel="1" x14ac:dyDescent="0.35">
      <c r="A153" s="6" t="s">
        <v>35</v>
      </c>
      <c r="Z153" s="6">
        <f>'Results - raw data ReCiPe (I)'!AA26</f>
        <v>1.7661195496832409E-6</v>
      </c>
      <c r="AB153" s="219"/>
      <c r="AC153" s="219"/>
      <c r="AD153" s="219"/>
      <c r="AE153" s="219"/>
      <c r="AF153" s="219"/>
      <c r="AG153" s="219"/>
      <c r="AH153" s="219"/>
      <c r="AI153" s="219"/>
      <c r="AJ153" s="219"/>
      <c r="AK153" s="219"/>
      <c r="AL153" s="219"/>
      <c r="AM153" s="219"/>
      <c r="AN153" s="219"/>
      <c r="AO153" s="219"/>
      <c r="AP153" s="219"/>
      <c r="AQ153" s="219"/>
      <c r="AR153" s="219"/>
      <c r="AS153" s="219"/>
      <c r="AT153" s="219"/>
      <c r="AU153" s="219"/>
      <c r="AV153" s="219"/>
      <c r="AW153" s="219"/>
      <c r="AX153" s="219"/>
      <c r="AY153" s="219"/>
      <c r="AZ153" s="219"/>
      <c r="BA153" s="219"/>
    </row>
    <row r="154" spans="1:53" outlineLevel="1" x14ac:dyDescent="0.35">
      <c r="A154" s="6" t="s">
        <v>37</v>
      </c>
      <c r="Z154" s="6">
        <f>'Results - raw data ReCiPe (I)'!AA27</f>
        <v>8.8549884257343697E-6</v>
      </c>
      <c r="AB154" s="219"/>
      <c r="AC154" s="219"/>
      <c r="AD154" s="219"/>
      <c r="AE154" s="219"/>
      <c r="AF154" s="219"/>
      <c r="AG154" s="219"/>
      <c r="AH154" s="219"/>
      <c r="AI154" s="219"/>
      <c r="AJ154" s="219"/>
      <c r="AK154" s="219"/>
      <c r="AL154" s="219"/>
      <c r="AM154" s="219"/>
      <c r="AN154" s="219"/>
      <c r="AO154" s="219"/>
      <c r="AP154" s="219"/>
      <c r="AQ154" s="219"/>
      <c r="AR154" s="219"/>
      <c r="AS154" s="219"/>
      <c r="AT154" s="219"/>
      <c r="AU154" s="219"/>
      <c r="AV154" s="219"/>
      <c r="AW154" s="219"/>
      <c r="AX154" s="219"/>
      <c r="AY154" s="219"/>
      <c r="AZ154" s="219"/>
      <c r="BA154" s="219"/>
    </row>
    <row r="155" spans="1:53" outlineLevel="1" x14ac:dyDescent="0.35">
      <c r="A155" s="6" t="s">
        <v>40</v>
      </c>
      <c r="Z155" s="6">
        <f>'Results - raw data ReCiPe (I)'!AA28</f>
        <v>4.5846092685782783E-5</v>
      </c>
    </row>
    <row r="156" spans="1:53" outlineLevel="1" x14ac:dyDescent="0.35">
      <c r="A156" s="6" t="s">
        <v>42</v>
      </c>
      <c r="Z156" s="6">
        <f>'Results - raw data ReCiPe (I)'!AA29</f>
        <v>1.3356334419104131E-5</v>
      </c>
    </row>
    <row r="157" spans="1:53" outlineLevel="1" x14ac:dyDescent="0.35">
      <c r="A157" s="6" t="s">
        <v>115</v>
      </c>
      <c r="Z157" s="6">
        <f>'Results - raw data ReCiPe (I)'!AA30</f>
        <v>6.2120502985044574E-5</v>
      </c>
    </row>
    <row r="158" spans="1:53" outlineLevel="1" x14ac:dyDescent="0.35">
      <c r="A158" s="6" t="s">
        <v>45</v>
      </c>
      <c r="Z158" s="6">
        <f>'Results - raw data ReCiPe (I)'!AA31*AC128*AC130</f>
        <v>5.1688461306668095E-6</v>
      </c>
    </row>
    <row r="159" spans="1:53" outlineLevel="1" x14ac:dyDescent="0.35">
      <c r="A159" s="6" t="s">
        <v>116</v>
      </c>
      <c r="B159" s="6">
        <f>'Results - raw data ReCiPe (I)'!C32</f>
        <v>3.0950823392567891E-4</v>
      </c>
      <c r="C159" s="6">
        <f>'Results - raw data ReCiPe (I)'!D32</f>
        <v>3.0842646343384332E-4</v>
      </c>
      <c r="D159" s="6">
        <f>'Results - raw data ReCiPe (I)'!E32</f>
        <v>3.0733816132392128E-4</v>
      </c>
      <c r="E159" s="6">
        <f>'Results - raw data ReCiPe (I)'!F32</f>
        <v>3.0470171244799881E-4</v>
      </c>
      <c r="F159" s="6">
        <f>'Results - raw data ReCiPe (I)'!G32</f>
        <v>3.0359916895327102E-4</v>
      </c>
      <c r="G159" s="6">
        <f>'Results - raw data ReCiPe (I)'!H32</f>
        <v>3.0250842900321592E-4</v>
      </c>
      <c r="H159" s="6">
        <f>'Results - raw data ReCiPe (I)'!I32</f>
        <v>3.0220482749963639E-4</v>
      </c>
      <c r="I159" s="6">
        <f>'Results - raw data ReCiPe (I)'!J32</f>
        <v>3.0191161897902242E-4</v>
      </c>
      <c r="J159" s="6">
        <f>'Results - raw data ReCiPe (I)'!K32</f>
        <v>3.0116098244104819E-4</v>
      </c>
      <c r="K159" s="6">
        <f>'Results - raw data ReCiPe (I)'!L32</f>
        <v>3.0088082558559647E-4</v>
      </c>
      <c r="L159" s="6">
        <f>'Results - raw data ReCiPe (I)'!M32</f>
        <v>3.0061050207937578E-4</v>
      </c>
      <c r="M159" s="6">
        <f>'Results - raw data ReCiPe (I)'!N32</f>
        <v>3.0046472362970207E-4</v>
      </c>
      <c r="N159" s="6">
        <f>'Results - raw data ReCiPe (I)'!O32</f>
        <v>3.0032218865651928E-4</v>
      </c>
      <c r="O159" s="6">
        <f>'Results - raw data ReCiPe (I)'!P32</f>
        <v>3.0002363913981872E-4</v>
      </c>
      <c r="P159" s="6">
        <f>'Results - raw data ReCiPe (I)'!Q32</f>
        <v>2.9988909134041908E-4</v>
      </c>
      <c r="Q159" s="6">
        <f>'Results - raw data ReCiPe (I)'!R32</f>
        <v>2.9975776117043001E-4</v>
      </c>
      <c r="R159" s="6">
        <f>'Results - raw data ReCiPe (I)'!S32</f>
        <v>2.9819326867828652E-4</v>
      </c>
      <c r="S159" s="6">
        <f>'Results - raw data ReCiPe (I)'!T32</f>
        <v>2.966174560763587E-4</v>
      </c>
      <c r="T159" s="6">
        <f>'Results - raw data ReCiPe (I)'!U32</f>
        <v>2.9488735419779449E-4</v>
      </c>
      <c r="U159" s="6">
        <f>'Results - raw data ReCiPe (I)'!V32</f>
        <v>2.9329321073249501E-4</v>
      </c>
      <c r="V159" s="6">
        <f>'Results - raw data ReCiPe (I)'!W32</f>
        <v>2.9168945793858249E-4</v>
      </c>
      <c r="W159" s="6">
        <f>'Results - raw data ReCiPe (I)'!X32</f>
        <v>3.0452007285205519E-4</v>
      </c>
      <c r="X159" s="6">
        <f>'Results - raw data ReCiPe (I)'!Y32</f>
        <v>3.0226784476485138E-4</v>
      </c>
      <c r="Y159" s="6">
        <f>'Results - raw data ReCiPe (I)'!Z32</f>
        <v>3.0000241858584692E-4</v>
      </c>
      <c r="Z159" s="6">
        <f>'Results - raw data ReCiPe (I)'!AA32</f>
        <v>2.9772367667854253E-4</v>
      </c>
    </row>
    <row r="160" spans="1:53" outlineLevel="1" x14ac:dyDescent="0.35">
      <c r="A160" s="6" t="s">
        <v>758</v>
      </c>
      <c r="B160" s="6">
        <f>'Results - raw data ReCiPe (I)'!C33*$AC$128</f>
        <v>6.9626821690351197E-4</v>
      </c>
      <c r="C160" s="6">
        <f>'Results - raw data ReCiPe (I)'!D33*$AC$128</f>
        <v>6.9518556264451319E-4</v>
      </c>
      <c r="D160" s="6">
        <f>'Results - raw data ReCiPe (I)'!E33*$AC$128</f>
        <v>6.9249428319766528E-4</v>
      </c>
      <c r="E160" s="6">
        <f>'Results - raw data ReCiPe (I)'!F33*$AC$128</f>
        <v>6.8869480005077379E-4</v>
      </c>
      <c r="F160" s="6">
        <f>'Results - raw data ReCiPe (I)'!G33*$AC$128</f>
        <v>6.8550999698434431E-4</v>
      </c>
      <c r="G160" s="6">
        <f>'Results - raw data ReCiPe (I)'!H33*$AC$128</f>
        <v>6.8233401918268923E-4</v>
      </c>
      <c r="H160" s="6">
        <f>'Results - raw data ReCiPe (I)'!I33*$AC$128</f>
        <v>7.0021464825593938E-4</v>
      </c>
      <c r="I160" s="6">
        <f>'Results - raw data ReCiPe (I)'!J33*$AC$128</f>
        <v>7.1796014035621441E-4</v>
      </c>
      <c r="J160" s="6">
        <f>'Results - raw data ReCiPe (I)'!K33*$AC$128</f>
        <v>7.3535192485880041E-4</v>
      </c>
      <c r="K160" s="6">
        <f>'Results - raw data ReCiPe (I)'!L33*$AC$128</f>
        <v>7.5279176882448622E-4</v>
      </c>
      <c r="L160" s="6">
        <f>'Results - raw data ReCiPe (I)'!M33*$AC$128</f>
        <v>7.700717953665544E-4</v>
      </c>
      <c r="M160" s="6">
        <f>'Results - raw data ReCiPe (I)'!N33*$AC$128</f>
        <v>8.0501827637082738E-4</v>
      </c>
      <c r="N160" s="6">
        <f>'Results - raw data ReCiPe (I)'!O33*$AC$128</f>
        <v>8.3980997825860223E-4</v>
      </c>
      <c r="O160" s="6">
        <f>'Results - raw data ReCiPe (I)'!P33*$AC$128</f>
        <v>8.7439825065709076E-4</v>
      </c>
      <c r="P160" s="6">
        <f>'Results - raw data ReCiPe (I)'!Q33*$AC$128</f>
        <v>9.0886900906079994E-4</v>
      </c>
      <c r="Q160" s="6">
        <f>'Results - raw data ReCiPe (I)'!R33*$AC$128</f>
        <v>9.4318429539489237E-4</v>
      </c>
      <c r="R160" s="6">
        <f>'Results - raw data ReCiPe (I)'!S33*$AC$128</f>
        <v>9.4256312298396372E-4</v>
      </c>
      <c r="S160" s="6">
        <f>'Results - raw data ReCiPe (I)'!T33*$AC$128</f>
        <v>9.4180553465094536E-4</v>
      </c>
      <c r="T160" s="6">
        <f>'Results - raw data ReCiPe (I)'!U33*$AC$128</f>
        <v>9.4097339760617206E-4</v>
      </c>
      <c r="U160" s="6">
        <f>'Results - raw data ReCiPe (I)'!V33*$AC$128</f>
        <v>9.4016658207743767E-4</v>
      </c>
      <c r="V160" s="6">
        <f>'Results - raw data ReCiPe (I)'!W33*$AC$128</f>
        <v>9.3933858786915186E-4</v>
      </c>
      <c r="W160" s="6">
        <f>'Results - raw data ReCiPe (I)'!X33*$AC$128</f>
        <v>9.4924314679693887E-4</v>
      </c>
      <c r="X160" s="6">
        <f>'Results - raw data ReCiPe (I)'!Y33*$AC$128</f>
        <v>9.2724763069335276E-4</v>
      </c>
      <c r="Y160" s="6">
        <f>'Results - raw data ReCiPe (I)'!Z33*$AC$128</f>
        <v>9.052598912295569E-4</v>
      </c>
      <c r="Z160" s="6">
        <f>'Results - raw data ReCiPe (I)'!AA33*$AC$128</f>
        <v>8.8327876161998337E-4</v>
      </c>
    </row>
    <row r="161" spans="1:53" outlineLevel="1" x14ac:dyDescent="0.35">
      <c r="A161" s="6" t="s">
        <v>759</v>
      </c>
      <c r="B161" s="6">
        <f>'Results - raw data ReCiPe (I)'!C34</f>
        <v>0</v>
      </c>
      <c r="C161" s="6">
        <f>'Results - raw data ReCiPe (I)'!D34</f>
        <v>0</v>
      </c>
      <c r="D161" s="6">
        <f>'Results - raw data ReCiPe (I)'!E34</f>
        <v>0</v>
      </c>
      <c r="E161" s="6">
        <f>'Results - raw data ReCiPe (I)'!F34</f>
        <v>0</v>
      </c>
      <c r="F161" s="6">
        <f>'Results - raw data ReCiPe (I)'!G34</f>
        <v>0</v>
      </c>
      <c r="G161" s="6">
        <f>'Results - raw data ReCiPe (I)'!H34</f>
        <v>0</v>
      </c>
      <c r="H161" s="6">
        <f>'Results - raw data ReCiPe (I)'!I34</f>
        <v>0</v>
      </c>
      <c r="I161" s="6">
        <f>'Results - raw data ReCiPe (I)'!J34</f>
        <v>0</v>
      </c>
      <c r="J161" s="6">
        <f>'Results - raw data ReCiPe (I)'!K34</f>
        <v>0</v>
      </c>
      <c r="K161" s="6">
        <f>'Results - raw data ReCiPe (I)'!L34</f>
        <v>0</v>
      </c>
      <c r="L161" s="6">
        <f>'Results - raw data ReCiPe (I)'!M34</f>
        <v>0</v>
      </c>
      <c r="M161" s="6">
        <f>'Results - raw data ReCiPe (I)'!N34</f>
        <v>0</v>
      </c>
      <c r="N161" s="6">
        <f>'Results - raw data ReCiPe (I)'!O34</f>
        <v>0</v>
      </c>
      <c r="O161" s="6">
        <f>'Results - raw data ReCiPe (I)'!P34</f>
        <v>0</v>
      </c>
      <c r="P161" s="6">
        <f>'Results - raw data ReCiPe (I)'!Q34</f>
        <v>0</v>
      </c>
      <c r="Q161" s="6">
        <f>'Results - raw data ReCiPe (I)'!R34</f>
        <v>0</v>
      </c>
      <c r="R161" s="6">
        <f>'Results - raw data ReCiPe (I)'!S34</f>
        <v>0</v>
      </c>
      <c r="S161" s="6">
        <f>'Results - raw data ReCiPe (I)'!T34</f>
        <v>0</v>
      </c>
      <c r="T161" s="6">
        <f>'Results - raw data ReCiPe (I)'!U34</f>
        <v>0</v>
      </c>
      <c r="U161" s="6">
        <f>'Results - raw data ReCiPe (I)'!V34</f>
        <v>0</v>
      </c>
      <c r="V161" s="6">
        <f>'Results - raw data ReCiPe (I)'!W34</f>
        <v>0</v>
      </c>
      <c r="W161" s="6">
        <f>'Results - raw data ReCiPe (I)'!X34</f>
        <v>0</v>
      </c>
      <c r="X161" s="6">
        <f>'Results - raw data ReCiPe (I)'!Y34</f>
        <v>0</v>
      </c>
      <c r="Y161" s="6">
        <f>'Results - raw data ReCiPe (I)'!Z34</f>
        <v>0</v>
      </c>
      <c r="Z161" s="6">
        <f>'Results - raw data ReCiPe (I)'!AA34</f>
        <v>0</v>
      </c>
    </row>
    <row r="162" spans="1:53" outlineLevel="1" x14ac:dyDescent="0.35">
      <c r="A162" s="6" t="s">
        <v>760</v>
      </c>
      <c r="B162" s="6">
        <f>150000*($AC$129*'Results - raw data ReCiPe (I)'!C114+(1-'Results ReCiPe (I) - HHD'!$AC$129)*'Results - raw data ReCiPe (I)'!C115)</f>
        <v>6.6205552719843432E-3</v>
      </c>
      <c r="C162" s="6">
        <f>150000*($AC$129*'Results - raw data ReCiPe (I)'!D114+(1-'Results ReCiPe (I) - HHD'!$AC$129)*'Results - raw data ReCiPe (I)'!D115)</f>
        <v>6.6182928625575536E-3</v>
      </c>
      <c r="D162" s="6">
        <f>150000*($AC$129*'Results - raw data ReCiPe (I)'!E114+(1-'Results ReCiPe (I) - HHD'!$AC$129)*'Results - raw data ReCiPe (I)'!E115)</f>
        <v>6.6000074005504953E-3</v>
      </c>
      <c r="E162" s="6">
        <f>150000*($AC$129*'Results - raw data ReCiPe (I)'!F114+(1-'Results ReCiPe (I) - HHD'!$AC$129)*'Results - raw data ReCiPe (I)'!F115)</f>
        <v>6.5704177328046445E-3</v>
      </c>
      <c r="F162" s="6">
        <f>150000*($AC$129*'Results - raw data ReCiPe (I)'!G114+(1-'Results ReCiPe (I) - HHD'!$AC$129)*'Results - raw data ReCiPe (I)'!G115)</f>
        <v>6.5473271650997042E-3</v>
      </c>
      <c r="G162" s="6">
        <f>150000*($AC$129*'Results - raw data ReCiPe (I)'!H114+(1-'Results ReCiPe (I) - HHD'!$AC$129)*'Results - raw data ReCiPe (I)'!H115)</f>
        <v>6.5243096756633992E-3</v>
      </c>
      <c r="H162" s="6">
        <f>150000*($AC$129*'Results - raw data ReCiPe (I)'!I114+(1-'Results ReCiPe (I) - HHD'!$AC$129)*'Results - raw data ReCiPe (I)'!I115)</f>
        <v>6.7106939427344922E-3</v>
      </c>
      <c r="I162" s="6">
        <f>150000*($AC$129*'Results - raw data ReCiPe (I)'!J114+(1-'Results ReCiPe (I) - HHD'!$AC$129)*'Results - raw data ReCiPe (I)'!J115)</f>
        <v>6.8963652663903601E-3</v>
      </c>
      <c r="J162" s="6">
        <f>150000*($AC$129*'Results - raw data ReCiPe (I)'!K114+(1-'Results ReCiPe (I) - HHD'!$AC$129)*'Results - raw data ReCiPe (I)'!K115)</f>
        <v>7.0790334602537476E-3</v>
      </c>
      <c r="K162" s="6">
        <f>150000*($AC$129*'Results - raw data ReCiPe (I)'!L114+(1-'Results ReCiPe (I) - HHD'!$AC$129)*'Results - raw data ReCiPe (I)'!L115)</f>
        <v>7.2628930747483172E-3</v>
      </c>
      <c r="L162" s="6">
        <f>150000*($AC$129*'Results - raw data ReCiPe (I)'!M114+(1-'Results ReCiPe (I) - HHD'!$AC$129)*'Results - raw data ReCiPe (I)'!M115)</f>
        <v>7.4457421383645039E-3</v>
      </c>
      <c r="M162" s="6">
        <f>150000*($AC$129*'Results - raw data ReCiPe (I)'!N114+(1-'Results ReCiPe (I) - HHD'!$AC$129)*'Results - raw data ReCiPe (I)'!N115)</f>
        <v>7.806662681421243E-3</v>
      </c>
      <c r="N162" s="6">
        <f>150000*($AC$129*'Results - raw data ReCiPe (I)'!O114+(1-'Results ReCiPe (I) - HHD'!$AC$129)*'Results - raw data ReCiPe (I)'!O115)</f>
        <v>8.1669154632676502E-3</v>
      </c>
      <c r="O162" s="6">
        <f>150000*($AC$129*'Results - raw data ReCiPe (I)'!P114+(1-'Results ReCiPe (I) - HHD'!$AC$129)*'Results - raw data ReCiPe (I)'!P115)</f>
        <v>8.5259897362474635E-3</v>
      </c>
      <c r="P162" s="6">
        <f>150000*($AC$129*'Results - raw data ReCiPe (I)'!Q114+(1-'Results ReCiPe (I) - HHD'!$AC$129)*'Results - raw data ReCiPe (I)'!Q115)</f>
        <v>8.8847536875283923E-3</v>
      </c>
      <c r="Q162" s="6">
        <f>150000*($AC$129*'Results - raw data ReCiPe (I)'!R114+(1-'Results ReCiPe (I) - HHD'!$AC$129)*'Results - raw data ReCiPe (I)'!R115)</f>
        <v>9.242869698163337E-3</v>
      </c>
      <c r="R162" s="6">
        <f>150000*($AC$129*'Results - raw data ReCiPe (I)'!S114+(1-'Results ReCiPe (I) - HHD'!$AC$129)*'Results - raw data ReCiPe (I)'!S115)</f>
        <v>9.2454226851398473E-3</v>
      </c>
      <c r="S162" s="6">
        <f>150000*($AC$129*'Results - raw data ReCiPe (I)'!T114+(1-'Results ReCiPe (I) - HHD'!$AC$129)*'Results - raw data ReCiPe (I)'!T115)</f>
        <v>9.2466047774371757E-3</v>
      </c>
      <c r="T162" s="6">
        <f>150000*($AC$129*'Results - raw data ReCiPe (I)'!U114+(1-'Results ReCiPe (I) - HHD'!$AC$129)*'Results - raw data ReCiPe (I)'!U115)</f>
        <v>9.2470372930955717E-3</v>
      </c>
      <c r="U162" s="6">
        <f>150000*($AC$129*'Results - raw data ReCiPe (I)'!V114+(1-'Results ReCiPe (I) - HHD'!$AC$129)*'Results - raw data ReCiPe (I)'!V115)</f>
        <v>9.2477467701712369E-3</v>
      </c>
      <c r="V162" s="6">
        <f>150000*($AC$129*'Results - raw data ReCiPe (I)'!W114+(1-'Results ReCiPe (I) - HHD'!$AC$129)*'Results - raw data ReCiPe (I)'!W115)</f>
        <v>9.2482533248818121E-3</v>
      </c>
      <c r="W162" s="6">
        <f>150000*($AC$129*'Results - raw data ReCiPe (I)'!X114+(1-'Results ReCiPe (I) - HHD'!$AC$129)*'Results - raw data ReCiPe (I)'!X115)</f>
        <v>9.3528355391499368E-3</v>
      </c>
      <c r="X162" s="6">
        <f>150000*($AC$129*'Results - raw data ReCiPe (I)'!Y114+(1-'Results ReCiPe (I) - HHD'!$AC$129)*'Results - raw data ReCiPe (I)'!Y115)</f>
        <v>9.1437299749672716E-3</v>
      </c>
      <c r="Y162" s="6">
        <f>150000*($AC$129*'Results - raw data ReCiPe (I)'!Z114+(1-'Results ReCiPe (I) - HHD'!$AC$129)*'Results - raw data ReCiPe (I)'!Z115)</f>
        <v>8.9339113549565946E-3</v>
      </c>
      <c r="Z162" s="6">
        <f>150000*($AC$129*'Results - raw data ReCiPe (I)'!AA114+(1-'Results ReCiPe (I) - HHD'!$AC$129)*'Results - raw data ReCiPe (I)'!AA115)</f>
        <v>8.7233698208936065E-3</v>
      </c>
    </row>
    <row r="163" spans="1:53" outlineLevel="1" x14ac:dyDescent="0.35">
      <c r="A163" s="23" t="s">
        <v>125</v>
      </c>
      <c r="B163" s="17">
        <f t="shared" ref="B163:Z163" si="19">SUM(B132:B162)</f>
        <v>2.6481218308899442E-2</v>
      </c>
      <c r="C163" s="17">
        <f t="shared" si="19"/>
        <v>7.6219048886359102E-3</v>
      </c>
      <c r="D163" s="17">
        <f t="shared" si="19"/>
        <v>7.5998398450720824E-3</v>
      </c>
      <c r="E163" s="17">
        <f t="shared" si="19"/>
        <v>7.5638142453034168E-3</v>
      </c>
      <c r="F163" s="17">
        <f t="shared" si="19"/>
        <v>7.5364363310373196E-3</v>
      </c>
      <c r="G163" s="17">
        <f t="shared" si="19"/>
        <v>7.5091521238493039E-3</v>
      </c>
      <c r="H163" s="17">
        <f t="shared" si="19"/>
        <v>7.7131134184900679E-3</v>
      </c>
      <c r="I163" s="17">
        <f t="shared" si="19"/>
        <v>7.9162370257255966E-3</v>
      </c>
      <c r="J163" s="17">
        <f t="shared" si="19"/>
        <v>8.1155463675535965E-3</v>
      </c>
      <c r="K163" s="17">
        <f t="shared" si="19"/>
        <v>8.3165656691584003E-3</v>
      </c>
      <c r="L163" s="17">
        <f t="shared" si="19"/>
        <v>8.5164244358104345E-3</v>
      </c>
      <c r="M163" s="17">
        <f t="shared" si="19"/>
        <v>8.912145681421773E-3</v>
      </c>
      <c r="N163" s="17">
        <f t="shared" si="19"/>
        <v>9.3070476301827711E-3</v>
      </c>
      <c r="O163" s="17">
        <f t="shared" si="19"/>
        <v>9.7004116260443734E-3</v>
      </c>
      <c r="P163" s="17">
        <f t="shared" si="19"/>
        <v>1.0093511787929612E-2</v>
      </c>
      <c r="Q163" s="17">
        <f t="shared" si="19"/>
        <v>1.0485811754728659E-2</v>
      </c>
      <c r="R163" s="17">
        <f t="shared" si="19"/>
        <v>1.0486179076802098E-2</v>
      </c>
      <c r="S163" s="17">
        <f t="shared" si="19"/>
        <v>1.0485027768164479E-2</v>
      </c>
      <c r="T163" s="17">
        <f t="shared" si="19"/>
        <v>1.0482898044899538E-2</v>
      </c>
      <c r="U163" s="17">
        <f t="shared" si="19"/>
        <v>1.048120656298117E-2</v>
      </c>
      <c r="V163" s="17">
        <f t="shared" si="19"/>
        <v>1.0479281370689547E-2</v>
      </c>
      <c r="W163" s="17">
        <f t="shared" si="19"/>
        <v>1.0606598758798932E-2</v>
      </c>
      <c r="X163" s="17">
        <f t="shared" si="19"/>
        <v>1.0373245450425476E-2</v>
      </c>
      <c r="Y163" s="17">
        <f t="shared" si="19"/>
        <v>1.0139173664771999E-2</v>
      </c>
      <c r="Z163" s="17">
        <f t="shared" si="19"/>
        <v>1.0060390348940636E-2</v>
      </c>
    </row>
    <row r="164" spans="1:53" outlineLevel="1" x14ac:dyDescent="0.35"/>
    <row r="165" spans="1:53" s="18" customFormat="1" ht="21" x14ac:dyDescent="0.5">
      <c r="A165" s="18" t="s">
        <v>73</v>
      </c>
    </row>
    <row r="166" spans="1:53" s="20" customFormat="1" outlineLevel="1" x14ac:dyDescent="0.35">
      <c r="A166" s="19" t="s">
        <v>766</v>
      </c>
    </row>
    <row r="167" spans="1:53" s="16" customFormat="1" outlineLevel="1" x14ac:dyDescent="0.35">
      <c r="A167" s="21"/>
      <c r="AB167" s="16" t="s">
        <v>47</v>
      </c>
      <c r="AC167" s="16">
        <v>8.1199999999999999E-8</v>
      </c>
      <c r="AD167" s="16" t="s">
        <v>48</v>
      </c>
      <c r="AE167" s="15" t="s">
        <v>714</v>
      </c>
    </row>
    <row r="168" spans="1:53" s="16" customFormat="1" outlineLevel="1" x14ac:dyDescent="0.35">
      <c r="A168" s="22" t="s">
        <v>564</v>
      </c>
      <c r="AC168" s="16">
        <f>AC167*1000</f>
        <v>8.1199999999999995E-5</v>
      </c>
      <c r="AD168" s="16" t="s">
        <v>126</v>
      </c>
    </row>
    <row r="169" spans="1:53" s="16" customFormat="1" outlineLevel="1" x14ac:dyDescent="0.35">
      <c r="A169" s="22"/>
      <c r="AB169" s="16" t="s">
        <v>127</v>
      </c>
      <c r="AC169" s="16">
        <v>100</v>
      </c>
      <c r="AD169" s="16" t="s">
        <v>128</v>
      </c>
    </row>
    <row r="170" spans="1:53" s="16" customFormat="1" outlineLevel="1" x14ac:dyDescent="0.35">
      <c r="A170" s="230" t="s">
        <v>768</v>
      </c>
      <c r="AB170" s="16" t="s">
        <v>20</v>
      </c>
      <c r="AC170" s="16">
        <v>0.23</v>
      </c>
      <c r="AD170" s="16" t="s">
        <v>715</v>
      </c>
    </row>
    <row r="171" spans="1:53" s="16" customFormat="1" outlineLevel="1" x14ac:dyDescent="0.35">
      <c r="A171" s="22"/>
      <c r="AB171" s="16" t="s">
        <v>129</v>
      </c>
      <c r="AC171" s="16">
        <v>25</v>
      </c>
      <c r="AD171" s="16" t="s">
        <v>130</v>
      </c>
    </row>
    <row r="172" spans="1:53" outlineLevel="1" x14ac:dyDescent="0.35">
      <c r="B172" s="25">
        <v>2030</v>
      </c>
      <c r="C172" s="25">
        <v>2031</v>
      </c>
      <c r="D172" s="25">
        <v>2032</v>
      </c>
      <c r="E172" s="25">
        <v>2033</v>
      </c>
      <c r="F172" s="25">
        <v>2034</v>
      </c>
      <c r="G172" s="25">
        <v>2035</v>
      </c>
      <c r="H172" s="25">
        <v>2036</v>
      </c>
      <c r="I172" s="25">
        <v>2037</v>
      </c>
      <c r="J172" s="25">
        <v>2038</v>
      </c>
      <c r="K172" s="25">
        <v>2039</v>
      </c>
      <c r="L172" s="25">
        <v>2040</v>
      </c>
      <c r="M172" s="25">
        <v>2041</v>
      </c>
      <c r="N172" s="25">
        <v>2042</v>
      </c>
      <c r="O172" s="25">
        <v>2043</v>
      </c>
      <c r="P172" s="25">
        <v>2044</v>
      </c>
      <c r="Q172" s="25">
        <v>2045</v>
      </c>
      <c r="R172" s="25">
        <v>2046</v>
      </c>
      <c r="S172" s="25">
        <v>2047</v>
      </c>
      <c r="T172" s="25">
        <v>2048</v>
      </c>
      <c r="U172" s="25">
        <v>2049</v>
      </c>
      <c r="V172" s="25">
        <v>2050</v>
      </c>
      <c r="W172" s="25">
        <v>2051</v>
      </c>
      <c r="X172" s="25">
        <v>2052</v>
      </c>
      <c r="Y172" s="25">
        <v>2053</v>
      </c>
      <c r="Z172" s="25">
        <v>2054</v>
      </c>
      <c r="AC172" s="25">
        <v>2030</v>
      </c>
      <c r="AD172" s="25">
        <v>2031</v>
      </c>
      <c r="AE172" s="25">
        <v>2032</v>
      </c>
      <c r="AF172" s="25">
        <v>2033</v>
      </c>
      <c r="AG172" s="25">
        <v>2034</v>
      </c>
      <c r="AH172" s="25">
        <v>2035</v>
      </c>
      <c r="AI172" s="25">
        <v>2036</v>
      </c>
      <c r="AJ172" s="25">
        <v>2037</v>
      </c>
      <c r="AK172" s="25">
        <v>2038</v>
      </c>
      <c r="AL172" s="25">
        <v>2039</v>
      </c>
      <c r="AM172" s="25">
        <v>2040</v>
      </c>
      <c r="AN172" s="25">
        <v>2041</v>
      </c>
      <c r="AO172" s="25">
        <v>2042</v>
      </c>
      <c r="AP172" s="25">
        <v>2043</v>
      </c>
      <c r="AQ172" s="25">
        <v>2044</v>
      </c>
      <c r="AR172" s="25">
        <v>2045</v>
      </c>
      <c r="AS172" s="25">
        <v>2046</v>
      </c>
      <c r="AT172" s="25">
        <v>2047</v>
      </c>
      <c r="AU172" s="25">
        <v>2048</v>
      </c>
      <c r="AV172" s="25">
        <v>2049</v>
      </c>
      <c r="AW172" s="25">
        <v>2050</v>
      </c>
      <c r="AX172" s="25">
        <v>2051</v>
      </c>
      <c r="AY172" s="25">
        <v>2052</v>
      </c>
      <c r="AZ172" s="25">
        <v>2053</v>
      </c>
      <c r="BA172" s="25">
        <v>2054</v>
      </c>
    </row>
    <row r="173" spans="1:53" outlineLevel="1" x14ac:dyDescent="0.35">
      <c r="A173" s="6" t="s">
        <v>21</v>
      </c>
      <c r="B173" s="6">
        <f>'Results - raw data ReCiPe (I)'!C41</f>
        <v>3.1821965122054842E-4</v>
      </c>
      <c r="AB173" s="6" t="s">
        <v>117</v>
      </c>
      <c r="AC173" s="6">
        <f>SUM(B173:B184)+B186</f>
        <v>1.6995353320054075E-2</v>
      </c>
    </row>
    <row r="174" spans="1:53" outlineLevel="1" x14ac:dyDescent="0.35">
      <c r="A174" s="6" t="s">
        <v>23</v>
      </c>
      <c r="B174" s="6">
        <f>'Results - raw data ReCiPe (I)'!C42</f>
        <v>4.5108434667840948E-4</v>
      </c>
      <c r="AB174" s="6" t="s">
        <v>118</v>
      </c>
      <c r="AC174" s="6">
        <f>B185</f>
        <v>9.9771112859395631E-4</v>
      </c>
    </row>
    <row r="175" spans="1:53" outlineLevel="1" x14ac:dyDescent="0.35">
      <c r="A175" s="6" t="s">
        <v>26</v>
      </c>
      <c r="B175" s="6">
        <f>'Results - raw data ReCiPe (I)'!C43</f>
        <v>1.454293812173775E-3</v>
      </c>
      <c r="AB175" s="6" t="s">
        <v>119</v>
      </c>
      <c r="BA175" s="6">
        <f>SUM(Z187:Z198)</f>
        <v>1.3822951601734481E-4</v>
      </c>
    </row>
    <row r="176" spans="1:53" outlineLevel="1" x14ac:dyDescent="0.35">
      <c r="A176" s="6" t="s">
        <v>28</v>
      </c>
      <c r="B176" s="6">
        <f>'Results - raw data ReCiPe (I)'!C44</f>
        <v>2.5638112267395499E-3</v>
      </c>
      <c r="AB176" s="6" t="s">
        <v>120</v>
      </c>
      <c r="BA176" s="6">
        <f>Z199</f>
        <v>4.9710056260593857E-6</v>
      </c>
    </row>
    <row r="177" spans="1:53" outlineLevel="1" x14ac:dyDescent="0.35">
      <c r="A177" s="6" t="s">
        <v>29</v>
      </c>
      <c r="B177" s="6">
        <f>'Results - raw data ReCiPe (I)'!C45</f>
        <v>1.670041951681804E-3</v>
      </c>
      <c r="AB177" s="6" t="s">
        <v>121</v>
      </c>
      <c r="AC177" s="6">
        <f>B200</f>
        <v>3.0406400262598818E-4</v>
      </c>
      <c r="AF177" s="6">
        <f>E200</f>
        <v>2.9641770904864699E-4</v>
      </c>
      <c r="AI177" s="6">
        <f>H200</f>
        <v>2.8894461479738099E-4</v>
      </c>
      <c r="AL177" s="6">
        <f>K200</f>
        <v>2.7865961728505771E-4</v>
      </c>
      <c r="AO177" s="6">
        <f>N200</f>
        <v>2.6585850485750173E-4</v>
      </c>
      <c r="AR177" s="6">
        <f>Q200</f>
        <v>2.516049030100258E-4</v>
      </c>
      <c r="AU177" s="6">
        <f>T200</f>
        <v>2.424330204216972E-4</v>
      </c>
      <c r="AX177" s="6">
        <f>W200</f>
        <v>2.4089817230596729E-4</v>
      </c>
      <c r="BA177" s="6">
        <f>Z200</f>
        <v>2.3998846110054729E-4</v>
      </c>
    </row>
    <row r="178" spans="1:53" outlineLevel="1" x14ac:dyDescent="0.35">
      <c r="A178" s="6" t="s">
        <v>31</v>
      </c>
      <c r="B178" s="6">
        <f>'Results - raw data ReCiPe (I)'!C46</f>
        <v>9.0181183666199584E-4</v>
      </c>
      <c r="AB178" s="6" t="s">
        <v>122</v>
      </c>
      <c r="AC178" s="6">
        <f>B203+B202</f>
        <v>6.1995683735904675E-3</v>
      </c>
      <c r="AD178" s="6">
        <f t="shared" ref="AD178:AV178" si="20">C203+C202</f>
        <v>5.9991758600647285E-3</v>
      </c>
      <c r="AE178" s="6">
        <f t="shared" si="20"/>
        <v>5.7866432192099967E-3</v>
      </c>
      <c r="AF178" s="6">
        <f t="shared" si="20"/>
        <v>5.5623723337581048E-3</v>
      </c>
      <c r="AG178" s="6">
        <f t="shared" si="20"/>
        <v>5.3442756203966255E-3</v>
      </c>
      <c r="AH178" s="6">
        <f t="shared" si="20"/>
        <v>5.1259006423415151E-3</v>
      </c>
      <c r="AI178" s="6">
        <f t="shared" si="20"/>
        <v>5.0040121603461543E-3</v>
      </c>
      <c r="AJ178" s="6">
        <f t="shared" si="20"/>
        <v>4.8835340793354307E-3</v>
      </c>
      <c r="AK178" s="6">
        <f t="shared" si="20"/>
        <v>4.7609451795234074E-3</v>
      </c>
      <c r="AL178" s="6">
        <f t="shared" si="20"/>
        <v>4.6404815041277379E-3</v>
      </c>
      <c r="AM178" s="6">
        <f t="shared" si="20"/>
        <v>4.5195938992675612E-3</v>
      </c>
      <c r="AN178" s="6">
        <f t="shared" si="20"/>
        <v>4.378717531173716E-3</v>
      </c>
      <c r="AO178" s="6">
        <f t="shared" si="20"/>
        <v>4.237031032579104E-3</v>
      </c>
      <c r="AP178" s="6">
        <f t="shared" si="20"/>
        <v>4.0939910800068856E-3</v>
      </c>
      <c r="AQ178" s="6">
        <f t="shared" si="20"/>
        <v>3.9506702476411635E-3</v>
      </c>
      <c r="AR178" s="6">
        <f t="shared" si="20"/>
        <v>3.8065375127262508E-3</v>
      </c>
      <c r="AS178" s="6">
        <f t="shared" si="20"/>
        <v>3.7219114247396354E-3</v>
      </c>
      <c r="AT178" s="6">
        <f t="shared" si="20"/>
        <v>3.63602910393765E-3</v>
      </c>
      <c r="AU178" s="6">
        <f t="shared" si="20"/>
        <v>3.549478289272736E-3</v>
      </c>
      <c r="AV178" s="6">
        <f t="shared" si="20"/>
        <v>3.4634308625846213E-3</v>
      </c>
      <c r="AW178" s="6">
        <f>V203</f>
        <v>3.3772689809623583E-3</v>
      </c>
      <c r="AX178" s="6">
        <f>W203</f>
        <v>3.4180388243912354E-3</v>
      </c>
      <c r="AY178" s="6">
        <f>X203</f>
        <v>3.3762801190801786E-3</v>
      </c>
      <c r="AZ178" s="6">
        <f>Y203</f>
        <v>3.3343831710507367E-3</v>
      </c>
      <c r="BA178" s="6">
        <f>Z203</f>
        <v>3.2923399093375792E-3</v>
      </c>
    </row>
    <row r="179" spans="1:53" outlineLevel="1" x14ac:dyDescent="0.35">
      <c r="A179" s="6" t="s">
        <v>34</v>
      </c>
      <c r="B179" s="6">
        <f>'Results - raw data ReCiPe (I)'!C47</f>
        <v>6.9644183426684127E-4</v>
      </c>
      <c r="AB179" s="6" t="s">
        <v>123</v>
      </c>
      <c r="AC179" s="6">
        <f t="shared" ref="AC179:BA179" si="21">B201</f>
        <v>6.5278503577573038E-4</v>
      </c>
      <c r="AD179" s="6">
        <f t="shared" si="21"/>
        <v>6.3163815054054586E-4</v>
      </c>
      <c r="AE179" s="6">
        <f t="shared" si="21"/>
        <v>6.0936914167752357E-4</v>
      </c>
      <c r="AF179" s="6">
        <f t="shared" si="21"/>
        <v>5.8604016063638475E-4</v>
      </c>
      <c r="AG179" s="6">
        <f t="shared" si="21"/>
        <v>5.6339015607056553E-4</v>
      </c>
      <c r="AH179" s="6">
        <f t="shared" si="21"/>
        <v>5.4080641481356166E-4</v>
      </c>
      <c r="AI179" s="6">
        <f t="shared" si="21"/>
        <v>5.2822285660082831E-4</v>
      </c>
      <c r="AJ179" s="6">
        <f t="shared" si="21"/>
        <v>5.1573646377868953E-4</v>
      </c>
      <c r="AK179" s="6">
        <f t="shared" si="21"/>
        <v>5.0303689991406774E-4</v>
      </c>
      <c r="AL179" s="6">
        <f t="shared" si="21"/>
        <v>4.905624031589118E-4</v>
      </c>
      <c r="AM179" s="6">
        <f t="shared" si="21"/>
        <v>4.7807044862994221E-4</v>
      </c>
      <c r="AN179" s="6">
        <f t="shared" si="21"/>
        <v>4.6383945730106921E-4</v>
      </c>
      <c r="AO179" s="6">
        <f t="shared" si="21"/>
        <v>4.4953674290099896E-4</v>
      </c>
      <c r="AP179" s="6">
        <f t="shared" si="21"/>
        <v>4.3510996225576832E-4</v>
      </c>
      <c r="AQ179" s="6">
        <f t="shared" si="21"/>
        <v>4.206626907804594E-4</v>
      </c>
      <c r="AR179" s="6">
        <f t="shared" si="21"/>
        <v>4.0614374447590175E-4</v>
      </c>
      <c r="AS179" s="6">
        <f t="shared" si="21"/>
        <v>3.9798166416057506E-4</v>
      </c>
      <c r="AT179" s="6">
        <f t="shared" si="21"/>
        <v>3.8967771168424431E-4</v>
      </c>
      <c r="AU179" s="6">
        <f t="shared" si="21"/>
        <v>3.8129284632544997E-4</v>
      </c>
      <c r="AV179" s="6">
        <f t="shared" si="21"/>
        <v>3.7293973852255358E-4</v>
      </c>
      <c r="AW179" s="6">
        <f t="shared" si="21"/>
        <v>3.6456009866230813E-4</v>
      </c>
      <c r="AX179" s="6">
        <f t="shared" si="21"/>
        <v>3.6868905892596183E-4</v>
      </c>
      <c r="AY179" s="6">
        <f t="shared" si="21"/>
        <v>3.6423180770113933E-4</v>
      </c>
      <c r="AZ179" s="6">
        <f t="shared" si="21"/>
        <v>3.5977346519706753E-4</v>
      </c>
      <c r="BA179" s="6">
        <f t="shared" si="21"/>
        <v>3.5531293899904068E-4</v>
      </c>
    </row>
    <row r="180" spans="1:53" outlineLevel="1" x14ac:dyDescent="0.35">
      <c r="A180" s="6" t="s">
        <v>36</v>
      </c>
      <c r="B180" s="6">
        <f>'Results - raw data ReCiPe (I)'!C48</f>
        <v>2.7577646249853999E-4</v>
      </c>
      <c r="AB180" s="6" t="s">
        <v>124</v>
      </c>
      <c r="AC180" s="6">
        <f>-$AC$7*$AC$6</f>
        <v>-8.1199999999999987E-3</v>
      </c>
      <c r="AD180" s="6">
        <f t="shared" ref="AD180:BA180" si="22">-$AC$7*$AC$6</f>
        <v>-8.1199999999999987E-3</v>
      </c>
      <c r="AE180" s="6">
        <f t="shared" si="22"/>
        <v>-8.1199999999999987E-3</v>
      </c>
      <c r="AF180" s="6">
        <f t="shared" si="22"/>
        <v>-8.1199999999999987E-3</v>
      </c>
      <c r="AG180" s="6">
        <f t="shared" si="22"/>
        <v>-8.1199999999999987E-3</v>
      </c>
      <c r="AH180" s="6">
        <f t="shared" si="22"/>
        <v>-8.1199999999999987E-3</v>
      </c>
      <c r="AI180" s="6">
        <f t="shared" si="22"/>
        <v>-8.1199999999999987E-3</v>
      </c>
      <c r="AJ180" s="6">
        <f t="shared" si="22"/>
        <v>-8.1199999999999987E-3</v>
      </c>
      <c r="AK180" s="6">
        <f t="shared" si="22"/>
        <v>-8.1199999999999987E-3</v>
      </c>
      <c r="AL180" s="6">
        <f t="shared" si="22"/>
        <v>-8.1199999999999987E-3</v>
      </c>
      <c r="AM180" s="6">
        <f t="shared" si="22"/>
        <v>-8.1199999999999987E-3</v>
      </c>
      <c r="AN180" s="6">
        <f t="shared" si="22"/>
        <v>-8.1199999999999987E-3</v>
      </c>
      <c r="AO180" s="6">
        <f t="shared" si="22"/>
        <v>-8.1199999999999987E-3</v>
      </c>
      <c r="AP180" s="6">
        <f t="shared" si="22"/>
        <v>-8.1199999999999987E-3</v>
      </c>
      <c r="AQ180" s="6">
        <f t="shared" si="22"/>
        <v>-8.1199999999999987E-3</v>
      </c>
      <c r="AR180" s="6">
        <f t="shared" si="22"/>
        <v>-8.1199999999999987E-3</v>
      </c>
      <c r="AS180" s="6">
        <f t="shared" si="22"/>
        <v>-8.1199999999999987E-3</v>
      </c>
      <c r="AT180" s="6">
        <f t="shared" si="22"/>
        <v>-8.1199999999999987E-3</v>
      </c>
      <c r="AU180" s="6">
        <f t="shared" si="22"/>
        <v>-8.1199999999999987E-3</v>
      </c>
      <c r="AV180" s="6">
        <f t="shared" si="22"/>
        <v>-8.1199999999999987E-3</v>
      </c>
      <c r="AW180" s="6">
        <f t="shared" si="22"/>
        <v>-8.1199999999999987E-3</v>
      </c>
      <c r="AX180" s="6">
        <f t="shared" si="22"/>
        <v>-8.1199999999999987E-3</v>
      </c>
      <c r="AY180" s="6">
        <f t="shared" si="22"/>
        <v>-8.1199999999999987E-3</v>
      </c>
      <c r="AZ180" s="6">
        <f t="shared" si="22"/>
        <v>-8.1199999999999987E-3</v>
      </c>
      <c r="BA180" s="6">
        <f t="shared" si="22"/>
        <v>-8.1199999999999987E-3</v>
      </c>
    </row>
    <row r="181" spans="1:53" outlineLevel="1" x14ac:dyDescent="0.35">
      <c r="A181" s="6" t="s">
        <v>38</v>
      </c>
      <c r="B181" s="6">
        <f>'Results - raw data ReCiPe (I)'!C49</f>
        <v>2.7883510110522408E-3</v>
      </c>
      <c r="AB181" s="23" t="s">
        <v>125</v>
      </c>
      <c r="AC181" s="17">
        <f>SUM(AC173:AC180)</f>
        <v>1.7029481860640218E-2</v>
      </c>
      <c r="AD181" s="17">
        <f t="shared" ref="AD181:BA181" si="23">SUM(AD173:AD180)</f>
        <v>-1.4891859893947246E-3</v>
      </c>
      <c r="AE181" s="17">
        <f t="shared" si="23"/>
        <v>-1.7239876391124788E-3</v>
      </c>
      <c r="AF181" s="17">
        <f t="shared" si="23"/>
        <v>-1.6751697965568619E-3</v>
      </c>
      <c r="AG181" s="17">
        <f t="shared" si="23"/>
        <v>-2.2123342235328075E-3</v>
      </c>
      <c r="AH181" s="17">
        <f t="shared" si="23"/>
        <v>-2.4532929428449221E-3</v>
      </c>
      <c r="AI181" s="17">
        <f t="shared" si="23"/>
        <v>-2.2988203682556352E-3</v>
      </c>
      <c r="AJ181" s="17">
        <f t="shared" si="23"/>
        <v>-2.7207294568858788E-3</v>
      </c>
      <c r="AK181" s="17">
        <f t="shared" si="23"/>
        <v>-2.8560179205625235E-3</v>
      </c>
      <c r="AL181" s="17">
        <f t="shared" si="23"/>
        <v>-2.7102964754282914E-3</v>
      </c>
      <c r="AM181" s="17">
        <f t="shared" si="23"/>
        <v>-3.1223356521024957E-3</v>
      </c>
      <c r="AN181" s="17">
        <f t="shared" si="23"/>
        <v>-3.2774430115252136E-3</v>
      </c>
      <c r="AO181" s="17">
        <f t="shared" si="23"/>
        <v>-3.1675737196623938E-3</v>
      </c>
      <c r="AP181" s="17">
        <f t="shared" si="23"/>
        <v>-3.5908989577373446E-3</v>
      </c>
      <c r="AQ181" s="17">
        <f t="shared" si="23"/>
        <v>-3.7486670615783759E-3</v>
      </c>
      <c r="AR181" s="17">
        <f t="shared" si="23"/>
        <v>-3.6557138397878206E-3</v>
      </c>
      <c r="AS181" s="17">
        <f t="shared" si="23"/>
        <v>-4.0001069110997883E-3</v>
      </c>
      <c r="AT181" s="17">
        <f t="shared" si="23"/>
        <v>-4.0942931843781045E-3</v>
      </c>
      <c r="AU181" s="17">
        <f t="shared" si="23"/>
        <v>-3.9467958439801153E-3</v>
      </c>
      <c r="AV181" s="17">
        <f t="shared" si="23"/>
        <v>-4.2836293988928239E-3</v>
      </c>
      <c r="AW181" s="17">
        <f t="shared" si="23"/>
        <v>-4.3781709203753322E-3</v>
      </c>
      <c r="AX181" s="17">
        <f t="shared" si="23"/>
        <v>-4.0923739443768344E-3</v>
      </c>
      <c r="AY181" s="17">
        <f t="shared" si="23"/>
        <v>-4.3794880732186802E-3</v>
      </c>
      <c r="AZ181" s="17">
        <f t="shared" si="23"/>
        <v>-4.4258433637521946E-3</v>
      </c>
      <c r="BA181" s="17">
        <f t="shared" si="23"/>
        <v>-4.0891581689194278E-3</v>
      </c>
    </row>
    <row r="182" spans="1:53" outlineLevel="1" x14ac:dyDescent="0.35">
      <c r="A182" s="6" t="s">
        <v>39</v>
      </c>
      <c r="B182" s="6">
        <f>'Results - raw data ReCiPe (I)'!C50</f>
        <v>3.790802282108608E-3</v>
      </c>
    </row>
    <row r="183" spans="1:53" outlineLevel="1" x14ac:dyDescent="0.35">
      <c r="A183" s="6" t="s">
        <v>41</v>
      </c>
      <c r="B183" s="6">
        <f>'Results - raw data ReCiPe (I)'!C51</f>
        <v>1.535713505087794E-5</v>
      </c>
    </row>
    <row r="184" spans="1:53" outlineLevel="1" x14ac:dyDescent="0.35">
      <c r="A184" s="6" t="s">
        <v>43</v>
      </c>
      <c r="B184" s="6">
        <f>'Results - raw data ReCiPe (I)'!C52</f>
        <v>1.2419452311635511E-4</v>
      </c>
      <c r="AB184" s="219"/>
      <c r="AC184" s="219"/>
      <c r="AD184" s="219"/>
      <c r="AE184" s="219"/>
      <c r="AF184" s="219"/>
      <c r="AG184" s="219"/>
      <c r="AH184" s="219"/>
      <c r="AI184" s="219"/>
      <c r="AJ184" s="219"/>
      <c r="AK184" s="219"/>
      <c r="AL184" s="219"/>
      <c r="AM184" s="219"/>
      <c r="AN184" s="219"/>
      <c r="AO184" s="219"/>
      <c r="AP184" s="219"/>
      <c r="AQ184" s="219"/>
      <c r="AR184" s="219"/>
      <c r="AS184" s="219"/>
      <c r="AT184" s="219"/>
      <c r="AU184" s="219"/>
      <c r="AV184" s="219"/>
      <c r="AW184" s="219"/>
      <c r="AX184" s="219"/>
      <c r="AY184" s="219"/>
      <c r="AZ184" s="219"/>
      <c r="BA184" s="219"/>
    </row>
    <row r="185" spans="1:53" outlineLevel="1" x14ac:dyDescent="0.35">
      <c r="A185" s="6" t="s">
        <v>44</v>
      </c>
      <c r="B185" s="6">
        <f>'Results - raw data ReCiPe (I)'!C53*AC169*AC171</f>
        <v>9.9771112859395631E-4</v>
      </c>
      <c r="AB185" s="219"/>
      <c r="AC185" s="219"/>
      <c r="AD185" s="219"/>
      <c r="AE185" s="219"/>
      <c r="AF185" s="219"/>
      <c r="AG185" s="219"/>
      <c r="AH185" s="219"/>
      <c r="AI185" s="219"/>
      <c r="AJ185" s="219"/>
      <c r="AK185" s="219"/>
      <c r="AL185" s="219"/>
      <c r="AM185" s="219"/>
      <c r="AN185" s="219"/>
      <c r="AO185" s="219"/>
      <c r="AP185" s="219"/>
      <c r="AQ185" s="219"/>
      <c r="AR185" s="219"/>
      <c r="AS185" s="219"/>
      <c r="AT185" s="219"/>
      <c r="AU185" s="219"/>
      <c r="AV185" s="219"/>
      <c r="AW185" s="219"/>
      <c r="AX185" s="219"/>
      <c r="AY185" s="219"/>
      <c r="AZ185" s="219"/>
      <c r="BA185" s="219"/>
    </row>
    <row r="186" spans="1:53" outlineLevel="1" x14ac:dyDescent="0.35">
      <c r="A186" s="6" t="s">
        <v>757</v>
      </c>
      <c r="B186" s="6">
        <f>'Results - raw data ReCiPe (I)'!C54*AC169*AC171</f>
        <v>1.9451672468045326E-3</v>
      </c>
      <c r="AB186" s="219"/>
      <c r="AC186" s="219"/>
      <c r="AD186" s="219"/>
      <c r="AE186" s="219"/>
      <c r="AF186" s="219"/>
      <c r="AG186" s="219"/>
      <c r="AH186" s="219"/>
      <c r="AI186" s="219"/>
      <c r="AJ186" s="219"/>
      <c r="AK186" s="219"/>
      <c r="AL186" s="219"/>
      <c r="AM186" s="219"/>
      <c r="AN186" s="219"/>
      <c r="AO186" s="219"/>
      <c r="AP186" s="219"/>
      <c r="AQ186" s="219"/>
      <c r="AR186" s="219"/>
      <c r="AS186" s="219"/>
      <c r="AT186" s="219"/>
      <c r="AU186" s="219"/>
      <c r="AV186" s="219"/>
      <c r="AW186" s="219"/>
      <c r="AX186" s="219"/>
      <c r="AY186" s="219"/>
      <c r="AZ186" s="219"/>
      <c r="BA186" s="219"/>
    </row>
    <row r="187" spans="1:53" outlineLevel="1" x14ac:dyDescent="0.35">
      <c r="A187" s="6" t="s">
        <v>22</v>
      </c>
      <c r="Z187" s="6">
        <f>'Results - raw data ReCiPe (I)'!AA55</f>
        <v>2.4731348142252328E-6</v>
      </c>
      <c r="AB187" s="219"/>
      <c r="AC187" s="219"/>
      <c r="AD187" s="219"/>
      <c r="AE187" s="219"/>
      <c r="AF187" s="219"/>
      <c r="AG187" s="219"/>
      <c r="AH187" s="219"/>
      <c r="AI187" s="219"/>
      <c r="AJ187" s="219"/>
      <c r="AK187" s="219"/>
      <c r="AL187" s="219"/>
      <c r="AM187" s="219"/>
      <c r="AN187" s="219"/>
      <c r="AO187" s="219"/>
      <c r="AP187" s="219"/>
      <c r="AQ187" s="219"/>
      <c r="AR187" s="219"/>
      <c r="AS187" s="219"/>
      <c r="AT187" s="219"/>
      <c r="AU187" s="219"/>
      <c r="AV187" s="219"/>
      <c r="AW187" s="219"/>
      <c r="AX187" s="219"/>
      <c r="AY187" s="219"/>
      <c r="AZ187" s="219"/>
      <c r="BA187" s="219"/>
    </row>
    <row r="188" spans="1:53" outlineLevel="1" x14ac:dyDescent="0.35">
      <c r="A188" s="6" t="s">
        <v>24</v>
      </c>
      <c r="Z188" s="6">
        <f>'Results - raw data ReCiPe (I)'!AA56</f>
        <v>1.566589914225409E-6</v>
      </c>
      <c r="AB188" s="219"/>
      <c r="AC188" s="219"/>
      <c r="AD188" s="219"/>
      <c r="AE188" s="219"/>
      <c r="AF188" s="219"/>
      <c r="AG188" s="219"/>
      <c r="AH188" s="219"/>
      <c r="AI188" s="219"/>
      <c r="AJ188" s="219"/>
      <c r="AK188" s="219"/>
      <c r="AL188" s="219"/>
      <c r="AM188" s="219"/>
      <c r="AN188" s="219"/>
      <c r="AO188" s="219"/>
      <c r="AP188" s="219"/>
      <c r="AQ188" s="219"/>
      <c r="AR188" s="219"/>
      <c r="AS188" s="219"/>
      <c r="AT188" s="219"/>
      <c r="AU188" s="219"/>
      <c r="AV188" s="219"/>
      <c r="AW188" s="219"/>
      <c r="AX188" s="219"/>
      <c r="AY188" s="219"/>
      <c r="AZ188" s="219"/>
      <c r="BA188" s="219"/>
    </row>
    <row r="189" spans="1:53" outlineLevel="1" x14ac:dyDescent="0.35">
      <c r="A189" s="6" t="s">
        <v>25</v>
      </c>
      <c r="Z189" s="6">
        <f>'Results - raw data ReCiPe (I)'!AA57</f>
        <v>5.8372899867207733E-6</v>
      </c>
      <c r="AB189" s="219"/>
      <c r="AC189" s="219"/>
      <c r="AD189" s="219"/>
      <c r="AE189" s="219"/>
      <c r="AF189" s="219"/>
      <c r="AG189" s="219"/>
      <c r="AH189" s="219"/>
      <c r="AI189" s="219"/>
      <c r="AJ189" s="219"/>
      <c r="AK189" s="219"/>
      <c r="AL189" s="219"/>
      <c r="AM189" s="219"/>
      <c r="AN189" s="219"/>
      <c r="AO189" s="219"/>
      <c r="AP189" s="219"/>
      <c r="AQ189" s="219"/>
      <c r="AR189" s="219"/>
      <c r="AS189" s="219"/>
      <c r="AT189" s="219"/>
      <c r="AU189" s="219"/>
      <c r="AV189" s="219"/>
      <c r="AW189" s="219"/>
      <c r="AX189" s="219"/>
      <c r="AY189" s="219"/>
      <c r="AZ189" s="219"/>
      <c r="BA189" s="219"/>
    </row>
    <row r="190" spans="1:53" outlineLevel="1" x14ac:dyDescent="0.35">
      <c r="A190" s="6" t="s">
        <v>27</v>
      </c>
      <c r="Z190" s="6">
        <f>'Results - raw data ReCiPe (I)'!AA58</f>
        <v>2.9871627518195061E-6</v>
      </c>
      <c r="AB190" s="219"/>
      <c r="AC190" s="219"/>
      <c r="AD190" s="219"/>
      <c r="AE190" s="219"/>
      <c r="AF190" s="219"/>
      <c r="AG190" s="219"/>
      <c r="AH190" s="219"/>
      <c r="AI190" s="219"/>
      <c r="AJ190" s="219"/>
      <c r="AK190" s="219"/>
      <c r="AL190" s="219"/>
      <c r="AM190" s="219"/>
      <c r="AN190" s="219"/>
      <c r="AO190" s="219"/>
      <c r="AP190" s="219"/>
      <c r="AQ190" s="219"/>
      <c r="AR190" s="219"/>
      <c r="AS190" s="219"/>
      <c r="AT190" s="219"/>
      <c r="AU190" s="219"/>
      <c r="AV190" s="219"/>
      <c r="AW190" s="219"/>
      <c r="AX190" s="219"/>
      <c r="AY190" s="219"/>
      <c r="AZ190" s="219"/>
      <c r="BA190" s="219"/>
    </row>
    <row r="191" spans="1:53" outlineLevel="1" x14ac:dyDescent="0.35">
      <c r="A191" s="6" t="s">
        <v>30</v>
      </c>
      <c r="Z191" s="6">
        <f>'Results - raw data ReCiPe (I)'!AA59</f>
        <v>3.246582373763257E-6</v>
      </c>
      <c r="AB191" s="219"/>
      <c r="AC191" s="219"/>
      <c r="AD191" s="219"/>
      <c r="AE191" s="219"/>
      <c r="AF191" s="219"/>
      <c r="AG191" s="219"/>
      <c r="AH191" s="219"/>
      <c r="AI191" s="219"/>
      <c r="AJ191" s="219"/>
      <c r="AK191" s="219"/>
      <c r="AL191" s="219"/>
      <c r="AM191" s="219"/>
      <c r="AN191" s="219"/>
      <c r="AO191" s="219"/>
      <c r="AP191" s="219"/>
      <c r="AQ191" s="219"/>
      <c r="AR191" s="219"/>
      <c r="AS191" s="219"/>
      <c r="AT191" s="219"/>
      <c r="AU191" s="219"/>
      <c r="AV191" s="219"/>
      <c r="AW191" s="219"/>
      <c r="AX191" s="219"/>
      <c r="AY191" s="219"/>
      <c r="AZ191" s="219"/>
      <c r="BA191" s="219"/>
    </row>
    <row r="192" spans="1:53" outlineLevel="1" x14ac:dyDescent="0.35">
      <c r="A192" s="6" t="s">
        <v>32</v>
      </c>
      <c r="Z192" s="6">
        <f>'Results - raw data ReCiPe (I)'!AA60</f>
        <v>7.348392897368302E-7</v>
      </c>
      <c r="AB192" s="219"/>
      <c r="AC192" s="219"/>
      <c r="AD192" s="219"/>
      <c r="AE192" s="219"/>
      <c r="AF192" s="219"/>
      <c r="AG192" s="219"/>
      <c r="AH192" s="219"/>
      <c r="AI192" s="219"/>
      <c r="AJ192" s="219"/>
      <c r="AK192" s="219"/>
      <c r="AL192" s="219"/>
      <c r="AM192" s="219"/>
      <c r="AN192" s="219"/>
      <c r="AO192" s="219"/>
      <c r="AP192" s="219"/>
      <c r="AQ192" s="219"/>
      <c r="AR192" s="219"/>
      <c r="AS192" s="219"/>
      <c r="AT192" s="219"/>
      <c r="AU192" s="219"/>
      <c r="AV192" s="219"/>
      <c r="AW192" s="219"/>
      <c r="AX192" s="219"/>
      <c r="AY192" s="219"/>
      <c r="AZ192" s="219"/>
      <c r="BA192" s="219"/>
    </row>
    <row r="193" spans="1:53" outlineLevel="1" x14ac:dyDescent="0.35">
      <c r="A193" s="6" t="s">
        <v>33</v>
      </c>
      <c r="Z193" s="6">
        <f>'Results - raw data ReCiPe (I)'!AA61</f>
        <v>8.5418660163194619E-7</v>
      </c>
      <c r="AB193" s="219"/>
      <c r="AC193" s="219"/>
      <c r="AD193" s="219"/>
      <c r="AE193" s="219"/>
      <c r="AF193" s="219"/>
      <c r="AG193" s="219"/>
      <c r="AH193" s="219"/>
      <c r="AI193" s="219"/>
      <c r="AJ193" s="219"/>
      <c r="AK193" s="219"/>
      <c r="AL193" s="219"/>
      <c r="AM193" s="219"/>
      <c r="AN193" s="219"/>
      <c r="AO193" s="219"/>
      <c r="AP193" s="219"/>
      <c r="AQ193" s="219"/>
      <c r="AR193" s="219"/>
      <c r="AS193" s="219"/>
      <c r="AT193" s="219"/>
      <c r="AU193" s="219"/>
      <c r="AV193" s="219"/>
      <c r="AW193" s="219"/>
      <c r="AX193" s="219"/>
      <c r="AY193" s="219"/>
      <c r="AZ193" s="219"/>
      <c r="BA193" s="219"/>
    </row>
    <row r="194" spans="1:53" outlineLevel="1" x14ac:dyDescent="0.35">
      <c r="A194" s="6" t="s">
        <v>35</v>
      </c>
      <c r="Z194" s="6">
        <f>'Results - raw data ReCiPe (I)'!AA62</f>
        <v>1.708373203263892E-6</v>
      </c>
      <c r="AB194" s="219"/>
      <c r="AC194" s="219"/>
      <c r="AD194" s="219"/>
      <c r="AE194" s="219"/>
      <c r="AF194" s="219"/>
      <c r="AG194" s="219"/>
      <c r="AH194" s="219"/>
      <c r="AI194" s="219"/>
      <c r="AJ194" s="219"/>
      <c r="AK194" s="219"/>
      <c r="AL194" s="219"/>
      <c r="AM194" s="219"/>
      <c r="AN194" s="219"/>
      <c r="AO194" s="219"/>
      <c r="AP194" s="219"/>
      <c r="AQ194" s="219"/>
      <c r="AR194" s="219"/>
      <c r="AS194" s="219"/>
      <c r="AT194" s="219"/>
      <c r="AU194" s="219"/>
      <c r="AV194" s="219"/>
      <c r="AW194" s="219"/>
      <c r="AX194" s="219"/>
      <c r="AY194" s="219"/>
      <c r="AZ194" s="219"/>
      <c r="BA194" s="219"/>
    </row>
    <row r="195" spans="1:53" outlineLevel="1" x14ac:dyDescent="0.35">
      <c r="A195" s="6" t="s">
        <v>37</v>
      </c>
      <c r="Z195" s="6">
        <f>'Results - raw data ReCiPe (I)'!AA63</f>
        <v>8.406359088602854E-6</v>
      </c>
      <c r="AB195" s="219"/>
      <c r="AC195" s="219"/>
      <c r="AD195" s="219"/>
      <c r="AE195" s="219"/>
      <c r="AF195" s="219"/>
      <c r="AG195" s="219"/>
      <c r="AH195" s="219"/>
      <c r="AI195" s="219"/>
      <c r="AJ195" s="219"/>
      <c r="AK195" s="219"/>
      <c r="AL195" s="219"/>
      <c r="AM195" s="219"/>
      <c r="AN195" s="219"/>
      <c r="AO195" s="219"/>
      <c r="AP195" s="219"/>
      <c r="AQ195" s="219"/>
      <c r="AR195" s="219"/>
      <c r="AS195" s="219"/>
      <c r="AT195" s="219"/>
      <c r="AU195" s="219"/>
      <c r="AV195" s="219"/>
      <c r="AW195" s="219"/>
      <c r="AX195" s="219"/>
      <c r="AY195" s="219"/>
      <c r="AZ195" s="219"/>
      <c r="BA195" s="219"/>
    </row>
    <row r="196" spans="1:53" outlineLevel="1" x14ac:dyDescent="0.35">
      <c r="A196" s="6" t="s">
        <v>40</v>
      </c>
      <c r="Z196" s="6">
        <f>'Results - raw data ReCiPe (I)'!AA64</f>
        <v>4.4561011169940931E-5</v>
      </c>
    </row>
    <row r="197" spans="1:53" outlineLevel="1" x14ac:dyDescent="0.35">
      <c r="A197" s="6" t="s">
        <v>42</v>
      </c>
      <c r="Z197" s="6">
        <f>'Results - raw data ReCiPe (I)'!AA65</f>
        <v>1.26611946174033E-5</v>
      </c>
    </row>
    <row r="198" spans="1:53" outlineLevel="1" x14ac:dyDescent="0.35">
      <c r="A198" s="6" t="s">
        <v>115</v>
      </c>
      <c r="Z198" s="6">
        <f>'Results - raw data ReCiPe (I)'!AA66</f>
        <v>5.3192792206010883E-5</v>
      </c>
    </row>
    <row r="199" spans="1:53" outlineLevel="1" x14ac:dyDescent="0.35">
      <c r="A199" s="6" t="s">
        <v>45</v>
      </c>
      <c r="Z199" s="6">
        <f>'Results - raw data ReCiPe (I)'!AA67*AC169*AC171</f>
        <v>4.9710056260593857E-6</v>
      </c>
    </row>
    <row r="200" spans="1:53" outlineLevel="1" x14ac:dyDescent="0.35">
      <c r="A200" s="6" t="s">
        <v>116</v>
      </c>
      <c r="B200" s="6">
        <f>'Results - raw data ReCiPe (I)'!C68</f>
        <v>3.0406400262598818E-4</v>
      </c>
      <c r="C200" s="6">
        <f>'Results - raw data ReCiPe (I)'!D68</f>
        <v>3.0204881893775942E-4</v>
      </c>
      <c r="D200" s="6">
        <f>'Results - raw data ReCiPe (I)'!E68</f>
        <v>3.0001269711187241E-4</v>
      </c>
      <c r="E200" s="6">
        <f>'Results - raw data ReCiPe (I)'!F68</f>
        <v>2.9641770904864699E-4</v>
      </c>
      <c r="F200" s="6">
        <f>'Results - raw data ReCiPe (I)'!G68</f>
        <v>2.9433463180056661E-4</v>
      </c>
      <c r="G200" s="6">
        <f>'Results - raw data ReCiPe (I)'!H68</f>
        <v>2.9224639064194259E-4</v>
      </c>
      <c r="H200" s="6">
        <f>'Results - raw data ReCiPe (I)'!I68</f>
        <v>2.8894461479738099E-4</v>
      </c>
      <c r="I200" s="6">
        <f>'Results - raw data ReCiPe (I)'!J68</f>
        <v>2.8566935364366113E-4</v>
      </c>
      <c r="J200" s="6">
        <f>'Results - raw data ReCiPe (I)'!K68</f>
        <v>2.8193850577612738E-4</v>
      </c>
      <c r="K200" s="6">
        <f>'Results - raw data ReCiPe (I)'!L68</f>
        <v>2.7865961728505771E-4</v>
      </c>
      <c r="L200" s="6">
        <f>'Results - raw data ReCiPe (I)'!M68</f>
        <v>2.7537146889793258E-4</v>
      </c>
      <c r="M200" s="6">
        <f>'Results - raw data ReCiPe (I)'!N68</f>
        <v>2.7060112447531122E-4</v>
      </c>
      <c r="N200" s="6">
        <f>'Results - raw data ReCiPe (I)'!O68</f>
        <v>2.6585850485750173E-4</v>
      </c>
      <c r="O200" s="6">
        <f>'Results - raw data ReCiPe (I)'!P68</f>
        <v>2.609627939446373E-4</v>
      </c>
      <c r="P200" s="6">
        <f>'Results - raw data ReCiPe (I)'!Q68</f>
        <v>2.5627312292223273E-4</v>
      </c>
      <c r="Q200" s="6">
        <f>'Results - raw data ReCiPe (I)'!R68</f>
        <v>2.516049030100258E-4</v>
      </c>
      <c r="R200" s="6">
        <f>'Results - raw data ReCiPe (I)'!S68</f>
        <v>2.4858198954973008E-4</v>
      </c>
      <c r="S200" s="6">
        <f>'Results - raw data ReCiPe (I)'!T68</f>
        <v>2.4557348451335897E-4</v>
      </c>
      <c r="T200" s="6">
        <f>'Results - raw data ReCiPe (I)'!U68</f>
        <v>2.424330204216972E-4</v>
      </c>
      <c r="U200" s="6">
        <f>'Results - raw data ReCiPe (I)'!V68</f>
        <v>2.3945556552477679E-4</v>
      </c>
      <c r="V200" s="6">
        <f>'Results - raw data ReCiPe (I)'!W68</f>
        <v>2.364919560539444E-4</v>
      </c>
      <c r="W200" s="6">
        <f>'Results - raw data ReCiPe (I)'!X68</f>
        <v>2.4089817230596729E-4</v>
      </c>
      <c r="X200" s="6">
        <f>'Results - raw data ReCiPe (I)'!Y68</f>
        <v>2.4059301788226429E-4</v>
      </c>
      <c r="Y200" s="6">
        <f>'Results - raw data ReCiPe (I)'!Z68</f>
        <v>2.402897932875388E-4</v>
      </c>
      <c r="Z200" s="6">
        <f>'Results - raw data ReCiPe (I)'!AA68</f>
        <v>2.3998846110054729E-4</v>
      </c>
    </row>
    <row r="201" spans="1:53" outlineLevel="1" x14ac:dyDescent="0.35">
      <c r="A201" s="6" t="s">
        <v>758</v>
      </c>
      <c r="B201" s="6">
        <f>'Results - raw data ReCiPe (I)'!C69*$AC$169</f>
        <v>6.5278503577573038E-4</v>
      </c>
      <c r="C201" s="6">
        <f>'Results - raw data ReCiPe (I)'!D69*$AC$169</f>
        <v>6.3163815054054586E-4</v>
      </c>
      <c r="D201" s="6">
        <f>'Results - raw data ReCiPe (I)'!E69*$AC$169</f>
        <v>6.0936914167752357E-4</v>
      </c>
      <c r="E201" s="6">
        <f>'Results - raw data ReCiPe (I)'!F69*$AC$169</f>
        <v>5.8604016063638475E-4</v>
      </c>
      <c r="F201" s="6">
        <f>'Results - raw data ReCiPe (I)'!G69*$AC$169</f>
        <v>5.6339015607056553E-4</v>
      </c>
      <c r="G201" s="6">
        <f>'Results - raw data ReCiPe (I)'!H69*$AC$169</f>
        <v>5.4080641481356166E-4</v>
      </c>
      <c r="H201" s="6">
        <f>'Results - raw data ReCiPe (I)'!I69*$AC$169</f>
        <v>5.2822285660082831E-4</v>
      </c>
      <c r="I201" s="6">
        <f>'Results - raw data ReCiPe (I)'!J69*$AC$169</f>
        <v>5.1573646377868953E-4</v>
      </c>
      <c r="J201" s="6">
        <f>'Results - raw data ReCiPe (I)'!K69*$AC$169</f>
        <v>5.0303689991406774E-4</v>
      </c>
      <c r="K201" s="6">
        <f>'Results - raw data ReCiPe (I)'!L69*$AC$169</f>
        <v>4.905624031589118E-4</v>
      </c>
      <c r="L201" s="6">
        <f>'Results - raw data ReCiPe (I)'!M69*$AC$169</f>
        <v>4.7807044862994221E-4</v>
      </c>
      <c r="M201" s="6">
        <f>'Results - raw data ReCiPe (I)'!N69*$AC$169</f>
        <v>4.6383945730106921E-4</v>
      </c>
      <c r="N201" s="6">
        <f>'Results - raw data ReCiPe (I)'!O69*$AC$169</f>
        <v>4.4953674290099896E-4</v>
      </c>
      <c r="O201" s="6">
        <f>'Results - raw data ReCiPe (I)'!P69*$AC$169</f>
        <v>4.3510996225576832E-4</v>
      </c>
      <c r="P201" s="6">
        <f>'Results - raw data ReCiPe (I)'!Q69*$AC$169</f>
        <v>4.206626907804594E-4</v>
      </c>
      <c r="Q201" s="6">
        <f>'Results - raw data ReCiPe (I)'!R69*$AC$169</f>
        <v>4.0614374447590175E-4</v>
      </c>
      <c r="R201" s="6">
        <f>'Results - raw data ReCiPe (I)'!S69*$AC$169</f>
        <v>3.9798166416057506E-4</v>
      </c>
      <c r="S201" s="6">
        <f>'Results - raw data ReCiPe (I)'!T69*$AC$169</f>
        <v>3.8967771168424431E-4</v>
      </c>
      <c r="T201" s="6">
        <f>'Results - raw data ReCiPe (I)'!U69*$AC$169</f>
        <v>3.8129284632544997E-4</v>
      </c>
      <c r="U201" s="6">
        <f>'Results - raw data ReCiPe (I)'!V69*$AC$169</f>
        <v>3.7293973852255358E-4</v>
      </c>
      <c r="V201" s="6">
        <f>'Results - raw data ReCiPe (I)'!W69*$AC$169</f>
        <v>3.6456009866230813E-4</v>
      </c>
      <c r="W201" s="6">
        <f>'Results - raw data ReCiPe (I)'!X69*$AC$169</f>
        <v>3.6868905892596183E-4</v>
      </c>
      <c r="X201" s="6">
        <f>'Results - raw data ReCiPe (I)'!Y69*$AC$169</f>
        <v>3.6423180770113933E-4</v>
      </c>
      <c r="Y201" s="6">
        <f>'Results - raw data ReCiPe (I)'!Z69*$AC$169</f>
        <v>3.5977346519706753E-4</v>
      </c>
      <c r="Z201" s="6">
        <f>'Results - raw data ReCiPe (I)'!AA69*$AC$169</f>
        <v>3.5531293899904068E-4</v>
      </c>
    </row>
    <row r="202" spans="1:53" outlineLevel="1" x14ac:dyDescent="0.35">
      <c r="A202" s="6" t="s">
        <v>759</v>
      </c>
      <c r="B202" s="6">
        <f>'Results - raw data ReCiPe (I)'!C70</f>
        <v>0</v>
      </c>
      <c r="C202" s="6">
        <f>'Results - raw data ReCiPe (I)'!D70</f>
        <v>0</v>
      </c>
      <c r="D202" s="6">
        <f>'Results - raw data ReCiPe (I)'!E70</f>
        <v>0</v>
      </c>
      <c r="E202" s="6">
        <f>'Results - raw data ReCiPe (I)'!F70</f>
        <v>0</v>
      </c>
      <c r="F202" s="6">
        <f>'Results - raw data ReCiPe (I)'!G70</f>
        <v>0</v>
      </c>
      <c r="G202" s="6">
        <f>'Results - raw data ReCiPe (I)'!H70</f>
        <v>0</v>
      </c>
      <c r="H202" s="6">
        <f>'Results - raw data ReCiPe (I)'!I70</f>
        <v>0</v>
      </c>
      <c r="I202" s="6">
        <f>'Results - raw data ReCiPe (I)'!J70</f>
        <v>0</v>
      </c>
      <c r="J202" s="6">
        <f>'Results - raw data ReCiPe (I)'!K70</f>
        <v>0</v>
      </c>
      <c r="K202" s="6">
        <f>'Results - raw data ReCiPe (I)'!L70</f>
        <v>0</v>
      </c>
      <c r="L202" s="6">
        <f>'Results - raw data ReCiPe (I)'!M70</f>
        <v>0</v>
      </c>
      <c r="M202" s="6">
        <f>'Results - raw data ReCiPe (I)'!N70</f>
        <v>0</v>
      </c>
      <c r="N202" s="6">
        <f>'Results - raw data ReCiPe (I)'!O70</f>
        <v>0</v>
      </c>
      <c r="O202" s="6">
        <f>'Results - raw data ReCiPe (I)'!P70</f>
        <v>0</v>
      </c>
      <c r="P202" s="6">
        <f>'Results - raw data ReCiPe (I)'!Q70</f>
        <v>0</v>
      </c>
      <c r="Q202" s="6">
        <f>'Results - raw data ReCiPe (I)'!R70</f>
        <v>0</v>
      </c>
      <c r="R202" s="6">
        <f>'Results - raw data ReCiPe (I)'!S70</f>
        <v>0</v>
      </c>
      <c r="S202" s="6">
        <f>'Results - raw data ReCiPe (I)'!T70</f>
        <v>0</v>
      </c>
      <c r="T202" s="6">
        <f>'Results - raw data ReCiPe (I)'!U70</f>
        <v>0</v>
      </c>
      <c r="U202" s="6">
        <f>'Results - raw data ReCiPe (I)'!V70</f>
        <v>0</v>
      </c>
      <c r="V202" s="6">
        <f>'Results - raw data ReCiPe (I)'!W70</f>
        <v>0</v>
      </c>
      <c r="W202" s="6">
        <f>'Results - raw data ReCiPe (I)'!X70</f>
        <v>0</v>
      </c>
      <c r="X202" s="6">
        <f>'Results - raw data ReCiPe (I)'!Y70</f>
        <v>0</v>
      </c>
      <c r="Y202" s="6">
        <f>'Results - raw data ReCiPe (I)'!Z70</f>
        <v>0</v>
      </c>
      <c r="Z202" s="6">
        <f>'Results - raw data ReCiPe (I)'!AA70</f>
        <v>0</v>
      </c>
    </row>
    <row r="203" spans="1:53" outlineLevel="1" x14ac:dyDescent="0.35">
      <c r="A203" s="6" t="s">
        <v>760</v>
      </c>
      <c r="B203" s="6">
        <f>150000*($AC$170*'Results - raw data ReCiPe (I)'!C121+(1-'Results ReCiPe (I) - HHD'!$AC$170)*'Results - raw data ReCiPe (I)'!C122)</f>
        <v>6.1995683735904675E-3</v>
      </c>
      <c r="C203" s="6">
        <f>150000*($AC$170*'Results - raw data ReCiPe (I)'!D121+(1-'Results ReCiPe (I) - HHD'!$AC$170)*'Results - raw data ReCiPe (I)'!D122)</f>
        <v>5.9991758600647285E-3</v>
      </c>
      <c r="D203" s="6">
        <f>150000*($AC$170*'Results - raw data ReCiPe (I)'!E121+(1-'Results ReCiPe (I) - HHD'!$AC$170)*'Results - raw data ReCiPe (I)'!E122)</f>
        <v>5.7866432192099967E-3</v>
      </c>
      <c r="E203" s="6">
        <f>150000*($AC$170*'Results - raw data ReCiPe (I)'!F121+(1-'Results ReCiPe (I) - HHD'!$AC$170)*'Results - raw data ReCiPe (I)'!F122)</f>
        <v>5.5623723337581048E-3</v>
      </c>
      <c r="F203" s="6">
        <f>150000*($AC$170*'Results - raw data ReCiPe (I)'!G121+(1-'Results ReCiPe (I) - HHD'!$AC$170)*'Results - raw data ReCiPe (I)'!G122)</f>
        <v>5.3442756203966255E-3</v>
      </c>
      <c r="G203" s="6">
        <f>150000*($AC$170*'Results - raw data ReCiPe (I)'!H121+(1-'Results ReCiPe (I) - HHD'!$AC$170)*'Results - raw data ReCiPe (I)'!H122)</f>
        <v>5.1259006423415151E-3</v>
      </c>
      <c r="H203" s="6">
        <f>150000*($AC$170*'Results - raw data ReCiPe (I)'!I121+(1-'Results ReCiPe (I) - HHD'!$AC$170)*'Results - raw data ReCiPe (I)'!I122)</f>
        <v>5.0040121603461543E-3</v>
      </c>
      <c r="I203" s="6">
        <f>150000*($AC$170*'Results - raw data ReCiPe (I)'!J121+(1-'Results ReCiPe (I) - HHD'!$AC$170)*'Results - raw data ReCiPe (I)'!J122)</f>
        <v>4.8835340793354307E-3</v>
      </c>
      <c r="J203" s="6">
        <f>150000*($AC$170*'Results - raw data ReCiPe (I)'!K121+(1-'Results ReCiPe (I) - HHD'!$AC$170)*'Results - raw data ReCiPe (I)'!K122)</f>
        <v>4.7609451795234074E-3</v>
      </c>
      <c r="K203" s="6">
        <f>150000*($AC$170*'Results - raw data ReCiPe (I)'!L121+(1-'Results ReCiPe (I) - HHD'!$AC$170)*'Results - raw data ReCiPe (I)'!L122)</f>
        <v>4.6404815041277379E-3</v>
      </c>
      <c r="L203" s="6">
        <f>150000*($AC$170*'Results - raw data ReCiPe (I)'!M121+(1-'Results ReCiPe (I) - HHD'!$AC$170)*'Results - raw data ReCiPe (I)'!M122)</f>
        <v>4.5195938992675612E-3</v>
      </c>
      <c r="M203" s="6">
        <f>150000*($AC$170*'Results - raw data ReCiPe (I)'!N121+(1-'Results ReCiPe (I) - HHD'!$AC$170)*'Results - raw data ReCiPe (I)'!N122)</f>
        <v>4.378717531173716E-3</v>
      </c>
      <c r="N203" s="6">
        <f>150000*($AC$170*'Results - raw data ReCiPe (I)'!O121+(1-'Results ReCiPe (I) - HHD'!$AC$170)*'Results - raw data ReCiPe (I)'!O122)</f>
        <v>4.237031032579104E-3</v>
      </c>
      <c r="O203" s="6">
        <f>150000*($AC$170*'Results - raw data ReCiPe (I)'!P121+(1-'Results ReCiPe (I) - HHD'!$AC$170)*'Results - raw data ReCiPe (I)'!P122)</f>
        <v>4.0939910800068856E-3</v>
      </c>
      <c r="P203" s="6">
        <f>150000*($AC$170*'Results - raw data ReCiPe (I)'!Q121+(1-'Results ReCiPe (I) - HHD'!$AC$170)*'Results - raw data ReCiPe (I)'!Q122)</f>
        <v>3.9506702476411635E-3</v>
      </c>
      <c r="Q203" s="6">
        <f>150000*($AC$170*'Results - raw data ReCiPe (I)'!R121+(1-'Results ReCiPe (I) - HHD'!$AC$170)*'Results - raw data ReCiPe (I)'!R122)</f>
        <v>3.8065375127262508E-3</v>
      </c>
      <c r="R203" s="6">
        <f>150000*($AC$170*'Results - raw data ReCiPe (I)'!S121+(1-'Results ReCiPe (I) - HHD'!$AC$170)*'Results - raw data ReCiPe (I)'!S122)</f>
        <v>3.7219114247396354E-3</v>
      </c>
      <c r="S203" s="6">
        <f>150000*($AC$170*'Results - raw data ReCiPe (I)'!T121+(1-'Results ReCiPe (I) - HHD'!$AC$170)*'Results - raw data ReCiPe (I)'!T122)</f>
        <v>3.63602910393765E-3</v>
      </c>
      <c r="T203" s="6">
        <f>150000*($AC$170*'Results - raw data ReCiPe (I)'!U121+(1-'Results ReCiPe (I) - HHD'!$AC$170)*'Results - raw data ReCiPe (I)'!U122)</f>
        <v>3.549478289272736E-3</v>
      </c>
      <c r="U203" s="6">
        <f>150000*($AC$170*'Results - raw data ReCiPe (I)'!V121+(1-'Results ReCiPe (I) - HHD'!$AC$170)*'Results - raw data ReCiPe (I)'!V122)</f>
        <v>3.4634308625846213E-3</v>
      </c>
      <c r="V203" s="6">
        <f>150000*($AC$170*'Results - raw data ReCiPe (I)'!W121+(1-'Results ReCiPe (I) - HHD'!$AC$170)*'Results - raw data ReCiPe (I)'!W122)</f>
        <v>3.3772689809623583E-3</v>
      </c>
      <c r="W203" s="6">
        <f>150000*($AC$170*'Results - raw data ReCiPe (I)'!X121+(1-'Results ReCiPe (I) - HHD'!$AC$170)*'Results - raw data ReCiPe (I)'!X122)</f>
        <v>3.4180388243912354E-3</v>
      </c>
      <c r="X203" s="6">
        <f>150000*($AC$170*'Results - raw data ReCiPe (I)'!Y121+(1-'Results ReCiPe (I) - HHD'!$AC$170)*'Results - raw data ReCiPe (I)'!Y122)</f>
        <v>3.3762801190801786E-3</v>
      </c>
      <c r="Y203" s="6">
        <f>150000*($AC$170*'Results - raw data ReCiPe (I)'!Z121+(1-'Results ReCiPe (I) - HHD'!$AC$170)*'Results - raw data ReCiPe (I)'!Z122)</f>
        <v>3.3343831710507367E-3</v>
      </c>
      <c r="Z203" s="6">
        <f>150000*($AC$170*'Results - raw data ReCiPe (I)'!AA121+(1-'Results ReCiPe (I) - HHD'!$AC$170)*'Results - raw data ReCiPe (I)'!AA122)</f>
        <v>3.2923399093375792E-3</v>
      </c>
    </row>
    <row r="204" spans="1:53" outlineLevel="1" x14ac:dyDescent="0.35">
      <c r="A204" s="23" t="s">
        <v>125</v>
      </c>
      <c r="B204" s="17">
        <f>SUM(B173:B203)</f>
        <v>2.5149481860640217E-2</v>
      </c>
      <c r="C204" s="17">
        <f t="shared" ref="C204:Z204" si="24">SUM(C173:C203)</f>
        <v>6.9328628295430338E-3</v>
      </c>
      <c r="D204" s="17">
        <f t="shared" si="24"/>
        <v>6.696025057999393E-3</v>
      </c>
      <c r="E204" s="17">
        <f t="shared" si="24"/>
        <v>6.4448302034431368E-3</v>
      </c>
      <c r="F204" s="17">
        <f t="shared" si="24"/>
        <v>6.2020004082677573E-3</v>
      </c>
      <c r="G204" s="17">
        <f t="shared" si="24"/>
        <v>5.9589534477970194E-3</v>
      </c>
      <c r="H204" s="17">
        <f t="shared" si="24"/>
        <v>5.8211796317443635E-3</v>
      </c>
      <c r="I204" s="17">
        <f t="shared" si="24"/>
        <v>5.6849398967577817E-3</v>
      </c>
      <c r="J204" s="17">
        <f t="shared" si="24"/>
        <v>5.5459205852136026E-3</v>
      </c>
      <c r="K204" s="17">
        <f t="shared" si="24"/>
        <v>5.4097035245717073E-3</v>
      </c>
      <c r="L204" s="17">
        <f t="shared" si="24"/>
        <v>5.2730358167954357E-3</v>
      </c>
      <c r="M204" s="17">
        <f t="shared" si="24"/>
        <v>5.1131581129500968E-3</v>
      </c>
      <c r="N204" s="17">
        <f t="shared" si="24"/>
        <v>4.9524262803376049E-3</v>
      </c>
      <c r="O204" s="17">
        <f t="shared" si="24"/>
        <v>4.7900638362072916E-3</v>
      </c>
      <c r="P204" s="17">
        <f t="shared" si="24"/>
        <v>4.6276060613438556E-3</v>
      </c>
      <c r="Q204" s="17">
        <f t="shared" si="24"/>
        <v>4.4642861602121782E-3</v>
      </c>
      <c r="R204" s="17">
        <f t="shared" si="24"/>
        <v>4.3684750784499403E-3</v>
      </c>
      <c r="S204" s="17">
        <f t="shared" si="24"/>
        <v>4.2712803001352532E-3</v>
      </c>
      <c r="T204" s="17">
        <f t="shared" si="24"/>
        <v>4.1732041560198834E-3</v>
      </c>
      <c r="U204" s="17">
        <f t="shared" si="24"/>
        <v>4.0758261666319516E-3</v>
      </c>
      <c r="V204" s="17">
        <f t="shared" si="24"/>
        <v>3.978321035678611E-3</v>
      </c>
      <c r="W204" s="17">
        <f t="shared" si="24"/>
        <v>4.0276260556231644E-3</v>
      </c>
      <c r="X204" s="17">
        <f t="shared" si="24"/>
        <v>3.9811049446635827E-3</v>
      </c>
      <c r="Y204" s="17">
        <f t="shared" si="24"/>
        <v>3.9344464295353434E-3</v>
      </c>
      <c r="Z204" s="17">
        <f t="shared" si="24"/>
        <v>4.030841831080571E-3</v>
      </c>
    </row>
    <row r="205" spans="1:53" outlineLevel="1" x14ac:dyDescent="0.35"/>
    <row r="206" spans="1:53" s="18" customFormat="1" ht="21" x14ac:dyDescent="0.5">
      <c r="A206" s="18" t="s">
        <v>94</v>
      </c>
    </row>
    <row r="207" spans="1:53" s="20" customFormat="1" outlineLevel="1" x14ac:dyDescent="0.35">
      <c r="A207" s="19" t="s">
        <v>766</v>
      </c>
    </row>
    <row r="208" spans="1:53" s="16" customFormat="1" outlineLevel="1" x14ac:dyDescent="0.35">
      <c r="A208" s="21"/>
      <c r="AB208" s="16" t="s">
        <v>47</v>
      </c>
      <c r="AC208" s="16">
        <v>8.1199999999999999E-8</v>
      </c>
      <c r="AD208" s="16" t="s">
        <v>48</v>
      </c>
      <c r="AE208" s="15" t="s">
        <v>714</v>
      </c>
    </row>
    <row r="209" spans="1:53" s="16" customFormat="1" outlineLevel="1" x14ac:dyDescent="0.35">
      <c r="A209" s="22" t="s">
        <v>564</v>
      </c>
      <c r="AC209" s="16">
        <f>AC208*1000</f>
        <v>8.1199999999999995E-5</v>
      </c>
      <c r="AD209" s="16" t="s">
        <v>126</v>
      </c>
    </row>
    <row r="210" spans="1:53" s="16" customFormat="1" outlineLevel="1" x14ac:dyDescent="0.35">
      <c r="A210" s="22"/>
      <c r="AB210" s="16" t="s">
        <v>127</v>
      </c>
      <c r="AC210" s="16">
        <v>100</v>
      </c>
      <c r="AD210" s="16" t="s">
        <v>128</v>
      </c>
    </row>
    <row r="211" spans="1:53" s="16" customFormat="1" outlineLevel="1" x14ac:dyDescent="0.35">
      <c r="A211" s="230" t="s">
        <v>768</v>
      </c>
      <c r="AB211" s="16" t="s">
        <v>20</v>
      </c>
      <c r="AC211" s="16">
        <v>0.23</v>
      </c>
      <c r="AD211" s="16" t="s">
        <v>715</v>
      </c>
    </row>
    <row r="212" spans="1:53" s="16" customFormat="1" outlineLevel="1" x14ac:dyDescent="0.35">
      <c r="A212" s="22"/>
      <c r="AB212" s="16" t="s">
        <v>129</v>
      </c>
      <c r="AC212" s="16">
        <v>25</v>
      </c>
      <c r="AD212" s="16" t="s">
        <v>130</v>
      </c>
    </row>
    <row r="213" spans="1:53" outlineLevel="1" x14ac:dyDescent="0.35">
      <c r="B213" s="25">
        <v>2030</v>
      </c>
      <c r="C213" s="25">
        <v>2031</v>
      </c>
      <c r="D213" s="25">
        <v>2032</v>
      </c>
      <c r="E213" s="25">
        <v>2033</v>
      </c>
      <c r="F213" s="25">
        <v>2034</v>
      </c>
      <c r="G213" s="25">
        <v>2035</v>
      </c>
      <c r="H213" s="25">
        <v>2036</v>
      </c>
      <c r="I213" s="25">
        <v>2037</v>
      </c>
      <c r="J213" s="25">
        <v>2038</v>
      </c>
      <c r="K213" s="25">
        <v>2039</v>
      </c>
      <c r="L213" s="25">
        <v>2040</v>
      </c>
      <c r="M213" s="25">
        <v>2041</v>
      </c>
      <c r="N213" s="25">
        <v>2042</v>
      </c>
      <c r="O213" s="25">
        <v>2043</v>
      </c>
      <c r="P213" s="25">
        <v>2044</v>
      </c>
      <c r="Q213" s="25">
        <v>2045</v>
      </c>
      <c r="R213" s="25">
        <v>2046</v>
      </c>
      <c r="S213" s="25">
        <v>2047</v>
      </c>
      <c r="T213" s="25">
        <v>2048</v>
      </c>
      <c r="U213" s="25">
        <v>2049</v>
      </c>
      <c r="V213" s="25">
        <v>2050</v>
      </c>
      <c r="W213" s="25">
        <v>2051</v>
      </c>
      <c r="X213" s="25">
        <v>2052</v>
      </c>
      <c r="Y213" s="25">
        <v>2053</v>
      </c>
      <c r="Z213" s="25">
        <v>2054</v>
      </c>
      <c r="AC213" s="25">
        <v>2030</v>
      </c>
      <c r="AD213" s="25">
        <v>2031</v>
      </c>
      <c r="AE213" s="25">
        <v>2032</v>
      </c>
      <c r="AF213" s="25">
        <v>2033</v>
      </c>
      <c r="AG213" s="25">
        <v>2034</v>
      </c>
      <c r="AH213" s="25">
        <v>2035</v>
      </c>
      <c r="AI213" s="25">
        <v>2036</v>
      </c>
      <c r="AJ213" s="25">
        <v>2037</v>
      </c>
      <c r="AK213" s="25">
        <v>2038</v>
      </c>
      <c r="AL213" s="25">
        <v>2039</v>
      </c>
      <c r="AM213" s="25">
        <v>2040</v>
      </c>
      <c r="AN213" s="25">
        <v>2041</v>
      </c>
      <c r="AO213" s="25">
        <v>2042</v>
      </c>
      <c r="AP213" s="25">
        <v>2043</v>
      </c>
      <c r="AQ213" s="25">
        <v>2044</v>
      </c>
      <c r="AR213" s="25">
        <v>2045</v>
      </c>
      <c r="AS213" s="25">
        <v>2046</v>
      </c>
      <c r="AT213" s="25">
        <v>2047</v>
      </c>
      <c r="AU213" s="25">
        <v>2048</v>
      </c>
      <c r="AV213" s="25">
        <v>2049</v>
      </c>
      <c r="AW213" s="25">
        <v>2050</v>
      </c>
      <c r="AX213" s="25">
        <v>2051</v>
      </c>
      <c r="AY213" s="25">
        <v>2052</v>
      </c>
      <c r="AZ213" s="25">
        <v>2053</v>
      </c>
      <c r="BA213" s="25">
        <v>2054</v>
      </c>
    </row>
    <row r="214" spans="1:53" outlineLevel="1" x14ac:dyDescent="0.35">
      <c r="A214" s="6" t="s">
        <v>21</v>
      </c>
      <c r="B214" s="6">
        <f>'Results - raw data ReCiPe (I)'!C77</f>
        <v>2.8789533034225857E-4</v>
      </c>
      <c r="AB214" s="6" t="s">
        <v>117</v>
      </c>
      <c r="AC214" s="6">
        <f>SUM(B214:B225)+B227</f>
        <v>1.5356286610143191E-2</v>
      </c>
    </row>
    <row r="215" spans="1:53" outlineLevel="1" x14ac:dyDescent="0.35">
      <c r="A215" s="6" t="s">
        <v>23</v>
      </c>
      <c r="B215" s="6">
        <f>'Results - raw data ReCiPe (I)'!C78</f>
        <v>4.1040257423438121E-4</v>
      </c>
      <c r="AB215" s="6" t="s">
        <v>118</v>
      </c>
      <c r="AC215" s="6">
        <f>B226</f>
        <v>9.37129982231934E-4</v>
      </c>
    </row>
    <row r="216" spans="1:53" outlineLevel="1" x14ac:dyDescent="0.35">
      <c r="A216" s="6" t="s">
        <v>26</v>
      </c>
      <c r="B216" s="6">
        <f>'Results - raw data ReCiPe (I)'!C79</f>
        <v>1.3588660378812489E-3</v>
      </c>
      <c r="AB216" s="6" t="s">
        <v>119</v>
      </c>
      <c r="BA216" s="6">
        <f>SUM(Z228:Z239)</f>
        <v>1.321106762411555E-4</v>
      </c>
    </row>
    <row r="217" spans="1:53" outlineLevel="1" x14ac:dyDescent="0.35">
      <c r="A217" s="6" t="s">
        <v>28</v>
      </c>
      <c r="B217" s="6">
        <f>'Results - raw data ReCiPe (I)'!C80</f>
        <v>2.4450655784905438E-3</v>
      </c>
      <c r="AB217" s="6" t="s">
        <v>120</v>
      </c>
      <c r="BA217" s="6">
        <f>Z240</f>
        <v>4.8662670395198596E-6</v>
      </c>
    </row>
    <row r="218" spans="1:53" outlineLevel="1" x14ac:dyDescent="0.35">
      <c r="A218" s="6" t="s">
        <v>29</v>
      </c>
      <c r="B218" s="6">
        <f>'Results - raw data ReCiPe (I)'!C81</f>
        <v>1.5793812391416901E-3</v>
      </c>
      <c r="AB218" s="6" t="s">
        <v>121</v>
      </c>
      <c r="AC218" s="6">
        <f>B241</f>
        <v>2.6322721726552512E-4</v>
      </c>
      <c r="AF218" s="6">
        <f>E241</f>
        <v>2.4790954055705099E-4</v>
      </c>
      <c r="AI218" s="6">
        <f>H241</f>
        <v>2.3818826466101599E-4</v>
      </c>
      <c r="AL218" s="6">
        <f>K241</f>
        <v>2.3687057090296699E-4</v>
      </c>
      <c r="AO218" s="6">
        <f>N241</f>
        <v>2.3577478459469749E-4</v>
      </c>
      <c r="AR218" s="6">
        <f>Q241</f>
        <v>2.3445141905597099E-4</v>
      </c>
      <c r="AU218" s="6">
        <f>T241</f>
        <v>2.3247380057932901E-4</v>
      </c>
      <c r="AX218" s="6">
        <f>W241</f>
        <v>2.3538466572112359E-4</v>
      </c>
      <c r="BA218" s="6">
        <f>Z241</f>
        <v>2.348623971618371E-4</v>
      </c>
    </row>
    <row r="219" spans="1:53" outlineLevel="1" x14ac:dyDescent="0.35">
      <c r="A219" s="6" t="s">
        <v>31</v>
      </c>
      <c r="B219" s="6">
        <f>'Results - raw data ReCiPe (I)'!C82</f>
        <v>8.5997189882642557E-4</v>
      </c>
      <c r="AB219" s="6" t="s">
        <v>122</v>
      </c>
      <c r="AC219" s="6">
        <f>B244+B243</f>
        <v>4.670071705280378E-3</v>
      </c>
      <c r="AD219" s="6">
        <f t="shared" ref="AD219:BA219" si="25">C244+C243</f>
        <v>4.4578866863461478E-3</v>
      </c>
      <c r="AE219" s="6">
        <f t="shared" si="25"/>
        <v>4.2409302289263141E-3</v>
      </c>
      <c r="AF219" s="6">
        <f t="shared" si="25"/>
        <v>4.0114364899245386E-3</v>
      </c>
      <c r="AG219" s="6">
        <f t="shared" si="25"/>
        <v>3.7874343373399759E-3</v>
      </c>
      <c r="AH219" s="6">
        <f t="shared" si="25"/>
        <v>3.5625407101732847E-3</v>
      </c>
      <c r="AI219" s="6">
        <f t="shared" si="25"/>
        <v>3.563389180378379E-3</v>
      </c>
      <c r="AJ219" s="6">
        <f t="shared" si="25"/>
        <v>3.5632052368936989E-3</v>
      </c>
      <c r="AK219" s="6">
        <f t="shared" si="25"/>
        <v>3.5588708920523829E-3</v>
      </c>
      <c r="AL219" s="6">
        <f t="shared" si="25"/>
        <v>3.5564513366034582E-3</v>
      </c>
      <c r="AM219" s="6">
        <f t="shared" si="25"/>
        <v>3.5530639093685526E-3</v>
      </c>
      <c r="AN219" s="6">
        <f t="shared" si="25"/>
        <v>3.5612085343877517E-3</v>
      </c>
      <c r="AO219" s="6">
        <f t="shared" si="25"/>
        <v>3.5695477327511906E-3</v>
      </c>
      <c r="AP219" s="6">
        <f t="shared" si="25"/>
        <v>3.5775207177168532E-3</v>
      </c>
      <c r="AQ219" s="6">
        <f t="shared" si="25"/>
        <v>3.5860421620648197E-3</v>
      </c>
      <c r="AR219" s="6">
        <f t="shared" si="25"/>
        <v>3.5946648910172067E-3</v>
      </c>
      <c r="AS219" s="6">
        <f t="shared" si="25"/>
        <v>3.4576546734187779E-3</v>
      </c>
      <c r="AT219" s="6">
        <f t="shared" si="25"/>
        <v>3.3202107783277019E-3</v>
      </c>
      <c r="AU219" s="6">
        <f t="shared" si="25"/>
        <v>3.1831776461662756E-3</v>
      </c>
      <c r="AV219" s="6">
        <f t="shared" si="25"/>
        <v>3.047665154309283E-3</v>
      </c>
      <c r="AW219" s="6">
        <f t="shared" si="25"/>
        <v>2.9136829411517541E-3</v>
      </c>
      <c r="AX219" s="6">
        <f t="shared" si="25"/>
        <v>2.9520498808193771E-3</v>
      </c>
      <c r="AY219" s="6">
        <f t="shared" si="25"/>
        <v>2.9040572108154665E-3</v>
      </c>
      <c r="AZ219" s="6">
        <f t="shared" si="25"/>
        <v>2.8558770236330432E-3</v>
      </c>
      <c r="BA219" s="6">
        <f t="shared" si="25"/>
        <v>2.8075024448013988E-3</v>
      </c>
    </row>
    <row r="220" spans="1:53" outlineLevel="1" x14ac:dyDescent="0.35">
      <c r="A220" s="6" t="s">
        <v>34</v>
      </c>
      <c r="B220" s="6">
        <f>'Results - raw data ReCiPe (I)'!C83</f>
        <v>6.5477657721654022E-4</v>
      </c>
      <c r="AB220" s="6" t="s">
        <v>123</v>
      </c>
      <c r="AC220" s="6">
        <f>B242</f>
        <v>4.9746858368287822E-4</v>
      </c>
      <c r="AD220" s="6">
        <f t="shared" ref="AD220:BA220" si="26">C242</f>
        <v>4.7504634846731909E-4</v>
      </c>
      <c r="AE220" s="6">
        <f t="shared" si="26"/>
        <v>4.52263553392185E-4</v>
      </c>
      <c r="AF220" s="6">
        <f t="shared" si="26"/>
        <v>4.2838489097473266E-4</v>
      </c>
      <c r="AG220" s="6">
        <f t="shared" si="26"/>
        <v>4.0515053736597963E-4</v>
      </c>
      <c r="AH220" s="6">
        <f t="shared" si="26"/>
        <v>3.8194385144874683E-4</v>
      </c>
      <c r="AI220" s="6">
        <f t="shared" si="26"/>
        <v>3.8153071290807176E-4</v>
      </c>
      <c r="AJ220" s="6">
        <f t="shared" si="26"/>
        <v>3.8101021789392397E-4</v>
      </c>
      <c r="AK220" s="6">
        <f t="shared" si="26"/>
        <v>3.800842230370935E-4</v>
      </c>
      <c r="AL220" s="6">
        <f t="shared" si="26"/>
        <v>3.7933346046292943E-4</v>
      </c>
      <c r="AM220" s="6">
        <f t="shared" si="26"/>
        <v>3.7848129519123822E-4</v>
      </c>
      <c r="AN220" s="6">
        <f t="shared" si="26"/>
        <v>3.7932150181227431E-4</v>
      </c>
      <c r="AO220" s="6">
        <f t="shared" si="26"/>
        <v>3.8018070516697319E-4</v>
      </c>
      <c r="AP220" s="6">
        <f t="shared" si="26"/>
        <v>3.8100773758655167E-4</v>
      </c>
      <c r="AQ220" s="6">
        <f t="shared" si="26"/>
        <v>3.8189052245592582E-4</v>
      </c>
      <c r="AR220" s="6">
        <f t="shared" si="26"/>
        <v>3.8278513242929053E-4</v>
      </c>
      <c r="AS220" s="6">
        <f t="shared" si="26"/>
        <v>3.7028939282599151E-4</v>
      </c>
      <c r="AT220" s="6">
        <f t="shared" si="26"/>
        <v>3.576320102046869E-4</v>
      </c>
      <c r="AU220" s="6">
        <f t="shared" si="26"/>
        <v>3.4489655940992412E-4</v>
      </c>
      <c r="AV220" s="6">
        <f t="shared" si="26"/>
        <v>3.3219025430763919E-4</v>
      </c>
      <c r="AW220" s="6">
        <f t="shared" si="26"/>
        <v>3.1949371547186563E-4</v>
      </c>
      <c r="AX220" s="6">
        <f t="shared" si="26"/>
        <v>3.2340950623228811E-4</v>
      </c>
      <c r="AY220" s="6">
        <f t="shared" si="26"/>
        <v>3.1840021938224863E-4</v>
      </c>
      <c r="AZ220" s="6">
        <f t="shared" si="26"/>
        <v>3.1338639157498839E-4</v>
      </c>
      <c r="BA220" s="6">
        <f t="shared" si="26"/>
        <v>3.083671218770378E-4</v>
      </c>
    </row>
    <row r="221" spans="1:53" outlineLevel="1" x14ac:dyDescent="0.35">
      <c r="A221" s="6" t="s">
        <v>36</v>
      </c>
      <c r="B221" s="6">
        <f>'Results - raw data ReCiPe (I)'!C84</f>
        <v>2.394702857816692E-4</v>
      </c>
      <c r="AB221" s="6" t="s">
        <v>124</v>
      </c>
      <c r="AC221" s="6">
        <f>-$AC$7*$AC$6</f>
        <v>-8.1199999999999987E-3</v>
      </c>
      <c r="AD221" s="6">
        <f t="shared" ref="AD221:BA221" si="27">-$AC$7*$AC$6</f>
        <v>-8.1199999999999987E-3</v>
      </c>
      <c r="AE221" s="6">
        <f t="shared" si="27"/>
        <v>-8.1199999999999987E-3</v>
      </c>
      <c r="AF221" s="6">
        <f t="shared" si="27"/>
        <v>-8.1199999999999987E-3</v>
      </c>
      <c r="AG221" s="6">
        <f t="shared" si="27"/>
        <v>-8.1199999999999987E-3</v>
      </c>
      <c r="AH221" s="6">
        <f t="shared" si="27"/>
        <v>-8.1199999999999987E-3</v>
      </c>
      <c r="AI221" s="6">
        <f t="shared" si="27"/>
        <v>-8.1199999999999987E-3</v>
      </c>
      <c r="AJ221" s="6">
        <f t="shared" si="27"/>
        <v>-8.1199999999999987E-3</v>
      </c>
      <c r="AK221" s="6">
        <f t="shared" si="27"/>
        <v>-8.1199999999999987E-3</v>
      </c>
      <c r="AL221" s="6">
        <f t="shared" si="27"/>
        <v>-8.1199999999999987E-3</v>
      </c>
      <c r="AM221" s="6">
        <f t="shared" si="27"/>
        <v>-8.1199999999999987E-3</v>
      </c>
      <c r="AN221" s="6">
        <f t="shared" si="27"/>
        <v>-8.1199999999999987E-3</v>
      </c>
      <c r="AO221" s="6">
        <f t="shared" si="27"/>
        <v>-8.1199999999999987E-3</v>
      </c>
      <c r="AP221" s="6">
        <f t="shared" si="27"/>
        <v>-8.1199999999999987E-3</v>
      </c>
      <c r="AQ221" s="6">
        <f t="shared" si="27"/>
        <v>-8.1199999999999987E-3</v>
      </c>
      <c r="AR221" s="6">
        <f t="shared" si="27"/>
        <v>-8.1199999999999987E-3</v>
      </c>
      <c r="AS221" s="6">
        <f t="shared" si="27"/>
        <v>-8.1199999999999987E-3</v>
      </c>
      <c r="AT221" s="6">
        <f t="shared" si="27"/>
        <v>-8.1199999999999987E-3</v>
      </c>
      <c r="AU221" s="6">
        <f t="shared" si="27"/>
        <v>-8.1199999999999987E-3</v>
      </c>
      <c r="AV221" s="6">
        <f t="shared" si="27"/>
        <v>-8.1199999999999987E-3</v>
      </c>
      <c r="AW221" s="6">
        <f t="shared" si="27"/>
        <v>-8.1199999999999987E-3</v>
      </c>
      <c r="AX221" s="6">
        <f t="shared" si="27"/>
        <v>-8.1199999999999987E-3</v>
      </c>
      <c r="AY221" s="6">
        <f t="shared" si="27"/>
        <v>-8.1199999999999987E-3</v>
      </c>
      <c r="AZ221" s="6">
        <f t="shared" si="27"/>
        <v>-8.1199999999999987E-3</v>
      </c>
      <c r="BA221" s="6">
        <f t="shared" si="27"/>
        <v>-8.1199999999999987E-3</v>
      </c>
    </row>
    <row r="222" spans="1:53" outlineLevel="1" x14ac:dyDescent="0.35">
      <c r="A222" s="6" t="s">
        <v>38</v>
      </c>
      <c r="B222" s="6">
        <f>'Results - raw data ReCiPe (I)'!C85</f>
        <v>2.5970833922964059E-3</v>
      </c>
      <c r="AB222" s="23" t="s">
        <v>125</v>
      </c>
      <c r="AC222" s="17">
        <f>SUM(AC214:AC221)</f>
        <v>1.3604184098603908E-2</v>
      </c>
      <c r="AD222" s="17">
        <f t="shared" ref="AD222:BA222" si="28">SUM(AD214:AD221)</f>
        <v>-3.1870669651865319E-3</v>
      </c>
      <c r="AE222" s="17">
        <f t="shared" si="28"/>
        <v>-3.4268062176814997E-3</v>
      </c>
      <c r="AF222" s="17">
        <f t="shared" si="28"/>
        <v>-3.4322690785436767E-3</v>
      </c>
      <c r="AG222" s="17">
        <f t="shared" si="28"/>
        <v>-3.9274151252940434E-3</v>
      </c>
      <c r="AH222" s="17">
        <f t="shared" si="28"/>
        <v>-4.175515438377967E-3</v>
      </c>
      <c r="AI222" s="17">
        <f t="shared" si="28"/>
        <v>-3.9368918420525315E-3</v>
      </c>
      <c r="AJ222" s="17">
        <f t="shared" si="28"/>
        <v>-4.1757845452123762E-3</v>
      </c>
      <c r="AK222" s="17">
        <f t="shared" si="28"/>
        <v>-4.1810448849105225E-3</v>
      </c>
      <c r="AL222" s="17">
        <f t="shared" si="28"/>
        <v>-3.9473446320306442E-3</v>
      </c>
      <c r="AM222" s="17">
        <f t="shared" si="28"/>
        <v>-4.1884547954402079E-3</v>
      </c>
      <c r="AN222" s="17">
        <f t="shared" si="28"/>
        <v>-4.1794699637999729E-3</v>
      </c>
      <c r="AO222" s="17">
        <f t="shared" si="28"/>
        <v>-3.9344967774871372E-3</v>
      </c>
      <c r="AP222" s="17">
        <f t="shared" si="28"/>
        <v>-4.1614715446965942E-3</v>
      </c>
      <c r="AQ222" s="17">
        <f t="shared" si="28"/>
        <v>-4.1520673154792536E-3</v>
      </c>
      <c r="AR222" s="17">
        <f t="shared" si="28"/>
        <v>-3.9080985574975304E-3</v>
      </c>
      <c r="AS222" s="17">
        <f t="shared" si="28"/>
        <v>-4.2920559337552289E-3</v>
      </c>
      <c r="AT222" s="17">
        <f t="shared" si="28"/>
        <v>-4.4421572114676094E-3</v>
      </c>
      <c r="AU222" s="17">
        <f t="shared" si="28"/>
        <v>-4.3594519938444706E-3</v>
      </c>
      <c r="AV222" s="17">
        <f t="shared" si="28"/>
        <v>-4.7401445913830761E-3</v>
      </c>
      <c r="AW222" s="17">
        <f t="shared" si="28"/>
        <v>-4.8868233433763796E-3</v>
      </c>
      <c r="AX222" s="17">
        <f t="shared" si="28"/>
        <v>-4.6091559472272101E-3</v>
      </c>
      <c r="AY222" s="17">
        <f t="shared" si="28"/>
        <v>-4.8975425698022839E-3</v>
      </c>
      <c r="AZ222" s="17">
        <f t="shared" si="28"/>
        <v>-4.9507365847919673E-3</v>
      </c>
      <c r="BA222" s="17">
        <f t="shared" si="28"/>
        <v>-4.6322910928790501E-3</v>
      </c>
    </row>
    <row r="223" spans="1:53" outlineLevel="1" x14ac:dyDescent="0.35">
      <c r="A223" s="6" t="s">
        <v>39</v>
      </c>
      <c r="B223" s="6">
        <f>'Results - raw data ReCiPe (I)'!C86</f>
        <v>2.8840889681505549E-3</v>
      </c>
    </row>
    <row r="224" spans="1:53" outlineLevel="1" x14ac:dyDescent="0.35">
      <c r="A224" s="6" t="s">
        <v>41</v>
      </c>
      <c r="B224" s="6">
        <f>'Results - raw data ReCiPe (I)'!C87</f>
        <v>1.347525634018587E-5</v>
      </c>
    </row>
    <row r="225" spans="1:53" outlineLevel="1" x14ac:dyDescent="0.35">
      <c r="A225" s="6" t="s">
        <v>43</v>
      </c>
      <c r="B225" s="6">
        <f>'Results - raw data ReCiPe (I)'!C88</f>
        <v>1.1839927974793929E-4</v>
      </c>
      <c r="AB225" s="219"/>
      <c r="AC225" s="219"/>
      <c r="AD225" s="219"/>
      <c r="AE225" s="219"/>
      <c r="AF225" s="219"/>
      <c r="AG225" s="219"/>
      <c r="AH225" s="219"/>
      <c r="AI225" s="219"/>
      <c r="AJ225" s="219"/>
      <c r="AK225" s="219"/>
      <c r="AL225" s="219"/>
      <c r="AM225" s="219"/>
      <c r="AN225" s="219"/>
      <c r="AO225" s="219"/>
      <c r="AP225" s="219"/>
      <c r="AQ225" s="219"/>
      <c r="AR225" s="219"/>
      <c r="AS225" s="219"/>
      <c r="AT225" s="219"/>
      <c r="AU225" s="219"/>
      <c r="AV225" s="219"/>
      <c r="AW225" s="219"/>
      <c r="AX225" s="219"/>
      <c r="AY225" s="219"/>
      <c r="AZ225" s="219"/>
      <c r="BA225" s="219"/>
    </row>
    <row r="226" spans="1:53" outlineLevel="1" x14ac:dyDescent="0.35">
      <c r="A226" s="6" t="s">
        <v>44</v>
      </c>
      <c r="B226" s="6">
        <f>'Results - raw data ReCiPe (I)'!C89*AC210*AC212</f>
        <v>9.37129982231934E-4</v>
      </c>
      <c r="AB226" s="219"/>
      <c r="AC226" s="219"/>
      <c r="AD226" s="219"/>
      <c r="AE226" s="219"/>
      <c r="AF226" s="219"/>
      <c r="AG226" s="219"/>
      <c r="AH226" s="219"/>
      <c r="AI226" s="219"/>
      <c r="AJ226" s="219"/>
      <c r="AK226" s="219"/>
      <c r="AL226" s="219"/>
      <c r="AM226" s="219"/>
      <c r="AN226" s="219"/>
      <c r="AO226" s="219"/>
      <c r="AP226" s="219"/>
      <c r="AQ226" s="219"/>
      <c r="AR226" s="219"/>
      <c r="AS226" s="219"/>
      <c r="AT226" s="219"/>
      <c r="AU226" s="219"/>
      <c r="AV226" s="219"/>
      <c r="AW226" s="219"/>
      <c r="AX226" s="219"/>
      <c r="AY226" s="219"/>
      <c r="AZ226" s="219"/>
      <c r="BA226" s="219"/>
    </row>
    <row r="227" spans="1:53" outlineLevel="1" x14ac:dyDescent="0.35">
      <c r="A227" s="6" t="s">
        <v>757</v>
      </c>
      <c r="B227" s="6">
        <f>'Results - raw data ReCiPe (I)'!C90*AC210*AC212</f>
        <v>1.9074101916933494E-3</v>
      </c>
      <c r="AB227" s="219"/>
      <c r="AC227" s="219"/>
      <c r="AD227" s="219"/>
      <c r="AE227" s="219"/>
      <c r="AF227" s="219"/>
      <c r="AG227" s="219"/>
      <c r="AH227" s="219"/>
      <c r="AI227" s="219"/>
      <c r="AJ227" s="219"/>
      <c r="AK227" s="219"/>
      <c r="AL227" s="219"/>
      <c r="AM227" s="219"/>
      <c r="AN227" s="219"/>
      <c r="AO227" s="219"/>
      <c r="AP227" s="219"/>
      <c r="AQ227" s="219"/>
      <c r="AR227" s="219"/>
      <c r="AS227" s="219"/>
      <c r="AT227" s="219"/>
      <c r="AU227" s="219"/>
      <c r="AV227" s="219"/>
      <c r="AW227" s="219"/>
      <c r="AX227" s="219"/>
      <c r="AY227" s="219"/>
      <c r="AZ227" s="219"/>
      <c r="BA227" s="219"/>
    </row>
    <row r="228" spans="1:53" outlineLevel="1" x14ac:dyDescent="0.35">
      <c r="A228" s="6" t="s">
        <v>22</v>
      </c>
      <c r="Z228" s="6">
        <f>'Results - raw data ReCiPe (I)'!AA91</f>
        <v>2.4474508311336498E-6</v>
      </c>
      <c r="AB228" s="219"/>
      <c r="AC228" s="219"/>
      <c r="AD228" s="219"/>
      <c r="AE228" s="219"/>
      <c r="AF228" s="219"/>
      <c r="AG228" s="219"/>
      <c r="AH228" s="219"/>
      <c r="AI228" s="219"/>
      <c r="AJ228" s="219"/>
      <c r="AK228" s="219"/>
      <c r="AL228" s="219"/>
      <c r="AM228" s="219"/>
      <c r="AN228" s="219"/>
      <c r="AO228" s="219"/>
      <c r="AP228" s="219"/>
      <c r="AQ228" s="219"/>
      <c r="AR228" s="219"/>
      <c r="AS228" s="219"/>
      <c r="AT228" s="219"/>
      <c r="AU228" s="219"/>
      <c r="AV228" s="219"/>
      <c r="AW228" s="219"/>
      <c r="AX228" s="219"/>
      <c r="AY228" s="219"/>
      <c r="AZ228" s="219"/>
      <c r="BA228" s="219"/>
    </row>
    <row r="229" spans="1:53" outlineLevel="1" x14ac:dyDescent="0.35">
      <c r="A229" s="6" t="s">
        <v>24</v>
      </c>
      <c r="Z229" s="6">
        <f>'Results - raw data ReCiPe (I)'!AA92</f>
        <v>1.5372889579919939E-6</v>
      </c>
      <c r="AB229" s="219"/>
      <c r="AC229" s="219"/>
      <c r="AD229" s="219"/>
      <c r="AE229" s="219"/>
      <c r="AF229" s="219"/>
      <c r="AG229" s="219"/>
      <c r="AH229" s="219"/>
      <c r="AI229" s="219"/>
      <c r="AJ229" s="219"/>
      <c r="AK229" s="219"/>
      <c r="AL229" s="219"/>
      <c r="AM229" s="219"/>
      <c r="AN229" s="219"/>
      <c r="AO229" s="219"/>
      <c r="AP229" s="219"/>
      <c r="AQ229" s="219"/>
      <c r="AR229" s="219"/>
      <c r="AS229" s="219"/>
      <c r="AT229" s="219"/>
      <c r="AU229" s="219"/>
      <c r="AV229" s="219"/>
      <c r="AW229" s="219"/>
      <c r="AX229" s="219"/>
      <c r="AY229" s="219"/>
      <c r="AZ229" s="219"/>
      <c r="BA229" s="219"/>
    </row>
    <row r="230" spans="1:53" outlineLevel="1" x14ac:dyDescent="0.35">
      <c r="A230" s="6" t="s">
        <v>25</v>
      </c>
      <c r="Z230" s="6">
        <f>'Results - raw data ReCiPe (I)'!AA93</f>
        <v>5.6912810253079144E-6</v>
      </c>
      <c r="AB230" s="219"/>
      <c r="AC230" s="219"/>
      <c r="AD230" s="219"/>
      <c r="AE230" s="219"/>
      <c r="AF230" s="219"/>
      <c r="AG230" s="219"/>
      <c r="AH230" s="219"/>
      <c r="AI230" s="219"/>
      <c r="AJ230" s="219"/>
      <c r="AK230" s="219"/>
      <c r="AL230" s="219"/>
      <c r="AM230" s="219"/>
      <c r="AN230" s="219"/>
      <c r="AO230" s="219"/>
      <c r="AP230" s="219"/>
      <c r="AQ230" s="219"/>
      <c r="AR230" s="219"/>
      <c r="AS230" s="219"/>
      <c r="AT230" s="219"/>
      <c r="AU230" s="219"/>
      <c r="AV230" s="219"/>
      <c r="AW230" s="219"/>
      <c r="AX230" s="219"/>
      <c r="AY230" s="219"/>
      <c r="AZ230" s="219"/>
      <c r="BA230" s="219"/>
    </row>
    <row r="231" spans="1:53" outlineLevel="1" x14ac:dyDescent="0.35">
      <c r="A231" s="6" t="s">
        <v>27</v>
      </c>
      <c r="Z231" s="6">
        <f>'Results - raw data ReCiPe (I)'!AA94</f>
        <v>2.906695279293953E-6</v>
      </c>
      <c r="AB231" s="219"/>
      <c r="AC231" s="219"/>
      <c r="AD231" s="219"/>
      <c r="AE231" s="219"/>
      <c r="AF231" s="219"/>
      <c r="AG231" s="219"/>
      <c r="AH231" s="219"/>
      <c r="AI231" s="219"/>
      <c r="AJ231" s="219"/>
      <c r="AK231" s="219"/>
      <c r="AL231" s="219"/>
      <c r="AM231" s="219"/>
      <c r="AN231" s="219"/>
      <c r="AO231" s="219"/>
      <c r="AP231" s="219"/>
      <c r="AQ231" s="219"/>
      <c r="AR231" s="219"/>
      <c r="AS231" s="219"/>
      <c r="AT231" s="219"/>
      <c r="AU231" s="219"/>
      <c r="AV231" s="219"/>
      <c r="AW231" s="219"/>
      <c r="AX231" s="219"/>
      <c r="AY231" s="219"/>
      <c r="AZ231" s="219"/>
      <c r="BA231" s="219"/>
    </row>
    <row r="232" spans="1:53" outlineLevel="1" x14ac:dyDescent="0.35">
      <c r="A232" s="6" t="s">
        <v>30</v>
      </c>
      <c r="Z232" s="6">
        <f>'Results - raw data ReCiPe (I)'!AA95</f>
        <v>3.2148640186317049E-6</v>
      </c>
      <c r="AB232" s="219"/>
      <c r="AC232" s="219"/>
      <c r="AD232" s="219"/>
      <c r="AE232" s="219"/>
      <c r="AF232" s="219"/>
      <c r="AG232" s="219"/>
      <c r="AH232" s="219"/>
      <c r="AI232" s="219"/>
      <c r="AJ232" s="219"/>
      <c r="AK232" s="219"/>
      <c r="AL232" s="219"/>
      <c r="AM232" s="219"/>
      <c r="AN232" s="219"/>
      <c r="AO232" s="219"/>
      <c r="AP232" s="219"/>
      <c r="AQ232" s="219"/>
      <c r="AR232" s="219"/>
      <c r="AS232" s="219"/>
      <c r="AT232" s="219"/>
      <c r="AU232" s="219"/>
      <c r="AV232" s="219"/>
      <c r="AW232" s="219"/>
      <c r="AX232" s="219"/>
      <c r="AY232" s="219"/>
      <c r="AZ232" s="219"/>
      <c r="BA232" s="219"/>
    </row>
    <row r="233" spans="1:53" outlineLevel="1" x14ac:dyDescent="0.35">
      <c r="A233" s="6" t="s">
        <v>32</v>
      </c>
      <c r="Z233" s="6">
        <f>'Results - raw data ReCiPe (I)'!AA96</f>
        <v>7.1958515110772744E-7</v>
      </c>
      <c r="AB233" s="219"/>
      <c r="AC233" s="219"/>
      <c r="AD233" s="219"/>
      <c r="AE233" s="219"/>
      <c r="AF233" s="219"/>
      <c r="AG233" s="219"/>
      <c r="AH233" s="219"/>
      <c r="AI233" s="219"/>
      <c r="AJ233" s="219"/>
      <c r="AK233" s="219"/>
      <c r="AL233" s="219"/>
      <c r="AM233" s="219"/>
      <c r="AN233" s="219"/>
      <c r="AO233" s="219"/>
      <c r="AP233" s="219"/>
      <c r="AQ233" s="219"/>
      <c r="AR233" s="219"/>
      <c r="AS233" s="219"/>
      <c r="AT233" s="219"/>
      <c r="AU233" s="219"/>
      <c r="AV233" s="219"/>
      <c r="AW233" s="219"/>
      <c r="AX233" s="219"/>
      <c r="AY233" s="219"/>
      <c r="AZ233" s="219"/>
      <c r="BA233" s="219"/>
    </row>
    <row r="234" spans="1:53" outlineLevel="1" x14ac:dyDescent="0.35">
      <c r="A234" s="6" t="s">
        <v>33</v>
      </c>
      <c r="Z234" s="6">
        <f>'Results - raw data ReCiPe (I)'!AA97</f>
        <v>8.4578377491360246E-7</v>
      </c>
      <c r="AB234" s="219"/>
      <c r="AC234" s="219"/>
      <c r="AD234" s="219"/>
      <c r="AE234" s="219"/>
      <c r="AF234" s="219"/>
      <c r="AG234" s="219"/>
      <c r="AH234" s="219"/>
      <c r="AI234" s="219"/>
      <c r="AJ234" s="219"/>
      <c r="AK234" s="219"/>
      <c r="AL234" s="219"/>
      <c r="AM234" s="219"/>
      <c r="AN234" s="219"/>
      <c r="AO234" s="219"/>
      <c r="AP234" s="219"/>
      <c r="AQ234" s="219"/>
      <c r="AR234" s="219"/>
      <c r="AS234" s="219"/>
      <c r="AT234" s="219"/>
      <c r="AU234" s="219"/>
      <c r="AV234" s="219"/>
      <c r="AW234" s="219"/>
      <c r="AX234" s="219"/>
      <c r="AY234" s="219"/>
      <c r="AZ234" s="219"/>
      <c r="BA234" s="219"/>
    </row>
    <row r="235" spans="1:53" outlineLevel="1" x14ac:dyDescent="0.35">
      <c r="A235" s="6" t="s">
        <v>35</v>
      </c>
      <c r="Z235" s="6">
        <f>'Results - raw data ReCiPe (I)'!AA98</f>
        <v>1.6915675498272049E-6</v>
      </c>
      <c r="AB235" s="219"/>
      <c r="AC235" s="219"/>
      <c r="AD235" s="219"/>
      <c r="AE235" s="219"/>
      <c r="AF235" s="219"/>
      <c r="AG235" s="219"/>
      <c r="AH235" s="219"/>
      <c r="AI235" s="219"/>
      <c r="AJ235" s="219"/>
      <c r="AK235" s="219"/>
      <c r="AL235" s="219"/>
      <c r="AM235" s="219"/>
      <c r="AN235" s="219"/>
      <c r="AO235" s="219"/>
      <c r="AP235" s="219"/>
      <c r="AQ235" s="219"/>
      <c r="AR235" s="219"/>
      <c r="AS235" s="219"/>
      <c r="AT235" s="219"/>
      <c r="AU235" s="219"/>
      <c r="AV235" s="219"/>
      <c r="AW235" s="219"/>
      <c r="AX235" s="219"/>
      <c r="AY235" s="219"/>
      <c r="AZ235" s="219"/>
      <c r="BA235" s="219"/>
    </row>
    <row r="236" spans="1:53" outlineLevel="1" x14ac:dyDescent="0.35">
      <c r="A236" s="6" t="s">
        <v>37</v>
      </c>
      <c r="Z236" s="6">
        <f>'Results - raw data ReCiPe (I)'!AA99</f>
        <v>8.1597611603250031E-6</v>
      </c>
      <c r="AB236" s="219"/>
      <c r="AC236" s="219"/>
      <c r="AD236" s="219"/>
      <c r="AE236" s="219"/>
      <c r="AF236" s="219"/>
      <c r="AG236" s="219"/>
      <c r="AH236" s="219"/>
      <c r="AI236" s="219"/>
      <c r="AJ236" s="219"/>
      <c r="AK236" s="219"/>
      <c r="AL236" s="219"/>
      <c r="AM236" s="219"/>
      <c r="AN236" s="219"/>
      <c r="AO236" s="219"/>
      <c r="AP236" s="219"/>
      <c r="AQ236" s="219"/>
      <c r="AR236" s="219"/>
      <c r="AS236" s="219"/>
      <c r="AT236" s="219"/>
      <c r="AU236" s="219"/>
      <c r="AV236" s="219"/>
      <c r="AW236" s="219"/>
      <c r="AX236" s="219"/>
      <c r="AY236" s="219"/>
      <c r="AZ236" s="219"/>
      <c r="BA236" s="219"/>
    </row>
    <row r="237" spans="1:53" outlineLevel="1" x14ac:dyDescent="0.35">
      <c r="A237" s="6" t="s">
        <v>40</v>
      </c>
      <c r="Z237" s="6">
        <f>'Results - raw data ReCiPe (I)'!AA100</f>
        <v>4.4420421044000268E-5</v>
      </c>
    </row>
    <row r="238" spans="1:53" outlineLevel="1" x14ac:dyDescent="0.35">
      <c r="A238" s="6" t="s">
        <v>42</v>
      </c>
      <c r="Z238" s="6">
        <f>'Results - raw data ReCiPe (I)'!AA101</f>
        <v>1.237758161694522E-5</v>
      </c>
    </row>
    <row r="239" spans="1:53" outlineLevel="1" x14ac:dyDescent="0.35">
      <c r="A239" s="6" t="s">
        <v>115</v>
      </c>
      <c r="Z239" s="6">
        <f>'Results - raw data ReCiPe (I)'!AA102</f>
        <v>4.8098395831677263E-5</v>
      </c>
    </row>
    <row r="240" spans="1:53" outlineLevel="1" x14ac:dyDescent="0.35">
      <c r="A240" s="6" t="s">
        <v>45</v>
      </c>
      <c r="Z240" s="6">
        <f>'Results - raw data ReCiPe (I)'!AA103*AC210*AC212</f>
        <v>4.8662670395198596E-6</v>
      </c>
    </row>
    <row r="241" spans="1:26" outlineLevel="1" x14ac:dyDescent="0.35">
      <c r="A241" s="6" t="s">
        <v>116</v>
      </c>
      <c r="B241" s="6">
        <f>'Results - raw data ReCiPe (I)'!C104</f>
        <v>2.6322721726552512E-4</v>
      </c>
      <c r="C241" s="6">
        <f>'Results - raw data ReCiPe (I)'!D104</f>
        <v>2.5866249207413502E-4</v>
      </c>
      <c r="D241" s="6">
        <f>'Results - raw data ReCiPe (I)'!E104</f>
        <v>2.5405869902949091E-4</v>
      </c>
      <c r="E241" s="6">
        <f>'Results - raw data ReCiPe (I)'!F104</f>
        <v>2.4790954055705099E-4</v>
      </c>
      <c r="F241" s="6">
        <f>'Results - raw data ReCiPe (I)'!G104</f>
        <v>2.4320156481659301E-4</v>
      </c>
      <c r="G241" s="6">
        <f>'Results - raw data ReCiPe (I)'!H104</f>
        <v>2.3845944276936539E-4</v>
      </c>
      <c r="H241" s="6">
        <f>'Results - raw data ReCiPe (I)'!I104</f>
        <v>2.3818826466101599E-4</v>
      </c>
      <c r="I241" s="6">
        <f>'Results - raw data ReCiPe (I)'!J104</f>
        <v>2.3790359747015221E-4</v>
      </c>
      <c r="J241" s="6">
        <f>'Results - raw data ReCiPe (I)'!K104</f>
        <v>2.3718038918044219E-4</v>
      </c>
      <c r="K241" s="6">
        <f>'Results - raw data ReCiPe (I)'!L104</f>
        <v>2.3687057090296699E-4</v>
      </c>
      <c r="L241" s="6">
        <f>'Results - raw data ReCiPe (I)'!M104</f>
        <v>2.3654989327107361E-4</v>
      </c>
      <c r="M241" s="6">
        <f>'Results - raw data ReCiPe (I)'!N104</f>
        <v>2.3616147499013471E-4</v>
      </c>
      <c r="N241" s="6">
        <f>'Results - raw data ReCiPe (I)'!O104</f>
        <v>2.3577478459469749E-4</v>
      </c>
      <c r="O241" s="6">
        <f>'Results - raw data ReCiPe (I)'!P104</f>
        <v>2.352217879272995E-4</v>
      </c>
      <c r="P241" s="6">
        <f>'Results - raw data ReCiPe (I)'!Q104</f>
        <v>2.3483722590866721E-4</v>
      </c>
      <c r="Q241" s="6">
        <f>'Results - raw data ReCiPe (I)'!R104</f>
        <v>2.3445141905597099E-4</v>
      </c>
      <c r="R241" s="6">
        <f>'Results - raw data ReCiPe (I)'!S104</f>
        <v>2.3383341452647439E-4</v>
      </c>
      <c r="S241" s="6">
        <f>'Results - raw data ReCiPe (I)'!T104</f>
        <v>2.3321729209397599E-4</v>
      </c>
      <c r="T241" s="6">
        <f>'Results - raw data ReCiPe (I)'!U104</f>
        <v>2.3247380057932901E-4</v>
      </c>
      <c r="U241" s="6">
        <f>'Results - raw data ReCiPe (I)'!V104</f>
        <v>2.3186728341628449E-4</v>
      </c>
      <c r="V241" s="6">
        <f>'Results - raw data ReCiPe (I)'!W104</f>
        <v>2.3127294302008661E-4</v>
      </c>
      <c r="W241" s="6">
        <f>'Results - raw data ReCiPe (I)'!X104</f>
        <v>2.3538466572112359E-4</v>
      </c>
      <c r="X241" s="6">
        <f>'Results - raw data ReCiPe (I)'!Y104</f>
        <v>2.352102001422839E-4</v>
      </c>
      <c r="Y241" s="6">
        <f>'Results - raw data ReCiPe (I)'!Z104</f>
        <v>2.3503611840734951E-4</v>
      </c>
      <c r="Z241" s="6">
        <f>'Results - raw data ReCiPe (I)'!AA104</f>
        <v>2.348623971618371E-4</v>
      </c>
    </row>
    <row r="242" spans="1:26" outlineLevel="1" x14ac:dyDescent="0.35">
      <c r="A242" s="6" t="s">
        <v>758</v>
      </c>
      <c r="B242" s="6">
        <f>'Results - raw data ReCiPe (I)'!C105*$AC$210</f>
        <v>4.9746858368287822E-4</v>
      </c>
      <c r="C242" s="6">
        <f>'Results - raw data ReCiPe (I)'!D105*$AC$210</f>
        <v>4.7504634846731909E-4</v>
      </c>
      <c r="D242" s="6">
        <f>'Results - raw data ReCiPe (I)'!E105*$AC$210</f>
        <v>4.52263553392185E-4</v>
      </c>
      <c r="E242" s="6">
        <f>'Results - raw data ReCiPe (I)'!F105*$AC$210</f>
        <v>4.2838489097473266E-4</v>
      </c>
      <c r="F242" s="6">
        <f>'Results - raw data ReCiPe (I)'!G105*$AC$210</f>
        <v>4.0515053736597963E-4</v>
      </c>
      <c r="G242" s="6">
        <f>'Results - raw data ReCiPe (I)'!H105*$AC$210</f>
        <v>3.8194385144874683E-4</v>
      </c>
      <c r="H242" s="6">
        <f>'Results - raw data ReCiPe (I)'!I105*$AC$210</f>
        <v>3.8153071290807176E-4</v>
      </c>
      <c r="I242" s="6">
        <f>'Results - raw data ReCiPe (I)'!J105*$AC$210</f>
        <v>3.8101021789392397E-4</v>
      </c>
      <c r="J242" s="6">
        <f>'Results - raw data ReCiPe (I)'!K105*$AC$210</f>
        <v>3.800842230370935E-4</v>
      </c>
      <c r="K242" s="6">
        <f>'Results - raw data ReCiPe (I)'!L105*$AC$210</f>
        <v>3.7933346046292943E-4</v>
      </c>
      <c r="L242" s="6">
        <f>'Results - raw data ReCiPe (I)'!M105*$AC$210</f>
        <v>3.7848129519123822E-4</v>
      </c>
      <c r="M242" s="6">
        <f>'Results - raw data ReCiPe (I)'!N105*$AC$210</f>
        <v>3.7932150181227431E-4</v>
      </c>
      <c r="N242" s="6">
        <f>'Results - raw data ReCiPe (I)'!O105*$AC$210</f>
        <v>3.8018070516697319E-4</v>
      </c>
      <c r="O242" s="6">
        <f>'Results - raw data ReCiPe (I)'!P105*$AC$210</f>
        <v>3.8100773758655167E-4</v>
      </c>
      <c r="P242" s="6">
        <f>'Results - raw data ReCiPe (I)'!Q105*$AC$210</f>
        <v>3.8189052245592582E-4</v>
      </c>
      <c r="Q242" s="6">
        <f>'Results - raw data ReCiPe (I)'!R105*$AC$210</f>
        <v>3.8278513242929053E-4</v>
      </c>
      <c r="R242" s="6">
        <f>'Results - raw data ReCiPe (I)'!S105*$AC$210</f>
        <v>3.7028939282599151E-4</v>
      </c>
      <c r="S242" s="6">
        <f>'Results - raw data ReCiPe (I)'!T105*$AC$210</f>
        <v>3.576320102046869E-4</v>
      </c>
      <c r="T242" s="6">
        <f>'Results - raw data ReCiPe (I)'!U105*$AC$210</f>
        <v>3.4489655940992412E-4</v>
      </c>
      <c r="U242" s="6">
        <f>'Results - raw data ReCiPe (I)'!V105*$AC$210</f>
        <v>3.3219025430763919E-4</v>
      </c>
      <c r="V242" s="6">
        <f>'Results - raw data ReCiPe (I)'!W105*$AC$210</f>
        <v>3.1949371547186563E-4</v>
      </c>
      <c r="W242" s="6">
        <f>'Results - raw data ReCiPe (I)'!X105*$AC$210</f>
        <v>3.2340950623228811E-4</v>
      </c>
      <c r="X242" s="6">
        <f>'Results - raw data ReCiPe (I)'!Y105*$AC$210</f>
        <v>3.1840021938224863E-4</v>
      </c>
      <c r="Y242" s="6">
        <f>'Results - raw data ReCiPe (I)'!Z105*$AC$210</f>
        <v>3.1338639157498839E-4</v>
      </c>
      <c r="Z242" s="6">
        <f>'Results - raw data ReCiPe (I)'!AA105*$AC$210</f>
        <v>3.083671218770378E-4</v>
      </c>
    </row>
    <row r="243" spans="1:26" outlineLevel="1" x14ac:dyDescent="0.35">
      <c r="A243" s="6" t="s">
        <v>759</v>
      </c>
      <c r="B243" s="6">
        <f>'Results - raw data ReCiPe (I)'!C106</f>
        <v>0</v>
      </c>
      <c r="C243" s="6">
        <f>'Results - raw data ReCiPe (I)'!D106</f>
        <v>0</v>
      </c>
      <c r="D243" s="6">
        <f>'Results - raw data ReCiPe (I)'!E106</f>
        <v>0</v>
      </c>
      <c r="E243" s="6">
        <f>'Results - raw data ReCiPe (I)'!F106</f>
        <v>0</v>
      </c>
      <c r="F243" s="6">
        <f>'Results - raw data ReCiPe (I)'!G106</f>
        <v>0</v>
      </c>
      <c r="G243" s="6">
        <f>'Results - raw data ReCiPe (I)'!H106</f>
        <v>0</v>
      </c>
      <c r="H243" s="6">
        <f>'Results - raw data ReCiPe (I)'!I106</f>
        <v>0</v>
      </c>
      <c r="I243" s="6">
        <f>'Results - raw data ReCiPe (I)'!J106</f>
        <v>0</v>
      </c>
      <c r="J243" s="6">
        <f>'Results - raw data ReCiPe (I)'!K106</f>
        <v>0</v>
      </c>
      <c r="K243" s="6">
        <f>'Results - raw data ReCiPe (I)'!L106</f>
        <v>0</v>
      </c>
      <c r="L243" s="6">
        <f>'Results - raw data ReCiPe (I)'!M106</f>
        <v>0</v>
      </c>
      <c r="M243" s="6">
        <f>'Results - raw data ReCiPe (I)'!N106</f>
        <v>0</v>
      </c>
      <c r="N243" s="6">
        <f>'Results - raw data ReCiPe (I)'!O106</f>
        <v>0</v>
      </c>
      <c r="O243" s="6">
        <f>'Results - raw data ReCiPe (I)'!P106</f>
        <v>0</v>
      </c>
      <c r="P243" s="6">
        <f>'Results - raw data ReCiPe (I)'!Q106</f>
        <v>0</v>
      </c>
      <c r="Q243" s="6">
        <f>'Results - raw data ReCiPe (I)'!R106</f>
        <v>0</v>
      </c>
      <c r="R243" s="6">
        <f>'Results - raw data ReCiPe (I)'!S106</f>
        <v>0</v>
      </c>
      <c r="S243" s="6">
        <f>'Results - raw data ReCiPe (I)'!T106</f>
        <v>0</v>
      </c>
      <c r="T243" s="6">
        <f>'Results - raw data ReCiPe (I)'!U106</f>
        <v>0</v>
      </c>
      <c r="U243" s="6">
        <f>'Results - raw data ReCiPe (I)'!V106</f>
        <v>0</v>
      </c>
      <c r="V243" s="6">
        <f>'Results - raw data ReCiPe (I)'!W106</f>
        <v>0</v>
      </c>
      <c r="W243" s="6">
        <f>'Results - raw data ReCiPe (I)'!X106</f>
        <v>0</v>
      </c>
      <c r="X243" s="6">
        <f>'Results - raw data ReCiPe (I)'!Y106</f>
        <v>0</v>
      </c>
      <c r="Y243" s="6">
        <f>'Results - raw data ReCiPe (I)'!Z106</f>
        <v>0</v>
      </c>
      <c r="Z243" s="6">
        <f>'Results - raw data ReCiPe (I)'!AA106</f>
        <v>0</v>
      </c>
    </row>
    <row r="244" spans="1:26" outlineLevel="1" x14ac:dyDescent="0.35">
      <c r="A244" s="6" t="s">
        <v>760</v>
      </c>
      <c r="B244" s="6">
        <f>150000*($AC$211*'Results - raw data ReCiPe (I)'!C128+(1-$AC$211)*'Results - raw data ReCiPe (I)'!C129)</f>
        <v>4.670071705280378E-3</v>
      </c>
      <c r="C244" s="6">
        <f>150000*($AC$211*'Results - raw data ReCiPe (I)'!D128+(1-$AC$211)*'Results - raw data ReCiPe (I)'!D129)</f>
        <v>4.4578866863461478E-3</v>
      </c>
      <c r="D244" s="6">
        <f>150000*($AC$211*'Results - raw data ReCiPe (I)'!E128+(1-$AC$211)*'Results - raw data ReCiPe (I)'!E129)</f>
        <v>4.2409302289263141E-3</v>
      </c>
      <c r="E244" s="6">
        <f>150000*($AC$211*'Results - raw data ReCiPe (I)'!F128+(1-$AC$211)*'Results - raw data ReCiPe (I)'!F129)</f>
        <v>4.0114364899245386E-3</v>
      </c>
      <c r="F244" s="6">
        <f>150000*($AC$211*'Results - raw data ReCiPe (I)'!G128+(1-$AC$211)*'Results - raw data ReCiPe (I)'!G129)</f>
        <v>3.7874343373399759E-3</v>
      </c>
      <c r="G244" s="6">
        <f>150000*($AC$211*'Results - raw data ReCiPe (I)'!H128+(1-$AC$211)*'Results - raw data ReCiPe (I)'!H129)</f>
        <v>3.5625407101732847E-3</v>
      </c>
      <c r="H244" s="6">
        <f>150000*($AC$211*'Results - raw data ReCiPe (I)'!I128+(1-$AC$211)*'Results - raw data ReCiPe (I)'!I129)</f>
        <v>3.563389180378379E-3</v>
      </c>
      <c r="I244" s="6">
        <f>150000*($AC$211*'Results - raw data ReCiPe (I)'!J128+(1-$AC$211)*'Results - raw data ReCiPe (I)'!J129)</f>
        <v>3.5632052368936989E-3</v>
      </c>
      <c r="J244" s="6">
        <f>150000*($AC$211*'Results - raw data ReCiPe (I)'!K128+(1-$AC$211)*'Results - raw data ReCiPe (I)'!K129)</f>
        <v>3.5588708920523829E-3</v>
      </c>
      <c r="K244" s="6">
        <f>150000*($AC$211*'Results - raw data ReCiPe (I)'!L128+(1-$AC$211)*'Results - raw data ReCiPe (I)'!L129)</f>
        <v>3.5564513366034582E-3</v>
      </c>
      <c r="L244" s="6">
        <f>150000*($AC$211*'Results - raw data ReCiPe (I)'!M128+(1-$AC$211)*'Results - raw data ReCiPe (I)'!M129)</f>
        <v>3.5530639093685526E-3</v>
      </c>
      <c r="M244" s="6">
        <f>150000*($AC$211*'Results - raw data ReCiPe (I)'!N128+(1-$AC$211)*'Results - raw data ReCiPe (I)'!N129)</f>
        <v>3.5612085343877517E-3</v>
      </c>
      <c r="N244" s="6">
        <f>150000*($AC$211*'Results - raw data ReCiPe (I)'!O128+(1-$AC$211)*'Results - raw data ReCiPe (I)'!O129)</f>
        <v>3.5695477327511906E-3</v>
      </c>
      <c r="O244" s="6">
        <f>150000*($AC$211*'Results - raw data ReCiPe (I)'!P128+(1-$AC$211)*'Results - raw data ReCiPe (I)'!P129)</f>
        <v>3.5775207177168532E-3</v>
      </c>
      <c r="P244" s="6">
        <f>150000*($AC$211*'Results - raw data ReCiPe (I)'!Q128+(1-$AC$211)*'Results - raw data ReCiPe (I)'!Q129)</f>
        <v>3.5860421620648197E-3</v>
      </c>
      <c r="Q244" s="6">
        <f>150000*($AC$211*'Results - raw data ReCiPe (I)'!R128+(1-$AC$211)*'Results - raw data ReCiPe (I)'!R129)</f>
        <v>3.5946648910172067E-3</v>
      </c>
      <c r="R244" s="6">
        <f>150000*($AC$211*'Results - raw data ReCiPe (I)'!S128+(1-$AC$211)*'Results - raw data ReCiPe (I)'!S129)</f>
        <v>3.4576546734187779E-3</v>
      </c>
      <c r="S244" s="6">
        <f>150000*($AC$211*'Results - raw data ReCiPe (I)'!T128+(1-$AC$211)*'Results - raw data ReCiPe (I)'!T129)</f>
        <v>3.3202107783277019E-3</v>
      </c>
      <c r="T244" s="6">
        <f>150000*($AC$211*'Results - raw data ReCiPe (I)'!U128+(1-$AC$211)*'Results - raw data ReCiPe (I)'!U129)</f>
        <v>3.1831776461662756E-3</v>
      </c>
      <c r="U244" s="6">
        <f>150000*($AC$211*'Results - raw data ReCiPe (I)'!V128+(1-$AC$211)*'Results - raw data ReCiPe (I)'!V129)</f>
        <v>3.047665154309283E-3</v>
      </c>
      <c r="V244" s="6">
        <f>150000*($AC$211*'Results - raw data ReCiPe (I)'!W128+(1-$AC$211)*'Results - raw data ReCiPe (I)'!W129)</f>
        <v>2.9136829411517541E-3</v>
      </c>
      <c r="W244" s="6">
        <f>150000*($AC$211*'Results - raw data ReCiPe (I)'!X128+(1-$AC$211)*'Results - raw data ReCiPe (I)'!X129)</f>
        <v>2.9520498808193771E-3</v>
      </c>
      <c r="X244" s="6">
        <f>150000*($AC$211*'Results - raw data ReCiPe (I)'!Y128+(1-$AC$211)*'Results - raw data ReCiPe (I)'!Y129)</f>
        <v>2.9040572108154665E-3</v>
      </c>
      <c r="Y244" s="6">
        <f>150000*($AC$211*'Results - raw data ReCiPe (I)'!Z128+(1-$AC$211)*'Results - raw data ReCiPe (I)'!Z129)</f>
        <v>2.8558770236330432E-3</v>
      </c>
      <c r="Z244" s="6">
        <f>150000*($AC$211*'Results - raw data ReCiPe (I)'!AA128+(1-$AC$211)*'Results - raw data ReCiPe (I)'!AA129)</f>
        <v>2.8075024448013988E-3</v>
      </c>
    </row>
    <row r="245" spans="1:26" outlineLevel="1" x14ac:dyDescent="0.35">
      <c r="A245" s="23" t="s">
        <v>125</v>
      </c>
      <c r="B245" s="17">
        <f>SUM(B214:B244)</f>
        <v>2.1724184098603907E-2</v>
      </c>
      <c r="C245" s="17">
        <f t="shared" ref="C245:Z245" si="29">SUM(C214:C244)</f>
        <v>5.1915955268876015E-3</v>
      </c>
      <c r="D245" s="17">
        <f t="shared" si="29"/>
        <v>4.9472524813479902E-3</v>
      </c>
      <c r="E245" s="17">
        <f t="shared" si="29"/>
        <v>4.687730921456322E-3</v>
      </c>
      <c r="F245" s="17">
        <f t="shared" si="29"/>
        <v>4.4357864395225483E-3</v>
      </c>
      <c r="G245" s="17">
        <f t="shared" si="29"/>
        <v>4.182944004391397E-3</v>
      </c>
      <c r="H245" s="17">
        <f t="shared" si="29"/>
        <v>4.1831081579474672E-3</v>
      </c>
      <c r="I245" s="17">
        <f t="shared" si="29"/>
        <v>4.1821190522577751E-3</v>
      </c>
      <c r="J245" s="17">
        <f t="shared" si="29"/>
        <v>4.1761355042699184E-3</v>
      </c>
      <c r="K245" s="17">
        <f t="shared" si="29"/>
        <v>4.1726553679693546E-3</v>
      </c>
      <c r="L245" s="17">
        <f t="shared" si="29"/>
        <v>4.1680950978308642E-3</v>
      </c>
      <c r="M245" s="17">
        <f t="shared" si="29"/>
        <v>4.1766915111901611E-3</v>
      </c>
      <c r="N245" s="17">
        <f t="shared" si="29"/>
        <v>4.1855032225128616E-3</v>
      </c>
      <c r="O245" s="17">
        <f t="shared" si="29"/>
        <v>4.1937502432307042E-3</v>
      </c>
      <c r="P245" s="17">
        <f t="shared" si="29"/>
        <v>4.2027699104294127E-3</v>
      </c>
      <c r="Q245" s="17">
        <f t="shared" si="29"/>
        <v>4.2119014425024684E-3</v>
      </c>
      <c r="R245" s="17">
        <f t="shared" si="29"/>
        <v>4.0617774807712439E-3</v>
      </c>
      <c r="S245" s="17">
        <f t="shared" si="29"/>
        <v>3.911060080626365E-3</v>
      </c>
      <c r="T245" s="17">
        <f t="shared" si="29"/>
        <v>3.7605480061555286E-3</v>
      </c>
      <c r="U245" s="17">
        <f t="shared" si="29"/>
        <v>3.6117226920332067E-3</v>
      </c>
      <c r="V245" s="17">
        <f t="shared" si="29"/>
        <v>3.4644495996437063E-3</v>
      </c>
      <c r="W245" s="17">
        <f t="shared" si="29"/>
        <v>3.5108440527727887E-3</v>
      </c>
      <c r="X245" s="17">
        <f t="shared" si="29"/>
        <v>3.4576676303399992E-3</v>
      </c>
      <c r="Y245" s="17">
        <f t="shared" si="29"/>
        <v>3.404299533615381E-3</v>
      </c>
      <c r="Z245" s="17">
        <f t="shared" si="29"/>
        <v>3.4877089071209491E-3</v>
      </c>
    </row>
    <row r="246" spans="1:26" s="26" customFormat="1" outlineLevel="1" x14ac:dyDescent="0.35"/>
    <row r="247" spans="1:26" s="221" customFormat="1" ht="21" x14ac:dyDescent="0.5">
      <c r="A247" s="229" t="s">
        <v>851</v>
      </c>
    </row>
    <row r="248" spans="1:26" s="18" customFormat="1" ht="21" x14ac:dyDescent="0.5">
      <c r="A248" s="18" t="s">
        <v>72</v>
      </c>
    </row>
    <row r="249" spans="1:26" s="20" customFormat="1" outlineLevel="1" x14ac:dyDescent="0.35">
      <c r="A249" s="19" t="s">
        <v>788</v>
      </c>
    </row>
    <row r="250" spans="1:26" s="20" customFormat="1" outlineLevel="1" x14ac:dyDescent="0.35">
      <c r="A250" s="273" t="s">
        <v>775</v>
      </c>
      <c r="B250" s="20">
        <v>1</v>
      </c>
      <c r="C250" s="274" t="s">
        <v>787</v>
      </c>
    </row>
    <row r="251" spans="1:26" s="20" customFormat="1" outlineLevel="1" x14ac:dyDescent="0.35">
      <c r="A251" s="273" t="s">
        <v>781</v>
      </c>
      <c r="B251" s="20">
        <v>100000</v>
      </c>
      <c r="C251" s="20" t="s">
        <v>782</v>
      </c>
      <c r="E251" s="274"/>
    </row>
    <row r="252" spans="1:26" s="20" customFormat="1" outlineLevel="1" x14ac:dyDescent="0.35">
      <c r="A252" s="273" t="s">
        <v>783</v>
      </c>
      <c r="B252" s="20">
        <v>1500</v>
      </c>
      <c r="C252" s="20" t="s">
        <v>592</v>
      </c>
    </row>
    <row r="253" spans="1:26" s="20" customFormat="1" outlineLevel="1" x14ac:dyDescent="0.35">
      <c r="A253" s="273" t="s">
        <v>784</v>
      </c>
      <c r="B253" s="20">
        <v>8760</v>
      </c>
      <c r="C253" s="20" t="s">
        <v>785</v>
      </c>
    </row>
    <row r="254" spans="1:26" s="20" customFormat="1" outlineLevel="1" x14ac:dyDescent="0.35">
      <c r="A254" s="273"/>
    </row>
    <row r="255" spans="1:26" s="20" customFormat="1" outlineLevel="1" x14ac:dyDescent="0.35">
      <c r="A255" s="275" t="s">
        <v>786</v>
      </c>
      <c r="B255" s="275">
        <f>(B251*B252)/(B253*B250)</f>
        <v>17123.287671232876</v>
      </c>
      <c r="C255" s="275" t="s">
        <v>749</v>
      </c>
    </row>
    <row r="256" spans="1:26" s="20" customFormat="1" outlineLevel="1" x14ac:dyDescent="0.35">
      <c r="A256" s="19"/>
    </row>
    <row r="257" spans="1:31" s="20" customFormat="1" outlineLevel="1" x14ac:dyDescent="0.35">
      <c r="A257" s="19" t="s">
        <v>793</v>
      </c>
    </row>
    <row r="258" spans="1:31" s="20" customFormat="1" outlineLevel="1" x14ac:dyDescent="0.35">
      <c r="A258" s="273" t="s">
        <v>789</v>
      </c>
      <c r="B258" s="20">
        <f>SUM('Results - raw data ReCiPe (I)'!C136:C137)+'Results - raw data ReCiPe (I)'!C140+SUM('Results - raw data ReCiPe (I)'!C138:C139)*AC267</f>
        <v>4.6059370188287509E-4</v>
      </c>
      <c r="C258" s="20" t="s">
        <v>790</v>
      </c>
    </row>
    <row r="259" spans="1:31" s="20" customFormat="1" outlineLevel="1" x14ac:dyDescent="0.35">
      <c r="A259" s="20" t="s">
        <v>792</v>
      </c>
      <c r="B259" s="20">
        <f>B251*AC265</f>
        <v>50000</v>
      </c>
      <c r="C259" s="274" t="s">
        <v>795</v>
      </c>
    </row>
    <row r="260" spans="1:31" s="20" customFormat="1" outlineLevel="1" x14ac:dyDescent="0.35">
      <c r="A260" s="20" t="s">
        <v>791</v>
      </c>
      <c r="B260" s="20">
        <f>(B258*AC267*B255)/(B259*AC266)*(AC266/AC268)</f>
        <v>4.7321270741391278E-5</v>
      </c>
      <c r="C260" s="20" t="s">
        <v>794</v>
      </c>
      <c r="E260" s="274" t="s">
        <v>796</v>
      </c>
    </row>
    <row r="261" spans="1:31" s="20" customFormat="1" outlineLevel="1" x14ac:dyDescent="0.35">
      <c r="A261" s="19"/>
    </row>
    <row r="262" spans="1:31" s="16" customFormat="1" outlineLevel="1" x14ac:dyDescent="0.35">
      <c r="A262" s="21"/>
      <c r="AB262" s="16" t="s">
        <v>47</v>
      </c>
      <c r="AC262" s="16">
        <v>8.1199999999999999E-8</v>
      </c>
      <c r="AD262" s="16" t="s">
        <v>48</v>
      </c>
      <c r="AE262" s="15" t="s">
        <v>714</v>
      </c>
    </row>
    <row r="263" spans="1:31" s="16" customFormat="1" outlineLevel="1" x14ac:dyDescent="0.35">
      <c r="A263" s="22" t="s">
        <v>564</v>
      </c>
      <c r="AC263" s="16">
        <f>AC262*1000</f>
        <v>8.1199999999999995E-5</v>
      </c>
      <c r="AD263" s="16" t="s">
        <v>126</v>
      </c>
    </row>
    <row r="264" spans="1:31" s="16" customFormat="1" outlineLevel="1" x14ac:dyDescent="0.35">
      <c r="A264" s="22"/>
      <c r="AB264" s="16" t="s">
        <v>127</v>
      </c>
      <c r="AC264" s="276">
        <f>100*AC265</f>
        <v>50</v>
      </c>
      <c r="AD264" s="16" t="s">
        <v>128</v>
      </c>
    </row>
    <row r="265" spans="1:31" s="16" customFormat="1" outlineLevel="1" x14ac:dyDescent="0.35">
      <c r="A265" s="230"/>
      <c r="AB265" s="16" t="s">
        <v>776</v>
      </c>
      <c r="AC265" s="276">
        <v>0.5</v>
      </c>
    </row>
    <row r="266" spans="1:31" s="16" customFormat="1" outlineLevel="1" x14ac:dyDescent="0.35">
      <c r="A266" s="230"/>
      <c r="AB266" s="16" t="s">
        <v>129</v>
      </c>
      <c r="AC266" s="276">
        <v>25</v>
      </c>
      <c r="AD266" s="16" t="s">
        <v>130</v>
      </c>
    </row>
    <row r="267" spans="1:31" s="16" customFormat="1" outlineLevel="1" x14ac:dyDescent="0.35">
      <c r="A267" s="230"/>
      <c r="AB267" s="16" t="s">
        <v>777</v>
      </c>
      <c r="AC267" s="276">
        <v>6</v>
      </c>
      <c r="AD267" s="16" t="s">
        <v>779</v>
      </c>
    </row>
    <row r="268" spans="1:31" s="16" customFormat="1" outlineLevel="1" x14ac:dyDescent="0.35">
      <c r="A268" s="22"/>
      <c r="AB268" s="16" t="s">
        <v>778</v>
      </c>
      <c r="AC268" s="276">
        <v>20</v>
      </c>
      <c r="AD268" s="16" t="s">
        <v>130</v>
      </c>
    </row>
    <row r="269" spans="1:31" s="16" customFormat="1" outlineLevel="1" x14ac:dyDescent="0.35">
      <c r="A269" s="22"/>
      <c r="AB269" s="16" t="s">
        <v>780</v>
      </c>
      <c r="AC269" s="276">
        <f>B255</f>
        <v>17123.287671232876</v>
      </c>
      <c r="AD269" s="16" t="s">
        <v>749</v>
      </c>
    </row>
    <row r="270" spans="1:31" s="16" customFormat="1" outlineLevel="1" x14ac:dyDescent="0.35">
      <c r="A270" s="22"/>
    </row>
    <row r="271" spans="1:31" s="16" customFormat="1" outlineLevel="1" x14ac:dyDescent="0.35">
      <c r="A271" s="22"/>
      <c r="AB271" s="16" t="s">
        <v>798</v>
      </c>
      <c r="AC271" s="16">
        <v>0.25</v>
      </c>
    </row>
    <row r="272" spans="1:31" s="16" customFormat="1" outlineLevel="1" x14ac:dyDescent="0.35">
      <c r="A272" s="22"/>
      <c r="AB272" s="16" t="s">
        <v>799</v>
      </c>
      <c r="AC272" s="16">
        <v>0.9</v>
      </c>
    </row>
    <row r="273" spans="1:53" outlineLevel="1" x14ac:dyDescent="0.35">
      <c r="B273" s="25">
        <v>2030</v>
      </c>
      <c r="C273" s="25">
        <v>2031</v>
      </c>
      <c r="D273" s="25">
        <v>2032</v>
      </c>
      <c r="E273" s="25">
        <v>2033</v>
      </c>
      <c r="F273" s="25">
        <v>2034</v>
      </c>
      <c r="G273" s="25">
        <v>2035</v>
      </c>
      <c r="H273" s="25">
        <v>2036</v>
      </c>
      <c r="I273" s="25">
        <v>2037</v>
      </c>
      <c r="J273" s="25">
        <v>2038</v>
      </c>
      <c r="K273" s="25">
        <v>2039</v>
      </c>
      <c r="L273" s="25">
        <v>2040</v>
      </c>
      <c r="M273" s="25">
        <v>2041</v>
      </c>
      <c r="N273" s="25">
        <v>2042</v>
      </c>
      <c r="O273" s="25">
        <v>2043</v>
      </c>
      <c r="P273" s="25">
        <v>2044</v>
      </c>
      <c r="Q273" s="25">
        <v>2045</v>
      </c>
      <c r="R273" s="25">
        <v>2046</v>
      </c>
      <c r="S273" s="25">
        <v>2047</v>
      </c>
      <c r="T273" s="25">
        <v>2048</v>
      </c>
      <c r="U273" s="25">
        <v>2049</v>
      </c>
      <c r="V273" s="25">
        <v>2050</v>
      </c>
      <c r="W273" s="25">
        <v>2051</v>
      </c>
      <c r="X273" s="25">
        <v>2052</v>
      </c>
      <c r="Y273" s="25">
        <v>2053</v>
      </c>
      <c r="Z273" s="25">
        <v>2054</v>
      </c>
      <c r="AC273" s="25">
        <v>2030</v>
      </c>
      <c r="AD273" s="25">
        <v>2031</v>
      </c>
      <c r="AE273" s="25">
        <v>2032</v>
      </c>
      <c r="AF273" s="25">
        <v>2033</v>
      </c>
      <c r="AG273" s="25">
        <v>2034</v>
      </c>
      <c r="AH273" s="25">
        <v>2035</v>
      </c>
      <c r="AI273" s="25">
        <v>2036</v>
      </c>
      <c r="AJ273" s="25">
        <v>2037</v>
      </c>
      <c r="AK273" s="25">
        <v>2038</v>
      </c>
      <c r="AL273" s="25">
        <v>2039</v>
      </c>
      <c r="AM273" s="25">
        <v>2040</v>
      </c>
      <c r="AN273" s="25">
        <v>2041</v>
      </c>
      <c r="AO273" s="25">
        <v>2042</v>
      </c>
      <c r="AP273" s="25">
        <v>2043</v>
      </c>
      <c r="AQ273" s="25">
        <v>2044</v>
      </c>
      <c r="AR273" s="25">
        <v>2045</v>
      </c>
      <c r="AS273" s="25">
        <v>2046</v>
      </c>
      <c r="AT273" s="25">
        <v>2047</v>
      </c>
      <c r="AU273" s="25">
        <v>2048</v>
      </c>
      <c r="AV273" s="25">
        <v>2049</v>
      </c>
      <c r="AW273" s="25">
        <v>2050</v>
      </c>
      <c r="AX273" s="25">
        <v>2051</v>
      </c>
      <c r="AY273" s="25">
        <v>2052</v>
      </c>
      <c r="AZ273" s="25">
        <v>2053</v>
      </c>
      <c r="BA273" s="25">
        <v>2054</v>
      </c>
    </row>
    <row r="274" spans="1:53" outlineLevel="1" x14ac:dyDescent="0.35">
      <c r="A274" s="6" t="s">
        <v>21</v>
      </c>
      <c r="B274" s="6">
        <f t="shared" ref="B274:B285" si="30">B10</f>
        <v>3.4482324452453388E-4</v>
      </c>
      <c r="AB274" s="6" t="s">
        <v>117</v>
      </c>
      <c r="AC274" s="6">
        <f>SUM(B274:B285)+B287</f>
        <v>1.6817381364946159E-2</v>
      </c>
    </row>
    <row r="275" spans="1:53" outlineLevel="1" x14ac:dyDescent="0.35">
      <c r="A275" s="6" t="s">
        <v>23</v>
      </c>
      <c r="B275" s="6">
        <f t="shared" si="30"/>
        <v>4.7946797325153261E-4</v>
      </c>
      <c r="AB275" s="6" t="s">
        <v>118</v>
      </c>
      <c r="AC275" s="6">
        <f>B286</f>
        <v>5.2853395763745249E-4</v>
      </c>
    </row>
    <row r="276" spans="1:53" outlineLevel="1" x14ac:dyDescent="0.35">
      <c r="A276" s="6" t="s">
        <v>26</v>
      </c>
      <c r="B276" s="6">
        <f t="shared" si="30"/>
        <v>1.571898438205927E-3</v>
      </c>
      <c r="AB276" s="6" t="s">
        <v>119</v>
      </c>
      <c r="BA276" s="6">
        <f>SUM(Z288:Z299)</f>
        <v>1.5084924361783567E-4</v>
      </c>
    </row>
    <row r="277" spans="1:53" outlineLevel="1" x14ac:dyDescent="0.35">
      <c r="A277" s="6" t="s">
        <v>28</v>
      </c>
      <c r="B277" s="6">
        <f t="shared" si="30"/>
        <v>2.6377271881221618E-3</v>
      </c>
      <c r="AB277" s="6" t="s">
        <v>120</v>
      </c>
      <c r="BA277" s="6">
        <f>Z300</f>
        <v>2.5844230653334048E-6</v>
      </c>
    </row>
    <row r="278" spans="1:53" outlineLevel="1" x14ac:dyDescent="0.35">
      <c r="A278" s="6" t="s">
        <v>29</v>
      </c>
      <c r="B278" s="6">
        <f t="shared" si="30"/>
        <v>1.6956900718161901E-3</v>
      </c>
      <c r="AB278" s="6" t="s">
        <v>121</v>
      </c>
      <c r="AC278" s="6">
        <f>B301</f>
        <v>3.0950823392567891E-4</v>
      </c>
      <c r="AF278" s="6">
        <f>E301</f>
        <v>3.0470171244799881E-4</v>
      </c>
      <c r="AI278" s="6">
        <f>H301</f>
        <v>3.0220482749963639E-4</v>
      </c>
      <c r="AL278" s="6">
        <f>K301</f>
        <v>3.0088082558559647E-4</v>
      </c>
      <c r="AO278" s="6">
        <f>N301</f>
        <v>3.0032218865651928E-4</v>
      </c>
      <c r="AR278" s="6">
        <f>Q301</f>
        <v>2.9975776117043001E-4</v>
      </c>
      <c r="AU278" s="6">
        <f>T301</f>
        <v>2.9488735419779449E-4</v>
      </c>
      <c r="AX278" s="6">
        <f>W301</f>
        <v>3.0452007285205519E-4</v>
      </c>
      <c r="BA278" s="6">
        <f>Z301</f>
        <v>2.9772367667854253E-4</v>
      </c>
    </row>
    <row r="279" spans="1:53" outlineLevel="1" x14ac:dyDescent="0.35">
      <c r="A279" s="6" t="s">
        <v>31</v>
      </c>
      <c r="B279" s="6">
        <f t="shared" si="30"/>
        <v>9.1842149141053552E-4</v>
      </c>
      <c r="AB279" s="6" t="s">
        <v>797</v>
      </c>
      <c r="AC279" s="6">
        <f>B305</f>
        <v>2.366063537069564E-3</v>
      </c>
      <c r="AD279" s="6">
        <f t="shared" ref="AD279:BA279" si="31">C305</f>
        <v>2.366063537069564E-3</v>
      </c>
      <c r="AE279" s="6">
        <f t="shared" si="31"/>
        <v>2.366063537069564E-3</v>
      </c>
      <c r="AF279" s="6">
        <f t="shared" si="31"/>
        <v>2.366063537069564E-3</v>
      </c>
      <c r="AG279" s="6">
        <f t="shared" si="31"/>
        <v>2.366063537069564E-3</v>
      </c>
      <c r="AH279" s="6">
        <f t="shared" si="31"/>
        <v>2.366063537069564E-3</v>
      </c>
      <c r="AI279" s="6">
        <f t="shared" si="31"/>
        <v>2.366063537069564E-3</v>
      </c>
      <c r="AJ279" s="6">
        <f t="shared" si="31"/>
        <v>2.366063537069564E-3</v>
      </c>
      <c r="AK279" s="6">
        <f t="shared" si="31"/>
        <v>2.366063537069564E-3</v>
      </c>
      <c r="AL279" s="6">
        <f t="shared" si="31"/>
        <v>2.366063537069564E-3</v>
      </c>
      <c r="AM279" s="6">
        <f t="shared" si="31"/>
        <v>2.366063537069564E-3</v>
      </c>
      <c r="AN279" s="6">
        <f t="shared" si="31"/>
        <v>2.366063537069564E-3</v>
      </c>
      <c r="AO279" s="6">
        <f t="shared" si="31"/>
        <v>2.366063537069564E-3</v>
      </c>
      <c r="AP279" s="6">
        <f t="shared" si="31"/>
        <v>2.366063537069564E-3</v>
      </c>
      <c r="AQ279" s="6">
        <f t="shared" si="31"/>
        <v>2.366063537069564E-3</v>
      </c>
      <c r="AR279" s="6">
        <f t="shared" si="31"/>
        <v>2.366063537069564E-3</v>
      </c>
      <c r="AS279" s="6">
        <f t="shared" si="31"/>
        <v>2.366063537069564E-3</v>
      </c>
      <c r="AT279" s="6">
        <f t="shared" si="31"/>
        <v>2.366063537069564E-3</v>
      </c>
      <c r="AU279" s="6">
        <f t="shared" si="31"/>
        <v>2.366063537069564E-3</v>
      </c>
      <c r="AV279" s="6">
        <f t="shared" si="31"/>
        <v>2.366063537069564E-3</v>
      </c>
      <c r="AW279" s="6">
        <f t="shared" si="31"/>
        <v>2.366063537069564E-3</v>
      </c>
      <c r="AX279" s="6">
        <f t="shared" si="31"/>
        <v>2.366063537069564E-3</v>
      </c>
      <c r="AY279" s="6">
        <f t="shared" si="31"/>
        <v>2.366063537069564E-3</v>
      </c>
      <c r="AZ279" s="6">
        <f t="shared" si="31"/>
        <v>2.366063537069564E-3</v>
      </c>
      <c r="BA279" s="6">
        <f t="shared" si="31"/>
        <v>2.366063537069564E-3</v>
      </c>
    </row>
    <row r="280" spans="1:53" outlineLevel="1" x14ac:dyDescent="0.35">
      <c r="A280" s="6" t="s">
        <v>34</v>
      </c>
      <c r="B280" s="6">
        <f t="shared" si="30"/>
        <v>7.0849442354684153E-4</v>
      </c>
      <c r="AB280" s="6" t="s">
        <v>122</v>
      </c>
      <c r="AC280" s="6">
        <f t="shared" ref="AC280:BA280" si="32">B304+B303</f>
        <v>2.1493337284954821E-3</v>
      </c>
      <c r="AD280" s="6">
        <f t="shared" si="32"/>
        <v>2.1424811210054308E-3</v>
      </c>
      <c r="AE280" s="6">
        <f t="shared" si="32"/>
        <v>2.1358044030621434E-3</v>
      </c>
      <c r="AF280" s="6">
        <f t="shared" si="32"/>
        <v>2.121952697132755E-3</v>
      </c>
      <c r="AG280" s="6">
        <f t="shared" si="32"/>
        <v>2.1156541272333131E-3</v>
      </c>
      <c r="AH280" s="6">
        <f t="shared" si="32"/>
        <v>2.1095552552286515E-3</v>
      </c>
      <c r="AI280" s="6">
        <f t="shared" si="32"/>
        <v>2.1028595646585451E-3</v>
      </c>
      <c r="AJ280" s="6">
        <f t="shared" si="32"/>
        <v>2.0968194948355291E-3</v>
      </c>
      <c r="AK280" s="6">
        <f t="shared" si="32"/>
        <v>2.0890291699512458E-3</v>
      </c>
      <c r="AL280" s="6">
        <f t="shared" si="32"/>
        <v>2.0839767744222494E-3</v>
      </c>
      <c r="AM280" s="6">
        <f t="shared" si="32"/>
        <v>2.0794088178689063E-3</v>
      </c>
      <c r="AN280" s="6">
        <f t="shared" si="32"/>
        <v>2.0761960471048931E-3</v>
      </c>
      <c r="AO280" s="6">
        <f t="shared" si="32"/>
        <v>2.0734546947029794E-3</v>
      </c>
      <c r="AP280" s="6">
        <f t="shared" si="32"/>
        <v>2.0704986315215699E-3</v>
      </c>
      <c r="AQ280" s="6">
        <f t="shared" si="32"/>
        <v>2.0685675194635146E-3</v>
      </c>
      <c r="AR280" s="6">
        <f t="shared" si="32"/>
        <v>2.0672694378636217E-3</v>
      </c>
      <c r="AS280" s="6">
        <f t="shared" si="32"/>
        <v>2.0625799353889578E-3</v>
      </c>
      <c r="AT280" s="6">
        <f t="shared" si="32"/>
        <v>2.0579014286739804E-3</v>
      </c>
      <c r="AU280" s="6">
        <f t="shared" si="32"/>
        <v>2.0526171600458369E-3</v>
      </c>
      <c r="AV280" s="6">
        <f t="shared" si="32"/>
        <v>2.0479374765578003E-3</v>
      </c>
      <c r="AW280" s="6">
        <f t="shared" si="32"/>
        <v>2.0432490061340113E-3</v>
      </c>
      <c r="AX280" s="6">
        <f t="shared" si="32"/>
        <v>2.0997037787948815E-3</v>
      </c>
      <c r="AY280" s="6">
        <f t="shared" si="32"/>
        <v>2.092778128749727E-3</v>
      </c>
      <c r="AZ280" s="6">
        <f t="shared" si="32"/>
        <v>2.0858095439758189E-3</v>
      </c>
      <c r="BA280" s="6">
        <f t="shared" si="32"/>
        <v>2.0787979329940755E-3</v>
      </c>
    </row>
    <row r="281" spans="1:53" outlineLevel="1" x14ac:dyDescent="0.35">
      <c r="A281" s="6" t="s">
        <v>36</v>
      </c>
      <c r="B281" s="6">
        <f t="shared" si="30"/>
        <v>2.9394021232551797E-4</v>
      </c>
      <c r="AB281" s="6" t="s">
        <v>123</v>
      </c>
      <c r="AC281" s="6">
        <f t="shared" ref="AC281:BA281" si="33">B302</f>
        <v>3.4813410845175598E-4</v>
      </c>
      <c r="AD281" s="6">
        <f t="shared" si="33"/>
        <v>3.475927813222566E-4</v>
      </c>
      <c r="AE281" s="6">
        <f t="shared" si="33"/>
        <v>3.4624714159883264E-4</v>
      </c>
      <c r="AF281" s="6">
        <f t="shared" si="33"/>
        <v>3.4434740002538689E-4</v>
      </c>
      <c r="AG281" s="6">
        <f t="shared" si="33"/>
        <v>3.4275499849217215E-4</v>
      </c>
      <c r="AH281" s="6">
        <f t="shared" si="33"/>
        <v>3.4116700959134461E-4</v>
      </c>
      <c r="AI281" s="6">
        <f t="shared" si="33"/>
        <v>3.5010732412796969E-4</v>
      </c>
      <c r="AJ281" s="6">
        <f t="shared" si="33"/>
        <v>3.589800701781072E-4</v>
      </c>
      <c r="AK281" s="6">
        <f t="shared" si="33"/>
        <v>3.6767596242940021E-4</v>
      </c>
      <c r="AL281" s="6">
        <f t="shared" si="33"/>
        <v>3.7639588441224311E-4</v>
      </c>
      <c r="AM281" s="6">
        <f t="shared" si="33"/>
        <v>3.850358976832772E-4</v>
      </c>
      <c r="AN281" s="6">
        <f t="shared" si="33"/>
        <v>4.0250913818541369E-4</v>
      </c>
      <c r="AO281" s="6">
        <f t="shared" si="33"/>
        <v>4.1990498912930111E-4</v>
      </c>
      <c r="AP281" s="6">
        <f t="shared" si="33"/>
        <v>4.3719912532854538E-4</v>
      </c>
      <c r="AQ281" s="6">
        <f t="shared" si="33"/>
        <v>4.5443450453039997E-4</v>
      </c>
      <c r="AR281" s="6">
        <f t="shared" si="33"/>
        <v>4.7159214769744619E-4</v>
      </c>
      <c r="AS281" s="6">
        <f t="shared" si="33"/>
        <v>4.7128156149198186E-4</v>
      </c>
      <c r="AT281" s="6">
        <f t="shared" si="33"/>
        <v>4.7090276732547268E-4</v>
      </c>
      <c r="AU281" s="6">
        <f t="shared" si="33"/>
        <v>4.7048669880308603E-4</v>
      </c>
      <c r="AV281" s="6">
        <f t="shared" si="33"/>
        <v>4.7008329103871883E-4</v>
      </c>
      <c r="AW281" s="6">
        <f t="shared" si="33"/>
        <v>4.6966929393457593E-4</v>
      </c>
      <c r="AX281" s="6">
        <f t="shared" si="33"/>
        <v>4.7462157339846943E-4</v>
      </c>
      <c r="AY281" s="6">
        <f t="shared" si="33"/>
        <v>4.6362381534667638E-4</v>
      </c>
      <c r="AZ281" s="6">
        <f t="shared" si="33"/>
        <v>4.5262994561477845E-4</v>
      </c>
      <c r="BA281" s="6">
        <f t="shared" si="33"/>
        <v>4.4163938080999169E-4</v>
      </c>
    </row>
    <row r="282" spans="1:53" outlineLevel="1" x14ac:dyDescent="0.35">
      <c r="A282" s="6" t="s">
        <v>38</v>
      </c>
      <c r="B282" s="6">
        <f t="shared" si="30"/>
        <v>3.0387950122960721E-3</v>
      </c>
      <c r="AB282" s="6" t="s">
        <v>124</v>
      </c>
      <c r="AC282" s="6">
        <f>-$AC$264*$AC$263</f>
        <v>-4.0599999999999994E-3</v>
      </c>
      <c r="AD282" s="6">
        <f t="shared" ref="AD282:BA282" si="34">-$AC$264*$AC$263</f>
        <v>-4.0599999999999994E-3</v>
      </c>
      <c r="AE282" s="6">
        <f t="shared" si="34"/>
        <v>-4.0599999999999994E-3</v>
      </c>
      <c r="AF282" s="6">
        <f t="shared" si="34"/>
        <v>-4.0599999999999994E-3</v>
      </c>
      <c r="AG282" s="6">
        <f t="shared" si="34"/>
        <v>-4.0599999999999994E-3</v>
      </c>
      <c r="AH282" s="6">
        <f t="shared" si="34"/>
        <v>-4.0599999999999994E-3</v>
      </c>
      <c r="AI282" s="6">
        <f t="shared" si="34"/>
        <v>-4.0599999999999994E-3</v>
      </c>
      <c r="AJ282" s="6">
        <f t="shared" si="34"/>
        <v>-4.0599999999999994E-3</v>
      </c>
      <c r="AK282" s="6">
        <f t="shared" si="34"/>
        <v>-4.0599999999999994E-3</v>
      </c>
      <c r="AL282" s="6">
        <f t="shared" si="34"/>
        <v>-4.0599999999999994E-3</v>
      </c>
      <c r="AM282" s="6">
        <f t="shared" si="34"/>
        <v>-4.0599999999999994E-3</v>
      </c>
      <c r="AN282" s="6">
        <f t="shared" si="34"/>
        <v>-4.0599999999999994E-3</v>
      </c>
      <c r="AO282" s="6">
        <f t="shared" si="34"/>
        <v>-4.0599999999999994E-3</v>
      </c>
      <c r="AP282" s="6">
        <f t="shared" si="34"/>
        <v>-4.0599999999999994E-3</v>
      </c>
      <c r="AQ282" s="6">
        <f t="shared" si="34"/>
        <v>-4.0599999999999994E-3</v>
      </c>
      <c r="AR282" s="6">
        <f t="shared" si="34"/>
        <v>-4.0599999999999994E-3</v>
      </c>
      <c r="AS282" s="6">
        <f t="shared" si="34"/>
        <v>-4.0599999999999994E-3</v>
      </c>
      <c r="AT282" s="6">
        <f t="shared" si="34"/>
        <v>-4.0599999999999994E-3</v>
      </c>
      <c r="AU282" s="6">
        <f t="shared" si="34"/>
        <v>-4.0599999999999994E-3</v>
      </c>
      <c r="AV282" s="6">
        <f t="shared" si="34"/>
        <v>-4.0599999999999994E-3</v>
      </c>
      <c r="AW282" s="6">
        <f t="shared" si="34"/>
        <v>-4.0599999999999994E-3</v>
      </c>
      <c r="AX282" s="6">
        <f t="shared" si="34"/>
        <v>-4.0599999999999994E-3</v>
      </c>
      <c r="AY282" s="6">
        <f t="shared" si="34"/>
        <v>-4.0599999999999994E-3</v>
      </c>
      <c r="AZ282" s="6">
        <f t="shared" si="34"/>
        <v>-4.0599999999999994E-3</v>
      </c>
      <c r="BA282" s="6">
        <f t="shared" si="34"/>
        <v>-4.0599999999999994E-3</v>
      </c>
    </row>
    <row r="283" spans="1:53" outlineLevel="1" x14ac:dyDescent="0.35">
      <c r="A283" s="6" t="s">
        <v>39</v>
      </c>
      <c r="B283" s="6">
        <f t="shared" si="30"/>
        <v>4.0042660555487464E-3</v>
      </c>
      <c r="AB283" s="23" t="s">
        <v>125</v>
      </c>
      <c r="AC283" s="17">
        <f t="shared" ref="AC283:BA283" si="35">SUM(AC274:AC282)</f>
        <v>1.8458954930526093E-2</v>
      </c>
      <c r="AD283" s="17">
        <f t="shared" si="35"/>
        <v>7.9613743939725267E-4</v>
      </c>
      <c r="AE283" s="17">
        <f t="shared" si="35"/>
        <v>7.8811508173054056E-4</v>
      </c>
      <c r="AF283" s="17">
        <f t="shared" si="35"/>
        <v>1.077065346675705E-3</v>
      </c>
      <c r="AG283" s="17">
        <f t="shared" si="35"/>
        <v>7.6447266279505016E-4</v>
      </c>
      <c r="AH283" s="17">
        <f t="shared" si="35"/>
        <v>7.567858018895611E-4</v>
      </c>
      <c r="AI283" s="17">
        <f t="shared" si="35"/>
        <v>1.0612352533557155E-3</v>
      </c>
      <c r="AJ283" s="17">
        <f t="shared" si="35"/>
        <v>7.6186310208320104E-4</v>
      </c>
      <c r="AK283" s="17">
        <f t="shared" si="35"/>
        <v>7.6276866945021102E-4</v>
      </c>
      <c r="AL283" s="17">
        <f t="shared" si="35"/>
        <v>1.0673170214896537E-3</v>
      </c>
      <c r="AM283" s="17">
        <f t="shared" si="35"/>
        <v>7.7050825262174778E-4</v>
      </c>
      <c r="AN283" s="17">
        <f t="shared" si="35"/>
        <v>7.847687223598715E-4</v>
      </c>
      <c r="AO283" s="17">
        <f t="shared" si="35"/>
        <v>1.0997454095583647E-3</v>
      </c>
      <c r="AP283" s="17">
        <f t="shared" si="35"/>
        <v>8.1376129391967991E-4</v>
      </c>
      <c r="AQ283" s="17">
        <f t="shared" si="35"/>
        <v>8.2906556106347902E-4</v>
      </c>
      <c r="AR283" s="17">
        <f t="shared" si="35"/>
        <v>1.1446828838010629E-3</v>
      </c>
      <c r="AS283" s="17">
        <f t="shared" si="35"/>
        <v>8.3992503395050391E-4</v>
      </c>
      <c r="AT283" s="17">
        <f t="shared" si="35"/>
        <v>8.3486773306901824E-4</v>
      </c>
      <c r="AU283" s="17">
        <f t="shared" si="35"/>
        <v>1.1240547501162818E-3</v>
      </c>
      <c r="AV283" s="17">
        <f t="shared" si="35"/>
        <v>8.2408430466608326E-4</v>
      </c>
      <c r="AW283" s="17">
        <f t="shared" si="35"/>
        <v>8.1898183713815208E-4</v>
      </c>
      <c r="AX283" s="17">
        <f t="shared" si="35"/>
        <v>1.1849089621149703E-3</v>
      </c>
      <c r="AY283" s="17">
        <f t="shared" si="35"/>
        <v>8.6246548116596794E-4</v>
      </c>
      <c r="AZ283" s="17">
        <f t="shared" si="35"/>
        <v>8.4450302666016185E-4</v>
      </c>
      <c r="BA283" s="17">
        <f t="shared" si="35"/>
        <v>1.277658194235344E-3</v>
      </c>
    </row>
    <row r="284" spans="1:53" outlineLevel="1" x14ac:dyDescent="0.35">
      <c r="A284" s="6" t="s">
        <v>41</v>
      </c>
      <c r="B284" s="6">
        <f t="shared" si="30"/>
        <v>1.711764216090895E-5</v>
      </c>
    </row>
    <row r="285" spans="1:53" outlineLevel="1" x14ac:dyDescent="0.35">
      <c r="A285" s="6" t="s">
        <v>43</v>
      </c>
      <c r="B285" s="6">
        <f t="shared" si="30"/>
        <v>1.2630230587234361E-4</v>
      </c>
      <c r="AB285" s="272"/>
      <c r="AC285" s="272"/>
      <c r="AD285" s="272"/>
      <c r="AE285" s="272"/>
      <c r="AF285" s="272"/>
      <c r="AG285" s="272"/>
      <c r="AH285" s="272"/>
      <c r="AI285" s="272"/>
      <c r="AJ285" s="272"/>
      <c r="AK285" s="272"/>
      <c r="AL285" s="272"/>
      <c r="AM285" s="272"/>
      <c r="AN285" s="272"/>
      <c r="AO285" s="272"/>
      <c r="AP285" s="272"/>
      <c r="AQ285" s="272"/>
      <c r="AR285" s="272"/>
      <c r="AS285" s="272"/>
      <c r="AT285" s="272"/>
      <c r="AU285" s="272"/>
      <c r="AV285" s="272"/>
      <c r="AW285" s="272"/>
      <c r="AX285" s="272"/>
      <c r="AY285" s="272"/>
      <c r="AZ285" s="272"/>
      <c r="BA285" s="272"/>
    </row>
    <row r="286" spans="1:53" outlineLevel="1" x14ac:dyDescent="0.35">
      <c r="A286" s="6" t="s">
        <v>44</v>
      </c>
      <c r="B286" s="6">
        <f>B22*AC265</f>
        <v>5.2853395763745249E-4</v>
      </c>
      <c r="AB286" s="272"/>
      <c r="AC286" s="272"/>
      <c r="AD286" s="272"/>
      <c r="AE286" s="272"/>
      <c r="AF286" s="272"/>
      <c r="AG286" s="272"/>
      <c r="AH286" s="272"/>
      <c r="AI286" s="272"/>
      <c r="AJ286" s="272"/>
      <c r="AK286" s="272"/>
      <c r="AL286" s="272"/>
      <c r="AM286" s="272"/>
      <c r="AN286" s="272"/>
      <c r="AO286" s="272"/>
      <c r="AP286" s="272"/>
      <c r="AQ286" s="272"/>
      <c r="AR286" s="272"/>
      <c r="AS286" s="272"/>
      <c r="AT286" s="272"/>
      <c r="AU286" s="272"/>
      <c r="AV286" s="272"/>
      <c r="AW286" s="272"/>
      <c r="AX286" s="272"/>
      <c r="AY286" s="272"/>
      <c r="AZ286" s="272"/>
      <c r="BA286" s="272"/>
    </row>
    <row r="287" spans="1:53" outlineLevel="1" x14ac:dyDescent="0.35">
      <c r="A287" s="6" t="s">
        <v>757</v>
      </c>
      <c r="B287" s="6">
        <f>B23*AC265</f>
        <v>9.8043730586484671E-4</v>
      </c>
      <c r="AB287" s="272"/>
      <c r="AC287" s="272"/>
      <c r="AD287" s="272"/>
      <c r="AE287" s="272"/>
      <c r="AF287" s="272"/>
      <c r="AG287" s="272"/>
      <c r="AH287" s="272"/>
      <c r="AI287" s="272"/>
      <c r="AJ287" s="272"/>
      <c r="AK287" s="272"/>
      <c r="AL287" s="272"/>
      <c r="AM287" s="272"/>
      <c r="AN287" s="272"/>
      <c r="AO287" s="272"/>
      <c r="AP287" s="272"/>
      <c r="AQ287" s="272"/>
      <c r="AR287" s="272"/>
      <c r="AS287" s="272"/>
      <c r="AT287" s="272"/>
      <c r="AU287" s="272"/>
      <c r="AV287" s="272"/>
      <c r="AW287" s="272"/>
      <c r="AX287" s="272"/>
      <c r="AY287" s="272"/>
      <c r="AZ287" s="272"/>
      <c r="BA287" s="272"/>
    </row>
    <row r="288" spans="1:53" outlineLevel="1" x14ac:dyDescent="0.35">
      <c r="A288" s="6" t="s">
        <v>22</v>
      </c>
      <c r="Z288" s="6">
        <f t="shared" ref="Z288:Z299" si="36">Z24</f>
        <v>2.538889440119622E-6</v>
      </c>
      <c r="AB288" s="272"/>
      <c r="AC288" s="272"/>
      <c r="AD288" s="272"/>
      <c r="AE288" s="272"/>
      <c r="AF288" s="272"/>
      <c r="AG288" s="272"/>
      <c r="AH288" s="272"/>
      <c r="AI288" s="272"/>
      <c r="AJ288" s="272"/>
      <c r="AK288" s="272"/>
      <c r="AL288" s="272"/>
      <c r="AM288" s="272"/>
      <c r="AN288" s="272"/>
      <c r="AO288" s="272"/>
      <c r="AP288" s="272"/>
      <c r="AQ288" s="272"/>
      <c r="AR288" s="272"/>
      <c r="AS288" s="272"/>
      <c r="AT288" s="272"/>
      <c r="AU288" s="272"/>
      <c r="AV288" s="272"/>
      <c r="AW288" s="272"/>
      <c r="AX288" s="272"/>
      <c r="AY288" s="272"/>
      <c r="AZ288" s="272"/>
      <c r="BA288" s="272"/>
    </row>
    <row r="289" spans="1:53" outlineLevel="1" x14ac:dyDescent="0.35">
      <c r="A289" s="6" t="s">
        <v>24</v>
      </c>
      <c r="Z289" s="6">
        <f t="shared" si="36"/>
        <v>1.6334825227852129E-6</v>
      </c>
      <c r="AB289" s="272"/>
      <c r="AC289" s="272"/>
      <c r="AD289" s="272"/>
      <c r="AE289" s="272"/>
      <c r="AF289" s="272"/>
      <c r="AG289" s="272"/>
      <c r="AH289" s="272"/>
      <c r="AI289" s="272"/>
      <c r="AJ289" s="272"/>
      <c r="AK289" s="272"/>
      <c r="AL289" s="272"/>
      <c r="AM289" s="272"/>
      <c r="AN289" s="272"/>
      <c r="AO289" s="272"/>
      <c r="AP289" s="272"/>
      <c r="AQ289" s="272"/>
      <c r="AR289" s="272"/>
      <c r="AS289" s="272"/>
      <c r="AT289" s="272"/>
      <c r="AU289" s="272"/>
      <c r="AV289" s="272"/>
      <c r="AW289" s="272"/>
      <c r="AX289" s="272"/>
      <c r="AY289" s="272"/>
      <c r="AZ289" s="272"/>
      <c r="BA289" s="272"/>
    </row>
    <row r="290" spans="1:53" outlineLevel="1" x14ac:dyDescent="0.35">
      <c r="A290" s="6" t="s">
        <v>25</v>
      </c>
      <c r="Z290" s="6">
        <f t="shared" si="36"/>
        <v>6.6095528098662483E-6</v>
      </c>
      <c r="AB290" s="272"/>
      <c r="AC290" s="272"/>
      <c r="AD290" s="272"/>
      <c r="AE290" s="272"/>
      <c r="AF290" s="272"/>
      <c r="AG290" s="272"/>
      <c r="AH290" s="272"/>
      <c r="AI290" s="272"/>
      <c r="AJ290" s="272"/>
      <c r="AK290" s="272"/>
      <c r="AL290" s="272"/>
      <c r="AM290" s="272"/>
      <c r="AN290" s="272"/>
      <c r="AO290" s="272"/>
      <c r="AP290" s="272"/>
      <c r="AQ290" s="272"/>
      <c r="AR290" s="272"/>
      <c r="AS290" s="272"/>
      <c r="AT290" s="272"/>
      <c r="AU290" s="272"/>
      <c r="AV290" s="272"/>
      <c r="AW290" s="272"/>
      <c r="AX290" s="272"/>
      <c r="AY290" s="272"/>
      <c r="AZ290" s="272"/>
      <c r="BA290" s="272"/>
    </row>
    <row r="291" spans="1:53" outlineLevel="1" x14ac:dyDescent="0.35">
      <c r="A291" s="6" t="s">
        <v>27</v>
      </c>
      <c r="Z291" s="6">
        <f t="shared" si="36"/>
        <v>3.134529379639164E-6</v>
      </c>
      <c r="AB291" s="272"/>
      <c r="AC291" s="272"/>
      <c r="AD291" s="272"/>
      <c r="AE291" s="272"/>
      <c r="AF291" s="272"/>
      <c r="AG291" s="272"/>
      <c r="AH291" s="272"/>
      <c r="AI291" s="272"/>
      <c r="AJ291" s="272"/>
      <c r="AK291" s="272"/>
      <c r="AL291" s="272"/>
      <c r="AM291" s="272"/>
      <c r="AN291" s="272"/>
      <c r="AO291" s="272"/>
      <c r="AP291" s="272"/>
      <c r="AQ291" s="272"/>
      <c r="AR291" s="272"/>
      <c r="AS291" s="272"/>
      <c r="AT291" s="272"/>
      <c r="AU291" s="272"/>
      <c r="AV291" s="272"/>
      <c r="AW291" s="272"/>
      <c r="AX291" s="272"/>
      <c r="AY291" s="272"/>
      <c r="AZ291" s="272"/>
      <c r="BA291" s="272"/>
    </row>
    <row r="292" spans="1:53" outlineLevel="1" x14ac:dyDescent="0.35">
      <c r="A292" s="6" t="s">
        <v>30</v>
      </c>
      <c r="Z292" s="6">
        <f t="shared" si="36"/>
        <v>3.336901303527635E-6</v>
      </c>
      <c r="AB292" s="272"/>
      <c r="AC292" s="272"/>
      <c r="AD292" s="272"/>
      <c r="AE292" s="272"/>
      <c r="AF292" s="272"/>
      <c r="AG292" s="272"/>
      <c r="AH292" s="272"/>
      <c r="AI292" s="272"/>
      <c r="AJ292" s="272"/>
      <c r="AK292" s="272"/>
      <c r="AL292" s="272"/>
      <c r="AM292" s="272"/>
      <c r="AN292" s="272"/>
      <c r="AO292" s="272"/>
      <c r="AP292" s="272"/>
      <c r="AQ292" s="272"/>
      <c r="AR292" s="272"/>
      <c r="AS292" s="272"/>
      <c r="AT292" s="272"/>
      <c r="AU292" s="272"/>
      <c r="AV292" s="272"/>
      <c r="AW292" s="272"/>
      <c r="AX292" s="272"/>
      <c r="AY292" s="272"/>
      <c r="AZ292" s="272"/>
      <c r="BA292" s="272"/>
    </row>
    <row r="293" spans="1:53" outlineLevel="1" x14ac:dyDescent="0.35">
      <c r="A293" s="6" t="s">
        <v>32</v>
      </c>
      <c r="Z293" s="6">
        <f t="shared" si="36"/>
        <v>7.6879032170706784E-7</v>
      </c>
      <c r="AB293" s="272"/>
      <c r="AC293" s="272"/>
      <c r="AD293" s="272"/>
      <c r="AE293" s="272"/>
      <c r="AF293" s="272"/>
      <c r="AG293" s="272"/>
      <c r="AH293" s="272"/>
      <c r="AI293" s="272"/>
      <c r="AJ293" s="272"/>
      <c r="AK293" s="272"/>
      <c r="AL293" s="272"/>
      <c r="AM293" s="272"/>
      <c r="AN293" s="272"/>
      <c r="AO293" s="272"/>
      <c r="AP293" s="272"/>
      <c r="AQ293" s="272"/>
      <c r="AR293" s="272"/>
      <c r="AS293" s="272"/>
      <c r="AT293" s="272"/>
      <c r="AU293" s="272"/>
      <c r="AV293" s="272"/>
      <c r="AW293" s="272"/>
      <c r="AX293" s="272"/>
      <c r="AY293" s="272"/>
      <c r="AZ293" s="272"/>
      <c r="BA293" s="272"/>
    </row>
    <row r="294" spans="1:53" outlineLevel="1" x14ac:dyDescent="0.35">
      <c r="A294" s="6" t="s">
        <v>33</v>
      </c>
      <c r="Z294" s="6">
        <f t="shared" si="36"/>
        <v>8.8305977484162056E-7</v>
      </c>
      <c r="AB294" s="272"/>
      <c r="AC294" s="272"/>
      <c r="AD294" s="272"/>
      <c r="AE294" s="272"/>
      <c r="AF294" s="272"/>
      <c r="AG294" s="272"/>
      <c r="AH294" s="272"/>
      <c r="AI294" s="272"/>
      <c r="AJ294" s="272"/>
      <c r="AK294" s="272"/>
      <c r="AL294" s="272"/>
      <c r="AM294" s="272"/>
      <c r="AN294" s="272"/>
      <c r="AO294" s="272"/>
      <c r="AP294" s="272"/>
      <c r="AQ294" s="272"/>
      <c r="AR294" s="272"/>
      <c r="AS294" s="272"/>
      <c r="AT294" s="272"/>
      <c r="AU294" s="272"/>
      <c r="AV294" s="272"/>
      <c r="AW294" s="272"/>
      <c r="AX294" s="272"/>
      <c r="AY294" s="272"/>
      <c r="AZ294" s="272"/>
      <c r="BA294" s="272"/>
    </row>
    <row r="295" spans="1:53" outlineLevel="1" x14ac:dyDescent="0.35">
      <c r="A295" s="6" t="s">
        <v>35</v>
      </c>
      <c r="Z295" s="6">
        <f t="shared" si="36"/>
        <v>1.7661195496832409E-6</v>
      </c>
      <c r="AB295" s="272"/>
      <c r="AC295" s="272"/>
      <c r="AD295" s="272"/>
      <c r="AE295" s="272"/>
      <c r="AF295" s="272"/>
      <c r="AG295" s="272"/>
      <c r="AH295" s="272"/>
      <c r="AI295" s="272"/>
      <c r="AJ295" s="272"/>
      <c r="AK295" s="272"/>
      <c r="AL295" s="272"/>
      <c r="AM295" s="272"/>
      <c r="AN295" s="272"/>
      <c r="AO295" s="272"/>
      <c r="AP295" s="272"/>
      <c r="AQ295" s="272"/>
      <c r="AR295" s="272"/>
      <c r="AS295" s="272"/>
      <c r="AT295" s="272"/>
      <c r="AU295" s="272"/>
      <c r="AV295" s="272"/>
      <c r="AW295" s="272"/>
      <c r="AX295" s="272"/>
      <c r="AY295" s="272"/>
      <c r="AZ295" s="272"/>
      <c r="BA295" s="272"/>
    </row>
    <row r="296" spans="1:53" outlineLevel="1" x14ac:dyDescent="0.35">
      <c r="A296" s="6" t="s">
        <v>37</v>
      </c>
      <c r="Z296" s="6">
        <f t="shared" si="36"/>
        <v>8.8549884257343697E-6</v>
      </c>
      <c r="AB296" s="272"/>
      <c r="AC296" s="272"/>
      <c r="AD296" s="272"/>
      <c r="AE296" s="272"/>
      <c r="AF296" s="272"/>
      <c r="AG296" s="272"/>
      <c r="AH296" s="272"/>
      <c r="AI296" s="272"/>
      <c r="AJ296" s="272"/>
      <c r="AK296" s="272"/>
      <c r="AL296" s="272"/>
      <c r="AM296" s="272"/>
      <c r="AN296" s="272"/>
      <c r="AO296" s="272"/>
      <c r="AP296" s="272"/>
      <c r="AQ296" s="272"/>
      <c r="AR296" s="272"/>
      <c r="AS296" s="272"/>
      <c r="AT296" s="272"/>
      <c r="AU296" s="272"/>
      <c r="AV296" s="272"/>
      <c r="AW296" s="272"/>
      <c r="AX296" s="272"/>
      <c r="AY296" s="272"/>
      <c r="AZ296" s="272"/>
      <c r="BA296" s="272"/>
    </row>
    <row r="297" spans="1:53" outlineLevel="1" x14ac:dyDescent="0.35">
      <c r="A297" s="6" t="s">
        <v>40</v>
      </c>
      <c r="Z297" s="6">
        <f t="shared" si="36"/>
        <v>4.5846092685782783E-5</v>
      </c>
    </row>
    <row r="298" spans="1:53" outlineLevel="1" x14ac:dyDescent="0.35">
      <c r="A298" s="6" t="s">
        <v>42</v>
      </c>
      <c r="Z298" s="6">
        <f t="shared" si="36"/>
        <v>1.3356334419104131E-5</v>
      </c>
    </row>
    <row r="299" spans="1:53" outlineLevel="1" x14ac:dyDescent="0.35">
      <c r="A299" s="6" t="s">
        <v>115</v>
      </c>
      <c r="Z299" s="6">
        <f t="shared" si="36"/>
        <v>6.2120502985044574E-5</v>
      </c>
    </row>
    <row r="300" spans="1:53" outlineLevel="1" x14ac:dyDescent="0.35">
      <c r="A300" s="6" t="s">
        <v>45</v>
      </c>
      <c r="Z300" s="6">
        <f>Z36*AC265</f>
        <v>2.5844230653334048E-6</v>
      </c>
    </row>
    <row r="301" spans="1:53" outlineLevel="1" x14ac:dyDescent="0.35">
      <c r="A301" s="6" t="s">
        <v>116</v>
      </c>
      <c r="B301" s="6">
        <f>B37</f>
        <v>3.0950823392567891E-4</v>
      </c>
      <c r="C301" s="6">
        <f t="shared" ref="C301:Z301" si="37">C37</f>
        <v>3.0842646343384332E-4</v>
      </c>
      <c r="D301" s="6">
        <f t="shared" si="37"/>
        <v>3.0733816132392128E-4</v>
      </c>
      <c r="E301" s="6">
        <f t="shared" si="37"/>
        <v>3.0470171244799881E-4</v>
      </c>
      <c r="F301" s="6">
        <f t="shared" si="37"/>
        <v>3.0359916895327102E-4</v>
      </c>
      <c r="G301" s="6">
        <f t="shared" si="37"/>
        <v>3.0250842900321592E-4</v>
      </c>
      <c r="H301" s="6">
        <f t="shared" si="37"/>
        <v>3.0220482749963639E-4</v>
      </c>
      <c r="I301" s="6">
        <f t="shared" si="37"/>
        <v>3.0191161897902242E-4</v>
      </c>
      <c r="J301" s="6">
        <f t="shared" si="37"/>
        <v>3.0116098244104819E-4</v>
      </c>
      <c r="K301" s="6">
        <f t="shared" si="37"/>
        <v>3.0088082558559647E-4</v>
      </c>
      <c r="L301" s="6">
        <f t="shared" si="37"/>
        <v>3.0061050207937578E-4</v>
      </c>
      <c r="M301" s="6">
        <f t="shared" si="37"/>
        <v>3.0046472362970207E-4</v>
      </c>
      <c r="N301" s="6">
        <f t="shared" si="37"/>
        <v>3.0032218865651928E-4</v>
      </c>
      <c r="O301" s="6">
        <f t="shared" si="37"/>
        <v>3.0002363913981872E-4</v>
      </c>
      <c r="P301" s="6">
        <f t="shared" si="37"/>
        <v>2.9988909134041908E-4</v>
      </c>
      <c r="Q301" s="6">
        <f t="shared" si="37"/>
        <v>2.9975776117043001E-4</v>
      </c>
      <c r="R301" s="6">
        <f t="shared" si="37"/>
        <v>2.9819326867828652E-4</v>
      </c>
      <c r="S301" s="6">
        <f t="shared" si="37"/>
        <v>2.966174560763587E-4</v>
      </c>
      <c r="T301" s="6">
        <f t="shared" si="37"/>
        <v>2.9488735419779449E-4</v>
      </c>
      <c r="U301" s="6">
        <f t="shared" si="37"/>
        <v>2.9329321073249501E-4</v>
      </c>
      <c r="V301" s="6">
        <f t="shared" si="37"/>
        <v>2.9168945793858249E-4</v>
      </c>
      <c r="W301" s="6">
        <f t="shared" si="37"/>
        <v>3.0452007285205519E-4</v>
      </c>
      <c r="X301" s="6">
        <f t="shared" si="37"/>
        <v>3.0226784476485138E-4</v>
      </c>
      <c r="Y301" s="6">
        <f t="shared" si="37"/>
        <v>3.0000241858584692E-4</v>
      </c>
      <c r="Z301" s="6">
        <f t="shared" si="37"/>
        <v>2.9772367667854253E-4</v>
      </c>
    </row>
    <row r="302" spans="1:53" outlineLevel="1" x14ac:dyDescent="0.35">
      <c r="A302" s="6" t="s">
        <v>758</v>
      </c>
      <c r="B302" s="6">
        <f>B38*$AC$265</f>
        <v>3.4813410845175598E-4</v>
      </c>
      <c r="C302" s="6">
        <f t="shared" ref="C302:Z303" si="38">C38*$AC$265</f>
        <v>3.475927813222566E-4</v>
      </c>
      <c r="D302" s="6">
        <f t="shared" si="38"/>
        <v>3.4624714159883264E-4</v>
      </c>
      <c r="E302" s="6">
        <f t="shared" si="38"/>
        <v>3.4434740002538689E-4</v>
      </c>
      <c r="F302" s="6">
        <f t="shared" si="38"/>
        <v>3.4275499849217215E-4</v>
      </c>
      <c r="G302" s="6">
        <f t="shared" si="38"/>
        <v>3.4116700959134461E-4</v>
      </c>
      <c r="H302" s="6">
        <f t="shared" si="38"/>
        <v>3.5010732412796969E-4</v>
      </c>
      <c r="I302" s="6">
        <f t="shared" si="38"/>
        <v>3.589800701781072E-4</v>
      </c>
      <c r="J302" s="6">
        <f t="shared" si="38"/>
        <v>3.6767596242940021E-4</v>
      </c>
      <c r="K302" s="6">
        <f t="shared" si="38"/>
        <v>3.7639588441224311E-4</v>
      </c>
      <c r="L302" s="6">
        <f t="shared" si="38"/>
        <v>3.850358976832772E-4</v>
      </c>
      <c r="M302" s="6">
        <f t="shared" si="38"/>
        <v>4.0250913818541369E-4</v>
      </c>
      <c r="N302" s="6">
        <f t="shared" si="38"/>
        <v>4.1990498912930111E-4</v>
      </c>
      <c r="O302" s="6">
        <f t="shared" si="38"/>
        <v>4.3719912532854538E-4</v>
      </c>
      <c r="P302" s="6">
        <f t="shared" si="38"/>
        <v>4.5443450453039997E-4</v>
      </c>
      <c r="Q302" s="6">
        <f t="shared" si="38"/>
        <v>4.7159214769744619E-4</v>
      </c>
      <c r="R302" s="6">
        <f t="shared" si="38"/>
        <v>4.7128156149198186E-4</v>
      </c>
      <c r="S302" s="6">
        <f t="shared" si="38"/>
        <v>4.7090276732547268E-4</v>
      </c>
      <c r="T302" s="6">
        <f t="shared" si="38"/>
        <v>4.7048669880308603E-4</v>
      </c>
      <c r="U302" s="6">
        <f t="shared" si="38"/>
        <v>4.7008329103871883E-4</v>
      </c>
      <c r="V302" s="6">
        <f t="shared" si="38"/>
        <v>4.6966929393457593E-4</v>
      </c>
      <c r="W302" s="6">
        <f t="shared" si="38"/>
        <v>4.7462157339846943E-4</v>
      </c>
      <c r="X302" s="6">
        <f t="shared" si="38"/>
        <v>4.6362381534667638E-4</v>
      </c>
      <c r="Y302" s="6">
        <f t="shared" si="38"/>
        <v>4.5262994561477845E-4</v>
      </c>
      <c r="Z302" s="6">
        <f t="shared" si="38"/>
        <v>4.4163938080999169E-4</v>
      </c>
    </row>
    <row r="303" spans="1:53" outlineLevel="1" x14ac:dyDescent="0.35">
      <c r="A303" s="6" t="s">
        <v>759</v>
      </c>
      <c r="B303" s="6">
        <f>B39*$AC$265</f>
        <v>0</v>
      </c>
      <c r="C303" s="6">
        <f t="shared" si="38"/>
        <v>0</v>
      </c>
      <c r="D303" s="6">
        <f t="shared" si="38"/>
        <v>0</v>
      </c>
      <c r="E303" s="6">
        <f t="shared" si="38"/>
        <v>0</v>
      </c>
      <c r="F303" s="6">
        <f t="shared" si="38"/>
        <v>0</v>
      </c>
      <c r="G303" s="6">
        <f t="shared" si="38"/>
        <v>0</v>
      </c>
      <c r="H303" s="6">
        <f t="shared" si="38"/>
        <v>0</v>
      </c>
      <c r="I303" s="6">
        <f t="shared" si="38"/>
        <v>0</v>
      </c>
      <c r="J303" s="6">
        <f t="shared" si="38"/>
        <v>0</v>
      </c>
      <c r="K303" s="6">
        <f t="shared" si="38"/>
        <v>0</v>
      </c>
      <c r="L303" s="6">
        <f t="shared" si="38"/>
        <v>0</v>
      </c>
      <c r="M303" s="6">
        <f t="shared" si="38"/>
        <v>0</v>
      </c>
      <c r="N303" s="6">
        <f t="shared" si="38"/>
        <v>0</v>
      </c>
      <c r="O303" s="6">
        <f t="shared" si="38"/>
        <v>0</v>
      </c>
      <c r="P303" s="6">
        <f t="shared" si="38"/>
        <v>0</v>
      </c>
      <c r="Q303" s="6">
        <f t="shared" si="38"/>
        <v>0</v>
      </c>
      <c r="R303" s="6">
        <f t="shared" si="38"/>
        <v>0</v>
      </c>
      <c r="S303" s="6">
        <f t="shared" si="38"/>
        <v>0</v>
      </c>
      <c r="T303" s="6">
        <f t="shared" si="38"/>
        <v>0</v>
      </c>
      <c r="U303" s="6">
        <f t="shared" si="38"/>
        <v>0</v>
      </c>
      <c r="V303" s="6">
        <f t="shared" si="38"/>
        <v>0</v>
      </c>
      <c r="W303" s="6">
        <f t="shared" si="38"/>
        <v>0</v>
      </c>
      <c r="X303" s="6">
        <f t="shared" si="38"/>
        <v>0</v>
      </c>
      <c r="Y303" s="6">
        <f t="shared" si="38"/>
        <v>0</v>
      </c>
      <c r="Z303" s="6">
        <f t="shared" si="38"/>
        <v>0</v>
      </c>
    </row>
    <row r="304" spans="1:53" outlineLevel="1" x14ac:dyDescent="0.35">
      <c r="A304" s="6" t="s">
        <v>760</v>
      </c>
      <c r="B304" s="6">
        <f>$B$252*$AC$264*'Results - raw data ReCiPe (I)'!C114/(1-0.5)*(1+'Results ReCiPe (I) - HHD'!$AC$271/'Results ReCiPe (I) - HHD'!$AC$272-'Results ReCiPe (I) - HHD'!$AC$271)</f>
        <v>2.1493337284954821E-3</v>
      </c>
      <c r="C304" s="6">
        <f>$B$252*$AC$264*'Results - raw data ReCiPe (I)'!D114/(1-0.5)*(1+'Results ReCiPe (I) - HHD'!$AC$271/'Results ReCiPe (I) - HHD'!$AC$272-'Results ReCiPe (I) - HHD'!$AC$271)</f>
        <v>2.1424811210054308E-3</v>
      </c>
      <c r="D304" s="6">
        <f>$B$252*$AC$264*'Results - raw data ReCiPe (I)'!E114/(1-0.5)*(1+'Results ReCiPe (I) - HHD'!$AC$271/'Results ReCiPe (I) - HHD'!$AC$272-'Results ReCiPe (I) - HHD'!$AC$271)</f>
        <v>2.1358044030621434E-3</v>
      </c>
      <c r="E304" s="6">
        <f>$B$252*$AC$264*'Results - raw data ReCiPe (I)'!F114/(1-0.5)*(1+'Results ReCiPe (I) - HHD'!$AC$271/'Results ReCiPe (I) - HHD'!$AC$272-'Results ReCiPe (I) - HHD'!$AC$271)</f>
        <v>2.121952697132755E-3</v>
      </c>
      <c r="F304" s="6">
        <f>$B$252*$AC$264*'Results - raw data ReCiPe (I)'!G114/(1-0.5)*(1+'Results ReCiPe (I) - HHD'!$AC$271/'Results ReCiPe (I) - HHD'!$AC$272-'Results ReCiPe (I) - HHD'!$AC$271)</f>
        <v>2.1156541272333131E-3</v>
      </c>
      <c r="G304" s="6">
        <f>$B$252*$AC$264*'Results - raw data ReCiPe (I)'!H114/(1-0.5)*(1+'Results ReCiPe (I) - HHD'!$AC$271/'Results ReCiPe (I) - HHD'!$AC$272-'Results ReCiPe (I) - HHD'!$AC$271)</f>
        <v>2.1095552552286515E-3</v>
      </c>
      <c r="H304" s="6">
        <f>$B$252*$AC$264*'Results - raw data ReCiPe (I)'!I114/(1-0.5)*(1+'Results ReCiPe (I) - HHD'!$AC$271/'Results ReCiPe (I) - HHD'!$AC$272-'Results ReCiPe (I) - HHD'!$AC$271)</f>
        <v>2.1028595646585451E-3</v>
      </c>
      <c r="I304" s="6">
        <f>$B$252*$AC$264*'Results - raw data ReCiPe (I)'!J114/(1-0.5)*(1+'Results ReCiPe (I) - HHD'!$AC$271/'Results ReCiPe (I) - HHD'!$AC$272-'Results ReCiPe (I) - HHD'!$AC$271)</f>
        <v>2.0968194948355291E-3</v>
      </c>
      <c r="J304" s="6">
        <f>$B$252*$AC$264*'Results - raw data ReCiPe (I)'!K114/(1-0.5)*(1+'Results ReCiPe (I) - HHD'!$AC$271/'Results ReCiPe (I) - HHD'!$AC$272-'Results ReCiPe (I) - HHD'!$AC$271)</f>
        <v>2.0890291699512458E-3</v>
      </c>
      <c r="K304" s="6">
        <f>$B$252*$AC$264*'Results - raw data ReCiPe (I)'!L114/(1-0.5)*(1+'Results ReCiPe (I) - HHD'!$AC$271/'Results ReCiPe (I) - HHD'!$AC$272-'Results ReCiPe (I) - HHD'!$AC$271)</f>
        <v>2.0839767744222494E-3</v>
      </c>
      <c r="L304" s="6">
        <f>$B$252*$AC$264*'Results - raw data ReCiPe (I)'!M114/(1-0.5)*(1+'Results ReCiPe (I) - HHD'!$AC$271/'Results ReCiPe (I) - HHD'!$AC$272-'Results ReCiPe (I) - HHD'!$AC$271)</f>
        <v>2.0794088178689063E-3</v>
      </c>
      <c r="M304" s="6">
        <f>$B$252*$AC$264*'Results - raw data ReCiPe (I)'!N114/(1-0.5)*(1+'Results ReCiPe (I) - HHD'!$AC$271/'Results ReCiPe (I) - HHD'!$AC$272-'Results ReCiPe (I) - HHD'!$AC$271)</f>
        <v>2.0761960471048931E-3</v>
      </c>
      <c r="N304" s="6">
        <f>$B$252*$AC$264*'Results - raw data ReCiPe (I)'!O114/(1-0.5)*(1+'Results ReCiPe (I) - HHD'!$AC$271/'Results ReCiPe (I) - HHD'!$AC$272-'Results ReCiPe (I) - HHD'!$AC$271)</f>
        <v>2.0734546947029794E-3</v>
      </c>
      <c r="O304" s="6">
        <f>$B$252*$AC$264*'Results - raw data ReCiPe (I)'!P114/(1-0.5)*(1+'Results ReCiPe (I) - HHD'!$AC$271/'Results ReCiPe (I) - HHD'!$AC$272-'Results ReCiPe (I) - HHD'!$AC$271)</f>
        <v>2.0704986315215699E-3</v>
      </c>
      <c r="P304" s="6">
        <f>$B$252*$AC$264*'Results - raw data ReCiPe (I)'!Q114/(1-0.5)*(1+'Results ReCiPe (I) - HHD'!$AC$271/'Results ReCiPe (I) - HHD'!$AC$272-'Results ReCiPe (I) - HHD'!$AC$271)</f>
        <v>2.0685675194635146E-3</v>
      </c>
      <c r="Q304" s="6">
        <f>$B$252*$AC$264*'Results - raw data ReCiPe (I)'!R114/(1-0.5)*(1+'Results ReCiPe (I) - HHD'!$AC$271/'Results ReCiPe (I) - HHD'!$AC$272-'Results ReCiPe (I) - HHD'!$AC$271)</f>
        <v>2.0672694378636217E-3</v>
      </c>
      <c r="R304" s="6">
        <f>$B$252*$AC$264*'Results - raw data ReCiPe (I)'!S114/(1-0.5)*(1+'Results ReCiPe (I) - HHD'!$AC$271/'Results ReCiPe (I) - HHD'!$AC$272-'Results ReCiPe (I) - HHD'!$AC$271)</f>
        <v>2.0625799353889578E-3</v>
      </c>
      <c r="S304" s="6">
        <f>$B$252*$AC$264*'Results - raw data ReCiPe (I)'!T114/(1-0.5)*(1+'Results ReCiPe (I) - HHD'!$AC$271/'Results ReCiPe (I) - HHD'!$AC$272-'Results ReCiPe (I) - HHD'!$AC$271)</f>
        <v>2.0579014286739804E-3</v>
      </c>
      <c r="T304" s="6">
        <f>$B$252*$AC$264*'Results - raw data ReCiPe (I)'!U114/(1-0.5)*(1+'Results ReCiPe (I) - HHD'!$AC$271/'Results ReCiPe (I) - HHD'!$AC$272-'Results ReCiPe (I) - HHD'!$AC$271)</f>
        <v>2.0526171600458369E-3</v>
      </c>
      <c r="U304" s="6">
        <f>$B$252*$AC$264*'Results - raw data ReCiPe (I)'!V114/(1-0.5)*(1+'Results ReCiPe (I) - HHD'!$AC$271/'Results ReCiPe (I) - HHD'!$AC$272-'Results ReCiPe (I) - HHD'!$AC$271)</f>
        <v>2.0479374765578003E-3</v>
      </c>
      <c r="V304" s="6">
        <f>$B$252*$AC$264*'Results - raw data ReCiPe (I)'!W114/(1-0.5)*(1+'Results ReCiPe (I) - HHD'!$AC$271/'Results ReCiPe (I) - HHD'!$AC$272-'Results ReCiPe (I) - HHD'!$AC$271)</f>
        <v>2.0432490061340113E-3</v>
      </c>
      <c r="W304" s="6">
        <f>$B$252*$AC$264*'Results - raw data ReCiPe (I)'!X114/(1-0.5)*(1+'Results ReCiPe (I) - HHD'!$AC$271/'Results ReCiPe (I) - HHD'!$AC$272-'Results ReCiPe (I) - HHD'!$AC$271)</f>
        <v>2.0997037787948815E-3</v>
      </c>
      <c r="X304" s="6">
        <f>$B$252*$AC$264*'Results - raw data ReCiPe (I)'!Y114/(1-0.5)*(1+'Results ReCiPe (I) - HHD'!$AC$271/'Results ReCiPe (I) - HHD'!$AC$272-'Results ReCiPe (I) - HHD'!$AC$271)</f>
        <v>2.092778128749727E-3</v>
      </c>
      <c r="Y304" s="6">
        <f>$B$252*$AC$264*'Results - raw data ReCiPe (I)'!Z114/(1-0.5)*(1+'Results ReCiPe (I) - HHD'!$AC$271/'Results ReCiPe (I) - HHD'!$AC$272-'Results ReCiPe (I) - HHD'!$AC$271)</f>
        <v>2.0858095439758189E-3</v>
      </c>
      <c r="Z304" s="6">
        <f>$B$252*$AC$264*'Results - raw data ReCiPe (I)'!AA114/(1-0.5)*(1+'Results ReCiPe (I) - HHD'!$AC$271/'Results ReCiPe (I) - HHD'!$AC$272-'Results ReCiPe (I) - HHD'!$AC$271)</f>
        <v>2.0787979329940755E-3</v>
      </c>
    </row>
    <row r="305" spans="1:26" outlineLevel="1" x14ac:dyDescent="0.35">
      <c r="A305" s="6" t="s">
        <v>797</v>
      </c>
      <c r="B305" s="6">
        <f>$B$260*$AC$264</f>
        <v>2.366063537069564E-3</v>
      </c>
      <c r="C305" s="6">
        <f t="shared" ref="C305:Z305" si="39">$B$260*$AC$264</f>
        <v>2.366063537069564E-3</v>
      </c>
      <c r="D305" s="6">
        <f t="shared" si="39"/>
        <v>2.366063537069564E-3</v>
      </c>
      <c r="E305" s="6">
        <f t="shared" si="39"/>
        <v>2.366063537069564E-3</v>
      </c>
      <c r="F305" s="6">
        <f t="shared" si="39"/>
        <v>2.366063537069564E-3</v>
      </c>
      <c r="G305" s="6">
        <f t="shared" si="39"/>
        <v>2.366063537069564E-3</v>
      </c>
      <c r="H305" s="6">
        <f t="shared" si="39"/>
        <v>2.366063537069564E-3</v>
      </c>
      <c r="I305" s="6">
        <f t="shared" si="39"/>
        <v>2.366063537069564E-3</v>
      </c>
      <c r="J305" s="6">
        <f t="shared" si="39"/>
        <v>2.366063537069564E-3</v>
      </c>
      <c r="K305" s="6">
        <f t="shared" si="39"/>
        <v>2.366063537069564E-3</v>
      </c>
      <c r="L305" s="6">
        <f t="shared" si="39"/>
        <v>2.366063537069564E-3</v>
      </c>
      <c r="M305" s="6">
        <f t="shared" si="39"/>
        <v>2.366063537069564E-3</v>
      </c>
      <c r="N305" s="6">
        <f t="shared" si="39"/>
        <v>2.366063537069564E-3</v>
      </c>
      <c r="O305" s="6">
        <f t="shared" si="39"/>
        <v>2.366063537069564E-3</v>
      </c>
      <c r="P305" s="6">
        <f t="shared" si="39"/>
        <v>2.366063537069564E-3</v>
      </c>
      <c r="Q305" s="6">
        <f t="shared" si="39"/>
        <v>2.366063537069564E-3</v>
      </c>
      <c r="R305" s="6">
        <f t="shared" si="39"/>
        <v>2.366063537069564E-3</v>
      </c>
      <c r="S305" s="6">
        <f t="shared" si="39"/>
        <v>2.366063537069564E-3</v>
      </c>
      <c r="T305" s="6">
        <f t="shared" si="39"/>
        <v>2.366063537069564E-3</v>
      </c>
      <c r="U305" s="6">
        <f t="shared" si="39"/>
        <v>2.366063537069564E-3</v>
      </c>
      <c r="V305" s="6">
        <f t="shared" si="39"/>
        <v>2.366063537069564E-3</v>
      </c>
      <c r="W305" s="6">
        <f t="shared" si="39"/>
        <v>2.366063537069564E-3</v>
      </c>
      <c r="X305" s="6">
        <f t="shared" si="39"/>
        <v>2.366063537069564E-3</v>
      </c>
      <c r="Y305" s="6">
        <f t="shared" si="39"/>
        <v>2.366063537069564E-3</v>
      </c>
      <c r="Z305" s="6">
        <f t="shared" si="39"/>
        <v>2.366063537069564E-3</v>
      </c>
    </row>
    <row r="306" spans="1:26" outlineLevel="1" x14ac:dyDescent="0.35">
      <c r="A306" s="23" t="s">
        <v>125</v>
      </c>
      <c r="B306" s="17">
        <f t="shared" ref="B306:Z306" si="40">SUM(B274:B304)</f>
        <v>2.0152891393456527E-2</v>
      </c>
      <c r="C306" s="17">
        <f t="shared" si="40"/>
        <v>2.7985003657615306E-3</v>
      </c>
      <c r="D306" s="17">
        <f t="shared" si="40"/>
        <v>2.789389705984897E-3</v>
      </c>
      <c r="E306" s="17">
        <f t="shared" si="40"/>
        <v>2.7710018096061407E-3</v>
      </c>
      <c r="F306" s="17">
        <f t="shared" si="40"/>
        <v>2.762008294678756E-3</v>
      </c>
      <c r="G306" s="17">
        <f t="shared" si="40"/>
        <v>2.7532306938232122E-3</v>
      </c>
      <c r="H306" s="17">
        <f t="shared" si="40"/>
        <v>2.7551717162861509E-3</v>
      </c>
      <c r="I306" s="17">
        <f t="shared" si="40"/>
        <v>2.7577111839926587E-3</v>
      </c>
      <c r="J306" s="17">
        <f t="shared" si="40"/>
        <v>2.7578661148216941E-3</v>
      </c>
      <c r="K306" s="17">
        <f t="shared" si="40"/>
        <v>2.7612534844200891E-3</v>
      </c>
      <c r="L306" s="17">
        <f t="shared" si="40"/>
        <v>2.7650552176315592E-3</v>
      </c>
      <c r="M306" s="17">
        <f t="shared" si="40"/>
        <v>2.7791699089200089E-3</v>
      </c>
      <c r="N306" s="17">
        <f t="shared" si="40"/>
        <v>2.7936818724887996E-3</v>
      </c>
      <c r="O306" s="17">
        <f t="shared" si="40"/>
        <v>2.807721395989934E-3</v>
      </c>
      <c r="P306" s="17">
        <f t="shared" si="40"/>
        <v>2.8228911153343338E-3</v>
      </c>
      <c r="Q306" s="17">
        <f t="shared" si="40"/>
        <v>2.8386193467314978E-3</v>
      </c>
      <c r="R306" s="17">
        <f t="shared" si="40"/>
        <v>2.8320547655592263E-3</v>
      </c>
      <c r="S306" s="17">
        <f t="shared" si="40"/>
        <v>2.8254216520758116E-3</v>
      </c>
      <c r="T306" s="17">
        <f t="shared" si="40"/>
        <v>2.8179912130467171E-3</v>
      </c>
      <c r="U306" s="17">
        <f t="shared" si="40"/>
        <v>2.8113139783290143E-3</v>
      </c>
      <c r="V306" s="17">
        <f t="shared" si="40"/>
        <v>2.8046077580071698E-3</v>
      </c>
      <c r="W306" s="17">
        <f t="shared" si="40"/>
        <v>2.8788454250454061E-3</v>
      </c>
      <c r="X306" s="17">
        <f t="shared" si="40"/>
        <v>2.8586697888612548E-3</v>
      </c>
      <c r="Y306" s="17">
        <f t="shared" si="40"/>
        <v>2.8384419081764443E-3</v>
      </c>
      <c r="Z306" s="17">
        <f t="shared" si="40"/>
        <v>2.9715946571657785E-3</v>
      </c>
    </row>
    <row r="307" spans="1:26" outlineLevel="1" x14ac:dyDescent="0.35"/>
    <row r="308" spans="1:26" s="18" customFormat="1" ht="21" x14ac:dyDescent="0.5">
      <c r="A308" s="18" t="s">
        <v>73</v>
      </c>
    </row>
    <row r="309" spans="1:26" s="20" customFormat="1" outlineLevel="1" x14ac:dyDescent="0.35">
      <c r="A309" s="19" t="s">
        <v>788</v>
      </c>
    </row>
    <row r="310" spans="1:26" s="20" customFormat="1" outlineLevel="1" x14ac:dyDescent="0.35">
      <c r="A310" s="273" t="s">
        <v>775</v>
      </c>
      <c r="B310" s="20">
        <v>1</v>
      </c>
      <c r="C310" s="274" t="s">
        <v>787</v>
      </c>
    </row>
    <row r="311" spans="1:26" s="20" customFormat="1" outlineLevel="1" x14ac:dyDescent="0.35">
      <c r="A311" s="273" t="s">
        <v>781</v>
      </c>
      <c r="B311" s="20">
        <v>100000</v>
      </c>
      <c r="C311" s="20" t="s">
        <v>782</v>
      </c>
      <c r="E311" s="274"/>
    </row>
    <row r="312" spans="1:26" s="20" customFormat="1" outlineLevel="1" x14ac:dyDescent="0.35">
      <c r="A312" s="273" t="s">
        <v>783</v>
      </c>
      <c r="B312" s="20">
        <v>1500</v>
      </c>
      <c r="C312" s="20" t="s">
        <v>592</v>
      </c>
    </row>
    <row r="313" spans="1:26" s="20" customFormat="1" outlineLevel="1" x14ac:dyDescent="0.35">
      <c r="A313" s="273" t="s">
        <v>784</v>
      </c>
      <c r="B313" s="20">
        <v>8760</v>
      </c>
      <c r="C313" s="20" t="s">
        <v>785</v>
      </c>
    </row>
    <row r="314" spans="1:26" s="20" customFormat="1" outlineLevel="1" x14ac:dyDescent="0.35">
      <c r="A314" s="273"/>
    </row>
    <row r="315" spans="1:26" s="20" customFormat="1" outlineLevel="1" x14ac:dyDescent="0.35">
      <c r="A315" s="275" t="s">
        <v>786</v>
      </c>
      <c r="B315" s="275">
        <f>(B311*B312)/(B313*B310)</f>
        <v>17123.287671232876</v>
      </c>
      <c r="C315" s="275" t="s">
        <v>749</v>
      </c>
    </row>
    <row r="316" spans="1:26" s="20" customFormat="1" outlineLevel="1" x14ac:dyDescent="0.35">
      <c r="A316" s="19"/>
    </row>
    <row r="317" spans="1:26" s="20" customFormat="1" outlineLevel="1" x14ac:dyDescent="0.35">
      <c r="A317" s="19" t="s">
        <v>793</v>
      </c>
    </row>
    <row r="318" spans="1:26" s="20" customFormat="1" outlineLevel="1" x14ac:dyDescent="0.35">
      <c r="A318" s="273" t="s">
        <v>789</v>
      </c>
      <c r="B318" s="20">
        <f>SUM('Results - raw data ReCiPe (I)'!C146:C147)+'Results - raw data ReCiPe (I)'!C150+SUM('Results - raw data ReCiPe (I)'!C148:C149)*AC267</f>
        <v>4.446556650954728E-4</v>
      </c>
      <c r="C318" s="20" t="s">
        <v>790</v>
      </c>
    </row>
    <row r="319" spans="1:26" s="20" customFormat="1" outlineLevel="1" x14ac:dyDescent="0.35">
      <c r="A319" s="20" t="s">
        <v>792</v>
      </c>
      <c r="B319" s="20">
        <f>B311*AC325</f>
        <v>50000</v>
      </c>
      <c r="C319" s="274" t="s">
        <v>795</v>
      </c>
    </row>
    <row r="320" spans="1:26" s="20" customFormat="1" outlineLevel="1" x14ac:dyDescent="0.35">
      <c r="A320" s="20" t="s">
        <v>791</v>
      </c>
      <c r="B320" s="20">
        <f>(B318*AC327*B315)/(B319*AC326)*(AC326/AC328)</f>
        <v>4.5683801208438993E-5</v>
      </c>
      <c r="C320" s="20" t="s">
        <v>794</v>
      </c>
      <c r="E320" s="274" t="s">
        <v>796</v>
      </c>
    </row>
    <row r="321" spans="1:53" s="20" customFormat="1" outlineLevel="1" x14ac:dyDescent="0.35">
      <c r="A321" s="19"/>
    </row>
    <row r="322" spans="1:53" s="16" customFormat="1" outlineLevel="1" x14ac:dyDescent="0.35">
      <c r="A322" s="21"/>
      <c r="AB322" s="16" t="s">
        <v>47</v>
      </c>
      <c r="AC322" s="16">
        <v>8.1199999999999999E-8</v>
      </c>
      <c r="AD322" s="16" t="s">
        <v>48</v>
      </c>
      <c r="AE322" s="15" t="s">
        <v>714</v>
      </c>
    </row>
    <row r="323" spans="1:53" s="16" customFormat="1" outlineLevel="1" x14ac:dyDescent="0.35">
      <c r="A323" s="22" t="s">
        <v>564</v>
      </c>
      <c r="AC323" s="16">
        <f>AC322*1000</f>
        <v>8.1199999999999995E-5</v>
      </c>
      <c r="AD323" s="16" t="s">
        <v>126</v>
      </c>
    </row>
    <row r="324" spans="1:53" s="16" customFormat="1" outlineLevel="1" x14ac:dyDescent="0.35">
      <c r="A324" s="22"/>
      <c r="AB324" s="16" t="s">
        <v>127</v>
      </c>
      <c r="AC324" s="16">
        <f>100*AC325</f>
        <v>50</v>
      </c>
      <c r="AD324" s="16" t="s">
        <v>128</v>
      </c>
    </row>
    <row r="325" spans="1:53" s="16" customFormat="1" outlineLevel="1" x14ac:dyDescent="0.35">
      <c r="A325" s="230"/>
      <c r="AB325" s="16" t="s">
        <v>776</v>
      </c>
      <c r="AC325" s="16">
        <v>0.5</v>
      </c>
    </row>
    <row r="326" spans="1:53" s="16" customFormat="1" outlineLevel="1" x14ac:dyDescent="0.35">
      <c r="A326" s="21"/>
      <c r="AB326" s="16" t="s">
        <v>129</v>
      </c>
      <c r="AC326" s="16">
        <v>25</v>
      </c>
      <c r="AD326" s="16" t="s">
        <v>130</v>
      </c>
    </row>
    <row r="327" spans="1:53" s="16" customFormat="1" outlineLevel="1" x14ac:dyDescent="0.35">
      <c r="A327" s="21"/>
      <c r="AB327" s="16" t="s">
        <v>777</v>
      </c>
      <c r="AC327" s="16">
        <v>6</v>
      </c>
      <c r="AD327" s="16" t="s">
        <v>779</v>
      </c>
    </row>
    <row r="328" spans="1:53" s="16" customFormat="1" outlineLevel="1" x14ac:dyDescent="0.35">
      <c r="A328" s="21"/>
      <c r="AB328" s="16" t="s">
        <v>778</v>
      </c>
      <c r="AC328" s="16">
        <v>20</v>
      </c>
      <c r="AD328" s="16" t="s">
        <v>130</v>
      </c>
    </row>
    <row r="329" spans="1:53" s="16" customFormat="1" outlineLevel="1" x14ac:dyDescent="0.35">
      <c r="AB329" s="16" t="s">
        <v>780</v>
      </c>
      <c r="AC329" s="16">
        <f>B315</f>
        <v>17123.287671232876</v>
      </c>
      <c r="AD329" s="16" t="s">
        <v>749</v>
      </c>
    </row>
    <row r="330" spans="1:53" s="16" customFormat="1" outlineLevel="1" x14ac:dyDescent="0.35"/>
    <row r="331" spans="1:53" s="16" customFormat="1" outlineLevel="1" x14ac:dyDescent="0.35">
      <c r="AB331" s="16" t="s">
        <v>798</v>
      </c>
      <c r="AC331" s="16">
        <v>0.25</v>
      </c>
    </row>
    <row r="332" spans="1:53" s="16" customFormat="1" outlineLevel="1" x14ac:dyDescent="0.35">
      <c r="A332" s="22"/>
      <c r="AB332" s="16" t="s">
        <v>799</v>
      </c>
      <c r="AC332" s="16">
        <v>0.9</v>
      </c>
    </row>
    <row r="333" spans="1:53" outlineLevel="1" x14ac:dyDescent="0.35">
      <c r="B333" s="25">
        <v>2030</v>
      </c>
      <c r="C333" s="25">
        <v>2031</v>
      </c>
      <c r="D333" s="25">
        <v>2032</v>
      </c>
      <c r="E333" s="25">
        <v>2033</v>
      </c>
      <c r="F333" s="25">
        <v>2034</v>
      </c>
      <c r="G333" s="25">
        <v>2035</v>
      </c>
      <c r="H333" s="25">
        <v>2036</v>
      </c>
      <c r="I333" s="25">
        <v>2037</v>
      </c>
      <c r="J333" s="25">
        <v>2038</v>
      </c>
      <c r="K333" s="25">
        <v>2039</v>
      </c>
      <c r="L333" s="25">
        <v>2040</v>
      </c>
      <c r="M333" s="25">
        <v>2041</v>
      </c>
      <c r="N333" s="25">
        <v>2042</v>
      </c>
      <c r="O333" s="25">
        <v>2043</v>
      </c>
      <c r="P333" s="25">
        <v>2044</v>
      </c>
      <c r="Q333" s="25">
        <v>2045</v>
      </c>
      <c r="R333" s="25">
        <v>2046</v>
      </c>
      <c r="S333" s="25">
        <v>2047</v>
      </c>
      <c r="T333" s="25">
        <v>2048</v>
      </c>
      <c r="U333" s="25">
        <v>2049</v>
      </c>
      <c r="V333" s="25">
        <v>2050</v>
      </c>
      <c r="W333" s="25">
        <v>2051</v>
      </c>
      <c r="X333" s="25">
        <v>2052</v>
      </c>
      <c r="Y333" s="25">
        <v>2053</v>
      </c>
      <c r="Z333" s="25">
        <v>2054</v>
      </c>
      <c r="AC333" s="25">
        <v>2030</v>
      </c>
      <c r="AD333" s="25">
        <v>2031</v>
      </c>
      <c r="AE333" s="25">
        <v>2032</v>
      </c>
      <c r="AF333" s="25">
        <v>2033</v>
      </c>
      <c r="AG333" s="25">
        <v>2034</v>
      </c>
      <c r="AH333" s="25">
        <v>2035</v>
      </c>
      <c r="AI333" s="25">
        <v>2036</v>
      </c>
      <c r="AJ333" s="25">
        <v>2037</v>
      </c>
      <c r="AK333" s="25">
        <v>2038</v>
      </c>
      <c r="AL333" s="25">
        <v>2039</v>
      </c>
      <c r="AM333" s="25">
        <v>2040</v>
      </c>
      <c r="AN333" s="25">
        <v>2041</v>
      </c>
      <c r="AO333" s="25">
        <v>2042</v>
      </c>
      <c r="AP333" s="25">
        <v>2043</v>
      </c>
      <c r="AQ333" s="25">
        <v>2044</v>
      </c>
      <c r="AR333" s="25">
        <v>2045</v>
      </c>
      <c r="AS333" s="25">
        <v>2046</v>
      </c>
      <c r="AT333" s="25">
        <v>2047</v>
      </c>
      <c r="AU333" s="25">
        <v>2048</v>
      </c>
      <c r="AV333" s="25">
        <v>2049</v>
      </c>
      <c r="AW333" s="25">
        <v>2050</v>
      </c>
      <c r="AX333" s="25">
        <v>2051</v>
      </c>
      <c r="AY333" s="25">
        <v>2052</v>
      </c>
      <c r="AZ333" s="25">
        <v>2053</v>
      </c>
      <c r="BA333" s="25">
        <v>2054</v>
      </c>
    </row>
    <row r="334" spans="1:53" outlineLevel="1" x14ac:dyDescent="0.35">
      <c r="A334" s="6" t="s">
        <v>21</v>
      </c>
      <c r="B334" s="6">
        <f>B50</f>
        <v>3.1821965122054842E-4</v>
      </c>
      <c r="AB334" s="6" t="s">
        <v>117</v>
      </c>
      <c r="AC334" s="6">
        <f>SUM(B334:B345)+B347</f>
        <v>1.6022769696651808E-2</v>
      </c>
    </row>
    <row r="335" spans="1:53" outlineLevel="1" x14ac:dyDescent="0.35">
      <c r="A335" s="6" t="s">
        <v>23</v>
      </c>
      <c r="B335" s="6">
        <f t="shared" ref="B335:B345" si="41">B51</f>
        <v>4.5108434667840948E-4</v>
      </c>
      <c r="AB335" s="6" t="s">
        <v>118</v>
      </c>
      <c r="AC335" s="6">
        <f>B346</f>
        <v>4.9885556429697816E-4</v>
      </c>
    </row>
    <row r="336" spans="1:53" outlineLevel="1" x14ac:dyDescent="0.35">
      <c r="A336" s="6" t="s">
        <v>26</v>
      </c>
      <c r="B336" s="6">
        <f t="shared" si="41"/>
        <v>1.454293812173775E-3</v>
      </c>
      <c r="AB336" s="6" t="s">
        <v>119</v>
      </c>
      <c r="BA336" s="6">
        <f>SUM(Z348:Z359)</f>
        <v>1.3822951601734481E-4</v>
      </c>
    </row>
    <row r="337" spans="1:53" outlineLevel="1" x14ac:dyDescent="0.35">
      <c r="A337" s="6" t="s">
        <v>28</v>
      </c>
      <c r="B337" s="6">
        <f t="shared" si="41"/>
        <v>2.5638112267395499E-3</v>
      </c>
      <c r="AB337" s="6" t="s">
        <v>120</v>
      </c>
      <c r="BA337" s="6">
        <f>Z360</f>
        <v>2.4855028130296928E-6</v>
      </c>
    </row>
    <row r="338" spans="1:53" outlineLevel="1" x14ac:dyDescent="0.35">
      <c r="A338" s="6" t="s">
        <v>29</v>
      </c>
      <c r="B338" s="6">
        <f t="shared" si="41"/>
        <v>1.670041951681804E-3</v>
      </c>
      <c r="AB338" s="6" t="s">
        <v>121</v>
      </c>
      <c r="AC338" s="6">
        <f>B361</f>
        <v>3.0406400262598818E-4</v>
      </c>
      <c r="AF338" s="6">
        <f>E361</f>
        <v>2.9641770904864699E-4</v>
      </c>
      <c r="AI338" s="6">
        <f>H361</f>
        <v>2.8894461479738099E-4</v>
      </c>
      <c r="AL338" s="6">
        <f>K361</f>
        <v>2.7865961728505771E-4</v>
      </c>
      <c r="AO338" s="6">
        <f>N361</f>
        <v>2.6585850485750173E-4</v>
      </c>
      <c r="AR338" s="6">
        <f>Q361</f>
        <v>2.516049030100258E-4</v>
      </c>
      <c r="AU338" s="6">
        <f>T361</f>
        <v>2.424330204216972E-4</v>
      </c>
      <c r="AX338" s="6">
        <f>W361</f>
        <v>2.4089817230596729E-4</v>
      </c>
      <c r="BA338" s="6">
        <f>Z361</f>
        <v>2.3998846110054729E-4</v>
      </c>
    </row>
    <row r="339" spans="1:53" outlineLevel="1" x14ac:dyDescent="0.35">
      <c r="A339" s="6" t="s">
        <v>31</v>
      </c>
      <c r="B339" s="6">
        <f t="shared" si="41"/>
        <v>9.0181183666199584E-4</v>
      </c>
      <c r="AB339" s="6" t="s">
        <v>797</v>
      </c>
      <c r="AC339" s="6">
        <f>B365</f>
        <v>2.2841900604219497E-3</v>
      </c>
      <c r="AD339" s="6">
        <f t="shared" ref="AD339:BA339" si="42">C365</f>
        <v>2.2841900604219497E-3</v>
      </c>
      <c r="AE339" s="6">
        <f t="shared" si="42"/>
        <v>2.2841900604219497E-3</v>
      </c>
      <c r="AF339" s="6">
        <f t="shared" si="42"/>
        <v>2.2841900604219497E-3</v>
      </c>
      <c r="AG339" s="6">
        <f t="shared" si="42"/>
        <v>2.2841900604219497E-3</v>
      </c>
      <c r="AH339" s="6">
        <f t="shared" si="42"/>
        <v>2.2841900604219497E-3</v>
      </c>
      <c r="AI339" s="6">
        <f t="shared" si="42"/>
        <v>2.2841900604219497E-3</v>
      </c>
      <c r="AJ339" s="6">
        <f t="shared" si="42"/>
        <v>2.2841900604219497E-3</v>
      </c>
      <c r="AK339" s="6">
        <f t="shared" si="42"/>
        <v>2.2841900604219497E-3</v>
      </c>
      <c r="AL339" s="6">
        <f t="shared" si="42"/>
        <v>2.2841900604219497E-3</v>
      </c>
      <c r="AM339" s="6">
        <f t="shared" si="42"/>
        <v>2.2841900604219497E-3</v>
      </c>
      <c r="AN339" s="6">
        <f t="shared" si="42"/>
        <v>2.2841900604219497E-3</v>
      </c>
      <c r="AO339" s="6">
        <f t="shared" si="42"/>
        <v>2.2841900604219497E-3</v>
      </c>
      <c r="AP339" s="6">
        <f t="shared" si="42"/>
        <v>2.2841900604219497E-3</v>
      </c>
      <c r="AQ339" s="6">
        <f t="shared" si="42"/>
        <v>2.2841900604219497E-3</v>
      </c>
      <c r="AR339" s="6">
        <f t="shared" si="42"/>
        <v>2.2841900604219497E-3</v>
      </c>
      <c r="AS339" s="6">
        <f t="shared" si="42"/>
        <v>2.2841900604219497E-3</v>
      </c>
      <c r="AT339" s="6">
        <f t="shared" si="42"/>
        <v>2.2841900604219497E-3</v>
      </c>
      <c r="AU339" s="6">
        <f t="shared" si="42"/>
        <v>2.2841900604219497E-3</v>
      </c>
      <c r="AV339" s="6">
        <f t="shared" si="42"/>
        <v>2.2841900604219497E-3</v>
      </c>
      <c r="AW339" s="6">
        <f t="shared" si="42"/>
        <v>2.2841900604219497E-3</v>
      </c>
      <c r="AX339" s="6">
        <f t="shared" si="42"/>
        <v>2.2841900604219497E-3</v>
      </c>
      <c r="AY339" s="6">
        <f t="shared" si="42"/>
        <v>2.2841900604219497E-3</v>
      </c>
      <c r="AZ339" s="6">
        <f t="shared" si="42"/>
        <v>2.2841900604219497E-3</v>
      </c>
      <c r="BA339" s="6">
        <f t="shared" si="42"/>
        <v>2.2841900604219497E-3</v>
      </c>
    </row>
    <row r="340" spans="1:53" outlineLevel="1" x14ac:dyDescent="0.35">
      <c r="A340" s="6" t="s">
        <v>34</v>
      </c>
      <c r="B340" s="6">
        <f t="shared" si="41"/>
        <v>6.9644183426684127E-4</v>
      </c>
      <c r="AB340" s="6" t="s">
        <v>122</v>
      </c>
      <c r="AC340" s="6">
        <f t="shared" ref="AC340:AV340" si="43">B364+B363</f>
        <v>2.0628193112620006E-3</v>
      </c>
      <c r="AD340" s="6">
        <f t="shared" si="43"/>
        <v>2.0506569953387755E-3</v>
      </c>
      <c r="AE340" s="6">
        <f t="shared" si="43"/>
        <v>2.0383941046949478E-3</v>
      </c>
      <c r="AF340" s="6">
        <f t="shared" si="43"/>
        <v>2.0189427706189212E-3</v>
      </c>
      <c r="AG340" s="6">
        <f t="shared" si="43"/>
        <v>2.0065543920257801E-3</v>
      </c>
      <c r="AH340" s="6">
        <f t="shared" si="43"/>
        <v>1.9941213230671604E-3</v>
      </c>
      <c r="AI340" s="6">
        <f t="shared" si="43"/>
        <v>1.9772033885735174E-3</v>
      </c>
      <c r="AJ340" s="6">
        <f t="shared" si="43"/>
        <v>1.9635474371718408E-3</v>
      </c>
      <c r="AK340" s="6">
        <f t="shared" si="43"/>
        <v>1.9493047575624698E-3</v>
      </c>
      <c r="AL340" s="6">
        <f t="shared" si="43"/>
        <v>1.9372671221352968E-3</v>
      </c>
      <c r="AM340" s="6">
        <f t="shared" si="43"/>
        <v>1.9251967573926472E-3</v>
      </c>
      <c r="AN340" s="6">
        <f t="shared" si="43"/>
        <v>1.911104870605808E-3</v>
      </c>
      <c r="AO340" s="6">
        <f t="shared" si="43"/>
        <v>1.8972141775548393E-3</v>
      </c>
      <c r="AP340" s="6">
        <f t="shared" si="43"/>
        <v>1.8827561070695528E-3</v>
      </c>
      <c r="AQ340" s="6">
        <f t="shared" si="43"/>
        <v>1.869182944581053E-3</v>
      </c>
      <c r="AR340" s="6">
        <f t="shared" si="43"/>
        <v>1.8557070075807143E-3</v>
      </c>
      <c r="AS340" s="6">
        <f t="shared" si="43"/>
        <v>1.8469949083220198E-3</v>
      </c>
      <c r="AT340" s="6">
        <f t="shared" si="43"/>
        <v>1.838464443194539E-3</v>
      </c>
      <c r="AU340" s="6">
        <f t="shared" si="43"/>
        <v>1.8293475840607703E-3</v>
      </c>
      <c r="AV340" s="6">
        <f t="shared" si="43"/>
        <v>1.8208771300006817E-3</v>
      </c>
      <c r="AW340" s="6">
        <f>V364</f>
        <v>1.8123329759650907E-3</v>
      </c>
      <c r="AX340" s="6">
        <f>W364</f>
        <v>1.839048056441215E-3</v>
      </c>
      <c r="AY340" s="6">
        <f>X364</f>
        <v>1.8377809548803432E-3</v>
      </c>
      <c r="AZ340" s="6">
        <f>Y364</f>
        <v>1.8365235541143508E-3</v>
      </c>
      <c r="BA340" s="6">
        <f>Z364</f>
        <v>1.835277177973074E-3</v>
      </c>
    </row>
    <row r="341" spans="1:53" outlineLevel="1" x14ac:dyDescent="0.35">
      <c r="A341" s="6" t="s">
        <v>36</v>
      </c>
      <c r="B341" s="6">
        <f t="shared" si="41"/>
        <v>2.7577646249853999E-4</v>
      </c>
      <c r="AB341" s="6" t="s">
        <v>123</v>
      </c>
      <c r="AC341" s="6">
        <f t="shared" ref="AC341:BA341" si="44">B362</f>
        <v>3.2639251788786519E-4</v>
      </c>
      <c r="AD341" s="6">
        <f t="shared" si="44"/>
        <v>3.1581907527027293E-4</v>
      </c>
      <c r="AE341" s="6">
        <f t="shared" si="44"/>
        <v>3.0468457083876178E-4</v>
      </c>
      <c r="AF341" s="6">
        <f t="shared" si="44"/>
        <v>2.9302008031819237E-4</v>
      </c>
      <c r="AG341" s="6">
        <f t="shared" si="44"/>
        <v>2.8169507803528276E-4</v>
      </c>
      <c r="AH341" s="6">
        <f t="shared" si="44"/>
        <v>2.7040320740678083E-4</v>
      </c>
      <c r="AI341" s="6">
        <f t="shared" si="44"/>
        <v>2.6411142830041416E-4</v>
      </c>
      <c r="AJ341" s="6">
        <f t="shared" si="44"/>
        <v>2.5786823188934477E-4</v>
      </c>
      <c r="AK341" s="6">
        <f t="shared" si="44"/>
        <v>2.5151844995703387E-4</v>
      </c>
      <c r="AL341" s="6">
        <f t="shared" si="44"/>
        <v>2.452812015794559E-4</v>
      </c>
      <c r="AM341" s="6">
        <f t="shared" si="44"/>
        <v>2.390352243149711E-4</v>
      </c>
      <c r="AN341" s="6">
        <f t="shared" si="44"/>
        <v>2.319197286505346E-4</v>
      </c>
      <c r="AO341" s="6">
        <f t="shared" si="44"/>
        <v>2.2476837145049948E-4</v>
      </c>
      <c r="AP341" s="6">
        <f t="shared" si="44"/>
        <v>2.1755498112788416E-4</v>
      </c>
      <c r="AQ341" s="6">
        <f t="shared" si="44"/>
        <v>2.103313453902297E-4</v>
      </c>
      <c r="AR341" s="6">
        <f t="shared" si="44"/>
        <v>2.0307187223795087E-4</v>
      </c>
      <c r="AS341" s="6">
        <f t="shared" si="44"/>
        <v>1.9899083208028753E-4</v>
      </c>
      <c r="AT341" s="6">
        <f t="shared" si="44"/>
        <v>1.9483885584212215E-4</v>
      </c>
      <c r="AU341" s="6">
        <f t="shared" si="44"/>
        <v>1.9064642316272498E-4</v>
      </c>
      <c r="AV341" s="6">
        <f t="shared" si="44"/>
        <v>1.8646986926127679E-4</v>
      </c>
      <c r="AW341" s="6">
        <f t="shared" si="44"/>
        <v>1.8228004933115407E-4</v>
      </c>
      <c r="AX341" s="6">
        <f t="shared" si="44"/>
        <v>1.8434452946298091E-4</v>
      </c>
      <c r="AY341" s="6">
        <f t="shared" si="44"/>
        <v>1.8211590385056967E-4</v>
      </c>
      <c r="AZ341" s="6">
        <f t="shared" si="44"/>
        <v>1.7988673259853376E-4</v>
      </c>
      <c r="BA341" s="6">
        <f t="shared" si="44"/>
        <v>1.7765646949952034E-4</v>
      </c>
    </row>
    <row r="342" spans="1:53" outlineLevel="1" x14ac:dyDescent="0.35">
      <c r="A342" s="6" t="s">
        <v>38</v>
      </c>
      <c r="B342" s="6">
        <f t="shared" si="41"/>
        <v>2.7883510110522408E-3</v>
      </c>
      <c r="AB342" s="6" t="s">
        <v>124</v>
      </c>
      <c r="AC342" s="6">
        <f>-$AC$323*$AC$324</f>
        <v>-4.0599999999999994E-3</v>
      </c>
      <c r="AD342" s="6">
        <f t="shared" ref="AD342:BA342" si="45">-$AC$323*$AC$324</f>
        <v>-4.0599999999999994E-3</v>
      </c>
      <c r="AE342" s="6">
        <f t="shared" si="45"/>
        <v>-4.0599999999999994E-3</v>
      </c>
      <c r="AF342" s="6">
        <f t="shared" si="45"/>
        <v>-4.0599999999999994E-3</v>
      </c>
      <c r="AG342" s="6">
        <f t="shared" si="45"/>
        <v>-4.0599999999999994E-3</v>
      </c>
      <c r="AH342" s="6">
        <f t="shared" si="45"/>
        <v>-4.0599999999999994E-3</v>
      </c>
      <c r="AI342" s="6">
        <f t="shared" si="45"/>
        <v>-4.0599999999999994E-3</v>
      </c>
      <c r="AJ342" s="6">
        <f t="shared" si="45"/>
        <v>-4.0599999999999994E-3</v>
      </c>
      <c r="AK342" s="6">
        <f t="shared" si="45"/>
        <v>-4.0599999999999994E-3</v>
      </c>
      <c r="AL342" s="6">
        <f t="shared" si="45"/>
        <v>-4.0599999999999994E-3</v>
      </c>
      <c r="AM342" s="6">
        <f t="shared" si="45"/>
        <v>-4.0599999999999994E-3</v>
      </c>
      <c r="AN342" s="6">
        <f t="shared" si="45"/>
        <v>-4.0599999999999994E-3</v>
      </c>
      <c r="AO342" s="6">
        <f t="shared" si="45"/>
        <v>-4.0599999999999994E-3</v>
      </c>
      <c r="AP342" s="6">
        <f t="shared" si="45"/>
        <v>-4.0599999999999994E-3</v>
      </c>
      <c r="AQ342" s="6">
        <f t="shared" si="45"/>
        <v>-4.0599999999999994E-3</v>
      </c>
      <c r="AR342" s="6">
        <f t="shared" si="45"/>
        <v>-4.0599999999999994E-3</v>
      </c>
      <c r="AS342" s="6">
        <f t="shared" si="45"/>
        <v>-4.0599999999999994E-3</v>
      </c>
      <c r="AT342" s="6">
        <f t="shared" si="45"/>
        <v>-4.0599999999999994E-3</v>
      </c>
      <c r="AU342" s="6">
        <f t="shared" si="45"/>
        <v>-4.0599999999999994E-3</v>
      </c>
      <c r="AV342" s="6">
        <f t="shared" si="45"/>
        <v>-4.0599999999999994E-3</v>
      </c>
      <c r="AW342" s="6">
        <f t="shared" si="45"/>
        <v>-4.0599999999999994E-3</v>
      </c>
      <c r="AX342" s="6">
        <f t="shared" si="45"/>
        <v>-4.0599999999999994E-3</v>
      </c>
      <c r="AY342" s="6">
        <f t="shared" si="45"/>
        <v>-4.0599999999999994E-3</v>
      </c>
      <c r="AZ342" s="6">
        <f t="shared" si="45"/>
        <v>-4.0599999999999994E-3</v>
      </c>
      <c r="BA342" s="6">
        <f t="shared" si="45"/>
        <v>-4.0599999999999994E-3</v>
      </c>
    </row>
    <row r="343" spans="1:53" outlineLevel="1" x14ac:dyDescent="0.35">
      <c r="A343" s="6" t="s">
        <v>39</v>
      </c>
      <c r="B343" s="6">
        <f t="shared" si="41"/>
        <v>3.790802282108608E-3</v>
      </c>
      <c r="AB343" s="23" t="s">
        <v>125</v>
      </c>
      <c r="AC343" s="17">
        <f t="shared" ref="AC343:BA343" si="46">SUM(AC334:AC342)</f>
        <v>1.7439091153146589E-2</v>
      </c>
      <c r="AD343" s="17">
        <f t="shared" si="46"/>
        <v>5.9066613103099866E-4</v>
      </c>
      <c r="AE343" s="17">
        <f t="shared" si="46"/>
        <v>5.6726873595566024E-4</v>
      </c>
      <c r="AF343" s="17">
        <f t="shared" si="46"/>
        <v>8.3257062040771081E-4</v>
      </c>
      <c r="AG343" s="17">
        <f t="shared" si="46"/>
        <v>5.124395304830125E-4</v>
      </c>
      <c r="AH343" s="17">
        <f t="shared" si="46"/>
        <v>4.8871459089589158E-4</v>
      </c>
      <c r="AI343" s="17">
        <f t="shared" si="46"/>
        <v>7.5444949209326363E-4</v>
      </c>
      <c r="AJ343" s="17">
        <f t="shared" si="46"/>
        <v>4.4560572948313618E-4</v>
      </c>
      <c r="AK343" s="17">
        <f t="shared" si="46"/>
        <v>4.2501326794145387E-4</v>
      </c>
      <c r="AL343" s="17">
        <f t="shared" si="46"/>
        <v>6.853980014217614E-4</v>
      </c>
      <c r="AM343" s="17">
        <f t="shared" si="46"/>
        <v>3.8842204212956918E-4</v>
      </c>
      <c r="AN343" s="17">
        <f t="shared" si="46"/>
        <v>3.6721465967829315E-4</v>
      </c>
      <c r="AO343" s="17">
        <f t="shared" si="46"/>
        <v>6.1203111428479156E-4</v>
      </c>
      <c r="AP343" s="17">
        <f t="shared" si="46"/>
        <v>3.2450114861938724E-4</v>
      </c>
      <c r="AQ343" s="17">
        <f t="shared" si="46"/>
        <v>3.0370435039323278E-4</v>
      </c>
      <c r="AR343" s="17">
        <f t="shared" si="46"/>
        <v>5.3457384325064205E-4</v>
      </c>
      <c r="AS343" s="17">
        <f t="shared" si="46"/>
        <v>2.7017580082425857E-4</v>
      </c>
      <c r="AT343" s="17">
        <f t="shared" si="46"/>
        <v>2.5749335945861145E-4</v>
      </c>
      <c r="AU343" s="17">
        <f t="shared" si="46"/>
        <v>4.8661708806714294E-4</v>
      </c>
      <c r="AV343" s="17">
        <f t="shared" si="46"/>
        <v>2.315370596839084E-4</v>
      </c>
      <c r="AW343" s="17">
        <f t="shared" si="46"/>
        <v>2.1880308571819475E-4</v>
      </c>
      <c r="AX343" s="17">
        <f t="shared" si="46"/>
        <v>4.8848081863211382E-4</v>
      </c>
      <c r="AY343" s="17">
        <f t="shared" si="46"/>
        <v>2.4408691915286333E-4</v>
      </c>
      <c r="AZ343" s="17">
        <f t="shared" si="46"/>
        <v>2.4060034713483443E-4</v>
      </c>
      <c r="BA343" s="17">
        <f t="shared" si="46"/>
        <v>6.1782718782546573E-4</v>
      </c>
    </row>
    <row r="344" spans="1:53" outlineLevel="1" x14ac:dyDescent="0.35">
      <c r="A344" s="6" t="s">
        <v>41</v>
      </c>
      <c r="B344" s="6">
        <f t="shared" si="41"/>
        <v>1.535713505087794E-5</v>
      </c>
    </row>
    <row r="345" spans="1:53" outlineLevel="1" x14ac:dyDescent="0.35">
      <c r="A345" s="6" t="s">
        <v>43</v>
      </c>
      <c r="B345" s="6">
        <f t="shared" si="41"/>
        <v>1.2419452311635511E-4</v>
      </c>
      <c r="AB345" s="272"/>
      <c r="AC345" s="272"/>
      <c r="AD345" s="272"/>
      <c r="AE345" s="272"/>
      <c r="AF345" s="272"/>
      <c r="AG345" s="272"/>
      <c r="AH345" s="272"/>
      <c r="AI345" s="272"/>
      <c r="AJ345" s="272"/>
      <c r="AK345" s="272"/>
      <c r="AL345" s="272"/>
      <c r="AM345" s="272"/>
      <c r="AN345" s="272"/>
      <c r="AO345" s="272"/>
      <c r="AP345" s="272"/>
      <c r="AQ345" s="272"/>
      <c r="AR345" s="272"/>
      <c r="AS345" s="272"/>
      <c r="AT345" s="272"/>
      <c r="AU345" s="272"/>
      <c r="AV345" s="272"/>
      <c r="AW345" s="272"/>
      <c r="AX345" s="272"/>
      <c r="AY345" s="272"/>
      <c r="AZ345" s="272"/>
      <c r="BA345" s="272"/>
    </row>
    <row r="346" spans="1:53" outlineLevel="1" x14ac:dyDescent="0.35">
      <c r="A346" s="6" t="s">
        <v>44</v>
      </c>
      <c r="B346" s="6">
        <f>B62*AC325</f>
        <v>4.9885556429697816E-4</v>
      </c>
      <c r="AB346" s="272"/>
      <c r="AC346" s="272"/>
      <c r="AD346" s="272"/>
      <c r="AE346" s="272"/>
      <c r="AF346" s="272"/>
      <c r="AG346" s="272"/>
      <c r="AH346" s="272"/>
      <c r="AI346" s="272"/>
      <c r="AJ346" s="272"/>
      <c r="AK346" s="272"/>
      <c r="AL346" s="272"/>
      <c r="AM346" s="272"/>
      <c r="AN346" s="272"/>
      <c r="AO346" s="272"/>
      <c r="AP346" s="272"/>
      <c r="AQ346" s="272"/>
      <c r="AR346" s="272"/>
      <c r="AS346" s="272"/>
      <c r="AT346" s="272"/>
      <c r="AU346" s="272"/>
      <c r="AV346" s="272"/>
      <c r="AW346" s="272"/>
      <c r="AX346" s="272"/>
      <c r="AY346" s="272"/>
      <c r="AZ346" s="272"/>
      <c r="BA346" s="272"/>
    </row>
    <row r="347" spans="1:53" outlineLevel="1" x14ac:dyDescent="0.35">
      <c r="A347" s="6" t="s">
        <v>757</v>
      </c>
      <c r="B347" s="6">
        <f>B63*AC325</f>
        <v>9.7258362340226629E-4</v>
      </c>
      <c r="AB347" s="272"/>
      <c r="AC347" s="272"/>
      <c r="AD347" s="272"/>
      <c r="AE347" s="272"/>
      <c r="AF347" s="272"/>
      <c r="AG347" s="272"/>
      <c r="AH347" s="272"/>
      <c r="AI347" s="272"/>
      <c r="AJ347" s="272"/>
      <c r="AK347" s="272"/>
      <c r="AL347" s="272"/>
      <c r="AM347" s="272"/>
      <c r="AN347" s="272"/>
      <c r="AO347" s="272"/>
      <c r="AP347" s="272"/>
      <c r="AQ347" s="272"/>
      <c r="AR347" s="272"/>
      <c r="AS347" s="272"/>
      <c r="AT347" s="272"/>
      <c r="AU347" s="272"/>
      <c r="AV347" s="272"/>
      <c r="AW347" s="272"/>
      <c r="AX347" s="272"/>
      <c r="AY347" s="272"/>
      <c r="AZ347" s="272"/>
      <c r="BA347" s="272"/>
    </row>
    <row r="348" spans="1:53" outlineLevel="1" x14ac:dyDescent="0.35">
      <c r="A348" s="6" t="s">
        <v>22</v>
      </c>
      <c r="Z348" s="6">
        <f>Z64</f>
        <v>2.4731348142252328E-6</v>
      </c>
      <c r="AB348" s="272"/>
      <c r="AC348" s="272"/>
      <c r="AD348" s="272"/>
      <c r="AE348" s="272"/>
      <c r="AF348" s="272"/>
      <c r="AG348" s="272"/>
      <c r="AH348" s="272"/>
      <c r="AI348" s="272"/>
      <c r="AJ348" s="272"/>
      <c r="AK348" s="272"/>
      <c r="AL348" s="272"/>
      <c r="AM348" s="272"/>
      <c r="AN348" s="272"/>
      <c r="AO348" s="272"/>
      <c r="AP348" s="272"/>
      <c r="AQ348" s="272"/>
      <c r="AR348" s="272"/>
      <c r="AS348" s="272"/>
      <c r="AT348" s="272"/>
      <c r="AU348" s="272"/>
      <c r="AV348" s="272"/>
      <c r="AW348" s="272"/>
      <c r="AX348" s="272"/>
      <c r="AY348" s="272"/>
      <c r="AZ348" s="272"/>
      <c r="BA348" s="272"/>
    </row>
    <row r="349" spans="1:53" outlineLevel="1" x14ac:dyDescent="0.35">
      <c r="A349" s="6" t="s">
        <v>24</v>
      </c>
      <c r="Z349" s="6">
        <f t="shared" ref="Z349:Z359" si="47">Z65</f>
        <v>1.566589914225409E-6</v>
      </c>
      <c r="AB349" s="272"/>
      <c r="AC349" s="272"/>
      <c r="AD349" s="272"/>
      <c r="AE349" s="272"/>
      <c r="AF349" s="272"/>
      <c r="AG349" s="272"/>
      <c r="AH349" s="272"/>
      <c r="AI349" s="272"/>
      <c r="AJ349" s="272"/>
      <c r="AK349" s="272"/>
      <c r="AL349" s="272"/>
      <c r="AM349" s="272"/>
      <c r="AN349" s="272"/>
      <c r="AO349" s="272"/>
      <c r="AP349" s="272"/>
      <c r="AQ349" s="272"/>
      <c r="AR349" s="272"/>
      <c r="AS349" s="272"/>
      <c r="AT349" s="272"/>
      <c r="AU349" s="272"/>
      <c r="AV349" s="272"/>
      <c r="AW349" s="272"/>
      <c r="AX349" s="272"/>
      <c r="AY349" s="272"/>
      <c r="AZ349" s="272"/>
      <c r="BA349" s="272"/>
    </row>
    <row r="350" spans="1:53" outlineLevel="1" x14ac:dyDescent="0.35">
      <c r="A350" s="6" t="s">
        <v>25</v>
      </c>
      <c r="Z350" s="6">
        <f t="shared" si="47"/>
        <v>5.8372899867207733E-6</v>
      </c>
      <c r="AB350" s="272"/>
      <c r="AC350" s="272"/>
      <c r="AD350" s="272"/>
      <c r="AE350" s="272"/>
      <c r="AF350" s="272"/>
      <c r="AG350" s="272"/>
      <c r="AH350" s="272"/>
      <c r="AI350" s="272"/>
      <c r="AJ350" s="272"/>
      <c r="AK350" s="272"/>
      <c r="AL350" s="272"/>
      <c r="AM350" s="272"/>
      <c r="AN350" s="272"/>
      <c r="AO350" s="272"/>
      <c r="AP350" s="272"/>
      <c r="AQ350" s="272"/>
      <c r="AR350" s="272"/>
      <c r="AS350" s="272"/>
      <c r="AT350" s="272"/>
      <c r="AU350" s="272"/>
      <c r="AV350" s="272"/>
      <c r="AW350" s="272"/>
      <c r="AX350" s="272"/>
      <c r="AY350" s="272"/>
      <c r="AZ350" s="272"/>
      <c r="BA350" s="272"/>
    </row>
    <row r="351" spans="1:53" outlineLevel="1" x14ac:dyDescent="0.35">
      <c r="A351" s="6" t="s">
        <v>27</v>
      </c>
      <c r="Z351" s="6">
        <f t="shared" si="47"/>
        <v>2.9871627518195061E-6</v>
      </c>
      <c r="AB351" s="272"/>
      <c r="AC351" s="272"/>
      <c r="AD351" s="272"/>
      <c r="AE351" s="272"/>
      <c r="AF351" s="272"/>
      <c r="AG351" s="272"/>
      <c r="AH351" s="272"/>
      <c r="AI351" s="272"/>
      <c r="AJ351" s="272"/>
      <c r="AK351" s="272"/>
      <c r="AL351" s="272"/>
      <c r="AM351" s="272"/>
      <c r="AN351" s="272"/>
      <c r="AO351" s="272"/>
      <c r="AP351" s="272"/>
      <c r="AQ351" s="272"/>
      <c r="AR351" s="272"/>
      <c r="AS351" s="272"/>
      <c r="AT351" s="272"/>
      <c r="AU351" s="272"/>
      <c r="AV351" s="272"/>
      <c r="AW351" s="272"/>
      <c r="AX351" s="272"/>
      <c r="AY351" s="272"/>
      <c r="AZ351" s="272"/>
      <c r="BA351" s="272"/>
    </row>
    <row r="352" spans="1:53" outlineLevel="1" x14ac:dyDescent="0.35">
      <c r="A352" s="6" t="s">
        <v>30</v>
      </c>
      <c r="Z352" s="6">
        <f t="shared" si="47"/>
        <v>3.246582373763257E-6</v>
      </c>
      <c r="AB352" s="272"/>
      <c r="AC352" s="272"/>
      <c r="AD352" s="272"/>
      <c r="AE352" s="272"/>
      <c r="AF352" s="272"/>
      <c r="AG352" s="272"/>
      <c r="AH352" s="272"/>
      <c r="AI352" s="272"/>
      <c r="AJ352" s="272"/>
      <c r="AK352" s="272"/>
      <c r="AL352" s="272"/>
      <c r="AM352" s="272"/>
      <c r="AN352" s="272"/>
      <c r="AO352" s="272"/>
      <c r="AP352" s="272"/>
      <c r="AQ352" s="272"/>
      <c r="AR352" s="272"/>
      <c r="AS352" s="272"/>
      <c r="AT352" s="272"/>
      <c r="AU352" s="272"/>
      <c r="AV352" s="272"/>
      <c r="AW352" s="272"/>
      <c r="AX352" s="272"/>
      <c r="AY352" s="272"/>
      <c r="AZ352" s="272"/>
      <c r="BA352" s="272"/>
    </row>
    <row r="353" spans="1:53" outlineLevel="1" x14ac:dyDescent="0.35">
      <c r="A353" s="6" t="s">
        <v>32</v>
      </c>
      <c r="Z353" s="6">
        <f t="shared" si="47"/>
        <v>7.348392897368302E-7</v>
      </c>
      <c r="AB353" s="272"/>
      <c r="AC353" s="272"/>
      <c r="AD353" s="272"/>
      <c r="AE353" s="272"/>
      <c r="AF353" s="272"/>
      <c r="AG353" s="272"/>
      <c r="AH353" s="272"/>
      <c r="AI353" s="272"/>
      <c r="AJ353" s="272"/>
      <c r="AK353" s="272"/>
      <c r="AL353" s="272"/>
      <c r="AM353" s="272"/>
      <c r="AN353" s="272"/>
      <c r="AO353" s="272"/>
      <c r="AP353" s="272"/>
      <c r="AQ353" s="272"/>
      <c r="AR353" s="272"/>
      <c r="AS353" s="272"/>
      <c r="AT353" s="272"/>
      <c r="AU353" s="272"/>
      <c r="AV353" s="272"/>
      <c r="AW353" s="272"/>
      <c r="AX353" s="272"/>
      <c r="AY353" s="272"/>
      <c r="AZ353" s="272"/>
      <c r="BA353" s="272"/>
    </row>
    <row r="354" spans="1:53" outlineLevel="1" x14ac:dyDescent="0.35">
      <c r="A354" s="6" t="s">
        <v>33</v>
      </c>
      <c r="Z354" s="6">
        <f t="shared" si="47"/>
        <v>8.5418660163194619E-7</v>
      </c>
      <c r="AB354" s="272"/>
      <c r="AC354" s="272"/>
      <c r="AD354" s="272"/>
      <c r="AE354" s="272"/>
      <c r="AF354" s="272"/>
      <c r="AG354" s="272"/>
      <c r="AH354" s="272"/>
      <c r="AI354" s="272"/>
      <c r="AJ354" s="272"/>
      <c r="AK354" s="272"/>
      <c r="AL354" s="272"/>
      <c r="AM354" s="272"/>
      <c r="AN354" s="272"/>
      <c r="AO354" s="272"/>
      <c r="AP354" s="272"/>
      <c r="AQ354" s="272"/>
      <c r="AR354" s="272"/>
      <c r="AS354" s="272"/>
      <c r="AT354" s="272"/>
      <c r="AU354" s="272"/>
      <c r="AV354" s="272"/>
      <c r="AW354" s="272"/>
      <c r="AX354" s="272"/>
      <c r="AY354" s="272"/>
      <c r="AZ354" s="272"/>
      <c r="BA354" s="272"/>
    </row>
    <row r="355" spans="1:53" outlineLevel="1" x14ac:dyDescent="0.35">
      <c r="A355" s="6" t="s">
        <v>35</v>
      </c>
      <c r="Z355" s="6">
        <f t="shared" si="47"/>
        <v>1.708373203263892E-6</v>
      </c>
      <c r="AB355" s="272"/>
      <c r="AC355" s="272"/>
      <c r="AD355" s="272"/>
      <c r="AE355" s="272"/>
      <c r="AF355" s="272"/>
      <c r="AG355" s="272"/>
      <c r="AH355" s="272"/>
      <c r="AI355" s="272"/>
      <c r="AJ355" s="272"/>
      <c r="AK355" s="272"/>
      <c r="AL355" s="272"/>
      <c r="AM355" s="272"/>
      <c r="AN355" s="272"/>
      <c r="AO355" s="272"/>
      <c r="AP355" s="272"/>
      <c r="AQ355" s="272"/>
      <c r="AR355" s="272"/>
      <c r="AS355" s="272"/>
      <c r="AT355" s="272"/>
      <c r="AU355" s="272"/>
      <c r="AV355" s="272"/>
      <c r="AW355" s="272"/>
      <c r="AX355" s="272"/>
      <c r="AY355" s="272"/>
      <c r="AZ355" s="272"/>
      <c r="BA355" s="272"/>
    </row>
    <row r="356" spans="1:53" outlineLevel="1" x14ac:dyDescent="0.35">
      <c r="A356" s="6" t="s">
        <v>37</v>
      </c>
      <c r="Z356" s="6">
        <f t="shared" si="47"/>
        <v>8.406359088602854E-6</v>
      </c>
      <c r="AB356" s="272"/>
      <c r="AC356" s="272"/>
      <c r="AD356" s="272"/>
      <c r="AE356" s="272"/>
      <c r="AF356" s="272"/>
      <c r="AG356" s="272"/>
      <c r="AH356" s="272"/>
      <c r="AI356" s="272"/>
      <c r="AJ356" s="272"/>
      <c r="AK356" s="272"/>
      <c r="AL356" s="272"/>
      <c r="AM356" s="272"/>
      <c r="AN356" s="272"/>
      <c r="AO356" s="272"/>
      <c r="AP356" s="272"/>
      <c r="AQ356" s="272"/>
      <c r="AR356" s="272"/>
      <c r="AS356" s="272"/>
      <c r="AT356" s="272"/>
      <c r="AU356" s="272"/>
      <c r="AV356" s="272"/>
      <c r="AW356" s="272"/>
      <c r="AX356" s="272"/>
      <c r="AY356" s="272"/>
      <c r="AZ356" s="272"/>
      <c r="BA356" s="272"/>
    </row>
    <row r="357" spans="1:53" outlineLevel="1" x14ac:dyDescent="0.35">
      <c r="A357" s="6" t="s">
        <v>40</v>
      </c>
      <c r="Z357" s="6">
        <f t="shared" si="47"/>
        <v>4.4561011169940931E-5</v>
      </c>
    </row>
    <row r="358" spans="1:53" outlineLevel="1" x14ac:dyDescent="0.35">
      <c r="A358" s="6" t="s">
        <v>42</v>
      </c>
      <c r="Z358" s="6">
        <f t="shared" si="47"/>
        <v>1.26611946174033E-5</v>
      </c>
    </row>
    <row r="359" spans="1:53" outlineLevel="1" x14ac:dyDescent="0.35">
      <c r="A359" s="6" t="s">
        <v>115</v>
      </c>
      <c r="Z359" s="6">
        <f t="shared" si="47"/>
        <v>5.3192792206010883E-5</v>
      </c>
    </row>
    <row r="360" spans="1:53" outlineLevel="1" x14ac:dyDescent="0.35">
      <c r="A360" s="6" t="s">
        <v>45</v>
      </c>
      <c r="Z360" s="6">
        <f>Z76*AC325</f>
        <v>2.4855028130296928E-6</v>
      </c>
    </row>
    <row r="361" spans="1:53" outlineLevel="1" x14ac:dyDescent="0.35">
      <c r="A361" s="6" t="s">
        <v>116</v>
      </c>
      <c r="B361" s="6">
        <f>B77</f>
        <v>3.0406400262598818E-4</v>
      </c>
      <c r="C361" s="6">
        <f t="shared" ref="C361:Z361" si="48">C77</f>
        <v>3.0204881893775942E-4</v>
      </c>
      <c r="D361" s="6">
        <f t="shared" si="48"/>
        <v>3.0001269711187241E-4</v>
      </c>
      <c r="E361" s="6">
        <f t="shared" si="48"/>
        <v>2.9641770904864699E-4</v>
      </c>
      <c r="F361" s="6">
        <f t="shared" si="48"/>
        <v>2.9433463180056661E-4</v>
      </c>
      <c r="G361" s="6">
        <f t="shared" si="48"/>
        <v>2.9224639064194259E-4</v>
      </c>
      <c r="H361" s="6">
        <f t="shared" si="48"/>
        <v>2.8894461479738099E-4</v>
      </c>
      <c r="I361" s="6">
        <f t="shared" si="48"/>
        <v>2.8566935364366113E-4</v>
      </c>
      <c r="J361" s="6">
        <f t="shared" si="48"/>
        <v>2.8193850577612738E-4</v>
      </c>
      <c r="K361" s="6">
        <f t="shared" si="48"/>
        <v>2.7865961728505771E-4</v>
      </c>
      <c r="L361" s="6">
        <f t="shared" si="48"/>
        <v>2.7537146889793258E-4</v>
      </c>
      <c r="M361" s="6">
        <f t="shared" si="48"/>
        <v>2.7060112447531122E-4</v>
      </c>
      <c r="N361" s="6">
        <f t="shared" si="48"/>
        <v>2.6585850485750173E-4</v>
      </c>
      <c r="O361" s="6">
        <f t="shared" si="48"/>
        <v>2.609627939446373E-4</v>
      </c>
      <c r="P361" s="6">
        <f t="shared" si="48"/>
        <v>2.5627312292223273E-4</v>
      </c>
      <c r="Q361" s="6">
        <f t="shared" si="48"/>
        <v>2.516049030100258E-4</v>
      </c>
      <c r="R361" s="6">
        <f t="shared" si="48"/>
        <v>2.4858198954973008E-4</v>
      </c>
      <c r="S361" s="6">
        <f t="shared" si="48"/>
        <v>2.4557348451335897E-4</v>
      </c>
      <c r="T361" s="6">
        <f t="shared" si="48"/>
        <v>2.424330204216972E-4</v>
      </c>
      <c r="U361" s="6">
        <f t="shared" si="48"/>
        <v>2.3945556552477679E-4</v>
      </c>
      <c r="V361" s="6">
        <f t="shared" si="48"/>
        <v>2.364919560539444E-4</v>
      </c>
      <c r="W361" s="6">
        <f t="shared" si="48"/>
        <v>2.4089817230596729E-4</v>
      </c>
      <c r="X361" s="6">
        <f t="shared" si="48"/>
        <v>2.4059301788226429E-4</v>
      </c>
      <c r="Y361" s="6">
        <f t="shared" si="48"/>
        <v>2.402897932875388E-4</v>
      </c>
      <c r="Z361" s="6">
        <f t="shared" si="48"/>
        <v>2.3998846110054729E-4</v>
      </c>
    </row>
    <row r="362" spans="1:53" outlineLevel="1" x14ac:dyDescent="0.35">
      <c r="A362" s="6" t="s">
        <v>758</v>
      </c>
      <c r="B362" s="6">
        <f>B78*$AC$325</f>
        <v>3.2639251788786519E-4</v>
      </c>
      <c r="C362" s="6">
        <f t="shared" ref="C362:Z363" si="49">C78*$AC$325</f>
        <v>3.1581907527027293E-4</v>
      </c>
      <c r="D362" s="6">
        <f t="shared" si="49"/>
        <v>3.0468457083876178E-4</v>
      </c>
      <c r="E362" s="6">
        <f t="shared" si="49"/>
        <v>2.9302008031819237E-4</v>
      </c>
      <c r="F362" s="6">
        <f t="shared" si="49"/>
        <v>2.8169507803528276E-4</v>
      </c>
      <c r="G362" s="6">
        <f t="shared" si="49"/>
        <v>2.7040320740678083E-4</v>
      </c>
      <c r="H362" s="6">
        <f t="shared" si="49"/>
        <v>2.6411142830041416E-4</v>
      </c>
      <c r="I362" s="6">
        <f t="shared" si="49"/>
        <v>2.5786823188934477E-4</v>
      </c>
      <c r="J362" s="6">
        <f t="shared" si="49"/>
        <v>2.5151844995703387E-4</v>
      </c>
      <c r="K362" s="6">
        <f t="shared" si="49"/>
        <v>2.452812015794559E-4</v>
      </c>
      <c r="L362" s="6">
        <f t="shared" si="49"/>
        <v>2.390352243149711E-4</v>
      </c>
      <c r="M362" s="6">
        <f t="shared" si="49"/>
        <v>2.319197286505346E-4</v>
      </c>
      <c r="N362" s="6">
        <f t="shared" si="49"/>
        <v>2.2476837145049948E-4</v>
      </c>
      <c r="O362" s="6">
        <f t="shared" si="49"/>
        <v>2.1755498112788416E-4</v>
      </c>
      <c r="P362" s="6">
        <f t="shared" si="49"/>
        <v>2.103313453902297E-4</v>
      </c>
      <c r="Q362" s="6">
        <f t="shared" si="49"/>
        <v>2.0307187223795087E-4</v>
      </c>
      <c r="R362" s="6">
        <f t="shared" si="49"/>
        <v>1.9899083208028753E-4</v>
      </c>
      <c r="S362" s="6">
        <f t="shared" si="49"/>
        <v>1.9483885584212215E-4</v>
      </c>
      <c r="T362" s="6">
        <f t="shared" si="49"/>
        <v>1.9064642316272498E-4</v>
      </c>
      <c r="U362" s="6">
        <f t="shared" si="49"/>
        <v>1.8646986926127679E-4</v>
      </c>
      <c r="V362" s="6">
        <f t="shared" si="49"/>
        <v>1.8228004933115407E-4</v>
      </c>
      <c r="W362" s="6">
        <f t="shared" si="49"/>
        <v>1.8434452946298091E-4</v>
      </c>
      <c r="X362" s="6">
        <f t="shared" si="49"/>
        <v>1.8211590385056967E-4</v>
      </c>
      <c r="Y362" s="6">
        <f t="shared" si="49"/>
        <v>1.7988673259853376E-4</v>
      </c>
      <c r="Z362" s="6">
        <f t="shared" si="49"/>
        <v>1.7765646949952034E-4</v>
      </c>
    </row>
    <row r="363" spans="1:53" outlineLevel="1" x14ac:dyDescent="0.35">
      <c r="A363" s="6" t="s">
        <v>759</v>
      </c>
      <c r="B363" s="6">
        <f>B79*$AC$325</f>
        <v>0</v>
      </c>
      <c r="C363" s="6">
        <f t="shared" si="49"/>
        <v>0</v>
      </c>
      <c r="D363" s="6">
        <f t="shared" si="49"/>
        <v>0</v>
      </c>
      <c r="E363" s="6">
        <f t="shared" si="49"/>
        <v>0</v>
      </c>
      <c r="F363" s="6">
        <f t="shared" si="49"/>
        <v>0</v>
      </c>
      <c r="G363" s="6">
        <f t="shared" si="49"/>
        <v>0</v>
      </c>
      <c r="H363" s="6">
        <f t="shared" si="49"/>
        <v>0</v>
      </c>
      <c r="I363" s="6">
        <f t="shared" si="49"/>
        <v>0</v>
      </c>
      <c r="J363" s="6">
        <f t="shared" si="49"/>
        <v>0</v>
      </c>
      <c r="K363" s="6">
        <f t="shared" si="49"/>
        <v>0</v>
      </c>
      <c r="L363" s="6">
        <f t="shared" si="49"/>
        <v>0</v>
      </c>
      <c r="M363" s="6">
        <f t="shared" si="49"/>
        <v>0</v>
      </c>
      <c r="N363" s="6">
        <f t="shared" si="49"/>
        <v>0</v>
      </c>
      <c r="O363" s="6">
        <f t="shared" si="49"/>
        <v>0</v>
      </c>
      <c r="P363" s="6">
        <f t="shared" si="49"/>
        <v>0</v>
      </c>
      <c r="Q363" s="6">
        <f t="shared" si="49"/>
        <v>0</v>
      </c>
      <c r="R363" s="6">
        <f t="shared" si="49"/>
        <v>0</v>
      </c>
      <c r="S363" s="6">
        <f t="shared" si="49"/>
        <v>0</v>
      </c>
      <c r="T363" s="6">
        <f t="shared" si="49"/>
        <v>0</v>
      </c>
      <c r="U363" s="6">
        <f t="shared" si="49"/>
        <v>0</v>
      </c>
      <c r="V363" s="6">
        <f t="shared" si="49"/>
        <v>0</v>
      </c>
      <c r="W363" s="6">
        <f t="shared" si="49"/>
        <v>0</v>
      </c>
      <c r="X363" s="6">
        <f t="shared" si="49"/>
        <v>0</v>
      </c>
      <c r="Y363" s="6">
        <f t="shared" si="49"/>
        <v>0</v>
      </c>
      <c r="Z363" s="6">
        <f t="shared" si="49"/>
        <v>0</v>
      </c>
    </row>
    <row r="364" spans="1:53" outlineLevel="1" x14ac:dyDescent="0.35">
      <c r="A364" s="6" t="s">
        <v>760</v>
      </c>
      <c r="B364" s="6">
        <f>$B$252*$AC$324*'Results - raw data ReCiPe (I)'!C121/(1-0.5)*(1+'Results ReCiPe (I) - HHD'!$AC$271/'Results ReCiPe (I) - HHD'!$AC$272-'Results ReCiPe (I) - HHD'!$AC$271)</f>
        <v>2.0628193112620006E-3</v>
      </c>
      <c r="C364" s="6">
        <f>$B$252*$AC$324*'Results - raw data ReCiPe (I)'!D121/(1-0.5)*(1+'Results ReCiPe (I) - HHD'!$AC$271/'Results ReCiPe (I) - HHD'!$AC$272-'Results ReCiPe (I) - HHD'!$AC$271)</f>
        <v>2.0506569953387755E-3</v>
      </c>
      <c r="D364" s="6">
        <f>$B$252*$AC$324*'Results - raw data ReCiPe (I)'!E121/(1-0.5)*(1+'Results ReCiPe (I) - HHD'!$AC$271/'Results ReCiPe (I) - HHD'!$AC$272-'Results ReCiPe (I) - HHD'!$AC$271)</f>
        <v>2.0383941046949478E-3</v>
      </c>
      <c r="E364" s="6">
        <f>$B$252*$AC$324*'Results - raw data ReCiPe (I)'!F121/(1-0.5)*(1+'Results ReCiPe (I) - HHD'!$AC$271/'Results ReCiPe (I) - HHD'!$AC$272-'Results ReCiPe (I) - HHD'!$AC$271)</f>
        <v>2.0189427706189212E-3</v>
      </c>
      <c r="F364" s="6">
        <f>$B$252*$AC$324*'Results - raw data ReCiPe (I)'!G121/(1-0.5)*(1+'Results ReCiPe (I) - HHD'!$AC$271/'Results ReCiPe (I) - HHD'!$AC$272-'Results ReCiPe (I) - HHD'!$AC$271)</f>
        <v>2.0065543920257801E-3</v>
      </c>
      <c r="G364" s="6">
        <f>$B$252*$AC$324*'Results - raw data ReCiPe (I)'!H121/(1-0.5)*(1+'Results ReCiPe (I) - HHD'!$AC$271/'Results ReCiPe (I) - HHD'!$AC$272-'Results ReCiPe (I) - HHD'!$AC$271)</f>
        <v>1.9941213230671604E-3</v>
      </c>
      <c r="H364" s="6">
        <f>$B$252*$AC$324*'Results - raw data ReCiPe (I)'!I121/(1-0.5)*(1+'Results ReCiPe (I) - HHD'!$AC$271/'Results ReCiPe (I) - HHD'!$AC$272-'Results ReCiPe (I) - HHD'!$AC$271)</f>
        <v>1.9772033885735174E-3</v>
      </c>
      <c r="I364" s="6">
        <f>$B$252*$AC$324*'Results - raw data ReCiPe (I)'!J121/(1-0.5)*(1+'Results ReCiPe (I) - HHD'!$AC$271/'Results ReCiPe (I) - HHD'!$AC$272-'Results ReCiPe (I) - HHD'!$AC$271)</f>
        <v>1.9635474371718408E-3</v>
      </c>
      <c r="J364" s="6">
        <f>$B$252*$AC$324*'Results - raw data ReCiPe (I)'!K121/(1-0.5)*(1+'Results ReCiPe (I) - HHD'!$AC$271/'Results ReCiPe (I) - HHD'!$AC$272-'Results ReCiPe (I) - HHD'!$AC$271)</f>
        <v>1.9493047575624698E-3</v>
      </c>
      <c r="K364" s="6">
        <f>$B$252*$AC$324*'Results - raw data ReCiPe (I)'!L121/(1-0.5)*(1+'Results ReCiPe (I) - HHD'!$AC$271/'Results ReCiPe (I) - HHD'!$AC$272-'Results ReCiPe (I) - HHD'!$AC$271)</f>
        <v>1.9372671221352968E-3</v>
      </c>
      <c r="L364" s="6">
        <f>$B$252*$AC$324*'Results - raw data ReCiPe (I)'!M121/(1-0.5)*(1+'Results ReCiPe (I) - HHD'!$AC$271/'Results ReCiPe (I) - HHD'!$AC$272-'Results ReCiPe (I) - HHD'!$AC$271)</f>
        <v>1.9251967573926472E-3</v>
      </c>
      <c r="M364" s="6">
        <f>$B$252*$AC$324*'Results - raw data ReCiPe (I)'!N121/(1-0.5)*(1+'Results ReCiPe (I) - HHD'!$AC$271/'Results ReCiPe (I) - HHD'!$AC$272-'Results ReCiPe (I) - HHD'!$AC$271)</f>
        <v>1.911104870605808E-3</v>
      </c>
      <c r="N364" s="6">
        <f>$B$252*$AC$324*'Results - raw data ReCiPe (I)'!O121/(1-0.5)*(1+'Results ReCiPe (I) - HHD'!$AC$271/'Results ReCiPe (I) - HHD'!$AC$272-'Results ReCiPe (I) - HHD'!$AC$271)</f>
        <v>1.8972141775548393E-3</v>
      </c>
      <c r="O364" s="6">
        <f>$B$252*$AC$324*'Results - raw data ReCiPe (I)'!P121/(1-0.5)*(1+'Results ReCiPe (I) - HHD'!$AC$271/'Results ReCiPe (I) - HHD'!$AC$272-'Results ReCiPe (I) - HHD'!$AC$271)</f>
        <v>1.8827561070695528E-3</v>
      </c>
      <c r="P364" s="6">
        <f>$B$252*$AC$324*'Results - raw data ReCiPe (I)'!Q121/(1-0.5)*(1+'Results ReCiPe (I) - HHD'!$AC$271/'Results ReCiPe (I) - HHD'!$AC$272-'Results ReCiPe (I) - HHD'!$AC$271)</f>
        <v>1.869182944581053E-3</v>
      </c>
      <c r="Q364" s="6">
        <f>$B$252*$AC$324*'Results - raw data ReCiPe (I)'!R121/(1-0.5)*(1+'Results ReCiPe (I) - HHD'!$AC$271/'Results ReCiPe (I) - HHD'!$AC$272-'Results ReCiPe (I) - HHD'!$AC$271)</f>
        <v>1.8557070075807143E-3</v>
      </c>
      <c r="R364" s="6">
        <f>$B$252*$AC$324*'Results - raw data ReCiPe (I)'!S121/(1-0.5)*(1+'Results ReCiPe (I) - HHD'!$AC$271/'Results ReCiPe (I) - HHD'!$AC$272-'Results ReCiPe (I) - HHD'!$AC$271)</f>
        <v>1.8469949083220198E-3</v>
      </c>
      <c r="S364" s="6">
        <f>$B$252*$AC$324*'Results - raw data ReCiPe (I)'!T121/(1-0.5)*(1+'Results ReCiPe (I) - HHD'!$AC$271/'Results ReCiPe (I) - HHD'!$AC$272-'Results ReCiPe (I) - HHD'!$AC$271)</f>
        <v>1.838464443194539E-3</v>
      </c>
      <c r="T364" s="6">
        <f>$B$252*$AC$324*'Results - raw data ReCiPe (I)'!U121/(1-0.5)*(1+'Results ReCiPe (I) - HHD'!$AC$271/'Results ReCiPe (I) - HHD'!$AC$272-'Results ReCiPe (I) - HHD'!$AC$271)</f>
        <v>1.8293475840607703E-3</v>
      </c>
      <c r="U364" s="6">
        <f>$B$252*$AC$324*'Results - raw data ReCiPe (I)'!V121/(1-0.5)*(1+'Results ReCiPe (I) - HHD'!$AC$271/'Results ReCiPe (I) - HHD'!$AC$272-'Results ReCiPe (I) - HHD'!$AC$271)</f>
        <v>1.8208771300006817E-3</v>
      </c>
      <c r="V364" s="6">
        <f>$B$252*$AC$324*'Results - raw data ReCiPe (I)'!W121/(1-0.5)*(1+'Results ReCiPe (I) - HHD'!$AC$271/'Results ReCiPe (I) - HHD'!$AC$272-'Results ReCiPe (I) - HHD'!$AC$271)</f>
        <v>1.8123329759650907E-3</v>
      </c>
      <c r="W364" s="6">
        <f>$B$252*$AC$324*'Results - raw data ReCiPe (I)'!X121/(1-0.5)*(1+'Results ReCiPe (I) - HHD'!$AC$271/'Results ReCiPe (I) - HHD'!$AC$272-'Results ReCiPe (I) - HHD'!$AC$271)</f>
        <v>1.839048056441215E-3</v>
      </c>
      <c r="X364" s="6">
        <f>$B$252*$AC$324*'Results - raw data ReCiPe (I)'!Y121/(1-0.5)*(1+'Results ReCiPe (I) - HHD'!$AC$271/'Results ReCiPe (I) - HHD'!$AC$272-'Results ReCiPe (I) - HHD'!$AC$271)</f>
        <v>1.8377809548803432E-3</v>
      </c>
      <c r="Y364" s="6">
        <f>$B$252*$AC$324*'Results - raw data ReCiPe (I)'!Z121/(1-0.5)*(1+'Results ReCiPe (I) - HHD'!$AC$271/'Results ReCiPe (I) - HHD'!$AC$272-'Results ReCiPe (I) - HHD'!$AC$271)</f>
        <v>1.8365235541143508E-3</v>
      </c>
      <c r="Z364" s="6">
        <f>$B$252*$AC$324*'Results - raw data ReCiPe (I)'!AA121/(1-0.5)*(1+'Results ReCiPe (I) - HHD'!$AC$271/'Results ReCiPe (I) - HHD'!$AC$272-'Results ReCiPe (I) - HHD'!$AC$271)</f>
        <v>1.835277177973074E-3</v>
      </c>
    </row>
    <row r="365" spans="1:53" outlineLevel="1" x14ac:dyDescent="0.35">
      <c r="A365" s="6" t="s">
        <v>797</v>
      </c>
      <c r="B365" s="6">
        <f>$B$320*$AC$324</f>
        <v>2.2841900604219497E-3</v>
      </c>
      <c r="C365" s="6">
        <f t="shared" ref="C365:Z365" si="50">$B$320*$AC$324</f>
        <v>2.2841900604219497E-3</v>
      </c>
      <c r="D365" s="6">
        <f t="shared" si="50"/>
        <v>2.2841900604219497E-3</v>
      </c>
      <c r="E365" s="6">
        <f t="shared" si="50"/>
        <v>2.2841900604219497E-3</v>
      </c>
      <c r="F365" s="6">
        <f t="shared" si="50"/>
        <v>2.2841900604219497E-3</v>
      </c>
      <c r="G365" s="6">
        <f t="shared" si="50"/>
        <v>2.2841900604219497E-3</v>
      </c>
      <c r="H365" s="6">
        <f t="shared" si="50"/>
        <v>2.2841900604219497E-3</v>
      </c>
      <c r="I365" s="6">
        <f t="shared" si="50"/>
        <v>2.2841900604219497E-3</v>
      </c>
      <c r="J365" s="6">
        <f t="shared" si="50"/>
        <v>2.2841900604219497E-3</v>
      </c>
      <c r="K365" s="6">
        <f t="shared" si="50"/>
        <v>2.2841900604219497E-3</v>
      </c>
      <c r="L365" s="6">
        <f t="shared" si="50"/>
        <v>2.2841900604219497E-3</v>
      </c>
      <c r="M365" s="6">
        <f t="shared" si="50"/>
        <v>2.2841900604219497E-3</v>
      </c>
      <c r="N365" s="6">
        <f t="shared" si="50"/>
        <v>2.2841900604219497E-3</v>
      </c>
      <c r="O365" s="6">
        <f t="shared" si="50"/>
        <v>2.2841900604219497E-3</v>
      </c>
      <c r="P365" s="6">
        <f t="shared" si="50"/>
        <v>2.2841900604219497E-3</v>
      </c>
      <c r="Q365" s="6">
        <f t="shared" si="50"/>
        <v>2.2841900604219497E-3</v>
      </c>
      <c r="R365" s="6">
        <f t="shared" si="50"/>
        <v>2.2841900604219497E-3</v>
      </c>
      <c r="S365" s="6">
        <f t="shared" si="50"/>
        <v>2.2841900604219497E-3</v>
      </c>
      <c r="T365" s="6">
        <f t="shared" si="50"/>
        <v>2.2841900604219497E-3</v>
      </c>
      <c r="U365" s="6">
        <f t="shared" si="50"/>
        <v>2.2841900604219497E-3</v>
      </c>
      <c r="V365" s="6">
        <f t="shared" si="50"/>
        <v>2.2841900604219497E-3</v>
      </c>
      <c r="W365" s="6">
        <f t="shared" si="50"/>
        <v>2.2841900604219497E-3</v>
      </c>
      <c r="X365" s="6">
        <f t="shared" si="50"/>
        <v>2.2841900604219497E-3</v>
      </c>
      <c r="Y365" s="6">
        <f t="shared" si="50"/>
        <v>2.2841900604219497E-3</v>
      </c>
      <c r="Z365" s="6">
        <f t="shared" si="50"/>
        <v>2.2841900604219497E-3</v>
      </c>
    </row>
    <row r="366" spans="1:53" outlineLevel="1" x14ac:dyDescent="0.35">
      <c r="A366" s="23" t="s">
        <v>125</v>
      </c>
      <c r="B366" s="17">
        <f>SUM(B334:B364)</f>
        <v>1.9214901092724643E-2</v>
      </c>
      <c r="C366" s="17">
        <f t="shared" ref="C366:Z366" si="51">SUM(C334:C364)</f>
        <v>2.668524889546808E-3</v>
      </c>
      <c r="D366" s="17">
        <f t="shared" si="51"/>
        <v>2.6430913726455821E-3</v>
      </c>
      <c r="E366" s="17">
        <f t="shared" si="51"/>
        <v>2.6083805599857604E-3</v>
      </c>
      <c r="F366" s="17">
        <f t="shared" si="51"/>
        <v>2.5825841018616296E-3</v>
      </c>
      <c r="G366" s="17">
        <f t="shared" si="51"/>
        <v>2.556770921115884E-3</v>
      </c>
      <c r="H366" s="17">
        <f t="shared" si="51"/>
        <v>2.5302594316713124E-3</v>
      </c>
      <c r="I366" s="17">
        <f t="shared" si="51"/>
        <v>2.5070850227048467E-3</v>
      </c>
      <c r="J366" s="17">
        <f t="shared" si="51"/>
        <v>2.4827617132956309E-3</v>
      </c>
      <c r="K366" s="17">
        <f t="shared" si="51"/>
        <v>2.4612079409998102E-3</v>
      </c>
      <c r="L366" s="17">
        <f t="shared" si="51"/>
        <v>2.439603450605551E-3</v>
      </c>
      <c r="M366" s="17">
        <f t="shared" si="51"/>
        <v>2.4136257237316536E-3</v>
      </c>
      <c r="N366" s="17">
        <f t="shared" si="51"/>
        <v>2.3878410538628403E-3</v>
      </c>
      <c r="O366" s="17">
        <f t="shared" si="51"/>
        <v>2.3612738821420743E-3</v>
      </c>
      <c r="P366" s="17">
        <f t="shared" si="51"/>
        <v>2.3357874128935151E-3</v>
      </c>
      <c r="Q366" s="17">
        <f t="shared" si="51"/>
        <v>2.3103837828286908E-3</v>
      </c>
      <c r="R366" s="17">
        <f t="shared" si="51"/>
        <v>2.2945677299520376E-3</v>
      </c>
      <c r="S366" s="17">
        <f t="shared" si="51"/>
        <v>2.27887678355002E-3</v>
      </c>
      <c r="T366" s="17">
        <f t="shared" si="51"/>
        <v>2.2624270276451926E-3</v>
      </c>
      <c r="U366" s="17">
        <f t="shared" si="51"/>
        <v>2.2468025647867352E-3</v>
      </c>
      <c r="V366" s="17">
        <f t="shared" si="51"/>
        <v>2.2311049813501893E-3</v>
      </c>
      <c r="W366" s="17">
        <f t="shared" si="51"/>
        <v>2.2642907582101635E-3</v>
      </c>
      <c r="X366" s="17">
        <f t="shared" si="51"/>
        <v>2.2604898766131771E-3</v>
      </c>
      <c r="Y366" s="17">
        <f t="shared" si="51"/>
        <v>2.2567000800004233E-3</v>
      </c>
      <c r="Z366" s="17">
        <f t="shared" si="51"/>
        <v>2.3936371274035162E-3</v>
      </c>
    </row>
    <row r="367" spans="1:53" outlineLevel="1" x14ac:dyDescent="0.35"/>
    <row r="368" spans="1:53" s="18" customFormat="1" ht="21" x14ac:dyDescent="0.5">
      <c r="A368" s="18" t="s">
        <v>94</v>
      </c>
    </row>
    <row r="369" spans="1:31" s="20" customFormat="1" outlineLevel="1" x14ac:dyDescent="0.35">
      <c r="A369" s="19" t="s">
        <v>788</v>
      </c>
    </row>
    <row r="370" spans="1:31" s="20" customFormat="1" outlineLevel="1" x14ac:dyDescent="0.35">
      <c r="A370" s="273" t="s">
        <v>775</v>
      </c>
      <c r="B370" s="20">
        <v>1</v>
      </c>
      <c r="C370" s="274" t="s">
        <v>787</v>
      </c>
    </row>
    <row r="371" spans="1:31" s="20" customFormat="1" outlineLevel="1" x14ac:dyDescent="0.35">
      <c r="A371" s="273" t="s">
        <v>781</v>
      </c>
      <c r="B371" s="20">
        <v>100000</v>
      </c>
      <c r="C371" s="20" t="s">
        <v>782</v>
      </c>
      <c r="E371" s="274"/>
    </row>
    <row r="372" spans="1:31" s="20" customFormat="1" outlineLevel="1" x14ac:dyDescent="0.35">
      <c r="A372" s="273" t="s">
        <v>783</v>
      </c>
      <c r="B372" s="20">
        <v>1500</v>
      </c>
      <c r="C372" s="20" t="s">
        <v>592</v>
      </c>
    </row>
    <row r="373" spans="1:31" s="20" customFormat="1" outlineLevel="1" x14ac:dyDescent="0.35">
      <c r="A373" s="273" t="s">
        <v>784</v>
      </c>
      <c r="B373" s="20">
        <v>8760</v>
      </c>
      <c r="C373" s="20" t="s">
        <v>785</v>
      </c>
    </row>
    <row r="374" spans="1:31" s="20" customFormat="1" outlineLevel="1" x14ac:dyDescent="0.35">
      <c r="A374" s="273"/>
    </row>
    <row r="375" spans="1:31" s="20" customFormat="1" outlineLevel="1" x14ac:dyDescent="0.35">
      <c r="A375" s="275" t="s">
        <v>786</v>
      </c>
      <c r="B375" s="275">
        <f>(B371*B372)/(B373*B370)</f>
        <v>17123.287671232876</v>
      </c>
      <c r="C375" s="275" t="s">
        <v>749</v>
      </c>
    </row>
    <row r="376" spans="1:31" s="20" customFormat="1" outlineLevel="1" x14ac:dyDescent="0.35">
      <c r="A376" s="19"/>
    </row>
    <row r="377" spans="1:31" s="20" customFormat="1" outlineLevel="1" x14ac:dyDescent="0.35">
      <c r="A377" s="19" t="s">
        <v>793</v>
      </c>
    </row>
    <row r="378" spans="1:31" s="20" customFormat="1" outlineLevel="1" x14ac:dyDescent="0.35">
      <c r="A378" s="273" t="s">
        <v>789</v>
      </c>
      <c r="B378" s="20">
        <f>SUM('Results - raw data ReCiPe (I)'!C156:C157)+'Results - raw data ReCiPe (I)'!C160+SUM('Results - raw data ReCiPe (I)'!C158:C159)*AC387</f>
        <v>3.9103316797272654E-4</v>
      </c>
      <c r="C378" s="20" t="s">
        <v>790</v>
      </c>
    </row>
    <row r="379" spans="1:31" s="20" customFormat="1" outlineLevel="1" x14ac:dyDescent="0.35">
      <c r="A379" s="20" t="s">
        <v>792</v>
      </c>
      <c r="B379" s="20">
        <f>B371*AC385</f>
        <v>50000</v>
      </c>
      <c r="C379" s="274" t="s">
        <v>795</v>
      </c>
    </row>
    <row r="380" spans="1:31" s="20" customFormat="1" outlineLevel="1" x14ac:dyDescent="0.35">
      <c r="A380" s="20" t="s">
        <v>791</v>
      </c>
      <c r="B380" s="20">
        <f>(B378*AC387*B375)/(B379*AC386)*(AC386/AC388)</f>
        <v>4.0174640545143143E-5</v>
      </c>
      <c r="C380" s="20" t="s">
        <v>794</v>
      </c>
      <c r="E380" s="274" t="s">
        <v>796</v>
      </c>
    </row>
    <row r="381" spans="1:31" s="20" customFormat="1" outlineLevel="1" x14ac:dyDescent="0.35">
      <c r="A381" s="19"/>
    </row>
    <row r="382" spans="1:31" s="16" customFormat="1" outlineLevel="1" x14ac:dyDescent="0.35">
      <c r="A382" s="21"/>
      <c r="AB382" s="16" t="s">
        <v>47</v>
      </c>
      <c r="AC382" s="16">
        <v>8.1199999999999999E-8</v>
      </c>
      <c r="AD382" s="16" t="s">
        <v>48</v>
      </c>
      <c r="AE382" s="15" t="s">
        <v>714</v>
      </c>
    </row>
    <row r="383" spans="1:31" s="16" customFormat="1" outlineLevel="1" x14ac:dyDescent="0.35">
      <c r="A383" s="22" t="s">
        <v>564</v>
      </c>
      <c r="AC383" s="16">
        <f>AC382*1000</f>
        <v>8.1199999999999995E-5</v>
      </c>
      <c r="AD383" s="16" t="s">
        <v>126</v>
      </c>
    </row>
    <row r="384" spans="1:31" s="16" customFormat="1" outlineLevel="1" x14ac:dyDescent="0.35">
      <c r="A384" s="22"/>
      <c r="AB384" s="16" t="s">
        <v>127</v>
      </c>
      <c r="AC384" s="16">
        <f>100*AC385</f>
        <v>50</v>
      </c>
      <c r="AD384" s="16" t="s">
        <v>128</v>
      </c>
    </row>
    <row r="385" spans="1:53" s="16" customFormat="1" outlineLevel="1" x14ac:dyDescent="0.35">
      <c r="A385" s="230"/>
      <c r="AB385" s="16" t="s">
        <v>776</v>
      </c>
      <c r="AC385" s="16">
        <v>0.5</v>
      </c>
    </row>
    <row r="386" spans="1:53" s="16" customFormat="1" outlineLevel="1" x14ac:dyDescent="0.35">
      <c r="A386" s="21"/>
      <c r="AB386" s="16" t="s">
        <v>129</v>
      </c>
      <c r="AC386" s="16">
        <v>25</v>
      </c>
      <c r="AD386" s="16" t="s">
        <v>130</v>
      </c>
    </row>
    <row r="387" spans="1:53" s="16" customFormat="1" outlineLevel="1" x14ac:dyDescent="0.35">
      <c r="A387" s="21"/>
      <c r="AB387" s="16" t="s">
        <v>777</v>
      </c>
      <c r="AC387" s="16">
        <v>6</v>
      </c>
      <c r="AD387" s="16" t="s">
        <v>779</v>
      </c>
    </row>
    <row r="388" spans="1:53" s="16" customFormat="1" outlineLevel="1" x14ac:dyDescent="0.35">
      <c r="A388" s="21"/>
      <c r="AB388" s="16" t="s">
        <v>778</v>
      </c>
      <c r="AC388" s="16">
        <v>20</v>
      </c>
      <c r="AD388" s="16" t="s">
        <v>130</v>
      </c>
    </row>
    <row r="389" spans="1:53" s="16" customFormat="1" outlineLevel="1" x14ac:dyDescent="0.35">
      <c r="AB389" s="16" t="s">
        <v>780</v>
      </c>
      <c r="AC389" s="16">
        <f>B375</f>
        <v>17123.287671232876</v>
      </c>
      <c r="AD389" s="16" t="s">
        <v>749</v>
      </c>
    </row>
    <row r="390" spans="1:53" s="16" customFormat="1" outlineLevel="1" x14ac:dyDescent="0.35"/>
    <row r="391" spans="1:53" s="16" customFormat="1" outlineLevel="1" x14ac:dyDescent="0.35">
      <c r="AB391" s="16" t="s">
        <v>798</v>
      </c>
      <c r="AC391" s="16">
        <v>0.25</v>
      </c>
    </row>
    <row r="392" spans="1:53" s="16" customFormat="1" outlineLevel="1" x14ac:dyDescent="0.35">
      <c r="A392" s="22"/>
      <c r="AB392" s="16" t="s">
        <v>799</v>
      </c>
      <c r="AC392" s="16">
        <v>0.9</v>
      </c>
    </row>
    <row r="393" spans="1:53" s="16" customFormat="1" outlineLevel="1" x14ac:dyDescent="0.35">
      <c r="A393" s="22"/>
    </row>
    <row r="394" spans="1:53" outlineLevel="1" x14ac:dyDescent="0.35">
      <c r="B394" s="25">
        <v>2030</v>
      </c>
      <c r="C394" s="25">
        <v>2031</v>
      </c>
      <c r="D394" s="25">
        <v>2032</v>
      </c>
      <c r="E394" s="25">
        <v>2033</v>
      </c>
      <c r="F394" s="25">
        <v>2034</v>
      </c>
      <c r="G394" s="25">
        <v>2035</v>
      </c>
      <c r="H394" s="25">
        <v>2036</v>
      </c>
      <c r="I394" s="25">
        <v>2037</v>
      </c>
      <c r="J394" s="25">
        <v>2038</v>
      </c>
      <c r="K394" s="25">
        <v>2039</v>
      </c>
      <c r="L394" s="25">
        <v>2040</v>
      </c>
      <c r="M394" s="25">
        <v>2041</v>
      </c>
      <c r="N394" s="25">
        <v>2042</v>
      </c>
      <c r="O394" s="25">
        <v>2043</v>
      </c>
      <c r="P394" s="25">
        <v>2044</v>
      </c>
      <c r="Q394" s="25">
        <v>2045</v>
      </c>
      <c r="R394" s="25">
        <v>2046</v>
      </c>
      <c r="S394" s="25">
        <v>2047</v>
      </c>
      <c r="T394" s="25">
        <v>2048</v>
      </c>
      <c r="U394" s="25">
        <v>2049</v>
      </c>
      <c r="V394" s="25">
        <v>2050</v>
      </c>
      <c r="W394" s="25">
        <v>2051</v>
      </c>
      <c r="X394" s="25">
        <v>2052</v>
      </c>
      <c r="Y394" s="25">
        <v>2053</v>
      </c>
      <c r="Z394" s="25">
        <v>2054</v>
      </c>
      <c r="AC394" s="25">
        <v>2030</v>
      </c>
      <c r="AD394" s="25">
        <v>2031</v>
      </c>
      <c r="AE394" s="25">
        <v>2032</v>
      </c>
      <c r="AF394" s="25">
        <v>2033</v>
      </c>
      <c r="AG394" s="25">
        <v>2034</v>
      </c>
      <c r="AH394" s="25">
        <v>2035</v>
      </c>
      <c r="AI394" s="25">
        <v>2036</v>
      </c>
      <c r="AJ394" s="25">
        <v>2037</v>
      </c>
      <c r="AK394" s="25">
        <v>2038</v>
      </c>
      <c r="AL394" s="25">
        <v>2039</v>
      </c>
      <c r="AM394" s="25">
        <v>2040</v>
      </c>
      <c r="AN394" s="25">
        <v>2041</v>
      </c>
      <c r="AO394" s="25">
        <v>2042</v>
      </c>
      <c r="AP394" s="25">
        <v>2043</v>
      </c>
      <c r="AQ394" s="25">
        <v>2044</v>
      </c>
      <c r="AR394" s="25">
        <v>2045</v>
      </c>
      <c r="AS394" s="25">
        <v>2046</v>
      </c>
      <c r="AT394" s="25">
        <v>2047</v>
      </c>
      <c r="AU394" s="25">
        <v>2048</v>
      </c>
      <c r="AV394" s="25">
        <v>2049</v>
      </c>
      <c r="AW394" s="25">
        <v>2050</v>
      </c>
      <c r="AX394" s="25">
        <v>2051</v>
      </c>
      <c r="AY394" s="25">
        <v>2052</v>
      </c>
      <c r="AZ394" s="25">
        <v>2053</v>
      </c>
      <c r="BA394" s="25">
        <v>2054</v>
      </c>
    </row>
    <row r="395" spans="1:53" outlineLevel="1" x14ac:dyDescent="0.35">
      <c r="A395" s="6" t="s">
        <v>21</v>
      </c>
      <c r="B395" s="6">
        <f>B90</f>
        <v>2.8789533034225857E-4</v>
      </c>
      <c r="AB395" s="6" t="s">
        <v>117</v>
      </c>
      <c r="AC395" s="6">
        <f>SUM(B395:B406)+B408</f>
        <v>1.4402581514296518E-2</v>
      </c>
    </row>
    <row r="396" spans="1:53" outlineLevel="1" x14ac:dyDescent="0.35">
      <c r="A396" s="6" t="s">
        <v>23</v>
      </c>
      <c r="B396" s="6">
        <f t="shared" ref="B396:B406" si="52">B91</f>
        <v>4.1040257423438121E-4</v>
      </c>
      <c r="AB396" s="6" t="s">
        <v>118</v>
      </c>
      <c r="AC396" s="6">
        <f>B407</f>
        <v>4.68564991115967E-4</v>
      </c>
    </row>
    <row r="397" spans="1:53" outlineLevel="1" x14ac:dyDescent="0.35">
      <c r="A397" s="6" t="s">
        <v>26</v>
      </c>
      <c r="B397" s="6">
        <f t="shared" si="52"/>
        <v>1.3588660378812489E-3</v>
      </c>
      <c r="AB397" s="6" t="s">
        <v>119</v>
      </c>
      <c r="BA397" s="6">
        <f>SUM(Z409:Z420)</f>
        <v>1.321106762411555E-4</v>
      </c>
    </row>
    <row r="398" spans="1:53" outlineLevel="1" x14ac:dyDescent="0.35">
      <c r="A398" s="6" t="s">
        <v>28</v>
      </c>
      <c r="B398" s="6">
        <f t="shared" si="52"/>
        <v>2.4450655784905438E-3</v>
      </c>
      <c r="AB398" s="6" t="s">
        <v>120</v>
      </c>
      <c r="BA398" s="6">
        <f>Z421</f>
        <v>2.4331335197599298E-6</v>
      </c>
    </row>
    <row r="399" spans="1:53" outlineLevel="1" x14ac:dyDescent="0.35">
      <c r="A399" s="6" t="s">
        <v>29</v>
      </c>
      <c r="B399" s="6">
        <f t="shared" si="52"/>
        <v>1.5793812391416901E-3</v>
      </c>
      <c r="AB399" s="6" t="s">
        <v>121</v>
      </c>
      <c r="AC399" s="6">
        <f>B422</f>
        <v>2.6322721726552512E-4</v>
      </c>
      <c r="AF399" s="6">
        <f>E422</f>
        <v>2.4790954055705099E-4</v>
      </c>
      <c r="AI399" s="6">
        <f>H422</f>
        <v>2.3818826466101599E-4</v>
      </c>
      <c r="AL399" s="6">
        <f>K422</f>
        <v>2.3687057090296699E-4</v>
      </c>
      <c r="AO399" s="6">
        <f>N422</f>
        <v>2.3577478459469749E-4</v>
      </c>
      <c r="AR399" s="6">
        <f>Q422</f>
        <v>2.3445141905597099E-4</v>
      </c>
      <c r="AU399" s="6">
        <f>T422</f>
        <v>2.3247380057932901E-4</v>
      </c>
      <c r="AX399" s="6">
        <f>W422</f>
        <v>2.3538466572112359E-4</v>
      </c>
      <c r="BA399" s="6">
        <f>Z422</f>
        <v>2.348623971618371E-4</v>
      </c>
    </row>
    <row r="400" spans="1:53" outlineLevel="1" x14ac:dyDescent="0.35">
      <c r="A400" s="6" t="s">
        <v>31</v>
      </c>
      <c r="B400" s="6">
        <f t="shared" si="52"/>
        <v>8.5997189882642557E-4</v>
      </c>
      <c r="AB400" s="6" t="s">
        <v>797</v>
      </c>
      <c r="AC400" s="6">
        <f>B426</f>
        <v>2.0087320272571571E-3</v>
      </c>
      <c r="AD400" s="6">
        <f t="shared" ref="AD400:BA400" si="53">C426</f>
        <v>2.0087320272571571E-3</v>
      </c>
      <c r="AE400" s="6">
        <f t="shared" si="53"/>
        <v>2.0087320272571571E-3</v>
      </c>
      <c r="AF400" s="6">
        <f t="shared" si="53"/>
        <v>2.0087320272571571E-3</v>
      </c>
      <c r="AG400" s="6">
        <f t="shared" si="53"/>
        <v>2.0087320272571571E-3</v>
      </c>
      <c r="AH400" s="6">
        <f t="shared" si="53"/>
        <v>2.0087320272571571E-3</v>
      </c>
      <c r="AI400" s="6">
        <f t="shared" si="53"/>
        <v>2.0087320272571571E-3</v>
      </c>
      <c r="AJ400" s="6">
        <f t="shared" si="53"/>
        <v>2.0087320272571571E-3</v>
      </c>
      <c r="AK400" s="6">
        <f t="shared" si="53"/>
        <v>2.0087320272571571E-3</v>
      </c>
      <c r="AL400" s="6">
        <f t="shared" si="53"/>
        <v>2.0087320272571571E-3</v>
      </c>
      <c r="AM400" s="6">
        <f t="shared" si="53"/>
        <v>2.0087320272571571E-3</v>
      </c>
      <c r="AN400" s="6">
        <f t="shared" si="53"/>
        <v>2.0087320272571571E-3</v>
      </c>
      <c r="AO400" s="6">
        <f t="shared" si="53"/>
        <v>2.0087320272571571E-3</v>
      </c>
      <c r="AP400" s="6">
        <f t="shared" si="53"/>
        <v>2.0087320272571571E-3</v>
      </c>
      <c r="AQ400" s="6">
        <f t="shared" si="53"/>
        <v>2.0087320272571571E-3</v>
      </c>
      <c r="AR400" s="6">
        <f t="shared" si="53"/>
        <v>2.0087320272571571E-3</v>
      </c>
      <c r="AS400" s="6">
        <f t="shared" si="53"/>
        <v>2.0087320272571571E-3</v>
      </c>
      <c r="AT400" s="6">
        <f t="shared" si="53"/>
        <v>2.0087320272571571E-3</v>
      </c>
      <c r="AU400" s="6">
        <f t="shared" si="53"/>
        <v>2.0087320272571571E-3</v>
      </c>
      <c r="AV400" s="6">
        <f t="shared" si="53"/>
        <v>2.0087320272571571E-3</v>
      </c>
      <c r="AW400" s="6">
        <f t="shared" si="53"/>
        <v>2.0087320272571571E-3</v>
      </c>
      <c r="AX400" s="6">
        <f t="shared" si="53"/>
        <v>2.0087320272571571E-3</v>
      </c>
      <c r="AY400" s="6">
        <f t="shared" si="53"/>
        <v>2.0087320272571571E-3</v>
      </c>
      <c r="AZ400" s="6">
        <f t="shared" si="53"/>
        <v>2.0087320272571571E-3</v>
      </c>
      <c r="BA400" s="6">
        <f t="shared" si="53"/>
        <v>2.0087320272571571E-3</v>
      </c>
    </row>
    <row r="401" spans="1:53" outlineLevel="1" x14ac:dyDescent="0.35">
      <c r="A401" s="6" t="s">
        <v>34</v>
      </c>
      <c r="B401" s="6">
        <f t="shared" si="52"/>
        <v>6.5477657721654022E-4</v>
      </c>
      <c r="AB401" s="6" t="s">
        <v>122</v>
      </c>
      <c r="AC401" s="6">
        <f t="shared" ref="AC401:BA401" si="54">B425+B424</f>
        <v>1.9168054332969759E-3</v>
      </c>
      <c r="AD401" s="6">
        <f t="shared" si="54"/>
        <v>1.8969549966316181E-3</v>
      </c>
      <c r="AE401" s="6">
        <f t="shared" si="54"/>
        <v>1.8775985161277762E-3</v>
      </c>
      <c r="AF401" s="6">
        <f t="shared" si="54"/>
        <v>1.8511710332379098E-3</v>
      </c>
      <c r="AG401" s="6">
        <f t="shared" si="54"/>
        <v>1.8319228274343332E-3</v>
      </c>
      <c r="AH401" s="6">
        <f t="shared" si="54"/>
        <v>1.8136324637402417E-3</v>
      </c>
      <c r="AI401" s="6">
        <f t="shared" si="54"/>
        <v>1.809440604616704E-3</v>
      </c>
      <c r="AJ401" s="6">
        <f t="shared" si="54"/>
        <v>1.8053310360986283E-3</v>
      </c>
      <c r="AK401" s="6">
        <f t="shared" si="54"/>
        <v>1.7991787666357042E-3</v>
      </c>
      <c r="AL401" s="6">
        <f t="shared" si="54"/>
        <v>1.795103768805602E-3</v>
      </c>
      <c r="AM401" s="6">
        <f t="shared" si="54"/>
        <v>1.7912260095005418E-3</v>
      </c>
      <c r="AN401" s="6">
        <f t="shared" si="54"/>
        <v>1.7883676268104574E-3</v>
      </c>
      <c r="AO401" s="6">
        <f t="shared" si="54"/>
        <v>1.7857559153985729E-3</v>
      </c>
      <c r="AP401" s="6">
        <f t="shared" si="54"/>
        <v>1.7825678144407983E-3</v>
      </c>
      <c r="AQ401" s="6">
        <f t="shared" si="54"/>
        <v>1.7801547042856009E-3</v>
      </c>
      <c r="AR401" s="6">
        <f t="shared" si="54"/>
        <v>1.7778650336401584E-3</v>
      </c>
      <c r="AS401" s="6">
        <f t="shared" si="54"/>
        <v>1.7755096906124528E-3</v>
      </c>
      <c r="AT401" s="6">
        <f t="shared" si="54"/>
        <v>1.7731848950891223E-3</v>
      </c>
      <c r="AU401" s="6">
        <f t="shared" si="54"/>
        <v>1.7703360196561634E-3</v>
      </c>
      <c r="AV401" s="6">
        <f t="shared" si="54"/>
        <v>1.7681064123144061E-3</v>
      </c>
      <c r="AW401" s="6">
        <f t="shared" si="54"/>
        <v>1.7670509075480702E-3</v>
      </c>
      <c r="AX401" s="6">
        <f t="shared" si="54"/>
        <v>1.7945776821839787E-3</v>
      </c>
      <c r="AY401" s="6">
        <f t="shared" si="54"/>
        <v>1.7940109712889975E-3</v>
      </c>
      <c r="AZ401" s="6">
        <f t="shared" si="54"/>
        <v>1.7934443755423224E-3</v>
      </c>
      <c r="BA401" s="6">
        <f t="shared" si="54"/>
        <v>1.7928777980513546E-3</v>
      </c>
    </row>
    <row r="402" spans="1:53" outlineLevel="1" x14ac:dyDescent="0.35">
      <c r="A402" s="6" t="s">
        <v>36</v>
      </c>
      <c r="B402" s="6">
        <f t="shared" si="52"/>
        <v>2.394702857816692E-4</v>
      </c>
      <c r="AB402" s="6" t="s">
        <v>123</v>
      </c>
      <c r="AC402" s="6">
        <f t="shared" ref="AC402:BA402" si="55">B423</f>
        <v>2.4873429184143911E-4</v>
      </c>
      <c r="AD402" s="6">
        <f t="shared" si="55"/>
        <v>2.3752317423365955E-4</v>
      </c>
      <c r="AE402" s="6">
        <f t="shared" si="55"/>
        <v>2.261317766960925E-4</v>
      </c>
      <c r="AF402" s="6">
        <f t="shared" si="55"/>
        <v>2.1419244548736633E-4</v>
      </c>
      <c r="AG402" s="6">
        <f t="shared" si="55"/>
        <v>2.0257526868298982E-4</v>
      </c>
      <c r="AH402" s="6">
        <f t="shared" si="55"/>
        <v>1.9097192572437342E-4</v>
      </c>
      <c r="AI402" s="6">
        <f t="shared" si="55"/>
        <v>1.9076535645403588E-4</v>
      </c>
      <c r="AJ402" s="6">
        <f t="shared" si="55"/>
        <v>1.9050510894696199E-4</v>
      </c>
      <c r="AK402" s="6">
        <f t="shared" si="55"/>
        <v>1.9004211151854675E-4</v>
      </c>
      <c r="AL402" s="6">
        <f t="shared" si="55"/>
        <v>1.8966673023146472E-4</v>
      </c>
      <c r="AM402" s="6">
        <f t="shared" si="55"/>
        <v>1.8924064759561911E-4</v>
      </c>
      <c r="AN402" s="6">
        <f t="shared" si="55"/>
        <v>1.8966075090613715E-4</v>
      </c>
      <c r="AO402" s="6">
        <f t="shared" si="55"/>
        <v>1.9009035258348659E-4</v>
      </c>
      <c r="AP402" s="6">
        <f t="shared" si="55"/>
        <v>1.9050386879327584E-4</v>
      </c>
      <c r="AQ402" s="6">
        <f t="shared" si="55"/>
        <v>1.9094526122796291E-4</v>
      </c>
      <c r="AR402" s="6">
        <f t="shared" si="55"/>
        <v>1.9139256621464527E-4</v>
      </c>
      <c r="AS402" s="6">
        <f t="shared" si="55"/>
        <v>1.8514469641299575E-4</v>
      </c>
      <c r="AT402" s="6">
        <f t="shared" si="55"/>
        <v>1.7881600510234345E-4</v>
      </c>
      <c r="AU402" s="6">
        <f t="shared" si="55"/>
        <v>1.7244827970496206E-4</v>
      </c>
      <c r="AV402" s="6">
        <f t="shared" si="55"/>
        <v>1.6609512715381959E-4</v>
      </c>
      <c r="AW402" s="6">
        <f t="shared" si="55"/>
        <v>1.5974685773593282E-4</v>
      </c>
      <c r="AX402" s="6">
        <f t="shared" si="55"/>
        <v>1.6170475311614406E-4</v>
      </c>
      <c r="AY402" s="6">
        <f t="shared" si="55"/>
        <v>1.5920010969112431E-4</v>
      </c>
      <c r="AZ402" s="6">
        <f t="shared" si="55"/>
        <v>1.5669319578749419E-4</v>
      </c>
      <c r="BA402" s="6">
        <f t="shared" si="55"/>
        <v>1.541835609385189E-4</v>
      </c>
    </row>
    <row r="403" spans="1:53" outlineLevel="1" x14ac:dyDescent="0.35">
      <c r="A403" s="6" t="s">
        <v>38</v>
      </c>
      <c r="B403" s="6">
        <f t="shared" si="52"/>
        <v>2.5970833922964059E-3</v>
      </c>
      <c r="AB403" s="6" t="s">
        <v>124</v>
      </c>
      <c r="AC403" s="6">
        <f>-$AC$384*$AC$383</f>
        <v>-4.0599999999999994E-3</v>
      </c>
      <c r="AD403" s="6">
        <f t="shared" ref="AD403:BA403" si="56">-$AC$384*$AC$383</f>
        <v>-4.0599999999999994E-3</v>
      </c>
      <c r="AE403" s="6">
        <f t="shared" si="56"/>
        <v>-4.0599999999999994E-3</v>
      </c>
      <c r="AF403" s="6">
        <f t="shared" si="56"/>
        <v>-4.0599999999999994E-3</v>
      </c>
      <c r="AG403" s="6">
        <f t="shared" si="56"/>
        <v>-4.0599999999999994E-3</v>
      </c>
      <c r="AH403" s="6">
        <f t="shared" si="56"/>
        <v>-4.0599999999999994E-3</v>
      </c>
      <c r="AI403" s="6">
        <f t="shared" si="56"/>
        <v>-4.0599999999999994E-3</v>
      </c>
      <c r="AJ403" s="6">
        <f t="shared" si="56"/>
        <v>-4.0599999999999994E-3</v>
      </c>
      <c r="AK403" s="6">
        <f t="shared" si="56"/>
        <v>-4.0599999999999994E-3</v>
      </c>
      <c r="AL403" s="6">
        <f t="shared" si="56"/>
        <v>-4.0599999999999994E-3</v>
      </c>
      <c r="AM403" s="6">
        <f t="shared" si="56"/>
        <v>-4.0599999999999994E-3</v>
      </c>
      <c r="AN403" s="6">
        <f t="shared" si="56"/>
        <v>-4.0599999999999994E-3</v>
      </c>
      <c r="AO403" s="6">
        <f t="shared" si="56"/>
        <v>-4.0599999999999994E-3</v>
      </c>
      <c r="AP403" s="6">
        <f t="shared" si="56"/>
        <v>-4.0599999999999994E-3</v>
      </c>
      <c r="AQ403" s="6">
        <f t="shared" si="56"/>
        <v>-4.0599999999999994E-3</v>
      </c>
      <c r="AR403" s="6">
        <f t="shared" si="56"/>
        <v>-4.0599999999999994E-3</v>
      </c>
      <c r="AS403" s="6">
        <f t="shared" si="56"/>
        <v>-4.0599999999999994E-3</v>
      </c>
      <c r="AT403" s="6">
        <f t="shared" si="56"/>
        <v>-4.0599999999999994E-3</v>
      </c>
      <c r="AU403" s="6">
        <f t="shared" si="56"/>
        <v>-4.0599999999999994E-3</v>
      </c>
      <c r="AV403" s="6">
        <f t="shared" si="56"/>
        <v>-4.0599999999999994E-3</v>
      </c>
      <c r="AW403" s="6">
        <f t="shared" si="56"/>
        <v>-4.0599999999999994E-3</v>
      </c>
      <c r="AX403" s="6">
        <f t="shared" si="56"/>
        <v>-4.0599999999999994E-3</v>
      </c>
      <c r="AY403" s="6">
        <f t="shared" si="56"/>
        <v>-4.0599999999999994E-3</v>
      </c>
      <c r="AZ403" s="6">
        <f t="shared" si="56"/>
        <v>-4.0599999999999994E-3</v>
      </c>
      <c r="BA403" s="6">
        <f t="shared" si="56"/>
        <v>-4.0599999999999994E-3</v>
      </c>
    </row>
    <row r="404" spans="1:53" outlineLevel="1" x14ac:dyDescent="0.35">
      <c r="A404" s="6" t="s">
        <v>39</v>
      </c>
      <c r="B404" s="6">
        <f t="shared" si="52"/>
        <v>2.8840889681505549E-3</v>
      </c>
      <c r="AB404" s="23" t="s">
        <v>125</v>
      </c>
      <c r="AC404" s="17">
        <f t="shared" ref="AC404:BA404" si="57">SUM(AC395:AC403)</f>
        <v>1.5248645475073581E-2</v>
      </c>
      <c r="AD404" s="17">
        <f t="shared" si="57"/>
        <v>8.3210198122435353E-5</v>
      </c>
      <c r="AE404" s="17">
        <f t="shared" si="57"/>
        <v>5.2462320081026435E-5</v>
      </c>
      <c r="AF404" s="17">
        <f t="shared" si="57"/>
        <v>2.6200504653948499E-4</v>
      </c>
      <c r="AG404" s="17">
        <f t="shared" si="57"/>
        <v>-1.6769876625519382E-5</v>
      </c>
      <c r="AH404" s="17">
        <f t="shared" si="57"/>
        <v>-4.6663583278226672E-5</v>
      </c>
      <c r="AI404" s="17">
        <f t="shared" si="57"/>
        <v>1.871262529889138E-4</v>
      </c>
      <c r="AJ404" s="17">
        <f t="shared" si="57"/>
        <v>-5.5431827697251766E-5</v>
      </c>
      <c r="AK404" s="17">
        <f t="shared" si="57"/>
        <v>-6.204709458859127E-5</v>
      </c>
      <c r="AL404" s="17">
        <f t="shared" si="57"/>
        <v>1.7037309719719097E-4</v>
      </c>
      <c r="AM404" s="17">
        <f t="shared" si="57"/>
        <v>-7.0801315646681212E-5</v>
      </c>
      <c r="AN404" s="17">
        <f t="shared" si="57"/>
        <v>-7.3239595026248008E-5</v>
      </c>
      <c r="AO404" s="17">
        <f t="shared" si="57"/>
        <v>1.6035307983391488E-4</v>
      </c>
      <c r="AP404" s="17">
        <f t="shared" si="57"/>
        <v>-7.8196289508768516E-5</v>
      </c>
      <c r="AQ404" s="17">
        <f t="shared" si="57"/>
        <v>-8.016800722927906E-5</v>
      </c>
      <c r="AR404" s="17">
        <f t="shared" si="57"/>
        <v>1.5244104616793201E-4</v>
      </c>
      <c r="AS404" s="17">
        <f t="shared" si="57"/>
        <v>-9.0613585717393662E-5</v>
      </c>
      <c r="AT404" s="17">
        <f t="shared" si="57"/>
        <v>-9.926707255137647E-5</v>
      </c>
      <c r="AU404" s="17">
        <f t="shared" si="57"/>
        <v>1.2399012719761186E-4</v>
      </c>
      <c r="AV404" s="17">
        <f t="shared" si="57"/>
        <v>-1.1706643327461658E-4</v>
      </c>
      <c r="AW404" s="17">
        <f t="shared" si="57"/>
        <v>-1.2447020745883896E-4</v>
      </c>
      <c r="AX404" s="17">
        <f t="shared" si="57"/>
        <v>1.4039912827840464E-4</v>
      </c>
      <c r="AY404" s="17">
        <f t="shared" si="57"/>
        <v>-9.8056891762720103E-5</v>
      </c>
      <c r="AZ404" s="17">
        <f t="shared" si="57"/>
        <v>-1.0113040141302571E-4</v>
      </c>
      <c r="BA404" s="17">
        <f t="shared" si="57"/>
        <v>2.6519959316978394E-4</v>
      </c>
    </row>
    <row r="405" spans="1:53" outlineLevel="1" x14ac:dyDescent="0.35">
      <c r="A405" s="6" t="s">
        <v>41</v>
      </c>
      <c r="B405" s="6">
        <f t="shared" si="52"/>
        <v>1.347525634018587E-5</v>
      </c>
    </row>
    <row r="406" spans="1:53" outlineLevel="1" x14ac:dyDescent="0.35">
      <c r="A406" s="6" t="s">
        <v>43</v>
      </c>
      <c r="B406" s="6">
        <f t="shared" si="52"/>
        <v>1.1839927974793929E-4</v>
      </c>
      <c r="AB406" s="272"/>
      <c r="AC406" s="272"/>
      <c r="AD406" s="272"/>
      <c r="AE406" s="272"/>
      <c r="AF406" s="272"/>
      <c r="AG406" s="272"/>
      <c r="AH406" s="272"/>
      <c r="AI406" s="272"/>
      <c r="AJ406" s="272"/>
      <c r="AK406" s="272"/>
      <c r="AL406" s="272"/>
      <c r="AM406" s="272"/>
      <c r="AN406" s="272"/>
      <c r="AO406" s="272"/>
      <c r="AP406" s="272"/>
      <c r="AQ406" s="272"/>
      <c r="AR406" s="272"/>
      <c r="AS406" s="272"/>
      <c r="AT406" s="272"/>
      <c r="AU406" s="272"/>
      <c r="AV406" s="272"/>
      <c r="AW406" s="272"/>
      <c r="AX406" s="272"/>
      <c r="AY406" s="272"/>
      <c r="AZ406" s="272"/>
      <c r="BA406" s="272"/>
    </row>
    <row r="407" spans="1:53" outlineLevel="1" x14ac:dyDescent="0.35">
      <c r="A407" s="6" t="s">
        <v>44</v>
      </c>
      <c r="B407" s="6">
        <f>B102*AC385</f>
        <v>4.68564991115967E-4</v>
      </c>
      <c r="AB407" s="272"/>
      <c r="AC407" s="272"/>
      <c r="AD407" s="272"/>
      <c r="AE407" s="272"/>
      <c r="AF407" s="272"/>
      <c r="AG407" s="272"/>
      <c r="AH407" s="272"/>
      <c r="AI407" s="272"/>
      <c r="AJ407" s="272"/>
      <c r="AK407" s="272"/>
      <c r="AL407" s="272"/>
      <c r="AM407" s="272"/>
      <c r="AN407" s="272"/>
      <c r="AO407" s="272"/>
      <c r="AP407" s="272"/>
      <c r="AQ407" s="272"/>
      <c r="AR407" s="272"/>
      <c r="AS407" s="272"/>
      <c r="AT407" s="272"/>
      <c r="AU407" s="272"/>
      <c r="AV407" s="272"/>
      <c r="AW407" s="272"/>
      <c r="AX407" s="272"/>
      <c r="AY407" s="272"/>
      <c r="AZ407" s="272"/>
      <c r="BA407" s="272"/>
    </row>
    <row r="408" spans="1:53" outlineLevel="1" x14ac:dyDescent="0.35">
      <c r="A408" s="6" t="s">
        <v>757</v>
      </c>
      <c r="B408" s="6">
        <f>B103*AC385</f>
        <v>9.5370509584667468E-4</v>
      </c>
      <c r="AB408" s="272"/>
      <c r="AC408" s="272"/>
      <c r="AD408" s="272"/>
      <c r="AE408" s="272"/>
      <c r="AF408" s="272"/>
      <c r="AG408" s="272"/>
      <c r="AH408" s="272"/>
      <c r="AI408" s="272"/>
      <c r="AJ408" s="272"/>
      <c r="AK408" s="272"/>
      <c r="AL408" s="272"/>
      <c r="AM408" s="272"/>
      <c r="AN408" s="272"/>
      <c r="AO408" s="272"/>
      <c r="AP408" s="272"/>
      <c r="AQ408" s="272"/>
      <c r="AR408" s="272"/>
      <c r="AS408" s="272"/>
      <c r="AT408" s="272"/>
      <c r="AU408" s="272"/>
      <c r="AV408" s="272"/>
      <c r="AW408" s="272"/>
      <c r="AX408" s="272"/>
      <c r="AY408" s="272"/>
      <c r="AZ408" s="272"/>
      <c r="BA408" s="272"/>
    </row>
    <row r="409" spans="1:53" outlineLevel="1" x14ac:dyDescent="0.35">
      <c r="A409" s="6" t="s">
        <v>22</v>
      </c>
      <c r="Z409" s="6">
        <f>Z104</f>
        <v>2.4474508311336498E-6</v>
      </c>
      <c r="AB409" s="272"/>
      <c r="AC409" s="272"/>
      <c r="AD409" s="272"/>
      <c r="AE409" s="272"/>
      <c r="AF409" s="272"/>
      <c r="AG409" s="272"/>
      <c r="AH409" s="272"/>
      <c r="AI409" s="272"/>
      <c r="AJ409" s="272"/>
      <c r="AK409" s="272"/>
      <c r="AL409" s="272"/>
      <c r="AM409" s="272"/>
      <c r="AN409" s="272"/>
      <c r="AO409" s="272"/>
      <c r="AP409" s="272"/>
      <c r="AQ409" s="272"/>
      <c r="AR409" s="272"/>
      <c r="AS409" s="272"/>
      <c r="AT409" s="272"/>
      <c r="AU409" s="272"/>
      <c r="AV409" s="272"/>
      <c r="AW409" s="272"/>
      <c r="AX409" s="272"/>
      <c r="AY409" s="272"/>
      <c r="AZ409" s="272"/>
      <c r="BA409" s="272"/>
    </row>
    <row r="410" spans="1:53" outlineLevel="1" x14ac:dyDescent="0.35">
      <c r="A410" s="6" t="s">
        <v>24</v>
      </c>
      <c r="Z410" s="6">
        <f t="shared" ref="Z410:Z420" si="58">Z105</f>
        <v>1.5372889579919939E-6</v>
      </c>
      <c r="AB410" s="272"/>
      <c r="AC410" s="272"/>
      <c r="AD410" s="272"/>
      <c r="AE410" s="272"/>
      <c r="AF410" s="272"/>
      <c r="AG410" s="272"/>
      <c r="AH410" s="272"/>
      <c r="AI410" s="272"/>
      <c r="AJ410" s="272"/>
      <c r="AK410" s="272"/>
      <c r="AL410" s="272"/>
      <c r="AM410" s="272"/>
      <c r="AN410" s="272"/>
      <c r="AO410" s="272"/>
      <c r="AP410" s="272"/>
      <c r="AQ410" s="272"/>
      <c r="AR410" s="272"/>
      <c r="AS410" s="272"/>
      <c r="AT410" s="272"/>
      <c r="AU410" s="272"/>
      <c r="AV410" s="272"/>
      <c r="AW410" s="272"/>
      <c r="AX410" s="272"/>
      <c r="AY410" s="272"/>
      <c r="AZ410" s="272"/>
      <c r="BA410" s="272"/>
    </row>
    <row r="411" spans="1:53" outlineLevel="1" x14ac:dyDescent="0.35">
      <c r="A411" s="6" t="s">
        <v>25</v>
      </c>
      <c r="Z411" s="6">
        <f t="shared" si="58"/>
        <v>5.6912810253079144E-6</v>
      </c>
      <c r="AB411" s="272"/>
      <c r="AC411" s="272"/>
      <c r="AD411" s="272"/>
      <c r="AE411" s="272"/>
      <c r="AF411" s="272"/>
      <c r="AG411" s="272"/>
      <c r="AH411" s="272"/>
      <c r="AI411" s="272"/>
      <c r="AJ411" s="272"/>
      <c r="AK411" s="272"/>
      <c r="AL411" s="272"/>
      <c r="AM411" s="272"/>
      <c r="AN411" s="272"/>
      <c r="AO411" s="272"/>
      <c r="AP411" s="272"/>
      <c r="AQ411" s="272"/>
      <c r="AR411" s="272"/>
      <c r="AS411" s="272"/>
      <c r="AT411" s="272"/>
      <c r="AU411" s="272"/>
      <c r="AV411" s="272"/>
      <c r="AW411" s="272"/>
      <c r="AX411" s="272"/>
      <c r="AY411" s="272"/>
      <c r="AZ411" s="272"/>
      <c r="BA411" s="272"/>
    </row>
    <row r="412" spans="1:53" outlineLevel="1" x14ac:dyDescent="0.35">
      <c r="A412" s="6" t="s">
        <v>27</v>
      </c>
      <c r="Z412" s="6">
        <f t="shared" si="58"/>
        <v>2.906695279293953E-6</v>
      </c>
      <c r="AB412" s="272"/>
      <c r="AC412" s="272"/>
      <c r="AD412" s="272"/>
      <c r="AE412" s="272"/>
      <c r="AF412" s="272"/>
      <c r="AG412" s="272"/>
      <c r="AH412" s="272"/>
      <c r="AI412" s="272"/>
      <c r="AJ412" s="272"/>
      <c r="AK412" s="272"/>
      <c r="AL412" s="272"/>
      <c r="AM412" s="272"/>
      <c r="AN412" s="272"/>
      <c r="AO412" s="272"/>
      <c r="AP412" s="272"/>
      <c r="AQ412" s="272"/>
      <c r="AR412" s="272"/>
      <c r="AS412" s="272"/>
      <c r="AT412" s="272"/>
      <c r="AU412" s="272"/>
      <c r="AV412" s="272"/>
      <c r="AW412" s="272"/>
      <c r="AX412" s="272"/>
      <c r="AY412" s="272"/>
      <c r="AZ412" s="272"/>
      <c r="BA412" s="272"/>
    </row>
    <row r="413" spans="1:53" outlineLevel="1" x14ac:dyDescent="0.35">
      <c r="A413" s="6" t="s">
        <v>30</v>
      </c>
      <c r="Z413" s="6">
        <f t="shared" si="58"/>
        <v>3.2148640186317049E-6</v>
      </c>
      <c r="AB413" s="272"/>
      <c r="AC413" s="272"/>
      <c r="AD413" s="272"/>
      <c r="AE413" s="272"/>
      <c r="AF413" s="272"/>
      <c r="AG413" s="272"/>
      <c r="AH413" s="272"/>
      <c r="AI413" s="272"/>
      <c r="AJ413" s="272"/>
      <c r="AK413" s="272"/>
      <c r="AL413" s="272"/>
      <c r="AM413" s="272"/>
      <c r="AN413" s="272"/>
      <c r="AO413" s="272"/>
      <c r="AP413" s="272"/>
      <c r="AQ413" s="272"/>
      <c r="AR413" s="272"/>
      <c r="AS413" s="272"/>
      <c r="AT413" s="272"/>
      <c r="AU413" s="272"/>
      <c r="AV413" s="272"/>
      <c r="AW413" s="272"/>
      <c r="AX413" s="272"/>
      <c r="AY413" s="272"/>
      <c r="AZ413" s="272"/>
      <c r="BA413" s="272"/>
    </row>
    <row r="414" spans="1:53" outlineLevel="1" x14ac:dyDescent="0.35">
      <c r="A414" s="6" t="s">
        <v>32</v>
      </c>
      <c r="Z414" s="6">
        <f t="shared" si="58"/>
        <v>7.1958515110772744E-7</v>
      </c>
      <c r="AB414" s="272"/>
      <c r="AC414" s="272"/>
      <c r="AD414" s="272"/>
      <c r="AE414" s="272"/>
      <c r="AF414" s="272"/>
      <c r="AG414" s="272"/>
      <c r="AH414" s="272"/>
      <c r="AI414" s="272"/>
      <c r="AJ414" s="272"/>
      <c r="AK414" s="272"/>
      <c r="AL414" s="272"/>
      <c r="AM414" s="272"/>
      <c r="AN414" s="272"/>
      <c r="AO414" s="272"/>
      <c r="AP414" s="272"/>
      <c r="AQ414" s="272"/>
      <c r="AR414" s="272"/>
      <c r="AS414" s="272"/>
      <c r="AT414" s="272"/>
      <c r="AU414" s="272"/>
      <c r="AV414" s="272"/>
      <c r="AW414" s="272"/>
      <c r="AX414" s="272"/>
      <c r="AY414" s="272"/>
      <c r="AZ414" s="272"/>
      <c r="BA414" s="272"/>
    </row>
    <row r="415" spans="1:53" outlineLevel="1" x14ac:dyDescent="0.35">
      <c r="A415" s="6" t="s">
        <v>33</v>
      </c>
      <c r="Z415" s="6">
        <f t="shared" si="58"/>
        <v>8.4578377491360246E-7</v>
      </c>
      <c r="AB415" s="272"/>
      <c r="AC415" s="272"/>
      <c r="AD415" s="272"/>
      <c r="AE415" s="272"/>
      <c r="AF415" s="272"/>
      <c r="AG415" s="272"/>
      <c r="AH415" s="272"/>
      <c r="AI415" s="272"/>
      <c r="AJ415" s="272"/>
      <c r="AK415" s="272"/>
      <c r="AL415" s="272"/>
      <c r="AM415" s="272"/>
      <c r="AN415" s="272"/>
      <c r="AO415" s="272"/>
      <c r="AP415" s="272"/>
      <c r="AQ415" s="272"/>
      <c r="AR415" s="272"/>
      <c r="AS415" s="272"/>
      <c r="AT415" s="272"/>
      <c r="AU415" s="272"/>
      <c r="AV415" s="272"/>
      <c r="AW415" s="272"/>
      <c r="AX415" s="272"/>
      <c r="AY415" s="272"/>
      <c r="AZ415" s="272"/>
      <c r="BA415" s="272"/>
    </row>
    <row r="416" spans="1:53" outlineLevel="1" x14ac:dyDescent="0.35">
      <c r="A416" s="6" t="s">
        <v>35</v>
      </c>
      <c r="Z416" s="6">
        <f t="shared" si="58"/>
        <v>1.6915675498272049E-6</v>
      </c>
      <c r="AB416" s="272"/>
      <c r="AC416" s="272"/>
      <c r="AD416" s="272"/>
      <c r="AE416" s="272"/>
      <c r="AF416" s="272"/>
      <c r="AG416" s="272"/>
      <c r="AH416" s="272"/>
      <c r="AI416" s="272"/>
      <c r="AJ416" s="272"/>
      <c r="AK416" s="272"/>
      <c r="AL416" s="272"/>
      <c r="AM416" s="272"/>
      <c r="AN416" s="272"/>
      <c r="AO416" s="272"/>
      <c r="AP416" s="272"/>
      <c r="AQ416" s="272"/>
      <c r="AR416" s="272"/>
      <c r="AS416" s="272"/>
      <c r="AT416" s="272"/>
      <c r="AU416" s="272"/>
      <c r="AV416" s="272"/>
      <c r="AW416" s="272"/>
      <c r="AX416" s="272"/>
      <c r="AY416" s="272"/>
      <c r="AZ416" s="272"/>
      <c r="BA416" s="272"/>
    </row>
    <row r="417" spans="1:53" outlineLevel="1" x14ac:dyDescent="0.35">
      <c r="A417" s="6" t="s">
        <v>37</v>
      </c>
      <c r="Z417" s="6">
        <f t="shared" si="58"/>
        <v>8.1597611603250031E-6</v>
      </c>
      <c r="AB417" s="272"/>
      <c r="AC417" s="272"/>
      <c r="AD417" s="272"/>
      <c r="AE417" s="272"/>
      <c r="AF417" s="272"/>
      <c r="AG417" s="272"/>
      <c r="AH417" s="272"/>
      <c r="AI417" s="272"/>
      <c r="AJ417" s="272"/>
      <c r="AK417" s="272"/>
      <c r="AL417" s="272"/>
      <c r="AM417" s="272"/>
      <c r="AN417" s="272"/>
      <c r="AO417" s="272"/>
      <c r="AP417" s="272"/>
      <c r="AQ417" s="272"/>
      <c r="AR417" s="272"/>
      <c r="AS417" s="272"/>
      <c r="AT417" s="272"/>
      <c r="AU417" s="272"/>
      <c r="AV417" s="272"/>
      <c r="AW417" s="272"/>
      <c r="AX417" s="272"/>
      <c r="AY417" s="272"/>
      <c r="AZ417" s="272"/>
      <c r="BA417" s="272"/>
    </row>
    <row r="418" spans="1:53" outlineLevel="1" x14ac:dyDescent="0.35">
      <c r="A418" s="6" t="s">
        <v>40</v>
      </c>
      <c r="Z418" s="6">
        <f t="shared" si="58"/>
        <v>4.4420421044000268E-5</v>
      </c>
    </row>
    <row r="419" spans="1:53" outlineLevel="1" x14ac:dyDescent="0.35">
      <c r="A419" s="6" t="s">
        <v>42</v>
      </c>
      <c r="Z419" s="6">
        <f t="shared" si="58"/>
        <v>1.237758161694522E-5</v>
      </c>
    </row>
    <row r="420" spans="1:53" outlineLevel="1" x14ac:dyDescent="0.35">
      <c r="A420" s="6" t="s">
        <v>115</v>
      </c>
      <c r="Z420" s="6">
        <f t="shared" si="58"/>
        <v>4.8098395831677263E-5</v>
      </c>
    </row>
    <row r="421" spans="1:53" outlineLevel="1" x14ac:dyDescent="0.35">
      <c r="A421" s="6" t="s">
        <v>45</v>
      </c>
      <c r="Z421" s="6">
        <f>Z116*AC385</f>
        <v>2.4331335197599298E-6</v>
      </c>
    </row>
    <row r="422" spans="1:53" outlineLevel="1" x14ac:dyDescent="0.35">
      <c r="A422" s="6" t="s">
        <v>116</v>
      </c>
      <c r="B422" s="6">
        <f>B117</f>
        <v>2.6322721726552512E-4</v>
      </c>
      <c r="C422" s="6">
        <f t="shared" ref="C422:Z422" si="59">C117</f>
        <v>2.5866249207413502E-4</v>
      </c>
      <c r="D422" s="6">
        <f t="shared" si="59"/>
        <v>2.5405869902949091E-4</v>
      </c>
      <c r="E422" s="6">
        <f t="shared" si="59"/>
        <v>2.4790954055705099E-4</v>
      </c>
      <c r="F422" s="6">
        <f t="shared" si="59"/>
        <v>2.4320156481659301E-4</v>
      </c>
      <c r="G422" s="6">
        <f t="shared" si="59"/>
        <v>2.3845944276936539E-4</v>
      </c>
      <c r="H422" s="6">
        <f t="shared" si="59"/>
        <v>2.3818826466101599E-4</v>
      </c>
      <c r="I422" s="6">
        <f t="shared" si="59"/>
        <v>2.3790359747015221E-4</v>
      </c>
      <c r="J422" s="6">
        <f t="shared" si="59"/>
        <v>2.3718038918044219E-4</v>
      </c>
      <c r="K422" s="6">
        <f t="shared" si="59"/>
        <v>2.3687057090296699E-4</v>
      </c>
      <c r="L422" s="6">
        <f t="shared" si="59"/>
        <v>2.3654989327107361E-4</v>
      </c>
      <c r="M422" s="6">
        <f t="shared" si="59"/>
        <v>2.3616147499013471E-4</v>
      </c>
      <c r="N422" s="6">
        <f t="shared" si="59"/>
        <v>2.3577478459469749E-4</v>
      </c>
      <c r="O422" s="6">
        <f t="shared" si="59"/>
        <v>2.352217879272995E-4</v>
      </c>
      <c r="P422" s="6">
        <f t="shared" si="59"/>
        <v>2.3483722590866721E-4</v>
      </c>
      <c r="Q422" s="6">
        <f t="shared" si="59"/>
        <v>2.3445141905597099E-4</v>
      </c>
      <c r="R422" s="6">
        <f t="shared" si="59"/>
        <v>2.3383341452647439E-4</v>
      </c>
      <c r="S422" s="6">
        <f t="shared" si="59"/>
        <v>2.3321729209397599E-4</v>
      </c>
      <c r="T422" s="6">
        <f t="shared" si="59"/>
        <v>2.3247380057932901E-4</v>
      </c>
      <c r="U422" s="6">
        <f t="shared" si="59"/>
        <v>2.3186728341628449E-4</v>
      </c>
      <c r="V422" s="6">
        <f t="shared" si="59"/>
        <v>2.3127294302008661E-4</v>
      </c>
      <c r="W422" s="6">
        <f t="shared" si="59"/>
        <v>2.3538466572112359E-4</v>
      </c>
      <c r="X422" s="6">
        <f t="shared" si="59"/>
        <v>2.352102001422839E-4</v>
      </c>
      <c r="Y422" s="6">
        <f t="shared" si="59"/>
        <v>2.3503611840734951E-4</v>
      </c>
      <c r="Z422" s="6">
        <f t="shared" si="59"/>
        <v>2.348623971618371E-4</v>
      </c>
    </row>
    <row r="423" spans="1:53" outlineLevel="1" x14ac:dyDescent="0.35">
      <c r="A423" s="6" t="s">
        <v>758</v>
      </c>
      <c r="B423" s="6">
        <f>B118*$AC$385</f>
        <v>2.4873429184143911E-4</v>
      </c>
      <c r="C423" s="6">
        <f t="shared" ref="C423:Z424" si="60">C118*$AC$385</f>
        <v>2.3752317423365955E-4</v>
      </c>
      <c r="D423" s="6">
        <f t="shared" si="60"/>
        <v>2.261317766960925E-4</v>
      </c>
      <c r="E423" s="6">
        <f t="shared" si="60"/>
        <v>2.1419244548736633E-4</v>
      </c>
      <c r="F423" s="6">
        <f t="shared" si="60"/>
        <v>2.0257526868298982E-4</v>
      </c>
      <c r="G423" s="6">
        <f t="shared" si="60"/>
        <v>1.9097192572437342E-4</v>
      </c>
      <c r="H423" s="6">
        <f t="shared" si="60"/>
        <v>1.9076535645403588E-4</v>
      </c>
      <c r="I423" s="6">
        <f t="shared" si="60"/>
        <v>1.9050510894696199E-4</v>
      </c>
      <c r="J423" s="6">
        <f t="shared" si="60"/>
        <v>1.9004211151854675E-4</v>
      </c>
      <c r="K423" s="6">
        <f t="shared" si="60"/>
        <v>1.8966673023146472E-4</v>
      </c>
      <c r="L423" s="6">
        <f t="shared" si="60"/>
        <v>1.8924064759561911E-4</v>
      </c>
      <c r="M423" s="6">
        <f t="shared" si="60"/>
        <v>1.8966075090613715E-4</v>
      </c>
      <c r="N423" s="6">
        <f t="shared" si="60"/>
        <v>1.9009035258348659E-4</v>
      </c>
      <c r="O423" s="6">
        <f t="shared" si="60"/>
        <v>1.9050386879327584E-4</v>
      </c>
      <c r="P423" s="6">
        <f t="shared" si="60"/>
        <v>1.9094526122796291E-4</v>
      </c>
      <c r="Q423" s="6">
        <f t="shared" si="60"/>
        <v>1.9139256621464527E-4</v>
      </c>
      <c r="R423" s="6">
        <f t="shared" si="60"/>
        <v>1.8514469641299575E-4</v>
      </c>
      <c r="S423" s="6">
        <f t="shared" si="60"/>
        <v>1.7881600510234345E-4</v>
      </c>
      <c r="T423" s="6">
        <f t="shared" si="60"/>
        <v>1.7244827970496206E-4</v>
      </c>
      <c r="U423" s="6">
        <f t="shared" si="60"/>
        <v>1.6609512715381959E-4</v>
      </c>
      <c r="V423" s="6">
        <f t="shared" si="60"/>
        <v>1.5974685773593282E-4</v>
      </c>
      <c r="W423" s="6">
        <f t="shared" si="60"/>
        <v>1.6170475311614406E-4</v>
      </c>
      <c r="X423" s="6">
        <f t="shared" si="60"/>
        <v>1.5920010969112431E-4</v>
      </c>
      <c r="Y423" s="6">
        <f t="shared" si="60"/>
        <v>1.5669319578749419E-4</v>
      </c>
      <c r="Z423" s="6">
        <f t="shared" si="60"/>
        <v>1.541835609385189E-4</v>
      </c>
    </row>
    <row r="424" spans="1:53" outlineLevel="1" x14ac:dyDescent="0.35">
      <c r="A424" s="6" t="s">
        <v>759</v>
      </c>
      <c r="B424" s="6">
        <f>B119*$AC$385</f>
        <v>0</v>
      </c>
      <c r="C424" s="6">
        <f t="shared" si="60"/>
        <v>0</v>
      </c>
      <c r="D424" s="6">
        <f t="shared" si="60"/>
        <v>0</v>
      </c>
      <c r="E424" s="6">
        <f t="shared" si="60"/>
        <v>0</v>
      </c>
      <c r="F424" s="6">
        <f t="shared" si="60"/>
        <v>0</v>
      </c>
      <c r="G424" s="6">
        <f t="shared" si="60"/>
        <v>0</v>
      </c>
      <c r="H424" s="6">
        <f t="shared" si="60"/>
        <v>0</v>
      </c>
      <c r="I424" s="6">
        <f t="shared" si="60"/>
        <v>0</v>
      </c>
      <c r="J424" s="6">
        <f t="shared" si="60"/>
        <v>0</v>
      </c>
      <c r="K424" s="6">
        <f t="shared" si="60"/>
        <v>0</v>
      </c>
      <c r="L424" s="6">
        <f t="shared" si="60"/>
        <v>0</v>
      </c>
      <c r="M424" s="6">
        <f t="shared" si="60"/>
        <v>0</v>
      </c>
      <c r="N424" s="6">
        <f t="shared" si="60"/>
        <v>0</v>
      </c>
      <c r="O424" s="6">
        <f t="shared" si="60"/>
        <v>0</v>
      </c>
      <c r="P424" s="6">
        <f t="shared" si="60"/>
        <v>0</v>
      </c>
      <c r="Q424" s="6">
        <f t="shared" si="60"/>
        <v>0</v>
      </c>
      <c r="R424" s="6">
        <f t="shared" si="60"/>
        <v>0</v>
      </c>
      <c r="S424" s="6">
        <f t="shared" si="60"/>
        <v>0</v>
      </c>
      <c r="T424" s="6">
        <f t="shared" si="60"/>
        <v>0</v>
      </c>
      <c r="U424" s="6">
        <f t="shared" si="60"/>
        <v>0</v>
      </c>
      <c r="V424" s="6">
        <f t="shared" si="60"/>
        <v>0</v>
      </c>
      <c r="W424" s="6">
        <f t="shared" si="60"/>
        <v>0</v>
      </c>
      <c r="X424" s="6">
        <f t="shared" si="60"/>
        <v>0</v>
      </c>
      <c r="Y424" s="6">
        <f t="shared" si="60"/>
        <v>0</v>
      </c>
      <c r="Z424" s="6">
        <f t="shared" si="60"/>
        <v>0</v>
      </c>
    </row>
    <row r="425" spans="1:53" outlineLevel="1" x14ac:dyDescent="0.35">
      <c r="A425" s="6" t="s">
        <v>760</v>
      </c>
      <c r="B425" s="6">
        <f>$B$252*$AC$384*'Results - raw data ReCiPe (I)'!C128/(1-0.5)*(1+'Results ReCiPe (I) - HHD'!$AC$271/'Results ReCiPe (I) - HHD'!$AC$272-'Results ReCiPe (I) - HHD'!$AC$271)</f>
        <v>1.9168054332969759E-3</v>
      </c>
      <c r="C425" s="6">
        <f>$B$252*$AC$384*'Results - raw data ReCiPe (I)'!D128/(1-0.5)*(1+'Results ReCiPe (I) - HHD'!$AC$271/'Results ReCiPe (I) - HHD'!$AC$272-'Results ReCiPe (I) - HHD'!$AC$271)</f>
        <v>1.8969549966316181E-3</v>
      </c>
      <c r="D425" s="6">
        <f>$B$252*$AC$384*'Results - raw data ReCiPe (I)'!E128/(1-0.5)*(1+'Results ReCiPe (I) - HHD'!$AC$271/'Results ReCiPe (I) - HHD'!$AC$272-'Results ReCiPe (I) - HHD'!$AC$271)</f>
        <v>1.8775985161277762E-3</v>
      </c>
      <c r="E425" s="6">
        <f>$B$252*$AC$384*'Results - raw data ReCiPe (I)'!F128/(1-0.5)*(1+'Results ReCiPe (I) - HHD'!$AC$271/'Results ReCiPe (I) - HHD'!$AC$272-'Results ReCiPe (I) - HHD'!$AC$271)</f>
        <v>1.8511710332379098E-3</v>
      </c>
      <c r="F425" s="6">
        <f>$B$252*$AC$384*'Results - raw data ReCiPe (I)'!G128/(1-0.5)*(1+'Results ReCiPe (I) - HHD'!$AC$271/'Results ReCiPe (I) - HHD'!$AC$272-'Results ReCiPe (I) - HHD'!$AC$271)</f>
        <v>1.8319228274343332E-3</v>
      </c>
      <c r="G425" s="6">
        <f>$B$252*$AC$384*'Results - raw data ReCiPe (I)'!H128/(1-0.5)*(1+'Results ReCiPe (I) - HHD'!$AC$271/'Results ReCiPe (I) - HHD'!$AC$272-'Results ReCiPe (I) - HHD'!$AC$271)</f>
        <v>1.8136324637402417E-3</v>
      </c>
      <c r="H425" s="6">
        <f>$B$252*$AC$384*'Results - raw data ReCiPe (I)'!I128/(1-0.5)*(1+'Results ReCiPe (I) - HHD'!$AC$271/'Results ReCiPe (I) - HHD'!$AC$272-'Results ReCiPe (I) - HHD'!$AC$271)</f>
        <v>1.809440604616704E-3</v>
      </c>
      <c r="I425" s="6">
        <f>$B$252*$AC$384*'Results - raw data ReCiPe (I)'!J128/(1-0.5)*(1+'Results ReCiPe (I) - HHD'!$AC$271/'Results ReCiPe (I) - HHD'!$AC$272-'Results ReCiPe (I) - HHD'!$AC$271)</f>
        <v>1.8053310360986283E-3</v>
      </c>
      <c r="J425" s="6">
        <f>$B$252*$AC$384*'Results - raw data ReCiPe (I)'!K128/(1-0.5)*(1+'Results ReCiPe (I) - HHD'!$AC$271/'Results ReCiPe (I) - HHD'!$AC$272-'Results ReCiPe (I) - HHD'!$AC$271)</f>
        <v>1.7991787666357042E-3</v>
      </c>
      <c r="K425" s="6">
        <f>$B$252*$AC$384*'Results - raw data ReCiPe (I)'!L128/(1-0.5)*(1+'Results ReCiPe (I) - HHD'!$AC$271/'Results ReCiPe (I) - HHD'!$AC$272-'Results ReCiPe (I) - HHD'!$AC$271)</f>
        <v>1.795103768805602E-3</v>
      </c>
      <c r="L425" s="6">
        <f>$B$252*$AC$384*'Results - raw data ReCiPe (I)'!M128/(1-0.5)*(1+'Results ReCiPe (I) - HHD'!$AC$271/'Results ReCiPe (I) - HHD'!$AC$272-'Results ReCiPe (I) - HHD'!$AC$271)</f>
        <v>1.7912260095005418E-3</v>
      </c>
      <c r="M425" s="6">
        <f>$B$252*$AC$384*'Results - raw data ReCiPe (I)'!N128/(1-0.5)*(1+'Results ReCiPe (I) - HHD'!$AC$271/'Results ReCiPe (I) - HHD'!$AC$272-'Results ReCiPe (I) - HHD'!$AC$271)</f>
        <v>1.7883676268104574E-3</v>
      </c>
      <c r="N425" s="6">
        <f>$B$252*$AC$384*'Results - raw data ReCiPe (I)'!O128/(1-0.5)*(1+'Results ReCiPe (I) - HHD'!$AC$271/'Results ReCiPe (I) - HHD'!$AC$272-'Results ReCiPe (I) - HHD'!$AC$271)</f>
        <v>1.7857559153985729E-3</v>
      </c>
      <c r="O425" s="6">
        <f>$B$252*$AC$384*'Results - raw data ReCiPe (I)'!P128/(1-0.5)*(1+'Results ReCiPe (I) - HHD'!$AC$271/'Results ReCiPe (I) - HHD'!$AC$272-'Results ReCiPe (I) - HHD'!$AC$271)</f>
        <v>1.7825678144407983E-3</v>
      </c>
      <c r="P425" s="6">
        <f>$B$252*$AC$384*'Results - raw data ReCiPe (I)'!Q128/(1-0.5)*(1+'Results ReCiPe (I) - HHD'!$AC$271/'Results ReCiPe (I) - HHD'!$AC$272-'Results ReCiPe (I) - HHD'!$AC$271)</f>
        <v>1.7801547042856009E-3</v>
      </c>
      <c r="Q425" s="6">
        <f>$B$252*$AC$384*'Results - raw data ReCiPe (I)'!R128/(1-0.5)*(1+'Results ReCiPe (I) - HHD'!$AC$271/'Results ReCiPe (I) - HHD'!$AC$272-'Results ReCiPe (I) - HHD'!$AC$271)</f>
        <v>1.7778650336401584E-3</v>
      </c>
      <c r="R425" s="6">
        <f>$B$252*$AC$384*'Results - raw data ReCiPe (I)'!S128/(1-0.5)*(1+'Results ReCiPe (I) - HHD'!$AC$271/'Results ReCiPe (I) - HHD'!$AC$272-'Results ReCiPe (I) - HHD'!$AC$271)</f>
        <v>1.7755096906124528E-3</v>
      </c>
      <c r="S425" s="6">
        <f>$B$252*$AC$384*'Results - raw data ReCiPe (I)'!T128/(1-0.5)*(1+'Results ReCiPe (I) - HHD'!$AC$271/'Results ReCiPe (I) - HHD'!$AC$272-'Results ReCiPe (I) - HHD'!$AC$271)</f>
        <v>1.7731848950891223E-3</v>
      </c>
      <c r="T425" s="6">
        <f>$B$252*$AC$384*'Results - raw data ReCiPe (I)'!U128/(1-0.5)*(1+'Results ReCiPe (I) - HHD'!$AC$271/'Results ReCiPe (I) - HHD'!$AC$272-'Results ReCiPe (I) - HHD'!$AC$271)</f>
        <v>1.7703360196561634E-3</v>
      </c>
      <c r="U425" s="6">
        <f>$B$252*$AC$384*'Results - raw data ReCiPe (I)'!V128/(1-0.5)*(1+'Results ReCiPe (I) - HHD'!$AC$271/'Results ReCiPe (I) - HHD'!$AC$272-'Results ReCiPe (I) - HHD'!$AC$271)</f>
        <v>1.7681064123144061E-3</v>
      </c>
      <c r="V425" s="6">
        <f>$B$252*$AC$384*'Results - raw data ReCiPe (I)'!W128/(1-0.5)*(1+'Results ReCiPe (I) - HHD'!$AC$271/'Results ReCiPe (I) - HHD'!$AC$272-'Results ReCiPe (I) - HHD'!$AC$271)</f>
        <v>1.7670509075480702E-3</v>
      </c>
      <c r="W425" s="6">
        <f>$B$252*$AC$384*'Results - raw data ReCiPe (I)'!X128/(1-0.5)*(1+'Results ReCiPe (I) - HHD'!$AC$271/'Results ReCiPe (I) - HHD'!$AC$272-'Results ReCiPe (I) - HHD'!$AC$271)</f>
        <v>1.7945776821839787E-3</v>
      </c>
      <c r="X425" s="6">
        <f>$B$252*$AC$384*'Results - raw data ReCiPe (I)'!Y128/(1-0.5)*(1+'Results ReCiPe (I) - HHD'!$AC$271/'Results ReCiPe (I) - HHD'!$AC$272-'Results ReCiPe (I) - HHD'!$AC$271)</f>
        <v>1.7940109712889975E-3</v>
      </c>
      <c r="Y425" s="6">
        <f>$B$252*$AC$384*'Results - raw data ReCiPe (I)'!Z128/(1-0.5)*(1+'Results ReCiPe (I) - HHD'!$AC$271/'Results ReCiPe (I) - HHD'!$AC$272-'Results ReCiPe (I) - HHD'!$AC$271)</f>
        <v>1.7934443755423224E-3</v>
      </c>
      <c r="Z425" s="6">
        <f>$B$252*$AC$384*'Results - raw data ReCiPe (I)'!AA128/(1-0.5)*(1+'Results ReCiPe (I) - HHD'!$AC$271/'Results ReCiPe (I) - HHD'!$AC$272-'Results ReCiPe (I) - HHD'!$AC$271)</f>
        <v>1.7928777980513546E-3</v>
      </c>
    </row>
    <row r="426" spans="1:53" outlineLevel="1" x14ac:dyDescent="0.35">
      <c r="A426" s="6" t="s">
        <v>797</v>
      </c>
      <c r="B426" s="6">
        <f>$B$380*$AC$384</f>
        <v>2.0087320272571571E-3</v>
      </c>
      <c r="C426" s="6">
        <f t="shared" ref="C426:Z426" si="61">$B$380*$AC$384</f>
        <v>2.0087320272571571E-3</v>
      </c>
      <c r="D426" s="6">
        <f t="shared" si="61"/>
        <v>2.0087320272571571E-3</v>
      </c>
      <c r="E426" s="6">
        <f t="shared" si="61"/>
        <v>2.0087320272571571E-3</v>
      </c>
      <c r="F426" s="6">
        <f t="shared" si="61"/>
        <v>2.0087320272571571E-3</v>
      </c>
      <c r="G426" s="6">
        <f t="shared" si="61"/>
        <v>2.0087320272571571E-3</v>
      </c>
      <c r="H426" s="6">
        <f t="shared" si="61"/>
        <v>2.0087320272571571E-3</v>
      </c>
      <c r="I426" s="6">
        <f t="shared" si="61"/>
        <v>2.0087320272571571E-3</v>
      </c>
      <c r="J426" s="6">
        <f t="shared" si="61"/>
        <v>2.0087320272571571E-3</v>
      </c>
      <c r="K426" s="6">
        <f t="shared" si="61"/>
        <v>2.0087320272571571E-3</v>
      </c>
      <c r="L426" s="6">
        <f t="shared" si="61"/>
        <v>2.0087320272571571E-3</v>
      </c>
      <c r="M426" s="6">
        <f t="shared" si="61"/>
        <v>2.0087320272571571E-3</v>
      </c>
      <c r="N426" s="6">
        <f t="shared" si="61"/>
        <v>2.0087320272571571E-3</v>
      </c>
      <c r="O426" s="6">
        <f t="shared" si="61"/>
        <v>2.0087320272571571E-3</v>
      </c>
      <c r="P426" s="6">
        <f t="shared" si="61"/>
        <v>2.0087320272571571E-3</v>
      </c>
      <c r="Q426" s="6">
        <f t="shared" si="61"/>
        <v>2.0087320272571571E-3</v>
      </c>
      <c r="R426" s="6">
        <f t="shared" si="61"/>
        <v>2.0087320272571571E-3</v>
      </c>
      <c r="S426" s="6">
        <f t="shared" si="61"/>
        <v>2.0087320272571571E-3</v>
      </c>
      <c r="T426" s="6">
        <f t="shared" si="61"/>
        <v>2.0087320272571571E-3</v>
      </c>
      <c r="U426" s="6">
        <f t="shared" si="61"/>
        <v>2.0087320272571571E-3</v>
      </c>
      <c r="V426" s="6">
        <f t="shared" si="61"/>
        <v>2.0087320272571571E-3</v>
      </c>
      <c r="W426" s="6">
        <f t="shared" si="61"/>
        <v>2.0087320272571571E-3</v>
      </c>
      <c r="X426" s="6">
        <f t="shared" si="61"/>
        <v>2.0087320272571571E-3</v>
      </c>
      <c r="Y426" s="6">
        <f t="shared" si="61"/>
        <v>2.0087320272571571E-3</v>
      </c>
      <c r="Z426" s="6">
        <f t="shared" si="61"/>
        <v>2.0087320272571571E-3</v>
      </c>
    </row>
    <row r="427" spans="1:53" outlineLevel="1" x14ac:dyDescent="0.35">
      <c r="A427" s="23" t="s">
        <v>125</v>
      </c>
      <c r="B427" s="17">
        <f>SUM(B395:B425)</f>
        <v>1.7299913447816423E-2</v>
      </c>
      <c r="C427" s="17">
        <f t="shared" ref="C427:Z427" si="62">SUM(C395:C425)</f>
        <v>2.3931406629394128E-3</v>
      </c>
      <c r="D427" s="17">
        <f t="shared" si="62"/>
        <v>2.3577889918533594E-3</v>
      </c>
      <c r="E427" s="17">
        <f t="shared" si="62"/>
        <v>2.3132730192823273E-3</v>
      </c>
      <c r="F427" s="17">
        <f t="shared" si="62"/>
        <v>2.2776996609339159E-3</v>
      </c>
      <c r="G427" s="17">
        <f t="shared" si="62"/>
        <v>2.2430638322339805E-3</v>
      </c>
      <c r="H427" s="17">
        <f t="shared" si="62"/>
        <v>2.2383942257317557E-3</v>
      </c>
      <c r="I427" s="17">
        <f t="shared" si="62"/>
        <v>2.2337397425157427E-3</v>
      </c>
      <c r="J427" s="17">
        <f t="shared" si="62"/>
        <v>2.2264012673346933E-3</v>
      </c>
      <c r="K427" s="17">
        <f t="shared" si="62"/>
        <v>2.2216410699400337E-3</v>
      </c>
      <c r="L427" s="17">
        <f t="shared" si="62"/>
        <v>2.2170165503672345E-3</v>
      </c>
      <c r="M427" s="17">
        <f t="shared" si="62"/>
        <v>2.2141898527067291E-3</v>
      </c>
      <c r="N427" s="17">
        <f t="shared" si="62"/>
        <v>2.2116210525767567E-3</v>
      </c>
      <c r="O427" s="17">
        <f t="shared" si="62"/>
        <v>2.2082934711613739E-3</v>
      </c>
      <c r="P427" s="17">
        <f t="shared" si="62"/>
        <v>2.2059371914222312E-3</v>
      </c>
      <c r="Q427" s="17">
        <f t="shared" si="62"/>
        <v>2.2037090189107747E-3</v>
      </c>
      <c r="R427" s="17">
        <f t="shared" si="62"/>
        <v>2.1944878015519231E-3</v>
      </c>
      <c r="S427" s="17">
        <f t="shared" si="62"/>
        <v>2.185218192285442E-3</v>
      </c>
      <c r="T427" s="17">
        <f t="shared" si="62"/>
        <v>2.1752580999404546E-3</v>
      </c>
      <c r="U427" s="17">
        <f t="shared" si="62"/>
        <v>2.1660688228845103E-3</v>
      </c>
      <c r="V427" s="17">
        <f t="shared" si="62"/>
        <v>2.1580707083040896E-3</v>
      </c>
      <c r="W427" s="17">
        <f t="shared" si="62"/>
        <v>2.1916671010212465E-3</v>
      </c>
      <c r="X427" s="17">
        <f t="shared" si="62"/>
        <v>2.1884212811224056E-3</v>
      </c>
      <c r="Y427" s="17">
        <f t="shared" si="62"/>
        <v>2.1851736897371661E-3</v>
      </c>
      <c r="Z427" s="17">
        <f t="shared" si="62"/>
        <v>2.3164675659126258E-3</v>
      </c>
    </row>
    <row r="428" spans="1:53" s="26" customFormat="1" outlineLevel="1" x14ac:dyDescent="0.35"/>
    <row r="429" spans="1:53" s="236" customFormat="1" ht="21" x14ac:dyDescent="0.5">
      <c r="A429" s="236" t="s">
        <v>136</v>
      </c>
    </row>
    <row r="432" spans="1:53" x14ac:dyDescent="0.35">
      <c r="A432" s="331" t="s">
        <v>131</v>
      </c>
      <c r="B432" s="331"/>
      <c r="C432" s="331"/>
      <c r="D432" s="331"/>
      <c r="E432" s="331"/>
      <c r="F432" s="331"/>
      <c r="G432" s="331"/>
      <c r="H432" s="331"/>
      <c r="I432" s="331"/>
      <c r="J432" s="331"/>
      <c r="K432" s="331"/>
    </row>
    <row r="433" spans="1:11" x14ac:dyDescent="0.35">
      <c r="A433" s="6" t="s">
        <v>132</v>
      </c>
    </row>
    <row r="434" spans="1:11" x14ac:dyDescent="0.35">
      <c r="B434" s="6" t="s">
        <v>889</v>
      </c>
      <c r="C434" s="6" t="s">
        <v>891</v>
      </c>
      <c r="D434" s="6" t="s">
        <v>890</v>
      </c>
      <c r="E434" s="6" t="s">
        <v>892</v>
      </c>
      <c r="F434" s="6" t="s">
        <v>893</v>
      </c>
      <c r="G434" s="6" t="s">
        <v>894</v>
      </c>
      <c r="H434" s="6" t="s">
        <v>896</v>
      </c>
      <c r="I434" s="6" t="s">
        <v>897</v>
      </c>
      <c r="J434" s="6" t="s">
        <v>895</v>
      </c>
    </row>
    <row r="435" spans="1:11" x14ac:dyDescent="0.35">
      <c r="A435" s="6" t="s">
        <v>117</v>
      </c>
      <c r="B435" s="6">
        <f>SUM(AC10:BA10)</f>
        <v>1.7797818670811004E-2</v>
      </c>
      <c r="C435" s="6">
        <f>SUM(AC50:BA50)</f>
        <v>1.6995353320054075E-2</v>
      </c>
      <c r="D435" s="6">
        <f>SUM(AC90:BA90)</f>
        <v>1.5356286610143191E-2</v>
      </c>
      <c r="E435" s="6">
        <f>SUM(AC132:BA132)</f>
        <v>1.7797818670811004E-2</v>
      </c>
      <c r="F435" s="6">
        <f>SUM(AC173:BA173)</f>
        <v>1.6995353320054075E-2</v>
      </c>
      <c r="G435" s="6">
        <f>SUM(AC214:BA214)</f>
        <v>1.5356286610143191E-2</v>
      </c>
      <c r="H435" s="6">
        <f>SUM(AC274:BA274)</f>
        <v>1.6817381364946159E-2</v>
      </c>
      <c r="I435" s="6">
        <f>SUM(AC334:BA334)</f>
        <v>1.6022769696651808E-2</v>
      </c>
      <c r="J435" s="6">
        <f>SUM(AC395:BA395)</f>
        <v>1.4402581514296518E-2</v>
      </c>
    </row>
    <row r="436" spans="1:11" x14ac:dyDescent="0.35">
      <c r="A436" s="6" t="s">
        <v>118</v>
      </c>
      <c r="B436" s="6">
        <f>SUM(AC11:BA11)</f>
        <v>1.057067915274905E-3</v>
      </c>
      <c r="C436" s="6">
        <f>SUM(AC51:BA51)</f>
        <v>9.9771112859395631E-4</v>
      </c>
      <c r="D436" s="6">
        <f>SUM(AC91:BA91)</f>
        <v>9.37129982231934E-4</v>
      </c>
      <c r="E436" s="6">
        <f>SUM(AC133:BA133)</f>
        <v>1.057067915274905E-3</v>
      </c>
      <c r="F436" s="6">
        <f>SUM(AC174:BA174)</f>
        <v>9.9771112859395631E-4</v>
      </c>
      <c r="G436" s="6">
        <f>SUM(AC215:BA215)</f>
        <v>9.37129982231934E-4</v>
      </c>
      <c r="H436" s="6">
        <f t="shared" ref="H436:H444" si="63">SUM(AC275:BA275)</f>
        <v>5.2853395763745249E-4</v>
      </c>
      <c r="I436" s="6">
        <f t="shared" ref="I436:I444" si="64">SUM(AC335:BA335)</f>
        <v>4.9885556429697816E-4</v>
      </c>
      <c r="J436" s="6">
        <f t="shared" ref="J436:J444" si="65">SUM(AC396:BA396)</f>
        <v>4.68564991115967E-4</v>
      </c>
    </row>
    <row r="437" spans="1:11" x14ac:dyDescent="0.35">
      <c r="A437" s="6" t="s">
        <v>119</v>
      </c>
      <c r="B437" s="6">
        <f>SUM(AC12:BA12)</f>
        <v>1.5084924361783567E-4</v>
      </c>
      <c r="C437" s="6">
        <f>SUM(AC52:BA52)</f>
        <v>1.3822951601734481E-4</v>
      </c>
      <c r="D437" s="6">
        <f>SUM(AC92:BA92)</f>
        <v>1.321106762411555E-4</v>
      </c>
      <c r="E437" s="6">
        <f>SUM(AC134:BA134)</f>
        <v>1.5084924361783567E-4</v>
      </c>
      <c r="F437" s="6">
        <f>SUM(AC175:BA175)</f>
        <v>1.3822951601734481E-4</v>
      </c>
      <c r="G437" s="6">
        <f>SUM(AC216:BA216)</f>
        <v>1.321106762411555E-4</v>
      </c>
      <c r="H437" s="6">
        <f t="shared" si="63"/>
        <v>1.5084924361783567E-4</v>
      </c>
      <c r="I437" s="6">
        <f t="shared" si="64"/>
        <v>1.3822951601734481E-4</v>
      </c>
      <c r="J437" s="6">
        <f t="shared" si="65"/>
        <v>1.321106762411555E-4</v>
      </c>
    </row>
    <row r="438" spans="1:11" x14ac:dyDescent="0.35">
      <c r="A438" s="6" t="s">
        <v>120</v>
      </c>
      <c r="B438" s="6">
        <f>SUM(AC13:BA13)</f>
        <v>5.1688461306668095E-6</v>
      </c>
      <c r="C438" s="6">
        <f>SUM(AC53:BA53)</f>
        <v>4.9710056260593857E-6</v>
      </c>
      <c r="D438" s="6">
        <f>SUM(AC93:BA93)</f>
        <v>4.8662670395198596E-6</v>
      </c>
      <c r="E438" s="6">
        <f>SUM(AC135:BA135)</f>
        <v>5.1688461306668095E-6</v>
      </c>
      <c r="F438" s="6">
        <f>SUM(AC176:BA176)</f>
        <v>4.9710056260593857E-6</v>
      </c>
      <c r="G438" s="6">
        <f>SUM(AC217:BA217)</f>
        <v>4.8662670395198596E-6</v>
      </c>
      <c r="H438" s="6">
        <f t="shared" si="63"/>
        <v>2.5844230653334048E-6</v>
      </c>
      <c r="I438" s="6">
        <f t="shared" si="64"/>
        <v>2.4855028130296928E-6</v>
      </c>
      <c r="J438" s="6">
        <f t="shared" si="65"/>
        <v>2.4331335197599298E-6</v>
      </c>
    </row>
    <row r="439" spans="1:11" x14ac:dyDescent="0.35">
      <c r="A439" s="6" t="s">
        <v>121</v>
      </c>
      <c r="B439" s="6">
        <f>SUM(AC14:BA14)</f>
        <v>2.7145066530142518E-3</v>
      </c>
      <c r="C439" s="6">
        <f>SUM(AC54:BA54)</f>
        <v>2.4088690054528128E-3</v>
      </c>
      <c r="D439" s="6">
        <f>SUM(AC94:BA94)</f>
        <v>2.1591426604995172E-3</v>
      </c>
      <c r="E439" s="6">
        <f>SUM(AC136:BA136)</f>
        <v>2.7145066530142518E-3</v>
      </c>
      <c r="F439" s="6">
        <f>SUM(AC177:BA177)</f>
        <v>2.4088690054528128E-3</v>
      </c>
      <c r="G439" s="6">
        <f>SUM(AC218:BA218)</f>
        <v>2.1591426604995172E-3</v>
      </c>
      <c r="H439" s="6">
        <f t="shared" si="63"/>
        <v>2.7145066530142518E-3</v>
      </c>
      <c r="I439" s="6">
        <f t="shared" si="64"/>
        <v>2.4088690054528128E-3</v>
      </c>
      <c r="J439" s="6">
        <f t="shared" si="65"/>
        <v>2.1591426604995172E-3</v>
      </c>
    </row>
    <row r="440" spans="1:11" x14ac:dyDescent="0.35">
      <c r="A440" s="6" t="s">
        <v>800</v>
      </c>
      <c r="H440" s="6">
        <f t="shared" si="63"/>
        <v>5.91515884267391E-2</v>
      </c>
      <c r="I440" s="6">
        <f t="shared" si="64"/>
        <v>5.7104751510548758E-2</v>
      </c>
      <c r="J440" s="6">
        <f t="shared" si="65"/>
        <v>5.02183006814289E-2</v>
      </c>
    </row>
    <row r="441" spans="1:11" x14ac:dyDescent="0.35">
      <c r="A441" s="6" t="s">
        <v>122</v>
      </c>
      <c r="B441" s="6">
        <f>SUM(AC15:BA15)</f>
        <v>0.25008820369104801</v>
      </c>
      <c r="C441" s="6">
        <f>SUM(AC55:BA55)</f>
        <v>0.13270002063009217</v>
      </c>
      <c r="D441" s="6">
        <f>SUM(AC95:BA95)</f>
        <v>0.11451951659352382</v>
      </c>
      <c r="E441" s="6">
        <f>SUM(AC137:BA137)</f>
        <v>0.19989174079847266</v>
      </c>
      <c r="F441" s="6">
        <f>SUM(AC178:BA178)</f>
        <v>0.10946261096144556</v>
      </c>
      <c r="G441" s="6">
        <f>SUM(AC219:BA219)</f>
        <v>8.7856142504667986E-2</v>
      </c>
      <c r="H441" s="6">
        <f t="shared" si="63"/>
        <v>5.2204235875865923E-2</v>
      </c>
      <c r="I441" s="6">
        <f t="shared" si="64"/>
        <v>4.783662025218742E-2</v>
      </c>
      <c r="J441" s="6">
        <f t="shared" si="65"/>
        <v>4.5132175302988492E-2</v>
      </c>
    </row>
    <row r="442" spans="1:11" x14ac:dyDescent="0.35">
      <c r="A442" s="6" t="s">
        <v>123</v>
      </c>
      <c r="B442" s="6">
        <f>SUM(AC16:BA16)</f>
        <v>2.0558033621895209E-2</v>
      </c>
      <c r="C442" s="6">
        <f>SUM(AC56:BA56)</f>
        <v>1.162941005948929E-2</v>
      </c>
      <c r="D442" s="6">
        <f>SUM(AC96:BA96)</f>
        <v>9.4339484455627873E-3</v>
      </c>
      <c r="E442" s="6">
        <f>SUM(AC138:BA138)</f>
        <v>2.0558033621895209E-2</v>
      </c>
      <c r="F442" s="6">
        <f>SUM(AC179:BA179)</f>
        <v>1.162941005948929E-2</v>
      </c>
      <c r="G442" s="6">
        <f>SUM(AC220:BA220)</f>
        <v>9.4339484455627873E-3</v>
      </c>
      <c r="H442" s="6">
        <f t="shared" si="63"/>
        <v>1.0279016810947604E-2</v>
      </c>
      <c r="I442" s="6">
        <f t="shared" si="64"/>
        <v>5.814705029744645E-3</v>
      </c>
      <c r="J442" s="6">
        <f t="shared" si="65"/>
        <v>4.7169742227813937E-3</v>
      </c>
    </row>
    <row r="443" spans="1:11" x14ac:dyDescent="0.35">
      <c r="A443" s="6" t="s">
        <v>124</v>
      </c>
      <c r="B443" s="6">
        <f>SUM(AC17:BA17)</f>
        <v>-0.2029999999999999</v>
      </c>
      <c r="C443" s="6">
        <f>SUM(AC57:BA57)</f>
        <v>-0.2029999999999999</v>
      </c>
      <c r="D443" s="6">
        <f>SUM(AC97:BA97)</f>
        <v>-0.2029999999999999</v>
      </c>
      <c r="E443" s="6">
        <f>SUM(AC139:BA139)</f>
        <v>-0.2029999999999999</v>
      </c>
      <c r="F443" s="6">
        <f>SUM(AC180:BA180)</f>
        <v>-0.2029999999999999</v>
      </c>
      <c r="G443" s="6">
        <f>SUM(AC221:BA221)</f>
        <v>-0.2029999999999999</v>
      </c>
      <c r="H443" s="6">
        <f t="shared" si="63"/>
        <v>-0.10149999999999995</v>
      </c>
      <c r="I443" s="6">
        <f t="shared" si="64"/>
        <v>-0.10149999999999995</v>
      </c>
      <c r="J443" s="6">
        <f t="shared" si="65"/>
        <v>-0.10149999999999995</v>
      </c>
    </row>
    <row r="444" spans="1:11" x14ac:dyDescent="0.35">
      <c r="A444" s="6" t="s">
        <v>137</v>
      </c>
      <c r="B444" s="6">
        <f>SUM(AC18:BA18)</f>
        <v>8.9371648641791923E-2</v>
      </c>
      <c r="C444" s="6">
        <f>SUM(AC58:BA58)</f>
        <v>-3.8125435334674253E-2</v>
      </c>
      <c r="D444" s="6">
        <f>SUM(AC98:BA98)</f>
        <v>-6.0456998764758046E-2</v>
      </c>
      <c r="E444" s="6">
        <f>SUM(AC140:BA140)</f>
        <v>3.9175185749216607E-2</v>
      </c>
      <c r="F444" s="6">
        <f>SUM(AC181:BA181)</f>
        <v>-6.1362845003320864E-2</v>
      </c>
      <c r="G444" s="6">
        <f>SUM(AC222:BA222)</f>
        <v>-8.7120372853613848E-2</v>
      </c>
      <c r="H444" s="6">
        <f t="shared" si="63"/>
        <v>4.0348696755833677E-2</v>
      </c>
      <c r="I444" s="6">
        <f t="shared" si="64"/>
        <v>2.8327286077712788E-2</v>
      </c>
      <c r="J444" s="6">
        <f t="shared" si="65"/>
        <v>1.5732283182871742E-2</v>
      </c>
    </row>
    <row r="446" spans="1:11" x14ac:dyDescent="0.35">
      <c r="A446" s="331" t="s">
        <v>133</v>
      </c>
      <c r="B446" s="331"/>
      <c r="C446" s="331"/>
      <c r="D446" s="331"/>
      <c r="E446" s="331"/>
      <c r="F446" s="331"/>
      <c r="G446" s="331"/>
      <c r="H446" s="331"/>
      <c r="I446" s="331"/>
      <c r="J446" s="331"/>
      <c r="K446" s="331"/>
    </row>
    <row r="447" spans="1:11" x14ac:dyDescent="0.35">
      <c r="A447" s="6" t="s">
        <v>134</v>
      </c>
    </row>
    <row r="448" spans="1:11" x14ac:dyDescent="0.35">
      <c r="B448" s="6" t="s">
        <v>889</v>
      </c>
      <c r="C448" s="6" t="s">
        <v>891</v>
      </c>
      <c r="D448" s="6" t="s">
        <v>890</v>
      </c>
      <c r="E448" s="6" t="s">
        <v>892</v>
      </c>
      <c r="F448" s="6" t="s">
        <v>893</v>
      </c>
      <c r="G448" s="6" t="s">
        <v>894</v>
      </c>
      <c r="H448" s="6" t="s">
        <v>896</v>
      </c>
      <c r="I448" s="6" t="s">
        <v>897</v>
      </c>
      <c r="J448" s="6" t="s">
        <v>895</v>
      </c>
    </row>
    <row r="449" spans="1:11" x14ac:dyDescent="0.35">
      <c r="A449" s="6" t="s">
        <v>117</v>
      </c>
      <c r="B449" s="6">
        <f>B435/25</f>
        <v>7.1191274683244017E-4</v>
      </c>
      <c r="C449" s="6">
        <f t="shared" ref="C449:J449" si="66">C435/25</f>
        <v>6.7981413280216298E-4</v>
      </c>
      <c r="D449" s="6">
        <f t="shared" si="66"/>
        <v>6.1425146440572764E-4</v>
      </c>
      <c r="E449" s="6">
        <f t="shared" si="66"/>
        <v>7.1191274683244017E-4</v>
      </c>
      <c r="F449" s="6">
        <f t="shared" si="66"/>
        <v>6.7981413280216298E-4</v>
      </c>
      <c r="G449" s="6">
        <f t="shared" si="66"/>
        <v>6.1425146440572764E-4</v>
      </c>
      <c r="H449" s="6">
        <f t="shared" si="66"/>
        <v>6.7269525459784634E-4</v>
      </c>
      <c r="I449" s="6">
        <f t="shared" si="66"/>
        <v>6.4091078786607236E-4</v>
      </c>
      <c r="J449" s="6">
        <f t="shared" si="66"/>
        <v>5.7610326057186076E-4</v>
      </c>
    </row>
    <row r="450" spans="1:11" x14ac:dyDescent="0.35">
      <c r="A450" s="6" t="s">
        <v>118</v>
      </c>
      <c r="B450" s="6">
        <f t="shared" ref="B450:J458" si="67">B436/25</f>
        <v>4.2282716610996196E-5</v>
      </c>
      <c r="C450" s="6">
        <f t="shared" si="67"/>
        <v>3.9908445143758251E-5</v>
      </c>
      <c r="D450" s="6">
        <f t="shared" si="67"/>
        <v>3.7485199289277359E-5</v>
      </c>
      <c r="E450" s="6">
        <f t="shared" si="67"/>
        <v>4.2282716610996196E-5</v>
      </c>
      <c r="F450" s="6">
        <f t="shared" si="67"/>
        <v>3.9908445143758251E-5</v>
      </c>
      <c r="G450" s="6">
        <f t="shared" si="67"/>
        <v>3.7485199289277359E-5</v>
      </c>
      <c r="H450" s="6">
        <f t="shared" si="67"/>
        <v>2.1141358305498098E-5</v>
      </c>
      <c r="I450" s="6">
        <f t="shared" si="67"/>
        <v>1.9954222571879125E-5</v>
      </c>
      <c r="J450" s="6">
        <f t="shared" si="67"/>
        <v>1.874259964463868E-5</v>
      </c>
    </row>
    <row r="451" spans="1:11" x14ac:dyDescent="0.35">
      <c r="A451" s="6" t="s">
        <v>119</v>
      </c>
      <c r="B451" s="6">
        <f t="shared" si="67"/>
        <v>6.0339697447134267E-6</v>
      </c>
      <c r="C451" s="6">
        <f t="shared" si="67"/>
        <v>5.5291806406937924E-6</v>
      </c>
      <c r="D451" s="6">
        <f t="shared" si="67"/>
        <v>5.28442704964622E-6</v>
      </c>
      <c r="E451" s="6">
        <f t="shared" si="67"/>
        <v>6.0339697447134267E-6</v>
      </c>
      <c r="F451" s="6">
        <f t="shared" si="67"/>
        <v>5.5291806406937924E-6</v>
      </c>
      <c r="G451" s="6">
        <f t="shared" si="67"/>
        <v>5.28442704964622E-6</v>
      </c>
      <c r="H451" s="6">
        <f t="shared" si="67"/>
        <v>6.0339697447134267E-6</v>
      </c>
      <c r="I451" s="6">
        <f t="shared" si="67"/>
        <v>5.5291806406937924E-6</v>
      </c>
      <c r="J451" s="6">
        <f t="shared" si="67"/>
        <v>5.28442704964622E-6</v>
      </c>
    </row>
    <row r="452" spans="1:11" x14ac:dyDescent="0.35">
      <c r="A452" s="6" t="s">
        <v>120</v>
      </c>
      <c r="B452" s="6">
        <f t="shared" si="67"/>
        <v>2.0675384522667239E-7</v>
      </c>
      <c r="C452" s="6">
        <f t="shared" si="67"/>
        <v>1.9884022504237544E-7</v>
      </c>
      <c r="D452" s="6">
        <f t="shared" si="67"/>
        <v>1.9465068158079439E-7</v>
      </c>
      <c r="E452" s="6">
        <f t="shared" si="67"/>
        <v>2.0675384522667239E-7</v>
      </c>
      <c r="F452" s="6">
        <f t="shared" si="67"/>
        <v>1.9884022504237544E-7</v>
      </c>
      <c r="G452" s="6">
        <f t="shared" si="67"/>
        <v>1.9465068158079439E-7</v>
      </c>
      <c r="H452" s="6">
        <f t="shared" si="67"/>
        <v>1.0337692261333619E-7</v>
      </c>
      <c r="I452" s="6">
        <f t="shared" si="67"/>
        <v>9.9420112521187719E-8</v>
      </c>
      <c r="J452" s="6">
        <f t="shared" si="67"/>
        <v>9.7325340790397196E-8</v>
      </c>
    </row>
    <row r="453" spans="1:11" x14ac:dyDescent="0.35">
      <c r="A453" s="6" t="s">
        <v>121</v>
      </c>
      <c r="B453" s="6">
        <f t="shared" si="67"/>
        <v>1.0858026612057007E-4</v>
      </c>
      <c r="C453" s="6">
        <f t="shared" si="67"/>
        <v>9.6354760218112507E-5</v>
      </c>
      <c r="D453" s="6">
        <f t="shared" si="67"/>
        <v>8.6365706419980689E-5</v>
      </c>
      <c r="E453" s="6">
        <f t="shared" si="67"/>
        <v>1.0858026612057007E-4</v>
      </c>
      <c r="F453" s="6">
        <f t="shared" si="67"/>
        <v>9.6354760218112507E-5</v>
      </c>
      <c r="G453" s="6">
        <f t="shared" si="67"/>
        <v>8.6365706419980689E-5</v>
      </c>
      <c r="H453" s="6">
        <f t="shared" si="67"/>
        <v>1.0858026612057007E-4</v>
      </c>
      <c r="I453" s="6">
        <f t="shared" si="67"/>
        <v>9.6354760218112507E-5</v>
      </c>
      <c r="J453" s="6">
        <f t="shared" si="67"/>
        <v>8.6365706419980689E-5</v>
      </c>
    </row>
    <row r="454" spans="1:11" x14ac:dyDescent="0.35">
      <c r="A454" s="6" t="s">
        <v>800</v>
      </c>
      <c r="B454" s="6">
        <f t="shared" si="67"/>
        <v>0</v>
      </c>
      <c r="C454" s="6">
        <f t="shared" si="67"/>
        <v>0</v>
      </c>
      <c r="D454" s="6">
        <f t="shared" si="67"/>
        <v>0</v>
      </c>
      <c r="E454" s="6">
        <f t="shared" si="67"/>
        <v>0</v>
      </c>
      <c r="F454" s="6">
        <f t="shared" si="67"/>
        <v>0</v>
      </c>
      <c r="G454" s="6">
        <f t="shared" si="67"/>
        <v>0</v>
      </c>
      <c r="H454" s="6">
        <f t="shared" si="67"/>
        <v>2.366063537069564E-3</v>
      </c>
      <c r="I454" s="6">
        <f t="shared" si="67"/>
        <v>2.2841900604219502E-3</v>
      </c>
      <c r="J454" s="6">
        <f t="shared" si="67"/>
        <v>2.0087320272571558E-3</v>
      </c>
    </row>
    <row r="455" spans="1:11" x14ac:dyDescent="0.35">
      <c r="A455" s="6" t="s">
        <v>122</v>
      </c>
      <c r="B455" s="6">
        <f t="shared" si="67"/>
        <v>1.0003528147641921E-2</v>
      </c>
      <c r="C455" s="6">
        <f t="shared" si="67"/>
        <v>5.3080008252036869E-3</v>
      </c>
      <c r="D455" s="6">
        <f t="shared" si="67"/>
        <v>4.5807806637409524E-3</v>
      </c>
      <c r="E455" s="6">
        <f t="shared" si="67"/>
        <v>7.9956696319389061E-3</v>
      </c>
      <c r="F455" s="6">
        <f t="shared" si="67"/>
        <v>4.3785044384578222E-3</v>
      </c>
      <c r="G455" s="6">
        <f t="shared" si="67"/>
        <v>3.5142457001867194E-3</v>
      </c>
      <c r="H455" s="6">
        <f t="shared" si="67"/>
        <v>2.0881694350346367E-3</v>
      </c>
      <c r="I455" s="6">
        <f t="shared" si="67"/>
        <v>1.9134648100874968E-3</v>
      </c>
      <c r="J455" s="6">
        <f t="shared" si="67"/>
        <v>1.8052870121195398E-3</v>
      </c>
    </row>
    <row r="456" spans="1:11" x14ac:dyDescent="0.35">
      <c r="A456" s="6" t="s">
        <v>123</v>
      </c>
      <c r="B456" s="6">
        <f t="shared" si="67"/>
        <v>8.2232134487580835E-4</v>
      </c>
      <c r="C456" s="6">
        <f t="shared" si="67"/>
        <v>4.6517640237957159E-4</v>
      </c>
      <c r="D456" s="6">
        <f t="shared" si="67"/>
        <v>3.7735793782251147E-4</v>
      </c>
      <c r="E456" s="6">
        <f t="shared" si="67"/>
        <v>8.2232134487580835E-4</v>
      </c>
      <c r="F456" s="6">
        <f t="shared" si="67"/>
        <v>4.6517640237957159E-4</v>
      </c>
      <c r="G456" s="6">
        <f t="shared" si="67"/>
        <v>3.7735793782251147E-4</v>
      </c>
      <c r="H456" s="6">
        <f t="shared" si="67"/>
        <v>4.1116067243790417E-4</v>
      </c>
      <c r="I456" s="6">
        <f t="shared" si="67"/>
        <v>2.325882011897858E-4</v>
      </c>
      <c r="J456" s="6">
        <f t="shared" si="67"/>
        <v>1.8867896891125574E-4</v>
      </c>
    </row>
    <row r="457" spans="1:11" x14ac:dyDescent="0.35">
      <c r="A457" s="6" t="s">
        <v>124</v>
      </c>
      <c r="B457" s="6">
        <f t="shared" si="67"/>
        <v>-8.1199999999999953E-3</v>
      </c>
      <c r="C457" s="6">
        <f t="shared" si="67"/>
        <v>-8.1199999999999953E-3</v>
      </c>
      <c r="D457" s="6">
        <f t="shared" si="67"/>
        <v>-8.1199999999999953E-3</v>
      </c>
      <c r="E457" s="6">
        <f t="shared" si="67"/>
        <v>-8.1199999999999953E-3</v>
      </c>
      <c r="F457" s="6">
        <f t="shared" si="67"/>
        <v>-8.1199999999999953E-3</v>
      </c>
      <c r="G457" s="6">
        <f t="shared" si="67"/>
        <v>-8.1199999999999953E-3</v>
      </c>
      <c r="H457" s="6">
        <f t="shared" si="67"/>
        <v>-4.0599999999999976E-3</v>
      </c>
      <c r="I457" s="6">
        <f t="shared" si="67"/>
        <v>-4.0599999999999976E-3</v>
      </c>
      <c r="J457" s="6">
        <f t="shared" si="67"/>
        <v>-4.0599999999999976E-3</v>
      </c>
    </row>
    <row r="458" spans="1:11" x14ac:dyDescent="0.35">
      <c r="A458" s="6" t="s">
        <v>137</v>
      </c>
      <c r="B458" s="6">
        <f t="shared" si="67"/>
        <v>3.5748659456716768E-3</v>
      </c>
      <c r="C458" s="6">
        <f t="shared" si="67"/>
        <v>-1.5250174133869701E-3</v>
      </c>
      <c r="D458" s="6">
        <f t="shared" si="67"/>
        <v>-2.4182799505903219E-3</v>
      </c>
      <c r="E458" s="6">
        <f t="shared" si="67"/>
        <v>1.5670074299686642E-3</v>
      </c>
      <c r="F458" s="6">
        <f t="shared" si="67"/>
        <v>-2.4545138001328347E-3</v>
      </c>
      <c r="G458" s="6">
        <f t="shared" si="67"/>
        <v>-3.484814914144554E-3</v>
      </c>
      <c r="H458" s="6">
        <f t="shared" si="67"/>
        <v>1.6139478702333471E-3</v>
      </c>
      <c r="I458" s="6">
        <f t="shared" si="67"/>
        <v>1.1330914431085116E-3</v>
      </c>
      <c r="J458" s="6">
        <f t="shared" si="67"/>
        <v>6.2929132731486968E-4</v>
      </c>
    </row>
    <row r="461" spans="1:11" x14ac:dyDescent="0.35">
      <c r="A461" s="331" t="s">
        <v>135</v>
      </c>
      <c r="B461" s="331"/>
      <c r="C461" s="331"/>
      <c r="D461" s="331"/>
      <c r="E461" s="331"/>
      <c r="F461" s="331"/>
      <c r="G461" s="331"/>
      <c r="H461" s="331"/>
      <c r="I461" s="331"/>
      <c r="J461" s="331"/>
      <c r="K461" s="331"/>
    </row>
    <row r="462" spans="1:11" x14ac:dyDescent="0.35">
      <c r="A462" s="6" t="s">
        <v>138</v>
      </c>
    </row>
    <row r="463" spans="1:11" x14ac:dyDescent="0.35">
      <c r="A463" s="6" t="s">
        <v>139</v>
      </c>
      <c r="B463" s="6">
        <v>100</v>
      </c>
      <c r="C463" s="6" t="s">
        <v>128</v>
      </c>
    </row>
    <row r="464" spans="1:11" x14ac:dyDescent="0.35">
      <c r="A464" s="6" t="s">
        <v>140</v>
      </c>
      <c r="B464" s="6">
        <v>50</v>
      </c>
      <c r="C464" s="6" t="s">
        <v>128</v>
      </c>
    </row>
    <row r="466" spans="1:12" x14ac:dyDescent="0.35">
      <c r="B466" s="6" t="s">
        <v>889</v>
      </c>
      <c r="C466" s="6" t="s">
        <v>891</v>
      </c>
      <c r="D466" s="6" t="s">
        <v>890</v>
      </c>
      <c r="E466" s="6" t="s">
        <v>892</v>
      </c>
      <c r="F466" s="6" t="s">
        <v>893</v>
      </c>
      <c r="G466" s="6" t="s">
        <v>894</v>
      </c>
      <c r="H466" s="6" t="s">
        <v>896</v>
      </c>
      <c r="I466" s="6" t="s">
        <v>897</v>
      </c>
      <c r="J466" s="6" t="s">
        <v>895</v>
      </c>
    </row>
    <row r="467" spans="1:12" x14ac:dyDescent="0.35">
      <c r="A467" s="6" t="s">
        <v>117</v>
      </c>
      <c r="B467" s="6">
        <f t="shared" ref="B467:G467" si="68">B449/$B$463</f>
        <v>7.119127468324402E-6</v>
      </c>
      <c r="C467" s="6">
        <f t="shared" si="68"/>
        <v>6.79814132802163E-6</v>
      </c>
      <c r="D467" s="6">
        <f t="shared" si="68"/>
        <v>6.1425146440572766E-6</v>
      </c>
      <c r="E467" s="6">
        <f t="shared" si="68"/>
        <v>7.119127468324402E-6</v>
      </c>
      <c r="F467" s="6">
        <f t="shared" si="68"/>
        <v>6.79814132802163E-6</v>
      </c>
      <c r="G467" s="6">
        <f t="shared" si="68"/>
        <v>6.1425146440572766E-6</v>
      </c>
      <c r="H467" s="6">
        <f>H449/$B$464</f>
        <v>1.3453905091956926E-5</v>
      </c>
      <c r="I467" s="6">
        <f>I449/$B$464</f>
        <v>1.2818215757321448E-5</v>
      </c>
      <c r="J467" s="6">
        <f>J449/$B$464</f>
        <v>1.1522065211437215E-5</v>
      </c>
    </row>
    <row r="468" spans="1:12" x14ac:dyDescent="0.35">
      <c r="A468" s="6" t="s">
        <v>118</v>
      </c>
      <c r="B468" s="6">
        <f t="shared" ref="B468:G476" si="69">B450/$B$463</f>
        <v>4.2282716610996195E-7</v>
      </c>
      <c r="C468" s="6">
        <f t="shared" si="69"/>
        <v>3.9908445143758251E-7</v>
      </c>
      <c r="D468" s="6">
        <f t="shared" si="69"/>
        <v>3.748519928927736E-7</v>
      </c>
      <c r="E468" s="6">
        <f t="shared" si="69"/>
        <v>4.2282716610996195E-7</v>
      </c>
      <c r="F468" s="6">
        <f t="shared" si="69"/>
        <v>3.9908445143758251E-7</v>
      </c>
      <c r="G468" s="6">
        <f t="shared" si="69"/>
        <v>3.748519928927736E-7</v>
      </c>
      <c r="H468" s="6">
        <f t="shared" ref="H468:J476" si="70">H450/$B$464</f>
        <v>4.2282716610996195E-7</v>
      </c>
      <c r="I468" s="6">
        <f t="shared" si="70"/>
        <v>3.9908445143758251E-7</v>
      </c>
      <c r="J468" s="6">
        <f t="shared" si="70"/>
        <v>3.748519928927736E-7</v>
      </c>
    </row>
    <row r="469" spans="1:12" x14ac:dyDescent="0.35">
      <c r="A469" s="6" t="s">
        <v>119</v>
      </c>
      <c r="B469" s="6">
        <f t="shared" si="69"/>
        <v>6.0339697447134263E-8</v>
      </c>
      <c r="C469" s="6">
        <f t="shared" si="69"/>
        <v>5.5291806406937922E-8</v>
      </c>
      <c r="D469" s="6">
        <f t="shared" si="69"/>
        <v>5.2844270496462203E-8</v>
      </c>
      <c r="E469" s="6">
        <f t="shared" si="69"/>
        <v>6.0339697447134263E-8</v>
      </c>
      <c r="F469" s="6">
        <f t="shared" si="69"/>
        <v>5.5291806406937922E-8</v>
      </c>
      <c r="G469" s="6">
        <f t="shared" si="69"/>
        <v>5.2844270496462203E-8</v>
      </c>
      <c r="H469" s="6">
        <f t="shared" si="70"/>
        <v>1.2067939489426853E-7</v>
      </c>
      <c r="I469" s="6">
        <f t="shared" si="70"/>
        <v>1.1058361281387584E-7</v>
      </c>
      <c r="J469" s="6">
        <f t="shared" si="70"/>
        <v>1.0568854099292441E-7</v>
      </c>
    </row>
    <row r="470" spans="1:12" x14ac:dyDescent="0.35">
      <c r="A470" s="6" t="s">
        <v>120</v>
      </c>
      <c r="B470" s="6">
        <f t="shared" si="69"/>
        <v>2.0675384522667239E-9</v>
      </c>
      <c r="C470" s="6">
        <f t="shared" si="69"/>
        <v>1.9884022504237545E-9</v>
      </c>
      <c r="D470" s="6">
        <f t="shared" si="69"/>
        <v>1.9465068158079438E-9</v>
      </c>
      <c r="E470" s="6">
        <f t="shared" si="69"/>
        <v>2.0675384522667239E-9</v>
      </c>
      <c r="F470" s="6">
        <f t="shared" si="69"/>
        <v>1.9884022504237545E-9</v>
      </c>
      <c r="G470" s="6">
        <f t="shared" si="69"/>
        <v>1.9465068158079438E-9</v>
      </c>
      <c r="H470" s="6">
        <f t="shared" si="70"/>
        <v>2.0675384522667239E-9</v>
      </c>
      <c r="I470" s="6">
        <f t="shared" si="70"/>
        <v>1.9884022504237545E-9</v>
      </c>
      <c r="J470" s="6">
        <f t="shared" si="70"/>
        <v>1.9465068158079438E-9</v>
      </c>
    </row>
    <row r="471" spans="1:12" x14ac:dyDescent="0.35">
      <c r="A471" s="6" t="s">
        <v>121</v>
      </c>
      <c r="B471" s="6">
        <f t="shared" si="69"/>
        <v>1.0858026612057007E-6</v>
      </c>
      <c r="C471" s="6">
        <f t="shared" si="69"/>
        <v>9.6354760218112514E-7</v>
      </c>
      <c r="D471" s="6">
        <f t="shared" si="69"/>
        <v>8.636570641998069E-7</v>
      </c>
      <c r="E471" s="6">
        <f t="shared" si="69"/>
        <v>1.0858026612057007E-6</v>
      </c>
      <c r="F471" s="6">
        <f t="shared" si="69"/>
        <v>9.6354760218112514E-7</v>
      </c>
      <c r="G471" s="6">
        <f t="shared" si="69"/>
        <v>8.636570641998069E-7</v>
      </c>
      <c r="H471" s="6">
        <f t="shared" si="70"/>
        <v>2.1716053224114015E-6</v>
      </c>
      <c r="I471" s="6">
        <f t="shared" si="70"/>
        <v>1.9270952043622503E-6</v>
      </c>
      <c r="J471" s="6">
        <f t="shared" si="70"/>
        <v>1.7273141283996138E-6</v>
      </c>
    </row>
    <row r="472" spans="1:12" x14ac:dyDescent="0.35">
      <c r="A472" s="6" t="s">
        <v>800</v>
      </c>
      <c r="B472" s="6">
        <f t="shared" si="69"/>
        <v>0</v>
      </c>
      <c r="C472" s="6">
        <f t="shared" si="69"/>
        <v>0</v>
      </c>
      <c r="D472" s="6">
        <f t="shared" si="69"/>
        <v>0</v>
      </c>
      <c r="E472" s="6">
        <f t="shared" si="69"/>
        <v>0</v>
      </c>
      <c r="F472" s="6">
        <f t="shared" si="69"/>
        <v>0</v>
      </c>
      <c r="G472" s="6">
        <f t="shared" si="69"/>
        <v>0</v>
      </c>
      <c r="H472" s="6">
        <f t="shared" si="70"/>
        <v>4.7321270741391278E-5</v>
      </c>
      <c r="I472" s="6">
        <f t="shared" si="70"/>
        <v>4.5683801208439007E-5</v>
      </c>
      <c r="J472" s="6">
        <f t="shared" si="70"/>
        <v>4.0174640545143116E-5</v>
      </c>
    </row>
    <row r="473" spans="1:12" x14ac:dyDescent="0.35">
      <c r="A473" s="6" t="s">
        <v>122</v>
      </c>
      <c r="B473" s="6">
        <f t="shared" si="69"/>
        <v>1.0003528147641921E-4</v>
      </c>
      <c r="C473" s="6">
        <f t="shared" si="69"/>
        <v>5.3080008252036871E-5</v>
      </c>
      <c r="D473" s="6">
        <f t="shared" si="69"/>
        <v>4.5807806637409527E-5</v>
      </c>
      <c r="E473" s="6">
        <f t="shared" si="69"/>
        <v>7.9956696319389062E-5</v>
      </c>
      <c r="F473" s="6">
        <f t="shared" si="69"/>
        <v>4.3785044384578222E-5</v>
      </c>
      <c r="G473" s="6">
        <f t="shared" si="69"/>
        <v>3.5142457001867193E-5</v>
      </c>
      <c r="H473" s="6">
        <f t="shared" si="70"/>
        <v>4.1763388700692733E-5</v>
      </c>
      <c r="I473" s="6">
        <f t="shared" si="70"/>
        <v>3.8269296201749938E-5</v>
      </c>
      <c r="J473" s="6">
        <f t="shared" si="70"/>
        <v>3.6105740242390795E-5</v>
      </c>
      <c r="L473" s="1"/>
    </row>
    <row r="474" spans="1:12" x14ac:dyDescent="0.35">
      <c r="A474" s="6" t="s">
        <v>123</v>
      </c>
      <c r="B474" s="6">
        <f t="shared" si="69"/>
        <v>8.2232134487580843E-6</v>
      </c>
      <c r="C474" s="6">
        <f t="shared" si="69"/>
        <v>4.651764023795716E-6</v>
      </c>
      <c r="D474" s="6">
        <f t="shared" si="69"/>
        <v>3.7735793782251148E-6</v>
      </c>
      <c r="E474" s="6">
        <f t="shared" si="69"/>
        <v>8.2232134487580843E-6</v>
      </c>
      <c r="F474" s="6">
        <f t="shared" si="69"/>
        <v>4.651764023795716E-6</v>
      </c>
      <c r="G474" s="6">
        <f t="shared" si="69"/>
        <v>3.7735793782251148E-6</v>
      </c>
      <c r="H474" s="6">
        <f t="shared" si="70"/>
        <v>8.2232134487580843E-6</v>
      </c>
      <c r="I474" s="6">
        <f t="shared" si="70"/>
        <v>4.651764023795716E-6</v>
      </c>
      <c r="J474" s="6">
        <f t="shared" si="70"/>
        <v>3.7735793782251148E-6</v>
      </c>
    </row>
    <row r="475" spans="1:12" x14ac:dyDescent="0.35">
      <c r="A475" s="6" t="s">
        <v>124</v>
      </c>
      <c r="B475" s="6">
        <f t="shared" si="69"/>
        <v>-8.1199999999999954E-5</v>
      </c>
      <c r="C475" s="6">
        <f t="shared" si="69"/>
        <v>-8.1199999999999954E-5</v>
      </c>
      <c r="D475" s="6">
        <f t="shared" si="69"/>
        <v>-8.1199999999999954E-5</v>
      </c>
      <c r="E475" s="6">
        <f t="shared" si="69"/>
        <v>-8.1199999999999954E-5</v>
      </c>
      <c r="F475" s="6">
        <f t="shared" si="69"/>
        <v>-8.1199999999999954E-5</v>
      </c>
      <c r="G475" s="6">
        <f t="shared" si="69"/>
        <v>-8.1199999999999954E-5</v>
      </c>
      <c r="H475" s="6">
        <f t="shared" si="70"/>
        <v>-8.1199999999999954E-5</v>
      </c>
      <c r="I475" s="6">
        <f t="shared" si="70"/>
        <v>-8.1199999999999954E-5</v>
      </c>
      <c r="J475" s="6">
        <f t="shared" si="70"/>
        <v>-8.1199999999999954E-5</v>
      </c>
    </row>
    <row r="476" spans="1:12" x14ac:dyDescent="0.35">
      <c r="A476" s="6" t="s">
        <v>137</v>
      </c>
      <c r="B476" s="6">
        <f t="shared" si="69"/>
        <v>3.574865945671677E-5</v>
      </c>
      <c r="C476" s="6">
        <f t="shared" si="69"/>
        <v>-1.5250174133869701E-5</v>
      </c>
      <c r="D476" s="6">
        <f t="shared" si="69"/>
        <v>-2.418279950590322E-5</v>
      </c>
      <c r="E476" s="6">
        <f t="shared" si="69"/>
        <v>1.5670074299686643E-5</v>
      </c>
      <c r="F476" s="6">
        <f t="shared" si="69"/>
        <v>-2.4545138001328348E-5</v>
      </c>
      <c r="G476" s="6">
        <f t="shared" si="69"/>
        <v>-3.4848149141445541E-5</v>
      </c>
      <c r="H476" s="6">
        <f t="shared" si="70"/>
        <v>3.2278957404666944E-5</v>
      </c>
      <c r="I476" s="6">
        <f t="shared" si="70"/>
        <v>2.2661828862170233E-5</v>
      </c>
      <c r="J476" s="6">
        <f t="shared" si="70"/>
        <v>1.2585826546297394E-5</v>
      </c>
    </row>
  </sheetData>
  <mergeCells count="3">
    <mergeCell ref="A461:K461"/>
    <mergeCell ref="A432:K432"/>
    <mergeCell ref="A446:K446"/>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C37DB-0627-4FEC-84AE-7F4EFE3D679C}">
  <sheetPr>
    <tabColor theme="5" tint="-0.249977111117893"/>
  </sheetPr>
  <dimension ref="A1:BC476"/>
  <sheetViews>
    <sheetView topLeftCell="X328" zoomScale="65" zoomScaleNormal="40" workbookViewId="0">
      <selection activeCell="Z241" sqref="Z241"/>
    </sheetView>
  </sheetViews>
  <sheetFormatPr defaultColWidth="8.54296875" defaultRowHeight="14.5" outlineLevelRow="1" x14ac:dyDescent="0.35"/>
  <cols>
    <col min="1" max="1" width="37.54296875" style="6" customWidth="1"/>
    <col min="2" max="2" width="16.453125" style="6" bestFit="1" customWidth="1"/>
    <col min="3" max="14" width="10.54296875" style="6" bestFit="1" customWidth="1"/>
    <col min="15" max="16" width="10.1796875" style="6" bestFit="1" customWidth="1"/>
    <col min="17" max="24" width="10.54296875" style="6" bestFit="1" customWidth="1"/>
    <col min="25" max="25" width="10.1796875" style="6" bestFit="1" customWidth="1"/>
    <col min="26" max="26" width="16.453125" style="6" bestFit="1" customWidth="1"/>
    <col min="27" max="27" width="8.54296875" style="6"/>
    <col min="28" max="28" width="35" style="6" bestFit="1" customWidth="1"/>
    <col min="29" max="29" width="16.453125" style="6" bestFit="1" customWidth="1"/>
    <col min="30" max="53" width="12.81640625" style="6" bestFit="1" customWidth="1"/>
    <col min="54" max="16384" width="8.54296875" style="6"/>
  </cols>
  <sheetData>
    <row r="1" spans="1:53" s="139" customFormat="1" ht="21" x14ac:dyDescent="0.5">
      <c r="A1" s="138" t="s">
        <v>688</v>
      </c>
    </row>
    <row r="2" spans="1:53" s="221" customFormat="1" ht="21" x14ac:dyDescent="0.5">
      <c r="A2" s="229" t="s">
        <v>849</v>
      </c>
    </row>
    <row r="3" spans="1:53" s="18" customFormat="1" ht="21" x14ac:dyDescent="0.5">
      <c r="A3" s="18" t="s">
        <v>72</v>
      </c>
    </row>
    <row r="4" spans="1:53" s="20" customFormat="1" outlineLevel="1" x14ac:dyDescent="0.35">
      <c r="A4" s="19" t="s">
        <v>767</v>
      </c>
    </row>
    <row r="5" spans="1:53" s="16" customFormat="1" outlineLevel="1" x14ac:dyDescent="0.35">
      <c r="A5" s="21"/>
      <c r="AA5" s="15"/>
      <c r="AB5" s="15" t="s">
        <v>143</v>
      </c>
      <c r="AC5" s="16">
        <f>0.000000000532+0.0000000000000145</f>
        <v>5.3201449999999999E-10</v>
      </c>
      <c r="AD5" s="16" t="s">
        <v>916</v>
      </c>
      <c r="AE5" s="15" t="s">
        <v>714</v>
      </c>
    </row>
    <row r="6" spans="1:53" s="16" customFormat="1" outlineLevel="1" x14ac:dyDescent="0.35">
      <c r="A6" s="22" t="s">
        <v>917</v>
      </c>
      <c r="AC6" s="16">
        <f>AC5*1000</f>
        <v>5.3201450000000003E-7</v>
      </c>
      <c r="AD6" s="16" t="s">
        <v>918</v>
      </c>
    </row>
    <row r="7" spans="1:53" s="16" customFormat="1" outlineLevel="1" x14ac:dyDescent="0.35">
      <c r="A7" s="22"/>
      <c r="AB7" s="16" t="s">
        <v>127</v>
      </c>
      <c r="AC7" s="16">
        <v>100</v>
      </c>
      <c r="AD7" s="16" t="s">
        <v>128</v>
      </c>
    </row>
    <row r="8" spans="1:53" s="16" customFormat="1" outlineLevel="1" x14ac:dyDescent="0.35">
      <c r="A8" s="22"/>
      <c r="AB8" s="16" t="s">
        <v>129</v>
      </c>
      <c r="AC8" s="16">
        <v>25</v>
      </c>
      <c r="AD8" s="16" t="s">
        <v>130</v>
      </c>
    </row>
    <row r="9" spans="1:53" outlineLevel="1" x14ac:dyDescent="0.35">
      <c r="B9" s="25">
        <v>2030</v>
      </c>
      <c r="C9" s="25">
        <v>2031</v>
      </c>
      <c r="D9" s="25">
        <v>2032</v>
      </c>
      <c r="E9" s="25">
        <v>2033</v>
      </c>
      <c r="F9" s="25">
        <v>2034</v>
      </c>
      <c r="G9" s="25">
        <v>2035</v>
      </c>
      <c r="H9" s="25">
        <v>2036</v>
      </c>
      <c r="I9" s="25">
        <v>2037</v>
      </c>
      <c r="J9" s="25">
        <v>2038</v>
      </c>
      <c r="K9" s="25">
        <v>2039</v>
      </c>
      <c r="L9" s="25">
        <v>2040</v>
      </c>
      <c r="M9" s="25">
        <v>2041</v>
      </c>
      <c r="N9" s="25">
        <v>2042</v>
      </c>
      <c r="O9" s="25">
        <v>2043</v>
      </c>
      <c r="P9" s="25">
        <v>2044</v>
      </c>
      <c r="Q9" s="25">
        <v>2045</v>
      </c>
      <c r="R9" s="25">
        <v>2046</v>
      </c>
      <c r="S9" s="25">
        <v>2047</v>
      </c>
      <c r="T9" s="25">
        <v>2048</v>
      </c>
      <c r="U9" s="25">
        <v>2049</v>
      </c>
      <c r="V9" s="25">
        <v>2050</v>
      </c>
      <c r="W9" s="25">
        <v>2051</v>
      </c>
      <c r="X9" s="25">
        <v>2052</v>
      </c>
      <c r="Y9" s="25">
        <v>2053</v>
      </c>
      <c r="Z9" s="25">
        <v>2054</v>
      </c>
      <c r="AC9" s="25">
        <v>2030</v>
      </c>
      <c r="AD9" s="25">
        <v>2031</v>
      </c>
      <c r="AE9" s="25">
        <v>2032</v>
      </c>
      <c r="AF9" s="25">
        <v>2033</v>
      </c>
      <c r="AG9" s="25">
        <v>2034</v>
      </c>
      <c r="AH9" s="25">
        <v>2035</v>
      </c>
      <c r="AI9" s="25">
        <v>2036</v>
      </c>
      <c r="AJ9" s="25">
        <v>2037</v>
      </c>
      <c r="AK9" s="25">
        <v>2038</v>
      </c>
      <c r="AL9" s="25">
        <v>2039</v>
      </c>
      <c r="AM9" s="25">
        <v>2040</v>
      </c>
      <c r="AN9" s="25">
        <v>2041</v>
      </c>
      <c r="AO9" s="25">
        <v>2042</v>
      </c>
      <c r="AP9" s="25">
        <v>2043</v>
      </c>
      <c r="AQ9" s="25">
        <v>2044</v>
      </c>
      <c r="AR9" s="25">
        <v>2045</v>
      </c>
      <c r="AS9" s="25">
        <v>2046</v>
      </c>
      <c r="AT9" s="25">
        <v>2047</v>
      </c>
      <c r="AU9" s="25">
        <v>2048</v>
      </c>
      <c r="AV9" s="25">
        <v>2049</v>
      </c>
      <c r="AW9" s="25">
        <v>2050</v>
      </c>
      <c r="AX9" s="25">
        <v>2051</v>
      </c>
      <c r="AY9" s="25">
        <v>2052</v>
      </c>
      <c r="AZ9" s="25">
        <v>2053</v>
      </c>
      <c r="BA9" s="25">
        <v>2054</v>
      </c>
    </row>
    <row r="10" spans="1:53" outlineLevel="1" x14ac:dyDescent="0.35">
      <c r="A10" s="6" t="s">
        <v>21</v>
      </c>
      <c r="B10" s="6">
        <f>'Results - raw data ReCiPe (I)'!AC5</f>
        <v>1.7330854305452959E-6</v>
      </c>
      <c r="AB10" s="6" t="s">
        <v>117</v>
      </c>
      <c r="AC10" s="6">
        <f>SUM(B10:B21)+B23</f>
        <v>1.0953239448160322E-4</v>
      </c>
    </row>
    <row r="11" spans="1:53" outlineLevel="1" x14ac:dyDescent="0.35">
      <c r="A11" s="6" t="s">
        <v>23</v>
      </c>
      <c r="B11" s="6">
        <f>'Results - raw data ReCiPe (I)'!AC6</f>
        <v>3.6963854350299402E-6</v>
      </c>
      <c r="AB11" s="6" t="s">
        <v>118</v>
      </c>
      <c r="AC11" s="6">
        <f>B22</f>
        <v>5.5821736600752947E-6</v>
      </c>
    </row>
    <row r="12" spans="1:53" outlineLevel="1" x14ac:dyDescent="0.35">
      <c r="A12" s="6" t="s">
        <v>26</v>
      </c>
      <c r="B12" s="6">
        <f>'Results - raw data ReCiPe (I)'!AC7</f>
        <v>8.1543373668989961E-6</v>
      </c>
      <c r="AB12" s="6" t="s">
        <v>119</v>
      </c>
      <c r="BA12" s="6">
        <f>SUM(Z24:Z35)</f>
        <v>1.2388121871278886E-6</v>
      </c>
    </row>
    <row r="13" spans="1:53" outlineLevel="1" x14ac:dyDescent="0.35">
      <c r="A13" s="6" t="s">
        <v>28</v>
      </c>
      <c r="B13" s="6">
        <f>'Results - raw data ReCiPe (I)'!AC8</f>
        <v>5.9818298247525386E-6</v>
      </c>
      <c r="AB13" s="6" t="s">
        <v>120</v>
      </c>
      <c r="BA13" s="6">
        <f>Z36</f>
        <v>3.8995886120102447E-8</v>
      </c>
    </row>
    <row r="14" spans="1:53" outlineLevel="1" x14ac:dyDescent="0.35">
      <c r="A14" s="6" t="s">
        <v>29</v>
      </c>
      <c r="B14" s="6">
        <f>'Results - raw data ReCiPe (I)'!AC9</f>
        <v>5.5602541263126201E-6</v>
      </c>
      <c r="AB14" s="6" t="s">
        <v>121</v>
      </c>
      <c r="AC14" s="6">
        <f>B37</f>
        <v>1.8923827854892541E-6</v>
      </c>
      <c r="AF14" s="6">
        <f>E37</f>
        <v>1.875504080673279E-6</v>
      </c>
      <c r="AI14" s="6">
        <f>H37</f>
        <v>1.8735069041771709E-6</v>
      </c>
      <c r="AL14" s="6">
        <f>K37</f>
        <v>1.879003812114612E-6</v>
      </c>
      <c r="AO14" s="6">
        <f>N37</f>
        <v>1.8953729876566431E-6</v>
      </c>
      <c r="AR14" s="6">
        <f>Q37</f>
        <v>1.91292243317761E-6</v>
      </c>
      <c r="AU14" s="6">
        <f>T37</f>
        <v>1.8919742403575121E-6</v>
      </c>
      <c r="AX14" s="6">
        <f>W37</f>
        <v>1.884095534967196E-6</v>
      </c>
      <c r="BA14" s="6">
        <f>Z37</f>
        <v>1.8435821555876251E-6</v>
      </c>
    </row>
    <row r="15" spans="1:53" outlineLevel="1" x14ac:dyDescent="0.35">
      <c r="A15" s="6" t="s">
        <v>31</v>
      </c>
      <c r="B15" s="6">
        <f>'Results - raw data ReCiPe (I)'!AC10</f>
        <v>4.5077788535705001E-6</v>
      </c>
      <c r="AB15" s="6" t="s">
        <v>122</v>
      </c>
      <c r="AC15" s="6">
        <f>B40+B39</f>
        <v>7.6760292985644457E-5</v>
      </c>
      <c r="AD15" s="6">
        <f t="shared" ref="AD15:BA15" si="0">C40+C39</f>
        <v>7.6218330522362946E-5</v>
      </c>
      <c r="AE15" s="6">
        <f t="shared" si="0"/>
        <v>7.5674307555447412E-5</v>
      </c>
      <c r="AF15" s="6">
        <f t="shared" si="0"/>
        <v>7.5080008757354359E-5</v>
      </c>
      <c r="AG15" s="6">
        <f t="shared" si="0"/>
        <v>7.4529715374332869E-5</v>
      </c>
      <c r="AH15" s="6">
        <f t="shared" si="0"/>
        <v>7.397720824083148E-5</v>
      </c>
      <c r="AI15" s="6">
        <f t="shared" si="0"/>
        <v>7.906362097607896E-5</v>
      </c>
      <c r="AJ15" s="6">
        <f t="shared" si="0"/>
        <v>8.4145715920012226E-5</v>
      </c>
      <c r="AK15" s="6">
        <f t="shared" si="0"/>
        <v>8.9192204664385804E-5</v>
      </c>
      <c r="AL15" s="6">
        <f t="shared" si="0"/>
        <v>9.427202500847303E-5</v>
      </c>
      <c r="AM15" s="6">
        <f t="shared" si="0"/>
        <v>9.9348451953836956E-5</v>
      </c>
      <c r="AN15" s="6">
        <f t="shared" si="0"/>
        <v>1.0959997014163289E-4</v>
      </c>
      <c r="AO15" s="6">
        <f t="shared" si="0"/>
        <v>1.1989646166232239E-4</v>
      </c>
      <c r="AP15" s="6">
        <f t="shared" si="0"/>
        <v>1.3023393400554239E-4</v>
      </c>
      <c r="AQ15" s="6">
        <f t="shared" si="0"/>
        <v>1.406306828706147E-4</v>
      </c>
      <c r="AR15" s="6">
        <f t="shared" si="0"/>
        <v>1.5108266225756809E-4</v>
      </c>
      <c r="AS15" s="6">
        <f t="shared" si="0"/>
        <v>1.5151050907316339E-4</v>
      </c>
      <c r="AT15" s="6">
        <f t="shared" si="0"/>
        <v>1.519646346648286E-4</v>
      </c>
      <c r="AU15" s="6">
        <f t="shared" si="0"/>
        <v>1.5243353919979879E-4</v>
      </c>
      <c r="AV15" s="6">
        <f t="shared" si="0"/>
        <v>1.5293189393218419E-4</v>
      </c>
      <c r="AW15" s="6">
        <f t="shared" si="0"/>
        <v>1.5344872186914488E-4</v>
      </c>
      <c r="AX15" s="6">
        <f t="shared" si="0"/>
        <v>1.5124343961339209E-4</v>
      </c>
      <c r="AY15" s="6">
        <f t="shared" si="0"/>
        <v>1.4632888657401829E-4</v>
      </c>
      <c r="AZ15" s="6">
        <f t="shared" si="0"/>
        <v>1.4139611029869348E-4</v>
      </c>
      <c r="BA15" s="6">
        <f t="shared" si="0"/>
        <v>1.3644497980944058E-4</v>
      </c>
    </row>
    <row r="16" spans="1:53" outlineLevel="1" x14ac:dyDescent="0.35">
      <c r="A16" s="6" t="s">
        <v>34</v>
      </c>
      <c r="B16" s="6">
        <f>'Results - raw data ReCiPe (I)'!AC11</f>
        <v>3.2733374989828449E-6</v>
      </c>
      <c r="AB16" s="6" t="s">
        <v>123</v>
      </c>
      <c r="AC16" s="6">
        <f>B38</f>
        <v>7.0419649962855689E-6</v>
      </c>
      <c r="AD16" s="6">
        <f t="shared" ref="AD16:BA16" si="1">C38</f>
        <v>6.9922773302680094E-6</v>
      </c>
      <c r="AE16" s="6">
        <f t="shared" si="1"/>
        <v>6.9425557432583682E-6</v>
      </c>
      <c r="AF16" s="6">
        <f t="shared" si="1"/>
        <v>6.888406733459848E-6</v>
      </c>
      <c r="AG16" s="6">
        <f t="shared" si="1"/>
        <v>6.8384515474365874E-6</v>
      </c>
      <c r="AH16" s="6">
        <f t="shared" si="1"/>
        <v>6.7884549167404591E-6</v>
      </c>
      <c r="AI16" s="6">
        <f t="shared" si="1"/>
        <v>7.1675062610933762E-6</v>
      </c>
      <c r="AJ16" s="6">
        <f t="shared" si="1"/>
        <v>7.5451477365387607E-6</v>
      </c>
      <c r="AK16" s="6">
        <f t="shared" si="1"/>
        <v>7.9185473149029625E-6</v>
      </c>
      <c r="AL16" s="6">
        <f t="shared" si="1"/>
        <v>8.2938511012504184E-6</v>
      </c>
      <c r="AM16" s="6">
        <f t="shared" si="1"/>
        <v>8.6678144148116416E-6</v>
      </c>
      <c r="AN16" s="6">
        <f t="shared" si="1"/>
        <v>9.4320315276518852E-6</v>
      </c>
      <c r="AO16" s="6">
        <f t="shared" si="1"/>
        <v>1.0197865934906731E-5</v>
      </c>
      <c r="AP16" s="6">
        <f t="shared" si="1"/>
        <v>1.096487862824357E-5</v>
      </c>
      <c r="AQ16" s="6">
        <f t="shared" si="1"/>
        <v>1.1734711940163879E-5</v>
      </c>
      <c r="AR16" s="6">
        <f t="shared" si="1"/>
        <v>1.2506910514695919E-5</v>
      </c>
      <c r="AS16" s="6">
        <f t="shared" si="1"/>
        <v>1.2527961387115901E-5</v>
      </c>
      <c r="AT16" s="6">
        <f t="shared" si="1"/>
        <v>1.2550878920619219E-5</v>
      </c>
      <c r="AU16" s="6">
        <f t="shared" si="1"/>
        <v>1.2574638084395509E-5</v>
      </c>
      <c r="AV16" s="6">
        <f t="shared" si="1"/>
        <v>1.2600671716551781E-5</v>
      </c>
      <c r="AW16" s="6">
        <f t="shared" si="1"/>
        <v>1.2627988105891171E-5</v>
      </c>
      <c r="AX16" s="6">
        <f t="shared" si="1"/>
        <v>1.245209160351894E-5</v>
      </c>
      <c r="AY16" s="6">
        <f t="shared" si="1"/>
        <v>1.2065345971979151E-5</v>
      </c>
      <c r="AZ16" s="6">
        <f t="shared" si="1"/>
        <v>1.1678693509934879E-5</v>
      </c>
      <c r="BA16" s="6">
        <f t="shared" si="1"/>
        <v>1.1292128733311901E-5</v>
      </c>
    </row>
    <row r="17" spans="1:53" outlineLevel="1" x14ac:dyDescent="0.35">
      <c r="A17" s="6" t="s">
        <v>36</v>
      </c>
      <c r="B17" s="6">
        <f>'Results - raw data ReCiPe (I)'!AC12</f>
        <v>2.976186156681013E-6</v>
      </c>
      <c r="AB17" s="6" t="s">
        <v>124</v>
      </c>
      <c r="AC17" s="6">
        <f>-$AC$7*$AC$6</f>
        <v>-5.3201450000000005E-5</v>
      </c>
      <c r="AD17" s="6">
        <f t="shared" ref="AD17:BA17" si="2">-$AC$7*$AC$6</f>
        <v>-5.3201450000000005E-5</v>
      </c>
      <c r="AE17" s="6">
        <f t="shared" si="2"/>
        <v>-5.3201450000000005E-5</v>
      </c>
      <c r="AF17" s="6">
        <f t="shared" si="2"/>
        <v>-5.3201450000000005E-5</v>
      </c>
      <c r="AG17" s="6">
        <f t="shared" si="2"/>
        <v>-5.3201450000000005E-5</v>
      </c>
      <c r="AH17" s="6">
        <f t="shared" si="2"/>
        <v>-5.3201450000000005E-5</v>
      </c>
      <c r="AI17" s="6">
        <f t="shared" si="2"/>
        <v>-5.3201450000000005E-5</v>
      </c>
      <c r="AJ17" s="6">
        <f t="shared" si="2"/>
        <v>-5.3201450000000005E-5</v>
      </c>
      <c r="AK17" s="6">
        <f t="shared" si="2"/>
        <v>-5.3201450000000005E-5</v>
      </c>
      <c r="AL17" s="6">
        <f t="shared" si="2"/>
        <v>-5.3201450000000005E-5</v>
      </c>
      <c r="AM17" s="6">
        <f t="shared" si="2"/>
        <v>-5.3201450000000005E-5</v>
      </c>
      <c r="AN17" s="6">
        <f t="shared" si="2"/>
        <v>-5.3201450000000005E-5</v>
      </c>
      <c r="AO17" s="6">
        <f t="shared" si="2"/>
        <v>-5.3201450000000005E-5</v>
      </c>
      <c r="AP17" s="6">
        <f t="shared" si="2"/>
        <v>-5.3201450000000005E-5</v>
      </c>
      <c r="AQ17" s="6">
        <f t="shared" si="2"/>
        <v>-5.3201450000000005E-5</v>
      </c>
      <c r="AR17" s="6">
        <f t="shared" si="2"/>
        <v>-5.3201450000000005E-5</v>
      </c>
      <c r="AS17" s="6">
        <f t="shared" si="2"/>
        <v>-5.3201450000000005E-5</v>
      </c>
      <c r="AT17" s="6">
        <f t="shared" si="2"/>
        <v>-5.3201450000000005E-5</v>
      </c>
      <c r="AU17" s="6">
        <f t="shared" si="2"/>
        <v>-5.3201450000000005E-5</v>
      </c>
      <c r="AV17" s="6">
        <f t="shared" si="2"/>
        <v>-5.3201450000000005E-5</v>
      </c>
      <c r="AW17" s="6">
        <f t="shared" si="2"/>
        <v>-5.3201450000000005E-5</v>
      </c>
      <c r="AX17" s="6">
        <f t="shared" si="2"/>
        <v>-5.3201450000000005E-5</v>
      </c>
      <c r="AY17" s="6">
        <f t="shared" si="2"/>
        <v>-5.3201450000000005E-5</v>
      </c>
      <c r="AZ17" s="6">
        <f t="shared" si="2"/>
        <v>-5.3201450000000005E-5</v>
      </c>
      <c r="BA17" s="6">
        <f t="shared" si="2"/>
        <v>-5.3201450000000005E-5</v>
      </c>
    </row>
    <row r="18" spans="1:53" outlineLevel="1" x14ac:dyDescent="0.35">
      <c r="A18" s="6" t="s">
        <v>38</v>
      </c>
      <c r="B18" s="6">
        <f>'Results - raw data ReCiPe (I)'!AC13</f>
        <v>1.164717356496513E-5</v>
      </c>
      <c r="AB18" s="23" t="s">
        <v>125</v>
      </c>
      <c r="AC18" s="17">
        <f>SUM(AC10:AC17)</f>
        <v>1.4760775890909779E-4</v>
      </c>
      <c r="AD18" s="17">
        <f t="shared" ref="AD18:BA18" si="3">SUM(AD10:AD17)</f>
        <v>3.0009157852630947E-5</v>
      </c>
      <c r="AE18" s="17">
        <f t="shared" si="3"/>
        <v>2.9415413298705774E-5</v>
      </c>
      <c r="AF18" s="17">
        <f>SUM(AF10:AF17)</f>
        <v>3.064246957148749E-5</v>
      </c>
      <c r="AG18" s="17">
        <f t="shared" si="3"/>
        <v>2.8166716921769449E-5</v>
      </c>
      <c r="AH18" s="17">
        <f t="shared" si="3"/>
        <v>2.7564213157571932E-5</v>
      </c>
      <c r="AI18" s="17">
        <f>SUM(AI10:AI17)</f>
        <v>3.4903184141349502E-5</v>
      </c>
      <c r="AJ18" s="17">
        <f t="shared" si="3"/>
        <v>3.8489413656550985E-5</v>
      </c>
      <c r="AK18" s="17">
        <f t="shared" si="3"/>
        <v>4.3909301979288766E-5</v>
      </c>
      <c r="AL18" s="17">
        <f t="shared" si="3"/>
        <v>5.1243429921838056E-5</v>
      </c>
      <c r="AM18" s="17">
        <f t="shared" si="3"/>
        <v>5.4814816368648599E-5</v>
      </c>
      <c r="AN18" s="17">
        <f t="shared" si="3"/>
        <v>6.5830551669284756E-5</v>
      </c>
      <c r="AO18" s="17">
        <f t="shared" si="3"/>
        <v>7.878825058488576E-5</v>
      </c>
      <c r="AP18" s="17">
        <f t="shared" si="3"/>
        <v>8.799736263378596E-5</v>
      </c>
      <c r="AQ18" s="17">
        <f t="shared" si="3"/>
        <v>9.916394481077859E-5</v>
      </c>
      <c r="AR18" s="17">
        <f t="shared" si="3"/>
        <v>1.1230104520544161E-4</v>
      </c>
      <c r="AS18" s="17">
        <f t="shared" si="3"/>
        <v>1.108370204602793E-4</v>
      </c>
      <c r="AT18" s="17">
        <f t="shared" si="3"/>
        <v>1.1131406358544781E-4</v>
      </c>
      <c r="AU18" s="17">
        <f t="shared" si="3"/>
        <v>1.1369870152455182E-4</v>
      </c>
      <c r="AV18" s="17">
        <f t="shared" si="3"/>
        <v>1.1233111564873597E-4</v>
      </c>
      <c r="AW18" s="17">
        <f t="shared" si="3"/>
        <v>1.1287525997503604E-4</v>
      </c>
      <c r="AX18" s="17">
        <f t="shared" si="3"/>
        <v>1.1237817675187824E-4</v>
      </c>
      <c r="AY18" s="17">
        <f t="shared" si="3"/>
        <v>1.0519278254599745E-4</v>
      </c>
      <c r="AZ18" s="17">
        <f t="shared" si="3"/>
        <v>9.9873353808628361E-5</v>
      </c>
      <c r="BA18" s="17">
        <f t="shared" si="3"/>
        <v>9.7657048771588104E-5</v>
      </c>
    </row>
    <row r="19" spans="1:53" outlineLevel="1" x14ac:dyDescent="0.35">
      <c r="A19" s="6" t="s">
        <v>39</v>
      </c>
      <c r="B19" s="6">
        <f>'Results - raw data ReCiPe (I)'!AC14</f>
        <v>4.5519703438415077E-5</v>
      </c>
    </row>
    <row r="20" spans="1:53" outlineLevel="1" x14ac:dyDescent="0.35">
      <c r="A20" s="6" t="s">
        <v>41</v>
      </c>
      <c r="B20" s="6">
        <f>'Results - raw data ReCiPe (I)'!AC15</f>
        <v>4.1673679681720339E-7</v>
      </c>
    </row>
    <row r="21" spans="1:53" outlineLevel="1" x14ac:dyDescent="0.35">
      <c r="A21" s="6" t="s">
        <v>43</v>
      </c>
      <c r="B21" s="6">
        <f>'Results - raw data ReCiPe (I)'!AC16</f>
        <v>7.7351773873582404E-7</v>
      </c>
      <c r="AB21" s="187"/>
      <c r="AC21" s="187"/>
      <c r="AD21" s="187"/>
      <c r="AE21" s="187"/>
      <c r="AF21" s="187"/>
      <c r="AG21" s="187"/>
      <c r="AH21" s="187"/>
      <c r="AI21" s="187"/>
      <c r="AJ21" s="187"/>
      <c r="AK21" s="187"/>
      <c r="AL21" s="187"/>
      <c r="AM21" s="187"/>
      <c r="AN21" s="187"/>
      <c r="AO21" s="187"/>
      <c r="AP21" s="187"/>
      <c r="AQ21" s="187"/>
      <c r="AR21" s="187"/>
      <c r="AS21" s="187"/>
      <c r="AT21" s="187"/>
      <c r="AU21" s="187"/>
      <c r="AV21" s="187"/>
      <c r="AW21" s="187"/>
      <c r="AX21" s="187"/>
      <c r="AY21" s="187"/>
      <c r="AZ21" s="187"/>
      <c r="BA21" s="187"/>
    </row>
    <row r="22" spans="1:53" outlineLevel="1" x14ac:dyDescent="0.35">
      <c r="A22" s="6" t="s">
        <v>44</v>
      </c>
      <c r="B22" s="6">
        <f>'Results - raw data ReCiPe (I)'!AC17*AC7*AC8</f>
        <v>5.5821736600752947E-6</v>
      </c>
      <c r="AB22" s="187"/>
      <c r="AC22" s="187"/>
      <c r="AD22" s="187"/>
      <c r="AE22" s="187"/>
      <c r="AF22" s="187"/>
      <c r="AG22" s="187"/>
      <c r="AH22" s="187"/>
      <c r="AI22" s="187"/>
      <c r="AJ22" s="187"/>
      <c r="AK22" s="187"/>
      <c r="AL22" s="187"/>
      <c r="AM22" s="187"/>
      <c r="AN22" s="187"/>
      <c r="AO22" s="187"/>
      <c r="AP22" s="187"/>
      <c r="AQ22" s="187"/>
      <c r="AR22" s="187"/>
      <c r="AS22" s="187"/>
      <c r="AT22" s="187"/>
      <c r="AU22" s="187"/>
      <c r="AV22" s="187"/>
      <c r="AW22" s="187"/>
      <c r="AX22" s="187"/>
      <c r="AY22" s="187"/>
      <c r="AZ22" s="187"/>
      <c r="BA22" s="187"/>
    </row>
    <row r="23" spans="1:53" outlineLevel="1" x14ac:dyDescent="0.35">
      <c r="A23" s="6" t="s">
        <v>757</v>
      </c>
      <c r="B23" s="6">
        <f>'Results - raw data ReCiPe (I)'!AC18*AC8*AC7</f>
        <v>1.5292068249896222E-5</v>
      </c>
      <c r="AB23" s="187"/>
      <c r="AC23" s="187"/>
      <c r="AD23" s="187"/>
      <c r="AE23" s="187"/>
      <c r="AF23" s="187"/>
      <c r="AG23" s="187"/>
      <c r="AH23" s="187"/>
      <c r="AI23" s="187"/>
      <c r="AJ23" s="187"/>
      <c r="AK23" s="187"/>
      <c r="AL23" s="187"/>
      <c r="AM23" s="187"/>
      <c r="AN23" s="187"/>
      <c r="AO23" s="187"/>
      <c r="AP23" s="187"/>
      <c r="AQ23" s="187"/>
      <c r="AR23" s="187"/>
      <c r="AS23" s="187"/>
      <c r="AT23" s="187"/>
      <c r="AU23" s="187"/>
      <c r="AV23" s="187"/>
      <c r="AW23" s="187"/>
      <c r="AX23" s="187"/>
      <c r="AY23" s="187"/>
      <c r="AZ23" s="187"/>
      <c r="BA23" s="187"/>
    </row>
    <row r="24" spans="1:53" outlineLevel="1" x14ac:dyDescent="0.35">
      <c r="A24" s="6" t="s">
        <v>22</v>
      </c>
      <c r="Z24" s="6">
        <f>'Results - raw data ReCiPe (I)'!BA19</f>
        <v>1.8753616045833519E-8</v>
      </c>
      <c r="AB24" s="187"/>
      <c r="AC24" s="187"/>
      <c r="AD24" s="187"/>
      <c r="AE24" s="187"/>
      <c r="AF24" s="187"/>
      <c r="AG24" s="187"/>
      <c r="AH24" s="187"/>
      <c r="AI24" s="187"/>
      <c r="AJ24" s="187"/>
      <c r="AK24" s="187"/>
      <c r="AL24" s="187"/>
      <c r="AM24" s="187"/>
      <c r="AN24" s="187"/>
      <c r="AO24" s="187"/>
      <c r="AP24" s="187"/>
      <c r="AQ24" s="187"/>
      <c r="AR24" s="187"/>
      <c r="AS24" s="187"/>
      <c r="AT24" s="187"/>
      <c r="AU24" s="187"/>
      <c r="AV24" s="187"/>
      <c r="AW24" s="187"/>
      <c r="AX24" s="187"/>
      <c r="AY24" s="187"/>
      <c r="AZ24" s="187"/>
      <c r="BA24" s="187"/>
    </row>
    <row r="25" spans="1:53" outlineLevel="1" x14ac:dyDescent="0.35">
      <c r="A25" s="6" t="s">
        <v>24</v>
      </c>
      <c r="Z25" s="6">
        <f>'Results - raw data ReCiPe (I)'!BA20</f>
        <v>1.273443268903795E-8</v>
      </c>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row>
    <row r="26" spans="1:53" outlineLevel="1" x14ac:dyDescent="0.35">
      <c r="A26" s="6" t="s">
        <v>25</v>
      </c>
      <c r="Z26" s="6">
        <f>'Results - raw data ReCiPe (I)'!BA21</f>
        <v>6.7104539945526216E-8</v>
      </c>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row>
    <row r="27" spans="1:53" outlineLevel="1" x14ac:dyDescent="0.35">
      <c r="A27" s="6" t="s">
        <v>27</v>
      </c>
      <c r="Z27" s="6">
        <f>'Results - raw data ReCiPe (I)'!BA22</f>
        <v>2.6470950284197709E-8</v>
      </c>
      <c r="AB27" s="187"/>
      <c r="AC27" s="187"/>
      <c r="AD27" s="187"/>
      <c r="AE27" s="187"/>
      <c r="AF27" s="187"/>
      <c r="AG27" s="187"/>
      <c r="AH27" s="187"/>
      <c r="AI27" s="187"/>
      <c r="AJ27" s="187"/>
      <c r="AK27" s="187"/>
      <c r="AL27" s="187"/>
      <c r="AM27" s="187"/>
      <c r="AN27" s="187"/>
      <c r="AO27" s="187"/>
      <c r="AP27" s="187"/>
      <c r="AQ27" s="187"/>
      <c r="AR27" s="187"/>
      <c r="AS27" s="187"/>
      <c r="AT27" s="187"/>
      <c r="AU27" s="187"/>
      <c r="AV27" s="187"/>
      <c r="AW27" s="187"/>
      <c r="AX27" s="187"/>
      <c r="AY27" s="187"/>
      <c r="AZ27" s="187"/>
      <c r="BA27" s="187"/>
    </row>
    <row r="28" spans="1:53" outlineLevel="1" x14ac:dyDescent="0.35">
      <c r="A28" s="6" t="s">
        <v>30</v>
      </c>
      <c r="Z28" s="6">
        <f>'Results - raw data ReCiPe (I)'!BA23</f>
        <v>2.4441380210246229E-8</v>
      </c>
      <c r="AB28" s="187"/>
      <c r="AC28" s="187"/>
      <c r="AD28" s="187"/>
      <c r="AE28" s="187"/>
      <c r="AF28" s="187"/>
      <c r="AG28" s="187"/>
      <c r="AH28" s="187"/>
      <c r="AI28" s="187"/>
      <c r="AJ28" s="187"/>
      <c r="AK28" s="187"/>
      <c r="AL28" s="187"/>
      <c r="AM28" s="187"/>
      <c r="AN28" s="187"/>
      <c r="AO28" s="187"/>
      <c r="AP28" s="187"/>
      <c r="AQ28" s="187"/>
      <c r="AR28" s="187"/>
      <c r="AS28" s="187"/>
      <c r="AT28" s="187"/>
      <c r="AU28" s="187"/>
      <c r="AV28" s="187"/>
      <c r="AW28" s="187"/>
      <c r="AX28" s="187"/>
      <c r="AY28" s="187"/>
      <c r="AZ28" s="187"/>
      <c r="BA28" s="187"/>
    </row>
    <row r="29" spans="1:53" outlineLevel="1" x14ac:dyDescent="0.35">
      <c r="A29" s="6" t="s">
        <v>32</v>
      </c>
      <c r="Z29" s="6">
        <f>'Results - raw data ReCiPe (I)'!BA24</f>
        <v>4.4570741064049689E-9</v>
      </c>
      <c r="AB29" s="187"/>
      <c r="AC29" s="187"/>
      <c r="AD29" s="187"/>
      <c r="AE29" s="187"/>
      <c r="AF29" s="187"/>
      <c r="AG29" s="187"/>
      <c r="AH29" s="187"/>
      <c r="AI29" s="187"/>
      <c r="AJ29" s="187"/>
      <c r="AK29" s="187"/>
      <c r="AL29" s="187"/>
      <c r="AM29" s="187"/>
      <c r="AN29" s="187"/>
      <c r="AO29" s="187"/>
      <c r="AP29" s="187"/>
      <c r="AQ29" s="187"/>
      <c r="AR29" s="187"/>
      <c r="AS29" s="187"/>
      <c r="AT29" s="187"/>
      <c r="AU29" s="187"/>
      <c r="AV29" s="187"/>
      <c r="AW29" s="187"/>
      <c r="AX29" s="187"/>
      <c r="AY29" s="187"/>
      <c r="AZ29" s="187"/>
      <c r="BA29" s="187"/>
    </row>
    <row r="30" spans="1:53" outlineLevel="1" x14ac:dyDescent="0.35">
      <c r="A30" s="6" t="s">
        <v>33</v>
      </c>
      <c r="Z30" s="6">
        <f>'Results - raw data ReCiPe (I)'!BA25</f>
        <v>6.4050897028475748E-9</v>
      </c>
      <c r="AB30" s="187"/>
      <c r="AC30" s="187"/>
      <c r="AD30" s="187"/>
      <c r="AE30" s="187"/>
      <c r="AF30" s="187"/>
      <c r="AG30" s="187"/>
      <c r="AH30" s="187"/>
      <c r="AI30" s="187"/>
      <c r="AJ30" s="187"/>
      <c r="AK30" s="187"/>
      <c r="AL30" s="187"/>
      <c r="AM30" s="187"/>
      <c r="AN30" s="187"/>
      <c r="AO30" s="187"/>
      <c r="AP30" s="187"/>
      <c r="AQ30" s="187"/>
      <c r="AR30" s="187"/>
      <c r="AS30" s="187"/>
      <c r="AT30" s="187"/>
      <c r="AU30" s="187"/>
      <c r="AV30" s="187"/>
      <c r="AW30" s="187"/>
      <c r="AX30" s="187"/>
      <c r="AY30" s="187"/>
      <c r="AZ30" s="187"/>
      <c r="BA30" s="187"/>
    </row>
    <row r="31" spans="1:53" outlineLevel="1" x14ac:dyDescent="0.35">
      <c r="A31" s="6" t="s">
        <v>35</v>
      </c>
      <c r="Z31" s="6">
        <f>'Results - raw data ReCiPe (I)'!BA26</f>
        <v>1.281017940569515E-8</v>
      </c>
      <c r="AB31" s="187"/>
      <c r="AC31" s="187"/>
      <c r="AD31" s="187"/>
      <c r="AE31" s="187"/>
      <c r="AF31" s="187"/>
      <c r="AG31" s="187"/>
      <c r="AH31" s="187"/>
      <c r="AI31" s="187"/>
      <c r="AJ31" s="187"/>
      <c r="AK31" s="187"/>
      <c r="AL31" s="187"/>
      <c r="AM31" s="187"/>
      <c r="AN31" s="187"/>
      <c r="AO31" s="187"/>
      <c r="AP31" s="187"/>
      <c r="AQ31" s="187"/>
      <c r="AR31" s="187"/>
      <c r="AS31" s="187"/>
      <c r="AT31" s="187"/>
      <c r="AU31" s="187"/>
      <c r="AV31" s="187"/>
      <c r="AW31" s="187"/>
      <c r="AX31" s="187"/>
      <c r="AY31" s="187"/>
      <c r="AZ31" s="187"/>
      <c r="BA31" s="187"/>
    </row>
    <row r="32" spans="1:53" outlineLevel="1" x14ac:dyDescent="0.35">
      <c r="A32" s="6" t="s">
        <v>37</v>
      </c>
      <c r="Z32" s="6">
        <f>'Results - raw data ReCiPe (I)'!BA27</f>
        <v>7.4686247237046399E-8</v>
      </c>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row>
    <row r="33" spans="1:31" outlineLevel="1" x14ac:dyDescent="0.35">
      <c r="A33" s="6" t="s">
        <v>40</v>
      </c>
      <c r="Z33" s="6">
        <f>'Results - raw data ReCiPe (I)'!BA28</f>
        <v>3.2793422863421839E-7</v>
      </c>
    </row>
    <row r="34" spans="1:31" outlineLevel="1" x14ac:dyDescent="0.35">
      <c r="A34" s="6" t="s">
        <v>42</v>
      </c>
      <c r="Z34" s="6">
        <f>'Results - raw data ReCiPe (I)'!BA29</f>
        <v>1.0978059676676949E-7</v>
      </c>
    </row>
    <row r="35" spans="1:31" outlineLevel="1" x14ac:dyDescent="0.35">
      <c r="A35" s="6" t="s">
        <v>115</v>
      </c>
      <c r="Z35" s="6">
        <f>'Results - raw data ReCiPe (I)'!BA30</f>
        <v>5.532338521000648E-7</v>
      </c>
    </row>
    <row r="36" spans="1:31" outlineLevel="1" x14ac:dyDescent="0.35">
      <c r="A36" s="6" t="s">
        <v>45</v>
      </c>
      <c r="Z36" s="6">
        <f>'Results - raw data ReCiPe (I)'!BA31*AC7*AC8</f>
        <v>3.8995886120102447E-8</v>
      </c>
    </row>
    <row r="37" spans="1:31" outlineLevel="1" x14ac:dyDescent="0.35">
      <c r="A37" s="6" t="s">
        <v>116</v>
      </c>
      <c r="B37" s="6">
        <f>'Results - raw data ReCiPe (I)'!AC32</f>
        <v>1.8923827854892541E-6</v>
      </c>
      <c r="C37" s="6">
        <f>'Results - raw data ReCiPe (I)'!AD32</f>
        <v>1.889714786409623E-6</v>
      </c>
      <c r="D37" s="6">
        <f>'Results - raw data ReCiPe (I)'!AE32</f>
        <v>1.887023929732714E-6</v>
      </c>
      <c r="E37" s="6">
        <f>'Results - raw data ReCiPe (I)'!AF32</f>
        <v>1.875504080673279E-6</v>
      </c>
      <c r="F37" s="6">
        <f>'Results - raw data ReCiPe (I)'!AG32</f>
        <v>1.872717594275976E-6</v>
      </c>
      <c r="G37" s="6">
        <f>'Results - raw data ReCiPe (I)'!AH32</f>
        <v>1.869923624609793E-6</v>
      </c>
      <c r="H37" s="6">
        <f>'Results - raw data ReCiPe (I)'!AI32</f>
        <v>1.8735069041771709E-6</v>
      </c>
      <c r="I37" s="6">
        <f>'Results - raw data ReCiPe (I)'!AJ32</f>
        <v>1.8770594642955549E-6</v>
      </c>
      <c r="J37" s="6">
        <f>'Results - raw data ReCiPe (I)'!AK32</f>
        <v>1.8755470965960859E-6</v>
      </c>
      <c r="K37" s="6">
        <f>'Results - raw data ReCiPe (I)'!AL32</f>
        <v>1.879003812114612E-6</v>
      </c>
      <c r="L37" s="6">
        <f>'Results - raw data ReCiPe (I)'!AM32</f>
        <v>1.882430263545709E-6</v>
      </c>
      <c r="M37" s="6">
        <f>'Results - raw data ReCiPe (I)'!AN32</f>
        <v>1.8889461237107309E-6</v>
      </c>
      <c r="N37" s="6">
        <f>'Results - raw data ReCiPe (I)'!AO32</f>
        <v>1.8953729876566431E-6</v>
      </c>
      <c r="O37" s="6">
        <f>'Results - raw data ReCiPe (I)'!AP32</f>
        <v>1.900244904468718E-6</v>
      </c>
      <c r="P37" s="6">
        <f>'Results - raw data ReCiPe (I)'!AQ32</f>
        <v>1.906594363435936E-6</v>
      </c>
      <c r="Q37" s="6">
        <f>'Results - raw data ReCiPe (I)'!AR32</f>
        <v>1.91292243317761E-6</v>
      </c>
      <c r="R37" s="6">
        <f>'Results - raw data ReCiPe (I)'!AS32</f>
        <v>1.906724039036221E-6</v>
      </c>
      <c r="S37" s="6">
        <f>'Results - raw data ReCiPe (I)'!AT32</f>
        <v>1.9003382557709781E-6</v>
      </c>
      <c r="T37" s="6">
        <f>'Results - raw data ReCiPe (I)'!AU32</f>
        <v>1.8919742403575121E-6</v>
      </c>
      <c r="U37" s="6">
        <f>'Results - raw data ReCiPe (I)'!AV32</f>
        <v>1.885363499118904E-6</v>
      </c>
      <c r="V37" s="6">
        <f>'Results - raw data ReCiPe (I)'!AW32</f>
        <v>1.878677559524333E-6</v>
      </c>
      <c r="W37" s="6">
        <f>'Results - raw data ReCiPe (I)'!AX32</f>
        <v>1.884095534967196E-6</v>
      </c>
      <c r="X37" s="6">
        <f>'Results - raw data ReCiPe (I)'!AY32</f>
        <v>1.8706822453158649E-6</v>
      </c>
      <c r="Y37" s="6">
        <f>'Results - raw data ReCiPe (I)'!AZ32</f>
        <v>1.8571783832156639E-6</v>
      </c>
      <c r="Z37" s="6">
        <f>'Results - raw data ReCiPe (I)'!BA32</f>
        <v>1.8435821555876251E-6</v>
      </c>
    </row>
    <row r="38" spans="1:31" outlineLevel="1" x14ac:dyDescent="0.35">
      <c r="A38" s="6" t="s">
        <v>758</v>
      </c>
      <c r="B38" s="6">
        <f>'Results - raw data ReCiPe (I)'!AC33*$AC$7</f>
        <v>7.0419649962855689E-6</v>
      </c>
      <c r="C38" s="6">
        <f>'Results - raw data ReCiPe (I)'!AD33*$AC$7</f>
        <v>6.9922773302680094E-6</v>
      </c>
      <c r="D38" s="6">
        <f>'Results - raw data ReCiPe (I)'!AE33*$AC$7</f>
        <v>6.9425557432583682E-6</v>
      </c>
      <c r="E38" s="6">
        <f>'Results - raw data ReCiPe (I)'!AF33*$AC$7</f>
        <v>6.888406733459848E-6</v>
      </c>
      <c r="F38" s="6">
        <f>'Results - raw data ReCiPe (I)'!AG33*$AC$7</f>
        <v>6.8384515474365874E-6</v>
      </c>
      <c r="G38" s="6">
        <f>'Results - raw data ReCiPe (I)'!AH33*$AC$7</f>
        <v>6.7884549167404591E-6</v>
      </c>
      <c r="H38" s="6">
        <f>'Results - raw data ReCiPe (I)'!AI33*$AC$7</f>
        <v>7.1675062610933762E-6</v>
      </c>
      <c r="I38" s="6">
        <f>'Results - raw data ReCiPe (I)'!AJ33*$AC$7</f>
        <v>7.5451477365387607E-6</v>
      </c>
      <c r="J38" s="6">
        <f>'Results - raw data ReCiPe (I)'!AK33*$AC$7</f>
        <v>7.9185473149029625E-6</v>
      </c>
      <c r="K38" s="6">
        <f>'Results - raw data ReCiPe (I)'!AL33*$AC$7</f>
        <v>8.2938511012504184E-6</v>
      </c>
      <c r="L38" s="6">
        <f>'Results - raw data ReCiPe (I)'!AM33*$AC$7</f>
        <v>8.6678144148116416E-6</v>
      </c>
      <c r="M38" s="6">
        <f>'Results - raw data ReCiPe (I)'!AN33*$AC$7</f>
        <v>9.4320315276518852E-6</v>
      </c>
      <c r="N38" s="6">
        <f>'Results - raw data ReCiPe (I)'!AO33*$AC$7</f>
        <v>1.0197865934906731E-5</v>
      </c>
      <c r="O38" s="6">
        <f>'Results - raw data ReCiPe (I)'!AP33*$AC$7</f>
        <v>1.096487862824357E-5</v>
      </c>
      <c r="P38" s="6">
        <f>'Results - raw data ReCiPe (I)'!AQ33*$AC$7</f>
        <v>1.1734711940163879E-5</v>
      </c>
      <c r="Q38" s="6">
        <f>'Results - raw data ReCiPe (I)'!AR33*$AC$7</f>
        <v>1.2506910514695919E-5</v>
      </c>
      <c r="R38" s="6">
        <f>'Results - raw data ReCiPe (I)'!AS33*$AC$7</f>
        <v>1.2527961387115901E-5</v>
      </c>
      <c r="S38" s="6">
        <f>'Results - raw data ReCiPe (I)'!AT33*$AC$7</f>
        <v>1.2550878920619219E-5</v>
      </c>
      <c r="T38" s="6">
        <f>'Results - raw data ReCiPe (I)'!AU33*$AC$7</f>
        <v>1.2574638084395509E-5</v>
      </c>
      <c r="U38" s="6">
        <f>'Results - raw data ReCiPe (I)'!AV33*$AC$7</f>
        <v>1.2600671716551781E-5</v>
      </c>
      <c r="V38" s="6">
        <f>'Results - raw data ReCiPe (I)'!AW33*$AC$7</f>
        <v>1.2627988105891171E-5</v>
      </c>
      <c r="W38" s="6">
        <f>'Results - raw data ReCiPe (I)'!AX33*$AC$7</f>
        <v>1.245209160351894E-5</v>
      </c>
      <c r="X38" s="6">
        <f>'Results - raw data ReCiPe (I)'!AY33*$AC$7</f>
        <v>1.2065345971979151E-5</v>
      </c>
      <c r="Y38" s="6">
        <f>'Results - raw data ReCiPe (I)'!AZ33*$AC$7</f>
        <v>1.1678693509934879E-5</v>
      </c>
      <c r="Z38" s="6">
        <f>'Results - raw data ReCiPe (I)'!BA33*$AC$7</f>
        <v>1.1292128733311901E-5</v>
      </c>
    </row>
    <row r="39" spans="1:31" outlineLevel="1" x14ac:dyDescent="0.35">
      <c r="A39" s="6" t="s">
        <v>759</v>
      </c>
      <c r="B39" s="6">
        <f>'Results - raw data ReCiPe (I)'!AC34</f>
        <v>2.0736000294618859E-7</v>
      </c>
      <c r="C39" s="6">
        <f>'Results - raw data ReCiPe (I)'!AD34</f>
        <v>2.0736000294618859E-7</v>
      </c>
      <c r="D39" s="6">
        <f>'Results - raw data ReCiPe (I)'!AE34</f>
        <v>2.0736000294618859E-7</v>
      </c>
      <c r="E39" s="6">
        <f>'Results - raw data ReCiPe (I)'!AF34</f>
        <v>2.0736000294618859E-7</v>
      </c>
      <c r="F39" s="6">
        <f>'Results - raw data ReCiPe (I)'!AG34</f>
        <v>2.0736000294618859E-7</v>
      </c>
      <c r="G39" s="6">
        <f>'Results - raw data ReCiPe (I)'!AH34</f>
        <v>2.0736000294618859E-7</v>
      </c>
      <c r="H39" s="6">
        <f>'Results - raw data ReCiPe (I)'!AI34</f>
        <v>2.0736000294618859E-7</v>
      </c>
      <c r="I39" s="6">
        <f>'Results - raw data ReCiPe (I)'!AJ34</f>
        <v>2.0736000294618859E-7</v>
      </c>
      <c r="J39" s="6">
        <f>'Results - raw data ReCiPe (I)'!AK34</f>
        <v>2.0736000294618859E-7</v>
      </c>
      <c r="K39" s="6">
        <f>'Results - raw data ReCiPe (I)'!AL34</f>
        <v>2.0736000294618859E-7</v>
      </c>
      <c r="L39" s="6">
        <f>'Results - raw data ReCiPe (I)'!AM34</f>
        <v>2.0736000294618859E-7</v>
      </c>
      <c r="M39" s="6">
        <f>'Results - raw data ReCiPe (I)'!AN34</f>
        <v>2.0736000294618859E-7</v>
      </c>
      <c r="N39" s="6">
        <f>'Results - raw data ReCiPe (I)'!AO34</f>
        <v>2.0736000294618859E-7</v>
      </c>
      <c r="O39" s="6">
        <f>'Results - raw data ReCiPe (I)'!AP34</f>
        <v>2.0736000294618859E-7</v>
      </c>
      <c r="P39" s="6">
        <f>'Results - raw data ReCiPe (I)'!AQ34</f>
        <v>2.0736000294618859E-7</v>
      </c>
      <c r="Q39" s="6">
        <f>'Results - raw data ReCiPe (I)'!AR34</f>
        <v>2.0736000294618859E-7</v>
      </c>
      <c r="R39" s="6">
        <f>'Results - raw data ReCiPe (I)'!AS34</f>
        <v>2.0736000294618859E-7</v>
      </c>
      <c r="S39" s="6">
        <f>'Results - raw data ReCiPe (I)'!AT34</f>
        <v>2.0736000294618859E-7</v>
      </c>
      <c r="T39" s="6">
        <f>'Results - raw data ReCiPe (I)'!AU34</f>
        <v>2.0736000294618859E-7</v>
      </c>
      <c r="U39" s="6">
        <f>'Results - raw data ReCiPe (I)'!AV34</f>
        <v>2.0736000294618859E-7</v>
      </c>
      <c r="V39" s="6">
        <f>'Results - raw data ReCiPe (I)'!AW34</f>
        <v>2.0736000294618859E-7</v>
      </c>
      <c r="W39" s="6">
        <f>'Results - raw data ReCiPe (I)'!AX34</f>
        <v>2.0736000294618859E-7</v>
      </c>
      <c r="X39" s="6">
        <f>'Results - raw data ReCiPe (I)'!AY34</f>
        <v>2.0736000294618859E-7</v>
      </c>
      <c r="Y39" s="6">
        <f>'Results - raw data ReCiPe (I)'!AZ34</f>
        <v>2.0736000294618859E-7</v>
      </c>
      <c r="Z39" s="6">
        <f>'Results - raw data ReCiPe (I)'!BA34</f>
        <v>2.0736000294618859E-7</v>
      </c>
    </row>
    <row r="40" spans="1:31" outlineLevel="1" x14ac:dyDescent="0.35">
      <c r="A40" s="6" t="s">
        <v>760</v>
      </c>
      <c r="B40" s="6">
        <f>'Results - raw data ReCiPe (I)'!AC35</f>
        <v>7.6552932982698268E-5</v>
      </c>
      <c r="C40" s="6">
        <f>'Results - raw data ReCiPe (I)'!AD35</f>
        <v>7.6010970519416757E-5</v>
      </c>
      <c r="D40" s="6">
        <f>'Results - raw data ReCiPe (I)'!AE35</f>
        <v>7.5466947552501224E-5</v>
      </c>
      <c r="E40" s="6">
        <f>'Results - raw data ReCiPe (I)'!AF35</f>
        <v>7.487264875440817E-5</v>
      </c>
      <c r="F40" s="6">
        <f>'Results - raw data ReCiPe (I)'!AG35</f>
        <v>7.432235537138668E-5</v>
      </c>
      <c r="G40" s="6">
        <f>'Results - raw data ReCiPe (I)'!AH35</f>
        <v>7.3769848237885291E-5</v>
      </c>
      <c r="H40" s="6">
        <f>'Results - raw data ReCiPe (I)'!AI35</f>
        <v>7.8856260973132771E-5</v>
      </c>
      <c r="I40" s="6">
        <f>'Results - raw data ReCiPe (I)'!AJ35</f>
        <v>8.3938355917066037E-5</v>
      </c>
      <c r="J40" s="6">
        <f>'Results - raw data ReCiPe (I)'!AK35</f>
        <v>8.8984844661439615E-5</v>
      </c>
      <c r="K40" s="6">
        <f>'Results - raw data ReCiPe (I)'!AL35</f>
        <v>9.4064665005526841E-5</v>
      </c>
      <c r="L40" s="6">
        <f>'Results - raw data ReCiPe (I)'!AM35</f>
        <v>9.9141091950890768E-5</v>
      </c>
      <c r="M40" s="6">
        <f>'Results - raw data ReCiPe (I)'!AN35</f>
        <v>1.093926101386867E-4</v>
      </c>
      <c r="N40" s="6">
        <f>'Results - raw data ReCiPe (I)'!AO35</f>
        <v>1.196891016593762E-4</v>
      </c>
      <c r="O40" s="6">
        <f>'Results - raw data ReCiPe (I)'!AP35</f>
        <v>1.3002657400259621E-4</v>
      </c>
      <c r="P40" s="6">
        <f>'Results - raw data ReCiPe (I)'!AQ35</f>
        <v>1.4042332286766851E-4</v>
      </c>
      <c r="Q40" s="6">
        <f>'Results - raw data ReCiPe (I)'!AR35</f>
        <v>1.5087530225462191E-4</v>
      </c>
      <c r="R40" s="6">
        <f>'Results - raw data ReCiPe (I)'!AS35</f>
        <v>1.513031490702172E-4</v>
      </c>
      <c r="S40" s="6">
        <f>'Results - raw data ReCiPe (I)'!AT35</f>
        <v>1.5175727466188241E-4</v>
      </c>
      <c r="T40" s="6">
        <f>'Results - raw data ReCiPe (I)'!AU35</f>
        <v>1.522261791968526E-4</v>
      </c>
      <c r="U40" s="6">
        <f>'Results - raw data ReCiPe (I)'!AV35</f>
        <v>1.52724533929238E-4</v>
      </c>
      <c r="V40" s="6">
        <f>'Results - raw data ReCiPe (I)'!AW35</f>
        <v>1.5324136186619869E-4</v>
      </c>
      <c r="W40" s="6">
        <f>'Results - raw data ReCiPe (I)'!AX35</f>
        <v>1.510360796104459E-4</v>
      </c>
      <c r="X40" s="6">
        <f>'Results - raw data ReCiPe (I)'!AY35</f>
        <v>1.461215265710721E-4</v>
      </c>
      <c r="Y40" s="6">
        <f>'Results - raw data ReCiPe (I)'!AZ35</f>
        <v>1.4118875029574729E-4</v>
      </c>
      <c r="Z40" s="6">
        <f>'Results - raw data ReCiPe (I)'!BA35</f>
        <v>1.3623761980649439E-4</v>
      </c>
    </row>
    <row r="41" spans="1:31" outlineLevel="1" x14ac:dyDescent="0.35">
      <c r="A41" s="23" t="s">
        <v>125</v>
      </c>
      <c r="B41" s="17">
        <f>SUM(B10:B40)</f>
        <v>2.0080920890909779E-4</v>
      </c>
      <c r="C41" s="17">
        <f>SUM(C10:C40)</f>
        <v>8.5100322639040574E-5</v>
      </c>
      <c r="D41" s="17">
        <f>SUM(D10:D40)</f>
        <v>8.4503887228438491E-5</v>
      </c>
      <c r="E41" s="17">
        <f>SUM(E10:E40)</f>
        <v>8.3843919571487482E-5</v>
      </c>
      <c r="F41" s="17">
        <f>SUM(F10:F40)</f>
        <v>8.3240884516045432E-5</v>
      </c>
      <c r="G41" s="17">
        <f t="shared" ref="G41:Z41" si="4">SUM(G10:G40)</f>
        <v>8.2635586782181734E-5</v>
      </c>
      <c r="H41" s="17">
        <f t="shared" si="4"/>
        <v>8.8104634141349507E-5</v>
      </c>
      <c r="I41" s="17">
        <f t="shared" si="4"/>
        <v>9.3567923120846548E-5</v>
      </c>
      <c r="J41" s="17">
        <f t="shared" si="4"/>
        <v>9.8986299075884857E-5</v>
      </c>
      <c r="K41" s="17">
        <f t="shared" si="4"/>
        <v>1.0444487992183806E-4</v>
      </c>
      <c r="L41" s="17">
        <f t="shared" si="4"/>
        <v>1.0989869663219431E-4</v>
      </c>
      <c r="M41" s="17">
        <f t="shared" si="4"/>
        <v>1.2092094779299551E-4</v>
      </c>
      <c r="N41" s="17">
        <f t="shared" si="4"/>
        <v>1.3198970058488576E-4</v>
      </c>
      <c r="O41" s="17">
        <f t="shared" si="4"/>
        <v>1.4309905753825467E-4</v>
      </c>
      <c r="P41" s="17">
        <f t="shared" si="4"/>
        <v>1.542719891742145E-4</v>
      </c>
      <c r="Q41" s="17">
        <f t="shared" si="4"/>
        <v>1.6550249520544164E-4</v>
      </c>
      <c r="R41" s="17">
        <f t="shared" si="4"/>
        <v>1.6594519449931552E-4</v>
      </c>
      <c r="S41" s="17">
        <f t="shared" si="4"/>
        <v>1.6641585184121879E-4</v>
      </c>
      <c r="T41" s="17">
        <f t="shared" si="4"/>
        <v>1.6690015152455182E-4</v>
      </c>
      <c r="U41" s="17">
        <f t="shared" si="4"/>
        <v>1.6741792914785487E-4</v>
      </c>
      <c r="V41" s="17">
        <f t="shared" si="4"/>
        <v>1.6795538753456039E-4</v>
      </c>
      <c r="W41" s="17">
        <f t="shared" si="4"/>
        <v>1.6557962675187822E-4</v>
      </c>
      <c r="X41" s="17">
        <f t="shared" si="4"/>
        <v>1.6026491479131331E-4</v>
      </c>
      <c r="Y41" s="17">
        <f t="shared" si="4"/>
        <v>1.5493198219184402E-4</v>
      </c>
      <c r="Z41" s="17">
        <f t="shared" si="4"/>
        <v>1.508584987715881E-4</v>
      </c>
    </row>
    <row r="42" spans="1:31" outlineLevel="1" x14ac:dyDescent="0.35"/>
    <row r="43" spans="1:31" s="18" customFormat="1" ht="21" x14ac:dyDescent="0.5">
      <c r="A43" s="18" t="s">
        <v>73</v>
      </c>
    </row>
    <row r="44" spans="1:31" s="20" customFormat="1" outlineLevel="1" x14ac:dyDescent="0.35">
      <c r="A44" s="19" t="s">
        <v>767</v>
      </c>
    </row>
    <row r="45" spans="1:31" s="16" customFormat="1" outlineLevel="1" x14ac:dyDescent="0.35">
      <c r="A45" s="21"/>
      <c r="AB45" s="15" t="s">
        <v>143</v>
      </c>
      <c r="AC45" s="16">
        <f>0.000000000532+0.0000000000000145</f>
        <v>5.3201449999999999E-10</v>
      </c>
      <c r="AD45" s="16" t="s">
        <v>916</v>
      </c>
      <c r="AE45" s="15" t="s">
        <v>714</v>
      </c>
    </row>
    <row r="46" spans="1:31" s="16" customFormat="1" outlineLevel="1" x14ac:dyDescent="0.35">
      <c r="A46" s="22" t="s">
        <v>917</v>
      </c>
      <c r="AC46" s="16">
        <f>AC45*1000</f>
        <v>5.3201450000000003E-7</v>
      </c>
      <c r="AD46" s="16" t="s">
        <v>918</v>
      </c>
    </row>
    <row r="47" spans="1:31" s="16" customFormat="1" outlineLevel="1" x14ac:dyDescent="0.35">
      <c r="A47" s="22"/>
      <c r="AB47" s="16" t="s">
        <v>127</v>
      </c>
      <c r="AC47" s="16">
        <v>100</v>
      </c>
      <c r="AD47" s="16" t="s">
        <v>128</v>
      </c>
    </row>
    <row r="48" spans="1:31" s="16" customFormat="1" outlineLevel="1" x14ac:dyDescent="0.35">
      <c r="A48" s="22"/>
      <c r="AB48" s="16" t="s">
        <v>129</v>
      </c>
      <c r="AC48" s="16">
        <v>25</v>
      </c>
      <c r="AD48" s="16" t="s">
        <v>130</v>
      </c>
    </row>
    <row r="49" spans="1:53" outlineLevel="1" x14ac:dyDescent="0.35">
      <c r="B49" s="25">
        <v>2030</v>
      </c>
      <c r="C49" s="25">
        <v>2031</v>
      </c>
      <c r="D49" s="25">
        <v>2032</v>
      </c>
      <c r="E49" s="25">
        <v>2033</v>
      </c>
      <c r="F49" s="25">
        <v>2034</v>
      </c>
      <c r="G49" s="25">
        <v>2035</v>
      </c>
      <c r="H49" s="25">
        <v>2036</v>
      </c>
      <c r="I49" s="25">
        <v>2037</v>
      </c>
      <c r="J49" s="25">
        <v>2038</v>
      </c>
      <c r="K49" s="25">
        <v>2039</v>
      </c>
      <c r="L49" s="25">
        <v>2040</v>
      </c>
      <c r="M49" s="25">
        <v>2041</v>
      </c>
      <c r="N49" s="25">
        <v>2042</v>
      </c>
      <c r="O49" s="25">
        <v>2043</v>
      </c>
      <c r="P49" s="25">
        <v>2044</v>
      </c>
      <c r="Q49" s="25">
        <v>2045</v>
      </c>
      <c r="R49" s="25">
        <v>2046</v>
      </c>
      <c r="S49" s="25">
        <v>2047</v>
      </c>
      <c r="T49" s="25">
        <v>2048</v>
      </c>
      <c r="U49" s="25">
        <v>2049</v>
      </c>
      <c r="V49" s="25">
        <v>2050</v>
      </c>
      <c r="W49" s="25">
        <v>2051</v>
      </c>
      <c r="X49" s="25">
        <v>2052</v>
      </c>
      <c r="Y49" s="25">
        <v>2053</v>
      </c>
      <c r="Z49" s="25">
        <v>2054</v>
      </c>
      <c r="AC49" s="25">
        <v>2030</v>
      </c>
      <c r="AD49" s="25">
        <v>2031</v>
      </c>
      <c r="AE49" s="25">
        <v>2032</v>
      </c>
      <c r="AF49" s="25">
        <v>2033</v>
      </c>
      <c r="AG49" s="25">
        <v>2034</v>
      </c>
      <c r="AH49" s="25">
        <v>2035</v>
      </c>
      <c r="AI49" s="25">
        <v>2036</v>
      </c>
      <c r="AJ49" s="25">
        <v>2037</v>
      </c>
      <c r="AK49" s="25">
        <v>2038</v>
      </c>
      <c r="AL49" s="25">
        <v>2039</v>
      </c>
      <c r="AM49" s="25">
        <v>2040</v>
      </c>
      <c r="AN49" s="25">
        <v>2041</v>
      </c>
      <c r="AO49" s="25">
        <v>2042</v>
      </c>
      <c r="AP49" s="25">
        <v>2043</v>
      </c>
      <c r="AQ49" s="25">
        <v>2044</v>
      </c>
      <c r="AR49" s="25">
        <v>2045</v>
      </c>
      <c r="AS49" s="25">
        <v>2046</v>
      </c>
      <c r="AT49" s="25">
        <v>2047</v>
      </c>
      <c r="AU49" s="25">
        <v>2048</v>
      </c>
      <c r="AV49" s="25">
        <v>2049</v>
      </c>
      <c r="AW49" s="25">
        <v>2050</v>
      </c>
      <c r="AX49" s="25">
        <v>2051</v>
      </c>
      <c r="AY49" s="25">
        <v>2052</v>
      </c>
      <c r="AZ49" s="25">
        <v>2053</v>
      </c>
      <c r="BA49" s="25">
        <v>2054</v>
      </c>
    </row>
    <row r="50" spans="1:53" outlineLevel="1" x14ac:dyDescent="0.35">
      <c r="A50" s="6" t="s">
        <v>21</v>
      </c>
      <c r="B50" s="6">
        <f>'Results - raw data ReCiPe (I)'!AC41</f>
        <v>1.609797474401893E-6</v>
      </c>
      <c r="AB50" s="6" t="s">
        <v>117</v>
      </c>
      <c r="AC50" s="6">
        <f>SUM(B50:B61)+B63</f>
        <v>1.044355890609833E-4</v>
      </c>
    </row>
    <row r="51" spans="1:53" outlineLevel="1" x14ac:dyDescent="0.35">
      <c r="A51" s="6" t="s">
        <v>23</v>
      </c>
      <c r="B51" s="6">
        <f>'Results - raw data ReCiPe (I)'!AC42</f>
        <v>3.5467374336619431E-6</v>
      </c>
      <c r="AB51" s="6" t="s">
        <v>118</v>
      </c>
      <c r="AC51" s="6">
        <f>B62</f>
        <v>5.3366017106762977E-6</v>
      </c>
    </row>
    <row r="52" spans="1:53" outlineLevel="1" x14ac:dyDescent="0.35">
      <c r="A52" s="6" t="s">
        <v>26</v>
      </c>
      <c r="B52" s="6">
        <f>'Results - raw data ReCiPe (I)'!AC43</f>
        <v>7.6861903308191347E-6</v>
      </c>
      <c r="AB52" s="6" t="s">
        <v>119</v>
      </c>
      <c r="BA52" s="6">
        <f>SUM(Z64:Z75)</f>
        <v>1.2390051343368202E-6</v>
      </c>
    </row>
    <row r="53" spans="1:53" outlineLevel="1" x14ac:dyDescent="0.35">
      <c r="A53" s="6" t="s">
        <v>28</v>
      </c>
      <c r="B53" s="6">
        <f>'Results - raw data ReCiPe (I)'!AC44</f>
        <v>5.5754416848237463E-6</v>
      </c>
      <c r="AB53" s="6" t="s">
        <v>120</v>
      </c>
      <c r="BA53" s="6">
        <f>Z76</f>
        <v>3.8973567066174879E-8</v>
      </c>
    </row>
    <row r="54" spans="1:53" outlineLevel="1" x14ac:dyDescent="0.35">
      <c r="A54" s="6" t="s">
        <v>29</v>
      </c>
      <c r="B54" s="6">
        <f>'Results - raw data ReCiPe (I)'!AC45</f>
        <v>5.3267061677277006E-6</v>
      </c>
      <c r="AB54" s="6" t="s">
        <v>121</v>
      </c>
      <c r="AC54" s="6">
        <f>B77</f>
        <v>1.8258940739667011E-6</v>
      </c>
      <c r="AF54" s="6">
        <f>E77</f>
        <v>1.767125439800878E-6</v>
      </c>
      <c r="AI54" s="6">
        <f>H77</f>
        <v>1.715497990639842E-6</v>
      </c>
      <c r="AL54" s="6">
        <f>K77</f>
        <v>1.657874882943543E-6</v>
      </c>
      <c r="AO54" s="6">
        <f>N77</f>
        <v>1.5963755513726221E-6</v>
      </c>
      <c r="AR54" s="6">
        <f>Q77</f>
        <v>1.5285765180628141E-6</v>
      </c>
      <c r="AU54" s="6">
        <f>T77</f>
        <v>1.48499946196324E-6</v>
      </c>
      <c r="AX54" s="6">
        <f>W77</f>
        <v>1.472270012135608E-6</v>
      </c>
      <c r="BA54" s="6">
        <f>Z77</f>
        <v>1.4696136355869061E-6</v>
      </c>
    </row>
    <row r="55" spans="1:53" outlineLevel="1" x14ac:dyDescent="0.35">
      <c r="A55" s="6" t="s">
        <v>31</v>
      </c>
      <c r="B55" s="6">
        <f>'Results - raw data ReCiPe (I)'!AC46</f>
        <v>4.3911713978771618E-6</v>
      </c>
      <c r="AB55" s="6" t="s">
        <v>122</v>
      </c>
      <c r="AC55" s="6">
        <f>B80+B79</f>
        <v>6.2505926922369167E-5</v>
      </c>
      <c r="AD55" s="6">
        <f t="shared" ref="AD55:BA55" si="5">C80+C79</f>
        <v>5.7978510761987392E-5</v>
      </c>
      <c r="AE55" s="6">
        <f t="shared" si="5"/>
        <v>5.3442799952272129E-5</v>
      </c>
      <c r="AF55" s="6">
        <f t="shared" si="5"/>
        <v>4.884529361176451E-5</v>
      </c>
      <c r="AG55" s="6">
        <f t="shared" si="5"/>
        <v>4.42917286803364E-5</v>
      </c>
      <c r="AH55" s="6">
        <f t="shared" si="5"/>
        <v>3.9730878910996372E-5</v>
      </c>
      <c r="AI55" s="6">
        <f t="shared" si="5"/>
        <v>3.7672701186068851E-5</v>
      </c>
      <c r="AJ55" s="6">
        <f t="shared" si="5"/>
        <v>3.5605493829544547E-5</v>
      </c>
      <c r="AK55" s="6">
        <f t="shared" si="5"/>
        <v>3.3478782165126077E-5</v>
      </c>
      <c r="AL55" s="6">
        <f t="shared" si="5"/>
        <v>3.138753003595356E-5</v>
      </c>
      <c r="AM55" s="6">
        <f t="shared" si="5"/>
        <v>2.928528139431669E-5</v>
      </c>
      <c r="AN55" s="6">
        <f t="shared" si="5"/>
        <v>2.8369055744623428E-5</v>
      </c>
      <c r="AO55" s="6">
        <f t="shared" si="5"/>
        <v>2.7445054964636648E-5</v>
      </c>
      <c r="AP55" s="6">
        <f t="shared" si="5"/>
        <v>2.649157245817288E-5</v>
      </c>
      <c r="AQ55" s="6">
        <f t="shared" si="5"/>
        <v>2.5543754506054188E-5</v>
      </c>
      <c r="AR55" s="6">
        <f t="shared" si="5"/>
        <v>2.4587883121361799E-5</v>
      </c>
      <c r="AS55" s="6">
        <f t="shared" si="5"/>
        <v>2.4469127178277918E-5</v>
      </c>
      <c r="AT55" s="6">
        <f t="shared" si="5"/>
        <v>2.4355129563173829E-5</v>
      </c>
      <c r="AU55" s="6">
        <f t="shared" si="5"/>
        <v>2.4226764688214468E-5</v>
      </c>
      <c r="AV55" s="6">
        <f t="shared" si="5"/>
        <v>2.411983969800539E-5</v>
      </c>
      <c r="AW55" s="6">
        <f t="shared" si="5"/>
        <v>2.4016901315923607E-5</v>
      </c>
      <c r="AX55" s="6">
        <f t="shared" si="5"/>
        <v>2.4654963170414927E-5</v>
      </c>
      <c r="AY55" s="6">
        <f t="shared" si="5"/>
        <v>2.4460855528191879E-5</v>
      </c>
      <c r="AZ55" s="6">
        <f t="shared" si="5"/>
        <v>2.4264867154611528E-5</v>
      </c>
      <c r="BA55" s="6">
        <f t="shared" si="5"/>
        <v>2.406695605777555E-5</v>
      </c>
    </row>
    <row r="56" spans="1:53" outlineLevel="1" x14ac:dyDescent="0.35">
      <c r="A56" s="6" t="s">
        <v>34</v>
      </c>
      <c r="B56" s="6">
        <f>'Results - raw data ReCiPe (I)'!AC47</f>
        <v>3.1665482978630201E-6</v>
      </c>
      <c r="AB56" s="6" t="s">
        <v>123</v>
      </c>
      <c r="AC56" s="6">
        <f t="shared" ref="AC56:BA56" si="6">B78</f>
        <v>5.9254811538663173E-6</v>
      </c>
      <c r="AD56" s="6">
        <f t="shared" si="6"/>
        <v>5.5700799113965384E-6</v>
      </c>
      <c r="AE56" s="6">
        <f t="shared" si="6"/>
        <v>5.2155417605495763E-6</v>
      </c>
      <c r="AF56" s="6">
        <f t="shared" si="6"/>
        <v>4.8570633225473461E-6</v>
      </c>
      <c r="AG56" s="6">
        <f t="shared" si="6"/>
        <v>4.5041856479419685E-6</v>
      </c>
      <c r="AH56" s="6">
        <f t="shared" si="6"/>
        <v>4.1522684022087872E-6</v>
      </c>
      <c r="AI56" s="6">
        <f t="shared" si="6"/>
        <v>3.992109484621831E-6</v>
      </c>
      <c r="AJ56" s="6">
        <f t="shared" si="6"/>
        <v>3.8315237878822006E-6</v>
      </c>
      <c r="AK56" s="6">
        <f t="shared" si="6"/>
        <v>3.6661672770336259E-6</v>
      </c>
      <c r="AL56" s="6">
        <f t="shared" si="6"/>
        <v>3.5042634709163951E-6</v>
      </c>
      <c r="AM56" s="6">
        <f t="shared" si="6"/>
        <v>3.3417848870271549E-6</v>
      </c>
      <c r="AN56" s="6">
        <f t="shared" si="6"/>
        <v>3.2696749476736018E-6</v>
      </c>
      <c r="AO56" s="6">
        <f t="shared" si="6"/>
        <v>3.1970157519895608E-6</v>
      </c>
      <c r="AP56" s="6">
        <f t="shared" si="6"/>
        <v>3.1219655189402421E-6</v>
      </c>
      <c r="AQ56" s="6">
        <f t="shared" si="6"/>
        <v>3.047575161640264E-6</v>
      </c>
      <c r="AR56" s="6">
        <f t="shared" si="6"/>
        <v>2.9726056337355178E-6</v>
      </c>
      <c r="AS56" s="6">
        <f t="shared" si="6"/>
        <v>2.962503255173818E-6</v>
      </c>
      <c r="AT56" s="6">
        <f t="shared" si="6"/>
        <v>2.9528088403729429E-6</v>
      </c>
      <c r="AU56" s="6">
        <f t="shared" si="6"/>
        <v>2.9418637683488709E-6</v>
      </c>
      <c r="AV56" s="6">
        <f t="shared" si="6"/>
        <v>2.9328066315729569E-6</v>
      </c>
      <c r="AW56" s="6">
        <f t="shared" si="6"/>
        <v>2.9241099518607162E-6</v>
      </c>
      <c r="AX56" s="6">
        <f t="shared" si="6"/>
        <v>2.9811376000859482E-6</v>
      </c>
      <c r="AY56" s="6">
        <f t="shared" si="6"/>
        <v>2.9652465022981907E-6</v>
      </c>
      <c r="AZ56" s="6">
        <f t="shared" si="6"/>
        <v>2.9492590944806742E-6</v>
      </c>
      <c r="BA56" s="6">
        <f t="shared" si="6"/>
        <v>2.933170722023218E-6</v>
      </c>
    </row>
    <row r="57" spans="1:53" outlineLevel="1" x14ac:dyDescent="0.35">
      <c r="A57" s="6" t="s">
        <v>36</v>
      </c>
      <c r="B57" s="6">
        <f>'Results - raw data ReCiPe (I)'!AC48</f>
        <v>2.8586045900839591E-6</v>
      </c>
      <c r="AB57" s="6" t="s">
        <v>124</v>
      </c>
      <c r="AC57" s="6">
        <f>-$AC$7*$AC$6</f>
        <v>-5.3201450000000005E-5</v>
      </c>
      <c r="AD57" s="6">
        <f t="shared" ref="AD57:BA57" si="7">-$AC$7*$AC$6</f>
        <v>-5.3201450000000005E-5</v>
      </c>
      <c r="AE57" s="6">
        <f t="shared" si="7"/>
        <v>-5.3201450000000005E-5</v>
      </c>
      <c r="AF57" s="6">
        <f t="shared" si="7"/>
        <v>-5.3201450000000005E-5</v>
      </c>
      <c r="AG57" s="6">
        <f t="shared" si="7"/>
        <v>-5.3201450000000005E-5</v>
      </c>
      <c r="AH57" s="6">
        <f t="shared" si="7"/>
        <v>-5.3201450000000005E-5</v>
      </c>
      <c r="AI57" s="6">
        <f t="shared" si="7"/>
        <v>-5.3201450000000005E-5</v>
      </c>
      <c r="AJ57" s="6">
        <f t="shared" si="7"/>
        <v>-5.3201450000000005E-5</v>
      </c>
      <c r="AK57" s="6">
        <f t="shared" si="7"/>
        <v>-5.3201450000000005E-5</v>
      </c>
      <c r="AL57" s="6">
        <f t="shared" si="7"/>
        <v>-5.3201450000000005E-5</v>
      </c>
      <c r="AM57" s="6">
        <f t="shared" si="7"/>
        <v>-5.3201450000000005E-5</v>
      </c>
      <c r="AN57" s="6">
        <f t="shared" si="7"/>
        <v>-5.3201450000000005E-5</v>
      </c>
      <c r="AO57" s="6">
        <f t="shared" si="7"/>
        <v>-5.3201450000000005E-5</v>
      </c>
      <c r="AP57" s="6">
        <f t="shared" si="7"/>
        <v>-5.3201450000000005E-5</v>
      </c>
      <c r="AQ57" s="6">
        <f t="shared" si="7"/>
        <v>-5.3201450000000005E-5</v>
      </c>
      <c r="AR57" s="6">
        <f t="shared" si="7"/>
        <v>-5.3201450000000005E-5</v>
      </c>
      <c r="AS57" s="6">
        <f t="shared" si="7"/>
        <v>-5.3201450000000005E-5</v>
      </c>
      <c r="AT57" s="6">
        <f t="shared" si="7"/>
        <v>-5.3201450000000005E-5</v>
      </c>
      <c r="AU57" s="6">
        <f t="shared" si="7"/>
        <v>-5.3201450000000005E-5</v>
      </c>
      <c r="AV57" s="6">
        <f t="shared" si="7"/>
        <v>-5.3201450000000005E-5</v>
      </c>
      <c r="AW57" s="6">
        <f t="shared" si="7"/>
        <v>-5.3201450000000005E-5</v>
      </c>
      <c r="AX57" s="6">
        <f t="shared" si="7"/>
        <v>-5.3201450000000005E-5</v>
      </c>
      <c r="AY57" s="6">
        <f t="shared" si="7"/>
        <v>-5.3201450000000005E-5</v>
      </c>
      <c r="AZ57" s="6">
        <f t="shared" si="7"/>
        <v>-5.3201450000000005E-5</v>
      </c>
      <c r="BA57" s="6">
        <f t="shared" si="7"/>
        <v>-5.3201450000000005E-5</v>
      </c>
    </row>
    <row r="58" spans="1:53" outlineLevel="1" x14ac:dyDescent="0.35">
      <c r="A58" s="6" t="s">
        <v>38</v>
      </c>
      <c r="B58" s="6">
        <f>'Results - raw data ReCiPe (I)'!AC49</f>
        <v>1.067192873941967E-5</v>
      </c>
      <c r="AB58" s="23" t="s">
        <v>125</v>
      </c>
      <c r="AC58" s="17">
        <f t="shared" ref="AC58:BA58" si="8">SUM(AC50:AC57)</f>
        <v>1.2682804292186178E-4</v>
      </c>
      <c r="AD58" s="17">
        <f t="shared" si="8"/>
        <v>1.0347140673383919E-5</v>
      </c>
      <c r="AE58" s="17">
        <f t="shared" si="8"/>
        <v>5.4568917128217022E-6</v>
      </c>
      <c r="AF58" s="17">
        <f t="shared" si="8"/>
        <v>2.2680323741127283E-6</v>
      </c>
      <c r="AG58" s="17">
        <f t="shared" si="8"/>
        <v>-4.4055356717216364E-6</v>
      </c>
      <c r="AH58" s="17">
        <f t="shared" si="8"/>
        <v>-9.3183026867948464E-6</v>
      </c>
      <c r="AI58" s="17">
        <f t="shared" si="8"/>
        <v>-9.8211413386694801E-6</v>
      </c>
      <c r="AJ58" s="17">
        <f t="shared" si="8"/>
        <v>-1.376443238257326E-5</v>
      </c>
      <c r="AK58" s="17">
        <f t="shared" si="8"/>
        <v>-1.6056500557840305E-5</v>
      </c>
      <c r="AL58" s="17">
        <f t="shared" si="8"/>
        <v>-1.6651781610186506E-5</v>
      </c>
      <c r="AM58" s="17">
        <f t="shared" si="8"/>
        <v>-2.0574383718656164E-5</v>
      </c>
      <c r="AN58" s="17">
        <f t="shared" si="8"/>
        <v>-2.1562719307702975E-5</v>
      </c>
      <c r="AO58" s="17">
        <f t="shared" si="8"/>
        <v>-2.0963003732001174E-5</v>
      </c>
      <c r="AP58" s="17">
        <f t="shared" si="8"/>
        <v>-2.3587912022886882E-5</v>
      </c>
      <c r="AQ58" s="17">
        <f t="shared" si="8"/>
        <v>-2.4610120332305552E-5</v>
      </c>
      <c r="AR58" s="17">
        <f t="shared" si="8"/>
        <v>-2.4112384726839873E-5</v>
      </c>
      <c r="AS58" s="17">
        <f t="shared" si="8"/>
        <v>-2.576981956654827E-5</v>
      </c>
      <c r="AT58" s="17">
        <f t="shared" si="8"/>
        <v>-2.5893511596453234E-5</v>
      </c>
      <c r="AU58" s="17">
        <f t="shared" si="8"/>
        <v>-2.4547822081473429E-5</v>
      </c>
      <c r="AV58" s="17">
        <f t="shared" si="8"/>
        <v>-2.6148803670421659E-5</v>
      </c>
      <c r="AW58" s="17">
        <f t="shared" si="8"/>
        <v>-2.626043873221568E-5</v>
      </c>
      <c r="AX58" s="17">
        <f t="shared" si="8"/>
        <v>-2.4093079217363522E-5</v>
      </c>
      <c r="AY58" s="17">
        <f t="shared" si="8"/>
        <v>-2.5775347969509936E-5</v>
      </c>
      <c r="AZ58" s="17">
        <f t="shared" si="8"/>
        <v>-2.5987323750907803E-5</v>
      </c>
      <c r="BA58" s="17">
        <f t="shared" si="8"/>
        <v>-2.3453730883211335E-5</v>
      </c>
    </row>
    <row r="59" spans="1:53" outlineLevel="1" x14ac:dyDescent="0.35">
      <c r="A59" s="6" t="s">
        <v>39</v>
      </c>
      <c r="B59" s="6">
        <f>'Results - raw data ReCiPe (I)'!AC50</f>
        <v>4.322521895367326E-5</v>
      </c>
    </row>
    <row r="60" spans="1:53" outlineLevel="1" x14ac:dyDescent="0.35">
      <c r="A60" s="6" t="s">
        <v>41</v>
      </c>
      <c r="B60" s="6">
        <f>'Results - raw data ReCiPe (I)'!AC51</f>
        <v>4.0818998483130582E-7</v>
      </c>
    </row>
    <row r="61" spans="1:53" outlineLevel="1" x14ac:dyDescent="0.35">
      <c r="A61" s="6" t="s">
        <v>43</v>
      </c>
      <c r="B61" s="6">
        <f>'Results - raw data ReCiPe (I)'!AC52</f>
        <v>7.6985782370224699E-7</v>
      </c>
      <c r="AB61" s="187"/>
      <c r="AC61" s="187"/>
      <c r="AD61" s="187"/>
      <c r="AE61" s="187"/>
      <c r="AF61" s="187"/>
      <c r="AG61" s="187"/>
      <c r="AH61" s="187"/>
      <c r="AI61" s="187"/>
      <c r="AJ61" s="187"/>
      <c r="AK61" s="187"/>
      <c r="AL61" s="187"/>
      <c r="AM61" s="187"/>
      <c r="AN61" s="187"/>
      <c r="AO61" s="187"/>
      <c r="AP61" s="187"/>
      <c r="AQ61" s="187"/>
      <c r="AR61" s="187"/>
      <c r="AS61" s="187"/>
      <c r="AT61" s="187"/>
      <c r="AU61" s="187"/>
      <c r="AV61" s="187"/>
      <c r="AW61" s="187"/>
      <c r="AX61" s="187"/>
      <c r="AY61" s="187"/>
      <c r="AZ61" s="187"/>
      <c r="BA61" s="187"/>
    </row>
    <row r="62" spans="1:53" outlineLevel="1" x14ac:dyDescent="0.35">
      <c r="A62" s="6" t="s">
        <v>44</v>
      </c>
      <c r="B62" s="6">
        <f>'Results - raw data ReCiPe (I)'!AC53*AC47*AC48</f>
        <v>5.3366017106762977E-6</v>
      </c>
      <c r="AB62" s="187"/>
      <c r="AC62" s="187"/>
      <c r="AD62" s="187"/>
      <c r="AE62" s="187"/>
      <c r="AF62" s="187"/>
      <c r="AG62" s="187"/>
      <c r="AH62" s="187"/>
      <c r="AI62" s="187"/>
      <c r="AJ62" s="187"/>
      <c r="AK62" s="187"/>
      <c r="AL62" s="187"/>
      <c r="AM62" s="187"/>
      <c r="AN62" s="187"/>
      <c r="AO62" s="187"/>
      <c r="AP62" s="187"/>
      <c r="AQ62" s="187"/>
      <c r="AR62" s="187"/>
      <c r="AS62" s="187"/>
      <c r="AT62" s="187"/>
      <c r="AU62" s="187"/>
      <c r="AV62" s="187"/>
      <c r="AW62" s="187"/>
      <c r="AX62" s="187"/>
      <c r="AY62" s="187"/>
      <c r="AZ62" s="187"/>
      <c r="BA62" s="187"/>
    </row>
    <row r="63" spans="1:53" outlineLevel="1" x14ac:dyDescent="0.35">
      <c r="A63" s="6" t="s">
        <v>757</v>
      </c>
      <c r="B63" s="6">
        <f>'Results - raw data ReCiPe (I)'!AC54*AC48*AC47</f>
        <v>1.5199196182098263E-5</v>
      </c>
      <c r="AB63" s="187"/>
      <c r="AC63" s="187"/>
      <c r="AD63" s="187"/>
      <c r="AE63" s="187"/>
      <c r="AF63" s="187"/>
      <c r="AG63" s="187"/>
      <c r="AH63" s="187"/>
      <c r="AI63" s="187"/>
      <c r="AJ63" s="187"/>
      <c r="AK63" s="187"/>
      <c r="AL63" s="187"/>
      <c r="AM63" s="187"/>
      <c r="AN63" s="187"/>
      <c r="AO63" s="187"/>
      <c r="AP63" s="187"/>
      <c r="AQ63" s="187"/>
      <c r="AR63" s="187"/>
      <c r="AS63" s="187"/>
      <c r="AT63" s="187"/>
      <c r="AU63" s="187"/>
      <c r="AV63" s="187"/>
      <c r="AW63" s="187"/>
      <c r="AX63" s="187"/>
      <c r="AY63" s="187"/>
      <c r="AZ63" s="187"/>
      <c r="BA63" s="187"/>
    </row>
    <row r="64" spans="1:53" outlineLevel="1" x14ac:dyDescent="0.35">
      <c r="A64" s="6" t="s">
        <v>22</v>
      </c>
      <c r="Z64" s="6">
        <f>'Results - raw data ReCiPe (I)'!BA55</f>
        <v>1.860554909281469E-8</v>
      </c>
      <c r="AB64" s="187"/>
      <c r="AC64" s="187"/>
      <c r="AD64" s="187"/>
      <c r="AE64" s="187"/>
      <c r="AF64" s="187"/>
      <c r="AG64" s="187"/>
      <c r="AH64" s="187"/>
      <c r="AI64" s="187"/>
      <c r="AJ64" s="187"/>
      <c r="AK64" s="187"/>
      <c r="AL64" s="187"/>
      <c r="AM64" s="187"/>
      <c r="AN64" s="187"/>
      <c r="AO64" s="187"/>
      <c r="AP64" s="187"/>
      <c r="AQ64" s="187"/>
      <c r="AR64" s="187"/>
      <c r="AS64" s="187"/>
      <c r="AT64" s="187"/>
      <c r="AU64" s="187"/>
      <c r="AV64" s="187"/>
      <c r="AW64" s="187"/>
      <c r="AX64" s="187"/>
      <c r="AY64" s="187"/>
      <c r="AZ64" s="187"/>
      <c r="BA64" s="187"/>
    </row>
    <row r="65" spans="1:53" outlineLevel="1" x14ac:dyDescent="0.35">
      <c r="A65" s="6" t="s">
        <v>24</v>
      </c>
      <c r="Z65" s="6">
        <f>'Results - raw data ReCiPe (I)'!BA56</f>
        <v>1.262226278974253E-8</v>
      </c>
      <c r="AB65" s="187"/>
      <c r="AC65" s="187"/>
      <c r="AD65" s="187"/>
      <c r="AE65" s="187"/>
      <c r="AF65" s="187"/>
      <c r="AG65" s="187"/>
      <c r="AH65" s="187"/>
      <c r="AI65" s="187"/>
      <c r="AJ65" s="187"/>
      <c r="AK65" s="187"/>
      <c r="AL65" s="187"/>
      <c r="AM65" s="187"/>
      <c r="AN65" s="187"/>
      <c r="AO65" s="187"/>
      <c r="AP65" s="187"/>
      <c r="AQ65" s="187"/>
      <c r="AR65" s="187"/>
      <c r="AS65" s="187"/>
      <c r="AT65" s="187"/>
      <c r="AU65" s="187"/>
      <c r="AV65" s="187"/>
      <c r="AW65" s="187"/>
      <c r="AX65" s="187"/>
      <c r="AY65" s="187"/>
      <c r="AZ65" s="187"/>
      <c r="BA65" s="187"/>
    </row>
    <row r="66" spans="1:53" outlineLevel="1" x14ac:dyDescent="0.35">
      <c r="A66" s="6" t="s">
        <v>25</v>
      </c>
      <c r="Z66" s="6">
        <f>'Results - raw data ReCiPe (I)'!BA57</f>
        <v>6.2614608470302606E-8</v>
      </c>
      <c r="AB66" s="187"/>
      <c r="AC66" s="187"/>
      <c r="AD66" s="187"/>
      <c r="AE66" s="187"/>
      <c r="AF66" s="187"/>
      <c r="AG66" s="187"/>
      <c r="AH66" s="187"/>
      <c r="AI66" s="187"/>
      <c r="AJ66" s="187"/>
      <c r="AK66" s="187"/>
      <c r="AL66" s="187"/>
      <c r="AM66" s="187"/>
      <c r="AN66" s="187"/>
      <c r="AO66" s="187"/>
      <c r="AP66" s="187"/>
      <c r="AQ66" s="187"/>
      <c r="AR66" s="187"/>
      <c r="AS66" s="187"/>
      <c r="AT66" s="187"/>
      <c r="AU66" s="187"/>
      <c r="AV66" s="187"/>
      <c r="AW66" s="187"/>
      <c r="AX66" s="187"/>
      <c r="AY66" s="187"/>
      <c r="AZ66" s="187"/>
      <c r="BA66" s="187"/>
    </row>
    <row r="67" spans="1:53" outlineLevel="1" x14ac:dyDescent="0.35">
      <c r="A67" s="6" t="s">
        <v>27</v>
      </c>
      <c r="Z67" s="6">
        <f>'Results - raw data ReCiPe (I)'!BA58</f>
        <v>2.6478415356855921E-8</v>
      </c>
      <c r="AB67" s="187"/>
      <c r="AC67" s="187"/>
      <c r="AD67" s="187"/>
      <c r="AE67" s="187"/>
      <c r="AF67" s="187"/>
      <c r="AG67" s="187"/>
      <c r="AH67" s="187"/>
      <c r="AI67" s="187"/>
      <c r="AJ67" s="187"/>
      <c r="AK67" s="187"/>
      <c r="AL67" s="187"/>
      <c r="AM67" s="187"/>
      <c r="AN67" s="187"/>
      <c r="AO67" s="187"/>
      <c r="AP67" s="187"/>
      <c r="AQ67" s="187"/>
      <c r="AR67" s="187"/>
      <c r="AS67" s="187"/>
      <c r="AT67" s="187"/>
      <c r="AU67" s="187"/>
      <c r="AV67" s="187"/>
      <c r="AW67" s="187"/>
      <c r="AX67" s="187"/>
      <c r="AY67" s="187"/>
      <c r="AZ67" s="187"/>
      <c r="BA67" s="187"/>
    </row>
    <row r="68" spans="1:53" outlineLevel="1" x14ac:dyDescent="0.35">
      <c r="A68" s="6" t="s">
        <v>30</v>
      </c>
      <c r="Z68" s="6">
        <f>'Results - raw data ReCiPe (I)'!BA59</f>
        <v>2.4175822784893721E-8</v>
      </c>
      <c r="AB68" s="187"/>
      <c r="AC68" s="187"/>
      <c r="AD68" s="187"/>
      <c r="AE68" s="187"/>
      <c r="AF68" s="187"/>
      <c r="AG68" s="187"/>
      <c r="AH68" s="187"/>
      <c r="AI68" s="187"/>
      <c r="AJ68" s="187"/>
      <c r="AK68" s="187"/>
      <c r="AL68" s="187"/>
      <c r="AM68" s="187"/>
      <c r="AN68" s="187"/>
      <c r="AO68" s="187"/>
      <c r="AP68" s="187"/>
      <c r="AQ68" s="187"/>
      <c r="AR68" s="187"/>
      <c r="AS68" s="187"/>
      <c r="AT68" s="187"/>
      <c r="AU68" s="187"/>
      <c r="AV68" s="187"/>
      <c r="AW68" s="187"/>
      <c r="AX68" s="187"/>
      <c r="AY68" s="187"/>
      <c r="AZ68" s="187"/>
      <c r="BA68" s="187"/>
    </row>
    <row r="69" spans="1:53" outlineLevel="1" x14ac:dyDescent="0.35">
      <c r="A69" s="6" t="s">
        <v>32</v>
      </c>
      <c r="Z69" s="6">
        <f>'Results - raw data ReCiPe (I)'!BA60</f>
        <v>4.4108540167183628E-9</v>
      </c>
      <c r="AB69" s="187"/>
      <c r="AC69" s="187"/>
      <c r="AD69" s="187"/>
      <c r="AE69" s="187"/>
      <c r="AF69" s="187"/>
      <c r="AG69" s="187"/>
      <c r="AH69" s="187"/>
      <c r="AI69" s="187"/>
      <c r="AJ69" s="187"/>
      <c r="AK69" s="187"/>
      <c r="AL69" s="187"/>
      <c r="AM69" s="187"/>
      <c r="AN69" s="187"/>
      <c r="AO69" s="187"/>
      <c r="AP69" s="187"/>
      <c r="AQ69" s="187"/>
      <c r="AR69" s="187"/>
      <c r="AS69" s="187"/>
      <c r="AT69" s="187"/>
      <c r="AU69" s="187"/>
      <c r="AV69" s="187"/>
      <c r="AW69" s="187"/>
      <c r="AX69" s="187"/>
      <c r="AY69" s="187"/>
      <c r="AZ69" s="187"/>
      <c r="BA69" s="187"/>
    </row>
    <row r="70" spans="1:53" outlineLevel="1" x14ac:dyDescent="0.35">
      <c r="A70" s="6" t="s">
        <v>33</v>
      </c>
      <c r="Z70" s="6">
        <f>'Results - raw data ReCiPe (I)'!BA61</f>
        <v>6.2881408457333817E-9</v>
      </c>
      <c r="AB70" s="187"/>
      <c r="AC70" s="187"/>
      <c r="AD70" s="187"/>
      <c r="AE70" s="187"/>
      <c r="AF70" s="187"/>
      <c r="AG70" s="187"/>
      <c r="AH70" s="187"/>
      <c r="AI70" s="187"/>
      <c r="AJ70" s="187"/>
      <c r="AK70" s="187"/>
      <c r="AL70" s="187"/>
      <c r="AM70" s="187"/>
      <c r="AN70" s="187"/>
      <c r="AO70" s="187"/>
      <c r="AP70" s="187"/>
      <c r="AQ70" s="187"/>
      <c r="AR70" s="187"/>
      <c r="AS70" s="187"/>
      <c r="AT70" s="187"/>
      <c r="AU70" s="187"/>
      <c r="AV70" s="187"/>
      <c r="AW70" s="187"/>
      <c r="AX70" s="187"/>
      <c r="AY70" s="187"/>
      <c r="AZ70" s="187"/>
      <c r="BA70" s="187"/>
    </row>
    <row r="71" spans="1:53" outlineLevel="1" x14ac:dyDescent="0.35">
      <c r="A71" s="6" t="s">
        <v>35</v>
      </c>
      <c r="Z71" s="6">
        <f>'Results - raw data ReCiPe (I)'!BA62</f>
        <v>1.257628169146676E-8</v>
      </c>
      <c r="AB71" s="187"/>
      <c r="AC71" s="187"/>
      <c r="AD71" s="187"/>
      <c r="AE71" s="187"/>
      <c r="AF71" s="187"/>
      <c r="AG71" s="187"/>
      <c r="AH71" s="187"/>
      <c r="AI71" s="187"/>
      <c r="AJ71" s="187"/>
      <c r="AK71" s="187"/>
      <c r="AL71" s="187"/>
      <c r="AM71" s="187"/>
      <c r="AN71" s="187"/>
      <c r="AO71" s="187"/>
      <c r="AP71" s="187"/>
      <c r="AQ71" s="187"/>
      <c r="AR71" s="187"/>
      <c r="AS71" s="187"/>
      <c r="AT71" s="187"/>
      <c r="AU71" s="187"/>
      <c r="AV71" s="187"/>
      <c r="AW71" s="187"/>
      <c r="AX71" s="187"/>
      <c r="AY71" s="187"/>
      <c r="AZ71" s="187"/>
      <c r="BA71" s="187"/>
    </row>
    <row r="72" spans="1:53" outlineLevel="1" x14ac:dyDescent="0.35">
      <c r="A72" s="6" t="s">
        <v>37</v>
      </c>
      <c r="Z72" s="6">
        <f>'Results - raw data ReCiPe (I)'!BA63</f>
        <v>7.4742638939308088E-8</v>
      </c>
      <c r="AB72" s="187"/>
      <c r="AC72" s="187"/>
      <c r="AD72" s="187"/>
      <c r="AE72" s="187"/>
      <c r="AF72" s="187"/>
      <c r="AG72" s="187"/>
      <c r="AH72" s="187"/>
      <c r="AI72" s="187"/>
      <c r="AJ72" s="187"/>
      <c r="AK72" s="187"/>
      <c r="AL72" s="187"/>
      <c r="AM72" s="187"/>
      <c r="AN72" s="187"/>
      <c r="AO72" s="187"/>
      <c r="AP72" s="187"/>
      <c r="AQ72" s="187"/>
      <c r="AR72" s="187"/>
      <c r="AS72" s="187"/>
      <c r="AT72" s="187"/>
      <c r="AU72" s="187"/>
      <c r="AV72" s="187"/>
      <c r="AW72" s="187"/>
      <c r="AX72" s="187"/>
      <c r="AY72" s="187"/>
      <c r="AZ72" s="187"/>
      <c r="BA72" s="187"/>
    </row>
    <row r="73" spans="1:53" outlineLevel="1" x14ac:dyDescent="0.35">
      <c r="A73" s="6" t="s">
        <v>40</v>
      </c>
      <c r="Z73" s="6">
        <f>'Results - raw data ReCiPe (I)'!BA64</f>
        <v>3.189126286043751E-7</v>
      </c>
    </row>
    <row r="74" spans="1:53" outlineLevel="1" x14ac:dyDescent="0.35">
      <c r="A74" s="6" t="s">
        <v>42</v>
      </c>
      <c r="Z74" s="6">
        <f>'Results - raw data ReCiPe (I)'!BA65</f>
        <v>1.081344037995507E-7</v>
      </c>
    </row>
    <row r="75" spans="1:53" outlineLevel="1" x14ac:dyDescent="0.35">
      <c r="A75" s="6" t="s">
        <v>115</v>
      </c>
      <c r="Z75" s="6">
        <f>'Results - raw data ReCiPe (I)'!BA66</f>
        <v>5.6944352794505851E-7</v>
      </c>
    </row>
    <row r="76" spans="1:53" outlineLevel="1" x14ac:dyDescent="0.35">
      <c r="A76" s="6" t="s">
        <v>45</v>
      </c>
      <c r="Z76" s="6">
        <f>'Results - raw data ReCiPe (I)'!BA67*AC47*AC48</f>
        <v>3.8973567066174879E-8</v>
      </c>
    </row>
    <row r="77" spans="1:53" outlineLevel="1" x14ac:dyDescent="0.35">
      <c r="A77" s="6" t="s">
        <v>116</v>
      </c>
      <c r="B77" s="6">
        <f>'Results - raw data ReCiPe (I)'!AC68</f>
        <v>1.8258940739667011E-6</v>
      </c>
      <c r="C77" s="6">
        <f>'Results - raw data ReCiPe (I)'!AD68</f>
        <v>1.8097853889646081E-6</v>
      </c>
      <c r="D77" s="6">
        <f>'Results - raw data ReCiPe (I)'!AE68</f>
        <v>1.793249144672149E-6</v>
      </c>
      <c r="E77" s="6">
        <f>'Results - raw data ReCiPe (I)'!AF68</f>
        <v>1.767125439800878E-6</v>
      </c>
      <c r="F77" s="6">
        <f>'Results - raw data ReCiPe (I)'!AG68</f>
        <v>1.749722155215245E-6</v>
      </c>
      <c r="G77" s="6">
        <f>'Results - raw data ReCiPe (I)'!AH68</f>
        <v>1.731949971034127E-6</v>
      </c>
      <c r="H77" s="6">
        <f>'Results - raw data ReCiPe (I)'!AI68</f>
        <v>1.715497990639842E-6</v>
      </c>
      <c r="I77" s="6">
        <f>'Results - raw data ReCiPe (I)'!AJ68</f>
        <v>1.6986937001121861E-6</v>
      </c>
      <c r="J77" s="6">
        <f>'Results - raw data ReCiPe (I)'!AK68</f>
        <v>1.675613778626544E-6</v>
      </c>
      <c r="K77" s="6">
        <f>'Results - raw data ReCiPe (I)'!AL68</f>
        <v>1.657874882943543E-6</v>
      </c>
      <c r="L77" s="6">
        <f>'Results - raw data ReCiPe (I)'!AM68</f>
        <v>1.6397616759242281E-6</v>
      </c>
      <c r="M77" s="6">
        <f>'Results - raw data ReCiPe (I)'!AN68</f>
        <v>1.618071746058483E-6</v>
      </c>
      <c r="N77" s="6">
        <f>'Results - raw data ReCiPe (I)'!AO68</f>
        <v>1.5963755513726221E-6</v>
      </c>
      <c r="O77" s="6">
        <f>'Results - raw data ReCiPe (I)'!AP68</f>
        <v>1.572208258688587E-6</v>
      </c>
      <c r="P77" s="6">
        <f>'Results - raw data ReCiPe (I)'!AQ68</f>
        <v>1.5504021092391091E-6</v>
      </c>
      <c r="Q77" s="6">
        <f>'Results - raw data ReCiPe (I)'!AR68</f>
        <v>1.5285765180628141E-6</v>
      </c>
      <c r="R77" s="6">
        <f>'Results - raw data ReCiPe (I)'!AS68</f>
        <v>1.51498233235843E-6</v>
      </c>
      <c r="S77" s="6">
        <f>'Results - raw data ReCiPe (I)'!AT68</f>
        <v>1.5013228590328331E-6</v>
      </c>
      <c r="T77" s="6">
        <f>'Results - raw data ReCiPe (I)'!AU68</f>
        <v>1.48499946196324E-6</v>
      </c>
      <c r="U77" s="6">
        <f>'Results - raw data ReCiPe (I)'!AV68</f>
        <v>1.4712632497413719E-6</v>
      </c>
      <c r="V77" s="6">
        <f>'Results - raw data ReCiPe (I)'!AW68</f>
        <v>1.457559175001213E-6</v>
      </c>
      <c r="W77" s="6">
        <f>'Results - raw data ReCiPe (I)'!AX68</f>
        <v>1.472270012135608E-6</v>
      </c>
      <c r="X77" s="6">
        <f>'Results - raw data ReCiPe (I)'!AY68</f>
        <v>1.4713669409346271E-6</v>
      </c>
      <c r="Y77" s="6">
        <f>'Results - raw data ReCiPe (I)'!AZ68</f>
        <v>1.4704817520773229E-6</v>
      </c>
      <c r="Z77" s="6">
        <f>'Results - raw data ReCiPe (I)'!BA68</f>
        <v>1.4696136355869061E-6</v>
      </c>
    </row>
    <row r="78" spans="1:53" outlineLevel="1" x14ac:dyDescent="0.35">
      <c r="A78" s="6" t="s">
        <v>758</v>
      </c>
      <c r="B78" s="6">
        <f>'Results - raw data ReCiPe (I)'!AC69*$AC$47</f>
        <v>5.9254811538663173E-6</v>
      </c>
      <c r="C78" s="6">
        <f>'Results - raw data ReCiPe (I)'!AD69*$AC$47</f>
        <v>5.5700799113965384E-6</v>
      </c>
      <c r="D78" s="6">
        <f>'Results - raw data ReCiPe (I)'!AE69*$AC$47</f>
        <v>5.2155417605495763E-6</v>
      </c>
      <c r="E78" s="6">
        <f>'Results - raw data ReCiPe (I)'!AF69*$AC$47</f>
        <v>4.8570633225473461E-6</v>
      </c>
      <c r="F78" s="6">
        <f>'Results - raw data ReCiPe (I)'!AG69*$AC$47</f>
        <v>4.5041856479419685E-6</v>
      </c>
      <c r="G78" s="6">
        <f>'Results - raw data ReCiPe (I)'!AH69*$AC$47</f>
        <v>4.1522684022087872E-6</v>
      </c>
      <c r="H78" s="6">
        <f>'Results - raw data ReCiPe (I)'!AI69*$AC$47</f>
        <v>3.992109484621831E-6</v>
      </c>
      <c r="I78" s="6">
        <f>'Results - raw data ReCiPe (I)'!AJ69*$AC$47</f>
        <v>3.8315237878822006E-6</v>
      </c>
      <c r="J78" s="6">
        <f>'Results - raw data ReCiPe (I)'!AK69*$AC$47</f>
        <v>3.6661672770336259E-6</v>
      </c>
      <c r="K78" s="6">
        <f>'Results - raw data ReCiPe (I)'!AL69*$AC$47</f>
        <v>3.5042634709163951E-6</v>
      </c>
      <c r="L78" s="6">
        <f>'Results - raw data ReCiPe (I)'!AM69*$AC$47</f>
        <v>3.3417848870271549E-6</v>
      </c>
      <c r="M78" s="6">
        <f>'Results - raw data ReCiPe (I)'!AN69*$AC$47</f>
        <v>3.2696749476736018E-6</v>
      </c>
      <c r="N78" s="6">
        <f>'Results - raw data ReCiPe (I)'!AO69*$AC$47</f>
        <v>3.1970157519895608E-6</v>
      </c>
      <c r="O78" s="6">
        <f>'Results - raw data ReCiPe (I)'!AP69*$AC$47</f>
        <v>3.1219655189402421E-6</v>
      </c>
      <c r="P78" s="6">
        <f>'Results - raw data ReCiPe (I)'!AQ69*$AC$47</f>
        <v>3.047575161640264E-6</v>
      </c>
      <c r="Q78" s="6">
        <f>'Results - raw data ReCiPe (I)'!AR69*$AC$47</f>
        <v>2.9726056337355178E-6</v>
      </c>
      <c r="R78" s="6">
        <f>'Results - raw data ReCiPe (I)'!AS69*$AC$47</f>
        <v>2.962503255173818E-6</v>
      </c>
      <c r="S78" s="6">
        <f>'Results - raw data ReCiPe (I)'!AT69*$AC$47</f>
        <v>2.9528088403729429E-6</v>
      </c>
      <c r="T78" s="6">
        <f>'Results - raw data ReCiPe (I)'!AU69*$AC$47</f>
        <v>2.9418637683488709E-6</v>
      </c>
      <c r="U78" s="6">
        <f>'Results - raw data ReCiPe (I)'!AV69*$AC$47</f>
        <v>2.9328066315729569E-6</v>
      </c>
      <c r="V78" s="6">
        <f>'Results - raw data ReCiPe (I)'!AW69*$AC$47</f>
        <v>2.9241099518607162E-6</v>
      </c>
      <c r="W78" s="6">
        <f>'Results - raw data ReCiPe (I)'!AX69*$AC$47</f>
        <v>2.9811376000859482E-6</v>
      </c>
      <c r="X78" s="6">
        <f>'Results - raw data ReCiPe (I)'!AY69*$AC$47</f>
        <v>2.9652465022981907E-6</v>
      </c>
      <c r="Y78" s="6">
        <f>'Results - raw data ReCiPe (I)'!AZ69*$AC$47</f>
        <v>2.9492590944806742E-6</v>
      </c>
      <c r="Z78" s="6">
        <f>'Results - raw data ReCiPe (I)'!BA69*$AC$47</f>
        <v>2.933170722023218E-6</v>
      </c>
    </row>
    <row r="79" spans="1:53" outlineLevel="1" x14ac:dyDescent="0.35">
      <c r="A79" s="6" t="s">
        <v>759</v>
      </c>
      <c r="B79" s="6">
        <f>'Results - raw data ReCiPe (I)'!AC70</f>
        <v>2.0736000294618859E-7</v>
      </c>
      <c r="C79" s="6">
        <f>'Results - raw data ReCiPe (I)'!AD70</f>
        <v>2.0736000294618859E-7</v>
      </c>
      <c r="D79" s="6">
        <f>'Results - raw data ReCiPe (I)'!AE70</f>
        <v>2.0736000294618859E-7</v>
      </c>
      <c r="E79" s="6">
        <f>'Results - raw data ReCiPe (I)'!AF70</f>
        <v>2.0736000294618859E-7</v>
      </c>
      <c r="F79" s="6">
        <f>'Results - raw data ReCiPe (I)'!AG70</f>
        <v>2.0736000294618859E-7</v>
      </c>
      <c r="G79" s="6">
        <f>'Results - raw data ReCiPe (I)'!AH70</f>
        <v>2.0736000294618859E-7</v>
      </c>
      <c r="H79" s="6">
        <f>'Results - raw data ReCiPe (I)'!AI70</f>
        <v>2.0736000294618859E-7</v>
      </c>
      <c r="I79" s="6">
        <f>'Results - raw data ReCiPe (I)'!AJ70</f>
        <v>2.0736000294618859E-7</v>
      </c>
      <c r="J79" s="6">
        <f>'Results - raw data ReCiPe (I)'!AK70</f>
        <v>2.0736000294618859E-7</v>
      </c>
      <c r="K79" s="6">
        <f>'Results - raw data ReCiPe (I)'!AL70</f>
        <v>2.0736000294618859E-7</v>
      </c>
      <c r="L79" s="6">
        <f>'Results - raw data ReCiPe (I)'!AM70</f>
        <v>2.0736000294618859E-7</v>
      </c>
      <c r="M79" s="6">
        <f>'Results - raw data ReCiPe (I)'!AN70</f>
        <v>2.0736000294618859E-7</v>
      </c>
      <c r="N79" s="6">
        <f>'Results - raw data ReCiPe (I)'!AO70</f>
        <v>2.0736000294618859E-7</v>
      </c>
      <c r="O79" s="6">
        <f>'Results - raw data ReCiPe (I)'!AP70</f>
        <v>2.0736000294618859E-7</v>
      </c>
      <c r="P79" s="6">
        <f>'Results - raw data ReCiPe (I)'!AQ70</f>
        <v>2.0736000294618859E-7</v>
      </c>
      <c r="Q79" s="6">
        <f>'Results - raw data ReCiPe (I)'!AR70</f>
        <v>2.0736000294618859E-7</v>
      </c>
      <c r="R79" s="6">
        <f>'Results - raw data ReCiPe (I)'!AS70</f>
        <v>2.0736000294618859E-7</v>
      </c>
      <c r="S79" s="6">
        <f>'Results - raw data ReCiPe (I)'!AT70</f>
        <v>2.0736000294618859E-7</v>
      </c>
      <c r="T79" s="6">
        <f>'Results - raw data ReCiPe (I)'!AU70</f>
        <v>2.0736000294618859E-7</v>
      </c>
      <c r="U79" s="6">
        <f>'Results - raw data ReCiPe (I)'!AV70</f>
        <v>2.0736000294618859E-7</v>
      </c>
      <c r="V79" s="6">
        <f>'Results - raw data ReCiPe (I)'!AW70</f>
        <v>2.0736000294618859E-7</v>
      </c>
      <c r="W79" s="6">
        <f>'Results - raw data ReCiPe (I)'!AX70</f>
        <v>2.0736000294618859E-7</v>
      </c>
      <c r="X79" s="6">
        <f>'Results - raw data ReCiPe (I)'!AY70</f>
        <v>2.0736000294618859E-7</v>
      </c>
      <c r="Y79" s="6">
        <f>'Results - raw data ReCiPe (I)'!AZ70</f>
        <v>2.0736000294618859E-7</v>
      </c>
      <c r="Z79" s="6">
        <f>'Results - raw data ReCiPe (I)'!BA70</f>
        <v>2.0736000294618859E-7</v>
      </c>
    </row>
    <row r="80" spans="1:53" outlineLevel="1" x14ac:dyDescent="0.35">
      <c r="A80" s="6" t="s">
        <v>760</v>
      </c>
      <c r="B80" s="6">
        <f>'Results - raw data ReCiPe (I)'!AC71</f>
        <v>6.2298566919422979E-5</v>
      </c>
      <c r="C80" s="6">
        <f>'Results - raw data ReCiPe (I)'!AD71</f>
        <v>5.7771150759041203E-5</v>
      </c>
      <c r="D80" s="6">
        <f>'Results - raw data ReCiPe (I)'!AE71</f>
        <v>5.323543994932594E-5</v>
      </c>
      <c r="E80" s="6">
        <f>'Results - raw data ReCiPe (I)'!AF71</f>
        <v>4.8637933608818322E-5</v>
      </c>
      <c r="F80" s="6">
        <f>'Results - raw data ReCiPe (I)'!AG71</f>
        <v>4.4084368677390212E-5</v>
      </c>
      <c r="G80" s="6">
        <f>'Results - raw data ReCiPe (I)'!AH71</f>
        <v>3.9523518908050183E-5</v>
      </c>
      <c r="H80" s="6">
        <f>'Results - raw data ReCiPe (I)'!AI71</f>
        <v>3.7465341183122662E-5</v>
      </c>
      <c r="I80" s="6">
        <f>'Results - raw data ReCiPe (I)'!AJ71</f>
        <v>3.5398133826598358E-5</v>
      </c>
      <c r="J80" s="6">
        <f>'Results - raw data ReCiPe (I)'!AK71</f>
        <v>3.3271422162179889E-5</v>
      </c>
      <c r="K80" s="6">
        <f>'Results - raw data ReCiPe (I)'!AL71</f>
        <v>3.1180170033007371E-5</v>
      </c>
      <c r="L80" s="6">
        <f>'Results - raw data ReCiPe (I)'!AM71</f>
        <v>2.9077921391370502E-5</v>
      </c>
      <c r="M80" s="6">
        <f>'Results - raw data ReCiPe (I)'!AN71</f>
        <v>2.8161695741677239E-5</v>
      </c>
      <c r="N80" s="6">
        <f>'Results - raw data ReCiPe (I)'!AO71</f>
        <v>2.723769496169046E-5</v>
      </c>
      <c r="O80" s="6">
        <f>'Results - raw data ReCiPe (I)'!AP71</f>
        <v>2.6284212455226691E-5</v>
      </c>
      <c r="P80" s="6">
        <f>'Results - raw data ReCiPe (I)'!AQ71</f>
        <v>2.5336394503108E-5</v>
      </c>
      <c r="Q80" s="6">
        <f>'Results - raw data ReCiPe (I)'!AR71</f>
        <v>2.438052311841561E-5</v>
      </c>
      <c r="R80" s="6">
        <f>'Results - raw data ReCiPe (I)'!AS71</f>
        <v>2.4261767175331729E-5</v>
      </c>
      <c r="S80" s="6">
        <f>'Results - raw data ReCiPe (I)'!AT71</f>
        <v>2.414776956022764E-5</v>
      </c>
      <c r="T80" s="6">
        <f>'Results - raw data ReCiPe (I)'!AU71</f>
        <v>2.4019404685268279E-5</v>
      </c>
      <c r="U80" s="6">
        <f>'Results - raw data ReCiPe (I)'!AV71</f>
        <v>2.3912479695059202E-5</v>
      </c>
      <c r="V80" s="6">
        <f>'Results - raw data ReCiPe (I)'!AW71</f>
        <v>2.3809541312977419E-5</v>
      </c>
      <c r="W80" s="6">
        <f>'Results - raw data ReCiPe (I)'!AX71</f>
        <v>2.4447603167468738E-5</v>
      </c>
      <c r="X80" s="6">
        <f>'Results - raw data ReCiPe (I)'!AY71</f>
        <v>2.425349552524569E-5</v>
      </c>
      <c r="Y80" s="6">
        <f>'Results - raw data ReCiPe (I)'!AZ71</f>
        <v>2.4057507151665339E-5</v>
      </c>
      <c r="Z80" s="6">
        <f>'Results - raw data ReCiPe (I)'!BA71</f>
        <v>2.3859596054829361E-5</v>
      </c>
    </row>
    <row r="81" spans="1:53" outlineLevel="1" x14ac:dyDescent="0.35">
      <c r="A81" s="23" t="s">
        <v>125</v>
      </c>
      <c r="B81" s="17">
        <f t="shared" ref="B81:Z81" si="9">SUM(B50:B80)</f>
        <v>1.8002949292186181E-4</v>
      </c>
      <c r="C81" s="17">
        <f t="shared" si="9"/>
        <v>6.5358376062348532E-5</v>
      </c>
      <c r="D81" s="17">
        <f t="shared" si="9"/>
        <v>6.0451590857493853E-5</v>
      </c>
      <c r="E81" s="17">
        <f t="shared" si="9"/>
        <v>5.5469482374112734E-5</v>
      </c>
      <c r="F81" s="17">
        <f t="shared" si="9"/>
        <v>5.0545636483493614E-5</v>
      </c>
      <c r="G81" s="17">
        <f t="shared" si="9"/>
        <v>4.5615097284239288E-5</v>
      </c>
      <c r="H81" s="17">
        <f t="shared" si="9"/>
        <v>4.3380308661330525E-5</v>
      </c>
      <c r="I81" s="17">
        <f t="shared" si="9"/>
        <v>4.1135711317538933E-5</v>
      </c>
      <c r="J81" s="17">
        <f t="shared" si="9"/>
        <v>3.882056322078625E-5</v>
      </c>
      <c r="K81" s="17">
        <f t="shared" si="9"/>
        <v>3.6549668389813499E-5</v>
      </c>
      <c r="L81" s="17">
        <f t="shared" si="9"/>
        <v>3.4266827957268074E-5</v>
      </c>
      <c r="M81" s="17">
        <f t="shared" si="9"/>
        <v>3.325680243835551E-5</v>
      </c>
      <c r="N81" s="17">
        <f t="shared" si="9"/>
        <v>3.2238446267998831E-5</v>
      </c>
      <c r="O81" s="17">
        <f t="shared" si="9"/>
        <v>3.1185746235801709E-5</v>
      </c>
      <c r="P81" s="17">
        <f t="shared" si="9"/>
        <v>3.0141731776933562E-5</v>
      </c>
      <c r="Q81" s="17">
        <f t="shared" si="9"/>
        <v>2.9089065273160133E-5</v>
      </c>
      <c r="R81" s="17">
        <f t="shared" si="9"/>
        <v>2.8946612765810166E-5</v>
      </c>
      <c r="S81" s="17">
        <f t="shared" si="9"/>
        <v>2.8809261262579606E-5</v>
      </c>
      <c r="T81" s="17">
        <f t="shared" si="9"/>
        <v>2.865362791852658E-5</v>
      </c>
      <c r="U81" s="17">
        <f t="shared" si="9"/>
        <v>2.8523909579319718E-5</v>
      </c>
      <c r="V81" s="17">
        <f t="shared" si="9"/>
        <v>2.8398570442785539E-5</v>
      </c>
      <c r="W81" s="17">
        <f t="shared" si="9"/>
        <v>2.9108370782636483E-5</v>
      </c>
      <c r="X81" s="17">
        <f t="shared" si="9"/>
        <v>2.8897468971424697E-5</v>
      </c>
      <c r="Y81" s="17">
        <f t="shared" si="9"/>
        <v>2.8684608001169524E-5</v>
      </c>
      <c r="Z81" s="17">
        <f t="shared" si="9"/>
        <v>2.9747719116788671E-5</v>
      </c>
    </row>
    <row r="82" spans="1:53" outlineLevel="1" x14ac:dyDescent="0.35"/>
    <row r="83" spans="1:53" s="18" customFormat="1" ht="21" x14ac:dyDescent="0.5">
      <c r="A83" s="18" t="s">
        <v>94</v>
      </c>
    </row>
    <row r="84" spans="1:53" s="20" customFormat="1" outlineLevel="1" x14ac:dyDescent="0.35">
      <c r="A84" s="19" t="s">
        <v>767</v>
      </c>
    </row>
    <row r="85" spans="1:53" s="16" customFormat="1" outlineLevel="1" x14ac:dyDescent="0.35">
      <c r="A85" s="21"/>
      <c r="AB85" s="15" t="s">
        <v>143</v>
      </c>
      <c r="AC85" s="16">
        <f>0.000000000532+0.0000000000000145</f>
        <v>5.3201449999999999E-10</v>
      </c>
      <c r="AD85" s="16" t="s">
        <v>916</v>
      </c>
      <c r="AE85" s="15" t="s">
        <v>714</v>
      </c>
    </row>
    <row r="86" spans="1:53" s="16" customFormat="1" outlineLevel="1" x14ac:dyDescent="0.35">
      <c r="A86" s="22" t="s">
        <v>917</v>
      </c>
      <c r="AC86" s="16">
        <f>AC85*1000</f>
        <v>5.3201450000000003E-7</v>
      </c>
      <c r="AD86" s="16" t="s">
        <v>918</v>
      </c>
    </row>
    <row r="87" spans="1:53" s="16" customFormat="1" outlineLevel="1" x14ac:dyDescent="0.35">
      <c r="A87" s="22"/>
      <c r="AB87" s="16" t="s">
        <v>127</v>
      </c>
      <c r="AC87" s="16">
        <v>100</v>
      </c>
      <c r="AD87" s="16" t="s">
        <v>128</v>
      </c>
    </row>
    <row r="88" spans="1:53" s="16" customFormat="1" outlineLevel="1" x14ac:dyDescent="0.35">
      <c r="A88" s="22"/>
      <c r="AB88" s="16" t="s">
        <v>129</v>
      </c>
      <c r="AC88" s="16">
        <v>25</v>
      </c>
      <c r="AD88" s="16" t="s">
        <v>130</v>
      </c>
    </row>
    <row r="89" spans="1:53" outlineLevel="1" x14ac:dyDescent="0.35">
      <c r="B89" s="25">
        <v>2030</v>
      </c>
      <c r="C89" s="25">
        <v>2031</v>
      </c>
      <c r="D89" s="25">
        <v>2032</v>
      </c>
      <c r="E89" s="25">
        <v>2033</v>
      </c>
      <c r="F89" s="25">
        <v>2034</v>
      </c>
      <c r="G89" s="25">
        <v>2035</v>
      </c>
      <c r="H89" s="25">
        <v>2036</v>
      </c>
      <c r="I89" s="25">
        <v>2037</v>
      </c>
      <c r="J89" s="25">
        <v>2038</v>
      </c>
      <c r="K89" s="25">
        <v>2039</v>
      </c>
      <c r="L89" s="25">
        <v>2040</v>
      </c>
      <c r="M89" s="25">
        <v>2041</v>
      </c>
      <c r="N89" s="25">
        <v>2042</v>
      </c>
      <c r="O89" s="25">
        <v>2043</v>
      </c>
      <c r="P89" s="25">
        <v>2044</v>
      </c>
      <c r="Q89" s="25">
        <v>2045</v>
      </c>
      <c r="R89" s="25">
        <v>2046</v>
      </c>
      <c r="S89" s="25">
        <v>2047</v>
      </c>
      <c r="T89" s="25">
        <v>2048</v>
      </c>
      <c r="U89" s="25">
        <v>2049</v>
      </c>
      <c r="V89" s="25">
        <v>2050</v>
      </c>
      <c r="W89" s="25">
        <v>2051</v>
      </c>
      <c r="X89" s="25">
        <v>2052</v>
      </c>
      <c r="Y89" s="25">
        <v>2053</v>
      </c>
      <c r="Z89" s="25">
        <v>2054</v>
      </c>
      <c r="AC89" s="25">
        <v>2030</v>
      </c>
      <c r="AD89" s="25">
        <v>2031</v>
      </c>
      <c r="AE89" s="25">
        <v>2032</v>
      </c>
      <c r="AF89" s="25">
        <v>2033</v>
      </c>
      <c r="AG89" s="25">
        <v>2034</v>
      </c>
      <c r="AH89" s="25">
        <v>2035</v>
      </c>
      <c r="AI89" s="25">
        <v>2036</v>
      </c>
      <c r="AJ89" s="25">
        <v>2037</v>
      </c>
      <c r="AK89" s="25">
        <v>2038</v>
      </c>
      <c r="AL89" s="25">
        <v>2039</v>
      </c>
      <c r="AM89" s="25">
        <v>2040</v>
      </c>
      <c r="AN89" s="25">
        <v>2041</v>
      </c>
      <c r="AO89" s="25">
        <v>2042</v>
      </c>
      <c r="AP89" s="25">
        <v>2043</v>
      </c>
      <c r="AQ89" s="25">
        <v>2044</v>
      </c>
      <c r="AR89" s="25">
        <v>2045</v>
      </c>
      <c r="AS89" s="25">
        <v>2046</v>
      </c>
      <c r="AT89" s="25">
        <v>2047</v>
      </c>
      <c r="AU89" s="25">
        <v>2048</v>
      </c>
      <c r="AV89" s="25">
        <v>2049</v>
      </c>
      <c r="AW89" s="25">
        <v>2050</v>
      </c>
      <c r="AX89" s="25">
        <v>2051</v>
      </c>
      <c r="AY89" s="25">
        <v>2052</v>
      </c>
      <c r="AZ89" s="25">
        <v>2053</v>
      </c>
      <c r="BA89" s="25">
        <v>2054</v>
      </c>
    </row>
    <row r="90" spans="1:53" outlineLevel="1" x14ac:dyDescent="0.35">
      <c r="A90" s="6" t="s">
        <v>21</v>
      </c>
      <c r="B90" s="6">
        <f>'Results - raw data ReCiPe (I)'!AC77</f>
        <v>1.370483690070245E-6</v>
      </c>
      <c r="AB90" s="6" t="s">
        <v>117</v>
      </c>
      <c r="AC90" s="6">
        <f>SUM(B90:B101)+B103</f>
        <v>9.0381118043135502E-5</v>
      </c>
    </row>
    <row r="91" spans="1:53" outlineLevel="1" x14ac:dyDescent="0.35">
      <c r="A91" s="6" t="s">
        <v>23</v>
      </c>
      <c r="B91" s="6">
        <f>'Results - raw data ReCiPe (I)'!AC78</f>
        <v>3.2166177096034538E-6</v>
      </c>
      <c r="AB91" s="6" t="s">
        <v>118</v>
      </c>
      <c r="AC91" s="6">
        <f>B102</f>
        <v>4.9982557100980421E-6</v>
      </c>
    </row>
    <row r="92" spans="1:53" outlineLevel="1" x14ac:dyDescent="0.35">
      <c r="A92" s="6" t="s">
        <v>26</v>
      </c>
      <c r="B92" s="6">
        <f>'Results - raw data ReCiPe (I)'!AC79</f>
        <v>7.0314616005575162E-6</v>
      </c>
      <c r="AB92" s="6" t="s">
        <v>119</v>
      </c>
      <c r="BA92" s="6">
        <f>SUM(Z104:Z115)</f>
        <v>1.3171343639388709E-6</v>
      </c>
    </row>
    <row r="93" spans="1:53" outlineLevel="1" x14ac:dyDescent="0.35">
      <c r="A93" s="6" t="s">
        <v>28</v>
      </c>
      <c r="B93" s="6">
        <f>'Results - raw data ReCiPe (I)'!AC80</f>
        <v>4.7107821153398706E-6</v>
      </c>
      <c r="AB93" s="6" t="s">
        <v>120</v>
      </c>
      <c r="BA93" s="6">
        <f>Z116</f>
        <v>4.1872261712862055E-8</v>
      </c>
    </row>
    <row r="94" spans="1:53" outlineLevel="1" x14ac:dyDescent="0.35">
      <c r="A94" s="6" t="s">
        <v>29</v>
      </c>
      <c r="B94" s="6">
        <f>'Results - raw data ReCiPe (I)'!AC81</f>
        <v>4.5883653217629572E-6</v>
      </c>
      <c r="AB94" s="6" t="s">
        <v>121</v>
      </c>
      <c r="AC94" s="6">
        <f>B117</f>
        <v>1.5568631310201531E-6</v>
      </c>
      <c r="AF94" s="6">
        <f>E117</f>
        <v>1.490530396859574E-6</v>
      </c>
      <c r="AI94" s="6">
        <f>H117</f>
        <v>1.453183927485486E-6</v>
      </c>
      <c r="AL94" s="6">
        <f>K117</f>
        <v>1.457702482446929E-6</v>
      </c>
      <c r="AO94" s="6">
        <f>N117</f>
        <v>1.4643173431288331E-6</v>
      </c>
      <c r="AR94" s="6">
        <f>Q117</f>
        <v>1.4666447699044541E-6</v>
      </c>
      <c r="AU94" s="6">
        <f>T117</f>
        <v>1.4616325983130691E-6</v>
      </c>
      <c r="AX94" s="6">
        <f>W117</f>
        <v>1.477314417989346E-6</v>
      </c>
      <c r="BA94" s="6">
        <f>Z117</f>
        <v>1.482612190332E-6</v>
      </c>
    </row>
    <row r="95" spans="1:53" outlineLevel="1" x14ac:dyDescent="0.35">
      <c r="A95" s="6" t="s">
        <v>31</v>
      </c>
      <c r="B95" s="6">
        <f>'Results - raw data ReCiPe (I)'!AC82</f>
        <v>4.076625226621739E-6</v>
      </c>
      <c r="AB95" s="6" t="s">
        <v>122</v>
      </c>
      <c r="AC95" s="6">
        <f>B120+B119</f>
        <v>3.1862492119326478E-5</v>
      </c>
      <c r="AD95" s="6">
        <f t="shared" ref="AD95:BA95" si="10">C120+C119</f>
        <v>2.9498743254574929E-5</v>
      </c>
      <c r="AE95" s="6">
        <f t="shared" si="10"/>
        <v>2.7115616622195958E-5</v>
      </c>
      <c r="AF95" s="6">
        <f t="shared" si="10"/>
        <v>2.4640094150727888E-5</v>
      </c>
      <c r="AG95" s="6">
        <f t="shared" si="10"/>
        <v>2.2214391217038099E-5</v>
      </c>
      <c r="AH95" s="6">
        <f t="shared" si="10"/>
        <v>1.9772513351728127E-5</v>
      </c>
      <c r="AI95" s="6">
        <f t="shared" si="10"/>
        <v>2.0527086046405178E-5</v>
      </c>
      <c r="AJ95" s="6">
        <f t="shared" si="10"/>
        <v>2.1278261229501279E-5</v>
      </c>
      <c r="AK95" s="6">
        <f t="shared" si="10"/>
        <v>2.194178366860539E-5</v>
      </c>
      <c r="AL95" s="6">
        <f t="shared" si="10"/>
        <v>2.2679782788280238E-5</v>
      </c>
      <c r="AM95" s="6">
        <f t="shared" si="10"/>
        <v>2.3414004040046068E-5</v>
      </c>
      <c r="AN95" s="6">
        <f t="shared" si="10"/>
        <v>2.3744114772014048E-5</v>
      </c>
      <c r="AO95" s="6">
        <f t="shared" si="10"/>
        <v>2.4070766539108038E-5</v>
      </c>
      <c r="AP95" s="6">
        <f t="shared" si="10"/>
        <v>2.4363362933123818E-5</v>
      </c>
      <c r="AQ95" s="6">
        <f t="shared" si="10"/>
        <v>2.4671928092130388E-5</v>
      </c>
      <c r="AR95" s="6">
        <f t="shared" si="10"/>
        <v>2.497372002606074E-5</v>
      </c>
      <c r="AS95" s="6">
        <f t="shared" si="10"/>
        <v>2.445046006853061E-5</v>
      </c>
      <c r="AT95" s="6">
        <f t="shared" si="10"/>
        <v>2.393873593450455E-5</v>
      </c>
      <c r="AU95" s="6">
        <f t="shared" si="10"/>
        <v>2.3412417204103749E-5</v>
      </c>
      <c r="AV95" s="6">
        <f t="shared" si="10"/>
        <v>2.2920047466223468E-5</v>
      </c>
      <c r="AW95" s="6">
        <f t="shared" si="10"/>
        <v>2.243150010106414E-5</v>
      </c>
      <c r="AX95" s="6">
        <f t="shared" si="10"/>
        <v>2.3348328507298577E-5</v>
      </c>
      <c r="AY95" s="6">
        <f t="shared" si="10"/>
        <v>2.33443609095875E-5</v>
      </c>
      <c r="AZ95" s="6">
        <f t="shared" si="10"/>
        <v>2.3341844457769948E-5</v>
      </c>
      <c r="BA95" s="6">
        <f t="shared" si="10"/>
        <v>2.3340626688688929E-5</v>
      </c>
    </row>
    <row r="96" spans="1:53" outlineLevel="1" x14ac:dyDescent="0.35">
      <c r="A96" s="6" t="s">
        <v>34</v>
      </c>
      <c r="B96" s="6">
        <f>'Results - raw data ReCiPe (I)'!AC83</f>
        <v>2.8228327670285271E-6</v>
      </c>
      <c r="AB96" s="6" t="s">
        <v>123</v>
      </c>
      <c r="AC96" s="6">
        <f t="shared" ref="AC96:BA96" si="11">B118</f>
        <v>3.5504881135610421E-6</v>
      </c>
      <c r="AD96" s="6">
        <f t="shared" si="11"/>
        <v>3.3641412695882409E-6</v>
      </c>
      <c r="AE96" s="6">
        <f t="shared" si="11"/>
        <v>3.1773339216971642E-6</v>
      </c>
      <c r="AF96" s="6">
        <f t="shared" si="11"/>
        <v>2.9837284517626324E-6</v>
      </c>
      <c r="AG96" s="6">
        <f t="shared" si="11"/>
        <v>2.7957813907846282E-6</v>
      </c>
      <c r="AH96" s="6">
        <f t="shared" si="11"/>
        <v>2.6076477343088252E-6</v>
      </c>
      <c r="AI96" s="6">
        <f t="shared" si="11"/>
        <v>2.6632817781484101E-6</v>
      </c>
      <c r="AJ96" s="6">
        <f t="shared" si="11"/>
        <v>2.7183613396795709E-6</v>
      </c>
      <c r="AK96" s="6">
        <f t="shared" si="11"/>
        <v>2.7659782497912999E-6</v>
      </c>
      <c r="AL96" s="6">
        <f t="shared" si="11"/>
        <v>2.8194924631830169E-6</v>
      </c>
      <c r="AM96" s="6">
        <f t="shared" si="11"/>
        <v>2.87244096459136E-6</v>
      </c>
      <c r="AN96" s="6">
        <f t="shared" si="11"/>
        <v>2.8968788963344339E-6</v>
      </c>
      <c r="AO96" s="6">
        <f t="shared" si="11"/>
        <v>2.9211196689744187E-6</v>
      </c>
      <c r="AP96" s="6">
        <f t="shared" si="11"/>
        <v>2.9426504208719052E-6</v>
      </c>
      <c r="AQ96" s="6">
        <f t="shared" si="11"/>
        <v>2.965657261476479E-6</v>
      </c>
      <c r="AR96" s="6">
        <f t="shared" si="11"/>
        <v>2.9882140181395998E-6</v>
      </c>
      <c r="AS96" s="6">
        <f t="shared" si="11"/>
        <v>2.9515795336178102E-6</v>
      </c>
      <c r="AT96" s="6">
        <f t="shared" si="11"/>
        <v>2.9154842630262433E-6</v>
      </c>
      <c r="AU96" s="6">
        <f t="shared" si="11"/>
        <v>2.877731144754561E-6</v>
      </c>
      <c r="AV96" s="6">
        <f t="shared" si="11"/>
        <v>2.842454647313582E-6</v>
      </c>
      <c r="AW96" s="6">
        <f t="shared" si="11"/>
        <v>2.8071440357677659E-6</v>
      </c>
      <c r="AX96" s="6">
        <f t="shared" si="11"/>
        <v>2.8860852184894598E-6</v>
      </c>
      <c r="AY96" s="6">
        <f t="shared" si="11"/>
        <v>2.8850859182431718E-6</v>
      </c>
      <c r="AZ96" s="6">
        <f t="shared" si="11"/>
        <v>2.884194296318134E-6</v>
      </c>
      <c r="BA96" s="6">
        <f t="shared" si="11"/>
        <v>2.8833963179463102E-6</v>
      </c>
    </row>
    <row r="97" spans="1:55" outlineLevel="1" x14ac:dyDescent="0.35">
      <c r="A97" s="6" t="s">
        <v>36</v>
      </c>
      <c r="B97" s="6">
        <f>'Results - raw data ReCiPe (I)'!AC84</f>
        <v>2.541461837164139E-6</v>
      </c>
      <c r="AB97" s="6" t="s">
        <v>124</v>
      </c>
      <c r="AC97" s="6">
        <f>-$AC$7*$AC$6</f>
        <v>-5.3201450000000005E-5</v>
      </c>
      <c r="AD97" s="6">
        <f t="shared" ref="AD97:BA97" si="12">-$AC$7*$AC$6</f>
        <v>-5.3201450000000005E-5</v>
      </c>
      <c r="AE97" s="6">
        <f t="shared" si="12"/>
        <v>-5.3201450000000005E-5</v>
      </c>
      <c r="AF97" s="6">
        <f t="shared" si="12"/>
        <v>-5.3201450000000005E-5</v>
      </c>
      <c r="AG97" s="6">
        <f t="shared" si="12"/>
        <v>-5.3201450000000005E-5</v>
      </c>
      <c r="AH97" s="6">
        <f t="shared" si="12"/>
        <v>-5.3201450000000005E-5</v>
      </c>
      <c r="AI97" s="6">
        <f t="shared" si="12"/>
        <v>-5.3201450000000005E-5</v>
      </c>
      <c r="AJ97" s="6">
        <f t="shared" si="12"/>
        <v>-5.3201450000000005E-5</v>
      </c>
      <c r="AK97" s="6">
        <f t="shared" si="12"/>
        <v>-5.3201450000000005E-5</v>
      </c>
      <c r="AL97" s="6">
        <f t="shared" si="12"/>
        <v>-5.3201450000000005E-5</v>
      </c>
      <c r="AM97" s="6">
        <f t="shared" si="12"/>
        <v>-5.3201450000000005E-5</v>
      </c>
      <c r="AN97" s="6">
        <f t="shared" si="12"/>
        <v>-5.3201450000000005E-5</v>
      </c>
      <c r="AO97" s="6">
        <f t="shared" si="12"/>
        <v>-5.3201450000000005E-5</v>
      </c>
      <c r="AP97" s="6">
        <f t="shared" si="12"/>
        <v>-5.3201450000000005E-5</v>
      </c>
      <c r="AQ97" s="6">
        <f t="shared" si="12"/>
        <v>-5.3201450000000005E-5</v>
      </c>
      <c r="AR97" s="6">
        <f t="shared" si="12"/>
        <v>-5.3201450000000005E-5</v>
      </c>
      <c r="AS97" s="6">
        <f t="shared" si="12"/>
        <v>-5.3201450000000005E-5</v>
      </c>
      <c r="AT97" s="6">
        <f t="shared" si="12"/>
        <v>-5.3201450000000005E-5</v>
      </c>
      <c r="AU97" s="6">
        <f t="shared" si="12"/>
        <v>-5.3201450000000005E-5</v>
      </c>
      <c r="AV97" s="6">
        <f t="shared" si="12"/>
        <v>-5.3201450000000005E-5</v>
      </c>
      <c r="AW97" s="6">
        <f t="shared" si="12"/>
        <v>-5.3201450000000005E-5</v>
      </c>
      <c r="AX97" s="6">
        <f t="shared" si="12"/>
        <v>-5.3201450000000005E-5</v>
      </c>
      <c r="AY97" s="6">
        <f t="shared" si="12"/>
        <v>-5.3201450000000005E-5</v>
      </c>
      <c r="AZ97" s="6">
        <f t="shared" si="12"/>
        <v>-5.3201450000000005E-5</v>
      </c>
      <c r="BA97" s="6">
        <f t="shared" si="12"/>
        <v>-5.3201450000000005E-5</v>
      </c>
    </row>
    <row r="98" spans="1:55" outlineLevel="1" x14ac:dyDescent="0.35">
      <c r="A98" s="6" t="s">
        <v>38</v>
      </c>
      <c r="B98" s="6">
        <f>'Results - raw data ReCiPe (I)'!AC85</f>
        <v>9.3851724277913943E-6</v>
      </c>
      <c r="AB98" s="23" t="s">
        <v>125</v>
      </c>
      <c r="AC98" s="17">
        <f t="shared" ref="AC98:BA98" si="13">SUM(AC90:AC97)</f>
        <v>7.9147767117141219E-5</v>
      </c>
      <c r="AD98" s="17">
        <f t="shared" si="13"/>
        <v>-2.0338565475836838E-5</v>
      </c>
      <c r="AE98" s="17">
        <f t="shared" si="13"/>
        <v>-2.2908499456106883E-5</v>
      </c>
      <c r="AF98" s="17">
        <f t="shared" si="13"/>
        <v>-2.4087097000649908E-5</v>
      </c>
      <c r="AG98" s="17">
        <f t="shared" si="13"/>
        <v>-2.8191277392177277E-5</v>
      </c>
      <c r="AH98" s="17">
        <f t="shared" si="13"/>
        <v>-3.0821288913963054E-5</v>
      </c>
      <c r="AI98" s="17">
        <f t="shared" si="13"/>
        <v>-2.8557898247960931E-5</v>
      </c>
      <c r="AJ98" s="17">
        <f t="shared" si="13"/>
        <v>-2.9204827430819154E-5</v>
      </c>
      <c r="AK98" s="17">
        <f t="shared" si="13"/>
        <v>-2.8493688081603315E-5</v>
      </c>
      <c r="AL98" s="17">
        <f t="shared" si="13"/>
        <v>-2.6244472266089823E-5</v>
      </c>
      <c r="AM98" s="17">
        <f t="shared" si="13"/>
        <v>-2.6915004995362579E-5</v>
      </c>
      <c r="AN98" s="17">
        <f t="shared" si="13"/>
        <v>-2.6560456331651523E-5</v>
      </c>
      <c r="AO98" s="17">
        <f t="shared" si="13"/>
        <v>-2.4745246448788715E-5</v>
      </c>
      <c r="AP98" s="17">
        <f t="shared" si="13"/>
        <v>-2.5895436646004281E-5</v>
      </c>
      <c r="AQ98" s="17">
        <f t="shared" si="13"/>
        <v>-2.5563864646393139E-5</v>
      </c>
      <c r="AR98" s="17">
        <f t="shared" si="13"/>
        <v>-2.3772871185895209E-5</v>
      </c>
      <c r="AS98" s="17">
        <f t="shared" si="13"/>
        <v>-2.5799410397851585E-5</v>
      </c>
      <c r="AT98" s="17">
        <f t="shared" si="13"/>
        <v>-2.6347229802469212E-5</v>
      </c>
      <c r="AU98" s="17">
        <f t="shared" si="13"/>
        <v>-2.5449669052828625E-5</v>
      </c>
      <c r="AV98" s="17">
        <f t="shared" si="13"/>
        <v>-2.7438947886462955E-5</v>
      </c>
      <c r="AW98" s="17">
        <f t="shared" si="13"/>
        <v>-2.7962805863168101E-5</v>
      </c>
      <c r="AX98" s="17">
        <f t="shared" si="13"/>
        <v>-2.5489721856222623E-5</v>
      </c>
      <c r="AY98" s="17">
        <f t="shared" si="13"/>
        <v>-2.6972003172169333E-5</v>
      </c>
      <c r="AZ98" s="17">
        <f t="shared" si="13"/>
        <v>-2.6975411245911923E-5</v>
      </c>
      <c r="BA98" s="17">
        <f t="shared" si="13"/>
        <v>-2.4135808177381031E-5</v>
      </c>
    </row>
    <row r="99" spans="1:55" outlineLevel="1" x14ac:dyDescent="0.35">
      <c r="A99" s="6" t="s">
        <v>39</v>
      </c>
      <c r="B99" s="6">
        <f>'Results - raw data ReCiPe (I)'!AC86</f>
        <v>3.4516683430361958E-5</v>
      </c>
    </row>
    <row r="100" spans="1:55" outlineLevel="1" x14ac:dyDescent="0.35">
      <c r="A100" s="6" t="s">
        <v>41</v>
      </c>
      <c r="B100" s="6">
        <f>'Results - raw data ReCiPe (I)'!AC87</f>
        <v>3.9406795025774319E-7</v>
      </c>
    </row>
    <row r="101" spans="1:55" outlineLevel="1" x14ac:dyDescent="0.35">
      <c r="A101" s="6" t="s">
        <v>43</v>
      </c>
      <c r="B101" s="6">
        <f>'Results - raw data ReCiPe (I)'!AC88</f>
        <v>7.8603017416721399E-7</v>
      </c>
      <c r="AB101" s="187"/>
      <c r="AC101" s="187"/>
      <c r="AD101" s="187"/>
      <c r="AE101" s="187"/>
      <c r="AF101" s="187"/>
      <c r="AG101" s="187"/>
      <c r="AH101" s="187"/>
      <c r="AI101" s="187"/>
      <c r="AJ101" s="187"/>
      <c r="AK101" s="187"/>
      <c r="AL101" s="187"/>
      <c r="AM101" s="187"/>
      <c r="AN101" s="187"/>
      <c r="AO101" s="187"/>
      <c r="AP101" s="187"/>
      <c r="AQ101" s="187"/>
      <c r="AR101" s="187"/>
      <c r="AS101" s="187"/>
      <c r="AT101" s="187"/>
      <c r="AU101" s="187"/>
      <c r="AV101" s="187"/>
      <c r="AW101" s="187"/>
      <c r="AX101" s="187"/>
      <c r="AY101" s="187"/>
      <c r="AZ101" s="187"/>
      <c r="BA101" s="187"/>
    </row>
    <row r="102" spans="1:55" outlineLevel="1" x14ac:dyDescent="0.35">
      <c r="A102" s="6" t="s">
        <v>44</v>
      </c>
      <c r="B102" s="6">
        <f>'Results - raw data ReCiPe (I)'!AC89*AC87*AC88</f>
        <v>4.9982557100980421E-6</v>
      </c>
      <c r="AB102" s="187"/>
      <c r="AC102" s="187"/>
      <c r="AD102" s="187"/>
      <c r="AE102" s="187"/>
      <c r="AF102" s="187"/>
      <c r="AG102" s="187"/>
      <c r="AH102" s="187"/>
      <c r="AI102" s="187"/>
      <c r="AJ102" s="187"/>
      <c r="AK102" s="187"/>
      <c r="AL102" s="187"/>
      <c r="AM102" s="187"/>
      <c r="AN102" s="187"/>
      <c r="AO102" s="187"/>
      <c r="AP102" s="187"/>
      <c r="AQ102" s="187"/>
      <c r="AR102" s="187"/>
      <c r="AS102" s="187"/>
      <c r="AT102" s="187"/>
      <c r="AU102" s="187"/>
      <c r="AV102" s="187"/>
      <c r="AW102" s="187"/>
      <c r="AX102" s="187"/>
      <c r="AY102" s="187"/>
      <c r="AZ102" s="187"/>
      <c r="BA102" s="187"/>
    </row>
    <row r="103" spans="1:55" outlineLevel="1" x14ac:dyDescent="0.35">
      <c r="A103" s="6" t="s">
        <v>757</v>
      </c>
      <c r="B103" s="6">
        <f>'Results - raw data ReCiPe (I)'!AC90*AC88*AC87</f>
        <v>1.4940533792408737E-5</v>
      </c>
      <c r="AB103" s="187"/>
      <c r="AC103" s="187"/>
      <c r="AD103" s="187"/>
      <c r="AE103" s="187"/>
      <c r="AF103" s="187"/>
      <c r="AG103" s="187"/>
      <c r="AH103" s="187"/>
      <c r="AI103" s="187"/>
      <c r="AJ103" s="187"/>
      <c r="AK103" s="187"/>
      <c r="AL103" s="187"/>
      <c r="AM103" s="187"/>
      <c r="AN103" s="187"/>
      <c r="AO103" s="187"/>
      <c r="AP103" s="187"/>
      <c r="AQ103" s="187"/>
      <c r="AR103" s="187"/>
      <c r="AS103" s="187"/>
      <c r="AT103" s="187"/>
      <c r="AU103" s="187"/>
      <c r="AV103" s="187"/>
      <c r="AW103" s="187"/>
      <c r="AX103" s="187"/>
      <c r="AY103" s="187"/>
      <c r="AZ103" s="187"/>
      <c r="BA103" s="187"/>
    </row>
    <row r="104" spans="1:55" outlineLevel="1" x14ac:dyDescent="0.35">
      <c r="A104" s="6" t="s">
        <v>22</v>
      </c>
      <c r="Z104" s="6">
        <f>'Results - raw data ReCiPe (I)'!BA91</f>
        <v>1.926898770100606E-8</v>
      </c>
      <c r="AB104" s="187"/>
      <c r="AC104" s="187"/>
      <c r="AD104" s="187"/>
      <c r="AE104" s="187"/>
      <c r="AF104" s="187"/>
      <c r="AG104" s="187"/>
      <c r="AH104" s="187"/>
      <c r="AI104" s="187"/>
      <c r="AJ104" s="187"/>
      <c r="AK104" s="187"/>
      <c r="AL104" s="187"/>
      <c r="AM104" s="187"/>
      <c r="AN104" s="187"/>
      <c r="AO104" s="187"/>
      <c r="AP104" s="187"/>
      <c r="AQ104" s="187"/>
      <c r="AR104" s="187"/>
      <c r="AS104" s="187"/>
      <c r="AT104" s="187"/>
      <c r="AU104" s="187"/>
      <c r="AV104" s="187"/>
      <c r="AW104" s="187"/>
      <c r="AX104" s="187"/>
      <c r="AY104" s="187"/>
      <c r="AZ104" s="187"/>
      <c r="BA104" s="187"/>
    </row>
    <row r="105" spans="1:55" outlineLevel="1" x14ac:dyDescent="0.35">
      <c r="A105" s="6" t="s">
        <v>24</v>
      </c>
      <c r="Z105" s="6">
        <f>'Results - raw data ReCiPe (I)'!BA92</f>
        <v>1.34067733490309E-8</v>
      </c>
      <c r="AB105" s="187"/>
      <c r="AC105" s="187"/>
      <c r="AD105" s="187"/>
      <c r="AE105" s="187"/>
      <c r="AF105" s="187"/>
      <c r="AG105" s="187"/>
      <c r="AH105" s="187"/>
      <c r="AI105" s="187"/>
      <c r="AJ105" s="187"/>
      <c r="AK105" s="187"/>
      <c r="AL105" s="187"/>
      <c r="AM105" s="187"/>
      <c r="AN105" s="187"/>
      <c r="AO105" s="187"/>
      <c r="AP105" s="187"/>
      <c r="AQ105" s="187"/>
      <c r="AR105" s="187"/>
      <c r="AS105" s="187"/>
      <c r="AT105" s="187"/>
      <c r="AU105" s="187"/>
      <c r="AV105" s="187"/>
      <c r="AW105" s="187"/>
      <c r="AX105" s="187"/>
      <c r="AY105" s="187"/>
      <c r="AZ105" s="187"/>
      <c r="BA105" s="187"/>
    </row>
    <row r="106" spans="1:55" outlineLevel="1" x14ac:dyDescent="0.35">
      <c r="A106" s="6" t="s">
        <v>25</v>
      </c>
      <c r="Z106" s="6">
        <f>'Results - raw data ReCiPe (I)'!BA93</f>
        <v>6.5694963487932937E-8</v>
      </c>
      <c r="AB106" s="187"/>
      <c r="AC106" s="187"/>
      <c r="AD106" s="187"/>
      <c r="AE106" s="187"/>
      <c r="AF106" s="187"/>
      <c r="AG106" s="187"/>
      <c r="AH106" s="187"/>
      <c r="AI106" s="187"/>
      <c r="AJ106" s="187"/>
      <c r="AK106" s="187"/>
      <c r="AL106" s="187"/>
      <c r="AM106" s="187"/>
      <c r="AN106" s="187"/>
      <c r="AO106" s="187"/>
      <c r="AP106" s="187"/>
      <c r="AQ106" s="187"/>
      <c r="AR106" s="187"/>
      <c r="AS106" s="187"/>
      <c r="AT106" s="187"/>
      <c r="AU106" s="187"/>
      <c r="AV106" s="187"/>
      <c r="AW106" s="187"/>
      <c r="AX106" s="187"/>
      <c r="AY106" s="187"/>
      <c r="AZ106" s="187"/>
      <c r="BA106" s="187"/>
    </row>
    <row r="107" spans="1:55" outlineLevel="1" x14ac:dyDescent="0.35">
      <c r="A107" s="6" t="s">
        <v>27</v>
      </c>
      <c r="Z107" s="6">
        <f>'Results - raw data ReCiPe (I)'!BA94</f>
        <v>2.8717012364118558E-8</v>
      </c>
      <c r="AB107" s="187"/>
      <c r="AC107" s="187"/>
      <c r="AD107" s="187"/>
      <c r="AE107" s="187"/>
      <c r="AF107" s="187"/>
      <c r="AG107" s="187"/>
      <c r="AH107" s="187"/>
      <c r="AI107" s="187"/>
      <c r="AJ107" s="187"/>
      <c r="AK107" s="187"/>
      <c r="AL107" s="187"/>
      <c r="AM107" s="187"/>
      <c r="AN107" s="187"/>
      <c r="AO107" s="187"/>
      <c r="AP107" s="187"/>
      <c r="AQ107" s="187"/>
      <c r="AR107" s="187"/>
      <c r="AS107" s="187"/>
      <c r="AT107" s="187"/>
      <c r="AU107" s="187"/>
      <c r="AV107" s="187"/>
      <c r="AW107" s="187"/>
      <c r="AX107" s="187"/>
      <c r="AY107" s="187"/>
      <c r="AZ107" s="187"/>
      <c r="BA107" s="187"/>
    </row>
    <row r="108" spans="1:55" outlineLevel="1" x14ac:dyDescent="0.35">
      <c r="A108" s="6" t="s">
        <v>30</v>
      </c>
      <c r="Z108" s="6">
        <f>'Results - raw data ReCiPe (I)'!BA95</f>
        <v>2.4974932312648512E-8</v>
      </c>
      <c r="AB108" s="187"/>
      <c r="AC108" s="187"/>
      <c r="AD108" s="187"/>
      <c r="AE108" s="187"/>
      <c r="AF108" s="187"/>
      <c r="AG108" s="187"/>
      <c r="AH108" s="187"/>
      <c r="AI108" s="187"/>
      <c r="AJ108" s="187"/>
      <c r="AK108" s="187"/>
      <c r="AL108" s="187"/>
      <c r="AM108" s="187"/>
      <c r="AN108" s="187"/>
      <c r="AO108" s="187"/>
      <c r="AP108" s="187"/>
      <c r="AQ108" s="187"/>
      <c r="AR108" s="187"/>
      <c r="AS108" s="187"/>
      <c r="AT108" s="187"/>
      <c r="AU108" s="187"/>
      <c r="AV108" s="187"/>
      <c r="AW108" s="187"/>
      <c r="AX108" s="187"/>
      <c r="AY108" s="187"/>
      <c r="AZ108" s="187"/>
      <c r="BA108" s="187"/>
    </row>
    <row r="109" spans="1:55" outlineLevel="1" x14ac:dyDescent="0.35">
      <c r="A109" s="6" t="s">
        <v>32</v>
      </c>
      <c r="Z109" s="6">
        <f>'Results - raw data ReCiPe (I)'!BA96</f>
        <v>4.7174680109500834E-9</v>
      </c>
      <c r="AB109" s="187"/>
      <c r="AC109" s="187"/>
      <c r="AD109" s="187"/>
      <c r="AE109" s="187"/>
      <c r="AF109" s="187"/>
      <c r="AG109" s="187"/>
      <c r="AH109" s="187"/>
      <c r="AI109" s="187"/>
      <c r="AJ109" s="187"/>
      <c r="AK109" s="187"/>
      <c r="AL109" s="187"/>
      <c r="AM109" s="187"/>
      <c r="AN109" s="187"/>
      <c r="AO109" s="187"/>
      <c r="AP109" s="187"/>
      <c r="AQ109" s="187"/>
      <c r="AR109" s="187"/>
      <c r="AS109" s="187"/>
      <c r="AT109" s="187"/>
      <c r="AU109" s="187"/>
      <c r="AV109" s="187"/>
      <c r="AW109" s="187"/>
      <c r="AX109" s="187"/>
      <c r="AY109" s="187"/>
      <c r="AZ109" s="187"/>
      <c r="BA109" s="187"/>
    </row>
    <row r="110" spans="1:55" outlineLevel="1" x14ac:dyDescent="0.35">
      <c r="A110" s="6" t="s">
        <v>33</v>
      </c>
      <c r="Z110" s="6">
        <f>'Results - raw data ReCiPe (I)'!BA97</f>
        <v>6.489861309460378E-9</v>
      </c>
      <c r="AB110" s="187"/>
      <c r="AC110" s="187"/>
      <c r="AD110" s="187"/>
      <c r="AE110" s="187"/>
      <c r="AF110" s="187"/>
      <c r="AG110" s="187"/>
      <c r="AH110" s="187"/>
      <c r="AI110" s="187"/>
      <c r="AJ110" s="187"/>
      <c r="AK110" s="187"/>
      <c r="AL110" s="187"/>
      <c r="AM110" s="187"/>
      <c r="AN110" s="187"/>
      <c r="AO110" s="187"/>
      <c r="AP110" s="187"/>
      <c r="AQ110" s="187"/>
      <c r="AR110" s="187"/>
      <c r="AS110" s="187"/>
      <c r="AT110" s="187"/>
      <c r="AU110" s="187"/>
      <c r="AV110" s="187"/>
      <c r="AW110" s="187"/>
      <c r="AX110" s="187"/>
      <c r="AY110" s="187"/>
      <c r="AZ110" s="187"/>
      <c r="BA110" s="187"/>
    </row>
    <row r="111" spans="1:55" outlineLevel="1" x14ac:dyDescent="0.35">
      <c r="A111" s="6" t="s">
        <v>35</v>
      </c>
      <c r="Z111" s="6">
        <f>'Results - raw data ReCiPe (I)'!BA98</f>
        <v>1.2979722618920759E-8</v>
      </c>
      <c r="AB111" s="187"/>
      <c r="AC111" s="187"/>
      <c r="AD111" s="187"/>
      <c r="AE111" s="187"/>
      <c r="AF111" s="187"/>
      <c r="AG111" s="187"/>
      <c r="AH111" s="187"/>
      <c r="AI111" s="187"/>
      <c r="AJ111" s="187"/>
      <c r="AK111" s="187"/>
      <c r="AL111" s="187"/>
      <c r="AM111" s="187"/>
      <c r="AN111" s="187"/>
      <c r="AO111" s="187"/>
      <c r="AP111" s="187"/>
      <c r="AQ111" s="187"/>
      <c r="AR111" s="187"/>
      <c r="AS111" s="187"/>
      <c r="AT111" s="187"/>
      <c r="AU111" s="187"/>
      <c r="AV111" s="187"/>
      <c r="AW111" s="187"/>
      <c r="AX111" s="187"/>
      <c r="AY111" s="187"/>
      <c r="AZ111" s="187"/>
      <c r="BA111" s="187"/>
    </row>
    <row r="112" spans="1:55" outlineLevel="1" x14ac:dyDescent="0.35">
      <c r="A112" s="6" t="s">
        <v>37</v>
      </c>
      <c r="Z112" s="6">
        <f>'Results - raw data ReCiPe (I)'!BA99</f>
        <v>8.1619562066932211E-8</v>
      </c>
      <c r="AB112" s="187"/>
      <c r="AC112" s="187"/>
      <c r="AD112" s="187"/>
      <c r="AE112" s="187"/>
      <c r="AF112" s="187"/>
      <c r="AG112" s="187"/>
      <c r="AH112" s="187"/>
      <c r="AI112" s="187"/>
      <c r="AJ112" s="187"/>
      <c r="AK112" s="187"/>
      <c r="AL112" s="187"/>
      <c r="AM112" s="187"/>
      <c r="AN112" s="187"/>
      <c r="AO112" s="187"/>
      <c r="AP112" s="187"/>
      <c r="AQ112" s="187"/>
      <c r="AR112" s="187"/>
      <c r="AS112" s="187"/>
      <c r="AT112" s="187"/>
      <c r="AU112" s="187"/>
      <c r="AV112" s="187"/>
      <c r="AW112" s="187"/>
      <c r="AX112" s="187"/>
      <c r="AY112" s="187"/>
      <c r="AZ112" s="187"/>
      <c r="BA112" s="187"/>
    </row>
    <row r="113" spans="1:31" outlineLevel="1" x14ac:dyDescent="0.35">
      <c r="A113" s="6" t="s">
        <v>40</v>
      </c>
      <c r="Z113" s="6">
        <f>'Results - raw data ReCiPe (I)'!BA100</f>
        <v>3.2029594840598537E-7</v>
      </c>
    </row>
    <row r="114" spans="1:31" outlineLevel="1" x14ac:dyDescent="0.35">
      <c r="A114" s="6" t="s">
        <v>42</v>
      </c>
      <c r="Z114" s="6">
        <f>'Results - raw data ReCiPe (I)'!BA101</f>
        <v>1.1208985910569E-7</v>
      </c>
    </row>
    <row r="115" spans="1:31" outlineLevel="1" x14ac:dyDescent="0.35">
      <c r="A115" s="6" t="s">
        <v>115</v>
      </c>
      <c r="Z115" s="6">
        <f>'Results - raw data ReCiPe (I)'!BA102</f>
        <v>6.2687927320619511E-7</v>
      </c>
    </row>
    <row r="116" spans="1:31" outlineLevel="1" x14ac:dyDescent="0.35">
      <c r="A116" s="6" t="s">
        <v>45</v>
      </c>
      <c r="Z116" s="6">
        <f>'Results - raw data ReCiPe (I)'!BA103*AC87*AC88</f>
        <v>4.1872261712862055E-8</v>
      </c>
    </row>
    <row r="117" spans="1:31" outlineLevel="1" x14ac:dyDescent="0.35">
      <c r="A117" s="6" t="s">
        <v>116</v>
      </c>
      <c r="B117" s="6">
        <f>'Results - raw data ReCiPe (I)'!AC104</f>
        <v>1.5568631310201531E-6</v>
      </c>
      <c r="C117" s="6">
        <f>'Results - raw data ReCiPe (I)'!AD104</f>
        <v>1.5391043825718959E-6</v>
      </c>
      <c r="D117" s="6">
        <f>'Results - raw data ReCiPe (I)'!AE104</f>
        <v>1.520382059578232E-6</v>
      </c>
      <c r="E117" s="6">
        <f>'Results - raw data ReCiPe (I)'!AF104</f>
        <v>1.490530396859574E-6</v>
      </c>
      <c r="F117" s="6">
        <f>'Results - raw data ReCiPe (I)'!AG104</f>
        <v>1.469977393581854E-6</v>
      </c>
      <c r="G117" s="6">
        <f>'Results - raw data ReCiPe (I)'!AH104</f>
        <v>1.4485978665570479E-6</v>
      </c>
      <c r="H117" s="6">
        <f>'Results - raw data ReCiPe (I)'!AI104</f>
        <v>1.453183927485486E-6</v>
      </c>
      <c r="I117" s="6">
        <f>'Results - raw data ReCiPe (I)'!AJ104</f>
        <v>1.457380151900112E-6</v>
      </c>
      <c r="J117" s="6">
        <f>'Results - raw data ReCiPe (I)'!AK104</f>
        <v>1.4543220215600509E-6</v>
      </c>
      <c r="K117" s="6">
        <f>'Results - raw data ReCiPe (I)'!AL104</f>
        <v>1.457702482446929E-6</v>
      </c>
      <c r="L117" s="6">
        <f>'Results - raw data ReCiPe (I)'!AM104</f>
        <v>1.4608047795862119E-6</v>
      </c>
      <c r="M117" s="6">
        <f>'Results - raw data ReCiPe (I)'!AN104</f>
        <v>1.462560445034647E-6</v>
      </c>
      <c r="N117" s="6">
        <f>'Results - raw data ReCiPe (I)'!AO104</f>
        <v>1.4643173431288331E-6</v>
      </c>
      <c r="O117" s="6">
        <f>'Results - raw data ReCiPe (I)'!AP104</f>
        <v>1.4633057535492171E-6</v>
      </c>
      <c r="P117" s="6">
        <f>'Results - raw data ReCiPe (I)'!AQ104</f>
        <v>1.4649814128069E-6</v>
      </c>
      <c r="Q117" s="6">
        <f>'Results - raw data ReCiPe (I)'!AR104</f>
        <v>1.4666447699044541E-6</v>
      </c>
      <c r="R117" s="6">
        <f>'Results - raw data ReCiPe (I)'!AS104</f>
        <v>1.4659285962986079E-6</v>
      </c>
      <c r="S117" s="6">
        <f>'Results - raw data ReCiPe (I)'!AT104</f>
        <v>1.465211603535244E-6</v>
      </c>
      <c r="T117" s="6">
        <f>'Results - raw data ReCiPe (I)'!AU104</f>
        <v>1.4616325983130691E-6</v>
      </c>
      <c r="U117" s="6">
        <f>'Results - raw data ReCiPe (I)'!AV104</f>
        <v>1.4608635679001789E-6</v>
      </c>
      <c r="V117" s="6">
        <f>'Results - raw data ReCiPe (I)'!AW104</f>
        <v>1.4599959339718309E-6</v>
      </c>
      <c r="W117" s="6">
        <f>'Results - raw data ReCiPe (I)'!AX104</f>
        <v>1.477314417989346E-6</v>
      </c>
      <c r="X117" s="6">
        <f>'Results - raw data ReCiPe (I)'!AY104</f>
        <v>1.479100931628465E-6</v>
      </c>
      <c r="Y117" s="6">
        <f>'Results - raw data ReCiPe (I)'!AZ104</f>
        <v>1.4808667744377321E-6</v>
      </c>
      <c r="Z117" s="6">
        <f>'Results - raw data ReCiPe (I)'!BA104</f>
        <v>1.482612190332E-6</v>
      </c>
    </row>
    <row r="118" spans="1:31" outlineLevel="1" x14ac:dyDescent="0.35">
      <c r="A118" s="6" t="s">
        <v>758</v>
      </c>
      <c r="B118" s="6">
        <f>'Results - raw data ReCiPe (I)'!AC105*$AC$87</f>
        <v>3.5504881135610421E-6</v>
      </c>
      <c r="C118" s="6">
        <f>'Results - raw data ReCiPe (I)'!AD105*$AC$87</f>
        <v>3.3641412695882409E-6</v>
      </c>
      <c r="D118" s="6">
        <f>'Results - raw data ReCiPe (I)'!AE105*$AC$87</f>
        <v>3.1773339216971642E-6</v>
      </c>
      <c r="E118" s="6">
        <f>'Results - raw data ReCiPe (I)'!AF105*$AC$87</f>
        <v>2.9837284517626324E-6</v>
      </c>
      <c r="F118" s="6">
        <f>'Results - raw data ReCiPe (I)'!AG105*$AC$87</f>
        <v>2.7957813907846282E-6</v>
      </c>
      <c r="G118" s="6">
        <f>'Results - raw data ReCiPe (I)'!AH105*$AC$87</f>
        <v>2.6076477343088252E-6</v>
      </c>
      <c r="H118" s="6">
        <f>'Results - raw data ReCiPe (I)'!AI105*$AC$87</f>
        <v>2.6632817781484101E-6</v>
      </c>
      <c r="I118" s="6">
        <f>'Results - raw data ReCiPe (I)'!AJ105*$AC$87</f>
        <v>2.7183613396795709E-6</v>
      </c>
      <c r="J118" s="6">
        <f>'Results - raw data ReCiPe (I)'!AK105*$AC$87</f>
        <v>2.7659782497912999E-6</v>
      </c>
      <c r="K118" s="6">
        <f>'Results - raw data ReCiPe (I)'!AL105*$AC$87</f>
        <v>2.8194924631830169E-6</v>
      </c>
      <c r="L118" s="6">
        <f>'Results - raw data ReCiPe (I)'!AM105*$AC$87</f>
        <v>2.87244096459136E-6</v>
      </c>
      <c r="M118" s="6">
        <f>'Results - raw data ReCiPe (I)'!AN105*$AC$87</f>
        <v>2.8968788963344339E-6</v>
      </c>
      <c r="N118" s="6">
        <f>'Results - raw data ReCiPe (I)'!AO105*$AC$87</f>
        <v>2.9211196689744187E-6</v>
      </c>
      <c r="O118" s="6">
        <f>'Results - raw data ReCiPe (I)'!AP105*$AC$87</f>
        <v>2.9426504208719052E-6</v>
      </c>
      <c r="P118" s="6">
        <f>'Results - raw data ReCiPe (I)'!AQ105*$AC$87</f>
        <v>2.965657261476479E-6</v>
      </c>
      <c r="Q118" s="6">
        <f>'Results - raw data ReCiPe (I)'!AR105*$AC$87</f>
        <v>2.9882140181395998E-6</v>
      </c>
      <c r="R118" s="6">
        <f>'Results - raw data ReCiPe (I)'!AS105*$AC$87</f>
        <v>2.9515795336178102E-6</v>
      </c>
      <c r="S118" s="6">
        <f>'Results - raw data ReCiPe (I)'!AT105*$AC$87</f>
        <v>2.9154842630262433E-6</v>
      </c>
      <c r="T118" s="6">
        <f>'Results - raw data ReCiPe (I)'!AU105*$AC$87</f>
        <v>2.877731144754561E-6</v>
      </c>
      <c r="U118" s="6">
        <f>'Results - raw data ReCiPe (I)'!AV105*$AC$87</f>
        <v>2.842454647313582E-6</v>
      </c>
      <c r="V118" s="6">
        <f>'Results - raw data ReCiPe (I)'!AW105*$AC$87</f>
        <v>2.8071440357677659E-6</v>
      </c>
      <c r="W118" s="6">
        <f>'Results - raw data ReCiPe (I)'!AX105*$AC$87</f>
        <v>2.8860852184894598E-6</v>
      </c>
      <c r="X118" s="6">
        <f>'Results - raw data ReCiPe (I)'!AY105*$AC$87</f>
        <v>2.8850859182431718E-6</v>
      </c>
      <c r="Y118" s="6">
        <f>'Results - raw data ReCiPe (I)'!AZ105*$AC$87</f>
        <v>2.884194296318134E-6</v>
      </c>
      <c r="Z118" s="6">
        <f>'Results - raw data ReCiPe (I)'!BA105*$AC$87</f>
        <v>2.8833963179463102E-6</v>
      </c>
    </row>
    <row r="119" spans="1:31" outlineLevel="1" x14ac:dyDescent="0.35">
      <c r="A119" s="6" t="s">
        <v>759</v>
      </c>
      <c r="B119" s="6">
        <f>'Results - raw data ReCiPe (I)'!AC106</f>
        <v>2.0736000294618859E-7</v>
      </c>
      <c r="C119" s="6">
        <f>'Results - raw data ReCiPe (I)'!AD106</f>
        <v>2.0736000294618859E-7</v>
      </c>
      <c r="D119" s="6">
        <f>'Results - raw data ReCiPe (I)'!AE106</f>
        <v>2.0736000294618859E-7</v>
      </c>
      <c r="E119" s="6">
        <f>'Results - raw data ReCiPe (I)'!AF106</f>
        <v>2.0736000294618859E-7</v>
      </c>
      <c r="F119" s="6">
        <f>'Results - raw data ReCiPe (I)'!AG106</f>
        <v>2.0736000294618859E-7</v>
      </c>
      <c r="G119" s="6">
        <f>'Results - raw data ReCiPe (I)'!AH106</f>
        <v>2.0736000294618859E-7</v>
      </c>
      <c r="H119" s="6">
        <f>'Results - raw data ReCiPe (I)'!AI106</f>
        <v>2.0736000294618859E-7</v>
      </c>
      <c r="I119" s="6">
        <f>'Results - raw data ReCiPe (I)'!AJ106</f>
        <v>2.0736000294618859E-7</v>
      </c>
      <c r="J119" s="6">
        <f>'Results - raw data ReCiPe (I)'!AK106</f>
        <v>2.0736000294618859E-7</v>
      </c>
      <c r="K119" s="6">
        <f>'Results - raw data ReCiPe (I)'!AL106</f>
        <v>2.0736000294618859E-7</v>
      </c>
      <c r="L119" s="6">
        <f>'Results - raw data ReCiPe (I)'!AM106</f>
        <v>2.0736000294618859E-7</v>
      </c>
      <c r="M119" s="6">
        <f>'Results - raw data ReCiPe (I)'!AN106</f>
        <v>2.0736000294618859E-7</v>
      </c>
      <c r="N119" s="6">
        <f>'Results - raw data ReCiPe (I)'!AO106</f>
        <v>2.0736000294618859E-7</v>
      </c>
      <c r="O119" s="6">
        <f>'Results - raw data ReCiPe (I)'!AP106</f>
        <v>2.0736000294618859E-7</v>
      </c>
      <c r="P119" s="6">
        <f>'Results - raw data ReCiPe (I)'!AQ106</f>
        <v>2.0736000294618859E-7</v>
      </c>
      <c r="Q119" s="6">
        <f>'Results - raw data ReCiPe (I)'!AR106</f>
        <v>2.0736000294618859E-7</v>
      </c>
      <c r="R119" s="6">
        <f>'Results - raw data ReCiPe (I)'!AS106</f>
        <v>2.0736000294618859E-7</v>
      </c>
      <c r="S119" s="6">
        <f>'Results - raw data ReCiPe (I)'!AT106</f>
        <v>2.0736000294618859E-7</v>
      </c>
      <c r="T119" s="6">
        <f>'Results - raw data ReCiPe (I)'!AU106</f>
        <v>2.0736000294618859E-7</v>
      </c>
      <c r="U119" s="6">
        <f>'Results - raw data ReCiPe (I)'!AV106</f>
        <v>2.0736000294618859E-7</v>
      </c>
      <c r="V119" s="6">
        <f>'Results - raw data ReCiPe (I)'!AW106</f>
        <v>2.0736000294618859E-7</v>
      </c>
      <c r="W119" s="6">
        <f>'Results - raw data ReCiPe (I)'!AX106</f>
        <v>2.0736000294618859E-7</v>
      </c>
      <c r="X119" s="6">
        <f>'Results - raw data ReCiPe (I)'!AY106</f>
        <v>2.0736000294618859E-7</v>
      </c>
      <c r="Y119" s="6">
        <f>'Results - raw data ReCiPe (I)'!AZ106</f>
        <v>2.0736000294618859E-7</v>
      </c>
      <c r="Z119" s="6">
        <f>'Results - raw data ReCiPe (I)'!BA106</f>
        <v>2.0736000294618859E-7</v>
      </c>
    </row>
    <row r="120" spans="1:31" outlineLevel="1" x14ac:dyDescent="0.35">
      <c r="A120" s="6" t="s">
        <v>760</v>
      </c>
      <c r="B120" s="6">
        <f>'Results - raw data ReCiPe (I)'!AC107</f>
        <v>3.1655132116380289E-5</v>
      </c>
      <c r="C120" s="6">
        <f>'Results - raw data ReCiPe (I)'!AD107</f>
        <v>2.9291383251628741E-5</v>
      </c>
      <c r="D120" s="6">
        <f>'Results - raw data ReCiPe (I)'!AE107</f>
        <v>2.6908256619249769E-5</v>
      </c>
      <c r="E120" s="6">
        <f>'Results - raw data ReCiPe (I)'!AF107</f>
        <v>2.44327341477817E-5</v>
      </c>
      <c r="F120" s="6">
        <f>'Results - raw data ReCiPe (I)'!AG107</f>
        <v>2.200703121409191E-5</v>
      </c>
      <c r="G120" s="6">
        <f>'Results - raw data ReCiPe (I)'!AH107</f>
        <v>1.9565153348781939E-5</v>
      </c>
      <c r="H120" s="6">
        <f>'Results - raw data ReCiPe (I)'!AI107</f>
        <v>2.031972604345899E-5</v>
      </c>
      <c r="I120" s="6">
        <f>'Results - raw data ReCiPe (I)'!AJ107</f>
        <v>2.107090122655509E-5</v>
      </c>
      <c r="J120" s="6">
        <f>'Results - raw data ReCiPe (I)'!AK107</f>
        <v>2.1734423665659201E-5</v>
      </c>
      <c r="K120" s="6">
        <f>'Results - raw data ReCiPe (I)'!AL107</f>
        <v>2.247242278533405E-5</v>
      </c>
      <c r="L120" s="6">
        <f>'Results - raw data ReCiPe (I)'!AM107</f>
        <v>2.320664403709988E-5</v>
      </c>
      <c r="M120" s="6">
        <f>'Results - raw data ReCiPe (I)'!AN107</f>
        <v>2.3536754769067859E-5</v>
      </c>
      <c r="N120" s="6">
        <f>'Results - raw data ReCiPe (I)'!AO107</f>
        <v>2.3863406536161849E-5</v>
      </c>
      <c r="O120" s="6">
        <f>'Results - raw data ReCiPe (I)'!AP107</f>
        <v>2.4156002930177629E-5</v>
      </c>
      <c r="P120" s="6">
        <f>'Results - raw data ReCiPe (I)'!AQ107</f>
        <v>2.4464568089184199E-5</v>
      </c>
      <c r="Q120" s="6">
        <f>'Results - raw data ReCiPe (I)'!AR107</f>
        <v>2.4766360023114551E-5</v>
      </c>
      <c r="R120" s="6">
        <f>'Results - raw data ReCiPe (I)'!AS107</f>
        <v>2.4243100065584421E-5</v>
      </c>
      <c r="S120" s="6">
        <f>'Results - raw data ReCiPe (I)'!AT107</f>
        <v>2.3731375931558361E-5</v>
      </c>
      <c r="T120" s="6">
        <f>'Results - raw data ReCiPe (I)'!AU107</f>
        <v>2.320505720115756E-5</v>
      </c>
      <c r="U120" s="6">
        <f>'Results - raw data ReCiPe (I)'!AV107</f>
        <v>2.2712687463277279E-5</v>
      </c>
      <c r="V120" s="6">
        <f>'Results - raw data ReCiPe (I)'!AW107</f>
        <v>2.2224140098117951E-5</v>
      </c>
      <c r="W120" s="6">
        <f>'Results - raw data ReCiPe (I)'!AX107</f>
        <v>2.3140968504352389E-5</v>
      </c>
      <c r="X120" s="6">
        <f>'Results - raw data ReCiPe (I)'!AY107</f>
        <v>2.3137000906641311E-5</v>
      </c>
      <c r="Y120" s="6">
        <f>'Results - raw data ReCiPe (I)'!AZ107</f>
        <v>2.313448445482376E-5</v>
      </c>
      <c r="Z120" s="6">
        <f>'Results - raw data ReCiPe (I)'!BA107</f>
        <v>2.3133266685742741E-5</v>
      </c>
    </row>
    <row r="121" spans="1:31" outlineLevel="1" x14ac:dyDescent="0.35">
      <c r="A121" s="23" t="s">
        <v>125</v>
      </c>
      <c r="B121" s="17">
        <f t="shared" ref="B121:Z121" si="14">SUM(B90:B120)</f>
        <v>1.3234921711714122E-4</v>
      </c>
      <c r="C121" s="17">
        <f t="shared" si="14"/>
        <v>3.4401988906735062E-5</v>
      </c>
      <c r="D121" s="17">
        <f t="shared" si="14"/>
        <v>3.1813332603471351E-5</v>
      </c>
      <c r="E121" s="17">
        <f t="shared" si="14"/>
        <v>2.9114352999350094E-5</v>
      </c>
      <c r="F121" s="17">
        <f t="shared" si="14"/>
        <v>2.6480150001404581E-5</v>
      </c>
      <c r="G121" s="17">
        <f t="shared" si="14"/>
        <v>2.3828758952594001E-5</v>
      </c>
      <c r="H121" s="17">
        <f t="shared" si="14"/>
        <v>2.4643551752039075E-5</v>
      </c>
      <c r="I121" s="17">
        <f t="shared" si="14"/>
        <v>2.545400272108096E-5</v>
      </c>
      <c r="J121" s="17">
        <f t="shared" si="14"/>
        <v>2.6162083939956742E-5</v>
      </c>
      <c r="K121" s="17">
        <f t="shared" si="14"/>
        <v>2.6956977733910183E-5</v>
      </c>
      <c r="L121" s="17">
        <f t="shared" si="14"/>
        <v>2.774724978422364E-5</v>
      </c>
      <c r="M121" s="17">
        <f t="shared" si="14"/>
        <v>2.810355411338313E-5</v>
      </c>
      <c r="N121" s="17">
        <f t="shared" si="14"/>
        <v>2.845620355121129E-5</v>
      </c>
      <c r="O121" s="17">
        <f t="shared" si="14"/>
        <v>2.8769319107544942E-5</v>
      </c>
      <c r="P121" s="17">
        <f t="shared" si="14"/>
        <v>2.9102566766413766E-5</v>
      </c>
      <c r="Q121" s="17">
        <f t="shared" si="14"/>
        <v>2.9428578814104793E-5</v>
      </c>
      <c r="R121" s="17">
        <f t="shared" si="14"/>
        <v>2.8867968198447027E-5</v>
      </c>
      <c r="S121" s="17">
        <f t="shared" si="14"/>
        <v>2.8319431801066038E-5</v>
      </c>
      <c r="T121" s="17">
        <f t="shared" si="14"/>
        <v>2.7751780947171377E-5</v>
      </c>
      <c r="U121" s="17">
        <f t="shared" si="14"/>
        <v>2.7223365681437229E-5</v>
      </c>
      <c r="V121" s="17">
        <f t="shared" si="14"/>
        <v>2.6698640070803736E-5</v>
      </c>
      <c r="W121" s="17">
        <f t="shared" si="14"/>
        <v>2.7711728143777383E-5</v>
      </c>
      <c r="X121" s="17">
        <f t="shared" si="14"/>
        <v>2.7708547759459135E-5</v>
      </c>
      <c r="Y121" s="17">
        <f t="shared" si="14"/>
        <v>2.7706905528525816E-5</v>
      </c>
      <c r="Z121" s="17">
        <f t="shared" si="14"/>
        <v>2.9065641822618971E-5</v>
      </c>
    </row>
    <row r="122" spans="1:31" s="26" customFormat="1" outlineLevel="1" x14ac:dyDescent="0.35"/>
    <row r="123" spans="1:31" s="221" customFormat="1" ht="21" x14ac:dyDescent="0.5">
      <c r="A123" s="229" t="s">
        <v>850</v>
      </c>
    </row>
    <row r="124" spans="1:31" s="18" customFormat="1" ht="21" x14ac:dyDescent="0.5">
      <c r="A124" s="18" t="s">
        <v>72</v>
      </c>
    </row>
    <row r="125" spans="1:31" s="20" customFormat="1" outlineLevel="1" x14ac:dyDescent="0.35">
      <c r="A125" s="19" t="s">
        <v>766</v>
      </c>
    </row>
    <row r="126" spans="1:31" s="16" customFormat="1" outlineLevel="1" x14ac:dyDescent="0.35">
      <c r="A126" s="21"/>
      <c r="AB126" s="15" t="s">
        <v>143</v>
      </c>
      <c r="AC126" s="16">
        <f>0.000000000532+0.0000000000000145</f>
        <v>5.3201449999999999E-10</v>
      </c>
      <c r="AD126" s="16" t="s">
        <v>916</v>
      </c>
      <c r="AE126" s="15" t="s">
        <v>714</v>
      </c>
    </row>
    <row r="127" spans="1:31" s="16" customFormat="1" outlineLevel="1" x14ac:dyDescent="0.35">
      <c r="A127" s="22" t="s">
        <v>917</v>
      </c>
      <c r="AC127" s="16">
        <f>AC126*1000</f>
        <v>5.3201450000000003E-7</v>
      </c>
      <c r="AD127" s="16" t="s">
        <v>918</v>
      </c>
    </row>
    <row r="128" spans="1:31" s="16" customFormat="1" outlineLevel="1" x14ac:dyDescent="0.35">
      <c r="A128" s="22"/>
      <c r="AB128" s="16" t="s">
        <v>127</v>
      </c>
      <c r="AC128" s="16">
        <v>100</v>
      </c>
      <c r="AD128" s="16" t="s">
        <v>128</v>
      </c>
    </row>
    <row r="129" spans="1:53" s="16" customFormat="1" outlineLevel="1" x14ac:dyDescent="0.35">
      <c r="A129" s="230" t="s">
        <v>768</v>
      </c>
      <c r="AB129" s="16" t="s">
        <v>20</v>
      </c>
      <c r="AC129" s="16">
        <v>0.23</v>
      </c>
      <c r="AD129" s="16" t="s">
        <v>715</v>
      </c>
    </row>
    <row r="130" spans="1:53" s="16" customFormat="1" outlineLevel="1" x14ac:dyDescent="0.35">
      <c r="A130" s="22"/>
      <c r="AB130" s="16" t="s">
        <v>129</v>
      </c>
      <c r="AC130" s="16">
        <v>25</v>
      </c>
      <c r="AD130" s="16" t="s">
        <v>130</v>
      </c>
    </row>
    <row r="131" spans="1:53" outlineLevel="1" x14ac:dyDescent="0.35">
      <c r="B131" s="25">
        <v>2030</v>
      </c>
      <c r="C131" s="25">
        <v>2031</v>
      </c>
      <c r="D131" s="25">
        <v>2032</v>
      </c>
      <c r="E131" s="25">
        <v>2033</v>
      </c>
      <c r="F131" s="25">
        <v>2034</v>
      </c>
      <c r="G131" s="25">
        <v>2035</v>
      </c>
      <c r="H131" s="25">
        <v>2036</v>
      </c>
      <c r="I131" s="25">
        <v>2037</v>
      </c>
      <c r="J131" s="25">
        <v>2038</v>
      </c>
      <c r="K131" s="25">
        <v>2039</v>
      </c>
      <c r="L131" s="25">
        <v>2040</v>
      </c>
      <c r="M131" s="25">
        <v>2041</v>
      </c>
      <c r="N131" s="25">
        <v>2042</v>
      </c>
      <c r="O131" s="25">
        <v>2043</v>
      </c>
      <c r="P131" s="25">
        <v>2044</v>
      </c>
      <c r="Q131" s="25">
        <v>2045</v>
      </c>
      <c r="R131" s="25">
        <v>2046</v>
      </c>
      <c r="S131" s="25">
        <v>2047</v>
      </c>
      <c r="T131" s="25">
        <v>2048</v>
      </c>
      <c r="U131" s="25">
        <v>2049</v>
      </c>
      <c r="V131" s="25">
        <v>2050</v>
      </c>
      <c r="W131" s="25">
        <v>2051</v>
      </c>
      <c r="X131" s="25">
        <v>2052</v>
      </c>
      <c r="Y131" s="25">
        <v>2053</v>
      </c>
      <c r="Z131" s="25">
        <v>2054</v>
      </c>
      <c r="AC131" s="25">
        <v>2030</v>
      </c>
      <c r="AD131" s="25">
        <v>2031</v>
      </c>
      <c r="AE131" s="25">
        <v>2032</v>
      </c>
      <c r="AF131" s="25">
        <v>2033</v>
      </c>
      <c r="AG131" s="25">
        <v>2034</v>
      </c>
      <c r="AH131" s="25">
        <v>2035</v>
      </c>
      <c r="AI131" s="25">
        <v>2036</v>
      </c>
      <c r="AJ131" s="25">
        <v>2037</v>
      </c>
      <c r="AK131" s="25">
        <v>2038</v>
      </c>
      <c r="AL131" s="25">
        <v>2039</v>
      </c>
      <c r="AM131" s="25">
        <v>2040</v>
      </c>
      <c r="AN131" s="25">
        <v>2041</v>
      </c>
      <c r="AO131" s="25">
        <v>2042</v>
      </c>
      <c r="AP131" s="25">
        <v>2043</v>
      </c>
      <c r="AQ131" s="25">
        <v>2044</v>
      </c>
      <c r="AR131" s="25">
        <v>2045</v>
      </c>
      <c r="AS131" s="25">
        <v>2046</v>
      </c>
      <c r="AT131" s="25">
        <v>2047</v>
      </c>
      <c r="AU131" s="25">
        <v>2048</v>
      </c>
      <c r="AV131" s="25">
        <v>2049</v>
      </c>
      <c r="AW131" s="25">
        <v>2050</v>
      </c>
      <c r="AX131" s="25">
        <v>2051</v>
      </c>
      <c r="AY131" s="25">
        <v>2052</v>
      </c>
      <c r="AZ131" s="25">
        <v>2053</v>
      </c>
      <c r="BA131" s="25">
        <v>2054</v>
      </c>
    </row>
    <row r="132" spans="1:53" outlineLevel="1" x14ac:dyDescent="0.35">
      <c r="A132" s="6" t="s">
        <v>21</v>
      </c>
      <c r="B132" s="6">
        <f>'Results - raw data ReCiPe (I)'!AC5</f>
        <v>1.7330854305452959E-6</v>
      </c>
      <c r="AB132" s="6" t="s">
        <v>117</v>
      </c>
      <c r="AC132" s="6">
        <f>SUM(B132:B143)+B145</f>
        <v>1.0953239448160322E-4</v>
      </c>
    </row>
    <row r="133" spans="1:53" outlineLevel="1" x14ac:dyDescent="0.35">
      <c r="A133" s="6" t="s">
        <v>23</v>
      </c>
      <c r="B133" s="6">
        <f>'Results - raw data ReCiPe (I)'!AC6</f>
        <v>3.6963854350299402E-6</v>
      </c>
      <c r="AB133" s="6" t="s">
        <v>118</v>
      </c>
      <c r="AC133" s="6">
        <f>B144</f>
        <v>5.5821736600752947E-6</v>
      </c>
    </row>
    <row r="134" spans="1:53" outlineLevel="1" x14ac:dyDescent="0.35">
      <c r="A134" s="6" t="s">
        <v>26</v>
      </c>
      <c r="B134" s="6">
        <f>'Results - raw data ReCiPe (I)'!AC7</f>
        <v>8.1543373668989961E-6</v>
      </c>
      <c r="AB134" s="6" t="s">
        <v>119</v>
      </c>
      <c r="BA134" s="6">
        <f>SUM(Z146:Z157)</f>
        <v>1.2388121871278886E-6</v>
      </c>
    </row>
    <row r="135" spans="1:53" outlineLevel="1" x14ac:dyDescent="0.35">
      <c r="A135" s="6" t="s">
        <v>28</v>
      </c>
      <c r="B135" s="6">
        <f>'Results - raw data ReCiPe (I)'!AC8</f>
        <v>5.9818298247525386E-6</v>
      </c>
      <c r="AB135" s="6" t="s">
        <v>120</v>
      </c>
      <c r="BA135" s="6">
        <f>Z158</f>
        <v>3.8995886120102447E-8</v>
      </c>
    </row>
    <row r="136" spans="1:53" outlineLevel="1" x14ac:dyDescent="0.35">
      <c r="A136" s="6" t="s">
        <v>29</v>
      </c>
      <c r="B136" s="6">
        <f>'Results - raw data ReCiPe (I)'!AC9</f>
        <v>5.5602541263126201E-6</v>
      </c>
      <c r="AB136" s="6" t="s">
        <v>121</v>
      </c>
      <c r="AC136" s="6">
        <f>B159</f>
        <v>1.8923827854892541E-6</v>
      </c>
      <c r="AF136" s="6">
        <f>E159</f>
        <v>1.875504080673279E-6</v>
      </c>
      <c r="AI136" s="6">
        <f>H159</f>
        <v>1.8735069041771709E-6</v>
      </c>
      <c r="AL136" s="6">
        <f>K159</f>
        <v>1.879003812114612E-6</v>
      </c>
      <c r="AO136" s="6">
        <f>N159</f>
        <v>1.8953729876566431E-6</v>
      </c>
      <c r="AR136" s="6">
        <f>Q159</f>
        <v>1.91292243317761E-6</v>
      </c>
      <c r="AU136" s="6">
        <f>T159</f>
        <v>1.8919742403575121E-6</v>
      </c>
      <c r="AX136" s="6">
        <f>W159</f>
        <v>1.884095534967196E-6</v>
      </c>
      <c r="BA136" s="6">
        <f>Z159</f>
        <v>1.8435821555876251E-6</v>
      </c>
    </row>
    <row r="137" spans="1:53" outlineLevel="1" x14ac:dyDescent="0.35">
      <c r="A137" s="6" t="s">
        <v>31</v>
      </c>
      <c r="B137" s="6">
        <f>'Results - raw data ReCiPe (I)'!AC10</f>
        <v>4.5077788535705001E-6</v>
      </c>
      <c r="AB137" s="6" t="s">
        <v>122</v>
      </c>
      <c r="AC137" s="6">
        <f>B162+B161</f>
        <v>6.1709221152264499E-5</v>
      </c>
      <c r="AD137" s="6">
        <f t="shared" ref="AD137:BA137" si="15">C162+C161</f>
        <v>6.1293188160674878E-5</v>
      </c>
      <c r="AE137" s="6">
        <f t="shared" si="15"/>
        <v>6.0875647619198519E-5</v>
      </c>
      <c r="AF137" s="6">
        <f t="shared" si="15"/>
        <v>6.0410909243859429E-5</v>
      </c>
      <c r="AG137" s="6">
        <f t="shared" si="15"/>
        <v>5.998870326317752E-5</v>
      </c>
      <c r="AH137" s="6">
        <f t="shared" si="15"/>
        <v>5.9564849858811899E-5</v>
      </c>
      <c r="AI137" s="6">
        <f t="shared" si="15"/>
        <v>6.3445507446192691E-5</v>
      </c>
      <c r="AJ137" s="6">
        <f t="shared" si="15"/>
        <v>6.7323117881578203E-5</v>
      </c>
      <c r="AK137" s="6">
        <f t="shared" si="15"/>
        <v>7.1168586223472523E-5</v>
      </c>
      <c r="AL137" s="6">
        <f t="shared" si="15"/>
        <v>7.5044814368245604E-5</v>
      </c>
      <c r="AM137" s="6">
        <f t="shared" si="15"/>
        <v>7.8918606277737506E-5</v>
      </c>
      <c r="AN137" s="6">
        <f t="shared" si="15"/>
        <v>8.6743408306531183E-5</v>
      </c>
      <c r="AO137" s="6">
        <f t="shared" si="15"/>
        <v>9.4602636171230712E-5</v>
      </c>
      <c r="AP137" s="6">
        <f t="shared" si="15"/>
        <v>1.0249191536051455E-4</v>
      </c>
      <c r="AQ137" s="6">
        <f t="shared" si="15"/>
        <v>1.1042790025049911E-4</v>
      </c>
      <c r="AR137" s="6">
        <f t="shared" si="15"/>
        <v>1.1840629060237649E-4</v>
      </c>
      <c r="AS137" s="6">
        <f t="shared" si="15"/>
        <v>1.1872904037744807E-4</v>
      </c>
      <c r="AT137" s="6">
        <f t="shared" si="15"/>
        <v>1.1907164949223937E-4</v>
      </c>
      <c r="AU137" s="6">
        <f t="shared" si="15"/>
        <v>1.1942364748718766E-4</v>
      </c>
      <c r="AV137" s="6">
        <f t="shared" si="15"/>
        <v>1.1979966943330102E-4</v>
      </c>
      <c r="AW137" s="6">
        <f t="shared" si="15"/>
        <v>1.2018964650518142E-4</v>
      </c>
      <c r="AX137" s="6">
        <f t="shared" si="15"/>
        <v>1.1852099879845918E-4</v>
      </c>
      <c r="AY137" s="6">
        <f t="shared" si="15"/>
        <v>1.1476231399389925E-4</v>
      </c>
      <c r="AZ137" s="6">
        <f t="shared" si="15"/>
        <v>1.1098958099748472E-4</v>
      </c>
      <c r="BA137" s="6">
        <f t="shared" si="15"/>
        <v>1.072027002848669E-4</v>
      </c>
    </row>
    <row r="138" spans="1:53" outlineLevel="1" x14ac:dyDescent="0.35">
      <c r="A138" s="6" t="s">
        <v>34</v>
      </c>
      <c r="B138" s="6">
        <f>'Results - raw data ReCiPe (I)'!AC11</f>
        <v>3.2733374989828449E-6</v>
      </c>
      <c r="AB138" s="6" t="s">
        <v>123</v>
      </c>
      <c r="AC138" s="6">
        <f t="shared" ref="AC138:BA138" si="16">B160</f>
        <v>1.6196519491456809E-8</v>
      </c>
      <c r="AD138" s="6">
        <f t="shared" si="16"/>
        <v>1.6082237859616423E-8</v>
      </c>
      <c r="AE138" s="6">
        <f t="shared" si="16"/>
        <v>1.5967878209494249E-8</v>
      </c>
      <c r="AF138" s="6">
        <f t="shared" si="16"/>
        <v>1.5843335486957649E-8</v>
      </c>
      <c r="AG138" s="6">
        <f t="shared" si="16"/>
        <v>1.5728438559104152E-8</v>
      </c>
      <c r="AH138" s="6">
        <f t="shared" si="16"/>
        <v>1.5613446308503057E-8</v>
      </c>
      <c r="AI138" s="6">
        <f t="shared" si="16"/>
        <v>1.6485264400514764E-8</v>
      </c>
      <c r="AJ138" s="6">
        <f t="shared" si="16"/>
        <v>1.7353839794039151E-8</v>
      </c>
      <c r="AK138" s="6">
        <f t="shared" si="16"/>
        <v>1.8212658824276814E-8</v>
      </c>
      <c r="AL138" s="6">
        <f t="shared" si="16"/>
        <v>1.9075857532875963E-8</v>
      </c>
      <c r="AM138" s="6">
        <f t="shared" si="16"/>
        <v>1.9935973154066775E-8</v>
      </c>
      <c r="AN138" s="6">
        <f t="shared" si="16"/>
        <v>2.1693672513599334E-8</v>
      </c>
      <c r="AO138" s="6">
        <f t="shared" si="16"/>
        <v>2.3455091650285481E-8</v>
      </c>
      <c r="AP138" s="6">
        <f t="shared" si="16"/>
        <v>2.5219220844960211E-8</v>
      </c>
      <c r="AQ138" s="6">
        <f t="shared" si="16"/>
        <v>2.6989837462376926E-8</v>
      </c>
      <c r="AR138" s="6">
        <f t="shared" si="16"/>
        <v>2.8765894183800614E-8</v>
      </c>
      <c r="AS138" s="6">
        <f t="shared" si="16"/>
        <v>2.8814311190366574E-8</v>
      </c>
      <c r="AT138" s="6">
        <f t="shared" si="16"/>
        <v>2.8867021517424204E-8</v>
      </c>
      <c r="AU138" s="6">
        <f t="shared" si="16"/>
        <v>2.8921667594109672E-8</v>
      </c>
      <c r="AV138" s="6">
        <f t="shared" si="16"/>
        <v>2.8981544948069096E-8</v>
      </c>
      <c r="AW138" s="6">
        <f t="shared" si="16"/>
        <v>2.9044372643549694E-8</v>
      </c>
      <c r="AX138" s="6">
        <f t="shared" si="16"/>
        <v>2.8639810688093563E-8</v>
      </c>
      <c r="AY138" s="6">
        <f t="shared" si="16"/>
        <v>2.7750295735552048E-8</v>
      </c>
      <c r="AZ138" s="6">
        <f t="shared" si="16"/>
        <v>2.6860995072850227E-8</v>
      </c>
      <c r="BA138" s="6">
        <f t="shared" si="16"/>
        <v>2.5971896086617373E-8</v>
      </c>
    </row>
    <row r="139" spans="1:53" outlineLevel="1" x14ac:dyDescent="0.35">
      <c r="A139" s="6" t="s">
        <v>36</v>
      </c>
      <c r="B139" s="6">
        <f>'Results - raw data ReCiPe (I)'!AC12</f>
        <v>2.976186156681013E-6</v>
      </c>
      <c r="AB139" s="6" t="s">
        <v>124</v>
      </c>
      <c r="AC139" s="6">
        <f>-$AC$6*$AC$7</f>
        <v>-5.3201450000000005E-5</v>
      </c>
      <c r="AD139" s="6">
        <f t="shared" ref="AD139:BA139" si="17">-$AC$6*$AC$7</f>
        <v>-5.3201450000000005E-5</v>
      </c>
      <c r="AE139" s="6">
        <f t="shared" si="17"/>
        <v>-5.3201450000000005E-5</v>
      </c>
      <c r="AF139" s="6">
        <f t="shared" si="17"/>
        <v>-5.3201450000000005E-5</v>
      </c>
      <c r="AG139" s="6">
        <f t="shared" si="17"/>
        <v>-5.3201450000000005E-5</v>
      </c>
      <c r="AH139" s="6">
        <f t="shared" si="17"/>
        <v>-5.3201450000000005E-5</v>
      </c>
      <c r="AI139" s="6">
        <f t="shared" si="17"/>
        <v>-5.3201450000000005E-5</v>
      </c>
      <c r="AJ139" s="6">
        <f t="shared" si="17"/>
        <v>-5.3201450000000005E-5</v>
      </c>
      <c r="AK139" s="6">
        <f t="shared" si="17"/>
        <v>-5.3201450000000005E-5</v>
      </c>
      <c r="AL139" s="6">
        <f t="shared" si="17"/>
        <v>-5.3201450000000005E-5</v>
      </c>
      <c r="AM139" s="6">
        <f t="shared" si="17"/>
        <v>-5.3201450000000005E-5</v>
      </c>
      <c r="AN139" s="6">
        <f t="shared" si="17"/>
        <v>-5.3201450000000005E-5</v>
      </c>
      <c r="AO139" s="6">
        <f t="shared" si="17"/>
        <v>-5.3201450000000005E-5</v>
      </c>
      <c r="AP139" s="6">
        <f t="shared" si="17"/>
        <v>-5.3201450000000005E-5</v>
      </c>
      <c r="AQ139" s="6">
        <f t="shared" si="17"/>
        <v>-5.3201450000000005E-5</v>
      </c>
      <c r="AR139" s="6">
        <f t="shared" si="17"/>
        <v>-5.3201450000000005E-5</v>
      </c>
      <c r="AS139" s="6">
        <f t="shared" si="17"/>
        <v>-5.3201450000000005E-5</v>
      </c>
      <c r="AT139" s="6">
        <f t="shared" si="17"/>
        <v>-5.3201450000000005E-5</v>
      </c>
      <c r="AU139" s="6">
        <f t="shared" si="17"/>
        <v>-5.3201450000000005E-5</v>
      </c>
      <c r="AV139" s="6">
        <f t="shared" si="17"/>
        <v>-5.3201450000000005E-5</v>
      </c>
      <c r="AW139" s="6">
        <f t="shared" si="17"/>
        <v>-5.3201450000000005E-5</v>
      </c>
      <c r="AX139" s="6">
        <f t="shared" si="17"/>
        <v>-5.3201450000000005E-5</v>
      </c>
      <c r="AY139" s="6">
        <f t="shared" si="17"/>
        <v>-5.3201450000000005E-5</v>
      </c>
      <c r="AZ139" s="6">
        <f t="shared" si="17"/>
        <v>-5.3201450000000005E-5</v>
      </c>
      <c r="BA139" s="6">
        <f t="shared" si="17"/>
        <v>-5.3201450000000005E-5</v>
      </c>
    </row>
    <row r="140" spans="1:53" outlineLevel="1" x14ac:dyDescent="0.35">
      <c r="A140" s="6" t="s">
        <v>38</v>
      </c>
      <c r="B140" s="6">
        <f>'Results - raw data ReCiPe (I)'!AC13</f>
        <v>1.164717356496513E-5</v>
      </c>
      <c r="AB140" s="23" t="s">
        <v>125</v>
      </c>
      <c r="AC140" s="17">
        <f t="shared" ref="AC140:BA140" si="18">SUM(AC132:AC139)</f>
        <v>1.2553091859892373E-4</v>
      </c>
      <c r="AD140" s="17">
        <f t="shared" si="18"/>
        <v>8.1078203985344822E-6</v>
      </c>
      <c r="AE140" s="17">
        <f t="shared" si="18"/>
        <v>7.69016549740801E-6</v>
      </c>
      <c r="AF140" s="17">
        <f t="shared" si="18"/>
        <v>9.1008066600196624E-6</v>
      </c>
      <c r="AG140" s="17">
        <f t="shared" si="18"/>
        <v>6.8029817017366192E-6</v>
      </c>
      <c r="AH140" s="17">
        <f t="shared" si="18"/>
        <v>6.3790133051203936E-6</v>
      </c>
      <c r="AI140" s="17">
        <f t="shared" si="18"/>
        <v>1.2134049614770377E-5</v>
      </c>
      <c r="AJ140" s="17">
        <f t="shared" si="18"/>
        <v>1.4139021721372234E-5</v>
      </c>
      <c r="AK140" s="17">
        <f t="shared" si="18"/>
        <v>1.7985348882296796E-5</v>
      </c>
      <c r="AL140" s="17">
        <f t="shared" si="18"/>
        <v>2.3741444037893093E-5</v>
      </c>
      <c r="AM140" s="17">
        <f t="shared" si="18"/>
        <v>2.5737092250891572E-5</v>
      </c>
      <c r="AN140" s="17">
        <f t="shared" si="18"/>
        <v>3.3563651979044778E-5</v>
      </c>
      <c r="AO140" s="17">
        <f t="shared" si="18"/>
        <v>4.3320014250537631E-5</v>
      </c>
      <c r="AP140" s="17">
        <f t="shared" si="18"/>
        <v>4.93156845813595E-5</v>
      </c>
      <c r="AQ140" s="17">
        <f t="shared" si="18"/>
        <v>5.7253440087961484E-5</v>
      </c>
      <c r="AR140" s="17">
        <f t="shared" si="18"/>
        <v>6.7146528929737896E-5</v>
      </c>
      <c r="AS140" s="17">
        <f t="shared" si="18"/>
        <v>6.5556404688638429E-5</v>
      </c>
      <c r="AT140" s="17">
        <f t="shared" si="18"/>
        <v>6.5899066513756783E-5</v>
      </c>
      <c r="AU140" s="17">
        <f t="shared" si="18"/>
        <v>6.814309339513928E-5</v>
      </c>
      <c r="AV140" s="17">
        <f t="shared" si="18"/>
        <v>6.6627200978249082E-5</v>
      </c>
      <c r="AW140" s="17">
        <f t="shared" si="18"/>
        <v>6.7017240877824955E-5</v>
      </c>
      <c r="AX140" s="17">
        <f t="shared" si="18"/>
        <v>6.7232284144114456E-5</v>
      </c>
      <c r="AY140" s="17">
        <f t="shared" si="18"/>
        <v>6.1588614289634792E-5</v>
      </c>
      <c r="AZ140" s="17">
        <f t="shared" si="18"/>
        <v>5.7814991992557561E-5</v>
      </c>
      <c r="BA140" s="17">
        <f t="shared" si="18"/>
        <v>5.7148612409789122E-5</v>
      </c>
    </row>
    <row r="141" spans="1:53" outlineLevel="1" x14ac:dyDescent="0.35">
      <c r="A141" s="6" t="s">
        <v>39</v>
      </c>
      <c r="B141" s="6">
        <f>'Results - raw data ReCiPe (I)'!AC14</f>
        <v>4.5519703438415077E-5</v>
      </c>
    </row>
    <row r="142" spans="1:53" outlineLevel="1" x14ac:dyDescent="0.35">
      <c r="A142" s="6" t="s">
        <v>41</v>
      </c>
      <c r="B142" s="6">
        <f>'Results - raw data ReCiPe (I)'!AC15</f>
        <v>4.1673679681720339E-7</v>
      </c>
    </row>
    <row r="143" spans="1:53" outlineLevel="1" x14ac:dyDescent="0.35">
      <c r="A143" s="6" t="s">
        <v>43</v>
      </c>
      <c r="B143" s="6">
        <f>'Results - raw data ReCiPe (I)'!AC16</f>
        <v>7.7351773873582404E-7</v>
      </c>
      <c r="AB143" s="219"/>
      <c r="AC143" s="219"/>
      <c r="AD143" s="219"/>
      <c r="AE143" s="219"/>
      <c r="AF143" s="219"/>
      <c r="AG143" s="219"/>
      <c r="AH143" s="219"/>
      <c r="AI143" s="219"/>
      <c r="AJ143" s="219"/>
      <c r="AK143" s="219"/>
      <c r="AL143" s="219"/>
      <c r="AM143" s="219"/>
      <c r="AN143" s="219"/>
      <c r="AO143" s="219"/>
      <c r="AP143" s="219"/>
      <c r="AQ143" s="219"/>
      <c r="AR143" s="219"/>
      <c r="AS143" s="219"/>
      <c r="AT143" s="219"/>
      <c r="AU143" s="219"/>
      <c r="AV143" s="219"/>
      <c r="AW143" s="219"/>
      <c r="AX143" s="219"/>
      <c r="AY143" s="219"/>
      <c r="AZ143" s="219"/>
      <c r="BA143" s="219"/>
    </row>
    <row r="144" spans="1:53" outlineLevel="1" x14ac:dyDescent="0.35">
      <c r="A144" s="6" t="s">
        <v>44</v>
      </c>
      <c r="B144" s="6">
        <f>'Results - raw data ReCiPe (I)'!AC17*AC128*AC130</f>
        <v>5.5821736600752947E-6</v>
      </c>
      <c r="AB144" s="219"/>
      <c r="AC144" s="219"/>
      <c r="AD144" s="219"/>
      <c r="AE144" s="219"/>
      <c r="AF144" s="219"/>
      <c r="AG144" s="219"/>
      <c r="AH144" s="219"/>
      <c r="AI144" s="219"/>
      <c r="AJ144" s="219"/>
      <c r="AK144" s="219"/>
      <c r="AL144" s="219"/>
      <c r="AM144" s="219"/>
      <c r="AN144" s="219"/>
      <c r="AO144" s="219"/>
      <c r="AP144" s="219"/>
      <c r="AQ144" s="219"/>
      <c r="AR144" s="219"/>
      <c r="AS144" s="219"/>
      <c r="AT144" s="219"/>
      <c r="AU144" s="219"/>
      <c r="AV144" s="219"/>
      <c r="AW144" s="219"/>
      <c r="AX144" s="219"/>
      <c r="AY144" s="219"/>
      <c r="AZ144" s="219"/>
      <c r="BA144" s="219"/>
    </row>
    <row r="145" spans="1:53" outlineLevel="1" x14ac:dyDescent="0.35">
      <c r="A145" s="6" t="s">
        <v>757</v>
      </c>
      <c r="B145" s="6">
        <f>'Results - raw data ReCiPe (I)'!AC18*AC128*AC130</f>
        <v>1.5292068249896222E-5</v>
      </c>
      <c r="AB145" s="219"/>
      <c r="AC145" s="219"/>
      <c r="AD145" s="219"/>
      <c r="AE145" s="219"/>
      <c r="AF145" s="219"/>
      <c r="AG145" s="219"/>
      <c r="AH145" s="219"/>
      <c r="AI145" s="219"/>
      <c r="AJ145" s="219"/>
      <c r="AK145" s="219"/>
      <c r="AL145" s="219"/>
      <c r="AM145" s="219"/>
      <c r="AN145" s="219"/>
      <c r="AO145" s="219"/>
      <c r="AP145" s="219"/>
      <c r="AQ145" s="219"/>
      <c r="AR145" s="219"/>
      <c r="AS145" s="219"/>
      <c r="AT145" s="219"/>
      <c r="AU145" s="219"/>
      <c r="AV145" s="219"/>
      <c r="AW145" s="219"/>
      <c r="AX145" s="219"/>
      <c r="AY145" s="219"/>
      <c r="AZ145" s="219"/>
      <c r="BA145" s="219"/>
    </row>
    <row r="146" spans="1:53" outlineLevel="1" x14ac:dyDescent="0.35">
      <c r="A146" s="6" t="s">
        <v>22</v>
      </c>
      <c r="Z146" s="6">
        <f>'Results - raw data ReCiPe (I)'!BA19</f>
        <v>1.8753616045833519E-8</v>
      </c>
      <c r="AB146" s="219"/>
      <c r="AC146" s="219"/>
      <c r="AD146" s="219"/>
      <c r="AE146" s="219"/>
      <c r="AF146" s="219"/>
      <c r="AG146" s="219"/>
      <c r="AH146" s="219"/>
      <c r="AI146" s="219"/>
      <c r="AJ146" s="219"/>
      <c r="AK146" s="219"/>
      <c r="AL146" s="219"/>
      <c r="AM146" s="219"/>
      <c r="AN146" s="219"/>
      <c r="AO146" s="219"/>
      <c r="AP146" s="219"/>
      <c r="AQ146" s="219"/>
      <c r="AR146" s="219"/>
      <c r="AS146" s="219"/>
      <c r="AT146" s="219"/>
      <c r="AU146" s="219"/>
      <c r="AV146" s="219"/>
      <c r="AW146" s="219"/>
      <c r="AX146" s="219"/>
      <c r="AY146" s="219"/>
      <c r="AZ146" s="219"/>
      <c r="BA146" s="219"/>
    </row>
    <row r="147" spans="1:53" outlineLevel="1" x14ac:dyDescent="0.35">
      <c r="A147" s="6" t="s">
        <v>24</v>
      </c>
      <c r="Z147" s="6">
        <f>'Results - raw data ReCiPe (I)'!BA20</f>
        <v>1.273443268903795E-8</v>
      </c>
      <c r="AB147" s="219"/>
      <c r="AC147" s="219"/>
      <c r="AD147" s="219"/>
      <c r="AE147" s="219"/>
      <c r="AF147" s="219"/>
      <c r="AG147" s="219"/>
      <c r="AH147" s="219"/>
      <c r="AI147" s="219"/>
      <c r="AJ147" s="219"/>
      <c r="AK147" s="219"/>
      <c r="AL147" s="219"/>
      <c r="AM147" s="219"/>
      <c r="AN147" s="219"/>
      <c r="AO147" s="219"/>
      <c r="AP147" s="219"/>
      <c r="AQ147" s="219"/>
      <c r="AR147" s="219"/>
      <c r="AS147" s="219"/>
      <c r="AT147" s="219"/>
      <c r="AU147" s="219"/>
      <c r="AV147" s="219"/>
      <c r="AW147" s="219"/>
      <c r="AX147" s="219"/>
      <c r="AY147" s="219"/>
      <c r="AZ147" s="219"/>
      <c r="BA147" s="219"/>
    </row>
    <row r="148" spans="1:53" outlineLevel="1" x14ac:dyDescent="0.35">
      <c r="A148" s="6" t="s">
        <v>25</v>
      </c>
      <c r="Z148" s="6">
        <f>'Results - raw data ReCiPe (I)'!BA21</f>
        <v>6.7104539945526216E-8</v>
      </c>
      <c r="AB148" s="219"/>
      <c r="AC148" s="219"/>
      <c r="AD148" s="219"/>
      <c r="AE148" s="219"/>
      <c r="AF148" s="219"/>
      <c r="AG148" s="219"/>
      <c r="AH148" s="219"/>
      <c r="AI148" s="219"/>
      <c r="AJ148" s="219"/>
      <c r="AK148" s="219"/>
      <c r="AL148" s="219"/>
      <c r="AM148" s="219"/>
      <c r="AN148" s="219"/>
      <c r="AO148" s="219"/>
      <c r="AP148" s="219"/>
      <c r="AQ148" s="219"/>
      <c r="AR148" s="219"/>
      <c r="AS148" s="219"/>
      <c r="AT148" s="219"/>
      <c r="AU148" s="219"/>
      <c r="AV148" s="219"/>
      <c r="AW148" s="219"/>
      <c r="AX148" s="219"/>
      <c r="AY148" s="219"/>
      <c r="AZ148" s="219"/>
      <c r="BA148" s="219"/>
    </row>
    <row r="149" spans="1:53" outlineLevel="1" x14ac:dyDescent="0.35">
      <c r="A149" s="6" t="s">
        <v>27</v>
      </c>
      <c r="Z149" s="6">
        <f>'Results - raw data ReCiPe (I)'!BA22</f>
        <v>2.6470950284197709E-8</v>
      </c>
      <c r="AB149" s="219"/>
      <c r="AC149" s="219"/>
      <c r="AD149" s="219"/>
      <c r="AE149" s="219"/>
      <c r="AF149" s="219"/>
      <c r="AG149" s="219"/>
      <c r="AH149" s="219"/>
      <c r="AI149" s="219"/>
      <c r="AJ149" s="219"/>
      <c r="AK149" s="219"/>
      <c r="AL149" s="219"/>
      <c r="AM149" s="219"/>
      <c r="AN149" s="219"/>
      <c r="AO149" s="219"/>
      <c r="AP149" s="219"/>
      <c r="AQ149" s="219"/>
      <c r="AR149" s="219"/>
      <c r="AS149" s="219"/>
      <c r="AT149" s="219"/>
      <c r="AU149" s="219"/>
      <c r="AV149" s="219"/>
      <c r="AW149" s="219"/>
      <c r="AX149" s="219"/>
      <c r="AY149" s="219"/>
      <c r="AZ149" s="219"/>
      <c r="BA149" s="219"/>
    </row>
    <row r="150" spans="1:53" outlineLevel="1" x14ac:dyDescent="0.35">
      <c r="A150" s="6" t="s">
        <v>30</v>
      </c>
      <c r="Z150" s="6">
        <f>'Results - raw data ReCiPe (I)'!BA23</f>
        <v>2.4441380210246229E-8</v>
      </c>
      <c r="AB150" s="219"/>
      <c r="AC150" s="219"/>
      <c r="AD150" s="219"/>
      <c r="AE150" s="219"/>
      <c r="AF150" s="219"/>
      <c r="AG150" s="219"/>
      <c r="AH150" s="219"/>
      <c r="AI150" s="219"/>
      <c r="AJ150" s="219"/>
      <c r="AK150" s="219"/>
      <c r="AL150" s="219"/>
      <c r="AM150" s="219"/>
      <c r="AN150" s="219"/>
      <c r="AO150" s="219"/>
      <c r="AP150" s="219"/>
      <c r="AQ150" s="219"/>
      <c r="AR150" s="219"/>
      <c r="AS150" s="219"/>
      <c r="AT150" s="219"/>
      <c r="AU150" s="219"/>
      <c r="AV150" s="219"/>
      <c r="AW150" s="219"/>
      <c r="AX150" s="219"/>
      <c r="AY150" s="219"/>
      <c r="AZ150" s="219"/>
      <c r="BA150" s="219"/>
    </row>
    <row r="151" spans="1:53" outlineLevel="1" x14ac:dyDescent="0.35">
      <c r="A151" s="6" t="s">
        <v>32</v>
      </c>
      <c r="Z151" s="6">
        <f>'Results - raw data ReCiPe (I)'!BA24</f>
        <v>4.4570741064049689E-9</v>
      </c>
      <c r="AB151" s="219"/>
      <c r="AC151" s="219"/>
      <c r="AD151" s="219"/>
      <c r="AE151" s="219"/>
      <c r="AF151" s="219"/>
      <c r="AG151" s="219"/>
      <c r="AH151" s="219"/>
      <c r="AI151" s="219"/>
      <c r="AJ151" s="219"/>
      <c r="AK151" s="219"/>
      <c r="AL151" s="219"/>
      <c r="AM151" s="219"/>
      <c r="AN151" s="219"/>
      <c r="AO151" s="219"/>
      <c r="AP151" s="219"/>
      <c r="AQ151" s="219"/>
      <c r="AR151" s="219"/>
      <c r="AS151" s="219"/>
      <c r="AT151" s="219"/>
      <c r="AU151" s="219"/>
      <c r="AV151" s="219"/>
      <c r="AW151" s="219"/>
      <c r="AX151" s="219"/>
      <c r="AY151" s="219"/>
      <c r="AZ151" s="219"/>
      <c r="BA151" s="219"/>
    </row>
    <row r="152" spans="1:53" outlineLevel="1" x14ac:dyDescent="0.35">
      <c r="A152" s="6" t="s">
        <v>33</v>
      </c>
      <c r="Z152" s="6">
        <f>'Results - raw data ReCiPe (I)'!BA25</f>
        <v>6.4050897028475748E-9</v>
      </c>
      <c r="AB152" s="219"/>
      <c r="AC152" s="219"/>
      <c r="AD152" s="219"/>
      <c r="AE152" s="219"/>
      <c r="AF152" s="219"/>
      <c r="AG152" s="219"/>
      <c r="AH152" s="219"/>
      <c r="AI152" s="219"/>
      <c r="AJ152" s="219"/>
      <c r="AK152" s="219"/>
      <c r="AL152" s="219"/>
      <c r="AM152" s="219"/>
      <c r="AN152" s="219"/>
      <c r="AO152" s="219"/>
      <c r="AP152" s="219"/>
      <c r="AQ152" s="219"/>
      <c r="AR152" s="219"/>
      <c r="AS152" s="219"/>
      <c r="AT152" s="219"/>
      <c r="AU152" s="219"/>
      <c r="AV152" s="219"/>
      <c r="AW152" s="219"/>
      <c r="AX152" s="219"/>
      <c r="AY152" s="219"/>
      <c r="AZ152" s="219"/>
      <c r="BA152" s="219"/>
    </row>
    <row r="153" spans="1:53" outlineLevel="1" x14ac:dyDescent="0.35">
      <c r="A153" s="6" t="s">
        <v>35</v>
      </c>
      <c r="Z153" s="6">
        <f>'Results - raw data ReCiPe (I)'!BA26</f>
        <v>1.281017940569515E-8</v>
      </c>
      <c r="AB153" s="219"/>
      <c r="AC153" s="219"/>
      <c r="AD153" s="219"/>
      <c r="AE153" s="219"/>
      <c r="AF153" s="219"/>
      <c r="AG153" s="219"/>
      <c r="AH153" s="219"/>
      <c r="AI153" s="219"/>
      <c r="AJ153" s="219"/>
      <c r="AK153" s="219"/>
      <c r="AL153" s="219"/>
      <c r="AM153" s="219"/>
      <c r="AN153" s="219"/>
      <c r="AO153" s="219"/>
      <c r="AP153" s="219"/>
      <c r="AQ153" s="219"/>
      <c r="AR153" s="219"/>
      <c r="AS153" s="219"/>
      <c r="AT153" s="219"/>
      <c r="AU153" s="219"/>
      <c r="AV153" s="219"/>
      <c r="AW153" s="219"/>
      <c r="AX153" s="219"/>
      <c r="AY153" s="219"/>
      <c r="AZ153" s="219"/>
      <c r="BA153" s="219"/>
    </row>
    <row r="154" spans="1:53" outlineLevel="1" x14ac:dyDescent="0.35">
      <c r="A154" s="6" t="s">
        <v>37</v>
      </c>
      <c r="Z154" s="6">
        <f>'Results - raw data ReCiPe (I)'!BA27</f>
        <v>7.4686247237046399E-8</v>
      </c>
      <c r="AB154" s="219"/>
      <c r="AC154" s="219"/>
      <c r="AD154" s="219"/>
      <c r="AE154" s="219"/>
      <c r="AF154" s="219"/>
      <c r="AG154" s="219"/>
      <c r="AH154" s="219"/>
      <c r="AI154" s="219"/>
      <c r="AJ154" s="219"/>
      <c r="AK154" s="219"/>
      <c r="AL154" s="219"/>
      <c r="AM154" s="219"/>
      <c r="AN154" s="219"/>
      <c r="AO154" s="219"/>
      <c r="AP154" s="219"/>
      <c r="AQ154" s="219"/>
      <c r="AR154" s="219"/>
      <c r="AS154" s="219"/>
      <c r="AT154" s="219"/>
      <c r="AU154" s="219"/>
      <c r="AV154" s="219"/>
      <c r="AW154" s="219"/>
      <c r="AX154" s="219"/>
      <c r="AY154" s="219"/>
      <c r="AZ154" s="219"/>
      <c r="BA154" s="219"/>
    </row>
    <row r="155" spans="1:53" outlineLevel="1" x14ac:dyDescent="0.35">
      <c r="A155" s="6" t="s">
        <v>40</v>
      </c>
      <c r="Z155" s="6">
        <f>'Results - raw data ReCiPe (I)'!BA28</f>
        <v>3.2793422863421839E-7</v>
      </c>
    </row>
    <row r="156" spans="1:53" outlineLevel="1" x14ac:dyDescent="0.35">
      <c r="A156" s="6" t="s">
        <v>42</v>
      </c>
      <c r="Z156" s="6">
        <f>'Results - raw data ReCiPe (I)'!BA29</f>
        <v>1.0978059676676949E-7</v>
      </c>
    </row>
    <row r="157" spans="1:53" outlineLevel="1" x14ac:dyDescent="0.35">
      <c r="A157" s="6" t="s">
        <v>115</v>
      </c>
      <c r="Z157" s="6">
        <f>'Results - raw data ReCiPe (I)'!BA30</f>
        <v>5.532338521000648E-7</v>
      </c>
    </row>
    <row r="158" spans="1:53" outlineLevel="1" x14ac:dyDescent="0.35">
      <c r="A158" s="6" t="s">
        <v>45</v>
      </c>
      <c r="Z158" s="6">
        <f>'Results - raw data ReCiPe (I)'!BA31*AC128*AC130</f>
        <v>3.8995886120102447E-8</v>
      </c>
    </row>
    <row r="159" spans="1:53" outlineLevel="1" x14ac:dyDescent="0.35">
      <c r="A159" s="6" t="s">
        <v>116</v>
      </c>
      <c r="B159" s="6">
        <f>'Results - raw data ReCiPe (I)'!AC32</f>
        <v>1.8923827854892541E-6</v>
      </c>
      <c r="C159" s="6">
        <f>'Results - raw data ReCiPe (I)'!AD32</f>
        <v>1.889714786409623E-6</v>
      </c>
      <c r="D159" s="6">
        <f>'Results - raw data ReCiPe (I)'!AE32</f>
        <v>1.887023929732714E-6</v>
      </c>
      <c r="E159" s="6">
        <f>'Results - raw data ReCiPe (I)'!AF32</f>
        <v>1.875504080673279E-6</v>
      </c>
      <c r="F159" s="6">
        <f>'Results - raw data ReCiPe (I)'!AG32</f>
        <v>1.872717594275976E-6</v>
      </c>
      <c r="G159" s="6">
        <f>'Results - raw data ReCiPe (I)'!AH32</f>
        <v>1.869923624609793E-6</v>
      </c>
      <c r="H159" s="6">
        <f>'Results - raw data ReCiPe (I)'!AI32</f>
        <v>1.8735069041771709E-6</v>
      </c>
      <c r="I159" s="6">
        <f>'Results - raw data ReCiPe (I)'!AJ32</f>
        <v>1.8770594642955549E-6</v>
      </c>
      <c r="J159" s="6">
        <f>'Results - raw data ReCiPe (I)'!AK32</f>
        <v>1.8755470965960859E-6</v>
      </c>
      <c r="K159" s="6">
        <f>'Results - raw data ReCiPe (I)'!AL32</f>
        <v>1.879003812114612E-6</v>
      </c>
      <c r="L159" s="6">
        <f>'Results - raw data ReCiPe (I)'!AM32</f>
        <v>1.882430263545709E-6</v>
      </c>
      <c r="M159" s="6">
        <f>'Results - raw data ReCiPe (I)'!AN32</f>
        <v>1.8889461237107309E-6</v>
      </c>
      <c r="N159" s="6">
        <f>'Results - raw data ReCiPe (I)'!AO32</f>
        <v>1.8953729876566431E-6</v>
      </c>
      <c r="O159" s="6">
        <f>'Results - raw data ReCiPe (I)'!AP32</f>
        <v>1.900244904468718E-6</v>
      </c>
      <c r="P159" s="6">
        <f>'Results - raw data ReCiPe (I)'!AQ32</f>
        <v>1.906594363435936E-6</v>
      </c>
      <c r="Q159" s="6">
        <f>'Results - raw data ReCiPe (I)'!AR32</f>
        <v>1.91292243317761E-6</v>
      </c>
      <c r="R159" s="6">
        <f>'Results - raw data ReCiPe (I)'!AS32</f>
        <v>1.906724039036221E-6</v>
      </c>
      <c r="S159" s="6">
        <f>'Results - raw data ReCiPe (I)'!AT32</f>
        <v>1.9003382557709781E-6</v>
      </c>
      <c r="T159" s="6">
        <f>'Results - raw data ReCiPe (I)'!AU32</f>
        <v>1.8919742403575121E-6</v>
      </c>
      <c r="U159" s="6">
        <f>'Results - raw data ReCiPe (I)'!AV32</f>
        <v>1.885363499118904E-6</v>
      </c>
      <c r="V159" s="6">
        <f>'Results - raw data ReCiPe (I)'!AW32</f>
        <v>1.878677559524333E-6</v>
      </c>
      <c r="W159" s="6">
        <f>'Results - raw data ReCiPe (I)'!AX32</f>
        <v>1.884095534967196E-6</v>
      </c>
      <c r="X159" s="6">
        <f>'Results - raw data ReCiPe (I)'!AY32</f>
        <v>1.8706822453158649E-6</v>
      </c>
      <c r="Y159" s="6">
        <f>'Results - raw data ReCiPe (I)'!AZ32</f>
        <v>1.8571783832156639E-6</v>
      </c>
      <c r="Z159" s="6">
        <f>'Results - raw data ReCiPe (I)'!BA32</f>
        <v>1.8435821555876251E-6</v>
      </c>
    </row>
    <row r="160" spans="1:53" outlineLevel="1" x14ac:dyDescent="0.35">
      <c r="A160" s="6" t="s">
        <v>758</v>
      </c>
      <c r="B160" s="6">
        <f>'Results - raw data ReCiPe (I)'!AC33*$AC$129</f>
        <v>1.6196519491456809E-8</v>
      </c>
      <c r="C160" s="6">
        <f>'Results - raw data ReCiPe (I)'!AD33*$AC$129</f>
        <v>1.6082237859616423E-8</v>
      </c>
      <c r="D160" s="6">
        <f>'Results - raw data ReCiPe (I)'!AE33*$AC$129</f>
        <v>1.5967878209494249E-8</v>
      </c>
      <c r="E160" s="6">
        <f>'Results - raw data ReCiPe (I)'!AF33*$AC$129</f>
        <v>1.5843335486957649E-8</v>
      </c>
      <c r="F160" s="6">
        <f>'Results - raw data ReCiPe (I)'!AG33*$AC$129</f>
        <v>1.5728438559104152E-8</v>
      </c>
      <c r="G160" s="6">
        <f>'Results - raw data ReCiPe (I)'!AH33*$AC$129</f>
        <v>1.5613446308503057E-8</v>
      </c>
      <c r="H160" s="6">
        <f>'Results - raw data ReCiPe (I)'!AI33*$AC$129</f>
        <v>1.6485264400514764E-8</v>
      </c>
      <c r="I160" s="6">
        <f>'Results - raw data ReCiPe (I)'!AJ33*$AC$129</f>
        <v>1.7353839794039151E-8</v>
      </c>
      <c r="J160" s="6">
        <f>'Results - raw data ReCiPe (I)'!AK33*$AC$129</f>
        <v>1.8212658824276814E-8</v>
      </c>
      <c r="K160" s="6">
        <f>'Results - raw data ReCiPe (I)'!AL33*$AC$129</f>
        <v>1.9075857532875963E-8</v>
      </c>
      <c r="L160" s="6">
        <f>'Results - raw data ReCiPe (I)'!AM33*$AC$129</f>
        <v>1.9935973154066775E-8</v>
      </c>
      <c r="M160" s="6">
        <f>'Results - raw data ReCiPe (I)'!AN33*$AC$129</f>
        <v>2.1693672513599334E-8</v>
      </c>
      <c r="N160" s="6">
        <f>'Results - raw data ReCiPe (I)'!AO33*$AC$129</f>
        <v>2.3455091650285481E-8</v>
      </c>
      <c r="O160" s="6">
        <f>'Results - raw data ReCiPe (I)'!AP33*$AC$129</f>
        <v>2.5219220844960211E-8</v>
      </c>
      <c r="P160" s="6">
        <f>'Results - raw data ReCiPe (I)'!AQ33*$AC$129</f>
        <v>2.6989837462376926E-8</v>
      </c>
      <c r="Q160" s="6">
        <f>'Results - raw data ReCiPe (I)'!AR33*$AC$129</f>
        <v>2.8765894183800614E-8</v>
      </c>
      <c r="R160" s="6">
        <f>'Results - raw data ReCiPe (I)'!AS33*$AC$129</f>
        <v>2.8814311190366574E-8</v>
      </c>
      <c r="S160" s="6">
        <f>'Results - raw data ReCiPe (I)'!AT33*$AC$129</f>
        <v>2.8867021517424204E-8</v>
      </c>
      <c r="T160" s="6">
        <f>'Results - raw data ReCiPe (I)'!AU33*$AC$129</f>
        <v>2.8921667594109672E-8</v>
      </c>
      <c r="U160" s="6">
        <f>'Results - raw data ReCiPe (I)'!AV33*$AC$129</f>
        <v>2.8981544948069096E-8</v>
      </c>
      <c r="V160" s="6">
        <f>'Results - raw data ReCiPe (I)'!AW33*$AC$129</f>
        <v>2.9044372643549694E-8</v>
      </c>
      <c r="W160" s="6">
        <f>'Results - raw data ReCiPe (I)'!AX33*$AC$129</f>
        <v>2.8639810688093563E-8</v>
      </c>
      <c r="X160" s="6">
        <f>'Results - raw data ReCiPe (I)'!AY33*$AC$129</f>
        <v>2.7750295735552048E-8</v>
      </c>
      <c r="Y160" s="6">
        <f>'Results - raw data ReCiPe (I)'!AZ33*$AC$129</f>
        <v>2.6860995072850227E-8</v>
      </c>
      <c r="Z160" s="6">
        <f>'Results - raw data ReCiPe (I)'!BA33*$AC$129</f>
        <v>2.5971896086617373E-8</v>
      </c>
    </row>
    <row r="161" spans="1:53" outlineLevel="1" x14ac:dyDescent="0.35">
      <c r="A161" s="6" t="s">
        <v>759</v>
      </c>
      <c r="B161" s="6">
        <f>'Results - raw data ReCiPe (I)'!AC34</f>
        <v>2.0736000294618859E-7</v>
      </c>
      <c r="C161" s="6">
        <f>'Results - raw data ReCiPe (I)'!AD34</f>
        <v>2.0736000294618859E-7</v>
      </c>
      <c r="D161" s="6">
        <f>'Results - raw data ReCiPe (I)'!AE34</f>
        <v>2.0736000294618859E-7</v>
      </c>
      <c r="E161" s="6">
        <f>'Results - raw data ReCiPe (I)'!AF34</f>
        <v>2.0736000294618859E-7</v>
      </c>
      <c r="F161" s="6">
        <f>'Results - raw data ReCiPe (I)'!AG34</f>
        <v>2.0736000294618859E-7</v>
      </c>
      <c r="G161" s="6">
        <f>'Results - raw data ReCiPe (I)'!AH34</f>
        <v>2.0736000294618859E-7</v>
      </c>
      <c r="H161" s="6">
        <f>'Results - raw data ReCiPe (I)'!AI34</f>
        <v>2.0736000294618859E-7</v>
      </c>
      <c r="I161" s="6">
        <f>'Results - raw data ReCiPe (I)'!AJ34</f>
        <v>2.0736000294618859E-7</v>
      </c>
      <c r="J161" s="6">
        <f>'Results - raw data ReCiPe (I)'!AK34</f>
        <v>2.0736000294618859E-7</v>
      </c>
      <c r="K161" s="6">
        <f>'Results - raw data ReCiPe (I)'!AL34</f>
        <v>2.0736000294618859E-7</v>
      </c>
      <c r="L161" s="6">
        <f>'Results - raw data ReCiPe (I)'!AM34</f>
        <v>2.0736000294618859E-7</v>
      </c>
      <c r="M161" s="6">
        <f>'Results - raw data ReCiPe (I)'!AN34</f>
        <v>2.0736000294618859E-7</v>
      </c>
      <c r="N161" s="6">
        <f>'Results - raw data ReCiPe (I)'!AO34</f>
        <v>2.0736000294618859E-7</v>
      </c>
      <c r="O161" s="6">
        <f>'Results - raw data ReCiPe (I)'!AP34</f>
        <v>2.0736000294618859E-7</v>
      </c>
      <c r="P161" s="6">
        <f>'Results - raw data ReCiPe (I)'!AQ34</f>
        <v>2.0736000294618859E-7</v>
      </c>
      <c r="Q161" s="6">
        <f>'Results - raw data ReCiPe (I)'!AR34</f>
        <v>2.0736000294618859E-7</v>
      </c>
      <c r="R161" s="6">
        <f>'Results - raw data ReCiPe (I)'!AS34</f>
        <v>2.0736000294618859E-7</v>
      </c>
      <c r="S161" s="6">
        <f>'Results - raw data ReCiPe (I)'!AT34</f>
        <v>2.0736000294618859E-7</v>
      </c>
      <c r="T161" s="6">
        <f>'Results - raw data ReCiPe (I)'!AU34</f>
        <v>2.0736000294618859E-7</v>
      </c>
      <c r="U161" s="6">
        <f>'Results - raw data ReCiPe (I)'!AV34</f>
        <v>2.0736000294618859E-7</v>
      </c>
      <c r="V161" s="6">
        <f>'Results - raw data ReCiPe (I)'!AW34</f>
        <v>2.0736000294618859E-7</v>
      </c>
      <c r="W161" s="6">
        <f>'Results - raw data ReCiPe (I)'!AX34</f>
        <v>2.0736000294618859E-7</v>
      </c>
      <c r="X161" s="6">
        <f>'Results - raw data ReCiPe (I)'!AY34</f>
        <v>2.0736000294618859E-7</v>
      </c>
      <c r="Y161" s="6">
        <f>'Results - raw data ReCiPe (I)'!AZ34</f>
        <v>2.0736000294618859E-7</v>
      </c>
      <c r="Z161" s="6">
        <f>'Results - raw data ReCiPe (I)'!BA34</f>
        <v>2.0736000294618859E-7</v>
      </c>
    </row>
    <row r="162" spans="1:53" outlineLevel="1" x14ac:dyDescent="0.35">
      <c r="A162" s="6" t="s">
        <v>760</v>
      </c>
      <c r="B162" s="6">
        <f>150000*($AC$129*'Results - raw data ReCiPe (I)'!AC114+(1-'Results ReCiPe (I) - HHD'!$AC$129)*'Results - raw data ReCiPe (I)'!AC115)</f>
        <v>6.150186114931831E-5</v>
      </c>
      <c r="C162" s="6">
        <f>150000*($AC$129*'Results - raw data ReCiPe (I)'!AD114+(1-'Results ReCiPe (I) - HHD'!$AC$129)*'Results - raw data ReCiPe (I)'!AD115)</f>
        <v>6.1085828157728689E-5</v>
      </c>
      <c r="D162" s="6">
        <f>150000*($AC$129*'Results - raw data ReCiPe (I)'!AE114+(1-'Results ReCiPe (I) - HHD'!$AC$129)*'Results - raw data ReCiPe (I)'!AE115)</f>
        <v>6.066828761625233E-5</v>
      </c>
      <c r="E162" s="6">
        <f>150000*($AC$129*'Results - raw data ReCiPe (I)'!AF114+(1-'Results ReCiPe (I) - HHD'!$AC$129)*'Results - raw data ReCiPe (I)'!AF115)</f>
        <v>6.0203549240913241E-5</v>
      </c>
      <c r="F162" s="6">
        <f>150000*($AC$129*'Results - raw data ReCiPe (I)'!AG114+(1-'Results ReCiPe (I) - HHD'!$AC$129)*'Results - raw data ReCiPe (I)'!AG115)</f>
        <v>5.9781343260231331E-5</v>
      </c>
      <c r="G162" s="6">
        <f>150000*($AC$129*'Results - raw data ReCiPe (I)'!AH114+(1-'Results ReCiPe (I) - HHD'!$AC$129)*'Results - raw data ReCiPe (I)'!AH115)</f>
        <v>5.9357489855865711E-5</v>
      </c>
      <c r="H162" s="6">
        <f>150000*($AC$129*'Results - raw data ReCiPe (I)'!AI114+(1-'Results ReCiPe (I) - HHD'!$AC$129)*'Results - raw data ReCiPe (I)'!AI115)</f>
        <v>6.3238147443246502E-5</v>
      </c>
      <c r="I162" s="6">
        <f>150000*($AC$129*'Results - raw data ReCiPe (I)'!AJ114+(1-'Results ReCiPe (I) - HHD'!$AC$129)*'Results - raw data ReCiPe (I)'!AJ115)</f>
        <v>6.7115757878632014E-5</v>
      </c>
      <c r="J162" s="6">
        <f>150000*($AC$129*'Results - raw data ReCiPe (I)'!AK114+(1-'Results ReCiPe (I) - HHD'!$AC$129)*'Results - raw data ReCiPe (I)'!AK115)</f>
        <v>7.0961226220526334E-5</v>
      </c>
      <c r="K162" s="6">
        <f>150000*($AC$129*'Results - raw data ReCiPe (I)'!AL114+(1-'Results ReCiPe (I) - HHD'!$AC$129)*'Results - raw data ReCiPe (I)'!AL115)</f>
        <v>7.4837454365299415E-5</v>
      </c>
      <c r="L162" s="6">
        <f>150000*($AC$129*'Results - raw data ReCiPe (I)'!AM114+(1-'Results ReCiPe (I) - HHD'!$AC$129)*'Results - raw data ReCiPe (I)'!AM115)</f>
        <v>7.8711246274791317E-5</v>
      </c>
      <c r="M162" s="6">
        <f>150000*($AC$129*'Results - raw data ReCiPe (I)'!AN114+(1-'Results ReCiPe (I) - HHD'!$AC$129)*'Results - raw data ReCiPe (I)'!AN115)</f>
        <v>8.6536048303584995E-5</v>
      </c>
      <c r="N162" s="6">
        <f>150000*($AC$129*'Results - raw data ReCiPe (I)'!AO114+(1-'Results ReCiPe (I) - HHD'!$AC$129)*'Results - raw data ReCiPe (I)'!AO115)</f>
        <v>9.4395276168284523E-5</v>
      </c>
      <c r="O162" s="6">
        <f>150000*($AC$129*'Results - raw data ReCiPe (I)'!AP114+(1-'Results ReCiPe (I) - HHD'!$AC$129)*'Results - raw data ReCiPe (I)'!AP115)</f>
        <v>1.0228455535756836E-4</v>
      </c>
      <c r="P162" s="6">
        <f>150000*($AC$129*'Results - raw data ReCiPe (I)'!AQ114+(1-'Results ReCiPe (I) - HHD'!$AC$129)*'Results - raw data ReCiPe (I)'!AQ115)</f>
        <v>1.1022054024755292E-4</v>
      </c>
      <c r="Q162" s="6">
        <f>150000*($AC$129*'Results - raw data ReCiPe (I)'!AR114+(1-'Results ReCiPe (I) - HHD'!$AC$129)*'Results - raw data ReCiPe (I)'!AR115)</f>
        <v>1.181989305994303E-4</v>
      </c>
      <c r="R162" s="6">
        <f>150000*($AC$129*'Results - raw data ReCiPe (I)'!AS114+(1-'Results ReCiPe (I) - HHD'!$AC$129)*'Results - raw data ReCiPe (I)'!AS115)</f>
        <v>1.1852168037450188E-4</v>
      </c>
      <c r="S162" s="6">
        <f>150000*($AC$129*'Results - raw data ReCiPe (I)'!AT114+(1-'Results ReCiPe (I) - HHD'!$AC$129)*'Results - raw data ReCiPe (I)'!AT115)</f>
        <v>1.1886428948929318E-4</v>
      </c>
      <c r="T162" s="6">
        <f>150000*($AC$129*'Results - raw data ReCiPe (I)'!AU114+(1-'Results ReCiPe (I) - HHD'!$AC$129)*'Results - raw data ReCiPe (I)'!AU115)</f>
        <v>1.1921628748424147E-4</v>
      </c>
      <c r="U162" s="6">
        <f>150000*($AC$129*'Results - raw data ReCiPe (I)'!AV114+(1-'Results ReCiPe (I) - HHD'!$AC$129)*'Results - raw data ReCiPe (I)'!AV115)</f>
        <v>1.1959230943035484E-4</v>
      </c>
      <c r="V162" s="6">
        <f>150000*($AC$129*'Results - raw data ReCiPe (I)'!AW114+(1-'Results ReCiPe (I) - HHD'!$AC$129)*'Results - raw data ReCiPe (I)'!AW115)</f>
        <v>1.1998228650223523E-4</v>
      </c>
      <c r="W162" s="6">
        <f>150000*($AC$129*'Results - raw data ReCiPe (I)'!AX114+(1-'Results ReCiPe (I) - HHD'!$AC$129)*'Results - raw data ReCiPe (I)'!AX115)</f>
        <v>1.1831363879551299E-4</v>
      </c>
      <c r="X162" s="6">
        <f>150000*($AC$129*'Results - raw data ReCiPe (I)'!AY114+(1-'Results ReCiPe (I) - HHD'!$AC$129)*'Results - raw data ReCiPe (I)'!AY115)</f>
        <v>1.1455495399095306E-4</v>
      </c>
      <c r="Y162" s="6">
        <f>150000*($AC$129*'Results - raw data ReCiPe (I)'!AZ114+(1-'Results ReCiPe (I) - HHD'!$AC$129)*'Results - raw data ReCiPe (I)'!AZ115)</f>
        <v>1.1078222099453853E-4</v>
      </c>
      <c r="Z162" s="6">
        <f>150000*($AC$129*'Results - raw data ReCiPe (I)'!BA114+(1-'Results ReCiPe (I) - HHD'!$AC$129)*'Results - raw data ReCiPe (I)'!BA115)</f>
        <v>1.0699534028192071E-4</v>
      </c>
    </row>
    <row r="163" spans="1:53" outlineLevel="1" x14ac:dyDescent="0.35">
      <c r="A163" s="23" t="s">
        <v>125</v>
      </c>
      <c r="B163" s="17">
        <f t="shared" ref="B163:Z163" si="19">SUM(B132:B162)</f>
        <v>1.787323685989237E-4</v>
      </c>
      <c r="C163" s="17">
        <f t="shared" si="19"/>
        <v>6.3198985184944123E-5</v>
      </c>
      <c r="D163" s="17">
        <f t="shared" si="19"/>
        <v>6.2778639427140727E-5</v>
      </c>
      <c r="E163" s="17">
        <f t="shared" si="19"/>
        <v>6.2302256660019668E-5</v>
      </c>
      <c r="F163" s="17">
        <f t="shared" si="19"/>
        <v>6.1877149296012596E-5</v>
      </c>
      <c r="G163" s="17">
        <f t="shared" si="19"/>
        <v>6.1450386929730189E-5</v>
      </c>
      <c r="H163" s="17">
        <f t="shared" si="19"/>
        <v>6.5335499614770383E-5</v>
      </c>
      <c r="I163" s="17">
        <f t="shared" si="19"/>
        <v>6.9217531185667797E-5</v>
      </c>
      <c r="J163" s="17">
        <f t="shared" si="19"/>
        <v>7.3062345978892887E-5</v>
      </c>
      <c r="K163" s="17">
        <f t="shared" si="19"/>
        <v>7.6942894037893098E-5</v>
      </c>
      <c r="L163" s="17">
        <f t="shared" si="19"/>
        <v>8.0820972514437283E-5</v>
      </c>
      <c r="M163" s="17">
        <f t="shared" si="19"/>
        <v>8.8654048102755512E-5</v>
      </c>
      <c r="N163" s="17">
        <f t="shared" si="19"/>
        <v>9.6521464250537637E-5</v>
      </c>
      <c r="O163" s="17">
        <f t="shared" si="19"/>
        <v>1.0441737948582823E-4</v>
      </c>
      <c r="P163" s="17">
        <f t="shared" si="19"/>
        <v>1.1236148445139743E-4</v>
      </c>
      <c r="Q163" s="17">
        <f t="shared" si="19"/>
        <v>1.2034797892973789E-4</v>
      </c>
      <c r="R163" s="17">
        <f t="shared" si="19"/>
        <v>1.2066457872767465E-4</v>
      </c>
      <c r="S163" s="17">
        <f t="shared" si="19"/>
        <v>1.2100085476952777E-4</v>
      </c>
      <c r="T163" s="17">
        <f t="shared" si="19"/>
        <v>1.2134454339513928E-4</v>
      </c>
      <c r="U163" s="17">
        <f t="shared" si="19"/>
        <v>1.21714014477368E-4</v>
      </c>
      <c r="V163" s="17">
        <f t="shared" si="19"/>
        <v>1.2209736843734931E-4</v>
      </c>
      <c r="W163" s="17">
        <f t="shared" si="19"/>
        <v>1.2043373414411447E-4</v>
      </c>
      <c r="X163" s="17">
        <f t="shared" si="19"/>
        <v>1.1666074653495066E-4</v>
      </c>
      <c r="Y163" s="17">
        <f t="shared" si="19"/>
        <v>1.1287362037577323E-4</v>
      </c>
      <c r="Z163" s="17">
        <f t="shared" si="19"/>
        <v>1.1035006240978913E-4</v>
      </c>
    </row>
    <row r="164" spans="1:53" outlineLevel="1" x14ac:dyDescent="0.35"/>
    <row r="165" spans="1:53" s="18" customFormat="1" ht="21" x14ac:dyDescent="0.5">
      <c r="A165" s="18" t="s">
        <v>73</v>
      </c>
    </row>
    <row r="166" spans="1:53" s="20" customFormat="1" outlineLevel="1" x14ac:dyDescent="0.35">
      <c r="A166" s="19" t="s">
        <v>766</v>
      </c>
    </row>
    <row r="167" spans="1:53" s="16" customFormat="1" outlineLevel="1" x14ac:dyDescent="0.35">
      <c r="A167" s="21"/>
      <c r="AB167" s="15" t="s">
        <v>143</v>
      </c>
      <c r="AC167" s="16">
        <f>0.000000000532+0.0000000000000145</f>
        <v>5.3201449999999999E-10</v>
      </c>
      <c r="AD167" s="16" t="s">
        <v>916</v>
      </c>
      <c r="AE167" s="15" t="s">
        <v>714</v>
      </c>
    </row>
    <row r="168" spans="1:53" s="16" customFormat="1" outlineLevel="1" x14ac:dyDescent="0.35">
      <c r="A168" s="22" t="s">
        <v>917</v>
      </c>
      <c r="AC168" s="16">
        <f>AC167*1000</f>
        <v>5.3201450000000003E-7</v>
      </c>
      <c r="AD168" s="16" t="s">
        <v>918</v>
      </c>
    </row>
    <row r="169" spans="1:53" s="16" customFormat="1" outlineLevel="1" x14ac:dyDescent="0.35">
      <c r="A169" s="22"/>
      <c r="AB169" s="16" t="s">
        <v>127</v>
      </c>
      <c r="AC169" s="16">
        <v>100</v>
      </c>
      <c r="AD169" s="16" t="s">
        <v>128</v>
      </c>
    </row>
    <row r="170" spans="1:53" s="16" customFormat="1" outlineLevel="1" x14ac:dyDescent="0.35">
      <c r="A170" s="230" t="s">
        <v>768</v>
      </c>
      <c r="AB170" s="16" t="s">
        <v>20</v>
      </c>
      <c r="AC170" s="16">
        <v>0.23</v>
      </c>
      <c r="AD170" s="16" t="s">
        <v>715</v>
      </c>
    </row>
    <row r="171" spans="1:53" s="16" customFormat="1" outlineLevel="1" x14ac:dyDescent="0.35">
      <c r="A171" s="22"/>
      <c r="AB171" s="16" t="s">
        <v>129</v>
      </c>
      <c r="AC171" s="16">
        <v>25</v>
      </c>
      <c r="AD171" s="16" t="s">
        <v>130</v>
      </c>
    </row>
    <row r="172" spans="1:53" outlineLevel="1" x14ac:dyDescent="0.35">
      <c r="B172" s="25">
        <v>2030</v>
      </c>
      <c r="C172" s="25">
        <v>2031</v>
      </c>
      <c r="D172" s="25">
        <v>2032</v>
      </c>
      <c r="E172" s="25">
        <v>2033</v>
      </c>
      <c r="F172" s="25">
        <v>2034</v>
      </c>
      <c r="G172" s="25">
        <v>2035</v>
      </c>
      <c r="H172" s="25">
        <v>2036</v>
      </c>
      <c r="I172" s="25">
        <v>2037</v>
      </c>
      <c r="J172" s="25">
        <v>2038</v>
      </c>
      <c r="K172" s="25">
        <v>2039</v>
      </c>
      <c r="L172" s="25">
        <v>2040</v>
      </c>
      <c r="M172" s="25">
        <v>2041</v>
      </c>
      <c r="N172" s="25">
        <v>2042</v>
      </c>
      <c r="O172" s="25">
        <v>2043</v>
      </c>
      <c r="P172" s="25">
        <v>2044</v>
      </c>
      <c r="Q172" s="25">
        <v>2045</v>
      </c>
      <c r="R172" s="25">
        <v>2046</v>
      </c>
      <c r="S172" s="25">
        <v>2047</v>
      </c>
      <c r="T172" s="25">
        <v>2048</v>
      </c>
      <c r="U172" s="25">
        <v>2049</v>
      </c>
      <c r="V172" s="25">
        <v>2050</v>
      </c>
      <c r="W172" s="25">
        <v>2051</v>
      </c>
      <c r="X172" s="25">
        <v>2052</v>
      </c>
      <c r="Y172" s="25">
        <v>2053</v>
      </c>
      <c r="Z172" s="25">
        <v>2054</v>
      </c>
      <c r="AC172" s="25">
        <v>2030</v>
      </c>
      <c r="AD172" s="25">
        <v>2031</v>
      </c>
      <c r="AE172" s="25">
        <v>2032</v>
      </c>
      <c r="AF172" s="25">
        <v>2033</v>
      </c>
      <c r="AG172" s="25">
        <v>2034</v>
      </c>
      <c r="AH172" s="25">
        <v>2035</v>
      </c>
      <c r="AI172" s="25">
        <v>2036</v>
      </c>
      <c r="AJ172" s="25">
        <v>2037</v>
      </c>
      <c r="AK172" s="25">
        <v>2038</v>
      </c>
      <c r="AL172" s="25">
        <v>2039</v>
      </c>
      <c r="AM172" s="25">
        <v>2040</v>
      </c>
      <c r="AN172" s="25">
        <v>2041</v>
      </c>
      <c r="AO172" s="25">
        <v>2042</v>
      </c>
      <c r="AP172" s="25">
        <v>2043</v>
      </c>
      <c r="AQ172" s="25">
        <v>2044</v>
      </c>
      <c r="AR172" s="25">
        <v>2045</v>
      </c>
      <c r="AS172" s="25">
        <v>2046</v>
      </c>
      <c r="AT172" s="25">
        <v>2047</v>
      </c>
      <c r="AU172" s="25">
        <v>2048</v>
      </c>
      <c r="AV172" s="25">
        <v>2049</v>
      </c>
      <c r="AW172" s="25">
        <v>2050</v>
      </c>
      <c r="AX172" s="25">
        <v>2051</v>
      </c>
      <c r="AY172" s="25">
        <v>2052</v>
      </c>
      <c r="AZ172" s="25">
        <v>2053</v>
      </c>
      <c r="BA172" s="25">
        <v>2054</v>
      </c>
    </row>
    <row r="173" spans="1:53" outlineLevel="1" x14ac:dyDescent="0.35">
      <c r="A173" s="6" t="s">
        <v>21</v>
      </c>
      <c r="B173" s="6">
        <f>'Results - raw data ReCiPe (I)'!AC41</f>
        <v>1.609797474401893E-6</v>
      </c>
      <c r="AB173" s="6" t="s">
        <v>117</v>
      </c>
      <c r="AC173" s="6">
        <f>SUM(B173:B184)+B186</f>
        <v>1.044355890609833E-4</v>
      </c>
    </row>
    <row r="174" spans="1:53" outlineLevel="1" x14ac:dyDescent="0.35">
      <c r="A174" s="6" t="s">
        <v>23</v>
      </c>
      <c r="B174" s="6">
        <f>'Results - raw data ReCiPe (I)'!AC42</f>
        <v>3.5467374336619431E-6</v>
      </c>
      <c r="AB174" s="6" t="s">
        <v>118</v>
      </c>
      <c r="AC174" s="6">
        <f>B185</f>
        <v>5.3366017106762977E-6</v>
      </c>
    </row>
    <row r="175" spans="1:53" outlineLevel="1" x14ac:dyDescent="0.35">
      <c r="A175" s="6" t="s">
        <v>26</v>
      </c>
      <c r="B175" s="6">
        <f>'Results - raw data ReCiPe (I)'!AC43</f>
        <v>7.6861903308191347E-6</v>
      </c>
      <c r="AB175" s="6" t="s">
        <v>119</v>
      </c>
      <c r="BA175" s="6">
        <f>SUM(Z187:Z198)</f>
        <v>1.2390051343368202E-6</v>
      </c>
    </row>
    <row r="176" spans="1:53" outlineLevel="1" x14ac:dyDescent="0.35">
      <c r="A176" s="6" t="s">
        <v>28</v>
      </c>
      <c r="B176" s="6">
        <f>'Results - raw data ReCiPe (I)'!AC44</f>
        <v>5.5754416848237463E-6</v>
      </c>
      <c r="AB176" s="6" t="s">
        <v>120</v>
      </c>
      <c r="BA176" s="6">
        <f>Z199</f>
        <v>3.8973567066174879E-8</v>
      </c>
    </row>
    <row r="177" spans="1:53" outlineLevel="1" x14ac:dyDescent="0.35">
      <c r="A177" s="6" t="s">
        <v>29</v>
      </c>
      <c r="B177" s="6">
        <f>'Results - raw data ReCiPe (I)'!AC45</f>
        <v>5.3267061677277006E-6</v>
      </c>
      <c r="AB177" s="6" t="s">
        <v>121</v>
      </c>
      <c r="AC177" s="6">
        <f>B200</f>
        <v>1.8258940739667011E-6</v>
      </c>
      <c r="AF177" s="6">
        <f>E200</f>
        <v>1.767125439800878E-6</v>
      </c>
      <c r="AI177" s="6">
        <f>H200</f>
        <v>1.715497990639842E-6</v>
      </c>
      <c r="AL177" s="6">
        <f>K200</f>
        <v>1.657874882943543E-6</v>
      </c>
      <c r="AO177" s="6">
        <f>N200</f>
        <v>1.5963755513726221E-6</v>
      </c>
      <c r="AR177" s="6">
        <f>Q200</f>
        <v>1.5285765180628141E-6</v>
      </c>
      <c r="AU177" s="6">
        <f>T200</f>
        <v>1.48499946196324E-6</v>
      </c>
      <c r="AX177" s="6">
        <f>W200</f>
        <v>1.472270012135608E-6</v>
      </c>
      <c r="BA177" s="6">
        <f>Z200</f>
        <v>1.4696136355869061E-6</v>
      </c>
    </row>
    <row r="178" spans="1:53" outlineLevel="1" x14ac:dyDescent="0.35">
      <c r="A178" s="6" t="s">
        <v>31</v>
      </c>
      <c r="B178" s="6">
        <f>'Results - raw data ReCiPe (I)'!AC46</f>
        <v>4.3911713978771618E-6</v>
      </c>
      <c r="AB178" s="6" t="s">
        <v>122</v>
      </c>
      <c r="AC178" s="6">
        <f>B203+B202</f>
        <v>5.0747458363590797E-5</v>
      </c>
      <c r="AD178" s="6">
        <f t="shared" ref="AD178:AV178" si="20">C203+C202</f>
        <v>4.7275014585322097E-5</v>
      </c>
      <c r="AE178" s="6">
        <f t="shared" si="20"/>
        <v>4.3795430290282731E-5</v>
      </c>
      <c r="AF178" s="6">
        <f t="shared" si="20"/>
        <v>4.0258828029558161E-5</v>
      </c>
      <c r="AG178" s="6">
        <f t="shared" si="20"/>
        <v>3.6764070987777697E-5</v>
      </c>
      <c r="AH178" s="6">
        <f t="shared" si="20"/>
        <v>3.3262990653433392E-5</v>
      </c>
      <c r="AI178" s="6">
        <f t="shared" si="20"/>
        <v>3.1674602572745466E-5</v>
      </c>
      <c r="AJ178" s="6">
        <f t="shared" si="20"/>
        <v>3.0080646696179402E-5</v>
      </c>
      <c r="AK178" s="6">
        <f t="shared" si="20"/>
        <v>2.8435734970914395E-5</v>
      </c>
      <c r="AL178" s="6">
        <f t="shared" si="20"/>
        <v>2.6823254121425438E-5</v>
      </c>
      <c r="AM178" s="6">
        <f t="shared" si="20"/>
        <v>2.5201921589954457E-5</v>
      </c>
      <c r="AN178" s="6">
        <f t="shared" si="20"/>
        <v>2.4492026365169192E-5</v>
      </c>
      <c r="AO178" s="6">
        <f t="shared" si="20"/>
        <v>2.3776259155601622E-5</v>
      </c>
      <c r="AP178" s="6">
        <f t="shared" si="20"/>
        <v>2.3035790855987796E-5</v>
      </c>
      <c r="AQ178" s="6">
        <f t="shared" si="20"/>
        <v>2.2301967586892186E-5</v>
      </c>
      <c r="AR178" s="6">
        <f t="shared" si="20"/>
        <v>2.1562192048572193E-5</v>
      </c>
      <c r="AS178" s="6">
        <f t="shared" si="20"/>
        <v>2.1466493237388647E-5</v>
      </c>
      <c r="AT178" s="6">
        <f t="shared" si="20"/>
        <v>2.1374715259815384E-5</v>
      </c>
      <c r="AU178" s="6">
        <f t="shared" si="20"/>
        <v>2.1269830345510641E-5</v>
      </c>
      <c r="AV178" s="6">
        <f t="shared" si="20"/>
        <v>2.1184415747286711E-5</v>
      </c>
      <c r="AW178" s="6">
        <f>V203</f>
        <v>2.0895857955254241E-5</v>
      </c>
      <c r="AX178" s="6">
        <f>W203</f>
        <v>2.140253836957414E-5</v>
      </c>
      <c r="AY178" s="6">
        <f>X203</f>
        <v>2.12538008696918E-5</v>
      </c>
      <c r="AZ178" s="6">
        <f>Y203</f>
        <v>2.1103644586730076E-5</v>
      </c>
      <c r="BA178" s="6">
        <f>Z203</f>
        <v>2.0952040873223614E-5</v>
      </c>
    </row>
    <row r="179" spans="1:53" outlineLevel="1" x14ac:dyDescent="0.35">
      <c r="A179" s="6" t="s">
        <v>34</v>
      </c>
      <c r="B179" s="6">
        <f>'Results - raw data ReCiPe (I)'!AC47</f>
        <v>3.1665482978630201E-6</v>
      </c>
      <c r="AB179" s="6" t="s">
        <v>123</v>
      </c>
      <c r="AC179" s="6">
        <f t="shared" ref="AC179:BA179" si="21">B201</f>
        <v>1.3628606653892532E-8</v>
      </c>
      <c r="AD179" s="6">
        <f t="shared" si="21"/>
        <v>1.2811183796212039E-8</v>
      </c>
      <c r="AE179" s="6">
        <f t="shared" si="21"/>
        <v>1.1995746049264026E-8</v>
      </c>
      <c r="AF179" s="6">
        <f t="shared" si="21"/>
        <v>1.1171245641858896E-8</v>
      </c>
      <c r="AG179" s="6">
        <f t="shared" si="21"/>
        <v>1.0359626990266529E-8</v>
      </c>
      <c r="AH179" s="6">
        <f t="shared" si="21"/>
        <v>9.5502173250802114E-9</v>
      </c>
      <c r="AI179" s="6">
        <f t="shared" si="21"/>
        <v>9.181851814630211E-9</v>
      </c>
      <c r="AJ179" s="6">
        <f t="shared" si="21"/>
        <v>8.8125047121290603E-9</v>
      </c>
      <c r="AK179" s="6">
        <f t="shared" si="21"/>
        <v>8.4321847371773398E-9</v>
      </c>
      <c r="AL179" s="6">
        <f t="shared" si="21"/>
        <v>8.059805983107708E-9</v>
      </c>
      <c r="AM179" s="6">
        <f t="shared" si="21"/>
        <v>7.6861052401624566E-9</v>
      </c>
      <c r="AN179" s="6">
        <f t="shared" si="21"/>
        <v>7.5202523796492839E-9</v>
      </c>
      <c r="AO179" s="6">
        <f t="shared" si="21"/>
        <v>7.3531362295759902E-9</v>
      </c>
      <c r="AP179" s="6">
        <f t="shared" si="21"/>
        <v>7.1805206935625572E-9</v>
      </c>
      <c r="AQ179" s="6">
        <f t="shared" si="21"/>
        <v>7.0094228717726081E-9</v>
      </c>
      <c r="AR179" s="6">
        <f t="shared" si="21"/>
        <v>6.8369929575916913E-9</v>
      </c>
      <c r="AS179" s="6">
        <f t="shared" si="21"/>
        <v>6.8137574868997813E-9</v>
      </c>
      <c r="AT179" s="6">
        <f t="shared" si="21"/>
        <v>6.7914603328577693E-9</v>
      </c>
      <c r="AU179" s="6">
        <f t="shared" si="21"/>
        <v>6.7662866672024033E-9</v>
      </c>
      <c r="AV179" s="6">
        <f t="shared" si="21"/>
        <v>6.7454552526178014E-9</v>
      </c>
      <c r="AW179" s="6">
        <f t="shared" si="21"/>
        <v>6.7254528892796469E-9</v>
      </c>
      <c r="AX179" s="6">
        <f t="shared" si="21"/>
        <v>6.8566164801976816E-9</v>
      </c>
      <c r="AY179" s="6">
        <f t="shared" si="21"/>
        <v>6.8200669552858395E-9</v>
      </c>
      <c r="AZ179" s="6">
        <f t="shared" si="21"/>
        <v>6.7832959173055509E-9</v>
      </c>
      <c r="BA179" s="6">
        <f t="shared" si="21"/>
        <v>6.7462926606534017E-9</v>
      </c>
    </row>
    <row r="180" spans="1:53" outlineLevel="1" x14ac:dyDescent="0.35">
      <c r="A180" s="6" t="s">
        <v>36</v>
      </c>
      <c r="B180" s="6">
        <f>'Results - raw data ReCiPe (I)'!AC48</f>
        <v>2.8586045900839591E-6</v>
      </c>
      <c r="AB180" s="6" t="s">
        <v>124</v>
      </c>
      <c r="AC180" s="6">
        <f>-$AC$6*$AC$7</f>
        <v>-5.3201450000000005E-5</v>
      </c>
      <c r="AD180" s="6">
        <f t="shared" ref="AD180:BA180" si="22">-$AC$6*$AC$7</f>
        <v>-5.3201450000000005E-5</v>
      </c>
      <c r="AE180" s="6">
        <f t="shared" si="22"/>
        <v>-5.3201450000000005E-5</v>
      </c>
      <c r="AF180" s="6">
        <f t="shared" si="22"/>
        <v>-5.3201450000000005E-5</v>
      </c>
      <c r="AG180" s="6">
        <f t="shared" si="22"/>
        <v>-5.3201450000000005E-5</v>
      </c>
      <c r="AH180" s="6">
        <f t="shared" si="22"/>
        <v>-5.3201450000000005E-5</v>
      </c>
      <c r="AI180" s="6">
        <f t="shared" si="22"/>
        <v>-5.3201450000000005E-5</v>
      </c>
      <c r="AJ180" s="6">
        <f t="shared" si="22"/>
        <v>-5.3201450000000005E-5</v>
      </c>
      <c r="AK180" s="6">
        <f t="shared" si="22"/>
        <v>-5.3201450000000005E-5</v>
      </c>
      <c r="AL180" s="6">
        <f t="shared" si="22"/>
        <v>-5.3201450000000005E-5</v>
      </c>
      <c r="AM180" s="6">
        <f t="shared" si="22"/>
        <v>-5.3201450000000005E-5</v>
      </c>
      <c r="AN180" s="6">
        <f t="shared" si="22"/>
        <v>-5.3201450000000005E-5</v>
      </c>
      <c r="AO180" s="6">
        <f t="shared" si="22"/>
        <v>-5.3201450000000005E-5</v>
      </c>
      <c r="AP180" s="6">
        <f t="shared" si="22"/>
        <v>-5.3201450000000005E-5</v>
      </c>
      <c r="AQ180" s="6">
        <f t="shared" si="22"/>
        <v>-5.3201450000000005E-5</v>
      </c>
      <c r="AR180" s="6">
        <f t="shared" si="22"/>
        <v>-5.3201450000000005E-5</v>
      </c>
      <c r="AS180" s="6">
        <f t="shared" si="22"/>
        <v>-5.3201450000000005E-5</v>
      </c>
      <c r="AT180" s="6">
        <f t="shared" si="22"/>
        <v>-5.3201450000000005E-5</v>
      </c>
      <c r="AU180" s="6">
        <f t="shared" si="22"/>
        <v>-5.3201450000000005E-5</v>
      </c>
      <c r="AV180" s="6">
        <f t="shared" si="22"/>
        <v>-5.3201450000000005E-5</v>
      </c>
      <c r="AW180" s="6">
        <f t="shared" si="22"/>
        <v>-5.3201450000000005E-5</v>
      </c>
      <c r="AX180" s="6">
        <f t="shared" si="22"/>
        <v>-5.3201450000000005E-5</v>
      </c>
      <c r="AY180" s="6">
        <f t="shared" si="22"/>
        <v>-5.3201450000000005E-5</v>
      </c>
      <c r="AZ180" s="6">
        <f t="shared" si="22"/>
        <v>-5.3201450000000005E-5</v>
      </c>
      <c r="BA180" s="6">
        <f t="shared" si="22"/>
        <v>-5.3201450000000005E-5</v>
      </c>
    </row>
    <row r="181" spans="1:53" outlineLevel="1" x14ac:dyDescent="0.35">
      <c r="A181" s="6" t="s">
        <v>38</v>
      </c>
      <c r="B181" s="6">
        <f>'Results - raw data ReCiPe (I)'!AC49</f>
        <v>1.067192873941967E-5</v>
      </c>
      <c r="AB181" s="23" t="s">
        <v>125</v>
      </c>
      <c r="AC181" s="17">
        <f>SUM(AC173:AC180)</f>
        <v>1.0915772181587099E-4</v>
      </c>
      <c r="AD181" s="17">
        <f t="shared" ref="AD181:BA181" si="23">SUM(AD173:AD180)</f>
        <v>-5.9136242308816957E-6</v>
      </c>
      <c r="AE181" s="17">
        <f t="shared" si="23"/>
        <v>-9.39402396366801E-6</v>
      </c>
      <c r="AF181" s="17">
        <f t="shared" si="23"/>
        <v>-1.1164325284999108E-5</v>
      </c>
      <c r="AG181" s="17">
        <f t="shared" si="23"/>
        <v>-1.6427019385232044E-5</v>
      </c>
      <c r="AH181" s="17">
        <f t="shared" si="23"/>
        <v>-1.9928909129241537E-5</v>
      </c>
      <c r="AI181" s="17">
        <f t="shared" si="23"/>
        <v>-1.9802167584800066E-5</v>
      </c>
      <c r="AJ181" s="17">
        <f t="shared" si="23"/>
        <v>-2.3111990799108475E-5</v>
      </c>
      <c r="AK181" s="17">
        <f t="shared" si="23"/>
        <v>-2.4757282844348434E-5</v>
      </c>
      <c r="AL181" s="17">
        <f t="shared" si="23"/>
        <v>-2.4712261189647916E-5</v>
      </c>
      <c r="AM181" s="17">
        <f t="shared" si="23"/>
        <v>-2.7991842304805386E-5</v>
      </c>
      <c r="AN181" s="17">
        <f t="shared" si="23"/>
        <v>-2.8701903382451163E-5</v>
      </c>
      <c r="AO181" s="17">
        <f t="shared" si="23"/>
        <v>-2.7821462156796184E-5</v>
      </c>
      <c r="AP181" s="17">
        <f t="shared" si="23"/>
        <v>-3.0158478623318646E-5</v>
      </c>
      <c r="AQ181" s="17">
        <f t="shared" si="23"/>
        <v>-3.089247299023605E-5</v>
      </c>
      <c r="AR181" s="17">
        <f t="shared" si="23"/>
        <v>-3.0103844440407407E-5</v>
      </c>
      <c r="AS181" s="17">
        <f t="shared" si="23"/>
        <v>-3.1728143005124457E-5</v>
      </c>
      <c r="AT181" s="17">
        <f t="shared" si="23"/>
        <v>-3.1819943279851759E-5</v>
      </c>
      <c r="AU181" s="17">
        <f t="shared" si="23"/>
        <v>-3.0439853905858922E-5</v>
      </c>
      <c r="AV181" s="17">
        <f t="shared" si="23"/>
        <v>-3.2010288797460677E-5</v>
      </c>
      <c r="AW181" s="17">
        <f t="shared" si="23"/>
        <v>-3.2298866591856483E-5</v>
      </c>
      <c r="AX181" s="17">
        <f t="shared" si="23"/>
        <v>-3.0319785001810058E-5</v>
      </c>
      <c r="AY181" s="17">
        <f t="shared" si="23"/>
        <v>-3.1940829063352918E-5</v>
      </c>
      <c r="AZ181" s="17">
        <f t="shared" si="23"/>
        <v>-3.2091022117352629E-5</v>
      </c>
      <c r="BA181" s="17">
        <f t="shared" si="23"/>
        <v>-2.9495070497125835E-5</v>
      </c>
    </row>
    <row r="182" spans="1:53" outlineLevel="1" x14ac:dyDescent="0.35">
      <c r="A182" s="6" t="s">
        <v>39</v>
      </c>
      <c r="B182" s="6">
        <f>'Results - raw data ReCiPe (I)'!AC50</f>
        <v>4.322521895367326E-5</v>
      </c>
    </row>
    <row r="183" spans="1:53" outlineLevel="1" x14ac:dyDescent="0.35">
      <c r="A183" s="6" t="s">
        <v>41</v>
      </c>
      <c r="B183" s="6">
        <f>'Results - raw data ReCiPe (I)'!AC51</f>
        <v>4.0818998483130582E-7</v>
      </c>
    </row>
    <row r="184" spans="1:53" outlineLevel="1" x14ac:dyDescent="0.35">
      <c r="A184" s="6" t="s">
        <v>43</v>
      </c>
      <c r="B184" s="6">
        <f>'Results - raw data ReCiPe (I)'!AC52</f>
        <v>7.6985782370224699E-7</v>
      </c>
      <c r="AB184" s="219"/>
      <c r="AC184" s="219"/>
      <c r="AD184" s="219"/>
      <c r="AE184" s="219"/>
      <c r="AF184" s="219"/>
      <c r="AG184" s="219"/>
      <c r="AH184" s="219"/>
      <c r="AI184" s="219"/>
      <c r="AJ184" s="219"/>
      <c r="AK184" s="219"/>
      <c r="AL184" s="219"/>
      <c r="AM184" s="219"/>
      <c r="AN184" s="219"/>
      <c r="AO184" s="219"/>
      <c r="AP184" s="219"/>
      <c r="AQ184" s="219"/>
      <c r="AR184" s="219"/>
      <c r="AS184" s="219"/>
      <c r="AT184" s="219"/>
      <c r="AU184" s="219"/>
      <c r="AV184" s="219"/>
      <c r="AW184" s="219"/>
      <c r="AX184" s="219"/>
      <c r="AY184" s="219"/>
      <c r="AZ184" s="219"/>
      <c r="BA184" s="219"/>
    </row>
    <row r="185" spans="1:53" outlineLevel="1" x14ac:dyDescent="0.35">
      <c r="A185" s="6" t="s">
        <v>44</v>
      </c>
      <c r="B185" s="6">
        <f>'Results - raw data ReCiPe (I)'!AC53*AC169*AC171</f>
        <v>5.3366017106762977E-6</v>
      </c>
      <c r="AB185" s="219"/>
      <c r="AC185" s="219"/>
      <c r="AD185" s="219"/>
      <c r="AE185" s="219"/>
      <c r="AF185" s="219"/>
      <c r="AG185" s="219"/>
      <c r="AH185" s="219"/>
      <c r="AI185" s="219"/>
      <c r="AJ185" s="219"/>
      <c r="AK185" s="219"/>
      <c r="AL185" s="219"/>
      <c r="AM185" s="219"/>
      <c r="AN185" s="219"/>
      <c r="AO185" s="219"/>
      <c r="AP185" s="219"/>
      <c r="AQ185" s="219"/>
      <c r="AR185" s="219"/>
      <c r="AS185" s="219"/>
      <c r="AT185" s="219"/>
      <c r="AU185" s="219"/>
      <c r="AV185" s="219"/>
      <c r="AW185" s="219"/>
      <c r="AX185" s="219"/>
      <c r="AY185" s="219"/>
      <c r="AZ185" s="219"/>
      <c r="BA185" s="219"/>
    </row>
    <row r="186" spans="1:53" outlineLevel="1" x14ac:dyDescent="0.35">
      <c r="A186" s="6" t="s">
        <v>757</v>
      </c>
      <c r="B186" s="6">
        <f>'Results - raw data ReCiPe (I)'!AC54*AC169*AC171</f>
        <v>1.5199196182098263E-5</v>
      </c>
      <c r="AB186" s="219"/>
      <c r="AC186" s="219"/>
      <c r="AD186" s="219"/>
      <c r="AE186" s="219"/>
      <c r="AF186" s="219"/>
      <c r="AG186" s="219"/>
      <c r="AH186" s="219"/>
      <c r="AI186" s="219"/>
      <c r="AJ186" s="219"/>
      <c r="AK186" s="219"/>
      <c r="AL186" s="219"/>
      <c r="AM186" s="219"/>
      <c r="AN186" s="219"/>
      <c r="AO186" s="219"/>
      <c r="AP186" s="219"/>
      <c r="AQ186" s="219"/>
      <c r="AR186" s="219"/>
      <c r="AS186" s="219"/>
      <c r="AT186" s="219"/>
      <c r="AU186" s="219"/>
      <c r="AV186" s="219"/>
      <c r="AW186" s="219"/>
      <c r="AX186" s="219"/>
      <c r="AY186" s="219"/>
      <c r="AZ186" s="219"/>
      <c r="BA186" s="219"/>
    </row>
    <row r="187" spans="1:53" outlineLevel="1" x14ac:dyDescent="0.35">
      <c r="A187" s="6" t="s">
        <v>22</v>
      </c>
      <c r="Z187" s="6">
        <f>'Results - raw data ReCiPe (I)'!BA55</f>
        <v>1.860554909281469E-8</v>
      </c>
      <c r="AB187" s="219"/>
      <c r="AC187" s="219"/>
      <c r="AD187" s="219"/>
      <c r="AE187" s="219"/>
      <c r="AF187" s="219"/>
      <c r="AG187" s="219"/>
      <c r="AH187" s="219"/>
      <c r="AI187" s="219"/>
      <c r="AJ187" s="219"/>
      <c r="AK187" s="219"/>
      <c r="AL187" s="219"/>
      <c r="AM187" s="219"/>
      <c r="AN187" s="219"/>
      <c r="AO187" s="219"/>
      <c r="AP187" s="219"/>
      <c r="AQ187" s="219"/>
      <c r="AR187" s="219"/>
      <c r="AS187" s="219"/>
      <c r="AT187" s="219"/>
      <c r="AU187" s="219"/>
      <c r="AV187" s="219"/>
      <c r="AW187" s="219"/>
      <c r="AX187" s="219"/>
      <c r="AY187" s="219"/>
      <c r="AZ187" s="219"/>
      <c r="BA187" s="219"/>
    </row>
    <row r="188" spans="1:53" outlineLevel="1" x14ac:dyDescent="0.35">
      <c r="A188" s="6" t="s">
        <v>24</v>
      </c>
      <c r="Z188" s="6">
        <f>'Results - raw data ReCiPe (I)'!BA56</f>
        <v>1.262226278974253E-8</v>
      </c>
      <c r="AB188" s="219"/>
      <c r="AC188" s="219"/>
      <c r="AD188" s="219"/>
      <c r="AE188" s="219"/>
      <c r="AF188" s="219"/>
      <c r="AG188" s="219"/>
      <c r="AH188" s="219"/>
      <c r="AI188" s="219"/>
      <c r="AJ188" s="219"/>
      <c r="AK188" s="219"/>
      <c r="AL188" s="219"/>
      <c r="AM188" s="219"/>
      <c r="AN188" s="219"/>
      <c r="AO188" s="219"/>
      <c r="AP188" s="219"/>
      <c r="AQ188" s="219"/>
      <c r="AR188" s="219"/>
      <c r="AS188" s="219"/>
      <c r="AT188" s="219"/>
      <c r="AU188" s="219"/>
      <c r="AV188" s="219"/>
      <c r="AW188" s="219"/>
      <c r="AX188" s="219"/>
      <c r="AY188" s="219"/>
      <c r="AZ188" s="219"/>
      <c r="BA188" s="219"/>
    </row>
    <row r="189" spans="1:53" outlineLevel="1" x14ac:dyDescent="0.35">
      <c r="A189" s="6" t="s">
        <v>25</v>
      </c>
      <c r="Z189" s="6">
        <f>'Results - raw data ReCiPe (I)'!BA57</f>
        <v>6.2614608470302606E-8</v>
      </c>
      <c r="AB189" s="219"/>
      <c r="AC189" s="219"/>
      <c r="AD189" s="219"/>
      <c r="AE189" s="219"/>
      <c r="AF189" s="219"/>
      <c r="AG189" s="219"/>
      <c r="AH189" s="219"/>
      <c r="AI189" s="219"/>
      <c r="AJ189" s="219"/>
      <c r="AK189" s="219"/>
      <c r="AL189" s="219"/>
      <c r="AM189" s="219"/>
      <c r="AN189" s="219"/>
      <c r="AO189" s="219"/>
      <c r="AP189" s="219"/>
      <c r="AQ189" s="219"/>
      <c r="AR189" s="219"/>
      <c r="AS189" s="219"/>
      <c r="AT189" s="219"/>
      <c r="AU189" s="219"/>
      <c r="AV189" s="219"/>
      <c r="AW189" s="219"/>
      <c r="AX189" s="219"/>
      <c r="AY189" s="219"/>
      <c r="AZ189" s="219"/>
      <c r="BA189" s="219"/>
    </row>
    <row r="190" spans="1:53" outlineLevel="1" x14ac:dyDescent="0.35">
      <c r="A190" s="6" t="s">
        <v>27</v>
      </c>
      <c r="Z190" s="6">
        <f>'Results - raw data ReCiPe (I)'!BA58</f>
        <v>2.6478415356855921E-8</v>
      </c>
      <c r="AB190" s="219"/>
      <c r="AC190" s="219"/>
      <c r="AD190" s="219"/>
      <c r="AE190" s="219"/>
      <c r="AF190" s="219"/>
      <c r="AG190" s="219"/>
      <c r="AH190" s="219"/>
      <c r="AI190" s="219"/>
      <c r="AJ190" s="219"/>
      <c r="AK190" s="219"/>
      <c r="AL190" s="219"/>
      <c r="AM190" s="219"/>
      <c r="AN190" s="219"/>
      <c r="AO190" s="219"/>
      <c r="AP190" s="219"/>
      <c r="AQ190" s="219"/>
      <c r="AR190" s="219"/>
      <c r="AS190" s="219"/>
      <c r="AT190" s="219"/>
      <c r="AU190" s="219"/>
      <c r="AV190" s="219"/>
      <c r="AW190" s="219"/>
      <c r="AX190" s="219"/>
      <c r="AY190" s="219"/>
      <c r="AZ190" s="219"/>
      <c r="BA190" s="219"/>
    </row>
    <row r="191" spans="1:53" outlineLevel="1" x14ac:dyDescent="0.35">
      <c r="A191" s="6" t="s">
        <v>30</v>
      </c>
      <c r="Z191" s="6">
        <f>'Results - raw data ReCiPe (I)'!BA59</f>
        <v>2.4175822784893721E-8</v>
      </c>
      <c r="AB191" s="219"/>
      <c r="AC191" s="219"/>
      <c r="AD191" s="219"/>
      <c r="AE191" s="219"/>
      <c r="AF191" s="219"/>
      <c r="AG191" s="219"/>
      <c r="AH191" s="219"/>
      <c r="AI191" s="219"/>
      <c r="AJ191" s="219"/>
      <c r="AK191" s="219"/>
      <c r="AL191" s="219"/>
      <c r="AM191" s="219"/>
      <c r="AN191" s="219"/>
      <c r="AO191" s="219"/>
      <c r="AP191" s="219"/>
      <c r="AQ191" s="219"/>
      <c r="AR191" s="219"/>
      <c r="AS191" s="219"/>
      <c r="AT191" s="219"/>
      <c r="AU191" s="219"/>
      <c r="AV191" s="219"/>
      <c r="AW191" s="219"/>
      <c r="AX191" s="219"/>
      <c r="AY191" s="219"/>
      <c r="AZ191" s="219"/>
      <c r="BA191" s="219"/>
    </row>
    <row r="192" spans="1:53" outlineLevel="1" x14ac:dyDescent="0.35">
      <c r="A192" s="6" t="s">
        <v>32</v>
      </c>
      <c r="Z192" s="6">
        <f>'Results - raw data ReCiPe (I)'!BA60</f>
        <v>4.4108540167183628E-9</v>
      </c>
      <c r="AB192" s="219"/>
      <c r="AC192" s="219"/>
      <c r="AD192" s="219"/>
      <c r="AE192" s="219"/>
      <c r="AF192" s="219"/>
      <c r="AG192" s="219"/>
      <c r="AH192" s="219"/>
      <c r="AI192" s="219"/>
      <c r="AJ192" s="219"/>
      <c r="AK192" s="219"/>
      <c r="AL192" s="219"/>
      <c r="AM192" s="219"/>
      <c r="AN192" s="219"/>
      <c r="AO192" s="219"/>
      <c r="AP192" s="219"/>
      <c r="AQ192" s="219"/>
      <c r="AR192" s="219"/>
      <c r="AS192" s="219"/>
      <c r="AT192" s="219"/>
      <c r="AU192" s="219"/>
      <c r="AV192" s="219"/>
      <c r="AW192" s="219"/>
      <c r="AX192" s="219"/>
      <c r="AY192" s="219"/>
      <c r="AZ192" s="219"/>
      <c r="BA192" s="219"/>
    </row>
    <row r="193" spans="1:53" outlineLevel="1" x14ac:dyDescent="0.35">
      <c r="A193" s="6" t="s">
        <v>33</v>
      </c>
      <c r="Z193" s="6">
        <f>'Results - raw data ReCiPe (I)'!BA61</f>
        <v>6.2881408457333817E-9</v>
      </c>
      <c r="AB193" s="219"/>
      <c r="AC193" s="219"/>
      <c r="AD193" s="219"/>
      <c r="AE193" s="219"/>
      <c r="AF193" s="219"/>
      <c r="AG193" s="219"/>
      <c r="AH193" s="219"/>
      <c r="AI193" s="219"/>
      <c r="AJ193" s="219"/>
      <c r="AK193" s="219"/>
      <c r="AL193" s="219"/>
      <c r="AM193" s="219"/>
      <c r="AN193" s="219"/>
      <c r="AO193" s="219"/>
      <c r="AP193" s="219"/>
      <c r="AQ193" s="219"/>
      <c r="AR193" s="219"/>
      <c r="AS193" s="219"/>
      <c r="AT193" s="219"/>
      <c r="AU193" s="219"/>
      <c r="AV193" s="219"/>
      <c r="AW193" s="219"/>
      <c r="AX193" s="219"/>
      <c r="AY193" s="219"/>
      <c r="AZ193" s="219"/>
      <c r="BA193" s="219"/>
    </row>
    <row r="194" spans="1:53" outlineLevel="1" x14ac:dyDescent="0.35">
      <c r="A194" s="6" t="s">
        <v>35</v>
      </c>
      <c r="Z194" s="6">
        <f>'Results - raw data ReCiPe (I)'!BA62</f>
        <v>1.257628169146676E-8</v>
      </c>
      <c r="AB194" s="219"/>
      <c r="AC194" s="219"/>
      <c r="AD194" s="219"/>
      <c r="AE194" s="219"/>
      <c r="AF194" s="219"/>
      <c r="AG194" s="219"/>
      <c r="AH194" s="219"/>
      <c r="AI194" s="219"/>
      <c r="AJ194" s="219"/>
      <c r="AK194" s="219"/>
      <c r="AL194" s="219"/>
      <c r="AM194" s="219"/>
      <c r="AN194" s="219"/>
      <c r="AO194" s="219"/>
      <c r="AP194" s="219"/>
      <c r="AQ194" s="219"/>
      <c r="AR194" s="219"/>
      <c r="AS194" s="219"/>
      <c r="AT194" s="219"/>
      <c r="AU194" s="219"/>
      <c r="AV194" s="219"/>
      <c r="AW194" s="219"/>
      <c r="AX194" s="219"/>
      <c r="AY194" s="219"/>
      <c r="AZ194" s="219"/>
      <c r="BA194" s="219"/>
    </row>
    <row r="195" spans="1:53" outlineLevel="1" x14ac:dyDescent="0.35">
      <c r="A195" s="6" t="s">
        <v>37</v>
      </c>
      <c r="Z195" s="6">
        <f>'Results - raw data ReCiPe (I)'!BA63</f>
        <v>7.4742638939308088E-8</v>
      </c>
      <c r="AB195" s="219"/>
      <c r="AC195" s="219"/>
      <c r="AD195" s="219"/>
      <c r="AE195" s="219"/>
      <c r="AF195" s="219"/>
      <c r="AG195" s="219"/>
      <c r="AH195" s="219"/>
      <c r="AI195" s="219"/>
      <c r="AJ195" s="219"/>
      <c r="AK195" s="219"/>
      <c r="AL195" s="219"/>
      <c r="AM195" s="219"/>
      <c r="AN195" s="219"/>
      <c r="AO195" s="219"/>
      <c r="AP195" s="219"/>
      <c r="AQ195" s="219"/>
      <c r="AR195" s="219"/>
      <c r="AS195" s="219"/>
      <c r="AT195" s="219"/>
      <c r="AU195" s="219"/>
      <c r="AV195" s="219"/>
      <c r="AW195" s="219"/>
      <c r="AX195" s="219"/>
      <c r="AY195" s="219"/>
      <c r="AZ195" s="219"/>
      <c r="BA195" s="219"/>
    </row>
    <row r="196" spans="1:53" outlineLevel="1" x14ac:dyDescent="0.35">
      <c r="A196" s="6" t="s">
        <v>40</v>
      </c>
      <c r="Z196" s="6">
        <f>'Results - raw data ReCiPe (I)'!BA64</f>
        <v>3.189126286043751E-7</v>
      </c>
    </row>
    <row r="197" spans="1:53" outlineLevel="1" x14ac:dyDescent="0.35">
      <c r="A197" s="6" t="s">
        <v>42</v>
      </c>
      <c r="Z197" s="6">
        <f>'Results - raw data ReCiPe (I)'!BA65</f>
        <v>1.081344037995507E-7</v>
      </c>
    </row>
    <row r="198" spans="1:53" outlineLevel="1" x14ac:dyDescent="0.35">
      <c r="A198" s="6" t="s">
        <v>115</v>
      </c>
      <c r="Z198" s="6">
        <f>'Results - raw data ReCiPe (I)'!BA66</f>
        <v>5.6944352794505851E-7</v>
      </c>
    </row>
    <row r="199" spans="1:53" outlineLevel="1" x14ac:dyDescent="0.35">
      <c r="A199" s="6" t="s">
        <v>45</v>
      </c>
      <c r="Z199" s="6">
        <f>'Results - raw data ReCiPe (I)'!BA67*AC169*AC171</f>
        <v>3.8973567066174879E-8</v>
      </c>
    </row>
    <row r="200" spans="1:53" outlineLevel="1" x14ac:dyDescent="0.35">
      <c r="A200" s="6" t="s">
        <v>116</v>
      </c>
      <c r="B200" s="6">
        <f>'Results - raw data ReCiPe (I)'!AC68</f>
        <v>1.8258940739667011E-6</v>
      </c>
      <c r="C200" s="6">
        <f>'Results - raw data ReCiPe (I)'!AD68</f>
        <v>1.8097853889646081E-6</v>
      </c>
      <c r="D200" s="6">
        <f>'Results - raw data ReCiPe (I)'!AE68</f>
        <v>1.793249144672149E-6</v>
      </c>
      <c r="E200" s="6">
        <f>'Results - raw data ReCiPe (I)'!AF68</f>
        <v>1.767125439800878E-6</v>
      </c>
      <c r="F200" s="6">
        <f>'Results - raw data ReCiPe (I)'!AG68</f>
        <v>1.749722155215245E-6</v>
      </c>
      <c r="G200" s="6">
        <f>'Results - raw data ReCiPe (I)'!AH68</f>
        <v>1.731949971034127E-6</v>
      </c>
      <c r="H200" s="6">
        <f>'Results - raw data ReCiPe (I)'!AI68</f>
        <v>1.715497990639842E-6</v>
      </c>
      <c r="I200" s="6">
        <f>'Results - raw data ReCiPe (I)'!AJ68</f>
        <v>1.6986937001121861E-6</v>
      </c>
      <c r="J200" s="6">
        <f>'Results - raw data ReCiPe (I)'!AK68</f>
        <v>1.675613778626544E-6</v>
      </c>
      <c r="K200" s="6">
        <f>'Results - raw data ReCiPe (I)'!AL68</f>
        <v>1.657874882943543E-6</v>
      </c>
      <c r="L200" s="6">
        <f>'Results - raw data ReCiPe (I)'!AM68</f>
        <v>1.6397616759242281E-6</v>
      </c>
      <c r="M200" s="6">
        <f>'Results - raw data ReCiPe (I)'!AN68</f>
        <v>1.618071746058483E-6</v>
      </c>
      <c r="N200" s="6">
        <f>'Results - raw data ReCiPe (I)'!AO68</f>
        <v>1.5963755513726221E-6</v>
      </c>
      <c r="O200" s="6">
        <f>'Results - raw data ReCiPe (I)'!AP68</f>
        <v>1.572208258688587E-6</v>
      </c>
      <c r="P200" s="6">
        <f>'Results - raw data ReCiPe (I)'!AQ68</f>
        <v>1.5504021092391091E-6</v>
      </c>
      <c r="Q200" s="6">
        <f>'Results - raw data ReCiPe (I)'!AR68</f>
        <v>1.5285765180628141E-6</v>
      </c>
      <c r="R200" s="6">
        <f>'Results - raw data ReCiPe (I)'!AS68</f>
        <v>1.51498233235843E-6</v>
      </c>
      <c r="S200" s="6">
        <f>'Results - raw data ReCiPe (I)'!AT68</f>
        <v>1.5013228590328331E-6</v>
      </c>
      <c r="T200" s="6">
        <f>'Results - raw data ReCiPe (I)'!AU68</f>
        <v>1.48499946196324E-6</v>
      </c>
      <c r="U200" s="6">
        <f>'Results - raw data ReCiPe (I)'!AV68</f>
        <v>1.4712632497413719E-6</v>
      </c>
      <c r="V200" s="6">
        <f>'Results - raw data ReCiPe (I)'!AW68</f>
        <v>1.457559175001213E-6</v>
      </c>
      <c r="W200" s="6">
        <f>'Results - raw data ReCiPe (I)'!AX68</f>
        <v>1.472270012135608E-6</v>
      </c>
      <c r="X200" s="6">
        <f>'Results - raw data ReCiPe (I)'!AY68</f>
        <v>1.4713669409346271E-6</v>
      </c>
      <c r="Y200" s="6">
        <f>'Results - raw data ReCiPe (I)'!AZ68</f>
        <v>1.4704817520773229E-6</v>
      </c>
      <c r="Z200" s="6">
        <f>'Results - raw data ReCiPe (I)'!BA68</f>
        <v>1.4696136355869061E-6</v>
      </c>
    </row>
    <row r="201" spans="1:53" outlineLevel="1" x14ac:dyDescent="0.35">
      <c r="A201" s="6" t="s">
        <v>758</v>
      </c>
      <c r="B201" s="6">
        <f>'Results - raw data ReCiPe (I)'!AC69*$AC$170</f>
        <v>1.3628606653892532E-8</v>
      </c>
      <c r="C201" s="6">
        <f>'Results - raw data ReCiPe (I)'!AD69*$AC$170</f>
        <v>1.2811183796212039E-8</v>
      </c>
      <c r="D201" s="6">
        <f>'Results - raw data ReCiPe (I)'!AE69*$AC$170</f>
        <v>1.1995746049264026E-8</v>
      </c>
      <c r="E201" s="6">
        <f>'Results - raw data ReCiPe (I)'!AF69*$AC$170</f>
        <v>1.1171245641858896E-8</v>
      </c>
      <c r="F201" s="6">
        <f>'Results - raw data ReCiPe (I)'!AG69*$AC$170</f>
        <v>1.0359626990266529E-8</v>
      </c>
      <c r="G201" s="6">
        <f>'Results - raw data ReCiPe (I)'!AH69*$AC$170</f>
        <v>9.5502173250802114E-9</v>
      </c>
      <c r="H201" s="6">
        <f>'Results - raw data ReCiPe (I)'!AI69*$AC$170</f>
        <v>9.181851814630211E-9</v>
      </c>
      <c r="I201" s="6">
        <f>'Results - raw data ReCiPe (I)'!AJ69*$AC$170</f>
        <v>8.8125047121290603E-9</v>
      </c>
      <c r="J201" s="6">
        <f>'Results - raw data ReCiPe (I)'!AK69*$AC$170</f>
        <v>8.4321847371773398E-9</v>
      </c>
      <c r="K201" s="6">
        <f>'Results - raw data ReCiPe (I)'!AL69*$AC$170</f>
        <v>8.059805983107708E-9</v>
      </c>
      <c r="L201" s="6">
        <f>'Results - raw data ReCiPe (I)'!AM69*$AC$170</f>
        <v>7.6861052401624566E-9</v>
      </c>
      <c r="M201" s="6">
        <f>'Results - raw data ReCiPe (I)'!AN69*$AC$170</f>
        <v>7.5202523796492839E-9</v>
      </c>
      <c r="N201" s="6">
        <f>'Results - raw data ReCiPe (I)'!AO69*$AC$170</f>
        <v>7.3531362295759902E-9</v>
      </c>
      <c r="O201" s="6">
        <f>'Results - raw data ReCiPe (I)'!AP69*$AC$170</f>
        <v>7.1805206935625572E-9</v>
      </c>
      <c r="P201" s="6">
        <f>'Results - raw data ReCiPe (I)'!AQ69*$AC$170</f>
        <v>7.0094228717726081E-9</v>
      </c>
      <c r="Q201" s="6">
        <f>'Results - raw data ReCiPe (I)'!AR69*$AC$170</f>
        <v>6.8369929575916913E-9</v>
      </c>
      <c r="R201" s="6">
        <f>'Results - raw data ReCiPe (I)'!AS69*$AC$170</f>
        <v>6.8137574868997813E-9</v>
      </c>
      <c r="S201" s="6">
        <f>'Results - raw data ReCiPe (I)'!AT69*$AC$170</f>
        <v>6.7914603328577693E-9</v>
      </c>
      <c r="T201" s="6">
        <f>'Results - raw data ReCiPe (I)'!AU69*$AC$170</f>
        <v>6.7662866672024033E-9</v>
      </c>
      <c r="U201" s="6">
        <f>'Results - raw data ReCiPe (I)'!AV69*$AC$170</f>
        <v>6.7454552526178014E-9</v>
      </c>
      <c r="V201" s="6">
        <f>'Results - raw data ReCiPe (I)'!AW69*$AC$170</f>
        <v>6.7254528892796469E-9</v>
      </c>
      <c r="W201" s="6">
        <f>'Results - raw data ReCiPe (I)'!AX69*$AC$170</f>
        <v>6.8566164801976816E-9</v>
      </c>
      <c r="X201" s="6">
        <f>'Results - raw data ReCiPe (I)'!AY69*$AC$170</f>
        <v>6.8200669552858395E-9</v>
      </c>
      <c r="Y201" s="6">
        <f>'Results - raw data ReCiPe (I)'!AZ69*$AC$170</f>
        <v>6.7832959173055509E-9</v>
      </c>
      <c r="Z201" s="6">
        <f>'Results - raw data ReCiPe (I)'!BA69*$AC$170</f>
        <v>6.7462926606534017E-9</v>
      </c>
    </row>
    <row r="202" spans="1:53" outlineLevel="1" x14ac:dyDescent="0.35">
      <c r="A202" s="6" t="s">
        <v>759</v>
      </c>
      <c r="B202" s="6">
        <f>'Results - raw data ReCiPe (I)'!AC70</f>
        <v>2.0736000294618859E-7</v>
      </c>
      <c r="C202" s="6">
        <f>'Results - raw data ReCiPe (I)'!AD70</f>
        <v>2.0736000294618859E-7</v>
      </c>
      <c r="D202" s="6">
        <f>'Results - raw data ReCiPe (I)'!AE70</f>
        <v>2.0736000294618859E-7</v>
      </c>
      <c r="E202" s="6">
        <f>'Results - raw data ReCiPe (I)'!AF70</f>
        <v>2.0736000294618859E-7</v>
      </c>
      <c r="F202" s="6">
        <f>'Results - raw data ReCiPe (I)'!AG70</f>
        <v>2.0736000294618859E-7</v>
      </c>
      <c r="G202" s="6">
        <f>'Results - raw data ReCiPe (I)'!AH70</f>
        <v>2.0736000294618859E-7</v>
      </c>
      <c r="H202" s="6">
        <f>'Results - raw data ReCiPe (I)'!AI70</f>
        <v>2.0736000294618859E-7</v>
      </c>
      <c r="I202" s="6">
        <f>'Results - raw data ReCiPe (I)'!AJ70</f>
        <v>2.0736000294618859E-7</v>
      </c>
      <c r="J202" s="6">
        <f>'Results - raw data ReCiPe (I)'!AK70</f>
        <v>2.0736000294618859E-7</v>
      </c>
      <c r="K202" s="6">
        <f>'Results - raw data ReCiPe (I)'!AL70</f>
        <v>2.0736000294618859E-7</v>
      </c>
      <c r="L202" s="6">
        <f>'Results - raw data ReCiPe (I)'!AM70</f>
        <v>2.0736000294618859E-7</v>
      </c>
      <c r="M202" s="6">
        <f>'Results - raw data ReCiPe (I)'!AN70</f>
        <v>2.0736000294618859E-7</v>
      </c>
      <c r="N202" s="6">
        <f>'Results - raw data ReCiPe (I)'!AO70</f>
        <v>2.0736000294618859E-7</v>
      </c>
      <c r="O202" s="6">
        <f>'Results - raw data ReCiPe (I)'!AP70</f>
        <v>2.0736000294618859E-7</v>
      </c>
      <c r="P202" s="6">
        <f>'Results - raw data ReCiPe (I)'!AQ70</f>
        <v>2.0736000294618859E-7</v>
      </c>
      <c r="Q202" s="6">
        <f>'Results - raw data ReCiPe (I)'!AR70</f>
        <v>2.0736000294618859E-7</v>
      </c>
      <c r="R202" s="6">
        <f>'Results - raw data ReCiPe (I)'!AS70</f>
        <v>2.0736000294618859E-7</v>
      </c>
      <c r="S202" s="6">
        <f>'Results - raw data ReCiPe (I)'!AT70</f>
        <v>2.0736000294618859E-7</v>
      </c>
      <c r="T202" s="6">
        <f>'Results - raw data ReCiPe (I)'!AU70</f>
        <v>2.0736000294618859E-7</v>
      </c>
      <c r="U202" s="6">
        <f>'Results - raw data ReCiPe (I)'!AV70</f>
        <v>2.0736000294618859E-7</v>
      </c>
      <c r="V202" s="6">
        <f>'Results - raw data ReCiPe (I)'!AW70</f>
        <v>2.0736000294618859E-7</v>
      </c>
      <c r="W202" s="6">
        <f>'Results - raw data ReCiPe (I)'!AX70</f>
        <v>2.0736000294618859E-7</v>
      </c>
      <c r="X202" s="6">
        <f>'Results - raw data ReCiPe (I)'!AY70</f>
        <v>2.0736000294618859E-7</v>
      </c>
      <c r="Y202" s="6">
        <f>'Results - raw data ReCiPe (I)'!AZ70</f>
        <v>2.0736000294618859E-7</v>
      </c>
      <c r="Z202" s="6">
        <f>'Results - raw data ReCiPe (I)'!BA70</f>
        <v>2.0736000294618859E-7</v>
      </c>
    </row>
    <row r="203" spans="1:53" outlineLevel="1" x14ac:dyDescent="0.35">
      <c r="A203" s="6" t="s">
        <v>760</v>
      </c>
      <c r="B203" s="6">
        <f>150000*($AC$170*'Results - raw data ReCiPe (I)'!AC121+(1-'Results ReCiPe (I) - HHD'!$AC$170)*'Results - raw data ReCiPe (I)'!AC122)</f>
        <v>5.0540098360644608E-5</v>
      </c>
      <c r="C203" s="6">
        <f>150000*($AC$170*'Results - raw data ReCiPe (I)'!AD121+(1-'Results ReCiPe (I) - HHD'!$AC$170)*'Results - raw data ReCiPe (I)'!AD122)</f>
        <v>4.7067654582375908E-5</v>
      </c>
      <c r="D203" s="6">
        <f>150000*($AC$170*'Results - raw data ReCiPe (I)'!AE121+(1-'Results ReCiPe (I) - HHD'!$AC$170)*'Results - raw data ReCiPe (I)'!AE122)</f>
        <v>4.3588070287336542E-5</v>
      </c>
      <c r="E203" s="6">
        <f>150000*($AC$170*'Results - raw data ReCiPe (I)'!AF121+(1-'Results ReCiPe (I) - HHD'!$AC$170)*'Results - raw data ReCiPe (I)'!AF122)</f>
        <v>4.0051468026611973E-5</v>
      </c>
      <c r="F203" s="6">
        <f>150000*($AC$170*'Results - raw data ReCiPe (I)'!AG121+(1-'Results ReCiPe (I) - HHD'!$AC$170)*'Results - raw data ReCiPe (I)'!AG122)</f>
        <v>3.6556710984831509E-5</v>
      </c>
      <c r="G203" s="6">
        <f>150000*($AC$170*'Results - raw data ReCiPe (I)'!AH121+(1-'Results ReCiPe (I) - HHD'!$AC$170)*'Results - raw data ReCiPe (I)'!AH122)</f>
        <v>3.3055630650487203E-5</v>
      </c>
      <c r="H203" s="6">
        <f>150000*($AC$170*'Results - raw data ReCiPe (I)'!AI121+(1-'Results ReCiPe (I) - HHD'!$AC$170)*'Results - raw data ReCiPe (I)'!AI122)</f>
        <v>3.1467242569799278E-5</v>
      </c>
      <c r="I203" s="6">
        <f>150000*($AC$170*'Results - raw data ReCiPe (I)'!AJ121+(1-'Results ReCiPe (I) - HHD'!$AC$170)*'Results - raw data ReCiPe (I)'!AJ122)</f>
        <v>2.9873286693233213E-5</v>
      </c>
      <c r="J203" s="6">
        <f>150000*($AC$170*'Results - raw data ReCiPe (I)'!AK121+(1-'Results ReCiPe (I) - HHD'!$AC$170)*'Results - raw data ReCiPe (I)'!AK122)</f>
        <v>2.8228374967968206E-5</v>
      </c>
      <c r="K203" s="6">
        <f>150000*($AC$170*'Results - raw data ReCiPe (I)'!AL121+(1-'Results ReCiPe (I) - HHD'!$AC$170)*'Results - raw data ReCiPe (I)'!AL122)</f>
        <v>2.6615894118479249E-5</v>
      </c>
      <c r="L203" s="6">
        <f>150000*($AC$170*'Results - raw data ReCiPe (I)'!AM121+(1-'Results ReCiPe (I) - HHD'!$AC$170)*'Results - raw data ReCiPe (I)'!AM122)</f>
        <v>2.4994561587008269E-5</v>
      </c>
      <c r="M203" s="6">
        <f>150000*($AC$170*'Results - raw data ReCiPe (I)'!AN121+(1-'Results ReCiPe (I) - HHD'!$AC$170)*'Results - raw data ReCiPe (I)'!AN122)</f>
        <v>2.4284666362223003E-5</v>
      </c>
      <c r="N203" s="6">
        <f>150000*($AC$170*'Results - raw data ReCiPe (I)'!AO121+(1-'Results ReCiPe (I) - HHD'!$AC$170)*'Results - raw data ReCiPe (I)'!AO122)</f>
        <v>2.3568899152655433E-5</v>
      </c>
      <c r="O203" s="6">
        <f>150000*($AC$170*'Results - raw data ReCiPe (I)'!AP121+(1-'Results ReCiPe (I) - HHD'!$AC$170)*'Results - raw data ReCiPe (I)'!AP122)</f>
        <v>2.2828430853041608E-5</v>
      </c>
      <c r="P203" s="6">
        <f>150000*($AC$170*'Results - raw data ReCiPe (I)'!AQ121+(1-'Results ReCiPe (I) - HHD'!$AC$170)*'Results - raw data ReCiPe (I)'!AQ122)</f>
        <v>2.2094607583945997E-5</v>
      </c>
      <c r="Q203" s="6">
        <f>150000*($AC$170*'Results - raw data ReCiPe (I)'!AR121+(1-'Results ReCiPe (I) - HHD'!$AC$170)*'Results - raw data ReCiPe (I)'!AR122)</f>
        <v>2.1354832045626004E-5</v>
      </c>
      <c r="R203" s="6">
        <f>150000*($AC$170*'Results - raw data ReCiPe (I)'!AS121+(1-'Results ReCiPe (I) - HHD'!$AC$170)*'Results - raw data ReCiPe (I)'!AS122)</f>
        <v>2.1259133234442458E-5</v>
      </c>
      <c r="S203" s="6">
        <f>150000*($AC$170*'Results - raw data ReCiPe (I)'!AT121+(1-'Results ReCiPe (I) - HHD'!$AC$170)*'Results - raw data ReCiPe (I)'!AT122)</f>
        <v>2.1167355256869196E-5</v>
      </c>
      <c r="T203" s="6">
        <f>150000*($AC$170*'Results - raw data ReCiPe (I)'!AU121+(1-'Results ReCiPe (I) - HHD'!$AC$170)*'Results - raw data ReCiPe (I)'!AU122)</f>
        <v>2.1062470342564452E-5</v>
      </c>
      <c r="U203" s="6">
        <f>150000*($AC$170*'Results - raw data ReCiPe (I)'!AV121+(1-'Results ReCiPe (I) - HHD'!$AC$170)*'Results - raw data ReCiPe (I)'!AV122)</f>
        <v>2.0977055744340522E-5</v>
      </c>
      <c r="V203" s="6">
        <f>150000*($AC$170*'Results - raw data ReCiPe (I)'!AW121+(1-'Results ReCiPe (I) - HHD'!$AC$170)*'Results - raw data ReCiPe (I)'!AW122)</f>
        <v>2.0895857955254241E-5</v>
      </c>
      <c r="W203" s="6">
        <f>150000*($AC$170*'Results - raw data ReCiPe (I)'!AX121+(1-'Results ReCiPe (I) - HHD'!$AC$170)*'Results - raw data ReCiPe (I)'!AX122)</f>
        <v>2.140253836957414E-5</v>
      </c>
      <c r="X203" s="6">
        <f>150000*($AC$170*'Results - raw data ReCiPe (I)'!AY121+(1-'Results ReCiPe (I) - HHD'!$AC$170)*'Results - raw data ReCiPe (I)'!AY122)</f>
        <v>2.12538008696918E-5</v>
      </c>
      <c r="Y203" s="6">
        <f>150000*($AC$170*'Results - raw data ReCiPe (I)'!AZ121+(1-'Results ReCiPe (I) - HHD'!$AC$170)*'Results - raw data ReCiPe (I)'!AZ122)</f>
        <v>2.1103644586730076E-5</v>
      </c>
      <c r="Z203" s="6">
        <f>150000*($AC$170*'Results - raw data ReCiPe (I)'!BA121+(1-'Results ReCiPe (I) - HHD'!$AC$170)*'Results - raw data ReCiPe (I)'!BA122)</f>
        <v>2.0952040873223614E-5</v>
      </c>
    </row>
    <row r="204" spans="1:53" outlineLevel="1" x14ac:dyDescent="0.35">
      <c r="A204" s="23" t="s">
        <v>125</v>
      </c>
      <c r="B204" s="17">
        <f>SUM(B173:B203)</f>
        <v>1.6235917181587099E-4</v>
      </c>
      <c r="C204" s="17">
        <f t="shared" ref="C204:Z204" si="24">SUM(C173:C203)</f>
        <v>4.9097611158082917E-5</v>
      </c>
      <c r="D204" s="17">
        <f t="shared" si="24"/>
        <v>4.5600675181004141E-5</v>
      </c>
      <c r="E204" s="17">
        <f t="shared" si="24"/>
        <v>4.2037124715000897E-5</v>
      </c>
      <c r="F204" s="17">
        <f t="shared" si="24"/>
        <v>3.8524152769983207E-5</v>
      </c>
      <c r="G204" s="17">
        <f t="shared" si="24"/>
        <v>3.5004490841792598E-5</v>
      </c>
      <c r="H204" s="17">
        <f t="shared" si="24"/>
        <v>3.339928241519994E-5</v>
      </c>
      <c r="I204" s="17">
        <f t="shared" si="24"/>
        <v>3.1788152901003715E-5</v>
      </c>
      <c r="J204" s="17">
        <f t="shared" si="24"/>
        <v>3.0119780934278114E-5</v>
      </c>
      <c r="K204" s="17">
        <f t="shared" si="24"/>
        <v>2.8489188810352089E-5</v>
      </c>
      <c r="L204" s="17">
        <f t="shared" si="24"/>
        <v>2.6849369371118849E-5</v>
      </c>
      <c r="M204" s="17">
        <f t="shared" si="24"/>
        <v>2.6117618363607322E-5</v>
      </c>
      <c r="N204" s="17">
        <f t="shared" si="24"/>
        <v>2.5379987843203818E-5</v>
      </c>
      <c r="O204" s="17">
        <f t="shared" si="24"/>
        <v>2.4615179635369948E-5</v>
      </c>
      <c r="P204" s="17">
        <f t="shared" si="24"/>
        <v>2.3859379119003067E-5</v>
      </c>
      <c r="Q204" s="17">
        <f t="shared" si="24"/>
        <v>2.3097605559592599E-5</v>
      </c>
      <c r="R204" s="17">
        <f t="shared" si="24"/>
        <v>2.2988289327233976E-5</v>
      </c>
      <c r="S204" s="17">
        <f t="shared" si="24"/>
        <v>2.2882829579181075E-5</v>
      </c>
      <c r="T204" s="17">
        <f t="shared" si="24"/>
        <v>2.2761596094141083E-5</v>
      </c>
      <c r="U204" s="17">
        <f t="shared" si="24"/>
        <v>2.26624244522807E-5</v>
      </c>
      <c r="V204" s="17">
        <f t="shared" si="24"/>
        <v>2.2567502586090922E-5</v>
      </c>
      <c r="W204" s="17">
        <f t="shared" si="24"/>
        <v>2.3089025001136136E-5</v>
      </c>
      <c r="X204" s="17">
        <f t="shared" si="24"/>
        <v>2.2939347880527901E-5</v>
      </c>
      <c r="Y204" s="17">
        <f t="shared" si="24"/>
        <v>2.2788269637670894E-5</v>
      </c>
      <c r="Z204" s="17">
        <f t="shared" si="24"/>
        <v>2.3913739505820356E-5</v>
      </c>
    </row>
    <row r="205" spans="1:53" outlineLevel="1" x14ac:dyDescent="0.35"/>
    <row r="206" spans="1:53" s="18" customFormat="1" ht="21" x14ac:dyDescent="0.5">
      <c r="A206" s="18" t="s">
        <v>94</v>
      </c>
    </row>
    <row r="207" spans="1:53" s="20" customFormat="1" outlineLevel="1" x14ac:dyDescent="0.35">
      <c r="A207" s="19" t="s">
        <v>766</v>
      </c>
    </row>
    <row r="208" spans="1:53" s="16" customFormat="1" outlineLevel="1" x14ac:dyDescent="0.35">
      <c r="A208" s="21"/>
      <c r="AB208" s="15" t="s">
        <v>143</v>
      </c>
      <c r="AC208" s="16">
        <f>0.000000000532+0.0000000000000145</f>
        <v>5.3201449999999999E-10</v>
      </c>
      <c r="AD208" s="16" t="s">
        <v>916</v>
      </c>
      <c r="AE208" s="15" t="s">
        <v>714</v>
      </c>
    </row>
    <row r="209" spans="1:53" s="16" customFormat="1" outlineLevel="1" x14ac:dyDescent="0.35">
      <c r="A209" s="22" t="s">
        <v>917</v>
      </c>
      <c r="AC209" s="16">
        <f>AC208*1000</f>
        <v>5.3201450000000003E-7</v>
      </c>
      <c r="AD209" s="16" t="s">
        <v>918</v>
      </c>
    </row>
    <row r="210" spans="1:53" s="16" customFormat="1" outlineLevel="1" x14ac:dyDescent="0.35">
      <c r="A210" s="22"/>
      <c r="AB210" s="16" t="s">
        <v>127</v>
      </c>
      <c r="AC210" s="16">
        <v>100</v>
      </c>
      <c r="AD210" s="16" t="s">
        <v>128</v>
      </c>
    </row>
    <row r="211" spans="1:53" s="16" customFormat="1" outlineLevel="1" x14ac:dyDescent="0.35">
      <c r="A211" s="230" t="s">
        <v>768</v>
      </c>
      <c r="AB211" s="16" t="s">
        <v>20</v>
      </c>
      <c r="AC211" s="16">
        <v>0.23</v>
      </c>
      <c r="AD211" s="16" t="s">
        <v>715</v>
      </c>
    </row>
    <row r="212" spans="1:53" s="16" customFormat="1" outlineLevel="1" x14ac:dyDescent="0.35">
      <c r="A212" s="22"/>
      <c r="AB212" s="16" t="s">
        <v>129</v>
      </c>
      <c r="AC212" s="16">
        <v>25</v>
      </c>
      <c r="AD212" s="16" t="s">
        <v>130</v>
      </c>
    </row>
    <row r="213" spans="1:53" outlineLevel="1" x14ac:dyDescent="0.35">
      <c r="B213" s="25">
        <v>2030</v>
      </c>
      <c r="C213" s="25">
        <v>2031</v>
      </c>
      <c r="D213" s="25">
        <v>2032</v>
      </c>
      <c r="E213" s="25">
        <v>2033</v>
      </c>
      <c r="F213" s="25">
        <v>2034</v>
      </c>
      <c r="G213" s="25">
        <v>2035</v>
      </c>
      <c r="H213" s="25">
        <v>2036</v>
      </c>
      <c r="I213" s="25">
        <v>2037</v>
      </c>
      <c r="J213" s="25">
        <v>2038</v>
      </c>
      <c r="K213" s="25">
        <v>2039</v>
      </c>
      <c r="L213" s="25">
        <v>2040</v>
      </c>
      <c r="M213" s="25">
        <v>2041</v>
      </c>
      <c r="N213" s="25">
        <v>2042</v>
      </c>
      <c r="O213" s="25">
        <v>2043</v>
      </c>
      <c r="P213" s="25">
        <v>2044</v>
      </c>
      <c r="Q213" s="25">
        <v>2045</v>
      </c>
      <c r="R213" s="25">
        <v>2046</v>
      </c>
      <c r="S213" s="25">
        <v>2047</v>
      </c>
      <c r="T213" s="25">
        <v>2048</v>
      </c>
      <c r="U213" s="25">
        <v>2049</v>
      </c>
      <c r="V213" s="25">
        <v>2050</v>
      </c>
      <c r="W213" s="25">
        <v>2051</v>
      </c>
      <c r="X213" s="25">
        <v>2052</v>
      </c>
      <c r="Y213" s="25">
        <v>2053</v>
      </c>
      <c r="Z213" s="25">
        <v>2054</v>
      </c>
      <c r="AC213" s="25">
        <v>2030</v>
      </c>
      <c r="AD213" s="25">
        <v>2031</v>
      </c>
      <c r="AE213" s="25">
        <v>2032</v>
      </c>
      <c r="AF213" s="25">
        <v>2033</v>
      </c>
      <c r="AG213" s="25">
        <v>2034</v>
      </c>
      <c r="AH213" s="25">
        <v>2035</v>
      </c>
      <c r="AI213" s="25">
        <v>2036</v>
      </c>
      <c r="AJ213" s="25">
        <v>2037</v>
      </c>
      <c r="AK213" s="25">
        <v>2038</v>
      </c>
      <c r="AL213" s="25">
        <v>2039</v>
      </c>
      <c r="AM213" s="25">
        <v>2040</v>
      </c>
      <c r="AN213" s="25">
        <v>2041</v>
      </c>
      <c r="AO213" s="25">
        <v>2042</v>
      </c>
      <c r="AP213" s="25">
        <v>2043</v>
      </c>
      <c r="AQ213" s="25">
        <v>2044</v>
      </c>
      <c r="AR213" s="25">
        <v>2045</v>
      </c>
      <c r="AS213" s="25">
        <v>2046</v>
      </c>
      <c r="AT213" s="25">
        <v>2047</v>
      </c>
      <c r="AU213" s="25">
        <v>2048</v>
      </c>
      <c r="AV213" s="25">
        <v>2049</v>
      </c>
      <c r="AW213" s="25">
        <v>2050</v>
      </c>
      <c r="AX213" s="25">
        <v>2051</v>
      </c>
      <c r="AY213" s="25">
        <v>2052</v>
      </c>
      <c r="AZ213" s="25">
        <v>2053</v>
      </c>
      <c r="BA213" s="25">
        <v>2054</v>
      </c>
    </row>
    <row r="214" spans="1:53" outlineLevel="1" x14ac:dyDescent="0.35">
      <c r="A214" s="6" t="s">
        <v>21</v>
      </c>
      <c r="B214" s="6">
        <f>'Results - raw data ReCiPe (I)'!AC77</f>
        <v>1.370483690070245E-6</v>
      </c>
      <c r="AB214" s="6" t="s">
        <v>117</v>
      </c>
      <c r="AC214" s="6">
        <f>SUM(B214:B225)+B227</f>
        <v>9.0381118043135502E-5</v>
      </c>
    </row>
    <row r="215" spans="1:53" outlineLevel="1" x14ac:dyDescent="0.35">
      <c r="A215" s="6" t="s">
        <v>23</v>
      </c>
      <c r="B215" s="6">
        <f>'Results - raw data ReCiPe (I)'!AC78</f>
        <v>3.2166177096034538E-6</v>
      </c>
      <c r="AB215" s="6" t="s">
        <v>118</v>
      </c>
      <c r="AC215" s="6">
        <f>B226</f>
        <v>4.9982557100980421E-6</v>
      </c>
    </row>
    <row r="216" spans="1:53" outlineLevel="1" x14ac:dyDescent="0.35">
      <c r="A216" s="6" t="s">
        <v>26</v>
      </c>
      <c r="B216" s="6">
        <f>'Results - raw data ReCiPe (I)'!AC79</f>
        <v>7.0314616005575162E-6</v>
      </c>
      <c r="AB216" s="6" t="s">
        <v>119</v>
      </c>
      <c r="BA216" s="6">
        <f>SUM(Z228:Z239)</f>
        <v>1.3171343639388709E-6</v>
      </c>
    </row>
    <row r="217" spans="1:53" outlineLevel="1" x14ac:dyDescent="0.35">
      <c r="A217" s="6" t="s">
        <v>28</v>
      </c>
      <c r="B217" s="6">
        <f>'Results - raw data ReCiPe (I)'!AC80</f>
        <v>4.7107821153398706E-6</v>
      </c>
      <c r="AB217" s="6" t="s">
        <v>120</v>
      </c>
      <c r="BA217" s="6">
        <f>Z240</f>
        <v>4.1872261712862055E-8</v>
      </c>
    </row>
    <row r="218" spans="1:53" outlineLevel="1" x14ac:dyDescent="0.35">
      <c r="A218" s="6" t="s">
        <v>29</v>
      </c>
      <c r="B218" s="6">
        <f>'Results - raw data ReCiPe (I)'!AC81</f>
        <v>4.5883653217629572E-6</v>
      </c>
      <c r="AB218" s="6" t="s">
        <v>121</v>
      </c>
      <c r="AC218" s="6">
        <f>B241</f>
        <v>1.5568631310201531E-6</v>
      </c>
      <c r="AF218" s="6">
        <f>E241</f>
        <v>1.490530396859574E-6</v>
      </c>
      <c r="AI218" s="6">
        <f>H241</f>
        <v>1.453183927485486E-6</v>
      </c>
      <c r="AL218" s="6">
        <f>K241</f>
        <v>1.457702482446929E-6</v>
      </c>
      <c r="AO218" s="6">
        <f>N241</f>
        <v>1.4643173431288331E-6</v>
      </c>
      <c r="AR218" s="6">
        <f>Q241</f>
        <v>1.4666447699044541E-6</v>
      </c>
      <c r="AU218" s="6">
        <f>T241</f>
        <v>1.4616325983130691E-6</v>
      </c>
      <c r="AX218" s="6">
        <f>W241</f>
        <v>1.477314417989346E-6</v>
      </c>
      <c r="BA218" s="6">
        <f>Z241</f>
        <v>1.482612190332E-6</v>
      </c>
    </row>
    <row r="219" spans="1:53" outlineLevel="1" x14ac:dyDescent="0.35">
      <c r="A219" s="6" t="s">
        <v>31</v>
      </c>
      <c r="B219" s="6">
        <f>'Results - raw data ReCiPe (I)'!AC82</f>
        <v>4.076625226621739E-6</v>
      </c>
      <c r="AB219" s="6" t="s">
        <v>122</v>
      </c>
      <c r="AC219" s="6">
        <f>B244+B243</f>
        <v>2.7148794114913189E-5</v>
      </c>
      <c r="AD219" s="6">
        <f t="shared" ref="AD219:BA219" si="25">C244+C243</f>
        <v>2.5331251992508659E-5</v>
      </c>
      <c r="AE219" s="6">
        <f t="shared" si="25"/>
        <v>2.3498123123681004E-5</v>
      </c>
      <c r="AF219" s="6">
        <f t="shared" si="25"/>
        <v>2.1583100191138585E-5</v>
      </c>
      <c r="AG219" s="6">
        <f t="shared" si="25"/>
        <v>1.9715146722157434E-5</v>
      </c>
      <c r="AH219" s="6">
        <f t="shared" si="25"/>
        <v>1.7834125178395277E-5</v>
      </c>
      <c r="AI219" s="6">
        <f t="shared" si="25"/>
        <v>1.8414810368334059E-5</v>
      </c>
      <c r="AJ219" s="6">
        <f t="shared" si="25"/>
        <v>1.8992678328527311E-5</v>
      </c>
      <c r="AK219" s="6">
        <f t="shared" si="25"/>
        <v>1.9496405028141445E-5</v>
      </c>
      <c r="AL219" s="6">
        <f t="shared" si="25"/>
        <v>2.0063637716237538E-5</v>
      </c>
      <c r="AM219" s="6">
        <f t="shared" si="25"/>
        <v>2.0627884474558675E-5</v>
      </c>
      <c r="AN219" s="6">
        <f t="shared" si="25"/>
        <v>2.0883479671796738E-5</v>
      </c>
      <c r="AO219" s="6">
        <f t="shared" si="25"/>
        <v>2.1136479343497264E-5</v>
      </c>
      <c r="AP219" s="6">
        <f t="shared" si="25"/>
        <v>2.136084999203186E-5</v>
      </c>
      <c r="AQ219" s="6">
        <f t="shared" si="25"/>
        <v>2.1599771775155324E-5</v>
      </c>
      <c r="AR219" s="6">
        <f t="shared" si="25"/>
        <v>2.1833235645571184E-5</v>
      </c>
      <c r="AS219" s="6">
        <f t="shared" si="25"/>
        <v>2.1434945163008187E-5</v>
      </c>
      <c r="AT219" s="6">
        <f t="shared" si="25"/>
        <v>2.1045421520305286E-5</v>
      </c>
      <c r="AU219" s="6">
        <f t="shared" si="25"/>
        <v>2.0641952554509809E-5</v>
      </c>
      <c r="AV219" s="6">
        <f t="shared" si="25"/>
        <v>2.026687921591707E-5</v>
      </c>
      <c r="AW219" s="6">
        <f t="shared" si="25"/>
        <v>1.9891606491950218E-5</v>
      </c>
      <c r="AX219" s="6">
        <f t="shared" si="25"/>
        <v>2.0617198538714168E-5</v>
      </c>
      <c r="AY219" s="6">
        <f t="shared" si="25"/>
        <v>2.0616492300640212E-5</v>
      </c>
      <c r="AZ219" s="6">
        <f t="shared" si="25"/>
        <v>2.0616846288625462E-5</v>
      </c>
      <c r="BA219" s="6">
        <f t="shared" si="25"/>
        <v>2.0618144391312591E-5</v>
      </c>
    </row>
    <row r="220" spans="1:53" outlineLevel="1" x14ac:dyDescent="0.35">
      <c r="A220" s="6" t="s">
        <v>34</v>
      </c>
      <c r="B220" s="6">
        <f>'Results - raw data ReCiPe (I)'!AC83</f>
        <v>2.8228327670285271E-6</v>
      </c>
      <c r="AB220" s="6" t="s">
        <v>123</v>
      </c>
      <c r="AC220" s="6">
        <f>B242</f>
        <v>8.1661226611903975E-9</v>
      </c>
      <c r="AD220" s="6">
        <f t="shared" ref="AD220:BA220" si="26">C242</f>
        <v>7.7375249200529544E-9</v>
      </c>
      <c r="AE220" s="6">
        <f t="shared" si="26"/>
        <v>7.3078680199034777E-9</v>
      </c>
      <c r="AF220" s="6">
        <f t="shared" si="26"/>
        <v>6.8625754390540549E-9</v>
      </c>
      <c r="AG220" s="6">
        <f t="shared" si="26"/>
        <v>6.4302971988046446E-9</v>
      </c>
      <c r="AH220" s="6">
        <f t="shared" si="26"/>
        <v>5.9975897889102982E-9</v>
      </c>
      <c r="AI220" s="6">
        <f t="shared" si="26"/>
        <v>6.1255480897413437E-9</v>
      </c>
      <c r="AJ220" s="6">
        <f t="shared" si="26"/>
        <v>6.2522310812630137E-9</v>
      </c>
      <c r="AK220" s="6">
        <f t="shared" si="26"/>
        <v>6.3617499745199899E-9</v>
      </c>
      <c r="AL220" s="6">
        <f t="shared" si="26"/>
        <v>6.4848326653209395E-9</v>
      </c>
      <c r="AM220" s="6">
        <f t="shared" si="26"/>
        <v>6.6066142185601283E-9</v>
      </c>
      <c r="AN220" s="6">
        <f t="shared" si="26"/>
        <v>6.6628214615691987E-9</v>
      </c>
      <c r="AO220" s="6">
        <f t="shared" si="26"/>
        <v>6.718575238641164E-9</v>
      </c>
      <c r="AP220" s="6">
        <f t="shared" si="26"/>
        <v>6.7680959680053816E-9</v>
      </c>
      <c r="AQ220" s="6">
        <f t="shared" si="26"/>
        <v>6.8210117013959019E-9</v>
      </c>
      <c r="AR220" s="6">
        <f t="shared" si="26"/>
        <v>6.8728922417210794E-9</v>
      </c>
      <c r="AS220" s="6">
        <f t="shared" si="26"/>
        <v>6.7886329273209634E-9</v>
      </c>
      <c r="AT220" s="6">
        <f t="shared" si="26"/>
        <v>6.7056138049603597E-9</v>
      </c>
      <c r="AU220" s="6">
        <f t="shared" si="26"/>
        <v>6.6187816329354909E-9</v>
      </c>
      <c r="AV220" s="6">
        <f t="shared" si="26"/>
        <v>6.5376456888212396E-9</v>
      </c>
      <c r="AW220" s="6">
        <f t="shared" si="26"/>
        <v>6.4564312822658616E-9</v>
      </c>
      <c r="AX220" s="6">
        <f t="shared" si="26"/>
        <v>6.6379960025257579E-9</v>
      </c>
      <c r="AY220" s="6">
        <f t="shared" si="26"/>
        <v>6.6356976119592956E-9</v>
      </c>
      <c r="AZ220" s="6">
        <f t="shared" si="26"/>
        <v>6.6336468815317088E-9</v>
      </c>
      <c r="BA220" s="6">
        <f t="shared" si="26"/>
        <v>6.6318115312765135E-9</v>
      </c>
    </row>
    <row r="221" spans="1:53" outlineLevel="1" x14ac:dyDescent="0.35">
      <c r="A221" s="6" t="s">
        <v>36</v>
      </c>
      <c r="B221" s="6">
        <f>'Results - raw data ReCiPe (I)'!AC84</f>
        <v>2.541461837164139E-6</v>
      </c>
      <c r="AB221" s="6" t="s">
        <v>124</v>
      </c>
      <c r="AC221" s="6">
        <f>-$AC$6*$AC$7</f>
        <v>-5.3201450000000005E-5</v>
      </c>
      <c r="AD221" s="6">
        <f t="shared" ref="AD221:BA221" si="27">-$AC$6*$AC$7</f>
        <v>-5.3201450000000005E-5</v>
      </c>
      <c r="AE221" s="6">
        <f t="shared" si="27"/>
        <v>-5.3201450000000005E-5</v>
      </c>
      <c r="AF221" s="6">
        <f t="shared" si="27"/>
        <v>-5.3201450000000005E-5</v>
      </c>
      <c r="AG221" s="6">
        <f t="shared" si="27"/>
        <v>-5.3201450000000005E-5</v>
      </c>
      <c r="AH221" s="6">
        <f t="shared" si="27"/>
        <v>-5.3201450000000005E-5</v>
      </c>
      <c r="AI221" s="6">
        <f t="shared" si="27"/>
        <v>-5.3201450000000005E-5</v>
      </c>
      <c r="AJ221" s="6">
        <f t="shared" si="27"/>
        <v>-5.3201450000000005E-5</v>
      </c>
      <c r="AK221" s="6">
        <f t="shared" si="27"/>
        <v>-5.3201450000000005E-5</v>
      </c>
      <c r="AL221" s="6">
        <f t="shared" si="27"/>
        <v>-5.3201450000000005E-5</v>
      </c>
      <c r="AM221" s="6">
        <f t="shared" si="27"/>
        <v>-5.3201450000000005E-5</v>
      </c>
      <c r="AN221" s="6">
        <f t="shared" si="27"/>
        <v>-5.3201450000000005E-5</v>
      </c>
      <c r="AO221" s="6">
        <f t="shared" si="27"/>
        <v>-5.3201450000000005E-5</v>
      </c>
      <c r="AP221" s="6">
        <f t="shared" si="27"/>
        <v>-5.3201450000000005E-5</v>
      </c>
      <c r="AQ221" s="6">
        <f t="shared" si="27"/>
        <v>-5.3201450000000005E-5</v>
      </c>
      <c r="AR221" s="6">
        <f t="shared" si="27"/>
        <v>-5.3201450000000005E-5</v>
      </c>
      <c r="AS221" s="6">
        <f t="shared" si="27"/>
        <v>-5.3201450000000005E-5</v>
      </c>
      <c r="AT221" s="6">
        <f t="shared" si="27"/>
        <v>-5.3201450000000005E-5</v>
      </c>
      <c r="AU221" s="6">
        <f t="shared" si="27"/>
        <v>-5.3201450000000005E-5</v>
      </c>
      <c r="AV221" s="6">
        <f t="shared" si="27"/>
        <v>-5.3201450000000005E-5</v>
      </c>
      <c r="AW221" s="6">
        <f t="shared" si="27"/>
        <v>-5.3201450000000005E-5</v>
      </c>
      <c r="AX221" s="6">
        <f t="shared" si="27"/>
        <v>-5.3201450000000005E-5</v>
      </c>
      <c r="AY221" s="6">
        <f t="shared" si="27"/>
        <v>-5.3201450000000005E-5</v>
      </c>
      <c r="AZ221" s="6">
        <f t="shared" si="27"/>
        <v>-5.3201450000000005E-5</v>
      </c>
      <c r="BA221" s="6">
        <f t="shared" si="27"/>
        <v>-5.3201450000000005E-5</v>
      </c>
    </row>
    <row r="222" spans="1:53" outlineLevel="1" x14ac:dyDescent="0.35">
      <c r="A222" s="6" t="s">
        <v>38</v>
      </c>
      <c r="B222" s="6">
        <f>'Results - raw data ReCiPe (I)'!AC85</f>
        <v>9.3851724277913943E-6</v>
      </c>
      <c r="AB222" s="23" t="s">
        <v>125</v>
      </c>
      <c r="AC222" s="17">
        <f>SUM(AC214:AC221)</f>
        <v>7.0891747121828091E-5</v>
      </c>
      <c r="AD222" s="17">
        <f t="shared" ref="AD222:BA222" si="28">SUM(AD214:AD221)</f>
        <v>-2.7862460482571292E-5</v>
      </c>
      <c r="AE222" s="17">
        <f t="shared" si="28"/>
        <v>-2.9696019008299097E-5</v>
      </c>
      <c r="AF222" s="17">
        <f t="shared" si="28"/>
        <v>-3.0120956836562791E-5</v>
      </c>
      <c r="AG222" s="17">
        <f t="shared" si="28"/>
        <v>-3.347987298064377E-5</v>
      </c>
      <c r="AH222" s="17">
        <f t="shared" si="28"/>
        <v>-3.5361327231815818E-5</v>
      </c>
      <c r="AI222" s="17">
        <f t="shared" si="28"/>
        <v>-3.3327330156090714E-5</v>
      </c>
      <c r="AJ222" s="17">
        <f t="shared" si="28"/>
        <v>-3.4202519440391432E-5</v>
      </c>
      <c r="AK222" s="17">
        <f t="shared" si="28"/>
        <v>-3.3698683221884045E-5</v>
      </c>
      <c r="AL222" s="17">
        <f t="shared" si="28"/>
        <v>-3.1673624968650216E-5</v>
      </c>
      <c r="AM222" s="17">
        <f t="shared" si="28"/>
        <v>-3.2566958911222771E-5</v>
      </c>
      <c r="AN222" s="17">
        <f t="shared" si="28"/>
        <v>-3.2311307506741699E-5</v>
      </c>
      <c r="AO222" s="17">
        <f t="shared" si="28"/>
        <v>-3.0593934738135266E-5</v>
      </c>
      <c r="AP222" s="17">
        <f t="shared" si="28"/>
        <v>-3.1833831912000135E-5</v>
      </c>
      <c r="AQ222" s="17">
        <f t="shared" si="28"/>
        <v>-3.1594857213143285E-5</v>
      </c>
      <c r="AR222" s="17">
        <f t="shared" si="28"/>
        <v>-2.9894696692282646E-5</v>
      </c>
      <c r="AS222" s="17">
        <f t="shared" si="28"/>
        <v>-3.1759716204064498E-5</v>
      </c>
      <c r="AT222" s="17">
        <f t="shared" si="28"/>
        <v>-3.2149322865889758E-5</v>
      </c>
      <c r="AU222" s="17">
        <f t="shared" si="28"/>
        <v>-3.1091246065544193E-5</v>
      </c>
      <c r="AV222" s="17">
        <f t="shared" si="28"/>
        <v>-3.2928033138394115E-5</v>
      </c>
      <c r="AW222" s="17">
        <f t="shared" si="28"/>
        <v>-3.3303387076767519E-5</v>
      </c>
      <c r="AX222" s="17">
        <f t="shared" si="28"/>
        <v>-3.1100299047293964E-5</v>
      </c>
      <c r="AY222" s="17">
        <f t="shared" si="28"/>
        <v>-3.2578322001747835E-5</v>
      </c>
      <c r="AZ222" s="17">
        <f t="shared" si="28"/>
        <v>-3.2577970064493011E-5</v>
      </c>
      <c r="BA222" s="17">
        <f t="shared" si="28"/>
        <v>-2.9735054981172402E-5</v>
      </c>
    </row>
    <row r="223" spans="1:53" outlineLevel="1" x14ac:dyDescent="0.35">
      <c r="A223" s="6" t="s">
        <v>39</v>
      </c>
      <c r="B223" s="6">
        <f>'Results - raw data ReCiPe (I)'!AC86</f>
        <v>3.4516683430361958E-5</v>
      </c>
    </row>
    <row r="224" spans="1:53" outlineLevel="1" x14ac:dyDescent="0.35">
      <c r="A224" s="6" t="s">
        <v>41</v>
      </c>
      <c r="B224" s="6">
        <f>'Results - raw data ReCiPe (I)'!AC87</f>
        <v>3.9406795025774319E-7</v>
      </c>
    </row>
    <row r="225" spans="1:53" outlineLevel="1" x14ac:dyDescent="0.35">
      <c r="A225" s="6" t="s">
        <v>43</v>
      </c>
      <c r="B225" s="6">
        <f>'Results - raw data ReCiPe (I)'!AC88</f>
        <v>7.8603017416721399E-7</v>
      </c>
      <c r="AB225" s="219"/>
      <c r="AC225" s="219"/>
      <c r="AD225" s="219"/>
      <c r="AE225" s="219"/>
      <c r="AF225" s="219"/>
      <c r="AG225" s="219"/>
      <c r="AH225" s="219"/>
      <c r="AI225" s="219"/>
      <c r="AJ225" s="219"/>
      <c r="AK225" s="219"/>
      <c r="AL225" s="219"/>
      <c r="AM225" s="219"/>
      <c r="AN225" s="219"/>
      <c r="AO225" s="219"/>
      <c r="AP225" s="219"/>
      <c r="AQ225" s="219"/>
      <c r="AR225" s="219"/>
      <c r="AS225" s="219"/>
      <c r="AT225" s="219"/>
      <c r="AU225" s="219"/>
      <c r="AV225" s="219"/>
      <c r="AW225" s="219"/>
      <c r="AX225" s="219"/>
      <c r="AY225" s="219"/>
      <c r="AZ225" s="219"/>
      <c r="BA225" s="219"/>
    </row>
    <row r="226" spans="1:53" outlineLevel="1" x14ac:dyDescent="0.35">
      <c r="A226" s="6" t="s">
        <v>44</v>
      </c>
      <c r="B226" s="6">
        <f>'Results - raw data ReCiPe (I)'!AC89*AC210*AC212</f>
        <v>4.9982557100980421E-6</v>
      </c>
      <c r="AB226" s="219"/>
      <c r="AC226" s="219"/>
      <c r="AD226" s="219"/>
      <c r="AE226" s="219"/>
      <c r="AF226" s="219"/>
      <c r="AG226" s="219"/>
      <c r="AH226" s="219"/>
      <c r="AI226" s="219"/>
      <c r="AJ226" s="219"/>
      <c r="AK226" s="219"/>
      <c r="AL226" s="219"/>
      <c r="AM226" s="219"/>
      <c r="AN226" s="219"/>
      <c r="AO226" s="219"/>
      <c r="AP226" s="219"/>
      <c r="AQ226" s="219"/>
      <c r="AR226" s="219"/>
      <c r="AS226" s="219"/>
      <c r="AT226" s="219"/>
      <c r="AU226" s="219"/>
      <c r="AV226" s="219"/>
      <c r="AW226" s="219"/>
      <c r="AX226" s="219"/>
      <c r="AY226" s="219"/>
      <c r="AZ226" s="219"/>
      <c r="BA226" s="219"/>
    </row>
    <row r="227" spans="1:53" outlineLevel="1" x14ac:dyDescent="0.35">
      <c r="A227" s="6" t="s">
        <v>757</v>
      </c>
      <c r="B227" s="6">
        <f>'Results - raw data ReCiPe (I)'!AC90*AC210*AC212</f>
        <v>1.4940533792408737E-5</v>
      </c>
      <c r="AB227" s="219"/>
      <c r="AC227" s="219"/>
      <c r="AD227" s="219"/>
      <c r="AE227" s="219"/>
      <c r="AF227" s="219"/>
      <c r="AG227" s="219"/>
      <c r="AH227" s="219"/>
      <c r="AI227" s="219"/>
      <c r="AJ227" s="219"/>
      <c r="AK227" s="219"/>
      <c r="AL227" s="219"/>
      <c r="AM227" s="219"/>
      <c r="AN227" s="219"/>
      <c r="AO227" s="219"/>
      <c r="AP227" s="219"/>
      <c r="AQ227" s="219"/>
      <c r="AR227" s="219"/>
      <c r="AS227" s="219"/>
      <c r="AT227" s="219"/>
      <c r="AU227" s="219"/>
      <c r="AV227" s="219"/>
      <c r="AW227" s="219"/>
      <c r="AX227" s="219"/>
      <c r="AY227" s="219"/>
      <c r="AZ227" s="219"/>
      <c r="BA227" s="219"/>
    </row>
    <row r="228" spans="1:53" outlineLevel="1" x14ac:dyDescent="0.35">
      <c r="A228" s="6" t="s">
        <v>22</v>
      </c>
      <c r="Z228" s="6">
        <f>'Results - raw data ReCiPe (I)'!BA91</f>
        <v>1.926898770100606E-8</v>
      </c>
      <c r="AB228" s="219"/>
      <c r="AC228" s="219"/>
      <c r="AD228" s="219"/>
      <c r="AE228" s="219"/>
      <c r="AF228" s="219"/>
      <c r="AG228" s="219"/>
      <c r="AH228" s="219"/>
      <c r="AI228" s="219"/>
      <c r="AJ228" s="219"/>
      <c r="AK228" s="219"/>
      <c r="AL228" s="219"/>
      <c r="AM228" s="219"/>
      <c r="AN228" s="219"/>
      <c r="AO228" s="219"/>
      <c r="AP228" s="219"/>
      <c r="AQ228" s="219"/>
      <c r="AR228" s="219"/>
      <c r="AS228" s="219"/>
      <c r="AT228" s="219"/>
      <c r="AU228" s="219"/>
      <c r="AV228" s="219"/>
      <c r="AW228" s="219"/>
      <c r="AX228" s="219"/>
      <c r="AY228" s="219"/>
      <c r="AZ228" s="219"/>
      <c r="BA228" s="219"/>
    </row>
    <row r="229" spans="1:53" outlineLevel="1" x14ac:dyDescent="0.35">
      <c r="A229" s="6" t="s">
        <v>24</v>
      </c>
      <c r="Z229" s="6">
        <f>'Results - raw data ReCiPe (I)'!BA92</f>
        <v>1.34067733490309E-8</v>
      </c>
      <c r="AB229" s="219"/>
      <c r="AC229" s="219"/>
      <c r="AD229" s="219"/>
      <c r="AE229" s="219"/>
      <c r="AF229" s="219"/>
      <c r="AG229" s="219"/>
      <c r="AH229" s="219"/>
      <c r="AI229" s="219"/>
      <c r="AJ229" s="219"/>
      <c r="AK229" s="219"/>
      <c r="AL229" s="219"/>
      <c r="AM229" s="219"/>
      <c r="AN229" s="219"/>
      <c r="AO229" s="219"/>
      <c r="AP229" s="219"/>
      <c r="AQ229" s="219"/>
      <c r="AR229" s="219"/>
      <c r="AS229" s="219"/>
      <c r="AT229" s="219"/>
      <c r="AU229" s="219"/>
      <c r="AV229" s="219"/>
      <c r="AW229" s="219"/>
      <c r="AX229" s="219"/>
      <c r="AY229" s="219"/>
      <c r="AZ229" s="219"/>
      <c r="BA229" s="219"/>
    </row>
    <row r="230" spans="1:53" outlineLevel="1" x14ac:dyDescent="0.35">
      <c r="A230" s="6" t="s">
        <v>25</v>
      </c>
      <c r="Z230" s="6">
        <f>'Results - raw data ReCiPe (I)'!BA93</f>
        <v>6.5694963487932937E-8</v>
      </c>
      <c r="AB230" s="219"/>
      <c r="AC230" s="219"/>
      <c r="AD230" s="219"/>
      <c r="AE230" s="219"/>
      <c r="AF230" s="219"/>
      <c r="AG230" s="219"/>
      <c r="AH230" s="219"/>
      <c r="AI230" s="219"/>
      <c r="AJ230" s="219"/>
      <c r="AK230" s="219"/>
      <c r="AL230" s="219"/>
      <c r="AM230" s="219"/>
      <c r="AN230" s="219"/>
      <c r="AO230" s="219"/>
      <c r="AP230" s="219"/>
      <c r="AQ230" s="219"/>
      <c r="AR230" s="219"/>
      <c r="AS230" s="219"/>
      <c r="AT230" s="219"/>
      <c r="AU230" s="219"/>
      <c r="AV230" s="219"/>
      <c r="AW230" s="219"/>
      <c r="AX230" s="219"/>
      <c r="AY230" s="219"/>
      <c r="AZ230" s="219"/>
      <c r="BA230" s="219"/>
    </row>
    <row r="231" spans="1:53" outlineLevel="1" x14ac:dyDescent="0.35">
      <c r="A231" s="6" t="s">
        <v>27</v>
      </c>
      <c r="Z231" s="6">
        <f>'Results - raw data ReCiPe (I)'!BA94</f>
        <v>2.8717012364118558E-8</v>
      </c>
      <c r="AB231" s="219"/>
      <c r="AC231" s="219"/>
      <c r="AD231" s="219"/>
      <c r="AE231" s="219"/>
      <c r="AF231" s="219"/>
      <c r="AG231" s="219"/>
      <c r="AH231" s="219"/>
      <c r="AI231" s="219"/>
      <c r="AJ231" s="219"/>
      <c r="AK231" s="219"/>
      <c r="AL231" s="219"/>
      <c r="AM231" s="219"/>
      <c r="AN231" s="219"/>
      <c r="AO231" s="219"/>
      <c r="AP231" s="219"/>
      <c r="AQ231" s="219"/>
      <c r="AR231" s="219"/>
      <c r="AS231" s="219"/>
      <c r="AT231" s="219"/>
      <c r="AU231" s="219"/>
      <c r="AV231" s="219"/>
      <c r="AW231" s="219"/>
      <c r="AX231" s="219"/>
      <c r="AY231" s="219"/>
      <c r="AZ231" s="219"/>
      <c r="BA231" s="219"/>
    </row>
    <row r="232" spans="1:53" outlineLevel="1" x14ac:dyDescent="0.35">
      <c r="A232" s="6" t="s">
        <v>30</v>
      </c>
      <c r="Z232" s="6">
        <f>'Results - raw data ReCiPe (I)'!BA95</f>
        <v>2.4974932312648512E-8</v>
      </c>
      <c r="AB232" s="219"/>
      <c r="AC232" s="219"/>
      <c r="AD232" s="219"/>
      <c r="AE232" s="219"/>
      <c r="AF232" s="219"/>
      <c r="AG232" s="219"/>
      <c r="AH232" s="219"/>
      <c r="AI232" s="219"/>
      <c r="AJ232" s="219"/>
      <c r="AK232" s="219"/>
      <c r="AL232" s="219"/>
      <c r="AM232" s="219"/>
      <c r="AN232" s="219"/>
      <c r="AO232" s="219"/>
      <c r="AP232" s="219"/>
      <c r="AQ232" s="219"/>
      <c r="AR232" s="219"/>
      <c r="AS232" s="219"/>
      <c r="AT232" s="219"/>
      <c r="AU232" s="219"/>
      <c r="AV232" s="219"/>
      <c r="AW232" s="219"/>
      <c r="AX232" s="219"/>
      <c r="AY232" s="219"/>
      <c r="AZ232" s="219"/>
      <c r="BA232" s="219"/>
    </row>
    <row r="233" spans="1:53" outlineLevel="1" x14ac:dyDescent="0.35">
      <c r="A233" s="6" t="s">
        <v>32</v>
      </c>
      <c r="Z233" s="6">
        <f>'Results - raw data ReCiPe (I)'!BA96</f>
        <v>4.7174680109500834E-9</v>
      </c>
      <c r="AB233" s="219"/>
      <c r="AC233" s="219"/>
      <c r="AD233" s="219"/>
      <c r="AE233" s="219"/>
      <c r="AF233" s="219"/>
      <c r="AG233" s="219"/>
      <c r="AH233" s="219"/>
      <c r="AI233" s="219"/>
      <c r="AJ233" s="219"/>
      <c r="AK233" s="219"/>
      <c r="AL233" s="219"/>
      <c r="AM233" s="219"/>
      <c r="AN233" s="219"/>
      <c r="AO233" s="219"/>
      <c r="AP233" s="219"/>
      <c r="AQ233" s="219"/>
      <c r="AR233" s="219"/>
      <c r="AS233" s="219"/>
      <c r="AT233" s="219"/>
      <c r="AU233" s="219"/>
      <c r="AV233" s="219"/>
      <c r="AW233" s="219"/>
      <c r="AX233" s="219"/>
      <c r="AY233" s="219"/>
      <c r="AZ233" s="219"/>
      <c r="BA233" s="219"/>
    </row>
    <row r="234" spans="1:53" outlineLevel="1" x14ac:dyDescent="0.35">
      <c r="A234" s="6" t="s">
        <v>33</v>
      </c>
      <c r="Z234" s="6">
        <f>'Results - raw data ReCiPe (I)'!BA97</f>
        <v>6.489861309460378E-9</v>
      </c>
      <c r="AB234" s="219"/>
      <c r="AC234" s="219"/>
      <c r="AD234" s="219"/>
      <c r="AE234" s="219"/>
      <c r="AF234" s="219"/>
      <c r="AG234" s="219"/>
      <c r="AH234" s="219"/>
      <c r="AI234" s="219"/>
      <c r="AJ234" s="219"/>
      <c r="AK234" s="219"/>
      <c r="AL234" s="219"/>
      <c r="AM234" s="219"/>
      <c r="AN234" s="219"/>
      <c r="AO234" s="219"/>
      <c r="AP234" s="219"/>
      <c r="AQ234" s="219"/>
      <c r="AR234" s="219"/>
      <c r="AS234" s="219"/>
      <c r="AT234" s="219"/>
      <c r="AU234" s="219"/>
      <c r="AV234" s="219"/>
      <c r="AW234" s="219"/>
      <c r="AX234" s="219"/>
      <c r="AY234" s="219"/>
      <c r="AZ234" s="219"/>
      <c r="BA234" s="219"/>
    </row>
    <row r="235" spans="1:53" outlineLevel="1" x14ac:dyDescent="0.35">
      <c r="A235" s="6" t="s">
        <v>35</v>
      </c>
      <c r="Z235" s="6">
        <f>'Results - raw data ReCiPe (I)'!BA98</f>
        <v>1.2979722618920759E-8</v>
      </c>
      <c r="AB235" s="219"/>
      <c r="AC235" s="219"/>
      <c r="AD235" s="219"/>
      <c r="AE235" s="219"/>
      <c r="AF235" s="219"/>
      <c r="AG235" s="219"/>
      <c r="AH235" s="219"/>
      <c r="AI235" s="219"/>
      <c r="AJ235" s="219"/>
      <c r="AK235" s="219"/>
      <c r="AL235" s="219"/>
      <c r="AM235" s="219"/>
      <c r="AN235" s="219"/>
      <c r="AO235" s="219"/>
      <c r="AP235" s="219"/>
      <c r="AQ235" s="219"/>
      <c r="AR235" s="219"/>
      <c r="AS235" s="219"/>
      <c r="AT235" s="219"/>
      <c r="AU235" s="219"/>
      <c r="AV235" s="219"/>
      <c r="AW235" s="219"/>
      <c r="AX235" s="219"/>
      <c r="AY235" s="219"/>
      <c r="AZ235" s="219"/>
      <c r="BA235" s="219"/>
    </row>
    <row r="236" spans="1:53" outlineLevel="1" x14ac:dyDescent="0.35">
      <c r="A236" s="6" t="s">
        <v>37</v>
      </c>
      <c r="Z236" s="6">
        <f>'Results - raw data ReCiPe (I)'!BA99</f>
        <v>8.1619562066932211E-8</v>
      </c>
      <c r="AB236" s="219"/>
      <c r="AC236" s="219"/>
      <c r="AD236" s="219"/>
      <c r="AE236" s="219"/>
      <c r="AF236" s="219"/>
      <c r="AG236" s="219"/>
      <c r="AH236" s="219"/>
      <c r="AI236" s="219"/>
      <c r="AJ236" s="219"/>
      <c r="AK236" s="219"/>
      <c r="AL236" s="219"/>
      <c r="AM236" s="219"/>
      <c r="AN236" s="219"/>
      <c r="AO236" s="219"/>
      <c r="AP236" s="219"/>
      <c r="AQ236" s="219"/>
      <c r="AR236" s="219"/>
      <c r="AS236" s="219"/>
      <c r="AT236" s="219"/>
      <c r="AU236" s="219"/>
      <c r="AV236" s="219"/>
      <c r="AW236" s="219"/>
      <c r="AX236" s="219"/>
      <c r="AY236" s="219"/>
      <c r="AZ236" s="219"/>
      <c r="BA236" s="219"/>
    </row>
    <row r="237" spans="1:53" outlineLevel="1" x14ac:dyDescent="0.35">
      <c r="A237" s="6" t="s">
        <v>40</v>
      </c>
      <c r="Z237" s="6">
        <f>'Results - raw data ReCiPe (I)'!BA100</f>
        <v>3.2029594840598537E-7</v>
      </c>
    </row>
    <row r="238" spans="1:53" outlineLevel="1" x14ac:dyDescent="0.35">
      <c r="A238" s="6" t="s">
        <v>42</v>
      </c>
      <c r="Z238" s="6">
        <f>'Results - raw data ReCiPe (I)'!BA101</f>
        <v>1.1208985910569E-7</v>
      </c>
    </row>
    <row r="239" spans="1:53" outlineLevel="1" x14ac:dyDescent="0.35">
      <c r="A239" s="6" t="s">
        <v>115</v>
      </c>
      <c r="Z239" s="6">
        <f>'Results - raw data ReCiPe (I)'!BA102</f>
        <v>6.2687927320619511E-7</v>
      </c>
    </row>
    <row r="240" spans="1:53" outlineLevel="1" x14ac:dyDescent="0.35">
      <c r="A240" s="6" t="s">
        <v>45</v>
      </c>
      <c r="Z240" s="6">
        <f>'Results - raw data ReCiPe (I)'!BA103*AC210*AC212</f>
        <v>4.1872261712862055E-8</v>
      </c>
    </row>
    <row r="241" spans="1:26" outlineLevel="1" x14ac:dyDescent="0.35">
      <c r="A241" s="6" t="s">
        <v>116</v>
      </c>
      <c r="B241" s="6">
        <f>'Results - raw data ReCiPe (I)'!AC104</f>
        <v>1.5568631310201531E-6</v>
      </c>
      <c r="C241" s="6">
        <f>'Results - raw data ReCiPe (I)'!AD104</f>
        <v>1.5391043825718959E-6</v>
      </c>
      <c r="D241" s="6">
        <f>'Results - raw data ReCiPe (I)'!AE104</f>
        <v>1.520382059578232E-6</v>
      </c>
      <c r="E241" s="6">
        <f>'Results - raw data ReCiPe (I)'!AF104</f>
        <v>1.490530396859574E-6</v>
      </c>
      <c r="F241" s="6">
        <f>'Results - raw data ReCiPe (I)'!AG104</f>
        <v>1.469977393581854E-6</v>
      </c>
      <c r="G241" s="6">
        <f>'Results - raw data ReCiPe (I)'!AH104</f>
        <v>1.4485978665570479E-6</v>
      </c>
      <c r="H241" s="6">
        <f>'Results - raw data ReCiPe (I)'!AI104</f>
        <v>1.453183927485486E-6</v>
      </c>
      <c r="I241" s="6">
        <f>'Results - raw data ReCiPe (I)'!AJ104</f>
        <v>1.457380151900112E-6</v>
      </c>
      <c r="J241" s="6">
        <f>'Results - raw data ReCiPe (I)'!AK104</f>
        <v>1.4543220215600509E-6</v>
      </c>
      <c r="K241" s="6">
        <f>'Results - raw data ReCiPe (I)'!AL104</f>
        <v>1.457702482446929E-6</v>
      </c>
      <c r="L241" s="6">
        <f>'Results - raw data ReCiPe (I)'!AM104</f>
        <v>1.4608047795862119E-6</v>
      </c>
      <c r="M241" s="6">
        <f>'Results - raw data ReCiPe (I)'!AN104</f>
        <v>1.462560445034647E-6</v>
      </c>
      <c r="N241" s="6">
        <f>'Results - raw data ReCiPe (I)'!AO104</f>
        <v>1.4643173431288331E-6</v>
      </c>
      <c r="O241" s="6">
        <f>'Results - raw data ReCiPe (I)'!AP104</f>
        <v>1.4633057535492171E-6</v>
      </c>
      <c r="P241" s="6">
        <f>'Results - raw data ReCiPe (I)'!AQ104</f>
        <v>1.4649814128069E-6</v>
      </c>
      <c r="Q241" s="6">
        <f>'Results - raw data ReCiPe (I)'!AR104</f>
        <v>1.4666447699044541E-6</v>
      </c>
      <c r="R241" s="6">
        <f>'Results - raw data ReCiPe (I)'!AS104</f>
        <v>1.4659285962986079E-6</v>
      </c>
      <c r="S241" s="6">
        <f>'Results - raw data ReCiPe (I)'!AT104</f>
        <v>1.465211603535244E-6</v>
      </c>
      <c r="T241" s="6">
        <f>'Results - raw data ReCiPe (I)'!AU104</f>
        <v>1.4616325983130691E-6</v>
      </c>
      <c r="U241" s="6">
        <f>'Results - raw data ReCiPe (I)'!AV104</f>
        <v>1.4608635679001789E-6</v>
      </c>
      <c r="V241" s="6">
        <f>'Results - raw data ReCiPe (I)'!AW104</f>
        <v>1.4599959339718309E-6</v>
      </c>
      <c r="W241" s="6">
        <f>'Results - raw data ReCiPe (I)'!AX104</f>
        <v>1.477314417989346E-6</v>
      </c>
      <c r="X241" s="6">
        <f>'Results - raw data ReCiPe (I)'!AY104</f>
        <v>1.479100931628465E-6</v>
      </c>
      <c r="Y241" s="6">
        <f>'Results - raw data ReCiPe (I)'!AZ104</f>
        <v>1.4808667744377321E-6</v>
      </c>
      <c r="Z241" s="6">
        <f>'Results - raw data ReCiPe (I)'!BA104</f>
        <v>1.482612190332E-6</v>
      </c>
    </row>
    <row r="242" spans="1:26" outlineLevel="1" x14ac:dyDescent="0.35">
      <c r="A242" s="6" t="s">
        <v>758</v>
      </c>
      <c r="B242" s="6">
        <f>'Results - raw data ReCiPe (I)'!AC105*$AC$211</f>
        <v>8.1661226611903975E-9</v>
      </c>
      <c r="C242" s="6">
        <f>'Results - raw data ReCiPe (I)'!AD105*$AC$211</f>
        <v>7.7375249200529544E-9</v>
      </c>
      <c r="D242" s="6">
        <f>'Results - raw data ReCiPe (I)'!AE105*$AC$211</f>
        <v>7.3078680199034777E-9</v>
      </c>
      <c r="E242" s="6">
        <f>'Results - raw data ReCiPe (I)'!AF105*$AC$211</f>
        <v>6.8625754390540549E-9</v>
      </c>
      <c r="F242" s="6">
        <f>'Results - raw data ReCiPe (I)'!AG105*$AC$211</f>
        <v>6.4302971988046446E-9</v>
      </c>
      <c r="G242" s="6">
        <f>'Results - raw data ReCiPe (I)'!AH105*$AC$211</f>
        <v>5.9975897889102982E-9</v>
      </c>
      <c r="H242" s="6">
        <f>'Results - raw data ReCiPe (I)'!AI105*$AC$211</f>
        <v>6.1255480897413437E-9</v>
      </c>
      <c r="I242" s="6">
        <f>'Results - raw data ReCiPe (I)'!AJ105*$AC$211</f>
        <v>6.2522310812630137E-9</v>
      </c>
      <c r="J242" s="6">
        <f>'Results - raw data ReCiPe (I)'!AK105*$AC$211</f>
        <v>6.3617499745199899E-9</v>
      </c>
      <c r="K242" s="6">
        <f>'Results - raw data ReCiPe (I)'!AL105*$AC$211</f>
        <v>6.4848326653209395E-9</v>
      </c>
      <c r="L242" s="6">
        <f>'Results - raw data ReCiPe (I)'!AM105*$AC$211</f>
        <v>6.6066142185601283E-9</v>
      </c>
      <c r="M242" s="6">
        <f>'Results - raw data ReCiPe (I)'!AN105*$AC$211</f>
        <v>6.6628214615691987E-9</v>
      </c>
      <c r="N242" s="6">
        <f>'Results - raw data ReCiPe (I)'!AO105*$AC$211</f>
        <v>6.718575238641164E-9</v>
      </c>
      <c r="O242" s="6">
        <f>'Results - raw data ReCiPe (I)'!AP105*$AC$211</f>
        <v>6.7680959680053816E-9</v>
      </c>
      <c r="P242" s="6">
        <f>'Results - raw data ReCiPe (I)'!AQ105*$AC$211</f>
        <v>6.8210117013959019E-9</v>
      </c>
      <c r="Q242" s="6">
        <f>'Results - raw data ReCiPe (I)'!AR105*$AC$211</f>
        <v>6.8728922417210794E-9</v>
      </c>
      <c r="R242" s="6">
        <f>'Results - raw data ReCiPe (I)'!AS105*$AC$211</f>
        <v>6.7886329273209634E-9</v>
      </c>
      <c r="S242" s="6">
        <f>'Results - raw data ReCiPe (I)'!AT105*$AC$211</f>
        <v>6.7056138049603597E-9</v>
      </c>
      <c r="T242" s="6">
        <f>'Results - raw data ReCiPe (I)'!AU105*$AC$211</f>
        <v>6.6187816329354909E-9</v>
      </c>
      <c r="U242" s="6">
        <f>'Results - raw data ReCiPe (I)'!AV105*$AC$211</f>
        <v>6.5376456888212396E-9</v>
      </c>
      <c r="V242" s="6">
        <f>'Results - raw data ReCiPe (I)'!AW105*$AC$211</f>
        <v>6.4564312822658616E-9</v>
      </c>
      <c r="W242" s="6">
        <f>'Results - raw data ReCiPe (I)'!AX105*$AC$211</f>
        <v>6.6379960025257579E-9</v>
      </c>
      <c r="X242" s="6">
        <f>'Results - raw data ReCiPe (I)'!AY105*$AC$211</f>
        <v>6.6356976119592956E-9</v>
      </c>
      <c r="Y242" s="6">
        <f>'Results - raw data ReCiPe (I)'!AZ105*$AC$211</f>
        <v>6.6336468815317088E-9</v>
      </c>
      <c r="Z242" s="6">
        <f>'Results - raw data ReCiPe (I)'!BA105*$AC$211</f>
        <v>6.6318115312765135E-9</v>
      </c>
    </row>
    <row r="243" spans="1:26" outlineLevel="1" x14ac:dyDescent="0.35">
      <c r="A243" s="6" t="s">
        <v>759</v>
      </c>
      <c r="B243" s="6">
        <f>'Results - raw data ReCiPe (I)'!AC106</f>
        <v>2.0736000294618859E-7</v>
      </c>
      <c r="C243" s="6">
        <f>'Results - raw data ReCiPe (I)'!AD106</f>
        <v>2.0736000294618859E-7</v>
      </c>
      <c r="D243" s="6">
        <f>'Results - raw data ReCiPe (I)'!AE106</f>
        <v>2.0736000294618859E-7</v>
      </c>
      <c r="E243" s="6">
        <f>'Results - raw data ReCiPe (I)'!AF106</f>
        <v>2.0736000294618859E-7</v>
      </c>
      <c r="F243" s="6">
        <f>'Results - raw data ReCiPe (I)'!AG106</f>
        <v>2.0736000294618859E-7</v>
      </c>
      <c r="G243" s="6">
        <f>'Results - raw data ReCiPe (I)'!AH106</f>
        <v>2.0736000294618859E-7</v>
      </c>
      <c r="H243" s="6">
        <f>'Results - raw data ReCiPe (I)'!AI106</f>
        <v>2.0736000294618859E-7</v>
      </c>
      <c r="I243" s="6">
        <f>'Results - raw data ReCiPe (I)'!AJ106</f>
        <v>2.0736000294618859E-7</v>
      </c>
      <c r="J243" s="6">
        <f>'Results - raw data ReCiPe (I)'!AK106</f>
        <v>2.0736000294618859E-7</v>
      </c>
      <c r="K243" s="6">
        <f>'Results - raw data ReCiPe (I)'!AL106</f>
        <v>2.0736000294618859E-7</v>
      </c>
      <c r="L243" s="6">
        <f>'Results - raw data ReCiPe (I)'!AM106</f>
        <v>2.0736000294618859E-7</v>
      </c>
      <c r="M243" s="6">
        <f>'Results - raw data ReCiPe (I)'!AN106</f>
        <v>2.0736000294618859E-7</v>
      </c>
      <c r="N243" s="6">
        <f>'Results - raw data ReCiPe (I)'!AO106</f>
        <v>2.0736000294618859E-7</v>
      </c>
      <c r="O243" s="6">
        <f>'Results - raw data ReCiPe (I)'!AP106</f>
        <v>2.0736000294618859E-7</v>
      </c>
      <c r="P243" s="6">
        <f>'Results - raw data ReCiPe (I)'!AQ106</f>
        <v>2.0736000294618859E-7</v>
      </c>
      <c r="Q243" s="6">
        <f>'Results - raw data ReCiPe (I)'!AR106</f>
        <v>2.0736000294618859E-7</v>
      </c>
      <c r="R243" s="6">
        <f>'Results - raw data ReCiPe (I)'!AS106</f>
        <v>2.0736000294618859E-7</v>
      </c>
      <c r="S243" s="6">
        <f>'Results - raw data ReCiPe (I)'!AT106</f>
        <v>2.0736000294618859E-7</v>
      </c>
      <c r="T243" s="6">
        <f>'Results - raw data ReCiPe (I)'!AU106</f>
        <v>2.0736000294618859E-7</v>
      </c>
      <c r="U243" s="6">
        <f>'Results - raw data ReCiPe (I)'!AV106</f>
        <v>2.0736000294618859E-7</v>
      </c>
      <c r="V243" s="6">
        <f>'Results - raw data ReCiPe (I)'!AW106</f>
        <v>2.0736000294618859E-7</v>
      </c>
      <c r="W243" s="6">
        <f>'Results - raw data ReCiPe (I)'!AX106</f>
        <v>2.0736000294618859E-7</v>
      </c>
      <c r="X243" s="6">
        <f>'Results - raw data ReCiPe (I)'!AY106</f>
        <v>2.0736000294618859E-7</v>
      </c>
      <c r="Y243" s="6">
        <f>'Results - raw data ReCiPe (I)'!AZ106</f>
        <v>2.0736000294618859E-7</v>
      </c>
      <c r="Z243" s="6">
        <f>'Results - raw data ReCiPe (I)'!BA106</f>
        <v>2.0736000294618859E-7</v>
      </c>
    </row>
    <row r="244" spans="1:26" outlineLevel="1" x14ac:dyDescent="0.35">
      <c r="A244" s="6" t="s">
        <v>760</v>
      </c>
      <c r="B244" s="6">
        <f>150000*($AC$211*'Results - raw data ReCiPe (I)'!AC128+(1-$AC$211)*'Results - raw data ReCiPe (I)'!AC129)</f>
        <v>2.6941434111967001E-5</v>
      </c>
      <c r="C244" s="6">
        <f>150000*($AC$211*'Results - raw data ReCiPe (I)'!AD128+(1-$AC$211)*'Results - raw data ReCiPe (I)'!AD129)</f>
        <v>2.512389198956247E-5</v>
      </c>
      <c r="D244" s="6">
        <f>150000*($AC$211*'Results - raw data ReCiPe (I)'!AE128+(1-$AC$211)*'Results - raw data ReCiPe (I)'!AE129)</f>
        <v>2.3290763120734815E-5</v>
      </c>
      <c r="E244" s="6">
        <f>150000*($AC$211*'Results - raw data ReCiPe (I)'!AF128+(1-$AC$211)*'Results - raw data ReCiPe (I)'!AF129)</f>
        <v>2.1375740188192397E-5</v>
      </c>
      <c r="F244" s="6">
        <f>150000*($AC$211*'Results - raw data ReCiPe (I)'!AG128+(1-$AC$211)*'Results - raw data ReCiPe (I)'!AG129)</f>
        <v>1.9507786719211245E-5</v>
      </c>
      <c r="G244" s="6">
        <f>150000*($AC$211*'Results - raw data ReCiPe (I)'!AH128+(1-$AC$211)*'Results - raw data ReCiPe (I)'!AH129)</f>
        <v>1.7626765175449088E-5</v>
      </c>
      <c r="H244" s="6">
        <f>150000*($AC$211*'Results - raw data ReCiPe (I)'!AI128+(1-$AC$211)*'Results - raw data ReCiPe (I)'!AI129)</f>
        <v>1.820745036538787E-5</v>
      </c>
      <c r="I244" s="6">
        <f>150000*($AC$211*'Results - raw data ReCiPe (I)'!AJ128+(1-$AC$211)*'Results - raw data ReCiPe (I)'!AJ129)</f>
        <v>1.8785318325581122E-5</v>
      </c>
      <c r="J244" s="6">
        <f>150000*($AC$211*'Results - raw data ReCiPe (I)'!AK128+(1-$AC$211)*'Results - raw data ReCiPe (I)'!AK129)</f>
        <v>1.9289045025195257E-5</v>
      </c>
      <c r="K244" s="6">
        <f>150000*($AC$211*'Results - raw data ReCiPe (I)'!AL128+(1-$AC$211)*'Results - raw data ReCiPe (I)'!AL129)</f>
        <v>1.985627771329135E-5</v>
      </c>
      <c r="L244" s="6">
        <f>150000*($AC$211*'Results - raw data ReCiPe (I)'!AM128+(1-$AC$211)*'Results - raw data ReCiPe (I)'!AM129)</f>
        <v>2.0420524471612486E-5</v>
      </c>
      <c r="M244" s="6">
        <f>150000*($AC$211*'Results - raw data ReCiPe (I)'!AN128+(1-$AC$211)*'Results - raw data ReCiPe (I)'!AN129)</f>
        <v>2.067611966885055E-5</v>
      </c>
      <c r="N244" s="6">
        <f>150000*($AC$211*'Results - raw data ReCiPe (I)'!AO128+(1-$AC$211)*'Results - raw data ReCiPe (I)'!AO129)</f>
        <v>2.0929119340551075E-5</v>
      </c>
      <c r="O244" s="6">
        <f>150000*($AC$211*'Results - raw data ReCiPe (I)'!AP128+(1-$AC$211)*'Results - raw data ReCiPe (I)'!AP129)</f>
        <v>2.1153489989085671E-5</v>
      </c>
      <c r="P244" s="6">
        <f>150000*($AC$211*'Results - raw data ReCiPe (I)'!AQ128+(1-$AC$211)*'Results - raw data ReCiPe (I)'!AQ129)</f>
        <v>2.1392411772209135E-5</v>
      </c>
      <c r="Q244" s="6">
        <f>150000*($AC$211*'Results - raw data ReCiPe (I)'!AR128+(1-$AC$211)*'Results - raw data ReCiPe (I)'!AR129)</f>
        <v>2.1625875642624995E-5</v>
      </c>
      <c r="R244" s="6">
        <f>150000*($AC$211*'Results - raw data ReCiPe (I)'!AS128+(1-$AC$211)*'Results - raw data ReCiPe (I)'!AS129)</f>
        <v>2.1227585160061999E-5</v>
      </c>
      <c r="S244" s="6">
        <f>150000*($AC$211*'Results - raw data ReCiPe (I)'!AT128+(1-$AC$211)*'Results - raw data ReCiPe (I)'!AT129)</f>
        <v>2.0838061517359098E-5</v>
      </c>
      <c r="T244" s="6">
        <f>150000*($AC$211*'Results - raw data ReCiPe (I)'!AU128+(1-$AC$211)*'Results - raw data ReCiPe (I)'!AU129)</f>
        <v>2.0434592551563621E-5</v>
      </c>
      <c r="U244" s="6">
        <f>150000*($AC$211*'Results - raw data ReCiPe (I)'!AV128+(1-$AC$211)*'Results - raw data ReCiPe (I)'!AV129)</f>
        <v>2.0059519212970882E-5</v>
      </c>
      <c r="V244" s="6">
        <f>150000*($AC$211*'Results - raw data ReCiPe (I)'!AW128+(1-$AC$211)*'Results - raw data ReCiPe (I)'!AW129)</f>
        <v>1.9684246489004029E-5</v>
      </c>
      <c r="W244" s="6">
        <f>150000*($AC$211*'Results - raw data ReCiPe (I)'!AX128+(1-$AC$211)*'Results - raw data ReCiPe (I)'!AX129)</f>
        <v>2.040983853576798E-5</v>
      </c>
      <c r="X244" s="6">
        <f>150000*($AC$211*'Results - raw data ReCiPe (I)'!AY128+(1-$AC$211)*'Results - raw data ReCiPe (I)'!AY129)</f>
        <v>2.0409132297694024E-5</v>
      </c>
      <c r="Y244" s="6">
        <f>150000*($AC$211*'Results - raw data ReCiPe (I)'!AZ128+(1-$AC$211)*'Results - raw data ReCiPe (I)'!AZ129)</f>
        <v>2.0409486285679273E-5</v>
      </c>
      <c r="Z244" s="6">
        <f>150000*($AC$211*'Results - raw data ReCiPe (I)'!BA128+(1-$AC$211)*'Results - raw data ReCiPe (I)'!BA129)</f>
        <v>2.0410784388366403E-5</v>
      </c>
    </row>
    <row r="245" spans="1:26" outlineLevel="1" x14ac:dyDescent="0.35">
      <c r="A245" s="23" t="s">
        <v>125</v>
      </c>
      <c r="B245" s="17">
        <f>SUM(B214:B244)</f>
        <v>1.2409319712182809E-4</v>
      </c>
      <c r="C245" s="17">
        <f t="shared" ref="C245:Z245" si="29">SUM(C214:C244)</f>
        <v>2.6878093900000608E-5</v>
      </c>
      <c r="D245" s="17">
        <f t="shared" si="29"/>
        <v>2.502581305127914E-5</v>
      </c>
      <c r="E245" s="17">
        <f t="shared" si="29"/>
        <v>2.3080493163437214E-5</v>
      </c>
      <c r="F245" s="17">
        <f t="shared" si="29"/>
        <v>2.1191554412938092E-5</v>
      </c>
      <c r="G245" s="17">
        <f t="shared" si="29"/>
        <v>1.9288720634741234E-5</v>
      </c>
      <c r="H245" s="17">
        <f t="shared" si="29"/>
        <v>1.9874119843909285E-5</v>
      </c>
      <c r="I245" s="17">
        <f t="shared" si="29"/>
        <v>2.0456310711508685E-5</v>
      </c>
      <c r="J245" s="17">
        <f t="shared" si="29"/>
        <v>2.0957088799676016E-5</v>
      </c>
      <c r="K245" s="17">
        <f t="shared" si="29"/>
        <v>2.152782503134979E-5</v>
      </c>
      <c r="L245" s="17">
        <f t="shared" si="29"/>
        <v>2.2095295868363447E-5</v>
      </c>
      <c r="M245" s="17">
        <f t="shared" si="29"/>
        <v>2.2352702938292954E-5</v>
      </c>
      <c r="N245" s="17">
        <f t="shared" si="29"/>
        <v>2.2607515261864739E-5</v>
      </c>
      <c r="O245" s="17">
        <f t="shared" si="29"/>
        <v>2.2830923841549081E-5</v>
      </c>
      <c r="P245" s="17">
        <f t="shared" si="29"/>
        <v>2.3071574199663619E-5</v>
      </c>
      <c r="Q245" s="17">
        <f t="shared" si="29"/>
        <v>2.3306753307717359E-5</v>
      </c>
      <c r="R245" s="17">
        <f t="shared" si="29"/>
        <v>2.2907662392234117E-5</v>
      </c>
      <c r="S245" s="17">
        <f t="shared" si="29"/>
        <v>2.2517338737645492E-5</v>
      </c>
      <c r="T245" s="17">
        <f t="shared" si="29"/>
        <v>2.2110203934455813E-5</v>
      </c>
      <c r="U245" s="17">
        <f t="shared" si="29"/>
        <v>2.1734280429506072E-5</v>
      </c>
      <c r="V245" s="17">
        <f t="shared" si="29"/>
        <v>2.1358058857204315E-5</v>
      </c>
      <c r="W245" s="17">
        <f t="shared" si="29"/>
        <v>2.2101150952706041E-5</v>
      </c>
      <c r="X245" s="17">
        <f t="shared" si="29"/>
        <v>2.2102228929880637E-5</v>
      </c>
      <c r="Y245" s="17">
        <f t="shared" si="29"/>
        <v>2.2104346709944724E-5</v>
      </c>
      <c r="Z245" s="17">
        <f t="shared" si="29"/>
        <v>2.34663950188276E-5</v>
      </c>
    </row>
    <row r="246" spans="1:26" s="26" customFormat="1" outlineLevel="1" x14ac:dyDescent="0.35">
      <c r="A246" s="233"/>
    </row>
    <row r="247" spans="1:26" s="221" customFormat="1" ht="21" x14ac:dyDescent="0.5">
      <c r="A247" s="229" t="s">
        <v>851</v>
      </c>
    </row>
    <row r="248" spans="1:26" s="18" customFormat="1" ht="21" x14ac:dyDescent="0.5">
      <c r="A248" s="18" t="s">
        <v>72</v>
      </c>
    </row>
    <row r="249" spans="1:26" s="20" customFormat="1" outlineLevel="1" x14ac:dyDescent="0.35">
      <c r="A249" s="19" t="s">
        <v>788</v>
      </c>
    </row>
    <row r="250" spans="1:26" s="20" customFormat="1" outlineLevel="1" x14ac:dyDescent="0.35">
      <c r="A250" s="273" t="s">
        <v>775</v>
      </c>
      <c r="B250" s="20">
        <v>1</v>
      </c>
      <c r="C250" s="274" t="s">
        <v>787</v>
      </c>
    </row>
    <row r="251" spans="1:26" s="20" customFormat="1" outlineLevel="1" x14ac:dyDescent="0.35">
      <c r="A251" s="273" t="s">
        <v>781</v>
      </c>
      <c r="B251" s="20">
        <v>100000</v>
      </c>
      <c r="C251" s="20" t="s">
        <v>782</v>
      </c>
      <c r="E251" s="274"/>
    </row>
    <row r="252" spans="1:26" s="20" customFormat="1" outlineLevel="1" x14ac:dyDescent="0.35">
      <c r="A252" s="273" t="s">
        <v>783</v>
      </c>
      <c r="B252" s="20">
        <v>1500</v>
      </c>
      <c r="C252" s="20" t="s">
        <v>592</v>
      </c>
    </row>
    <row r="253" spans="1:26" s="20" customFormat="1" outlineLevel="1" x14ac:dyDescent="0.35">
      <c r="A253" s="273" t="s">
        <v>784</v>
      </c>
      <c r="B253" s="20">
        <v>8760</v>
      </c>
      <c r="C253" s="20" t="s">
        <v>785</v>
      </c>
    </row>
    <row r="254" spans="1:26" s="20" customFormat="1" outlineLevel="1" x14ac:dyDescent="0.35">
      <c r="A254" s="273"/>
    </row>
    <row r="255" spans="1:26" s="20" customFormat="1" outlineLevel="1" x14ac:dyDescent="0.35">
      <c r="A255" s="275" t="s">
        <v>786</v>
      </c>
      <c r="B255" s="275">
        <f>(B251*B252)/(B253*B250)</f>
        <v>17123.287671232876</v>
      </c>
      <c r="C255" s="275" t="s">
        <v>749</v>
      </c>
    </row>
    <row r="256" spans="1:26" s="20" customFormat="1" outlineLevel="1" x14ac:dyDescent="0.35">
      <c r="A256" s="19"/>
    </row>
    <row r="257" spans="1:31" s="20" customFormat="1" outlineLevel="1" x14ac:dyDescent="0.35">
      <c r="A257" s="19" t="s">
        <v>793</v>
      </c>
    </row>
    <row r="258" spans="1:31" s="20" customFormat="1" outlineLevel="1" x14ac:dyDescent="0.35">
      <c r="A258" s="273" t="s">
        <v>789</v>
      </c>
      <c r="B258" s="20">
        <f>SUM('Results - raw data ReCiPe (I)'!AC136:AC137)+'Results - raw data ReCiPe (I)'!AC140+SUM('Results - raw data ReCiPe (I)'!AC138:AC139)*AC267</f>
        <v>5.6707519538683677E-6</v>
      </c>
      <c r="C258" s="20" t="s">
        <v>919</v>
      </c>
    </row>
    <row r="259" spans="1:31" s="20" customFormat="1" outlineLevel="1" x14ac:dyDescent="0.35">
      <c r="A259" s="20" t="s">
        <v>792</v>
      </c>
      <c r="B259" s="20">
        <f>B251*AC265</f>
        <v>50000</v>
      </c>
      <c r="C259" s="274" t="s">
        <v>795</v>
      </c>
    </row>
    <row r="260" spans="1:31" s="20" customFormat="1" outlineLevel="1" x14ac:dyDescent="0.35">
      <c r="A260" s="20" t="s">
        <v>791</v>
      </c>
      <c r="B260" s="20">
        <f>(B258*AC267*B255)/(B259*AC266)*(AC266/AC268)</f>
        <v>5.8261150210976377E-7</v>
      </c>
      <c r="C260" s="20" t="s">
        <v>920</v>
      </c>
      <c r="E260" s="274" t="s">
        <v>796</v>
      </c>
    </row>
    <row r="261" spans="1:31" s="20" customFormat="1" outlineLevel="1" x14ac:dyDescent="0.35">
      <c r="A261" s="19"/>
    </row>
    <row r="262" spans="1:31" s="16" customFormat="1" outlineLevel="1" x14ac:dyDescent="0.35">
      <c r="A262" s="21"/>
      <c r="AB262" s="15" t="s">
        <v>143</v>
      </c>
      <c r="AC262" s="16">
        <f>0.000000000532+0.0000000000000145</f>
        <v>5.3201449999999999E-10</v>
      </c>
      <c r="AD262" s="16" t="s">
        <v>916</v>
      </c>
      <c r="AE262" s="15" t="s">
        <v>714</v>
      </c>
    </row>
    <row r="263" spans="1:31" s="16" customFormat="1" outlineLevel="1" x14ac:dyDescent="0.35">
      <c r="A263" s="22" t="s">
        <v>917</v>
      </c>
      <c r="AC263" s="16">
        <f>AC262*1000</f>
        <v>5.3201450000000003E-7</v>
      </c>
      <c r="AD263" s="16" t="s">
        <v>918</v>
      </c>
    </row>
    <row r="264" spans="1:31" s="16" customFormat="1" outlineLevel="1" x14ac:dyDescent="0.35">
      <c r="A264" s="22"/>
      <c r="AB264" s="16" t="s">
        <v>127</v>
      </c>
      <c r="AC264" s="276">
        <f>100*AC265</f>
        <v>50</v>
      </c>
      <c r="AD264" s="16" t="s">
        <v>128</v>
      </c>
    </row>
    <row r="265" spans="1:31" s="16" customFormat="1" outlineLevel="1" x14ac:dyDescent="0.35">
      <c r="A265" s="230"/>
      <c r="AB265" s="16" t="s">
        <v>776</v>
      </c>
      <c r="AC265" s="276">
        <v>0.5</v>
      </c>
    </row>
    <row r="266" spans="1:31" s="16" customFormat="1" outlineLevel="1" x14ac:dyDescent="0.35">
      <c r="A266" s="230"/>
      <c r="AB266" s="16" t="s">
        <v>129</v>
      </c>
      <c r="AC266" s="276">
        <v>25</v>
      </c>
      <c r="AD266" s="16" t="s">
        <v>130</v>
      </c>
    </row>
    <row r="267" spans="1:31" s="16" customFormat="1" outlineLevel="1" x14ac:dyDescent="0.35">
      <c r="A267" s="230"/>
      <c r="AB267" s="16" t="s">
        <v>777</v>
      </c>
      <c r="AC267" s="276">
        <v>6</v>
      </c>
      <c r="AD267" s="16" t="s">
        <v>779</v>
      </c>
    </row>
    <row r="268" spans="1:31" s="16" customFormat="1" outlineLevel="1" x14ac:dyDescent="0.35">
      <c r="A268" s="22"/>
      <c r="AB268" s="16" t="s">
        <v>778</v>
      </c>
      <c r="AC268" s="276">
        <v>20</v>
      </c>
      <c r="AD268" s="16" t="s">
        <v>130</v>
      </c>
    </row>
    <row r="269" spans="1:31" s="16" customFormat="1" outlineLevel="1" x14ac:dyDescent="0.35">
      <c r="A269" s="22"/>
      <c r="AB269" s="16" t="s">
        <v>780</v>
      </c>
      <c r="AC269" s="276">
        <f>B255</f>
        <v>17123.287671232876</v>
      </c>
      <c r="AD269" s="16" t="s">
        <v>749</v>
      </c>
    </row>
    <row r="270" spans="1:31" s="16" customFormat="1" outlineLevel="1" x14ac:dyDescent="0.35">
      <c r="A270" s="22"/>
    </row>
    <row r="271" spans="1:31" s="16" customFormat="1" outlineLevel="1" x14ac:dyDescent="0.35">
      <c r="A271" s="22"/>
      <c r="AB271" s="16" t="s">
        <v>798</v>
      </c>
      <c r="AC271" s="16">
        <v>0.25</v>
      </c>
    </row>
    <row r="272" spans="1:31" s="16" customFormat="1" outlineLevel="1" x14ac:dyDescent="0.35">
      <c r="A272" s="22"/>
      <c r="AB272" s="16" t="s">
        <v>799</v>
      </c>
      <c r="AC272" s="16">
        <v>0.9</v>
      </c>
    </row>
    <row r="273" spans="1:53" outlineLevel="1" x14ac:dyDescent="0.35">
      <c r="B273" s="25">
        <v>2030</v>
      </c>
      <c r="C273" s="25">
        <v>2031</v>
      </c>
      <c r="D273" s="25">
        <v>2032</v>
      </c>
      <c r="E273" s="25">
        <v>2033</v>
      </c>
      <c r="F273" s="25">
        <v>2034</v>
      </c>
      <c r="G273" s="25">
        <v>2035</v>
      </c>
      <c r="H273" s="25">
        <v>2036</v>
      </c>
      <c r="I273" s="25">
        <v>2037</v>
      </c>
      <c r="J273" s="25">
        <v>2038</v>
      </c>
      <c r="K273" s="25">
        <v>2039</v>
      </c>
      <c r="L273" s="25">
        <v>2040</v>
      </c>
      <c r="M273" s="25">
        <v>2041</v>
      </c>
      <c r="N273" s="25">
        <v>2042</v>
      </c>
      <c r="O273" s="25">
        <v>2043</v>
      </c>
      <c r="P273" s="25">
        <v>2044</v>
      </c>
      <c r="Q273" s="25">
        <v>2045</v>
      </c>
      <c r="R273" s="25">
        <v>2046</v>
      </c>
      <c r="S273" s="25">
        <v>2047</v>
      </c>
      <c r="T273" s="25">
        <v>2048</v>
      </c>
      <c r="U273" s="25">
        <v>2049</v>
      </c>
      <c r="V273" s="25">
        <v>2050</v>
      </c>
      <c r="W273" s="25">
        <v>2051</v>
      </c>
      <c r="X273" s="25">
        <v>2052</v>
      </c>
      <c r="Y273" s="25">
        <v>2053</v>
      </c>
      <c r="Z273" s="25">
        <v>2054</v>
      </c>
      <c r="AC273" s="25">
        <v>2030</v>
      </c>
      <c r="AD273" s="25">
        <v>2031</v>
      </c>
      <c r="AE273" s="25">
        <v>2032</v>
      </c>
      <c r="AF273" s="25">
        <v>2033</v>
      </c>
      <c r="AG273" s="25">
        <v>2034</v>
      </c>
      <c r="AH273" s="25">
        <v>2035</v>
      </c>
      <c r="AI273" s="25">
        <v>2036</v>
      </c>
      <c r="AJ273" s="25">
        <v>2037</v>
      </c>
      <c r="AK273" s="25">
        <v>2038</v>
      </c>
      <c r="AL273" s="25">
        <v>2039</v>
      </c>
      <c r="AM273" s="25">
        <v>2040</v>
      </c>
      <c r="AN273" s="25">
        <v>2041</v>
      </c>
      <c r="AO273" s="25">
        <v>2042</v>
      </c>
      <c r="AP273" s="25">
        <v>2043</v>
      </c>
      <c r="AQ273" s="25">
        <v>2044</v>
      </c>
      <c r="AR273" s="25">
        <v>2045</v>
      </c>
      <c r="AS273" s="25">
        <v>2046</v>
      </c>
      <c r="AT273" s="25">
        <v>2047</v>
      </c>
      <c r="AU273" s="25">
        <v>2048</v>
      </c>
      <c r="AV273" s="25">
        <v>2049</v>
      </c>
      <c r="AW273" s="25">
        <v>2050</v>
      </c>
      <c r="AX273" s="25">
        <v>2051</v>
      </c>
      <c r="AY273" s="25">
        <v>2052</v>
      </c>
      <c r="AZ273" s="25">
        <v>2053</v>
      </c>
      <c r="BA273" s="25">
        <v>2054</v>
      </c>
    </row>
    <row r="274" spans="1:53" outlineLevel="1" x14ac:dyDescent="0.35">
      <c r="A274" s="6" t="s">
        <v>21</v>
      </c>
      <c r="B274" s="6">
        <f t="shared" ref="B274:B285" si="30">B10</f>
        <v>1.7330854305452959E-6</v>
      </c>
      <c r="AB274" s="6" t="s">
        <v>117</v>
      </c>
      <c r="AC274" s="6">
        <f>SUM(B274:B285)+B287</f>
        <v>1.018863603566551E-4</v>
      </c>
    </row>
    <row r="275" spans="1:53" outlineLevel="1" x14ac:dyDescent="0.35">
      <c r="A275" s="6" t="s">
        <v>23</v>
      </c>
      <c r="B275" s="6">
        <f t="shared" si="30"/>
        <v>3.6963854350299402E-6</v>
      </c>
      <c r="AB275" s="6" t="s">
        <v>118</v>
      </c>
      <c r="AC275" s="6">
        <f>B286</f>
        <v>2.7910868300376474E-6</v>
      </c>
    </row>
    <row r="276" spans="1:53" outlineLevel="1" x14ac:dyDescent="0.35">
      <c r="A276" s="6" t="s">
        <v>26</v>
      </c>
      <c r="B276" s="6">
        <f t="shared" si="30"/>
        <v>8.1543373668989961E-6</v>
      </c>
      <c r="AB276" s="6" t="s">
        <v>119</v>
      </c>
      <c r="BA276" s="6">
        <f>SUM(Z288:Z299)</f>
        <v>1.2388121871278886E-6</v>
      </c>
    </row>
    <row r="277" spans="1:53" outlineLevel="1" x14ac:dyDescent="0.35">
      <c r="A277" s="6" t="s">
        <v>28</v>
      </c>
      <c r="B277" s="6">
        <f t="shared" si="30"/>
        <v>5.9818298247525386E-6</v>
      </c>
      <c r="AB277" s="6" t="s">
        <v>120</v>
      </c>
      <c r="BA277" s="6">
        <f>Z300</f>
        <v>1.9497943060051223E-8</v>
      </c>
    </row>
    <row r="278" spans="1:53" outlineLevel="1" x14ac:dyDescent="0.35">
      <c r="A278" s="6" t="s">
        <v>29</v>
      </c>
      <c r="B278" s="6">
        <f t="shared" si="30"/>
        <v>5.5602541263126201E-6</v>
      </c>
      <c r="AB278" s="6" t="s">
        <v>121</v>
      </c>
      <c r="AC278" s="6">
        <f>B301</f>
        <v>1.8923827854892541E-6</v>
      </c>
      <c r="AF278" s="6">
        <f>E301</f>
        <v>1.875504080673279E-6</v>
      </c>
      <c r="AI278" s="6">
        <f>H301</f>
        <v>1.8735069041771709E-6</v>
      </c>
      <c r="AL278" s="6">
        <f>K301</f>
        <v>1.879003812114612E-6</v>
      </c>
      <c r="AO278" s="6">
        <f>N301</f>
        <v>1.8953729876566431E-6</v>
      </c>
      <c r="AR278" s="6">
        <f>Q301</f>
        <v>1.91292243317761E-6</v>
      </c>
      <c r="AU278" s="6">
        <f>T301</f>
        <v>1.8919742403575121E-6</v>
      </c>
      <c r="AX278" s="6">
        <f>W301</f>
        <v>1.884095534967196E-6</v>
      </c>
      <c r="BA278" s="6">
        <f>Z301</f>
        <v>1.8435821555876251E-6</v>
      </c>
    </row>
    <row r="279" spans="1:53" outlineLevel="1" x14ac:dyDescent="0.35">
      <c r="A279" s="6" t="s">
        <v>31</v>
      </c>
      <c r="B279" s="6">
        <f t="shared" si="30"/>
        <v>4.5077788535705001E-6</v>
      </c>
      <c r="AB279" s="6" t="s">
        <v>797</v>
      </c>
      <c r="AC279" s="6">
        <f>B305</f>
        <v>2.9130575105488189E-5</v>
      </c>
      <c r="AD279" s="6">
        <f t="shared" ref="AD279:BA279" si="31">C305</f>
        <v>2.9130575105488189E-5</v>
      </c>
      <c r="AE279" s="6">
        <f t="shared" si="31"/>
        <v>2.9130575105488189E-5</v>
      </c>
      <c r="AF279" s="6">
        <f t="shared" si="31"/>
        <v>2.9130575105488189E-5</v>
      </c>
      <c r="AG279" s="6">
        <f t="shared" si="31"/>
        <v>2.9130575105488189E-5</v>
      </c>
      <c r="AH279" s="6">
        <f t="shared" si="31"/>
        <v>2.9130575105488189E-5</v>
      </c>
      <c r="AI279" s="6">
        <f t="shared" si="31"/>
        <v>2.9130575105488189E-5</v>
      </c>
      <c r="AJ279" s="6">
        <f t="shared" si="31"/>
        <v>2.9130575105488189E-5</v>
      </c>
      <c r="AK279" s="6">
        <f t="shared" si="31"/>
        <v>2.9130575105488189E-5</v>
      </c>
      <c r="AL279" s="6">
        <f t="shared" si="31"/>
        <v>2.9130575105488189E-5</v>
      </c>
      <c r="AM279" s="6">
        <f t="shared" si="31"/>
        <v>2.9130575105488189E-5</v>
      </c>
      <c r="AN279" s="6">
        <f t="shared" si="31"/>
        <v>2.9130575105488189E-5</v>
      </c>
      <c r="AO279" s="6">
        <f t="shared" si="31"/>
        <v>2.9130575105488189E-5</v>
      </c>
      <c r="AP279" s="6">
        <f t="shared" si="31"/>
        <v>2.9130575105488189E-5</v>
      </c>
      <c r="AQ279" s="6">
        <f t="shared" si="31"/>
        <v>2.9130575105488189E-5</v>
      </c>
      <c r="AR279" s="6">
        <f t="shared" si="31"/>
        <v>2.9130575105488189E-5</v>
      </c>
      <c r="AS279" s="6">
        <f t="shared" si="31"/>
        <v>2.9130575105488189E-5</v>
      </c>
      <c r="AT279" s="6">
        <f t="shared" si="31"/>
        <v>2.9130575105488189E-5</v>
      </c>
      <c r="AU279" s="6">
        <f t="shared" si="31"/>
        <v>2.9130575105488189E-5</v>
      </c>
      <c r="AV279" s="6">
        <f t="shared" si="31"/>
        <v>2.9130575105488189E-5</v>
      </c>
      <c r="AW279" s="6">
        <f t="shared" si="31"/>
        <v>2.9130575105488189E-5</v>
      </c>
      <c r="AX279" s="6">
        <f t="shared" si="31"/>
        <v>2.9130575105488189E-5</v>
      </c>
      <c r="AY279" s="6">
        <f t="shared" si="31"/>
        <v>2.9130575105488189E-5</v>
      </c>
      <c r="AZ279" s="6">
        <f t="shared" si="31"/>
        <v>2.9130575105488189E-5</v>
      </c>
      <c r="BA279" s="6">
        <f t="shared" si="31"/>
        <v>2.9130575105488189E-5</v>
      </c>
    </row>
    <row r="280" spans="1:53" outlineLevel="1" x14ac:dyDescent="0.35">
      <c r="A280" s="6" t="s">
        <v>34</v>
      </c>
      <c r="B280" s="6">
        <f t="shared" si="30"/>
        <v>3.2733374989828449E-6</v>
      </c>
      <c r="AB280" s="6" t="s">
        <v>122</v>
      </c>
      <c r="AC280" s="6">
        <f t="shared" ref="AC280:BA280" si="32">B304+B303</f>
        <v>2.0906229052966535E-5</v>
      </c>
      <c r="AD280" s="6">
        <f t="shared" si="32"/>
        <v>2.0891215398462623E-5</v>
      </c>
      <c r="AE280" s="6">
        <f t="shared" si="32"/>
        <v>2.0876487215873431E-5</v>
      </c>
      <c r="AF280" s="6">
        <f t="shared" si="32"/>
        <v>2.0818494228790935E-5</v>
      </c>
      <c r="AG280" s="6">
        <f t="shared" si="32"/>
        <v>2.0804231787050476E-5</v>
      </c>
      <c r="AH280" s="6">
        <f t="shared" si="32"/>
        <v>2.0790146450264028E-5</v>
      </c>
      <c r="AI280" s="6">
        <f t="shared" si="32"/>
        <v>2.0792016491816549E-5</v>
      </c>
      <c r="AJ280" s="6">
        <f t="shared" si="32"/>
        <v>2.0794966868218593E-5</v>
      </c>
      <c r="AK280" s="6">
        <f t="shared" si="32"/>
        <v>2.0773370067869871E-5</v>
      </c>
      <c r="AL280" s="6">
        <f t="shared" si="32"/>
        <v>2.07778307311278E-5</v>
      </c>
      <c r="AM280" s="6">
        <f t="shared" si="32"/>
        <v>2.0782946431924529E-5</v>
      </c>
      <c r="AN280" s="6">
        <f t="shared" si="32"/>
        <v>2.0805042328118442E-5</v>
      </c>
      <c r="AO280" s="6">
        <f t="shared" si="32"/>
        <v>2.0827560320117486E-5</v>
      </c>
      <c r="AP280" s="6">
        <f t="shared" si="32"/>
        <v>2.0843955367711764E-5</v>
      </c>
      <c r="AQ280" s="6">
        <f t="shared" si="32"/>
        <v>2.0867608624080745E-5</v>
      </c>
      <c r="AR280" s="6">
        <f t="shared" si="32"/>
        <v>2.089244749553118E-5</v>
      </c>
      <c r="AS280" s="6">
        <f t="shared" si="32"/>
        <v>2.0873178745793691E-5</v>
      </c>
      <c r="AT280" s="6">
        <f t="shared" si="32"/>
        <v>2.0852973005624981E-5</v>
      </c>
      <c r="AU280" s="6">
        <f t="shared" si="32"/>
        <v>2.0823459388102608E-5</v>
      </c>
      <c r="AV280" s="6">
        <f t="shared" si="32"/>
        <v>2.0801643390384639E-5</v>
      </c>
      <c r="AW280" s="6">
        <f t="shared" si="32"/>
        <v>2.077915358664286E-5</v>
      </c>
      <c r="AX280" s="6">
        <f t="shared" si="32"/>
        <v>2.0891799826165711E-5</v>
      </c>
      <c r="AY280" s="6">
        <f t="shared" si="32"/>
        <v>2.0842998551455408E-5</v>
      </c>
      <c r="AZ280" s="6">
        <f t="shared" si="32"/>
        <v>2.0793473749786517E-5</v>
      </c>
      <c r="BA280" s="6">
        <f t="shared" si="32"/>
        <v>2.0743227740741092E-5</v>
      </c>
    </row>
    <row r="281" spans="1:53" outlineLevel="1" x14ac:dyDescent="0.35">
      <c r="A281" s="6" t="s">
        <v>36</v>
      </c>
      <c r="B281" s="6">
        <f t="shared" si="30"/>
        <v>2.976186156681013E-6</v>
      </c>
      <c r="AB281" s="6" t="s">
        <v>123</v>
      </c>
      <c r="AC281" s="6">
        <f t="shared" ref="AC281:BA281" si="33">B302</f>
        <v>3.5209824981427844E-6</v>
      </c>
      <c r="AD281" s="6">
        <f t="shared" si="33"/>
        <v>3.4961386651340047E-6</v>
      </c>
      <c r="AE281" s="6">
        <f t="shared" si="33"/>
        <v>3.4712778716291841E-6</v>
      </c>
      <c r="AF281" s="6">
        <f t="shared" si="33"/>
        <v>3.444203366729924E-6</v>
      </c>
      <c r="AG281" s="6">
        <f t="shared" si="33"/>
        <v>3.4192257737182937E-6</v>
      </c>
      <c r="AH281" s="6">
        <f t="shared" si="33"/>
        <v>3.3942274583702295E-6</v>
      </c>
      <c r="AI281" s="6">
        <f t="shared" si="33"/>
        <v>3.5837531305466881E-6</v>
      </c>
      <c r="AJ281" s="6">
        <f t="shared" si="33"/>
        <v>3.7725738682693804E-6</v>
      </c>
      <c r="AK281" s="6">
        <f t="shared" si="33"/>
        <v>3.9592736574514813E-6</v>
      </c>
      <c r="AL281" s="6">
        <f t="shared" si="33"/>
        <v>4.1469255506252092E-6</v>
      </c>
      <c r="AM281" s="6">
        <f t="shared" si="33"/>
        <v>4.3339072074058208E-6</v>
      </c>
      <c r="AN281" s="6">
        <f t="shared" si="33"/>
        <v>4.7160157638259426E-6</v>
      </c>
      <c r="AO281" s="6">
        <f t="shared" si="33"/>
        <v>5.0989329674533653E-6</v>
      </c>
      <c r="AP281" s="6">
        <f t="shared" si="33"/>
        <v>5.482439314121785E-6</v>
      </c>
      <c r="AQ281" s="6">
        <f t="shared" si="33"/>
        <v>5.8673559700819395E-6</v>
      </c>
      <c r="AR281" s="6">
        <f t="shared" si="33"/>
        <v>6.2534552573479596E-6</v>
      </c>
      <c r="AS281" s="6">
        <f t="shared" si="33"/>
        <v>6.2639806935579506E-6</v>
      </c>
      <c r="AT281" s="6">
        <f t="shared" si="33"/>
        <v>6.2754394603096097E-6</v>
      </c>
      <c r="AU281" s="6">
        <f t="shared" si="33"/>
        <v>6.2873190421977544E-6</v>
      </c>
      <c r="AV281" s="6">
        <f t="shared" si="33"/>
        <v>6.3003358582758904E-6</v>
      </c>
      <c r="AW281" s="6">
        <f t="shared" si="33"/>
        <v>6.3139940529455853E-6</v>
      </c>
      <c r="AX281" s="6">
        <f t="shared" si="33"/>
        <v>6.2260458017594699E-6</v>
      </c>
      <c r="AY281" s="6">
        <f t="shared" si="33"/>
        <v>6.0326729859895755E-6</v>
      </c>
      <c r="AZ281" s="6">
        <f t="shared" si="33"/>
        <v>5.8393467549674397E-6</v>
      </c>
      <c r="BA281" s="6">
        <f t="shared" si="33"/>
        <v>5.6460643666559505E-6</v>
      </c>
    </row>
    <row r="282" spans="1:53" outlineLevel="1" x14ac:dyDescent="0.35">
      <c r="A282" s="6" t="s">
        <v>38</v>
      </c>
      <c r="B282" s="6">
        <f t="shared" si="30"/>
        <v>1.164717356496513E-5</v>
      </c>
      <c r="AB282" s="6" t="s">
        <v>124</v>
      </c>
      <c r="AC282" s="6">
        <f>-$AC$264*$AC$263</f>
        <v>-2.6600725000000003E-5</v>
      </c>
      <c r="AD282" s="6">
        <f t="shared" ref="AD282:BA282" si="34">-$AC$264*$AC$263</f>
        <v>-2.6600725000000003E-5</v>
      </c>
      <c r="AE282" s="6">
        <f t="shared" si="34"/>
        <v>-2.6600725000000003E-5</v>
      </c>
      <c r="AF282" s="6">
        <f t="shared" si="34"/>
        <v>-2.6600725000000003E-5</v>
      </c>
      <c r="AG282" s="6">
        <f t="shared" si="34"/>
        <v>-2.6600725000000003E-5</v>
      </c>
      <c r="AH282" s="6">
        <f t="shared" si="34"/>
        <v>-2.6600725000000003E-5</v>
      </c>
      <c r="AI282" s="6">
        <f t="shared" si="34"/>
        <v>-2.6600725000000003E-5</v>
      </c>
      <c r="AJ282" s="6">
        <f t="shared" si="34"/>
        <v>-2.6600725000000003E-5</v>
      </c>
      <c r="AK282" s="6">
        <f t="shared" si="34"/>
        <v>-2.6600725000000003E-5</v>
      </c>
      <c r="AL282" s="6">
        <f t="shared" si="34"/>
        <v>-2.6600725000000003E-5</v>
      </c>
      <c r="AM282" s="6">
        <f t="shared" si="34"/>
        <v>-2.6600725000000003E-5</v>
      </c>
      <c r="AN282" s="6">
        <f t="shared" si="34"/>
        <v>-2.6600725000000003E-5</v>
      </c>
      <c r="AO282" s="6">
        <f t="shared" si="34"/>
        <v>-2.6600725000000003E-5</v>
      </c>
      <c r="AP282" s="6">
        <f t="shared" si="34"/>
        <v>-2.6600725000000003E-5</v>
      </c>
      <c r="AQ282" s="6">
        <f t="shared" si="34"/>
        <v>-2.6600725000000003E-5</v>
      </c>
      <c r="AR282" s="6">
        <f t="shared" si="34"/>
        <v>-2.6600725000000003E-5</v>
      </c>
      <c r="AS282" s="6">
        <f t="shared" si="34"/>
        <v>-2.6600725000000003E-5</v>
      </c>
      <c r="AT282" s="6">
        <f t="shared" si="34"/>
        <v>-2.6600725000000003E-5</v>
      </c>
      <c r="AU282" s="6">
        <f t="shared" si="34"/>
        <v>-2.6600725000000003E-5</v>
      </c>
      <c r="AV282" s="6">
        <f t="shared" si="34"/>
        <v>-2.6600725000000003E-5</v>
      </c>
      <c r="AW282" s="6">
        <f t="shared" si="34"/>
        <v>-2.6600725000000003E-5</v>
      </c>
      <c r="AX282" s="6">
        <f t="shared" si="34"/>
        <v>-2.6600725000000003E-5</v>
      </c>
      <c r="AY282" s="6">
        <f t="shared" si="34"/>
        <v>-2.6600725000000003E-5</v>
      </c>
      <c r="AZ282" s="6">
        <f t="shared" si="34"/>
        <v>-2.6600725000000003E-5</v>
      </c>
      <c r="BA282" s="6">
        <f t="shared" si="34"/>
        <v>-2.6600725000000003E-5</v>
      </c>
    </row>
    <row r="283" spans="1:53" outlineLevel="1" x14ac:dyDescent="0.35">
      <c r="A283" s="6" t="s">
        <v>39</v>
      </c>
      <c r="B283" s="6">
        <f t="shared" si="30"/>
        <v>4.5519703438415077E-5</v>
      </c>
      <c r="AB283" s="23" t="s">
        <v>125</v>
      </c>
      <c r="AC283" s="17">
        <f t="shared" ref="AC283:BA283" si="35">SUM(AC274:AC282)</f>
        <v>1.3352689162877951E-4</v>
      </c>
      <c r="AD283" s="17">
        <f t="shared" si="35"/>
        <v>2.6917204169084813E-5</v>
      </c>
      <c r="AE283" s="17">
        <f t="shared" si="35"/>
        <v>2.6877615192990805E-5</v>
      </c>
      <c r="AF283" s="17">
        <f t="shared" si="35"/>
        <v>2.8668051781682323E-5</v>
      </c>
      <c r="AG283" s="17">
        <f t="shared" si="35"/>
        <v>2.6753307666256956E-5</v>
      </c>
      <c r="AH283" s="17">
        <f t="shared" si="35"/>
        <v>2.6714224014122443E-5</v>
      </c>
      <c r="AI283" s="17">
        <f t="shared" si="35"/>
        <v>2.8779126632028587E-5</v>
      </c>
      <c r="AJ283" s="17">
        <f t="shared" si="35"/>
        <v>2.7097390841976159E-5</v>
      </c>
      <c r="AK283" s="17">
        <f t="shared" si="35"/>
        <v>2.7262493830809545E-5</v>
      </c>
      <c r="AL283" s="17">
        <f t="shared" si="35"/>
        <v>2.9333610199355801E-5</v>
      </c>
      <c r="AM283" s="17">
        <f t="shared" si="35"/>
        <v>2.7646703744818533E-5</v>
      </c>
      <c r="AN283" s="17">
        <f t="shared" si="35"/>
        <v>2.805090819743257E-5</v>
      </c>
      <c r="AO283" s="17">
        <f t="shared" si="35"/>
        <v>3.0351716380715678E-5</v>
      </c>
      <c r="AP283" s="17">
        <f t="shared" si="35"/>
        <v>2.8856244787321733E-5</v>
      </c>
      <c r="AQ283" s="17">
        <f t="shared" si="35"/>
        <v>2.9264814699650868E-5</v>
      </c>
      <c r="AR283" s="17">
        <f t="shared" si="35"/>
        <v>3.1588675291544942E-5</v>
      </c>
      <c r="AS283" s="17">
        <f t="shared" si="35"/>
        <v>2.9667009544839829E-5</v>
      </c>
      <c r="AT283" s="17">
        <f t="shared" si="35"/>
        <v>2.9658262571422778E-5</v>
      </c>
      <c r="AU283" s="17">
        <f t="shared" si="35"/>
        <v>3.1532602776146063E-5</v>
      </c>
      <c r="AV283" s="17">
        <f t="shared" si="35"/>
        <v>2.963182935414871E-5</v>
      </c>
      <c r="AW283" s="17">
        <f t="shared" si="35"/>
        <v>2.9622997745076634E-5</v>
      </c>
      <c r="AX283" s="17">
        <f t="shared" si="35"/>
        <v>3.1531791268380564E-5</v>
      </c>
      <c r="AY283" s="17">
        <f t="shared" si="35"/>
        <v>2.9405521642933165E-5</v>
      </c>
      <c r="AZ283" s="17">
        <f t="shared" si="35"/>
        <v>2.9162670610242142E-5</v>
      </c>
      <c r="BA283" s="17">
        <f t="shared" si="35"/>
        <v>3.2021034498660788E-5</v>
      </c>
    </row>
    <row r="284" spans="1:53" outlineLevel="1" x14ac:dyDescent="0.35">
      <c r="A284" s="6" t="s">
        <v>41</v>
      </c>
      <c r="B284" s="6">
        <f t="shared" si="30"/>
        <v>4.1673679681720339E-7</v>
      </c>
    </row>
    <row r="285" spans="1:53" outlineLevel="1" x14ac:dyDescent="0.35">
      <c r="A285" s="6" t="s">
        <v>43</v>
      </c>
      <c r="B285" s="6">
        <f t="shared" si="30"/>
        <v>7.7351773873582404E-7</v>
      </c>
      <c r="AB285" s="272"/>
      <c r="AC285" s="272"/>
      <c r="AD285" s="272"/>
      <c r="AE285" s="272"/>
      <c r="AF285" s="272"/>
      <c r="AG285" s="272"/>
      <c r="AH285" s="272"/>
      <c r="AI285" s="272"/>
      <c r="AJ285" s="272"/>
      <c r="AK285" s="272"/>
      <c r="AL285" s="272"/>
      <c r="AM285" s="272"/>
      <c r="AN285" s="272"/>
      <c r="AO285" s="272"/>
      <c r="AP285" s="272"/>
      <c r="AQ285" s="272"/>
      <c r="AR285" s="272"/>
      <c r="AS285" s="272"/>
      <c r="AT285" s="272"/>
      <c r="AU285" s="272"/>
      <c r="AV285" s="272"/>
      <c r="AW285" s="272"/>
      <c r="AX285" s="272"/>
      <c r="AY285" s="272"/>
      <c r="AZ285" s="272"/>
      <c r="BA285" s="272"/>
    </row>
    <row r="286" spans="1:53" outlineLevel="1" x14ac:dyDescent="0.35">
      <c r="A286" s="6" t="s">
        <v>44</v>
      </c>
      <c r="B286" s="6">
        <f>B22*AC265</f>
        <v>2.7910868300376474E-6</v>
      </c>
      <c r="AB286" s="272"/>
      <c r="AC286" s="272"/>
      <c r="AD286" s="272"/>
      <c r="AE286" s="272"/>
      <c r="AF286" s="272"/>
      <c r="AG286" s="272"/>
      <c r="AH286" s="272"/>
      <c r="AI286" s="272"/>
      <c r="AJ286" s="272"/>
      <c r="AK286" s="272"/>
      <c r="AL286" s="272"/>
      <c r="AM286" s="272"/>
      <c r="AN286" s="272"/>
      <c r="AO286" s="272"/>
      <c r="AP286" s="272"/>
      <c r="AQ286" s="272"/>
      <c r="AR286" s="272"/>
      <c r="AS286" s="272"/>
      <c r="AT286" s="272"/>
      <c r="AU286" s="272"/>
      <c r="AV286" s="272"/>
      <c r="AW286" s="272"/>
      <c r="AX286" s="272"/>
      <c r="AY286" s="272"/>
      <c r="AZ286" s="272"/>
      <c r="BA286" s="272"/>
    </row>
    <row r="287" spans="1:53" outlineLevel="1" x14ac:dyDescent="0.35">
      <c r="A287" s="6" t="s">
        <v>757</v>
      </c>
      <c r="B287" s="6">
        <f>B23*AC265</f>
        <v>7.6460341249481109E-6</v>
      </c>
      <c r="AB287" s="272"/>
      <c r="AC287" s="272"/>
      <c r="AD287" s="272"/>
      <c r="AE287" s="272"/>
      <c r="AF287" s="272"/>
      <c r="AG287" s="272"/>
      <c r="AH287" s="272"/>
      <c r="AI287" s="272"/>
      <c r="AJ287" s="272"/>
      <c r="AK287" s="272"/>
      <c r="AL287" s="272"/>
      <c r="AM287" s="272"/>
      <c r="AN287" s="272"/>
      <c r="AO287" s="272"/>
      <c r="AP287" s="272"/>
      <c r="AQ287" s="272"/>
      <c r="AR287" s="272"/>
      <c r="AS287" s="272"/>
      <c r="AT287" s="272"/>
      <c r="AU287" s="272"/>
      <c r="AV287" s="272"/>
      <c r="AW287" s="272"/>
      <c r="AX287" s="272"/>
      <c r="AY287" s="272"/>
      <c r="AZ287" s="272"/>
      <c r="BA287" s="272"/>
    </row>
    <row r="288" spans="1:53" outlineLevel="1" x14ac:dyDescent="0.35">
      <c r="A288" s="6" t="s">
        <v>22</v>
      </c>
      <c r="Z288" s="6">
        <f t="shared" ref="Z288:Z299" si="36">Z24</f>
        <v>1.8753616045833519E-8</v>
      </c>
      <c r="AB288" s="272"/>
      <c r="AC288" s="272"/>
      <c r="AD288" s="272"/>
      <c r="AE288" s="272"/>
      <c r="AF288" s="272"/>
      <c r="AG288" s="272"/>
      <c r="AH288" s="272"/>
      <c r="AI288" s="272"/>
      <c r="AJ288" s="272"/>
      <c r="AK288" s="272"/>
      <c r="AL288" s="272"/>
      <c r="AM288" s="272"/>
      <c r="AN288" s="272"/>
      <c r="AO288" s="272"/>
      <c r="AP288" s="272"/>
      <c r="AQ288" s="272"/>
      <c r="AR288" s="272"/>
      <c r="AS288" s="272"/>
      <c r="AT288" s="272"/>
      <c r="AU288" s="272"/>
      <c r="AV288" s="272"/>
      <c r="AW288" s="272"/>
      <c r="AX288" s="272"/>
      <c r="AY288" s="272"/>
      <c r="AZ288" s="272"/>
      <c r="BA288" s="272"/>
    </row>
    <row r="289" spans="1:53" outlineLevel="1" x14ac:dyDescent="0.35">
      <c r="A289" s="6" t="s">
        <v>24</v>
      </c>
      <c r="Z289" s="6">
        <f t="shared" si="36"/>
        <v>1.273443268903795E-8</v>
      </c>
      <c r="AB289" s="272"/>
      <c r="AC289" s="272"/>
      <c r="AD289" s="272"/>
      <c r="AE289" s="272"/>
      <c r="AF289" s="272"/>
      <c r="AG289" s="272"/>
      <c r="AH289" s="272"/>
      <c r="AI289" s="272"/>
      <c r="AJ289" s="272"/>
      <c r="AK289" s="272"/>
      <c r="AL289" s="272"/>
      <c r="AM289" s="272"/>
      <c r="AN289" s="272"/>
      <c r="AO289" s="272"/>
      <c r="AP289" s="272"/>
      <c r="AQ289" s="272"/>
      <c r="AR289" s="272"/>
      <c r="AS289" s="272"/>
      <c r="AT289" s="272"/>
      <c r="AU289" s="272"/>
      <c r="AV289" s="272"/>
      <c r="AW289" s="272"/>
      <c r="AX289" s="272"/>
      <c r="AY289" s="272"/>
      <c r="AZ289" s="272"/>
      <c r="BA289" s="272"/>
    </row>
    <row r="290" spans="1:53" outlineLevel="1" x14ac:dyDescent="0.35">
      <c r="A290" s="6" t="s">
        <v>25</v>
      </c>
      <c r="Z290" s="6">
        <f t="shared" si="36"/>
        <v>6.7104539945526216E-8</v>
      </c>
      <c r="AB290" s="272"/>
      <c r="AC290" s="272"/>
      <c r="AD290" s="272"/>
      <c r="AE290" s="272"/>
      <c r="AF290" s="272"/>
      <c r="AG290" s="272"/>
      <c r="AH290" s="272"/>
      <c r="AI290" s="272"/>
      <c r="AJ290" s="272"/>
      <c r="AK290" s="272"/>
      <c r="AL290" s="272"/>
      <c r="AM290" s="272"/>
      <c r="AN290" s="272"/>
      <c r="AO290" s="272"/>
      <c r="AP290" s="272"/>
      <c r="AQ290" s="272"/>
      <c r="AR290" s="272"/>
      <c r="AS290" s="272"/>
      <c r="AT290" s="272"/>
      <c r="AU290" s="272"/>
      <c r="AV290" s="272"/>
      <c r="AW290" s="272"/>
      <c r="AX290" s="272"/>
      <c r="AY290" s="272"/>
      <c r="AZ290" s="272"/>
      <c r="BA290" s="272"/>
    </row>
    <row r="291" spans="1:53" outlineLevel="1" x14ac:dyDescent="0.35">
      <c r="A291" s="6" t="s">
        <v>27</v>
      </c>
      <c r="Z291" s="6">
        <f t="shared" si="36"/>
        <v>2.6470950284197709E-8</v>
      </c>
      <c r="AB291" s="272"/>
      <c r="AC291" s="272"/>
      <c r="AD291" s="272"/>
      <c r="AE291" s="272"/>
      <c r="AF291" s="272"/>
      <c r="AG291" s="272"/>
      <c r="AH291" s="272"/>
      <c r="AI291" s="272"/>
      <c r="AJ291" s="272"/>
      <c r="AK291" s="272"/>
      <c r="AL291" s="272"/>
      <c r="AM291" s="272"/>
      <c r="AN291" s="272"/>
      <c r="AO291" s="272"/>
      <c r="AP291" s="272"/>
      <c r="AQ291" s="272"/>
      <c r="AR291" s="272"/>
      <c r="AS291" s="272"/>
      <c r="AT291" s="272"/>
      <c r="AU291" s="272"/>
      <c r="AV291" s="272"/>
      <c r="AW291" s="272"/>
      <c r="AX291" s="272"/>
      <c r="AY291" s="272"/>
      <c r="AZ291" s="272"/>
      <c r="BA291" s="272"/>
    </row>
    <row r="292" spans="1:53" outlineLevel="1" x14ac:dyDescent="0.35">
      <c r="A292" s="6" t="s">
        <v>30</v>
      </c>
      <c r="Z292" s="6">
        <f t="shared" si="36"/>
        <v>2.4441380210246229E-8</v>
      </c>
      <c r="AB292" s="272"/>
      <c r="AC292" s="272"/>
      <c r="AD292" s="272"/>
      <c r="AE292" s="272"/>
      <c r="AF292" s="272"/>
      <c r="AG292" s="272"/>
      <c r="AH292" s="272"/>
      <c r="AI292" s="272"/>
      <c r="AJ292" s="272"/>
      <c r="AK292" s="272"/>
      <c r="AL292" s="272"/>
      <c r="AM292" s="272"/>
      <c r="AN292" s="272"/>
      <c r="AO292" s="272"/>
      <c r="AP292" s="272"/>
      <c r="AQ292" s="272"/>
      <c r="AR292" s="272"/>
      <c r="AS292" s="272"/>
      <c r="AT292" s="272"/>
      <c r="AU292" s="272"/>
      <c r="AV292" s="272"/>
      <c r="AW292" s="272"/>
      <c r="AX292" s="272"/>
      <c r="AY292" s="272"/>
      <c r="AZ292" s="272"/>
      <c r="BA292" s="272"/>
    </row>
    <row r="293" spans="1:53" outlineLevel="1" x14ac:dyDescent="0.35">
      <c r="A293" s="6" t="s">
        <v>32</v>
      </c>
      <c r="Z293" s="6">
        <f t="shared" si="36"/>
        <v>4.4570741064049689E-9</v>
      </c>
      <c r="AB293" s="272"/>
      <c r="AC293" s="272"/>
      <c r="AD293" s="272"/>
      <c r="AE293" s="272"/>
      <c r="AF293" s="272"/>
      <c r="AG293" s="272"/>
      <c r="AH293" s="272"/>
      <c r="AI293" s="272"/>
      <c r="AJ293" s="272"/>
      <c r="AK293" s="272"/>
      <c r="AL293" s="272"/>
      <c r="AM293" s="272"/>
      <c r="AN293" s="272"/>
      <c r="AO293" s="272"/>
      <c r="AP293" s="272"/>
      <c r="AQ293" s="272"/>
      <c r="AR293" s="272"/>
      <c r="AS293" s="272"/>
      <c r="AT293" s="272"/>
      <c r="AU293" s="272"/>
      <c r="AV293" s="272"/>
      <c r="AW293" s="272"/>
      <c r="AX293" s="272"/>
      <c r="AY293" s="272"/>
      <c r="AZ293" s="272"/>
      <c r="BA293" s="272"/>
    </row>
    <row r="294" spans="1:53" outlineLevel="1" x14ac:dyDescent="0.35">
      <c r="A294" s="6" t="s">
        <v>33</v>
      </c>
      <c r="Z294" s="6">
        <f t="shared" si="36"/>
        <v>6.4050897028475748E-9</v>
      </c>
      <c r="AB294" s="272"/>
      <c r="AC294" s="272"/>
      <c r="AD294" s="272"/>
      <c r="AE294" s="272"/>
      <c r="AF294" s="272"/>
      <c r="AG294" s="272"/>
      <c r="AH294" s="272"/>
      <c r="AI294" s="272"/>
      <c r="AJ294" s="272"/>
      <c r="AK294" s="272"/>
      <c r="AL294" s="272"/>
      <c r="AM294" s="272"/>
      <c r="AN294" s="272"/>
      <c r="AO294" s="272"/>
      <c r="AP294" s="272"/>
      <c r="AQ294" s="272"/>
      <c r="AR294" s="272"/>
      <c r="AS294" s="272"/>
      <c r="AT294" s="272"/>
      <c r="AU294" s="272"/>
      <c r="AV294" s="272"/>
      <c r="AW294" s="272"/>
      <c r="AX294" s="272"/>
      <c r="AY294" s="272"/>
      <c r="AZ294" s="272"/>
      <c r="BA294" s="272"/>
    </row>
    <row r="295" spans="1:53" outlineLevel="1" x14ac:dyDescent="0.35">
      <c r="A295" s="6" t="s">
        <v>35</v>
      </c>
      <c r="Z295" s="6">
        <f t="shared" si="36"/>
        <v>1.281017940569515E-8</v>
      </c>
      <c r="AB295" s="272"/>
      <c r="AC295" s="272"/>
      <c r="AD295" s="272"/>
      <c r="AE295" s="272"/>
      <c r="AF295" s="272"/>
      <c r="AG295" s="272"/>
      <c r="AH295" s="272"/>
      <c r="AI295" s="272"/>
      <c r="AJ295" s="272"/>
      <c r="AK295" s="272"/>
      <c r="AL295" s="272"/>
      <c r="AM295" s="272"/>
      <c r="AN295" s="272"/>
      <c r="AO295" s="272"/>
      <c r="AP295" s="272"/>
      <c r="AQ295" s="272"/>
      <c r="AR295" s="272"/>
      <c r="AS295" s="272"/>
      <c r="AT295" s="272"/>
      <c r="AU295" s="272"/>
      <c r="AV295" s="272"/>
      <c r="AW295" s="272"/>
      <c r="AX295" s="272"/>
      <c r="AY295" s="272"/>
      <c r="AZ295" s="272"/>
      <c r="BA295" s="272"/>
    </row>
    <row r="296" spans="1:53" outlineLevel="1" x14ac:dyDescent="0.35">
      <c r="A296" s="6" t="s">
        <v>37</v>
      </c>
      <c r="Z296" s="6">
        <f t="shared" si="36"/>
        <v>7.4686247237046399E-8</v>
      </c>
      <c r="AB296" s="272"/>
      <c r="AC296" s="272"/>
      <c r="AD296" s="272"/>
      <c r="AE296" s="272"/>
      <c r="AF296" s="272"/>
      <c r="AG296" s="272"/>
      <c r="AH296" s="272"/>
      <c r="AI296" s="272"/>
      <c r="AJ296" s="272"/>
      <c r="AK296" s="272"/>
      <c r="AL296" s="272"/>
      <c r="AM296" s="272"/>
      <c r="AN296" s="272"/>
      <c r="AO296" s="272"/>
      <c r="AP296" s="272"/>
      <c r="AQ296" s="272"/>
      <c r="AR296" s="272"/>
      <c r="AS296" s="272"/>
      <c r="AT296" s="272"/>
      <c r="AU296" s="272"/>
      <c r="AV296" s="272"/>
      <c r="AW296" s="272"/>
      <c r="AX296" s="272"/>
      <c r="AY296" s="272"/>
      <c r="AZ296" s="272"/>
      <c r="BA296" s="272"/>
    </row>
    <row r="297" spans="1:53" outlineLevel="1" x14ac:dyDescent="0.35">
      <c r="A297" s="6" t="s">
        <v>40</v>
      </c>
      <c r="Z297" s="6">
        <f t="shared" si="36"/>
        <v>3.2793422863421839E-7</v>
      </c>
    </row>
    <row r="298" spans="1:53" outlineLevel="1" x14ac:dyDescent="0.35">
      <c r="A298" s="6" t="s">
        <v>42</v>
      </c>
      <c r="Z298" s="6">
        <f t="shared" si="36"/>
        <v>1.0978059676676949E-7</v>
      </c>
    </row>
    <row r="299" spans="1:53" outlineLevel="1" x14ac:dyDescent="0.35">
      <c r="A299" s="6" t="s">
        <v>115</v>
      </c>
      <c r="Z299" s="6">
        <f t="shared" si="36"/>
        <v>5.532338521000648E-7</v>
      </c>
    </row>
    <row r="300" spans="1:53" outlineLevel="1" x14ac:dyDescent="0.35">
      <c r="A300" s="6" t="s">
        <v>45</v>
      </c>
      <c r="Z300" s="6">
        <f>Z36*AC265</f>
        <v>1.9497943060051223E-8</v>
      </c>
    </row>
    <row r="301" spans="1:53" outlineLevel="1" x14ac:dyDescent="0.35">
      <c r="A301" s="6" t="s">
        <v>116</v>
      </c>
      <c r="B301" s="6">
        <f>B37</f>
        <v>1.8923827854892541E-6</v>
      </c>
      <c r="C301" s="6">
        <f t="shared" ref="C301:Z301" si="37">C37</f>
        <v>1.889714786409623E-6</v>
      </c>
      <c r="D301" s="6">
        <f t="shared" si="37"/>
        <v>1.887023929732714E-6</v>
      </c>
      <c r="E301" s="6">
        <f t="shared" si="37"/>
        <v>1.875504080673279E-6</v>
      </c>
      <c r="F301" s="6">
        <f t="shared" si="37"/>
        <v>1.872717594275976E-6</v>
      </c>
      <c r="G301" s="6">
        <f t="shared" si="37"/>
        <v>1.869923624609793E-6</v>
      </c>
      <c r="H301" s="6">
        <f t="shared" si="37"/>
        <v>1.8735069041771709E-6</v>
      </c>
      <c r="I301" s="6">
        <f t="shared" si="37"/>
        <v>1.8770594642955549E-6</v>
      </c>
      <c r="J301" s="6">
        <f t="shared" si="37"/>
        <v>1.8755470965960859E-6</v>
      </c>
      <c r="K301" s="6">
        <f t="shared" si="37"/>
        <v>1.879003812114612E-6</v>
      </c>
      <c r="L301" s="6">
        <f t="shared" si="37"/>
        <v>1.882430263545709E-6</v>
      </c>
      <c r="M301" s="6">
        <f t="shared" si="37"/>
        <v>1.8889461237107309E-6</v>
      </c>
      <c r="N301" s="6">
        <f t="shared" si="37"/>
        <v>1.8953729876566431E-6</v>
      </c>
      <c r="O301" s="6">
        <f t="shared" si="37"/>
        <v>1.900244904468718E-6</v>
      </c>
      <c r="P301" s="6">
        <f t="shared" si="37"/>
        <v>1.906594363435936E-6</v>
      </c>
      <c r="Q301" s="6">
        <f t="shared" si="37"/>
        <v>1.91292243317761E-6</v>
      </c>
      <c r="R301" s="6">
        <f t="shared" si="37"/>
        <v>1.906724039036221E-6</v>
      </c>
      <c r="S301" s="6">
        <f t="shared" si="37"/>
        <v>1.9003382557709781E-6</v>
      </c>
      <c r="T301" s="6">
        <f t="shared" si="37"/>
        <v>1.8919742403575121E-6</v>
      </c>
      <c r="U301" s="6">
        <f t="shared" si="37"/>
        <v>1.885363499118904E-6</v>
      </c>
      <c r="V301" s="6">
        <f t="shared" si="37"/>
        <v>1.878677559524333E-6</v>
      </c>
      <c r="W301" s="6">
        <f t="shared" si="37"/>
        <v>1.884095534967196E-6</v>
      </c>
      <c r="X301" s="6">
        <f t="shared" si="37"/>
        <v>1.8706822453158649E-6</v>
      </c>
      <c r="Y301" s="6">
        <f t="shared" si="37"/>
        <v>1.8571783832156639E-6</v>
      </c>
      <c r="Z301" s="6">
        <f t="shared" si="37"/>
        <v>1.8435821555876251E-6</v>
      </c>
    </row>
    <row r="302" spans="1:53" outlineLevel="1" x14ac:dyDescent="0.35">
      <c r="A302" s="6" t="s">
        <v>758</v>
      </c>
      <c r="B302" s="6">
        <f>B38*$AC$265</f>
        <v>3.5209824981427844E-6</v>
      </c>
      <c r="C302" s="6">
        <f t="shared" ref="C302:Z303" si="38">C38*$AC$265</f>
        <v>3.4961386651340047E-6</v>
      </c>
      <c r="D302" s="6">
        <f t="shared" si="38"/>
        <v>3.4712778716291841E-6</v>
      </c>
      <c r="E302" s="6">
        <f t="shared" si="38"/>
        <v>3.444203366729924E-6</v>
      </c>
      <c r="F302" s="6">
        <f t="shared" si="38"/>
        <v>3.4192257737182937E-6</v>
      </c>
      <c r="G302" s="6">
        <f t="shared" si="38"/>
        <v>3.3942274583702295E-6</v>
      </c>
      <c r="H302" s="6">
        <f t="shared" si="38"/>
        <v>3.5837531305466881E-6</v>
      </c>
      <c r="I302" s="6">
        <f t="shared" si="38"/>
        <v>3.7725738682693804E-6</v>
      </c>
      <c r="J302" s="6">
        <f t="shared" si="38"/>
        <v>3.9592736574514813E-6</v>
      </c>
      <c r="K302" s="6">
        <f t="shared" si="38"/>
        <v>4.1469255506252092E-6</v>
      </c>
      <c r="L302" s="6">
        <f t="shared" si="38"/>
        <v>4.3339072074058208E-6</v>
      </c>
      <c r="M302" s="6">
        <f t="shared" si="38"/>
        <v>4.7160157638259426E-6</v>
      </c>
      <c r="N302" s="6">
        <f t="shared" si="38"/>
        <v>5.0989329674533653E-6</v>
      </c>
      <c r="O302" s="6">
        <f t="shared" si="38"/>
        <v>5.482439314121785E-6</v>
      </c>
      <c r="P302" s="6">
        <f t="shared" si="38"/>
        <v>5.8673559700819395E-6</v>
      </c>
      <c r="Q302" s="6">
        <f t="shared" si="38"/>
        <v>6.2534552573479596E-6</v>
      </c>
      <c r="R302" s="6">
        <f t="shared" si="38"/>
        <v>6.2639806935579506E-6</v>
      </c>
      <c r="S302" s="6">
        <f t="shared" si="38"/>
        <v>6.2754394603096097E-6</v>
      </c>
      <c r="T302" s="6">
        <f t="shared" si="38"/>
        <v>6.2873190421977544E-6</v>
      </c>
      <c r="U302" s="6">
        <f t="shared" si="38"/>
        <v>6.3003358582758904E-6</v>
      </c>
      <c r="V302" s="6">
        <f t="shared" si="38"/>
        <v>6.3139940529455853E-6</v>
      </c>
      <c r="W302" s="6">
        <f t="shared" si="38"/>
        <v>6.2260458017594699E-6</v>
      </c>
      <c r="X302" s="6">
        <f t="shared" si="38"/>
        <v>6.0326729859895755E-6</v>
      </c>
      <c r="Y302" s="6">
        <f t="shared" si="38"/>
        <v>5.8393467549674397E-6</v>
      </c>
      <c r="Z302" s="6">
        <f t="shared" si="38"/>
        <v>5.6460643666559505E-6</v>
      </c>
    </row>
    <row r="303" spans="1:53" outlineLevel="1" x14ac:dyDescent="0.35">
      <c r="A303" s="6" t="s">
        <v>759</v>
      </c>
      <c r="B303" s="6">
        <f>B39*$AC$265</f>
        <v>1.0368000147309429E-7</v>
      </c>
      <c r="C303" s="6">
        <f t="shared" si="38"/>
        <v>1.0368000147309429E-7</v>
      </c>
      <c r="D303" s="6">
        <f t="shared" si="38"/>
        <v>1.0368000147309429E-7</v>
      </c>
      <c r="E303" s="6">
        <f t="shared" si="38"/>
        <v>1.0368000147309429E-7</v>
      </c>
      <c r="F303" s="6">
        <f t="shared" si="38"/>
        <v>1.0368000147309429E-7</v>
      </c>
      <c r="G303" s="6">
        <f t="shared" si="38"/>
        <v>1.0368000147309429E-7</v>
      </c>
      <c r="H303" s="6">
        <f t="shared" si="38"/>
        <v>1.0368000147309429E-7</v>
      </c>
      <c r="I303" s="6">
        <f t="shared" si="38"/>
        <v>1.0368000147309429E-7</v>
      </c>
      <c r="J303" s="6">
        <f t="shared" si="38"/>
        <v>1.0368000147309429E-7</v>
      </c>
      <c r="K303" s="6">
        <f t="shared" si="38"/>
        <v>1.0368000147309429E-7</v>
      </c>
      <c r="L303" s="6">
        <f t="shared" si="38"/>
        <v>1.0368000147309429E-7</v>
      </c>
      <c r="M303" s="6">
        <f t="shared" si="38"/>
        <v>1.0368000147309429E-7</v>
      </c>
      <c r="N303" s="6">
        <f t="shared" si="38"/>
        <v>1.0368000147309429E-7</v>
      </c>
      <c r="O303" s="6">
        <f t="shared" si="38"/>
        <v>1.0368000147309429E-7</v>
      </c>
      <c r="P303" s="6">
        <f t="shared" si="38"/>
        <v>1.0368000147309429E-7</v>
      </c>
      <c r="Q303" s="6">
        <f t="shared" si="38"/>
        <v>1.0368000147309429E-7</v>
      </c>
      <c r="R303" s="6">
        <f t="shared" si="38"/>
        <v>1.0368000147309429E-7</v>
      </c>
      <c r="S303" s="6">
        <f t="shared" si="38"/>
        <v>1.0368000147309429E-7</v>
      </c>
      <c r="T303" s="6">
        <f t="shared" si="38"/>
        <v>1.0368000147309429E-7</v>
      </c>
      <c r="U303" s="6">
        <f t="shared" si="38"/>
        <v>1.0368000147309429E-7</v>
      </c>
      <c r="V303" s="6">
        <f t="shared" si="38"/>
        <v>1.0368000147309429E-7</v>
      </c>
      <c r="W303" s="6">
        <f t="shared" si="38"/>
        <v>1.0368000147309429E-7</v>
      </c>
      <c r="X303" s="6">
        <f t="shared" si="38"/>
        <v>1.0368000147309429E-7</v>
      </c>
      <c r="Y303" s="6">
        <f t="shared" si="38"/>
        <v>1.0368000147309429E-7</v>
      </c>
      <c r="Z303" s="6">
        <f t="shared" si="38"/>
        <v>1.0368000147309429E-7</v>
      </c>
    </row>
    <row r="304" spans="1:53" outlineLevel="1" x14ac:dyDescent="0.35">
      <c r="A304" s="6" t="s">
        <v>760</v>
      </c>
      <c r="B304" s="6">
        <f>$B$252*$AC$264*'Results - raw data ReCiPe (I)'!AC114/(1-0.5)*(1+'Results ReCiPe (I) - HHD'!$AC$271/'Results ReCiPe (I) - HHD'!$AC$272-'Results ReCiPe (I) - HHD'!$AC$271)</f>
        <v>2.080254905149344E-5</v>
      </c>
      <c r="C304" s="6">
        <f>$B$252*$AC$264*'Results - raw data ReCiPe (I)'!AD114/(1-0.5)*(1+'Results ReCiPe (I) - HHD'!$AC$271/'Results ReCiPe (I) - HHD'!$AC$272-'Results ReCiPe (I) - HHD'!$AC$271)</f>
        <v>2.0787535396989529E-5</v>
      </c>
      <c r="D304" s="6">
        <f>$B$252*$AC$264*'Results - raw data ReCiPe (I)'!AE114/(1-0.5)*(1+'Results ReCiPe (I) - HHD'!$AC$271/'Results ReCiPe (I) - HHD'!$AC$272-'Results ReCiPe (I) - HHD'!$AC$271)</f>
        <v>2.0772807214400337E-5</v>
      </c>
      <c r="E304" s="6">
        <f>$B$252*$AC$264*'Results - raw data ReCiPe (I)'!AF114/(1-0.5)*(1+'Results ReCiPe (I) - HHD'!$AC$271/'Results ReCiPe (I) - HHD'!$AC$272-'Results ReCiPe (I) - HHD'!$AC$271)</f>
        <v>2.0714814227317841E-5</v>
      </c>
      <c r="F304" s="6">
        <f>$B$252*$AC$264*'Results - raw data ReCiPe (I)'!AG114/(1-0.5)*(1+'Results ReCiPe (I) - HHD'!$AC$271/'Results ReCiPe (I) - HHD'!$AC$272-'Results ReCiPe (I) - HHD'!$AC$271)</f>
        <v>2.0700551785577382E-5</v>
      </c>
      <c r="G304" s="6">
        <f>$B$252*$AC$264*'Results - raw data ReCiPe (I)'!AH114/(1-0.5)*(1+'Results ReCiPe (I) - HHD'!$AC$271/'Results ReCiPe (I) - HHD'!$AC$272-'Results ReCiPe (I) - HHD'!$AC$271)</f>
        <v>2.0686466448790933E-5</v>
      </c>
      <c r="H304" s="6">
        <f>$B$252*$AC$264*'Results - raw data ReCiPe (I)'!AI114/(1-0.5)*(1+'Results ReCiPe (I) - HHD'!$AC$271/'Results ReCiPe (I) - HHD'!$AC$272-'Results ReCiPe (I) - HHD'!$AC$271)</f>
        <v>2.0688336490343455E-5</v>
      </c>
      <c r="I304" s="6">
        <f>$B$252*$AC$264*'Results - raw data ReCiPe (I)'!AJ114/(1-0.5)*(1+'Results ReCiPe (I) - HHD'!$AC$271/'Results ReCiPe (I) - HHD'!$AC$272-'Results ReCiPe (I) - HHD'!$AC$271)</f>
        <v>2.0691286866745499E-5</v>
      </c>
      <c r="J304" s="6">
        <f>$B$252*$AC$264*'Results - raw data ReCiPe (I)'!AK114/(1-0.5)*(1+'Results ReCiPe (I) - HHD'!$AC$271/'Results ReCiPe (I) - HHD'!$AC$272-'Results ReCiPe (I) - HHD'!$AC$271)</f>
        <v>2.0669690066396777E-5</v>
      </c>
      <c r="K304" s="6">
        <f>$B$252*$AC$264*'Results - raw data ReCiPe (I)'!AL114/(1-0.5)*(1+'Results ReCiPe (I) - HHD'!$AC$271/'Results ReCiPe (I) - HHD'!$AC$272-'Results ReCiPe (I) - HHD'!$AC$271)</f>
        <v>2.0674150729654705E-5</v>
      </c>
      <c r="L304" s="6">
        <f>$B$252*$AC$264*'Results - raw data ReCiPe (I)'!AM114/(1-0.5)*(1+'Results ReCiPe (I) - HHD'!$AC$271/'Results ReCiPe (I) - HHD'!$AC$272-'Results ReCiPe (I) - HHD'!$AC$271)</f>
        <v>2.0679266430451435E-5</v>
      </c>
      <c r="M304" s="6">
        <f>$B$252*$AC$264*'Results - raw data ReCiPe (I)'!AN114/(1-0.5)*(1+'Results ReCiPe (I) - HHD'!$AC$271/'Results ReCiPe (I) - HHD'!$AC$272-'Results ReCiPe (I) - HHD'!$AC$271)</f>
        <v>2.0701362326645348E-5</v>
      </c>
      <c r="N304" s="6">
        <f>$B$252*$AC$264*'Results - raw data ReCiPe (I)'!AO114/(1-0.5)*(1+'Results ReCiPe (I) - HHD'!$AC$271/'Results ReCiPe (I) - HHD'!$AC$272-'Results ReCiPe (I) - HHD'!$AC$271)</f>
        <v>2.0723880318644391E-5</v>
      </c>
      <c r="O304" s="6">
        <f>$B$252*$AC$264*'Results - raw data ReCiPe (I)'!AP114/(1-0.5)*(1+'Results ReCiPe (I) - HHD'!$AC$271/'Results ReCiPe (I) - HHD'!$AC$272-'Results ReCiPe (I) - HHD'!$AC$271)</f>
        <v>2.0740275366238669E-5</v>
      </c>
      <c r="P304" s="6">
        <f>$B$252*$AC$264*'Results - raw data ReCiPe (I)'!AQ114/(1-0.5)*(1+'Results ReCiPe (I) - HHD'!$AC$271/'Results ReCiPe (I) - HHD'!$AC$272-'Results ReCiPe (I) - HHD'!$AC$271)</f>
        <v>2.0763928622607651E-5</v>
      </c>
      <c r="Q304" s="6">
        <f>$B$252*$AC$264*'Results - raw data ReCiPe (I)'!AR114/(1-0.5)*(1+'Results ReCiPe (I) - HHD'!$AC$271/'Results ReCiPe (I) - HHD'!$AC$272-'Results ReCiPe (I) - HHD'!$AC$271)</f>
        <v>2.0788767494058085E-5</v>
      </c>
      <c r="R304" s="6">
        <f>$B$252*$AC$264*'Results - raw data ReCiPe (I)'!AS114/(1-0.5)*(1+'Results ReCiPe (I) - HHD'!$AC$271/'Results ReCiPe (I) - HHD'!$AC$272-'Results ReCiPe (I) - HHD'!$AC$271)</f>
        <v>2.0769498744320597E-5</v>
      </c>
      <c r="S304" s="6">
        <f>$B$252*$AC$264*'Results - raw data ReCiPe (I)'!AT114/(1-0.5)*(1+'Results ReCiPe (I) - HHD'!$AC$271/'Results ReCiPe (I) - HHD'!$AC$272-'Results ReCiPe (I) - HHD'!$AC$271)</f>
        <v>2.0749293004151887E-5</v>
      </c>
      <c r="T304" s="6">
        <f>$B$252*$AC$264*'Results - raw data ReCiPe (I)'!AU114/(1-0.5)*(1+'Results ReCiPe (I) - HHD'!$AC$271/'Results ReCiPe (I) - HHD'!$AC$272-'Results ReCiPe (I) - HHD'!$AC$271)</f>
        <v>2.0719779386629514E-5</v>
      </c>
      <c r="U304" s="6">
        <f>$B$252*$AC$264*'Results - raw data ReCiPe (I)'!AV114/(1-0.5)*(1+'Results ReCiPe (I) - HHD'!$AC$271/'Results ReCiPe (I) - HHD'!$AC$272-'Results ReCiPe (I) - HHD'!$AC$271)</f>
        <v>2.0697963388911545E-5</v>
      </c>
      <c r="V304" s="6">
        <f>$B$252*$AC$264*'Results - raw data ReCiPe (I)'!AW114/(1-0.5)*(1+'Results ReCiPe (I) - HHD'!$AC$271/'Results ReCiPe (I) - HHD'!$AC$272-'Results ReCiPe (I) - HHD'!$AC$271)</f>
        <v>2.0675473585169766E-5</v>
      </c>
      <c r="W304" s="6">
        <f>$B$252*$AC$264*'Results - raw data ReCiPe (I)'!AX114/(1-0.5)*(1+'Results ReCiPe (I) - HHD'!$AC$271/'Results ReCiPe (I) - HHD'!$AC$272-'Results ReCiPe (I) - HHD'!$AC$271)</f>
        <v>2.0788119824692616E-5</v>
      </c>
      <c r="X304" s="6">
        <f>$B$252*$AC$264*'Results - raw data ReCiPe (I)'!AY114/(1-0.5)*(1+'Results ReCiPe (I) - HHD'!$AC$271/'Results ReCiPe (I) - HHD'!$AC$272-'Results ReCiPe (I) - HHD'!$AC$271)</f>
        <v>2.0739318549982313E-5</v>
      </c>
      <c r="Y304" s="6">
        <f>$B$252*$AC$264*'Results - raw data ReCiPe (I)'!AZ114/(1-0.5)*(1+'Results ReCiPe (I) - HHD'!$AC$271/'Results ReCiPe (I) - HHD'!$AC$272-'Results ReCiPe (I) - HHD'!$AC$271)</f>
        <v>2.0689793748313423E-5</v>
      </c>
      <c r="Z304" s="6">
        <f>$B$252*$AC$264*'Results - raw data ReCiPe (I)'!BA114/(1-0.5)*(1+'Results ReCiPe (I) - HHD'!$AC$271/'Results ReCiPe (I) - HHD'!$AC$272-'Results ReCiPe (I) - HHD'!$AC$271)</f>
        <v>2.0639547739267998E-5</v>
      </c>
    </row>
    <row r="305" spans="1:26" outlineLevel="1" x14ac:dyDescent="0.35">
      <c r="A305" s="6" t="s">
        <v>797</v>
      </c>
      <c r="B305" s="6">
        <f>$B$260*$AC$264</f>
        <v>2.9130575105488189E-5</v>
      </c>
      <c r="C305" s="6">
        <f t="shared" ref="C305:Z305" si="39">$B$260*$AC$264</f>
        <v>2.9130575105488189E-5</v>
      </c>
      <c r="D305" s="6">
        <f t="shared" si="39"/>
        <v>2.9130575105488189E-5</v>
      </c>
      <c r="E305" s="6">
        <f t="shared" si="39"/>
        <v>2.9130575105488189E-5</v>
      </c>
      <c r="F305" s="6">
        <f t="shared" si="39"/>
        <v>2.9130575105488189E-5</v>
      </c>
      <c r="G305" s="6">
        <f t="shared" si="39"/>
        <v>2.9130575105488189E-5</v>
      </c>
      <c r="H305" s="6">
        <f t="shared" si="39"/>
        <v>2.9130575105488189E-5</v>
      </c>
      <c r="I305" s="6">
        <f t="shared" si="39"/>
        <v>2.9130575105488189E-5</v>
      </c>
      <c r="J305" s="6">
        <f t="shared" si="39"/>
        <v>2.9130575105488189E-5</v>
      </c>
      <c r="K305" s="6">
        <f t="shared" si="39"/>
        <v>2.9130575105488189E-5</v>
      </c>
      <c r="L305" s="6">
        <f t="shared" si="39"/>
        <v>2.9130575105488189E-5</v>
      </c>
      <c r="M305" s="6">
        <f t="shared" si="39"/>
        <v>2.9130575105488189E-5</v>
      </c>
      <c r="N305" s="6">
        <f t="shared" si="39"/>
        <v>2.9130575105488189E-5</v>
      </c>
      <c r="O305" s="6">
        <f t="shared" si="39"/>
        <v>2.9130575105488189E-5</v>
      </c>
      <c r="P305" s="6">
        <f t="shared" si="39"/>
        <v>2.9130575105488189E-5</v>
      </c>
      <c r="Q305" s="6">
        <f t="shared" si="39"/>
        <v>2.9130575105488189E-5</v>
      </c>
      <c r="R305" s="6">
        <f t="shared" si="39"/>
        <v>2.9130575105488189E-5</v>
      </c>
      <c r="S305" s="6">
        <f t="shared" si="39"/>
        <v>2.9130575105488189E-5</v>
      </c>
      <c r="T305" s="6">
        <f t="shared" si="39"/>
        <v>2.9130575105488189E-5</v>
      </c>
      <c r="U305" s="6">
        <f t="shared" si="39"/>
        <v>2.9130575105488189E-5</v>
      </c>
      <c r="V305" s="6">
        <f t="shared" si="39"/>
        <v>2.9130575105488189E-5</v>
      </c>
      <c r="W305" s="6">
        <f t="shared" si="39"/>
        <v>2.9130575105488189E-5</v>
      </c>
      <c r="X305" s="6">
        <f t="shared" si="39"/>
        <v>2.9130575105488189E-5</v>
      </c>
      <c r="Y305" s="6">
        <f t="shared" si="39"/>
        <v>2.9130575105488189E-5</v>
      </c>
      <c r="Z305" s="6">
        <f t="shared" si="39"/>
        <v>2.9130575105488189E-5</v>
      </c>
    </row>
    <row r="306" spans="1:26" outlineLevel="1" x14ac:dyDescent="0.35">
      <c r="A306" s="23" t="s">
        <v>125</v>
      </c>
      <c r="B306" s="17">
        <f t="shared" ref="B306:Z306" si="40">SUM(B274:B304)</f>
        <v>1.3099704152329131E-4</v>
      </c>
      <c r="C306" s="17">
        <f t="shared" si="40"/>
        <v>2.6277068850006252E-5</v>
      </c>
      <c r="D306" s="17">
        <f t="shared" si="40"/>
        <v>2.623478901723533E-5</v>
      </c>
      <c r="E306" s="17">
        <f t="shared" si="40"/>
        <v>2.6138201676194136E-5</v>
      </c>
      <c r="F306" s="17">
        <f t="shared" si="40"/>
        <v>2.6096175155044747E-5</v>
      </c>
      <c r="G306" s="17">
        <f t="shared" si="40"/>
        <v>2.605429753324405E-5</v>
      </c>
      <c r="H306" s="17">
        <f t="shared" si="40"/>
        <v>2.6249276526540407E-5</v>
      </c>
      <c r="I306" s="17">
        <f t="shared" si="40"/>
        <v>2.644460020078353E-5</v>
      </c>
      <c r="J306" s="17">
        <f t="shared" si="40"/>
        <v>2.6608190821917438E-5</v>
      </c>
      <c r="K306" s="17">
        <f t="shared" si="40"/>
        <v>2.6803760093867622E-5</v>
      </c>
      <c r="L306" s="17">
        <f t="shared" si="40"/>
        <v>2.6999283902876058E-5</v>
      </c>
      <c r="M306" s="17">
        <f t="shared" si="40"/>
        <v>2.7410004215655118E-5</v>
      </c>
      <c r="N306" s="17">
        <f t="shared" si="40"/>
        <v>2.7821866275227492E-5</v>
      </c>
      <c r="O306" s="17">
        <f t="shared" si="40"/>
        <v>2.8226639586302266E-5</v>
      </c>
      <c r="P306" s="17">
        <f t="shared" si="40"/>
        <v>2.864155895759862E-5</v>
      </c>
      <c r="Q306" s="17">
        <f t="shared" si="40"/>
        <v>2.9058825186056749E-5</v>
      </c>
      <c r="R306" s="17">
        <f t="shared" si="40"/>
        <v>2.9043883478387863E-5</v>
      </c>
      <c r="S306" s="17">
        <f t="shared" si="40"/>
        <v>2.9028750721705568E-5</v>
      </c>
      <c r="T306" s="17">
        <f t="shared" si="40"/>
        <v>2.9002752670657874E-5</v>
      </c>
      <c r="U306" s="17">
        <f t="shared" si="40"/>
        <v>2.8987342747779433E-5</v>
      </c>
      <c r="V306" s="17">
        <f t="shared" si="40"/>
        <v>2.8971825199112778E-5</v>
      </c>
      <c r="W306" s="17">
        <f t="shared" si="40"/>
        <v>2.9001941162892377E-5</v>
      </c>
      <c r="X306" s="17">
        <f t="shared" si="40"/>
        <v>2.8746353782760847E-5</v>
      </c>
      <c r="Y306" s="17">
        <f t="shared" si="40"/>
        <v>2.848999888796962E-5</v>
      </c>
      <c r="Z306" s="17">
        <f t="shared" si="40"/>
        <v>2.9491184393172609E-5</v>
      </c>
    </row>
    <row r="307" spans="1:26" outlineLevel="1" x14ac:dyDescent="0.35"/>
    <row r="308" spans="1:26" s="18" customFormat="1" ht="21" x14ac:dyDescent="0.5">
      <c r="A308" s="18" t="s">
        <v>73</v>
      </c>
    </row>
    <row r="309" spans="1:26" s="20" customFormat="1" outlineLevel="1" x14ac:dyDescent="0.35">
      <c r="A309" s="19" t="s">
        <v>788</v>
      </c>
    </row>
    <row r="310" spans="1:26" s="20" customFormat="1" outlineLevel="1" x14ac:dyDescent="0.35">
      <c r="A310" s="273" t="s">
        <v>775</v>
      </c>
      <c r="B310" s="20">
        <v>1</v>
      </c>
      <c r="C310" s="274" t="s">
        <v>787</v>
      </c>
    </row>
    <row r="311" spans="1:26" s="20" customFormat="1" outlineLevel="1" x14ac:dyDescent="0.35">
      <c r="A311" s="273" t="s">
        <v>781</v>
      </c>
      <c r="B311" s="20">
        <v>100000</v>
      </c>
      <c r="C311" s="20" t="s">
        <v>782</v>
      </c>
      <c r="E311" s="274"/>
    </row>
    <row r="312" spans="1:26" s="20" customFormat="1" outlineLevel="1" x14ac:dyDescent="0.35">
      <c r="A312" s="273" t="s">
        <v>783</v>
      </c>
      <c r="B312" s="20">
        <v>1500</v>
      </c>
      <c r="C312" s="20" t="s">
        <v>592</v>
      </c>
    </row>
    <row r="313" spans="1:26" s="20" customFormat="1" outlineLevel="1" x14ac:dyDescent="0.35">
      <c r="A313" s="273" t="s">
        <v>784</v>
      </c>
      <c r="B313" s="20">
        <v>8760</v>
      </c>
      <c r="C313" s="20" t="s">
        <v>785</v>
      </c>
    </row>
    <row r="314" spans="1:26" s="20" customFormat="1" outlineLevel="1" x14ac:dyDescent="0.35">
      <c r="A314" s="273"/>
    </row>
    <row r="315" spans="1:26" s="20" customFormat="1" outlineLevel="1" x14ac:dyDescent="0.35">
      <c r="A315" s="275" t="s">
        <v>786</v>
      </c>
      <c r="B315" s="275">
        <f>(B311*B312)/(B313*B310)</f>
        <v>17123.287671232876</v>
      </c>
      <c r="C315" s="275" t="s">
        <v>749</v>
      </c>
    </row>
    <row r="316" spans="1:26" s="20" customFormat="1" outlineLevel="1" x14ac:dyDescent="0.35">
      <c r="A316" s="19"/>
    </row>
    <row r="317" spans="1:26" s="20" customFormat="1" outlineLevel="1" x14ac:dyDescent="0.35">
      <c r="A317" s="19" t="s">
        <v>793</v>
      </c>
    </row>
    <row r="318" spans="1:26" s="20" customFormat="1" outlineLevel="1" x14ac:dyDescent="0.35">
      <c r="A318" s="273" t="s">
        <v>789</v>
      </c>
      <c r="B318" s="20">
        <f>SUM('Results - raw data ReCiPe (I)'!AC146:AC147)+'Results - raw data ReCiPe (I)'!AC150+SUM('Results - raw data ReCiPe (I)'!AC148:AC149)*AC267</f>
        <v>5.527851399120003E-6</v>
      </c>
      <c r="C318" s="20" t="s">
        <v>919</v>
      </c>
    </row>
    <row r="319" spans="1:26" s="20" customFormat="1" outlineLevel="1" x14ac:dyDescent="0.35">
      <c r="A319" s="20" t="s">
        <v>792</v>
      </c>
      <c r="B319" s="20">
        <f>B311*AC325</f>
        <v>50000</v>
      </c>
      <c r="C319" s="274" t="s">
        <v>795</v>
      </c>
    </row>
    <row r="320" spans="1:26" s="20" customFormat="1" outlineLevel="1" x14ac:dyDescent="0.35">
      <c r="A320" s="20" t="s">
        <v>791</v>
      </c>
      <c r="B320" s="20">
        <f>(B318*AC327*B315)/(B319*AC326)*(AC326/AC328)</f>
        <v>5.6792993826575369E-7</v>
      </c>
      <c r="C320" s="20" t="s">
        <v>920</v>
      </c>
      <c r="E320" s="274" t="s">
        <v>796</v>
      </c>
    </row>
    <row r="321" spans="1:53" s="20" customFormat="1" outlineLevel="1" x14ac:dyDescent="0.35">
      <c r="A321" s="19"/>
    </row>
    <row r="322" spans="1:53" s="16" customFormat="1" outlineLevel="1" x14ac:dyDescent="0.35">
      <c r="A322" s="21"/>
      <c r="AB322" s="15" t="s">
        <v>143</v>
      </c>
      <c r="AC322" s="16">
        <f>0.000000000532+0.0000000000000145</f>
        <v>5.3201449999999999E-10</v>
      </c>
      <c r="AD322" s="16" t="s">
        <v>916</v>
      </c>
      <c r="AE322" s="15" t="s">
        <v>714</v>
      </c>
    </row>
    <row r="323" spans="1:53" s="16" customFormat="1" outlineLevel="1" x14ac:dyDescent="0.35">
      <c r="A323" s="22" t="s">
        <v>917</v>
      </c>
      <c r="AC323" s="16">
        <f>AC322*1000</f>
        <v>5.3201450000000003E-7</v>
      </c>
      <c r="AD323" s="16" t="s">
        <v>918</v>
      </c>
    </row>
    <row r="324" spans="1:53" s="16" customFormat="1" outlineLevel="1" x14ac:dyDescent="0.35">
      <c r="A324" s="22"/>
      <c r="AB324" s="16" t="s">
        <v>127</v>
      </c>
      <c r="AC324" s="16">
        <f>100*AC325</f>
        <v>50</v>
      </c>
      <c r="AD324" s="16" t="s">
        <v>128</v>
      </c>
    </row>
    <row r="325" spans="1:53" s="16" customFormat="1" outlineLevel="1" x14ac:dyDescent="0.35">
      <c r="A325" s="230"/>
      <c r="AB325" s="16" t="s">
        <v>776</v>
      </c>
      <c r="AC325" s="16">
        <v>0.5</v>
      </c>
    </row>
    <row r="326" spans="1:53" s="16" customFormat="1" outlineLevel="1" x14ac:dyDescent="0.35">
      <c r="A326" s="21"/>
      <c r="AB326" s="16" t="s">
        <v>129</v>
      </c>
      <c r="AC326" s="16">
        <v>25</v>
      </c>
      <c r="AD326" s="16" t="s">
        <v>130</v>
      </c>
    </row>
    <row r="327" spans="1:53" s="16" customFormat="1" outlineLevel="1" x14ac:dyDescent="0.35">
      <c r="A327" s="21"/>
      <c r="AB327" s="16" t="s">
        <v>777</v>
      </c>
      <c r="AC327" s="16">
        <v>6</v>
      </c>
      <c r="AD327" s="16" t="s">
        <v>779</v>
      </c>
    </row>
    <row r="328" spans="1:53" s="16" customFormat="1" outlineLevel="1" x14ac:dyDescent="0.35">
      <c r="A328" s="21"/>
      <c r="AB328" s="16" t="s">
        <v>778</v>
      </c>
      <c r="AC328" s="16">
        <v>20</v>
      </c>
      <c r="AD328" s="16" t="s">
        <v>130</v>
      </c>
    </row>
    <row r="329" spans="1:53" s="16" customFormat="1" outlineLevel="1" x14ac:dyDescent="0.35">
      <c r="AB329" s="16" t="s">
        <v>780</v>
      </c>
      <c r="AC329" s="16">
        <f>B315</f>
        <v>17123.287671232876</v>
      </c>
      <c r="AD329" s="16" t="s">
        <v>749</v>
      </c>
    </row>
    <row r="330" spans="1:53" s="16" customFormat="1" outlineLevel="1" x14ac:dyDescent="0.35"/>
    <row r="331" spans="1:53" s="16" customFormat="1" outlineLevel="1" x14ac:dyDescent="0.35">
      <c r="AB331" s="16" t="s">
        <v>798</v>
      </c>
      <c r="AC331" s="16">
        <v>0.25</v>
      </c>
    </row>
    <row r="332" spans="1:53" s="16" customFormat="1" outlineLevel="1" x14ac:dyDescent="0.35">
      <c r="A332" s="22"/>
      <c r="AB332" s="16" t="s">
        <v>799</v>
      </c>
      <c r="AC332" s="16">
        <v>0.9</v>
      </c>
    </row>
    <row r="333" spans="1:53" outlineLevel="1" x14ac:dyDescent="0.35">
      <c r="B333" s="25">
        <v>2030</v>
      </c>
      <c r="C333" s="25">
        <v>2031</v>
      </c>
      <c r="D333" s="25">
        <v>2032</v>
      </c>
      <c r="E333" s="25">
        <v>2033</v>
      </c>
      <c r="F333" s="25">
        <v>2034</v>
      </c>
      <c r="G333" s="25">
        <v>2035</v>
      </c>
      <c r="H333" s="25">
        <v>2036</v>
      </c>
      <c r="I333" s="25">
        <v>2037</v>
      </c>
      <c r="J333" s="25">
        <v>2038</v>
      </c>
      <c r="K333" s="25">
        <v>2039</v>
      </c>
      <c r="L333" s="25">
        <v>2040</v>
      </c>
      <c r="M333" s="25">
        <v>2041</v>
      </c>
      <c r="N333" s="25">
        <v>2042</v>
      </c>
      <c r="O333" s="25">
        <v>2043</v>
      </c>
      <c r="P333" s="25">
        <v>2044</v>
      </c>
      <c r="Q333" s="25">
        <v>2045</v>
      </c>
      <c r="R333" s="25">
        <v>2046</v>
      </c>
      <c r="S333" s="25">
        <v>2047</v>
      </c>
      <c r="T333" s="25">
        <v>2048</v>
      </c>
      <c r="U333" s="25">
        <v>2049</v>
      </c>
      <c r="V333" s="25">
        <v>2050</v>
      </c>
      <c r="W333" s="25">
        <v>2051</v>
      </c>
      <c r="X333" s="25">
        <v>2052</v>
      </c>
      <c r="Y333" s="25">
        <v>2053</v>
      </c>
      <c r="Z333" s="25">
        <v>2054</v>
      </c>
      <c r="AC333" s="25">
        <v>2030</v>
      </c>
      <c r="AD333" s="25">
        <v>2031</v>
      </c>
      <c r="AE333" s="25">
        <v>2032</v>
      </c>
      <c r="AF333" s="25">
        <v>2033</v>
      </c>
      <c r="AG333" s="25">
        <v>2034</v>
      </c>
      <c r="AH333" s="25">
        <v>2035</v>
      </c>
      <c r="AI333" s="25">
        <v>2036</v>
      </c>
      <c r="AJ333" s="25">
        <v>2037</v>
      </c>
      <c r="AK333" s="25">
        <v>2038</v>
      </c>
      <c r="AL333" s="25">
        <v>2039</v>
      </c>
      <c r="AM333" s="25">
        <v>2040</v>
      </c>
      <c r="AN333" s="25">
        <v>2041</v>
      </c>
      <c r="AO333" s="25">
        <v>2042</v>
      </c>
      <c r="AP333" s="25">
        <v>2043</v>
      </c>
      <c r="AQ333" s="25">
        <v>2044</v>
      </c>
      <c r="AR333" s="25">
        <v>2045</v>
      </c>
      <c r="AS333" s="25">
        <v>2046</v>
      </c>
      <c r="AT333" s="25">
        <v>2047</v>
      </c>
      <c r="AU333" s="25">
        <v>2048</v>
      </c>
      <c r="AV333" s="25">
        <v>2049</v>
      </c>
      <c r="AW333" s="25">
        <v>2050</v>
      </c>
      <c r="AX333" s="25">
        <v>2051</v>
      </c>
      <c r="AY333" s="25">
        <v>2052</v>
      </c>
      <c r="AZ333" s="25">
        <v>2053</v>
      </c>
      <c r="BA333" s="25">
        <v>2054</v>
      </c>
    </row>
    <row r="334" spans="1:53" outlineLevel="1" x14ac:dyDescent="0.35">
      <c r="A334" s="6" t="s">
        <v>21</v>
      </c>
      <c r="B334" s="6">
        <f>B50</f>
        <v>1.609797474401893E-6</v>
      </c>
      <c r="AB334" s="6" t="s">
        <v>117</v>
      </c>
      <c r="AC334" s="6">
        <f>SUM(B334:B345)+B347</f>
        <v>9.6835990969934167E-5</v>
      </c>
    </row>
    <row r="335" spans="1:53" outlineLevel="1" x14ac:dyDescent="0.35">
      <c r="A335" s="6" t="s">
        <v>23</v>
      </c>
      <c r="B335" s="6">
        <f t="shared" ref="B335:B345" si="41">B51</f>
        <v>3.5467374336619431E-6</v>
      </c>
      <c r="AB335" s="6" t="s">
        <v>118</v>
      </c>
      <c r="AC335" s="6">
        <f>B346</f>
        <v>2.6683008553381489E-6</v>
      </c>
    </row>
    <row r="336" spans="1:53" outlineLevel="1" x14ac:dyDescent="0.35">
      <c r="A336" s="6" t="s">
        <v>26</v>
      </c>
      <c r="B336" s="6">
        <f t="shared" si="41"/>
        <v>7.6861903308191347E-6</v>
      </c>
      <c r="AB336" s="6" t="s">
        <v>119</v>
      </c>
      <c r="BA336" s="6">
        <f>SUM(Z348:Z359)</f>
        <v>1.2390051343368202E-6</v>
      </c>
    </row>
    <row r="337" spans="1:53" outlineLevel="1" x14ac:dyDescent="0.35">
      <c r="A337" s="6" t="s">
        <v>28</v>
      </c>
      <c r="B337" s="6">
        <f t="shared" si="41"/>
        <v>5.5754416848237463E-6</v>
      </c>
      <c r="AB337" s="6" t="s">
        <v>120</v>
      </c>
      <c r="BA337" s="6">
        <f>Z360</f>
        <v>1.9486783533087439E-8</v>
      </c>
    </row>
    <row r="338" spans="1:53" outlineLevel="1" x14ac:dyDescent="0.35">
      <c r="A338" s="6" t="s">
        <v>29</v>
      </c>
      <c r="B338" s="6">
        <f t="shared" si="41"/>
        <v>5.3267061677277006E-6</v>
      </c>
      <c r="AB338" s="6" t="s">
        <v>121</v>
      </c>
      <c r="AC338" s="6">
        <f>B361</f>
        <v>1.8258940739667011E-6</v>
      </c>
      <c r="AF338" s="6">
        <f>E361</f>
        <v>1.767125439800878E-6</v>
      </c>
      <c r="AI338" s="6">
        <f>H361</f>
        <v>1.715497990639842E-6</v>
      </c>
      <c r="AL338" s="6">
        <f>K361</f>
        <v>1.657874882943543E-6</v>
      </c>
      <c r="AO338" s="6">
        <f>N361</f>
        <v>1.5963755513726221E-6</v>
      </c>
      <c r="AR338" s="6">
        <f>Q361</f>
        <v>1.5285765180628141E-6</v>
      </c>
      <c r="AU338" s="6">
        <f>T361</f>
        <v>1.48499946196324E-6</v>
      </c>
      <c r="AX338" s="6">
        <f>W361</f>
        <v>1.472270012135608E-6</v>
      </c>
      <c r="BA338" s="6">
        <f>Z361</f>
        <v>1.4696136355869061E-6</v>
      </c>
    </row>
    <row r="339" spans="1:53" outlineLevel="1" x14ac:dyDescent="0.35">
      <c r="A339" s="6" t="s">
        <v>31</v>
      </c>
      <c r="B339" s="6">
        <f t="shared" si="41"/>
        <v>4.3911713978771618E-6</v>
      </c>
      <c r="AB339" s="6" t="s">
        <v>797</v>
      </c>
      <c r="AC339" s="6">
        <f>B365</f>
        <v>2.8396496913287685E-5</v>
      </c>
      <c r="AD339" s="6">
        <f t="shared" ref="AD339:BA339" si="42">C365</f>
        <v>2.8396496913287685E-5</v>
      </c>
      <c r="AE339" s="6">
        <f t="shared" si="42"/>
        <v>2.8396496913287685E-5</v>
      </c>
      <c r="AF339" s="6">
        <f t="shared" si="42"/>
        <v>2.8396496913287685E-5</v>
      </c>
      <c r="AG339" s="6">
        <f t="shared" si="42"/>
        <v>2.8396496913287685E-5</v>
      </c>
      <c r="AH339" s="6">
        <f t="shared" si="42"/>
        <v>2.8396496913287685E-5</v>
      </c>
      <c r="AI339" s="6">
        <f t="shared" si="42"/>
        <v>2.8396496913287685E-5</v>
      </c>
      <c r="AJ339" s="6">
        <f t="shared" si="42"/>
        <v>2.8396496913287685E-5</v>
      </c>
      <c r="AK339" s="6">
        <f t="shared" si="42"/>
        <v>2.8396496913287685E-5</v>
      </c>
      <c r="AL339" s="6">
        <f t="shared" si="42"/>
        <v>2.8396496913287685E-5</v>
      </c>
      <c r="AM339" s="6">
        <f t="shared" si="42"/>
        <v>2.8396496913287685E-5</v>
      </c>
      <c r="AN339" s="6">
        <f t="shared" si="42"/>
        <v>2.8396496913287685E-5</v>
      </c>
      <c r="AO339" s="6">
        <f t="shared" si="42"/>
        <v>2.8396496913287685E-5</v>
      </c>
      <c r="AP339" s="6">
        <f t="shared" si="42"/>
        <v>2.8396496913287685E-5</v>
      </c>
      <c r="AQ339" s="6">
        <f t="shared" si="42"/>
        <v>2.8396496913287685E-5</v>
      </c>
      <c r="AR339" s="6">
        <f t="shared" si="42"/>
        <v>2.8396496913287685E-5</v>
      </c>
      <c r="AS339" s="6">
        <f t="shared" si="42"/>
        <v>2.8396496913287685E-5</v>
      </c>
      <c r="AT339" s="6">
        <f t="shared" si="42"/>
        <v>2.8396496913287685E-5</v>
      </c>
      <c r="AU339" s="6">
        <f t="shared" si="42"/>
        <v>2.8396496913287685E-5</v>
      </c>
      <c r="AV339" s="6">
        <f t="shared" si="42"/>
        <v>2.8396496913287685E-5</v>
      </c>
      <c r="AW339" s="6">
        <f t="shared" si="42"/>
        <v>2.8396496913287685E-5</v>
      </c>
      <c r="AX339" s="6">
        <f t="shared" si="42"/>
        <v>2.8396496913287685E-5</v>
      </c>
      <c r="AY339" s="6">
        <f t="shared" si="42"/>
        <v>2.8396496913287685E-5</v>
      </c>
      <c r="AZ339" s="6">
        <f t="shared" si="42"/>
        <v>2.8396496913287685E-5</v>
      </c>
      <c r="BA339" s="6">
        <f t="shared" si="42"/>
        <v>2.8396496913287685E-5</v>
      </c>
    </row>
    <row r="340" spans="1:53" outlineLevel="1" x14ac:dyDescent="0.35">
      <c r="A340" s="6" t="s">
        <v>34</v>
      </c>
      <c r="B340" s="6">
        <f t="shared" si="41"/>
        <v>3.1665482978630201E-6</v>
      </c>
      <c r="AB340" s="6" t="s">
        <v>122</v>
      </c>
      <c r="AC340" s="6">
        <f t="shared" ref="AC340:AV340" si="43">B364+B363</f>
        <v>2.0472577534716749E-5</v>
      </c>
      <c r="AD340" s="6">
        <f t="shared" si="43"/>
        <v>2.0375247353667907E-5</v>
      </c>
      <c r="AE340" s="6">
        <f t="shared" si="43"/>
        <v>2.0273846510199692E-5</v>
      </c>
      <c r="AF340" s="6">
        <f t="shared" si="43"/>
        <v>2.0124024506072951E-5</v>
      </c>
      <c r="AG340" s="6">
        <f t="shared" si="43"/>
        <v>2.0014874931021467E-5</v>
      </c>
      <c r="AH340" s="6">
        <f t="shared" si="43"/>
        <v>1.9901926300003967E-5</v>
      </c>
      <c r="AI340" s="6">
        <f t="shared" si="43"/>
        <v>1.9808620890272997E-5</v>
      </c>
      <c r="AJ340" s="6">
        <f t="shared" si="43"/>
        <v>1.9721008711035555E-5</v>
      </c>
      <c r="AK340" s="6">
        <f t="shared" si="43"/>
        <v>1.9605661212154571E-5</v>
      </c>
      <c r="AL340" s="6">
        <f t="shared" si="43"/>
        <v>1.9516686481139465E-5</v>
      </c>
      <c r="AM340" s="6">
        <f t="shared" si="43"/>
        <v>1.9425403527480102E-5</v>
      </c>
      <c r="AN340" s="6">
        <f t="shared" si="43"/>
        <v>1.9368796385093964E-5</v>
      </c>
      <c r="AO340" s="6">
        <f t="shared" si="43"/>
        <v>1.9312427087566492E-5</v>
      </c>
      <c r="AP340" s="6">
        <f t="shared" si="43"/>
        <v>1.9245104342678316E-5</v>
      </c>
      <c r="AQ340" s="6">
        <f t="shared" si="43"/>
        <v>1.9189144822981934E-5</v>
      </c>
      <c r="AR340" s="6">
        <f t="shared" si="43"/>
        <v>1.913400491947393E-5</v>
      </c>
      <c r="AS340" s="6">
        <f t="shared" si="43"/>
        <v>1.9106902198034067E-5</v>
      </c>
      <c r="AT340" s="6">
        <f t="shared" si="43"/>
        <v>1.9081084294988679E-5</v>
      </c>
      <c r="AU340" s="6">
        <f t="shared" si="43"/>
        <v>1.9044557727402269E-5</v>
      </c>
      <c r="AV340" s="6">
        <f t="shared" si="43"/>
        <v>1.902305892636861E-5</v>
      </c>
      <c r="AW340" s="6">
        <f>V364</f>
        <v>1.890316844689203E-5</v>
      </c>
      <c r="AX340" s="6">
        <f>W364</f>
        <v>1.9048278662906038E-5</v>
      </c>
      <c r="AY340" s="6">
        <f>X364</f>
        <v>1.9044929078775051E-5</v>
      </c>
      <c r="AZ340" s="6">
        <f>Y364</f>
        <v>1.9041653166520602E-5</v>
      </c>
      <c r="BA340" s="6">
        <f>Z364</f>
        <v>1.9038465860113015E-5</v>
      </c>
    </row>
    <row r="341" spans="1:53" outlineLevel="1" x14ac:dyDescent="0.35">
      <c r="A341" s="6" t="s">
        <v>36</v>
      </c>
      <c r="B341" s="6">
        <f t="shared" si="41"/>
        <v>2.8586045900839591E-6</v>
      </c>
      <c r="AB341" s="6" t="s">
        <v>123</v>
      </c>
      <c r="AC341" s="6">
        <f t="shared" ref="AC341:BA341" si="44">B362</f>
        <v>2.9627405769331587E-6</v>
      </c>
      <c r="AD341" s="6">
        <f t="shared" si="44"/>
        <v>2.7850399556982692E-6</v>
      </c>
      <c r="AE341" s="6">
        <f t="shared" si="44"/>
        <v>2.6077708802747882E-6</v>
      </c>
      <c r="AF341" s="6">
        <f t="shared" si="44"/>
        <v>2.4285316612736731E-6</v>
      </c>
      <c r="AG341" s="6">
        <f t="shared" si="44"/>
        <v>2.2520928239709843E-6</v>
      </c>
      <c r="AH341" s="6">
        <f t="shared" si="44"/>
        <v>2.0761342011043936E-6</v>
      </c>
      <c r="AI341" s="6">
        <f t="shared" si="44"/>
        <v>1.9960547423109155E-6</v>
      </c>
      <c r="AJ341" s="6">
        <f t="shared" si="44"/>
        <v>1.9157618939411003E-6</v>
      </c>
      <c r="AK341" s="6">
        <f t="shared" si="44"/>
        <v>1.8330836385168129E-6</v>
      </c>
      <c r="AL341" s="6">
        <f t="shared" si="44"/>
        <v>1.7521317354581976E-6</v>
      </c>
      <c r="AM341" s="6">
        <f t="shared" si="44"/>
        <v>1.6708924435135774E-6</v>
      </c>
      <c r="AN341" s="6">
        <f t="shared" si="44"/>
        <v>1.6348374738368009E-6</v>
      </c>
      <c r="AO341" s="6">
        <f t="shared" si="44"/>
        <v>1.5985078759947804E-6</v>
      </c>
      <c r="AP341" s="6">
        <f t="shared" si="44"/>
        <v>1.5609827594701211E-6</v>
      </c>
      <c r="AQ341" s="6">
        <f t="shared" si="44"/>
        <v>1.523787580820132E-6</v>
      </c>
      <c r="AR341" s="6">
        <f t="shared" si="44"/>
        <v>1.4863028168677589E-6</v>
      </c>
      <c r="AS341" s="6">
        <f t="shared" si="44"/>
        <v>1.481251627586909E-6</v>
      </c>
      <c r="AT341" s="6">
        <f t="shared" si="44"/>
        <v>1.4764044201864714E-6</v>
      </c>
      <c r="AU341" s="6">
        <f t="shared" si="44"/>
        <v>1.4709318841744354E-6</v>
      </c>
      <c r="AV341" s="6">
        <f t="shared" si="44"/>
        <v>1.4664033157864785E-6</v>
      </c>
      <c r="AW341" s="6">
        <f t="shared" si="44"/>
        <v>1.4620549759303581E-6</v>
      </c>
      <c r="AX341" s="6">
        <f t="shared" si="44"/>
        <v>1.4905688000429741E-6</v>
      </c>
      <c r="AY341" s="6">
        <f t="shared" si="44"/>
        <v>1.4826232511490953E-6</v>
      </c>
      <c r="AZ341" s="6">
        <f t="shared" si="44"/>
        <v>1.4746295472403371E-6</v>
      </c>
      <c r="BA341" s="6">
        <f t="shared" si="44"/>
        <v>1.466585361011609E-6</v>
      </c>
    </row>
    <row r="342" spans="1:53" outlineLevel="1" x14ac:dyDescent="0.35">
      <c r="A342" s="6" t="s">
        <v>38</v>
      </c>
      <c r="B342" s="6">
        <f t="shared" si="41"/>
        <v>1.067192873941967E-5</v>
      </c>
      <c r="AB342" s="6" t="s">
        <v>124</v>
      </c>
      <c r="AC342" s="6">
        <f>-$AC$323*$AC$324</f>
        <v>-2.6600725000000003E-5</v>
      </c>
      <c r="AD342" s="6">
        <f t="shared" ref="AD342:BA342" si="45">-$AC$323*$AC$324</f>
        <v>-2.6600725000000003E-5</v>
      </c>
      <c r="AE342" s="6">
        <f t="shared" si="45"/>
        <v>-2.6600725000000003E-5</v>
      </c>
      <c r="AF342" s="6">
        <f t="shared" si="45"/>
        <v>-2.6600725000000003E-5</v>
      </c>
      <c r="AG342" s="6">
        <f t="shared" si="45"/>
        <v>-2.6600725000000003E-5</v>
      </c>
      <c r="AH342" s="6">
        <f t="shared" si="45"/>
        <v>-2.6600725000000003E-5</v>
      </c>
      <c r="AI342" s="6">
        <f t="shared" si="45"/>
        <v>-2.6600725000000003E-5</v>
      </c>
      <c r="AJ342" s="6">
        <f t="shared" si="45"/>
        <v>-2.6600725000000003E-5</v>
      </c>
      <c r="AK342" s="6">
        <f t="shared" si="45"/>
        <v>-2.6600725000000003E-5</v>
      </c>
      <c r="AL342" s="6">
        <f t="shared" si="45"/>
        <v>-2.6600725000000003E-5</v>
      </c>
      <c r="AM342" s="6">
        <f t="shared" si="45"/>
        <v>-2.6600725000000003E-5</v>
      </c>
      <c r="AN342" s="6">
        <f t="shared" si="45"/>
        <v>-2.6600725000000003E-5</v>
      </c>
      <c r="AO342" s="6">
        <f t="shared" si="45"/>
        <v>-2.6600725000000003E-5</v>
      </c>
      <c r="AP342" s="6">
        <f t="shared" si="45"/>
        <v>-2.6600725000000003E-5</v>
      </c>
      <c r="AQ342" s="6">
        <f t="shared" si="45"/>
        <v>-2.6600725000000003E-5</v>
      </c>
      <c r="AR342" s="6">
        <f t="shared" si="45"/>
        <v>-2.6600725000000003E-5</v>
      </c>
      <c r="AS342" s="6">
        <f t="shared" si="45"/>
        <v>-2.6600725000000003E-5</v>
      </c>
      <c r="AT342" s="6">
        <f t="shared" si="45"/>
        <v>-2.6600725000000003E-5</v>
      </c>
      <c r="AU342" s="6">
        <f t="shared" si="45"/>
        <v>-2.6600725000000003E-5</v>
      </c>
      <c r="AV342" s="6">
        <f t="shared" si="45"/>
        <v>-2.6600725000000003E-5</v>
      </c>
      <c r="AW342" s="6">
        <f t="shared" si="45"/>
        <v>-2.6600725000000003E-5</v>
      </c>
      <c r="AX342" s="6">
        <f t="shared" si="45"/>
        <v>-2.6600725000000003E-5</v>
      </c>
      <c r="AY342" s="6">
        <f t="shared" si="45"/>
        <v>-2.6600725000000003E-5</v>
      </c>
      <c r="AZ342" s="6">
        <f t="shared" si="45"/>
        <v>-2.6600725000000003E-5</v>
      </c>
      <c r="BA342" s="6">
        <f t="shared" si="45"/>
        <v>-2.6600725000000003E-5</v>
      </c>
    </row>
    <row r="343" spans="1:53" outlineLevel="1" x14ac:dyDescent="0.35">
      <c r="A343" s="6" t="s">
        <v>39</v>
      </c>
      <c r="B343" s="6">
        <f t="shared" si="41"/>
        <v>4.322521895367326E-5</v>
      </c>
      <c r="AB343" s="23" t="s">
        <v>125</v>
      </c>
      <c r="AC343" s="17">
        <f t="shared" ref="AC343:BA343" si="46">SUM(AC334:AC342)</f>
        <v>1.2656127592417662E-4</v>
      </c>
      <c r="AD343" s="17">
        <f t="shared" si="46"/>
        <v>2.495605922265386E-5</v>
      </c>
      <c r="AE343" s="17">
        <f t="shared" si="46"/>
        <v>2.4677389303762165E-5</v>
      </c>
      <c r="AF343" s="17">
        <f t="shared" si="46"/>
        <v>2.6115453520435189E-5</v>
      </c>
      <c r="AG343" s="17">
        <f t="shared" si="46"/>
        <v>2.4062739668280128E-5</v>
      </c>
      <c r="AH343" s="17">
        <f t="shared" si="46"/>
        <v>2.377383241439604E-5</v>
      </c>
      <c r="AI343" s="17">
        <f t="shared" si="46"/>
        <v>2.531594553651144E-5</v>
      </c>
      <c r="AJ343" s="17">
        <f t="shared" si="46"/>
        <v>2.343254251826434E-5</v>
      </c>
      <c r="AK343" s="17">
        <f t="shared" si="46"/>
        <v>2.3234516763959069E-5</v>
      </c>
      <c r="AL343" s="17">
        <f t="shared" si="46"/>
        <v>2.4722465012828883E-5</v>
      </c>
      <c r="AM343" s="17">
        <f t="shared" si="46"/>
        <v>2.289206788428136E-5</v>
      </c>
      <c r="AN343" s="17">
        <f t="shared" si="46"/>
        <v>2.2799405772218445E-5</v>
      </c>
      <c r="AO343" s="17">
        <f t="shared" si="46"/>
        <v>2.4303082428221581E-5</v>
      </c>
      <c r="AP343" s="17">
        <f t="shared" si="46"/>
        <v>2.2601859015436121E-5</v>
      </c>
      <c r="AQ343" s="17">
        <f t="shared" si="46"/>
        <v>2.250870431708975E-5</v>
      </c>
      <c r="AR343" s="17">
        <f t="shared" si="46"/>
        <v>2.3944656167692186E-5</v>
      </c>
      <c r="AS343" s="17">
        <f t="shared" si="46"/>
        <v>2.2383925738908662E-5</v>
      </c>
      <c r="AT343" s="17">
        <f t="shared" si="46"/>
        <v>2.2353260628462833E-5</v>
      </c>
      <c r="AU343" s="17">
        <f t="shared" si="46"/>
        <v>2.3796260986827633E-5</v>
      </c>
      <c r="AV343" s="17">
        <f t="shared" si="46"/>
        <v>2.2285234155442775E-5</v>
      </c>
      <c r="AW343" s="17">
        <f t="shared" si="46"/>
        <v>2.216099533611007E-5</v>
      </c>
      <c r="AX343" s="17">
        <f t="shared" si="46"/>
        <v>2.3806889388372301E-5</v>
      </c>
      <c r="AY343" s="17">
        <f t="shared" si="46"/>
        <v>2.2323324243211822E-5</v>
      </c>
      <c r="AZ343" s="17">
        <f t="shared" si="46"/>
        <v>2.2312054627048621E-5</v>
      </c>
      <c r="BA343" s="17">
        <f t="shared" si="46"/>
        <v>2.5028928687869121E-5</v>
      </c>
    </row>
    <row r="344" spans="1:53" outlineLevel="1" x14ac:dyDescent="0.35">
      <c r="A344" s="6" t="s">
        <v>41</v>
      </c>
      <c r="B344" s="6">
        <f t="shared" si="41"/>
        <v>4.0818998483130582E-7</v>
      </c>
    </row>
    <row r="345" spans="1:53" outlineLevel="1" x14ac:dyDescent="0.35">
      <c r="A345" s="6" t="s">
        <v>43</v>
      </c>
      <c r="B345" s="6">
        <f t="shared" si="41"/>
        <v>7.6985782370224699E-7</v>
      </c>
      <c r="AB345" s="272"/>
      <c r="AC345" s="272"/>
      <c r="AD345" s="272"/>
      <c r="AE345" s="272"/>
      <c r="AF345" s="272"/>
      <c r="AG345" s="272"/>
      <c r="AH345" s="272"/>
      <c r="AI345" s="272"/>
      <c r="AJ345" s="272"/>
      <c r="AK345" s="272"/>
      <c r="AL345" s="272"/>
      <c r="AM345" s="272"/>
      <c r="AN345" s="272"/>
      <c r="AO345" s="272"/>
      <c r="AP345" s="272"/>
      <c r="AQ345" s="272"/>
      <c r="AR345" s="272"/>
      <c r="AS345" s="272"/>
      <c r="AT345" s="272"/>
      <c r="AU345" s="272"/>
      <c r="AV345" s="272"/>
      <c r="AW345" s="272"/>
      <c r="AX345" s="272"/>
      <c r="AY345" s="272"/>
      <c r="AZ345" s="272"/>
      <c r="BA345" s="272"/>
    </row>
    <row r="346" spans="1:53" outlineLevel="1" x14ac:dyDescent="0.35">
      <c r="A346" s="6" t="s">
        <v>44</v>
      </c>
      <c r="B346" s="6">
        <f>B62*AC325</f>
        <v>2.6683008553381489E-6</v>
      </c>
      <c r="AB346" s="272"/>
      <c r="AC346" s="272"/>
      <c r="AD346" s="272"/>
      <c r="AE346" s="272"/>
      <c r="AF346" s="272"/>
      <c r="AG346" s="272"/>
      <c r="AH346" s="272"/>
      <c r="AI346" s="272"/>
      <c r="AJ346" s="272"/>
      <c r="AK346" s="272"/>
      <c r="AL346" s="272"/>
      <c r="AM346" s="272"/>
      <c r="AN346" s="272"/>
      <c r="AO346" s="272"/>
      <c r="AP346" s="272"/>
      <c r="AQ346" s="272"/>
      <c r="AR346" s="272"/>
      <c r="AS346" s="272"/>
      <c r="AT346" s="272"/>
      <c r="AU346" s="272"/>
      <c r="AV346" s="272"/>
      <c r="AW346" s="272"/>
      <c r="AX346" s="272"/>
      <c r="AY346" s="272"/>
      <c r="AZ346" s="272"/>
      <c r="BA346" s="272"/>
    </row>
    <row r="347" spans="1:53" outlineLevel="1" x14ac:dyDescent="0.35">
      <c r="A347" s="6" t="s">
        <v>757</v>
      </c>
      <c r="B347" s="6">
        <f>B63*AC325</f>
        <v>7.5995980910491313E-6</v>
      </c>
      <c r="AB347" s="272"/>
      <c r="AC347" s="272"/>
      <c r="AD347" s="272"/>
      <c r="AE347" s="272"/>
      <c r="AF347" s="272"/>
      <c r="AG347" s="272"/>
      <c r="AH347" s="272"/>
      <c r="AI347" s="272"/>
      <c r="AJ347" s="272"/>
      <c r="AK347" s="272"/>
      <c r="AL347" s="272"/>
      <c r="AM347" s="272"/>
      <c r="AN347" s="272"/>
      <c r="AO347" s="272"/>
      <c r="AP347" s="272"/>
      <c r="AQ347" s="272"/>
      <c r="AR347" s="272"/>
      <c r="AS347" s="272"/>
      <c r="AT347" s="272"/>
      <c r="AU347" s="272"/>
      <c r="AV347" s="272"/>
      <c r="AW347" s="272"/>
      <c r="AX347" s="272"/>
      <c r="AY347" s="272"/>
      <c r="AZ347" s="272"/>
      <c r="BA347" s="272"/>
    </row>
    <row r="348" spans="1:53" outlineLevel="1" x14ac:dyDescent="0.35">
      <c r="A348" s="6" t="s">
        <v>22</v>
      </c>
      <c r="Z348" s="6">
        <f>Z64</f>
        <v>1.860554909281469E-8</v>
      </c>
      <c r="AB348" s="272"/>
      <c r="AC348" s="272"/>
      <c r="AD348" s="272"/>
      <c r="AE348" s="272"/>
      <c r="AF348" s="272"/>
      <c r="AG348" s="272"/>
      <c r="AH348" s="272"/>
      <c r="AI348" s="272"/>
      <c r="AJ348" s="272"/>
      <c r="AK348" s="272"/>
      <c r="AL348" s="272"/>
      <c r="AM348" s="272"/>
      <c r="AN348" s="272"/>
      <c r="AO348" s="272"/>
      <c r="AP348" s="272"/>
      <c r="AQ348" s="272"/>
      <c r="AR348" s="272"/>
      <c r="AS348" s="272"/>
      <c r="AT348" s="272"/>
      <c r="AU348" s="272"/>
      <c r="AV348" s="272"/>
      <c r="AW348" s="272"/>
      <c r="AX348" s="272"/>
      <c r="AY348" s="272"/>
      <c r="AZ348" s="272"/>
      <c r="BA348" s="272"/>
    </row>
    <row r="349" spans="1:53" outlineLevel="1" x14ac:dyDescent="0.35">
      <c r="A349" s="6" t="s">
        <v>24</v>
      </c>
      <c r="Z349" s="6">
        <f t="shared" ref="Z349:Z359" si="47">Z65</f>
        <v>1.262226278974253E-8</v>
      </c>
      <c r="AB349" s="272"/>
      <c r="AC349" s="272"/>
      <c r="AD349" s="272"/>
      <c r="AE349" s="272"/>
      <c r="AF349" s="272"/>
      <c r="AG349" s="272"/>
      <c r="AH349" s="272"/>
      <c r="AI349" s="272"/>
      <c r="AJ349" s="272"/>
      <c r="AK349" s="272"/>
      <c r="AL349" s="272"/>
      <c r="AM349" s="272"/>
      <c r="AN349" s="272"/>
      <c r="AO349" s="272"/>
      <c r="AP349" s="272"/>
      <c r="AQ349" s="272"/>
      <c r="AR349" s="272"/>
      <c r="AS349" s="272"/>
      <c r="AT349" s="272"/>
      <c r="AU349" s="272"/>
      <c r="AV349" s="272"/>
      <c r="AW349" s="272"/>
      <c r="AX349" s="272"/>
      <c r="AY349" s="272"/>
      <c r="AZ349" s="272"/>
      <c r="BA349" s="272"/>
    </row>
    <row r="350" spans="1:53" outlineLevel="1" x14ac:dyDescent="0.35">
      <c r="A350" s="6" t="s">
        <v>25</v>
      </c>
      <c r="Z350" s="6">
        <f t="shared" si="47"/>
        <v>6.2614608470302606E-8</v>
      </c>
      <c r="AB350" s="272"/>
      <c r="AC350" s="272"/>
      <c r="AD350" s="272"/>
      <c r="AE350" s="272"/>
      <c r="AF350" s="272"/>
      <c r="AG350" s="272"/>
      <c r="AH350" s="272"/>
      <c r="AI350" s="272"/>
      <c r="AJ350" s="272"/>
      <c r="AK350" s="272"/>
      <c r="AL350" s="272"/>
      <c r="AM350" s="272"/>
      <c r="AN350" s="272"/>
      <c r="AO350" s="272"/>
      <c r="AP350" s="272"/>
      <c r="AQ350" s="272"/>
      <c r="AR350" s="272"/>
      <c r="AS350" s="272"/>
      <c r="AT350" s="272"/>
      <c r="AU350" s="272"/>
      <c r="AV350" s="272"/>
      <c r="AW350" s="272"/>
      <c r="AX350" s="272"/>
      <c r="AY350" s="272"/>
      <c r="AZ350" s="272"/>
      <c r="BA350" s="272"/>
    </row>
    <row r="351" spans="1:53" outlineLevel="1" x14ac:dyDescent="0.35">
      <c r="A351" s="6" t="s">
        <v>27</v>
      </c>
      <c r="Z351" s="6">
        <f t="shared" si="47"/>
        <v>2.6478415356855921E-8</v>
      </c>
      <c r="AB351" s="272"/>
      <c r="AC351" s="272"/>
      <c r="AD351" s="272"/>
      <c r="AE351" s="272"/>
      <c r="AF351" s="272"/>
      <c r="AG351" s="272"/>
      <c r="AH351" s="272"/>
      <c r="AI351" s="272"/>
      <c r="AJ351" s="272"/>
      <c r="AK351" s="272"/>
      <c r="AL351" s="272"/>
      <c r="AM351" s="272"/>
      <c r="AN351" s="272"/>
      <c r="AO351" s="272"/>
      <c r="AP351" s="272"/>
      <c r="AQ351" s="272"/>
      <c r="AR351" s="272"/>
      <c r="AS351" s="272"/>
      <c r="AT351" s="272"/>
      <c r="AU351" s="272"/>
      <c r="AV351" s="272"/>
      <c r="AW351" s="272"/>
      <c r="AX351" s="272"/>
      <c r="AY351" s="272"/>
      <c r="AZ351" s="272"/>
      <c r="BA351" s="272"/>
    </row>
    <row r="352" spans="1:53" outlineLevel="1" x14ac:dyDescent="0.35">
      <c r="A352" s="6" t="s">
        <v>30</v>
      </c>
      <c r="Z352" s="6">
        <f t="shared" si="47"/>
        <v>2.4175822784893721E-8</v>
      </c>
      <c r="AB352" s="272"/>
      <c r="AC352" s="272"/>
      <c r="AD352" s="272"/>
      <c r="AE352" s="272"/>
      <c r="AF352" s="272"/>
      <c r="AG352" s="272"/>
      <c r="AH352" s="272"/>
      <c r="AI352" s="272"/>
      <c r="AJ352" s="272"/>
      <c r="AK352" s="272"/>
      <c r="AL352" s="272"/>
      <c r="AM352" s="272"/>
      <c r="AN352" s="272"/>
      <c r="AO352" s="272"/>
      <c r="AP352" s="272"/>
      <c r="AQ352" s="272"/>
      <c r="AR352" s="272"/>
      <c r="AS352" s="272"/>
      <c r="AT352" s="272"/>
      <c r="AU352" s="272"/>
      <c r="AV352" s="272"/>
      <c r="AW352" s="272"/>
      <c r="AX352" s="272"/>
      <c r="AY352" s="272"/>
      <c r="AZ352" s="272"/>
      <c r="BA352" s="272"/>
    </row>
    <row r="353" spans="1:53" outlineLevel="1" x14ac:dyDescent="0.35">
      <c r="A353" s="6" t="s">
        <v>32</v>
      </c>
      <c r="Z353" s="6">
        <f t="shared" si="47"/>
        <v>4.4108540167183628E-9</v>
      </c>
      <c r="AB353" s="272"/>
      <c r="AC353" s="272"/>
      <c r="AD353" s="272"/>
      <c r="AE353" s="272"/>
      <c r="AF353" s="272"/>
      <c r="AG353" s="272"/>
      <c r="AH353" s="272"/>
      <c r="AI353" s="272"/>
      <c r="AJ353" s="272"/>
      <c r="AK353" s="272"/>
      <c r="AL353" s="272"/>
      <c r="AM353" s="272"/>
      <c r="AN353" s="272"/>
      <c r="AO353" s="272"/>
      <c r="AP353" s="272"/>
      <c r="AQ353" s="272"/>
      <c r="AR353" s="272"/>
      <c r="AS353" s="272"/>
      <c r="AT353" s="272"/>
      <c r="AU353" s="272"/>
      <c r="AV353" s="272"/>
      <c r="AW353" s="272"/>
      <c r="AX353" s="272"/>
      <c r="AY353" s="272"/>
      <c r="AZ353" s="272"/>
      <c r="BA353" s="272"/>
    </row>
    <row r="354" spans="1:53" outlineLevel="1" x14ac:dyDescent="0.35">
      <c r="A354" s="6" t="s">
        <v>33</v>
      </c>
      <c r="Z354" s="6">
        <f t="shared" si="47"/>
        <v>6.2881408457333817E-9</v>
      </c>
      <c r="AB354" s="272"/>
      <c r="AC354" s="272"/>
      <c r="AD354" s="272"/>
      <c r="AE354" s="272"/>
      <c r="AF354" s="272"/>
      <c r="AG354" s="272"/>
      <c r="AH354" s="272"/>
      <c r="AI354" s="272"/>
      <c r="AJ354" s="272"/>
      <c r="AK354" s="272"/>
      <c r="AL354" s="272"/>
      <c r="AM354" s="272"/>
      <c r="AN354" s="272"/>
      <c r="AO354" s="272"/>
      <c r="AP354" s="272"/>
      <c r="AQ354" s="272"/>
      <c r="AR354" s="272"/>
      <c r="AS354" s="272"/>
      <c r="AT354" s="272"/>
      <c r="AU354" s="272"/>
      <c r="AV354" s="272"/>
      <c r="AW354" s="272"/>
      <c r="AX354" s="272"/>
      <c r="AY354" s="272"/>
      <c r="AZ354" s="272"/>
      <c r="BA354" s="272"/>
    </row>
    <row r="355" spans="1:53" outlineLevel="1" x14ac:dyDescent="0.35">
      <c r="A355" s="6" t="s">
        <v>35</v>
      </c>
      <c r="Z355" s="6">
        <f t="shared" si="47"/>
        <v>1.257628169146676E-8</v>
      </c>
      <c r="AB355" s="272"/>
      <c r="AC355" s="272"/>
      <c r="AD355" s="272"/>
      <c r="AE355" s="272"/>
      <c r="AF355" s="272"/>
      <c r="AG355" s="272"/>
      <c r="AH355" s="272"/>
      <c r="AI355" s="272"/>
      <c r="AJ355" s="272"/>
      <c r="AK355" s="272"/>
      <c r="AL355" s="272"/>
      <c r="AM355" s="272"/>
      <c r="AN355" s="272"/>
      <c r="AO355" s="272"/>
      <c r="AP355" s="272"/>
      <c r="AQ355" s="272"/>
      <c r="AR355" s="272"/>
      <c r="AS355" s="272"/>
      <c r="AT355" s="272"/>
      <c r="AU355" s="272"/>
      <c r="AV355" s="272"/>
      <c r="AW355" s="272"/>
      <c r="AX355" s="272"/>
      <c r="AY355" s="272"/>
      <c r="AZ355" s="272"/>
      <c r="BA355" s="272"/>
    </row>
    <row r="356" spans="1:53" outlineLevel="1" x14ac:dyDescent="0.35">
      <c r="A356" s="6" t="s">
        <v>37</v>
      </c>
      <c r="Z356" s="6">
        <f t="shared" si="47"/>
        <v>7.4742638939308088E-8</v>
      </c>
      <c r="AB356" s="272"/>
      <c r="AC356" s="272"/>
      <c r="AD356" s="272"/>
      <c r="AE356" s="272"/>
      <c r="AF356" s="272"/>
      <c r="AG356" s="272"/>
      <c r="AH356" s="272"/>
      <c r="AI356" s="272"/>
      <c r="AJ356" s="272"/>
      <c r="AK356" s="272"/>
      <c r="AL356" s="272"/>
      <c r="AM356" s="272"/>
      <c r="AN356" s="272"/>
      <c r="AO356" s="272"/>
      <c r="AP356" s="272"/>
      <c r="AQ356" s="272"/>
      <c r="AR356" s="272"/>
      <c r="AS356" s="272"/>
      <c r="AT356" s="272"/>
      <c r="AU356" s="272"/>
      <c r="AV356" s="272"/>
      <c r="AW356" s="272"/>
      <c r="AX356" s="272"/>
      <c r="AY356" s="272"/>
      <c r="AZ356" s="272"/>
      <c r="BA356" s="272"/>
    </row>
    <row r="357" spans="1:53" outlineLevel="1" x14ac:dyDescent="0.35">
      <c r="A357" s="6" t="s">
        <v>40</v>
      </c>
      <c r="Z357" s="6">
        <f t="shared" si="47"/>
        <v>3.189126286043751E-7</v>
      </c>
    </row>
    <row r="358" spans="1:53" outlineLevel="1" x14ac:dyDescent="0.35">
      <c r="A358" s="6" t="s">
        <v>42</v>
      </c>
      <c r="Z358" s="6">
        <f t="shared" si="47"/>
        <v>1.081344037995507E-7</v>
      </c>
    </row>
    <row r="359" spans="1:53" outlineLevel="1" x14ac:dyDescent="0.35">
      <c r="A359" s="6" t="s">
        <v>115</v>
      </c>
      <c r="Z359" s="6">
        <f t="shared" si="47"/>
        <v>5.6944352794505851E-7</v>
      </c>
    </row>
    <row r="360" spans="1:53" outlineLevel="1" x14ac:dyDescent="0.35">
      <c r="A360" s="6" t="s">
        <v>45</v>
      </c>
      <c r="Z360" s="6">
        <f>Z76*AC325</f>
        <v>1.9486783533087439E-8</v>
      </c>
    </row>
    <row r="361" spans="1:53" outlineLevel="1" x14ac:dyDescent="0.35">
      <c r="A361" s="6" t="s">
        <v>116</v>
      </c>
      <c r="B361" s="6">
        <f>B77</f>
        <v>1.8258940739667011E-6</v>
      </c>
      <c r="C361" s="6">
        <f t="shared" ref="C361:Z361" si="48">C77</f>
        <v>1.8097853889646081E-6</v>
      </c>
      <c r="D361" s="6">
        <f t="shared" si="48"/>
        <v>1.793249144672149E-6</v>
      </c>
      <c r="E361" s="6">
        <f t="shared" si="48"/>
        <v>1.767125439800878E-6</v>
      </c>
      <c r="F361" s="6">
        <f t="shared" si="48"/>
        <v>1.749722155215245E-6</v>
      </c>
      <c r="G361" s="6">
        <f t="shared" si="48"/>
        <v>1.731949971034127E-6</v>
      </c>
      <c r="H361" s="6">
        <f t="shared" si="48"/>
        <v>1.715497990639842E-6</v>
      </c>
      <c r="I361" s="6">
        <f t="shared" si="48"/>
        <v>1.6986937001121861E-6</v>
      </c>
      <c r="J361" s="6">
        <f t="shared" si="48"/>
        <v>1.675613778626544E-6</v>
      </c>
      <c r="K361" s="6">
        <f t="shared" si="48"/>
        <v>1.657874882943543E-6</v>
      </c>
      <c r="L361" s="6">
        <f t="shared" si="48"/>
        <v>1.6397616759242281E-6</v>
      </c>
      <c r="M361" s="6">
        <f t="shared" si="48"/>
        <v>1.618071746058483E-6</v>
      </c>
      <c r="N361" s="6">
        <f t="shared" si="48"/>
        <v>1.5963755513726221E-6</v>
      </c>
      <c r="O361" s="6">
        <f t="shared" si="48"/>
        <v>1.572208258688587E-6</v>
      </c>
      <c r="P361" s="6">
        <f t="shared" si="48"/>
        <v>1.5504021092391091E-6</v>
      </c>
      <c r="Q361" s="6">
        <f t="shared" si="48"/>
        <v>1.5285765180628141E-6</v>
      </c>
      <c r="R361" s="6">
        <f t="shared" si="48"/>
        <v>1.51498233235843E-6</v>
      </c>
      <c r="S361" s="6">
        <f t="shared" si="48"/>
        <v>1.5013228590328331E-6</v>
      </c>
      <c r="T361" s="6">
        <f t="shared" si="48"/>
        <v>1.48499946196324E-6</v>
      </c>
      <c r="U361" s="6">
        <f t="shared" si="48"/>
        <v>1.4712632497413719E-6</v>
      </c>
      <c r="V361" s="6">
        <f t="shared" si="48"/>
        <v>1.457559175001213E-6</v>
      </c>
      <c r="W361" s="6">
        <f t="shared" si="48"/>
        <v>1.472270012135608E-6</v>
      </c>
      <c r="X361" s="6">
        <f t="shared" si="48"/>
        <v>1.4713669409346271E-6</v>
      </c>
      <c r="Y361" s="6">
        <f t="shared" si="48"/>
        <v>1.4704817520773229E-6</v>
      </c>
      <c r="Z361" s="6">
        <f t="shared" si="48"/>
        <v>1.4696136355869061E-6</v>
      </c>
    </row>
    <row r="362" spans="1:53" outlineLevel="1" x14ac:dyDescent="0.35">
      <c r="A362" s="6" t="s">
        <v>758</v>
      </c>
      <c r="B362" s="6">
        <f>B78*$AC$325</f>
        <v>2.9627405769331587E-6</v>
      </c>
      <c r="C362" s="6">
        <f t="shared" ref="C362:Z363" si="49">C78*$AC$325</f>
        <v>2.7850399556982692E-6</v>
      </c>
      <c r="D362" s="6">
        <f t="shared" si="49"/>
        <v>2.6077708802747882E-6</v>
      </c>
      <c r="E362" s="6">
        <f t="shared" si="49"/>
        <v>2.4285316612736731E-6</v>
      </c>
      <c r="F362" s="6">
        <f t="shared" si="49"/>
        <v>2.2520928239709843E-6</v>
      </c>
      <c r="G362" s="6">
        <f t="shared" si="49"/>
        <v>2.0761342011043936E-6</v>
      </c>
      <c r="H362" s="6">
        <f t="shared" si="49"/>
        <v>1.9960547423109155E-6</v>
      </c>
      <c r="I362" s="6">
        <f t="shared" si="49"/>
        <v>1.9157618939411003E-6</v>
      </c>
      <c r="J362" s="6">
        <f t="shared" si="49"/>
        <v>1.8330836385168129E-6</v>
      </c>
      <c r="K362" s="6">
        <f t="shared" si="49"/>
        <v>1.7521317354581976E-6</v>
      </c>
      <c r="L362" s="6">
        <f t="shared" si="49"/>
        <v>1.6708924435135774E-6</v>
      </c>
      <c r="M362" s="6">
        <f t="shared" si="49"/>
        <v>1.6348374738368009E-6</v>
      </c>
      <c r="N362" s="6">
        <f t="shared" si="49"/>
        <v>1.5985078759947804E-6</v>
      </c>
      <c r="O362" s="6">
        <f t="shared" si="49"/>
        <v>1.5609827594701211E-6</v>
      </c>
      <c r="P362" s="6">
        <f t="shared" si="49"/>
        <v>1.523787580820132E-6</v>
      </c>
      <c r="Q362" s="6">
        <f t="shared" si="49"/>
        <v>1.4863028168677589E-6</v>
      </c>
      <c r="R362" s="6">
        <f t="shared" si="49"/>
        <v>1.481251627586909E-6</v>
      </c>
      <c r="S362" s="6">
        <f t="shared" si="49"/>
        <v>1.4764044201864714E-6</v>
      </c>
      <c r="T362" s="6">
        <f t="shared" si="49"/>
        <v>1.4709318841744354E-6</v>
      </c>
      <c r="U362" s="6">
        <f t="shared" si="49"/>
        <v>1.4664033157864785E-6</v>
      </c>
      <c r="V362" s="6">
        <f t="shared" si="49"/>
        <v>1.4620549759303581E-6</v>
      </c>
      <c r="W362" s="6">
        <f t="shared" si="49"/>
        <v>1.4905688000429741E-6</v>
      </c>
      <c r="X362" s="6">
        <f t="shared" si="49"/>
        <v>1.4826232511490953E-6</v>
      </c>
      <c r="Y362" s="6">
        <f t="shared" si="49"/>
        <v>1.4746295472403371E-6</v>
      </c>
      <c r="Z362" s="6">
        <f t="shared" si="49"/>
        <v>1.466585361011609E-6</v>
      </c>
    </row>
    <row r="363" spans="1:53" outlineLevel="1" x14ac:dyDescent="0.35">
      <c r="A363" s="6" t="s">
        <v>759</v>
      </c>
      <c r="B363" s="6">
        <f>B79*$AC$325</f>
        <v>1.0368000147309429E-7</v>
      </c>
      <c r="C363" s="6">
        <f t="shared" si="49"/>
        <v>1.0368000147309429E-7</v>
      </c>
      <c r="D363" s="6">
        <f t="shared" si="49"/>
        <v>1.0368000147309429E-7</v>
      </c>
      <c r="E363" s="6">
        <f t="shared" si="49"/>
        <v>1.0368000147309429E-7</v>
      </c>
      <c r="F363" s="6">
        <f t="shared" si="49"/>
        <v>1.0368000147309429E-7</v>
      </c>
      <c r="G363" s="6">
        <f t="shared" si="49"/>
        <v>1.0368000147309429E-7</v>
      </c>
      <c r="H363" s="6">
        <f t="shared" si="49"/>
        <v>1.0368000147309429E-7</v>
      </c>
      <c r="I363" s="6">
        <f t="shared" si="49"/>
        <v>1.0368000147309429E-7</v>
      </c>
      <c r="J363" s="6">
        <f t="shared" si="49"/>
        <v>1.0368000147309429E-7</v>
      </c>
      <c r="K363" s="6">
        <f t="shared" si="49"/>
        <v>1.0368000147309429E-7</v>
      </c>
      <c r="L363" s="6">
        <f t="shared" si="49"/>
        <v>1.0368000147309429E-7</v>
      </c>
      <c r="M363" s="6">
        <f t="shared" si="49"/>
        <v>1.0368000147309429E-7</v>
      </c>
      <c r="N363" s="6">
        <f t="shared" si="49"/>
        <v>1.0368000147309429E-7</v>
      </c>
      <c r="O363" s="6">
        <f t="shared" si="49"/>
        <v>1.0368000147309429E-7</v>
      </c>
      <c r="P363" s="6">
        <f t="shared" si="49"/>
        <v>1.0368000147309429E-7</v>
      </c>
      <c r="Q363" s="6">
        <f t="shared" si="49"/>
        <v>1.0368000147309429E-7</v>
      </c>
      <c r="R363" s="6">
        <f t="shared" si="49"/>
        <v>1.0368000147309429E-7</v>
      </c>
      <c r="S363" s="6">
        <f t="shared" si="49"/>
        <v>1.0368000147309429E-7</v>
      </c>
      <c r="T363" s="6">
        <f t="shared" si="49"/>
        <v>1.0368000147309429E-7</v>
      </c>
      <c r="U363" s="6">
        <f t="shared" si="49"/>
        <v>1.0368000147309429E-7</v>
      </c>
      <c r="V363" s="6">
        <f t="shared" si="49"/>
        <v>1.0368000147309429E-7</v>
      </c>
      <c r="W363" s="6">
        <f t="shared" si="49"/>
        <v>1.0368000147309429E-7</v>
      </c>
      <c r="X363" s="6">
        <f t="shared" si="49"/>
        <v>1.0368000147309429E-7</v>
      </c>
      <c r="Y363" s="6">
        <f t="shared" si="49"/>
        <v>1.0368000147309429E-7</v>
      </c>
      <c r="Z363" s="6">
        <f t="shared" si="49"/>
        <v>1.0368000147309429E-7</v>
      </c>
    </row>
    <row r="364" spans="1:53" outlineLevel="1" x14ac:dyDescent="0.35">
      <c r="A364" s="6" t="s">
        <v>760</v>
      </c>
      <c r="B364" s="6">
        <f>$B$252*$AC$324*'Results - raw data ReCiPe (I)'!AC121/(1-0.5)*(1+'Results ReCiPe (I) - HHD'!$AC$271/'Results ReCiPe (I) - HHD'!$AC$272-'Results ReCiPe (I) - HHD'!$AC$271)</f>
        <v>2.0368897533243655E-5</v>
      </c>
      <c r="C364" s="6">
        <f>$B$252*$AC$324*'Results - raw data ReCiPe (I)'!AD121/(1-0.5)*(1+'Results ReCiPe (I) - HHD'!$AC$271/'Results ReCiPe (I) - HHD'!$AC$272-'Results ReCiPe (I) - HHD'!$AC$271)</f>
        <v>2.0271567352194813E-5</v>
      </c>
      <c r="D364" s="6">
        <f>$B$252*$AC$324*'Results - raw data ReCiPe (I)'!AE121/(1-0.5)*(1+'Results ReCiPe (I) - HHD'!$AC$271/'Results ReCiPe (I) - HHD'!$AC$272-'Results ReCiPe (I) - HHD'!$AC$271)</f>
        <v>2.0170166508726598E-5</v>
      </c>
      <c r="E364" s="6">
        <f>$B$252*$AC$324*'Results - raw data ReCiPe (I)'!AF121/(1-0.5)*(1+'Results ReCiPe (I) - HHD'!$AC$271/'Results ReCiPe (I) - HHD'!$AC$272-'Results ReCiPe (I) - HHD'!$AC$271)</f>
        <v>2.0020344504599857E-5</v>
      </c>
      <c r="F364" s="6">
        <f>$B$252*$AC$324*'Results - raw data ReCiPe (I)'!AG121/(1-0.5)*(1+'Results ReCiPe (I) - HHD'!$AC$271/'Results ReCiPe (I) - HHD'!$AC$272-'Results ReCiPe (I) - HHD'!$AC$271)</f>
        <v>1.9911194929548373E-5</v>
      </c>
      <c r="G364" s="6">
        <f>$B$252*$AC$324*'Results - raw data ReCiPe (I)'!AH121/(1-0.5)*(1+'Results ReCiPe (I) - HHD'!$AC$271/'Results ReCiPe (I) - HHD'!$AC$272-'Results ReCiPe (I) - HHD'!$AC$271)</f>
        <v>1.9798246298530872E-5</v>
      </c>
      <c r="H364" s="6">
        <f>$B$252*$AC$324*'Results - raw data ReCiPe (I)'!AI121/(1-0.5)*(1+'Results ReCiPe (I) - HHD'!$AC$271/'Results ReCiPe (I) - HHD'!$AC$272-'Results ReCiPe (I) - HHD'!$AC$271)</f>
        <v>1.9704940888799902E-5</v>
      </c>
      <c r="I364" s="6">
        <f>$B$252*$AC$324*'Results - raw data ReCiPe (I)'!AJ121/(1-0.5)*(1+'Results ReCiPe (I) - HHD'!$AC$271/'Results ReCiPe (I) - HHD'!$AC$272-'Results ReCiPe (I) - HHD'!$AC$271)</f>
        <v>1.961732870956246E-5</v>
      </c>
      <c r="J364" s="6">
        <f>$B$252*$AC$324*'Results - raw data ReCiPe (I)'!AK121/(1-0.5)*(1+'Results ReCiPe (I) - HHD'!$AC$271/'Results ReCiPe (I) - HHD'!$AC$272-'Results ReCiPe (I) - HHD'!$AC$271)</f>
        <v>1.9501981210681477E-5</v>
      </c>
      <c r="K364" s="6">
        <f>$B$252*$AC$324*'Results - raw data ReCiPe (I)'!AL121/(1-0.5)*(1+'Results ReCiPe (I) - HHD'!$AC$271/'Results ReCiPe (I) - HHD'!$AC$272-'Results ReCiPe (I) - HHD'!$AC$271)</f>
        <v>1.9413006479666371E-5</v>
      </c>
      <c r="L364" s="6">
        <f>$B$252*$AC$324*'Results - raw data ReCiPe (I)'!AM121/(1-0.5)*(1+'Results ReCiPe (I) - HHD'!$AC$271/'Results ReCiPe (I) - HHD'!$AC$272-'Results ReCiPe (I) - HHD'!$AC$271)</f>
        <v>1.9321723526007008E-5</v>
      </c>
      <c r="M364" s="6">
        <f>$B$252*$AC$324*'Results - raw data ReCiPe (I)'!AN121/(1-0.5)*(1+'Results ReCiPe (I) - HHD'!$AC$271/'Results ReCiPe (I) - HHD'!$AC$272-'Results ReCiPe (I) - HHD'!$AC$271)</f>
        <v>1.9265116383620869E-5</v>
      </c>
      <c r="N364" s="6">
        <f>$B$252*$AC$324*'Results - raw data ReCiPe (I)'!AO121/(1-0.5)*(1+'Results ReCiPe (I) - HHD'!$AC$271/'Results ReCiPe (I) - HHD'!$AC$272-'Results ReCiPe (I) - HHD'!$AC$271)</f>
        <v>1.9208747086093398E-5</v>
      </c>
      <c r="O364" s="6">
        <f>$B$252*$AC$324*'Results - raw data ReCiPe (I)'!AP121/(1-0.5)*(1+'Results ReCiPe (I) - HHD'!$AC$271/'Results ReCiPe (I) - HHD'!$AC$272-'Results ReCiPe (I) - HHD'!$AC$271)</f>
        <v>1.9141424341205222E-5</v>
      </c>
      <c r="P364" s="6">
        <f>$B$252*$AC$324*'Results - raw data ReCiPe (I)'!AQ121/(1-0.5)*(1+'Results ReCiPe (I) - HHD'!$AC$271/'Results ReCiPe (I) - HHD'!$AC$272-'Results ReCiPe (I) - HHD'!$AC$271)</f>
        <v>1.908546482150884E-5</v>
      </c>
      <c r="Q364" s="6">
        <f>$B$252*$AC$324*'Results - raw data ReCiPe (I)'!AR121/(1-0.5)*(1+'Results ReCiPe (I) - HHD'!$AC$271/'Results ReCiPe (I) - HHD'!$AC$272-'Results ReCiPe (I) - HHD'!$AC$271)</f>
        <v>1.9030324918000836E-5</v>
      </c>
      <c r="R364" s="6">
        <f>$B$252*$AC$324*'Results - raw data ReCiPe (I)'!AS121/(1-0.5)*(1+'Results ReCiPe (I) - HHD'!$AC$271/'Results ReCiPe (I) - HHD'!$AC$272-'Results ReCiPe (I) - HHD'!$AC$271)</f>
        <v>1.9003222196560973E-5</v>
      </c>
      <c r="S364" s="6">
        <f>$B$252*$AC$324*'Results - raw data ReCiPe (I)'!AT121/(1-0.5)*(1+'Results ReCiPe (I) - HHD'!$AC$271/'Results ReCiPe (I) - HHD'!$AC$272-'Results ReCiPe (I) - HHD'!$AC$271)</f>
        <v>1.8977404293515585E-5</v>
      </c>
      <c r="T364" s="6">
        <f>$B$252*$AC$324*'Results - raw data ReCiPe (I)'!AU121/(1-0.5)*(1+'Results ReCiPe (I) - HHD'!$AC$271/'Results ReCiPe (I) - HHD'!$AC$272-'Results ReCiPe (I) - HHD'!$AC$271)</f>
        <v>1.8940877725929175E-5</v>
      </c>
      <c r="U364" s="6">
        <f>$B$252*$AC$324*'Results - raw data ReCiPe (I)'!AV121/(1-0.5)*(1+'Results ReCiPe (I) - HHD'!$AC$271/'Results ReCiPe (I) - HHD'!$AC$272-'Results ReCiPe (I) - HHD'!$AC$271)</f>
        <v>1.8919378924895516E-5</v>
      </c>
      <c r="V364" s="6">
        <f>$B$252*$AC$324*'Results - raw data ReCiPe (I)'!AW121/(1-0.5)*(1+'Results ReCiPe (I) - HHD'!$AC$271/'Results ReCiPe (I) - HHD'!$AC$272-'Results ReCiPe (I) - HHD'!$AC$271)</f>
        <v>1.890316844689203E-5</v>
      </c>
      <c r="W364" s="6">
        <f>$B$252*$AC$324*'Results - raw data ReCiPe (I)'!AX121/(1-0.5)*(1+'Results ReCiPe (I) - HHD'!$AC$271/'Results ReCiPe (I) - HHD'!$AC$272-'Results ReCiPe (I) - HHD'!$AC$271)</f>
        <v>1.9048278662906038E-5</v>
      </c>
      <c r="X364" s="6">
        <f>$B$252*$AC$324*'Results - raw data ReCiPe (I)'!AY121/(1-0.5)*(1+'Results ReCiPe (I) - HHD'!$AC$271/'Results ReCiPe (I) - HHD'!$AC$272-'Results ReCiPe (I) - HHD'!$AC$271)</f>
        <v>1.9044929078775051E-5</v>
      </c>
      <c r="Y364" s="6">
        <f>$B$252*$AC$324*'Results - raw data ReCiPe (I)'!AZ121/(1-0.5)*(1+'Results ReCiPe (I) - HHD'!$AC$271/'Results ReCiPe (I) - HHD'!$AC$272-'Results ReCiPe (I) - HHD'!$AC$271)</f>
        <v>1.9041653166520602E-5</v>
      </c>
      <c r="Z364" s="6">
        <f>$B$252*$AC$324*'Results - raw data ReCiPe (I)'!BA121/(1-0.5)*(1+'Results ReCiPe (I) - HHD'!$AC$271/'Results ReCiPe (I) - HHD'!$AC$272-'Results ReCiPe (I) - HHD'!$AC$271)</f>
        <v>1.9038465860113015E-5</v>
      </c>
    </row>
    <row r="365" spans="1:53" outlineLevel="1" x14ac:dyDescent="0.35">
      <c r="A365" s="6" t="s">
        <v>797</v>
      </c>
      <c r="B365" s="6">
        <f>$B$320*$AC$324</f>
        <v>2.8396496913287685E-5</v>
      </c>
      <c r="C365" s="6">
        <f t="shared" ref="C365:Z365" si="50">$B$320*$AC$324</f>
        <v>2.8396496913287685E-5</v>
      </c>
      <c r="D365" s="6">
        <f t="shared" si="50"/>
        <v>2.8396496913287685E-5</v>
      </c>
      <c r="E365" s="6">
        <f t="shared" si="50"/>
        <v>2.8396496913287685E-5</v>
      </c>
      <c r="F365" s="6">
        <f t="shared" si="50"/>
        <v>2.8396496913287685E-5</v>
      </c>
      <c r="G365" s="6">
        <f t="shared" si="50"/>
        <v>2.8396496913287685E-5</v>
      </c>
      <c r="H365" s="6">
        <f t="shared" si="50"/>
        <v>2.8396496913287685E-5</v>
      </c>
      <c r="I365" s="6">
        <f t="shared" si="50"/>
        <v>2.8396496913287685E-5</v>
      </c>
      <c r="J365" s="6">
        <f t="shared" si="50"/>
        <v>2.8396496913287685E-5</v>
      </c>
      <c r="K365" s="6">
        <f t="shared" si="50"/>
        <v>2.8396496913287685E-5</v>
      </c>
      <c r="L365" s="6">
        <f t="shared" si="50"/>
        <v>2.8396496913287685E-5</v>
      </c>
      <c r="M365" s="6">
        <f t="shared" si="50"/>
        <v>2.8396496913287685E-5</v>
      </c>
      <c r="N365" s="6">
        <f t="shared" si="50"/>
        <v>2.8396496913287685E-5</v>
      </c>
      <c r="O365" s="6">
        <f t="shared" si="50"/>
        <v>2.8396496913287685E-5</v>
      </c>
      <c r="P365" s="6">
        <f t="shared" si="50"/>
        <v>2.8396496913287685E-5</v>
      </c>
      <c r="Q365" s="6">
        <f t="shared" si="50"/>
        <v>2.8396496913287685E-5</v>
      </c>
      <c r="R365" s="6">
        <f t="shared" si="50"/>
        <v>2.8396496913287685E-5</v>
      </c>
      <c r="S365" s="6">
        <f t="shared" si="50"/>
        <v>2.8396496913287685E-5</v>
      </c>
      <c r="T365" s="6">
        <f t="shared" si="50"/>
        <v>2.8396496913287685E-5</v>
      </c>
      <c r="U365" s="6">
        <f t="shared" si="50"/>
        <v>2.8396496913287685E-5</v>
      </c>
      <c r="V365" s="6">
        <f t="shared" si="50"/>
        <v>2.8396496913287685E-5</v>
      </c>
      <c r="W365" s="6">
        <f t="shared" si="50"/>
        <v>2.8396496913287685E-5</v>
      </c>
      <c r="X365" s="6">
        <f t="shared" si="50"/>
        <v>2.8396496913287685E-5</v>
      </c>
      <c r="Y365" s="6">
        <f t="shared" si="50"/>
        <v>2.8396496913287685E-5</v>
      </c>
      <c r="Z365" s="6">
        <f t="shared" si="50"/>
        <v>2.8396496913287685E-5</v>
      </c>
    </row>
    <row r="366" spans="1:53" outlineLevel="1" x14ac:dyDescent="0.35">
      <c r="A366" s="23" t="s">
        <v>125</v>
      </c>
      <c r="B366" s="17">
        <f>SUM(B334:B364)</f>
        <v>1.2476550401088895E-4</v>
      </c>
      <c r="C366" s="17">
        <f t="shared" ref="C366:Z366" si="51">SUM(C334:C364)</f>
        <v>2.4970072698330784E-5</v>
      </c>
      <c r="D366" s="17">
        <f t="shared" si="51"/>
        <v>2.4674866535146631E-5</v>
      </c>
      <c r="E366" s="17">
        <f t="shared" si="51"/>
        <v>2.4319681607147502E-5</v>
      </c>
      <c r="F366" s="17">
        <f t="shared" si="51"/>
        <v>2.4016689910207697E-5</v>
      </c>
      <c r="G366" s="17">
        <f t="shared" si="51"/>
        <v>2.3710010472142486E-5</v>
      </c>
      <c r="H366" s="17">
        <f t="shared" si="51"/>
        <v>2.3520173623223754E-5</v>
      </c>
      <c r="I366" s="17">
        <f t="shared" si="51"/>
        <v>2.3335464305088842E-5</v>
      </c>
      <c r="J366" s="17">
        <f t="shared" si="51"/>
        <v>2.3114358629297929E-5</v>
      </c>
      <c r="K366" s="17">
        <f t="shared" si="51"/>
        <v>2.2926693099541204E-5</v>
      </c>
      <c r="L366" s="17">
        <f t="shared" si="51"/>
        <v>2.2736057646917907E-5</v>
      </c>
      <c r="M366" s="17">
        <f t="shared" si="51"/>
        <v>2.2621705604989248E-5</v>
      </c>
      <c r="N366" s="17">
        <f t="shared" si="51"/>
        <v>2.2507310514933895E-5</v>
      </c>
      <c r="O366" s="17">
        <f t="shared" si="51"/>
        <v>2.2378295360837023E-5</v>
      </c>
      <c r="P366" s="17">
        <f t="shared" si="51"/>
        <v>2.2263334513041175E-5</v>
      </c>
      <c r="Q366" s="17">
        <f t="shared" si="51"/>
        <v>2.2148884254404503E-5</v>
      </c>
      <c r="R366" s="17">
        <f t="shared" si="51"/>
        <v>2.2103136157979407E-5</v>
      </c>
      <c r="S366" s="17">
        <f t="shared" si="51"/>
        <v>2.2058811574207982E-5</v>
      </c>
      <c r="T366" s="17">
        <f t="shared" si="51"/>
        <v>2.2000489073539943E-5</v>
      </c>
      <c r="U366" s="17">
        <f t="shared" si="51"/>
        <v>2.1960725491896461E-5</v>
      </c>
      <c r="V366" s="17">
        <f t="shared" si="51"/>
        <v>2.1926462599296695E-5</v>
      </c>
      <c r="W366" s="17">
        <f t="shared" si="51"/>
        <v>2.2114797476557716E-5</v>
      </c>
      <c r="X366" s="17">
        <f t="shared" si="51"/>
        <v>2.2102599272331868E-5</v>
      </c>
      <c r="Y366" s="17">
        <f t="shared" si="51"/>
        <v>2.2090444467311355E-5</v>
      </c>
      <c r="Z366" s="17">
        <f t="shared" si="51"/>
        <v>2.3336836776054532E-5</v>
      </c>
    </row>
    <row r="367" spans="1:53" outlineLevel="1" x14ac:dyDescent="0.35"/>
    <row r="368" spans="1:53" s="18" customFormat="1" ht="21" x14ac:dyDescent="0.5">
      <c r="A368" s="18" t="s">
        <v>94</v>
      </c>
    </row>
    <row r="369" spans="1:31" s="20" customFormat="1" outlineLevel="1" x14ac:dyDescent="0.35">
      <c r="A369" s="19" t="s">
        <v>788</v>
      </c>
    </row>
    <row r="370" spans="1:31" s="20" customFormat="1" outlineLevel="1" x14ac:dyDescent="0.35">
      <c r="A370" s="273" t="s">
        <v>775</v>
      </c>
      <c r="B370" s="20">
        <v>1</v>
      </c>
      <c r="C370" s="274" t="s">
        <v>787</v>
      </c>
    </row>
    <row r="371" spans="1:31" s="20" customFormat="1" outlineLevel="1" x14ac:dyDescent="0.35">
      <c r="A371" s="273" t="s">
        <v>781</v>
      </c>
      <c r="B371" s="20">
        <v>100000</v>
      </c>
      <c r="C371" s="20" t="s">
        <v>782</v>
      </c>
      <c r="E371" s="274"/>
    </row>
    <row r="372" spans="1:31" s="20" customFormat="1" outlineLevel="1" x14ac:dyDescent="0.35">
      <c r="A372" s="273" t="s">
        <v>783</v>
      </c>
      <c r="B372" s="20">
        <v>1500</v>
      </c>
      <c r="C372" s="20" t="s">
        <v>592</v>
      </c>
    </row>
    <row r="373" spans="1:31" s="20" customFormat="1" outlineLevel="1" x14ac:dyDescent="0.35">
      <c r="A373" s="273" t="s">
        <v>784</v>
      </c>
      <c r="B373" s="20">
        <v>8760</v>
      </c>
      <c r="C373" s="20" t="s">
        <v>785</v>
      </c>
    </row>
    <row r="374" spans="1:31" s="20" customFormat="1" outlineLevel="1" x14ac:dyDescent="0.35">
      <c r="A374" s="273"/>
    </row>
    <row r="375" spans="1:31" s="20" customFormat="1" outlineLevel="1" x14ac:dyDescent="0.35">
      <c r="A375" s="275" t="s">
        <v>786</v>
      </c>
      <c r="B375" s="275">
        <f>(B371*B372)/(B373*B370)</f>
        <v>17123.287671232876</v>
      </c>
      <c r="C375" s="275" t="s">
        <v>749</v>
      </c>
    </row>
    <row r="376" spans="1:31" s="20" customFormat="1" outlineLevel="1" x14ac:dyDescent="0.35">
      <c r="A376" s="19"/>
    </row>
    <row r="377" spans="1:31" s="20" customFormat="1" outlineLevel="1" x14ac:dyDescent="0.35">
      <c r="A377" s="19" t="s">
        <v>793</v>
      </c>
    </row>
    <row r="378" spans="1:31" s="20" customFormat="1" outlineLevel="1" x14ac:dyDescent="0.35">
      <c r="A378" s="273" t="s">
        <v>789</v>
      </c>
      <c r="B378" s="20">
        <f>SUM('Results - raw data ReCiPe (I)'!AC156:AC157)+'Results - raw data ReCiPe (I)'!AC160+SUM('Results - raw data ReCiPe (I)'!AC158:AC159)*AC387</f>
        <v>5.0447079899740102E-6</v>
      </c>
      <c r="C378" s="20" t="s">
        <v>919</v>
      </c>
    </row>
    <row r="379" spans="1:31" s="20" customFormat="1" outlineLevel="1" x14ac:dyDescent="0.35">
      <c r="A379" s="20" t="s">
        <v>792</v>
      </c>
      <c r="B379" s="20">
        <f>B371*AC385</f>
        <v>50000</v>
      </c>
      <c r="C379" s="274" t="s">
        <v>795</v>
      </c>
    </row>
    <row r="380" spans="1:31" s="20" customFormat="1" outlineLevel="1" x14ac:dyDescent="0.35">
      <c r="A380" s="20" t="s">
        <v>791</v>
      </c>
      <c r="B380" s="20">
        <f>(B378*AC387*B375)/(B379*AC386)*(AC386/AC388)</f>
        <v>5.1829191677815168E-7</v>
      </c>
      <c r="C380" s="20" t="s">
        <v>920</v>
      </c>
      <c r="E380" s="274" t="s">
        <v>796</v>
      </c>
    </row>
    <row r="381" spans="1:31" s="20" customFormat="1" outlineLevel="1" x14ac:dyDescent="0.35">
      <c r="A381" s="19"/>
    </row>
    <row r="382" spans="1:31" s="16" customFormat="1" outlineLevel="1" x14ac:dyDescent="0.35">
      <c r="A382" s="21"/>
      <c r="AB382" s="15" t="s">
        <v>143</v>
      </c>
      <c r="AC382" s="16">
        <f>0.000000000532+0.0000000000000145</f>
        <v>5.3201449999999999E-10</v>
      </c>
      <c r="AD382" s="16" t="s">
        <v>916</v>
      </c>
      <c r="AE382" s="15" t="s">
        <v>714</v>
      </c>
    </row>
    <row r="383" spans="1:31" s="16" customFormat="1" outlineLevel="1" x14ac:dyDescent="0.35">
      <c r="A383" s="22" t="s">
        <v>917</v>
      </c>
      <c r="AC383" s="16">
        <f>AC382*1000</f>
        <v>5.3201450000000003E-7</v>
      </c>
      <c r="AD383" s="16" t="s">
        <v>918</v>
      </c>
    </row>
    <row r="384" spans="1:31" s="16" customFormat="1" outlineLevel="1" x14ac:dyDescent="0.35">
      <c r="A384" s="22"/>
      <c r="AB384" s="16" t="s">
        <v>127</v>
      </c>
      <c r="AC384" s="16">
        <f>100*AC385</f>
        <v>50</v>
      </c>
      <c r="AD384" s="16" t="s">
        <v>128</v>
      </c>
    </row>
    <row r="385" spans="1:53" s="16" customFormat="1" outlineLevel="1" x14ac:dyDescent="0.35">
      <c r="A385" s="230"/>
      <c r="AB385" s="16" t="s">
        <v>776</v>
      </c>
      <c r="AC385" s="16">
        <v>0.5</v>
      </c>
    </row>
    <row r="386" spans="1:53" s="16" customFormat="1" outlineLevel="1" x14ac:dyDescent="0.35">
      <c r="A386" s="21"/>
      <c r="AB386" s="16" t="s">
        <v>129</v>
      </c>
      <c r="AC386" s="16">
        <v>25</v>
      </c>
      <c r="AD386" s="16" t="s">
        <v>130</v>
      </c>
    </row>
    <row r="387" spans="1:53" s="16" customFormat="1" outlineLevel="1" x14ac:dyDescent="0.35">
      <c r="A387" s="21"/>
      <c r="AB387" s="16" t="s">
        <v>777</v>
      </c>
      <c r="AC387" s="16">
        <v>6</v>
      </c>
      <c r="AD387" s="16" t="s">
        <v>779</v>
      </c>
    </row>
    <row r="388" spans="1:53" s="16" customFormat="1" outlineLevel="1" x14ac:dyDescent="0.35">
      <c r="A388" s="21"/>
      <c r="AB388" s="16" t="s">
        <v>778</v>
      </c>
      <c r="AC388" s="16">
        <v>20</v>
      </c>
      <c r="AD388" s="16" t="s">
        <v>130</v>
      </c>
    </row>
    <row r="389" spans="1:53" s="16" customFormat="1" outlineLevel="1" x14ac:dyDescent="0.35">
      <c r="AB389" s="16" t="s">
        <v>780</v>
      </c>
      <c r="AC389" s="16">
        <f>B375</f>
        <v>17123.287671232876</v>
      </c>
      <c r="AD389" s="16" t="s">
        <v>749</v>
      </c>
    </row>
    <row r="390" spans="1:53" s="16" customFormat="1" outlineLevel="1" x14ac:dyDescent="0.35"/>
    <row r="391" spans="1:53" s="16" customFormat="1" outlineLevel="1" x14ac:dyDescent="0.35">
      <c r="AB391" s="16" t="s">
        <v>798</v>
      </c>
      <c r="AC391" s="16">
        <v>0.25</v>
      </c>
    </row>
    <row r="392" spans="1:53" s="16" customFormat="1" outlineLevel="1" x14ac:dyDescent="0.35">
      <c r="A392" s="22"/>
      <c r="AB392" s="16" t="s">
        <v>799</v>
      </c>
      <c r="AC392" s="16">
        <v>0.9</v>
      </c>
    </row>
    <row r="393" spans="1:53" s="16" customFormat="1" outlineLevel="1" x14ac:dyDescent="0.35">
      <c r="A393" s="22"/>
    </row>
    <row r="394" spans="1:53" outlineLevel="1" x14ac:dyDescent="0.35">
      <c r="B394" s="25">
        <v>2030</v>
      </c>
      <c r="C394" s="25">
        <v>2031</v>
      </c>
      <c r="D394" s="25">
        <v>2032</v>
      </c>
      <c r="E394" s="25">
        <v>2033</v>
      </c>
      <c r="F394" s="25">
        <v>2034</v>
      </c>
      <c r="G394" s="25">
        <v>2035</v>
      </c>
      <c r="H394" s="25">
        <v>2036</v>
      </c>
      <c r="I394" s="25">
        <v>2037</v>
      </c>
      <c r="J394" s="25">
        <v>2038</v>
      </c>
      <c r="K394" s="25">
        <v>2039</v>
      </c>
      <c r="L394" s="25">
        <v>2040</v>
      </c>
      <c r="M394" s="25">
        <v>2041</v>
      </c>
      <c r="N394" s="25">
        <v>2042</v>
      </c>
      <c r="O394" s="25">
        <v>2043</v>
      </c>
      <c r="P394" s="25">
        <v>2044</v>
      </c>
      <c r="Q394" s="25">
        <v>2045</v>
      </c>
      <c r="R394" s="25">
        <v>2046</v>
      </c>
      <c r="S394" s="25">
        <v>2047</v>
      </c>
      <c r="T394" s="25">
        <v>2048</v>
      </c>
      <c r="U394" s="25">
        <v>2049</v>
      </c>
      <c r="V394" s="25">
        <v>2050</v>
      </c>
      <c r="W394" s="25">
        <v>2051</v>
      </c>
      <c r="X394" s="25">
        <v>2052</v>
      </c>
      <c r="Y394" s="25">
        <v>2053</v>
      </c>
      <c r="Z394" s="25">
        <v>2054</v>
      </c>
      <c r="AC394" s="25">
        <v>2030</v>
      </c>
      <c r="AD394" s="25">
        <v>2031</v>
      </c>
      <c r="AE394" s="25">
        <v>2032</v>
      </c>
      <c r="AF394" s="25">
        <v>2033</v>
      </c>
      <c r="AG394" s="25">
        <v>2034</v>
      </c>
      <c r="AH394" s="25">
        <v>2035</v>
      </c>
      <c r="AI394" s="25">
        <v>2036</v>
      </c>
      <c r="AJ394" s="25">
        <v>2037</v>
      </c>
      <c r="AK394" s="25">
        <v>2038</v>
      </c>
      <c r="AL394" s="25">
        <v>2039</v>
      </c>
      <c r="AM394" s="25">
        <v>2040</v>
      </c>
      <c r="AN394" s="25">
        <v>2041</v>
      </c>
      <c r="AO394" s="25">
        <v>2042</v>
      </c>
      <c r="AP394" s="25">
        <v>2043</v>
      </c>
      <c r="AQ394" s="25">
        <v>2044</v>
      </c>
      <c r="AR394" s="25">
        <v>2045</v>
      </c>
      <c r="AS394" s="25">
        <v>2046</v>
      </c>
      <c r="AT394" s="25">
        <v>2047</v>
      </c>
      <c r="AU394" s="25">
        <v>2048</v>
      </c>
      <c r="AV394" s="25">
        <v>2049</v>
      </c>
      <c r="AW394" s="25">
        <v>2050</v>
      </c>
      <c r="AX394" s="25">
        <v>2051</v>
      </c>
      <c r="AY394" s="25">
        <v>2052</v>
      </c>
      <c r="AZ394" s="25">
        <v>2053</v>
      </c>
      <c r="BA394" s="25">
        <v>2054</v>
      </c>
    </row>
    <row r="395" spans="1:53" outlineLevel="1" x14ac:dyDescent="0.35">
      <c r="A395" s="6" t="s">
        <v>21</v>
      </c>
      <c r="B395" s="6">
        <f>B90</f>
        <v>1.370483690070245E-6</v>
      </c>
      <c r="AB395" s="6" t="s">
        <v>117</v>
      </c>
      <c r="AC395" s="6">
        <f>SUM(B395:B406)+B408</f>
        <v>8.2910851146931124E-5</v>
      </c>
    </row>
    <row r="396" spans="1:53" outlineLevel="1" x14ac:dyDescent="0.35">
      <c r="A396" s="6" t="s">
        <v>23</v>
      </c>
      <c r="B396" s="6">
        <f t="shared" ref="B396:B406" si="52">B91</f>
        <v>3.2166177096034538E-6</v>
      </c>
      <c r="AB396" s="6" t="s">
        <v>118</v>
      </c>
      <c r="AC396" s="6">
        <f>B407</f>
        <v>2.499127855049021E-6</v>
      </c>
    </row>
    <row r="397" spans="1:53" outlineLevel="1" x14ac:dyDescent="0.35">
      <c r="A397" s="6" t="s">
        <v>26</v>
      </c>
      <c r="B397" s="6">
        <f t="shared" si="52"/>
        <v>7.0314616005575162E-6</v>
      </c>
      <c r="AB397" s="6" t="s">
        <v>119</v>
      </c>
      <c r="BA397" s="6">
        <f>SUM(Z409:Z420)</f>
        <v>1.3171343639388709E-6</v>
      </c>
    </row>
    <row r="398" spans="1:53" outlineLevel="1" x14ac:dyDescent="0.35">
      <c r="A398" s="6" t="s">
        <v>28</v>
      </c>
      <c r="B398" s="6">
        <f t="shared" si="52"/>
        <v>4.7107821153398706E-6</v>
      </c>
      <c r="AB398" s="6" t="s">
        <v>120</v>
      </c>
      <c r="BA398" s="6">
        <f>Z421</f>
        <v>2.0936130856431027E-8</v>
      </c>
    </row>
    <row r="399" spans="1:53" outlineLevel="1" x14ac:dyDescent="0.35">
      <c r="A399" s="6" t="s">
        <v>29</v>
      </c>
      <c r="B399" s="6">
        <f t="shared" si="52"/>
        <v>4.5883653217629572E-6</v>
      </c>
      <c r="AB399" s="6" t="s">
        <v>121</v>
      </c>
      <c r="AC399" s="6">
        <f>B422</f>
        <v>1.5568631310201531E-6</v>
      </c>
      <c r="AF399" s="6">
        <f>E422</f>
        <v>1.490530396859574E-6</v>
      </c>
      <c r="AI399" s="6">
        <f>H422</f>
        <v>1.453183927485486E-6</v>
      </c>
      <c r="AL399" s="6">
        <f>K422</f>
        <v>1.457702482446929E-6</v>
      </c>
      <c r="AO399" s="6">
        <f>N422</f>
        <v>1.4643173431288331E-6</v>
      </c>
      <c r="AR399" s="6">
        <f>Q422</f>
        <v>1.4666447699044541E-6</v>
      </c>
      <c r="AU399" s="6">
        <f>T422</f>
        <v>1.4616325983130691E-6</v>
      </c>
      <c r="AX399" s="6">
        <f>W422</f>
        <v>1.477314417989346E-6</v>
      </c>
      <c r="BA399" s="6">
        <f>Z422</f>
        <v>1.482612190332E-6</v>
      </c>
    </row>
    <row r="400" spans="1:53" outlineLevel="1" x14ac:dyDescent="0.35">
      <c r="A400" s="6" t="s">
        <v>31</v>
      </c>
      <c r="B400" s="6">
        <f t="shared" si="52"/>
        <v>4.076625226621739E-6</v>
      </c>
      <c r="AB400" s="6" t="s">
        <v>797</v>
      </c>
      <c r="AC400" s="6">
        <f>B426</f>
        <v>2.5914595838907584E-5</v>
      </c>
      <c r="AD400" s="6">
        <f t="shared" ref="AD400:BA400" si="53">C426</f>
        <v>2.5914595838907584E-5</v>
      </c>
      <c r="AE400" s="6">
        <f t="shared" si="53"/>
        <v>2.5914595838907584E-5</v>
      </c>
      <c r="AF400" s="6">
        <f t="shared" si="53"/>
        <v>2.5914595838907584E-5</v>
      </c>
      <c r="AG400" s="6">
        <f t="shared" si="53"/>
        <v>2.5914595838907584E-5</v>
      </c>
      <c r="AH400" s="6">
        <f t="shared" si="53"/>
        <v>2.5914595838907584E-5</v>
      </c>
      <c r="AI400" s="6">
        <f t="shared" si="53"/>
        <v>2.5914595838907584E-5</v>
      </c>
      <c r="AJ400" s="6">
        <f t="shared" si="53"/>
        <v>2.5914595838907584E-5</v>
      </c>
      <c r="AK400" s="6">
        <f t="shared" si="53"/>
        <v>2.5914595838907584E-5</v>
      </c>
      <c r="AL400" s="6">
        <f t="shared" si="53"/>
        <v>2.5914595838907584E-5</v>
      </c>
      <c r="AM400" s="6">
        <f t="shared" si="53"/>
        <v>2.5914595838907584E-5</v>
      </c>
      <c r="AN400" s="6">
        <f t="shared" si="53"/>
        <v>2.5914595838907584E-5</v>
      </c>
      <c r="AO400" s="6">
        <f t="shared" si="53"/>
        <v>2.5914595838907584E-5</v>
      </c>
      <c r="AP400" s="6">
        <f t="shared" si="53"/>
        <v>2.5914595838907584E-5</v>
      </c>
      <c r="AQ400" s="6">
        <f t="shared" si="53"/>
        <v>2.5914595838907584E-5</v>
      </c>
      <c r="AR400" s="6">
        <f t="shared" si="53"/>
        <v>2.5914595838907584E-5</v>
      </c>
      <c r="AS400" s="6">
        <f t="shared" si="53"/>
        <v>2.5914595838907584E-5</v>
      </c>
      <c r="AT400" s="6">
        <f t="shared" si="53"/>
        <v>2.5914595838907584E-5</v>
      </c>
      <c r="AU400" s="6">
        <f t="shared" si="53"/>
        <v>2.5914595838907584E-5</v>
      </c>
      <c r="AV400" s="6">
        <f t="shared" si="53"/>
        <v>2.5914595838907584E-5</v>
      </c>
      <c r="AW400" s="6">
        <f t="shared" si="53"/>
        <v>2.5914595838907584E-5</v>
      </c>
      <c r="AX400" s="6">
        <f t="shared" si="53"/>
        <v>2.5914595838907584E-5</v>
      </c>
      <c r="AY400" s="6">
        <f t="shared" si="53"/>
        <v>2.5914595838907584E-5</v>
      </c>
      <c r="AZ400" s="6">
        <f t="shared" si="53"/>
        <v>2.5914595838907584E-5</v>
      </c>
      <c r="BA400" s="6">
        <f t="shared" si="53"/>
        <v>2.5914595838907584E-5</v>
      </c>
    </row>
    <row r="401" spans="1:53" outlineLevel="1" x14ac:dyDescent="0.35">
      <c r="A401" s="6" t="s">
        <v>34</v>
      </c>
      <c r="B401" s="6">
        <f t="shared" si="52"/>
        <v>2.8228327670285271E-6</v>
      </c>
      <c r="AB401" s="6" t="s">
        <v>122</v>
      </c>
      <c r="AC401" s="6">
        <f t="shared" ref="AC401:BA401" si="54">B425+B424</f>
        <v>1.9343227721679168E-5</v>
      </c>
      <c r="AD401" s="6">
        <f t="shared" si="54"/>
        <v>1.9268695365248397E-5</v>
      </c>
      <c r="AE401" s="6">
        <f t="shared" si="54"/>
        <v>1.9189816259469181E-5</v>
      </c>
      <c r="AF401" s="6">
        <f t="shared" si="54"/>
        <v>1.9054909895720402E-5</v>
      </c>
      <c r="AG401" s="6">
        <f t="shared" si="54"/>
        <v>1.8964120895754907E-5</v>
      </c>
      <c r="AH401" s="6">
        <f t="shared" si="54"/>
        <v>1.8869465475911066E-5</v>
      </c>
      <c r="AI401" s="6">
        <f t="shared" si="54"/>
        <v>1.889317564130327E-5</v>
      </c>
      <c r="AJ401" s="6">
        <f t="shared" si="54"/>
        <v>1.8915711405998263E-5</v>
      </c>
      <c r="AK401" s="6">
        <f t="shared" si="54"/>
        <v>1.8902483528429833E-5</v>
      </c>
      <c r="AL401" s="6">
        <f t="shared" si="54"/>
        <v>1.8922044948757467E-5</v>
      </c>
      <c r="AM401" s="6">
        <f t="shared" si="54"/>
        <v>1.8941011900045064E-5</v>
      </c>
      <c r="AN401" s="6">
        <f t="shared" si="54"/>
        <v>1.895939609758657E-5</v>
      </c>
      <c r="AO401" s="6">
        <f t="shared" si="54"/>
        <v>1.8977963020347082E-5</v>
      </c>
      <c r="AP401" s="6">
        <f t="shared" si="54"/>
        <v>1.8983502329543075E-5</v>
      </c>
      <c r="AQ401" s="6">
        <f t="shared" si="54"/>
        <v>1.9000758336535769E-5</v>
      </c>
      <c r="AR401" s="6">
        <f t="shared" si="54"/>
        <v>1.9016694059275339E-5</v>
      </c>
      <c r="AS401" s="6">
        <f t="shared" si="54"/>
        <v>1.9020776970331387E-5</v>
      </c>
      <c r="AT401" s="6">
        <f t="shared" si="54"/>
        <v>1.9024696511439435E-5</v>
      </c>
      <c r="AU401" s="6">
        <f t="shared" si="54"/>
        <v>1.901482675217692E-5</v>
      </c>
      <c r="AV401" s="6">
        <f t="shared" si="54"/>
        <v>1.9017293629520649E-5</v>
      </c>
      <c r="AW401" s="6">
        <f t="shared" si="54"/>
        <v>1.900573395860572E-5</v>
      </c>
      <c r="AX401" s="6">
        <f t="shared" si="54"/>
        <v>1.9180244672144561E-5</v>
      </c>
      <c r="AY401" s="6">
        <f t="shared" si="54"/>
        <v>1.9191684313140621E-5</v>
      </c>
      <c r="AZ401" s="6">
        <f t="shared" si="54"/>
        <v>1.9202895795530974E-5</v>
      </c>
      <c r="BA401" s="6">
        <f t="shared" si="54"/>
        <v>1.9213880141810969E-5</v>
      </c>
    </row>
    <row r="402" spans="1:53" outlineLevel="1" x14ac:dyDescent="0.35">
      <c r="A402" s="6" t="s">
        <v>36</v>
      </c>
      <c r="B402" s="6">
        <f t="shared" si="52"/>
        <v>2.541461837164139E-6</v>
      </c>
      <c r="AB402" s="6" t="s">
        <v>123</v>
      </c>
      <c r="AC402" s="6">
        <f t="shared" ref="AC402:BA402" si="55">B423</f>
        <v>1.7752440567805211E-6</v>
      </c>
      <c r="AD402" s="6">
        <f t="shared" si="55"/>
        <v>1.6820706347941204E-6</v>
      </c>
      <c r="AE402" s="6">
        <f t="shared" si="55"/>
        <v>1.5886669608485821E-6</v>
      </c>
      <c r="AF402" s="6">
        <f t="shared" si="55"/>
        <v>1.4918642258813162E-6</v>
      </c>
      <c r="AG402" s="6">
        <f t="shared" si="55"/>
        <v>1.3978906953923141E-6</v>
      </c>
      <c r="AH402" s="6">
        <f t="shared" si="55"/>
        <v>1.3038238671544126E-6</v>
      </c>
      <c r="AI402" s="6">
        <f t="shared" si="55"/>
        <v>1.331640889074205E-6</v>
      </c>
      <c r="AJ402" s="6">
        <f t="shared" si="55"/>
        <v>1.3591806698397854E-6</v>
      </c>
      <c r="AK402" s="6">
        <f t="shared" si="55"/>
        <v>1.38298912489565E-6</v>
      </c>
      <c r="AL402" s="6">
        <f t="shared" si="55"/>
        <v>1.4097462315915084E-6</v>
      </c>
      <c r="AM402" s="6">
        <f t="shared" si="55"/>
        <v>1.43622048229568E-6</v>
      </c>
      <c r="AN402" s="6">
        <f t="shared" si="55"/>
        <v>1.4484394481672169E-6</v>
      </c>
      <c r="AO402" s="6">
        <f t="shared" si="55"/>
        <v>1.4605598344872094E-6</v>
      </c>
      <c r="AP402" s="6">
        <f t="shared" si="55"/>
        <v>1.4713252104359526E-6</v>
      </c>
      <c r="AQ402" s="6">
        <f t="shared" si="55"/>
        <v>1.4828286307382395E-6</v>
      </c>
      <c r="AR402" s="6">
        <f t="shared" si="55"/>
        <v>1.4941070090697999E-6</v>
      </c>
      <c r="AS402" s="6">
        <f t="shared" si="55"/>
        <v>1.4757897668089051E-6</v>
      </c>
      <c r="AT402" s="6">
        <f t="shared" si="55"/>
        <v>1.4577421315131216E-6</v>
      </c>
      <c r="AU402" s="6">
        <f t="shared" si="55"/>
        <v>1.4388655723772805E-6</v>
      </c>
      <c r="AV402" s="6">
        <f t="shared" si="55"/>
        <v>1.421227323656791E-6</v>
      </c>
      <c r="AW402" s="6">
        <f t="shared" si="55"/>
        <v>1.4035720178838829E-6</v>
      </c>
      <c r="AX402" s="6">
        <f t="shared" si="55"/>
        <v>1.4430426092447299E-6</v>
      </c>
      <c r="AY402" s="6">
        <f t="shared" si="55"/>
        <v>1.4425429591215859E-6</v>
      </c>
      <c r="AZ402" s="6">
        <f t="shared" si="55"/>
        <v>1.442097148159067E-6</v>
      </c>
      <c r="BA402" s="6">
        <f t="shared" si="55"/>
        <v>1.4416981589731551E-6</v>
      </c>
    </row>
    <row r="403" spans="1:53" outlineLevel="1" x14ac:dyDescent="0.35">
      <c r="A403" s="6" t="s">
        <v>38</v>
      </c>
      <c r="B403" s="6">
        <f t="shared" si="52"/>
        <v>9.3851724277913943E-6</v>
      </c>
      <c r="AB403" s="6" t="s">
        <v>124</v>
      </c>
      <c r="AC403" s="6">
        <f>-$AC$384*$AC$383</f>
        <v>-2.6600725000000003E-5</v>
      </c>
      <c r="AD403" s="6">
        <f t="shared" ref="AD403:BA403" si="56">-$AC$384*$AC$383</f>
        <v>-2.6600725000000003E-5</v>
      </c>
      <c r="AE403" s="6">
        <f t="shared" si="56"/>
        <v>-2.6600725000000003E-5</v>
      </c>
      <c r="AF403" s="6">
        <f t="shared" si="56"/>
        <v>-2.6600725000000003E-5</v>
      </c>
      <c r="AG403" s="6">
        <f t="shared" si="56"/>
        <v>-2.6600725000000003E-5</v>
      </c>
      <c r="AH403" s="6">
        <f t="shared" si="56"/>
        <v>-2.6600725000000003E-5</v>
      </c>
      <c r="AI403" s="6">
        <f t="shared" si="56"/>
        <v>-2.6600725000000003E-5</v>
      </c>
      <c r="AJ403" s="6">
        <f t="shared" si="56"/>
        <v>-2.6600725000000003E-5</v>
      </c>
      <c r="AK403" s="6">
        <f t="shared" si="56"/>
        <v>-2.6600725000000003E-5</v>
      </c>
      <c r="AL403" s="6">
        <f t="shared" si="56"/>
        <v>-2.6600725000000003E-5</v>
      </c>
      <c r="AM403" s="6">
        <f t="shared" si="56"/>
        <v>-2.6600725000000003E-5</v>
      </c>
      <c r="AN403" s="6">
        <f t="shared" si="56"/>
        <v>-2.6600725000000003E-5</v>
      </c>
      <c r="AO403" s="6">
        <f t="shared" si="56"/>
        <v>-2.6600725000000003E-5</v>
      </c>
      <c r="AP403" s="6">
        <f t="shared" si="56"/>
        <v>-2.6600725000000003E-5</v>
      </c>
      <c r="AQ403" s="6">
        <f t="shared" si="56"/>
        <v>-2.6600725000000003E-5</v>
      </c>
      <c r="AR403" s="6">
        <f t="shared" si="56"/>
        <v>-2.6600725000000003E-5</v>
      </c>
      <c r="AS403" s="6">
        <f t="shared" si="56"/>
        <v>-2.6600725000000003E-5</v>
      </c>
      <c r="AT403" s="6">
        <f t="shared" si="56"/>
        <v>-2.6600725000000003E-5</v>
      </c>
      <c r="AU403" s="6">
        <f t="shared" si="56"/>
        <v>-2.6600725000000003E-5</v>
      </c>
      <c r="AV403" s="6">
        <f t="shared" si="56"/>
        <v>-2.6600725000000003E-5</v>
      </c>
      <c r="AW403" s="6">
        <f t="shared" si="56"/>
        <v>-2.6600725000000003E-5</v>
      </c>
      <c r="AX403" s="6">
        <f t="shared" si="56"/>
        <v>-2.6600725000000003E-5</v>
      </c>
      <c r="AY403" s="6">
        <f t="shared" si="56"/>
        <v>-2.6600725000000003E-5</v>
      </c>
      <c r="AZ403" s="6">
        <f t="shared" si="56"/>
        <v>-2.6600725000000003E-5</v>
      </c>
      <c r="BA403" s="6">
        <f t="shared" si="56"/>
        <v>-2.6600725000000003E-5</v>
      </c>
    </row>
    <row r="404" spans="1:53" outlineLevel="1" x14ac:dyDescent="0.35">
      <c r="A404" s="6" t="s">
        <v>39</v>
      </c>
      <c r="B404" s="6">
        <f t="shared" si="52"/>
        <v>3.4516683430361958E-5</v>
      </c>
      <c r="AB404" s="23" t="s">
        <v>125</v>
      </c>
      <c r="AC404" s="17">
        <f t="shared" ref="AC404:BA404" si="57">SUM(AC395:AC403)</f>
        <v>1.0739918475036759E-4</v>
      </c>
      <c r="AD404" s="17">
        <f t="shared" si="57"/>
        <v>2.0264636838950096E-5</v>
      </c>
      <c r="AE404" s="17">
        <f t="shared" si="57"/>
        <v>2.0092354059225345E-5</v>
      </c>
      <c r="AF404" s="17">
        <f t="shared" si="57"/>
        <v>2.1351175357368874E-5</v>
      </c>
      <c r="AG404" s="17">
        <f t="shared" si="57"/>
        <v>1.9675882430054802E-5</v>
      </c>
      <c r="AH404" s="17">
        <f t="shared" si="57"/>
        <v>1.9487160181973061E-5</v>
      </c>
      <c r="AI404" s="17">
        <f t="shared" si="57"/>
        <v>2.0991871296770538E-5</v>
      </c>
      <c r="AJ404" s="17">
        <f t="shared" si="57"/>
        <v>1.9588762914745626E-5</v>
      </c>
      <c r="AK404" s="17">
        <f t="shared" si="57"/>
        <v>1.9599343492233067E-5</v>
      </c>
      <c r="AL404" s="17">
        <f t="shared" si="57"/>
        <v>2.110336450170348E-5</v>
      </c>
      <c r="AM404" s="17">
        <f t="shared" si="57"/>
        <v>1.9691103221248323E-5</v>
      </c>
      <c r="AN404" s="17">
        <f t="shared" si="57"/>
        <v>1.9721706384661369E-5</v>
      </c>
      <c r="AO404" s="17">
        <f t="shared" si="57"/>
        <v>2.121671103687071E-5</v>
      </c>
      <c r="AP404" s="17">
        <f t="shared" si="57"/>
        <v>1.976869837888661E-5</v>
      </c>
      <c r="AQ404" s="17">
        <f t="shared" si="57"/>
        <v>1.9797457806181592E-5</v>
      </c>
      <c r="AR404" s="17">
        <f t="shared" si="57"/>
        <v>2.1291316677157174E-5</v>
      </c>
      <c r="AS404" s="17">
        <f t="shared" si="57"/>
        <v>1.981043757604787E-5</v>
      </c>
      <c r="AT404" s="17">
        <f t="shared" si="57"/>
        <v>1.9796309481860137E-5</v>
      </c>
      <c r="AU404" s="17">
        <f t="shared" si="57"/>
        <v>2.1229195761774852E-5</v>
      </c>
      <c r="AV404" s="17">
        <f t="shared" si="57"/>
        <v>1.9752391792085022E-5</v>
      </c>
      <c r="AW404" s="17">
        <f t="shared" si="57"/>
        <v>1.9723176815397187E-5</v>
      </c>
      <c r="AX404" s="17">
        <f t="shared" si="57"/>
        <v>2.1414472538286222E-5</v>
      </c>
      <c r="AY404" s="17">
        <f t="shared" si="57"/>
        <v>1.9948098111169785E-5</v>
      </c>
      <c r="AZ404" s="17">
        <f t="shared" si="57"/>
        <v>1.9958863782597625E-5</v>
      </c>
      <c r="BA404" s="17">
        <f t="shared" si="57"/>
        <v>2.2790131824819005E-5</v>
      </c>
    </row>
    <row r="405" spans="1:53" outlineLevel="1" x14ac:dyDescent="0.35">
      <c r="A405" s="6" t="s">
        <v>41</v>
      </c>
      <c r="B405" s="6">
        <f t="shared" si="52"/>
        <v>3.9406795025774319E-7</v>
      </c>
    </row>
    <row r="406" spans="1:53" outlineLevel="1" x14ac:dyDescent="0.35">
      <c r="A406" s="6" t="s">
        <v>43</v>
      </c>
      <c r="B406" s="6">
        <f t="shared" si="52"/>
        <v>7.8603017416721399E-7</v>
      </c>
      <c r="AB406" s="272"/>
      <c r="AC406" s="272"/>
      <c r="AD406" s="272"/>
      <c r="AE406" s="272"/>
      <c r="AF406" s="272"/>
      <c r="AG406" s="272"/>
      <c r="AH406" s="272"/>
      <c r="AI406" s="272"/>
      <c r="AJ406" s="272"/>
      <c r="AK406" s="272"/>
      <c r="AL406" s="272"/>
      <c r="AM406" s="272"/>
      <c r="AN406" s="272"/>
      <c r="AO406" s="272"/>
      <c r="AP406" s="272"/>
      <c r="AQ406" s="272"/>
      <c r="AR406" s="272"/>
      <c r="AS406" s="272"/>
      <c r="AT406" s="272"/>
      <c r="AU406" s="272"/>
      <c r="AV406" s="272"/>
      <c r="AW406" s="272"/>
      <c r="AX406" s="272"/>
      <c r="AY406" s="272"/>
      <c r="AZ406" s="272"/>
      <c r="BA406" s="272"/>
    </row>
    <row r="407" spans="1:53" outlineLevel="1" x14ac:dyDescent="0.35">
      <c r="A407" s="6" t="s">
        <v>44</v>
      </c>
      <c r="B407" s="6">
        <f>B102*AC385</f>
        <v>2.499127855049021E-6</v>
      </c>
      <c r="AB407" s="272"/>
      <c r="AC407" s="272"/>
      <c r="AD407" s="272"/>
      <c r="AE407" s="272"/>
      <c r="AF407" s="272"/>
      <c r="AG407" s="272"/>
      <c r="AH407" s="272"/>
      <c r="AI407" s="272"/>
      <c r="AJ407" s="272"/>
      <c r="AK407" s="272"/>
      <c r="AL407" s="272"/>
      <c r="AM407" s="272"/>
      <c r="AN407" s="272"/>
      <c r="AO407" s="272"/>
      <c r="AP407" s="272"/>
      <c r="AQ407" s="272"/>
      <c r="AR407" s="272"/>
      <c r="AS407" s="272"/>
      <c r="AT407" s="272"/>
      <c r="AU407" s="272"/>
      <c r="AV407" s="272"/>
      <c r="AW407" s="272"/>
      <c r="AX407" s="272"/>
      <c r="AY407" s="272"/>
      <c r="AZ407" s="272"/>
      <c r="BA407" s="272"/>
    </row>
    <row r="408" spans="1:53" outlineLevel="1" x14ac:dyDescent="0.35">
      <c r="A408" s="6" t="s">
        <v>757</v>
      </c>
      <c r="B408" s="6">
        <f>B103*AC385</f>
        <v>7.4702668962043684E-6</v>
      </c>
      <c r="AB408" s="272"/>
      <c r="AC408" s="272"/>
      <c r="AD408" s="272"/>
      <c r="AE408" s="272"/>
      <c r="AF408" s="272"/>
      <c r="AG408" s="272"/>
      <c r="AH408" s="272"/>
      <c r="AI408" s="272"/>
      <c r="AJ408" s="272"/>
      <c r="AK408" s="272"/>
      <c r="AL408" s="272"/>
      <c r="AM408" s="272"/>
      <c r="AN408" s="272"/>
      <c r="AO408" s="272"/>
      <c r="AP408" s="272"/>
      <c r="AQ408" s="272"/>
      <c r="AR408" s="272"/>
      <c r="AS408" s="272"/>
      <c r="AT408" s="272"/>
      <c r="AU408" s="272"/>
      <c r="AV408" s="272"/>
      <c r="AW408" s="272"/>
      <c r="AX408" s="272"/>
      <c r="AY408" s="272"/>
      <c r="AZ408" s="272"/>
      <c r="BA408" s="272"/>
    </row>
    <row r="409" spans="1:53" outlineLevel="1" x14ac:dyDescent="0.35">
      <c r="A409" s="6" t="s">
        <v>22</v>
      </c>
      <c r="Z409" s="6">
        <f>Z104</f>
        <v>1.926898770100606E-8</v>
      </c>
      <c r="AB409" s="272"/>
      <c r="AC409" s="272"/>
      <c r="AD409" s="272"/>
      <c r="AE409" s="272"/>
      <c r="AF409" s="272"/>
      <c r="AG409" s="272"/>
      <c r="AH409" s="272"/>
      <c r="AI409" s="272"/>
      <c r="AJ409" s="272"/>
      <c r="AK409" s="272"/>
      <c r="AL409" s="272"/>
      <c r="AM409" s="272"/>
      <c r="AN409" s="272"/>
      <c r="AO409" s="272"/>
      <c r="AP409" s="272"/>
      <c r="AQ409" s="272"/>
      <c r="AR409" s="272"/>
      <c r="AS409" s="272"/>
      <c r="AT409" s="272"/>
      <c r="AU409" s="272"/>
      <c r="AV409" s="272"/>
      <c r="AW409" s="272"/>
      <c r="AX409" s="272"/>
      <c r="AY409" s="272"/>
      <c r="AZ409" s="272"/>
      <c r="BA409" s="272"/>
    </row>
    <row r="410" spans="1:53" outlineLevel="1" x14ac:dyDescent="0.35">
      <c r="A410" s="6" t="s">
        <v>24</v>
      </c>
      <c r="Z410" s="6">
        <f t="shared" ref="Z410:Z420" si="58">Z105</f>
        <v>1.34067733490309E-8</v>
      </c>
      <c r="AB410" s="272"/>
      <c r="AC410" s="272"/>
      <c r="AD410" s="272"/>
      <c r="AE410" s="272"/>
      <c r="AF410" s="272"/>
      <c r="AG410" s="272"/>
      <c r="AH410" s="272"/>
      <c r="AI410" s="272"/>
      <c r="AJ410" s="272"/>
      <c r="AK410" s="272"/>
      <c r="AL410" s="272"/>
      <c r="AM410" s="272"/>
      <c r="AN410" s="272"/>
      <c r="AO410" s="272"/>
      <c r="AP410" s="272"/>
      <c r="AQ410" s="272"/>
      <c r="AR410" s="272"/>
      <c r="AS410" s="272"/>
      <c r="AT410" s="272"/>
      <c r="AU410" s="272"/>
      <c r="AV410" s="272"/>
      <c r="AW410" s="272"/>
      <c r="AX410" s="272"/>
      <c r="AY410" s="272"/>
      <c r="AZ410" s="272"/>
      <c r="BA410" s="272"/>
    </row>
    <row r="411" spans="1:53" outlineLevel="1" x14ac:dyDescent="0.35">
      <c r="A411" s="6" t="s">
        <v>25</v>
      </c>
      <c r="Z411" s="6">
        <f t="shared" si="58"/>
        <v>6.5694963487932937E-8</v>
      </c>
      <c r="AB411" s="272"/>
      <c r="AC411" s="272"/>
      <c r="AD411" s="272"/>
      <c r="AE411" s="272"/>
      <c r="AF411" s="272"/>
      <c r="AG411" s="272"/>
      <c r="AH411" s="272"/>
      <c r="AI411" s="272"/>
      <c r="AJ411" s="272"/>
      <c r="AK411" s="272"/>
      <c r="AL411" s="272"/>
      <c r="AM411" s="272"/>
      <c r="AN411" s="272"/>
      <c r="AO411" s="272"/>
      <c r="AP411" s="272"/>
      <c r="AQ411" s="272"/>
      <c r="AR411" s="272"/>
      <c r="AS411" s="272"/>
      <c r="AT411" s="272"/>
      <c r="AU411" s="272"/>
      <c r="AV411" s="272"/>
      <c r="AW411" s="272"/>
      <c r="AX411" s="272"/>
      <c r="AY411" s="272"/>
      <c r="AZ411" s="272"/>
      <c r="BA411" s="272"/>
    </row>
    <row r="412" spans="1:53" outlineLevel="1" x14ac:dyDescent="0.35">
      <c r="A412" s="6" t="s">
        <v>27</v>
      </c>
      <c r="Z412" s="6">
        <f t="shared" si="58"/>
        <v>2.8717012364118558E-8</v>
      </c>
      <c r="AB412" s="272"/>
      <c r="AC412" s="272"/>
      <c r="AD412" s="272"/>
      <c r="AE412" s="272"/>
      <c r="AF412" s="272"/>
      <c r="AG412" s="272"/>
      <c r="AH412" s="272"/>
      <c r="AI412" s="272"/>
      <c r="AJ412" s="272"/>
      <c r="AK412" s="272"/>
      <c r="AL412" s="272"/>
      <c r="AM412" s="272"/>
      <c r="AN412" s="272"/>
      <c r="AO412" s="272"/>
      <c r="AP412" s="272"/>
      <c r="AQ412" s="272"/>
      <c r="AR412" s="272"/>
      <c r="AS412" s="272"/>
      <c r="AT412" s="272"/>
      <c r="AU412" s="272"/>
      <c r="AV412" s="272"/>
      <c r="AW412" s="272"/>
      <c r="AX412" s="272"/>
      <c r="AY412" s="272"/>
      <c r="AZ412" s="272"/>
      <c r="BA412" s="272"/>
    </row>
    <row r="413" spans="1:53" outlineLevel="1" x14ac:dyDescent="0.35">
      <c r="A413" s="6" t="s">
        <v>30</v>
      </c>
      <c r="Z413" s="6">
        <f t="shared" si="58"/>
        <v>2.4974932312648512E-8</v>
      </c>
      <c r="AB413" s="272"/>
      <c r="AC413" s="272"/>
      <c r="AD413" s="272"/>
      <c r="AE413" s="272"/>
      <c r="AF413" s="272"/>
      <c r="AG413" s="272"/>
      <c r="AH413" s="272"/>
      <c r="AI413" s="272"/>
      <c r="AJ413" s="272"/>
      <c r="AK413" s="272"/>
      <c r="AL413" s="272"/>
      <c r="AM413" s="272"/>
      <c r="AN413" s="272"/>
      <c r="AO413" s="272"/>
      <c r="AP413" s="272"/>
      <c r="AQ413" s="272"/>
      <c r="AR413" s="272"/>
      <c r="AS413" s="272"/>
      <c r="AT413" s="272"/>
      <c r="AU413" s="272"/>
      <c r="AV413" s="272"/>
      <c r="AW413" s="272"/>
      <c r="AX413" s="272"/>
      <c r="AY413" s="272"/>
      <c r="AZ413" s="272"/>
      <c r="BA413" s="272"/>
    </row>
    <row r="414" spans="1:53" outlineLevel="1" x14ac:dyDescent="0.35">
      <c r="A414" s="6" t="s">
        <v>32</v>
      </c>
      <c r="Z414" s="6">
        <f t="shared" si="58"/>
        <v>4.7174680109500834E-9</v>
      </c>
      <c r="AB414" s="272"/>
      <c r="AC414" s="272"/>
      <c r="AD414" s="272"/>
      <c r="AE414" s="272"/>
      <c r="AF414" s="272"/>
      <c r="AG414" s="272"/>
      <c r="AH414" s="272"/>
      <c r="AI414" s="272"/>
      <c r="AJ414" s="272"/>
      <c r="AK414" s="272"/>
      <c r="AL414" s="272"/>
      <c r="AM414" s="272"/>
      <c r="AN414" s="272"/>
      <c r="AO414" s="272"/>
      <c r="AP414" s="272"/>
      <c r="AQ414" s="272"/>
      <c r="AR414" s="272"/>
      <c r="AS414" s="272"/>
      <c r="AT414" s="272"/>
      <c r="AU414" s="272"/>
      <c r="AV414" s="272"/>
      <c r="AW414" s="272"/>
      <c r="AX414" s="272"/>
      <c r="AY414" s="272"/>
      <c r="AZ414" s="272"/>
      <c r="BA414" s="272"/>
    </row>
    <row r="415" spans="1:53" outlineLevel="1" x14ac:dyDescent="0.35">
      <c r="A415" s="6" t="s">
        <v>33</v>
      </c>
      <c r="Z415" s="6">
        <f t="shared" si="58"/>
        <v>6.489861309460378E-9</v>
      </c>
      <c r="AB415" s="272"/>
      <c r="AC415" s="272"/>
      <c r="AD415" s="272"/>
      <c r="AE415" s="272"/>
      <c r="AF415" s="272"/>
      <c r="AG415" s="272"/>
      <c r="AH415" s="272"/>
      <c r="AI415" s="272"/>
      <c r="AJ415" s="272"/>
      <c r="AK415" s="272"/>
      <c r="AL415" s="272"/>
      <c r="AM415" s="272"/>
      <c r="AN415" s="272"/>
      <c r="AO415" s="272"/>
      <c r="AP415" s="272"/>
      <c r="AQ415" s="272"/>
      <c r="AR415" s="272"/>
      <c r="AS415" s="272"/>
      <c r="AT415" s="272"/>
      <c r="AU415" s="272"/>
      <c r="AV415" s="272"/>
      <c r="AW415" s="272"/>
      <c r="AX415" s="272"/>
      <c r="AY415" s="272"/>
      <c r="AZ415" s="272"/>
      <c r="BA415" s="272"/>
    </row>
    <row r="416" spans="1:53" outlineLevel="1" x14ac:dyDescent="0.35">
      <c r="A416" s="6" t="s">
        <v>35</v>
      </c>
      <c r="Z416" s="6">
        <f t="shared" si="58"/>
        <v>1.2979722618920759E-8</v>
      </c>
      <c r="AB416" s="272"/>
      <c r="AC416" s="272"/>
      <c r="AD416" s="272"/>
      <c r="AE416" s="272"/>
      <c r="AF416" s="272"/>
      <c r="AG416" s="272"/>
      <c r="AH416" s="272"/>
      <c r="AI416" s="272"/>
      <c r="AJ416" s="272"/>
      <c r="AK416" s="272"/>
      <c r="AL416" s="272"/>
      <c r="AM416" s="272"/>
      <c r="AN416" s="272"/>
      <c r="AO416" s="272"/>
      <c r="AP416" s="272"/>
      <c r="AQ416" s="272"/>
      <c r="AR416" s="272"/>
      <c r="AS416" s="272"/>
      <c r="AT416" s="272"/>
      <c r="AU416" s="272"/>
      <c r="AV416" s="272"/>
      <c r="AW416" s="272"/>
      <c r="AX416" s="272"/>
      <c r="AY416" s="272"/>
      <c r="AZ416" s="272"/>
      <c r="BA416" s="272"/>
    </row>
    <row r="417" spans="1:53" outlineLevel="1" x14ac:dyDescent="0.35">
      <c r="A417" s="6" t="s">
        <v>37</v>
      </c>
      <c r="Z417" s="6">
        <f t="shared" si="58"/>
        <v>8.1619562066932211E-8</v>
      </c>
      <c r="AB417" s="272"/>
      <c r="AC417" s="272"/>
      <c r="AD417" s="272"/>
      <c r="AE417" s="272"/>
      <c r="AF417" s="272"/>
      <c r="AG417" s="272"/>
      <c r="AH417" s="272"/>
      <c r="AI417" s="272"/>
      <c r="AJ417" s="272"/>
      <c r="AK417" s="272"/>
      <c r="AL417" s="272"/>
      <c r="AM417" s="272"/>
      <c r="AN417" s="272"/>
      <c r="AO417" s="272"/>
      <c r="AP417" s="272"/>
      <c r="AQ417" s="272"/>
      <c r="AR417" s="272"/>
      <c r="AS417" s="272"/>
      <c r="AT417" s="272"/>
      <c r="AU417" s="272"/>
      <c r="AV417" s="272"/>
      <c r="AW417" s="272"/>
      <c r="AX417" s="272"/>
      <c r="AY417" s="272"/>
      <c r="AZ417" s="272"/>
      <c r="BA417" s="272"/>
    </row>
    <row r="418" spans="1:53" outlineLevel="1" x14ac:dyDescent="0.35">
      <c r="A418" s="6" t="s">
        <v>40</v>
      </c>
      <c r="Z418" s="6">
        <f t="shared" si="58"/>
        <v>3.2029594840598537E-7</v>
      </c>
    </row>
    <row r="419" spans="1:53" outlineLevel="1" x14ac:dyDescent="0.35">
      <c r="A419" s="6" t="s">
        <v>42</v>
      </c>
      <c r="Z419" s="6">
        <f t="shared" si="58"/>
        <v>1.1208985910569E-7</v>
      </c>
    </row>
    <row r="420" spans="1:53" outlineLevel="1" x14ac:dyDescent="0.35">
      <c r="A420" s="6" t="s">
        <v>115</v>
      </c>
      <c r="Z420" s="6">
        <f t="shared" si="58"/>
        <v>6.2687927320619511E-7</v>
      </c>
    </row>
    <row r="421" spans="1:53" outlineLevel="1" x14ac:dyDescent="0.35">
      <c r="A421" s="6" t="s">
        <v>45</v>
      </c>
      <c r="Z421" s="6">
        <f>Z116*AC385</f>
        <v>2.0936130856431027E-8</v>
      </c>
    </row>
    <row r="422" spans="1:53" outlineLevel="1" x14ac:dyDescent="0.35">
      <c r="A422" s="6" t="s">
        <v>116</v>
      </c>
      <c r="B422" s="6">
        <f>B117</f>
        <v>1.5568631310201531E-6</v>
      </c>
      <c r="C422" s="6">
        <f t="shared" ref="C422:Z422" si="59">C117</f>
        <v>1.5391043825718959E-6</v>
      </c>
      <c r="D422" s="6">
        <f t="shared" si="59"/>
        <v>1.520382059578232E-6</v>
      </c>
      <c r="E422" s="6">
        <f t="shared" si="59"/>
        <v>1.490530396859574E-6</v>
      </c>
      <c r="F422" s="6">
        <f t="shared" si="59"/>
        <v>1.469977393581854E-6</v>
      </c>
      <c r="G422" s="6">
        <f t="shared" si="59"/>
        <v>1.4485978665570479E-6</v>
      </c>
      <c r="H422" s="6">
        <f t="shared" si="59"/>
        <v>1.453183927485486E-6</v>
      </c>
      <c r="I422" s="6">
        <f t="shared" si="59"/>
        <v>1.457380151900112E-6</v>
      </c>
      <c r="J422" s="6">
        <f t="shared" si="59"/>
        <v>1.4543220215600509E-6</v>
      </c>
      <c r="K422" s="6">
        <f t="shared" si="59"/>
        <v>1.457702482446929E-6</v>
      </c>
      <c r="L422" s="6">
        <f t="shared" si="59"/>
        <v>1.4608047795862119E-6</v>
      </c>
      <c r="M422" s="6">
        <f t="shared" si="59"/>
        <v>1.462560445034647E-6</v>
      </c>
      <c r="N422" s="6">
        <f t="shared" si="59"/>
        <v>1.4643173431288331E-6</v>
      </c>
      <c r="O422" s="6">
        <f t="shared" si="59"/>
        <v>1.4633057535492171E-6</v>
      </c>
      <c r="P422" s="6">
        <f t="shared" si="59"/>
        <v>1.4649814128069E-6</v>
      </c>
      <c r="Q422" s="6">
        <f t="shared" si="59"/>
        <v>1.4666447699044541E-6</v>
      </c>
      <c r="R422" s="6">
        <f t="shared" si="59"/>
        <v>1.4659285962986079E-6</v>
      </c>
      <c r="S422" s="6">
        <f t="shared" si="59"/>
        <v>1.465211603535244E-6</v>
      </c>
      <c r="T422" s="6">
        <f t="shared" si="59"/>
        <v>1.4616325983130691E-6</v>
      </c>
      <c r="U422" s="6">
        <f t="shared" si="59"/>
        <v>1.4608635679001789E-6</v>
      </c>
      <c r="V422" s="6">
        <f t="shared" si="59"/>
        <v>1.4599959339718309E-6</v>
      </c>
      <c r="W422" s="6">
        <f t="shared" si="59"/>
        <v>1.477314417989346E-6</v>
      </c>
      <c r="X422" s="6">
        <f t="shared" si="59"/>
        <v>1.479100931628465E-6</v>
      </c>
      <c r="Y422" s="6">
        <f t="shared" si="59"/>
        <v>1.4808667744377321E-6</v>
      </c>
      <c r="Z422" s="6">
        <f t="shared" si="59"/>
        <v>1.482612190332E-6</v>
      </c>
    </row>
    <row r="423" spans="1:53" outlineLevel="1" x14ac:dyDescent="0.35">
      <c r="A423" s="6" t="s">
        <v>758</v>
      </c>
      <c r="B423" s="6">
        <f>B118*$AC$385</f>
        <v>1.7752440567805211E-6</v>
      </c>
      <c r="C423" s="6">
        <f t="shared" ref="C423:Z424" si="60">C118*$AC$385</f>
        <v>1.6820706347941204E-6</v>
      </c>
      <c r="D423" s="6">
        <f t="shared" si="60"/>
        <v>1.5886669608485821E-6</v>
      </c>
      <c r="E423" s="6">
        <f t="shared" si="60"/>
        <v>1.4918642258813162E-6</v>
      </c>
      <c r="F423" s="6">
        <f t="shared" si="60"/>
        <v>1.3978906953923141E-6</v>
      </c>
      <c r="G423" s="6">
        <f t="shared" si="60"/>
        <v>1.3038238671544126E-6</v>
      </c>
      <c r="H423" s="6">
        <f t="shared" si="60"/>
        <v>1.331640889074205E-6</v>
      </c>
      <c r="I423" s="6">
        <f t="shared" si="60"/>
        <v>1.3591806698397854E-6</v>
      </c>
      <c r="J423" s="6">
        <f t="shared" si="60"/>
        <v>1.38298912489565E-6</v>
      </c>
      <c r="K423" s="6">
        <f t="shared" si="60"/>
        <v>1.4097462315915084E-6</v>
      </c>
      <c r="L423" s="6">
        <f t="shared" si="60"/>
        <v>1.43622048229568E-6</v>
      </c>
      <c r="M423" s="6">
        <f t="shared" si="60"/>
        <v>1.4484394481672169E-6</v>
      </c>
      <c r="N423" s="6">
        <f t="shared" si="60"/>
        <v>1.4605598344872094E-6</v>
      </c>
      <c r="O423" s="6">
        <f t="shared" si="60"/>
        <v>1.4713252104359526E-6</v>
      </c>
      <c r="P423" s="6">
        <f t="shared" si="60"/>
        <v>1.4828286307382395E-6</v>
      </c>
      <c r="Q423" s="6">
        <f t="shared" si="60"/>
        <v>1.4941070090697999E-6</v>
      </c>
      <c r="R423" s="6">
        <f t="shared" si="60"/>
        <v>1.4757897668089051E-6</v>
      </c>
      <c r="S423" s="6">
        <f t="shared" si="60"/>
        <v>1.4577421315131216E-6</v>
      </c>
      <c r="T423" s="6">
        <f t="shared" si="60"/>
        <v>1.4388655723772805E-6</v>
      </c>
      <c r="U423" s="6">
        <f t="shared" si="60"/>
        <v>1.421227323656791E-6</v>
      </c>
      <c r="V423" s="6">
        <f t="shared" si="60"/>
        <v>1.4035720178838829E-6</v>
      </c>
      <c r="W423" s="6">
        <f t="shared" si="60"/>
        <v>1.4430426092447299E-6</v>
      </c>
      <c r="X423" s="6">
        <f t="shared" si="60"/>
        <v>1.4425429591215859E-6</v>
      </c>
      <c r="Y423" s="6">
        <f t="shared" si="60"/>
        <v>1.442097148159067E-6</v>
      </c>
      <c r="Z423" s="6">
        <f t="shared" si="60"/>
        <v>1.4416981589731551E-6</v>
      </c>
    </row>
    <row r="424" spans="1:53" outlineLevel="1" x14ac:dyDescent="0.35">
      <c r="A424" s="6" t="s">
        <v>759</v>
      </c>
      <c r="B424" s="6">
        <f>B119*$AC$385</f>
        <v>1.0368000147309429E-7</v>
      </c>
      <c r="C424" s="6">
        <f t="shared" si="60"/>
        <v>1.0368000147309429E-7</v>
      </c>
      <c r="D424" s="6">
        <f t="shared" si="60"/>
        <v>1.0368000147309429E-7</v>
      </c>
      <c r="E424" s="6">
        <f t="shared" si="60"/>
        <v>1.0368000147309429E-7</v>
      </c>
      <c r="F424" s="6">
        <f t="shared" si="60"/>
        <v>1.0368000147309429E-7</v>
      </c>
      <c r="G424" s="6">
        <f t="shared" si="60"/>
        <v>1.0368000147309429E-7</v>
      </c>
      <c r="H424" s="6">
        <f t="shared" si="60"/>
        <v>1.0368000147309429E-7</v>
      </c>
      <c r="I424" s="6">
        <f t="shared" si="60"/>
        <v>1.0368000147309429E-7</v>
      </c>
      <c r="J424" s="6">
        <f t="shared" si="60"/>
        <v>1.0368000147309429E-7</v>
      </c>
      <c r="K424" s="6">
        <f t="shared" si="60"/>
        <v>1.0368000147309429E-7</v>
      </c>
      <c r="L424" s="6">
        <f t="shared" si="60"/>
        <v>1.0368000147309429E-7</v>
      </c>
      <c r="M424" s="6">
        <f t="shared" si="60"/>
        <v>1.0368000147309429E-7</v>
      </c>
      <c r="N424" s="6">
        <f t="shared" si="60"/>
        <v>1.0368000147309429E-7</v>
      </c>
      <c r="O424" s="6">
        <f t="shared" si="60"/>
        <v>1.0368000147309429E-7</v>
      </c>
      <c r="P424" s="6">
        <f t="shared" si="60"/>
        <v>1.0368000147309429E-7</v>
      </c>
      <c r="Q424" s="6">
        <f t="shared" si="60"/>
        <v>1.0368000147309429E-7</v>
      </c>
      <c r="R424" s="6">
        <f t="shared" si="60"/>
        <v>1.0368000147309429E-7</v>
      </c>
      <c r="S424" s="6">
        <f t="shared" si="60"/>
        <v>1.0368000147309429E-7</v>
      </c>
      <c r="T424" s="6">
        <f t="shared" si="60"/>
        <v>1.0368000147309429E-7</v>
      </c>
      <c r="U424" s="6">
        <f t="shared" si="60"/>
        <v>1.0368000147309429E-7</v>
      </c>
      <c r="V424" s="6">
        <f t="shared" si="60"/>
        <v>1.0368000147309429E-7</v>
      </c>
      <c r="W424" s="6">
        <f t="shared" si="60"/>
        <v>1.0368000147309429E-7</v>
      </c>
      <c r="X424" s="6">
        <f t="shared" si="60"/>
        <v>1.0368000147309429E-7</v>
      </c>
      <c r="Y424" s="6">
        <f t="shared" si="60"/>
        <v>1.0368000147309429E-7</v>
      </c>
      <c r="Z424" s="6">
        <f t="shared" si="60"/>
        <v>1.0368000147309429E-7</v>
      </c>
    </row>
    <row r="425" spans="1:53" outlineLevel="1" x14ac:dyDescent="0.35">
      <c r="A425" s="6" t="s">
        <v>760</v>
      </c>
      <c r="B425" s="6">
        <f>$B$252*$AC$384*'Results - raw data ReCiPe (I)'!AC128/(1-0.5)*(1+'Results ReCiPe (I) - HHD'!$AC$271/'Results ReCiPe (I) - HHD'!$AC$272-'Results ReCiPe (I) - HHD'!$AC$271)</f>
        <v>1.9239547720206073E-5</v>
      </c>
      <c r="C425" s="6">
        <f>$B$252*$AC$384*'Results - raw data ReCiPe (I)'!AD128/(1-0.5)*(1+'Results ReCiPe (I) - HHD'!$AC$271/'Results ReCiPe (I) - HHD'!$AC$272-'Results ReCiPe (I) - HHD'!$AC$271)</f>
        <v>1.9165015363775302E-5</v>
      </c>
      <c r="D425" s="6">
        <f>$B$252*$AC$384*'Results - raw data ReCiPe (I)'!AE128/(1-0.5)*(1+'Results ReCiPe (I) - HHD'!$AC$271/'Results ReCiPe (I) - HHD'!$AC$272-'Results ReCiPe (I) - HHD'!$AC$271)</f>
        <v>1.9086136257996087E-5</v>
      </c>
      <c r="E425" s="6">
        <f>$B$252*$AC$384*'Results - raw data ReCiPe (I)'!AF128/(1-0.5)*(1+'Results ReCiPe (I) - HHD'!$AC$271/'Results ReCiPe (I) - HHD'!$AC$272-'Results ReCiPe (I) - HHD'!$AC$271)</f>
        <v>1.8951229894247308E-5</v>
      </c>
      <c r="F425" s="6">
        <f>$B$252*$AC$384*'Results - raw data ReCiPe (I)'!AG128/(1-0.5)*(1+'Results ReCiPe (I) - HHD'!$AC$271/'Results ReCiPe (I) - HHD'!$AC$272-'Results ReCiPe (I) - HHD'!$AC$271)</f>
        <v>1.8860440894281813E-5</v>
      </c>
      <c r="G425" s="6">
        <f>$B$252*$AC$384*'Results - raw data ReCiPe (I)'!AH128/(1-0.5)*(1+'Results ReCiPe (I) - HHD'!$AC$271/'Results ReCiPe (I) - HHD'!$AC$272-'Results ReCiPe (I) - HHD'!$AC$271)</f>
        <v>1.8765785474437972E-5</v>
      </c>
      <c r="H425" s="6">
        <f>$B$252*$AC$384*'Results - raw data ReCiPe (I)'!AI128/(1-0.5)*(1+'Results ReCiPe (I) - HHD'!$AC$271/'Results ReCiPe (I) - HHD'!$AC$272-'Results ReCiPe (I) - HHD'!$AC$271)</f>
        <v>1.8789495639830176E-5</v>
      </c>
      <c r="I425" s="6">
        <f>$B$252*$AC$384*'Results - raw data ReCiPe (I)'!AJ128/(1-0.5)*(1+'Results ReCiPe (I) - HHD'!$AC$271/'Results ReCiPe (I) - HHD'!$AC$272-'Results ReCiPe (I) - HHD'!$AC$271)</f>
        <v>1.8812031404525169E-5</v>
      </c>
      <c r="J425" s="6">
        <f>$B$252*$AC$384*'Results - raw data ReCiPe (I)'!AK128/(1-0.5)*(1+'Results ReCiPe (I) - HHD'!$AC$271/'Results ReCiPe (I) - HHD'!$AC$272-'Results ReCiPe (I) - HHD'!$AC$271)</f>
        <v>1.8798803526956739E-5</v>
      </c>
      <c r="K425" s="6">
        <f>$B$252*$AC$384*'Results - raw data ReCiPe (I)'!AL128/(1-0.5)*(1+'Results ReCiPe (I) - HHD'!$AC$271/'Results ReCiPe (I) - HHD'!$AC$272-'Results ReCiPe (I) - HHD'!$AC$271)</f>
        <v>1.8818364947284373E-5</v>
      </c>
      <c r="L425" s="6">
        <f>$B$252*$AC$384*'Results - raw data ReCiPe (I)'!AM128/(1-0.5)*(1+'Results ReCiPe (I) - HHD'!$AC$271/'Results ReCiPe (I) - HHD'!$AC$272-'Results ReCiPe (I) - HHD'!$AC$271)</f>
        <v>1.883733189857197E-5</v>
      </c>
      <c r="M425" s="6">
        <f>$B$252*$AC$384*'Results - raw data ReCiPe (I)'!AN128/(1-0.5)*(1+'Results ReCiPe (I) - HHD'!$AC$271/'Results ReCiPe (I) - HHD'!$AC$272-'Results ReCiPe (I) - HHD'!$AC$271)</f>
        <v>1.8855716096113476E-5</v>
      </c>
      <c r="N425" s="6">
        <f>$B$252*$AC$384*'Results - raw data ReCiPe (I)'!AO128/(1-0.5)*(1+'Results ReCiPe (I) - HHD'!$AC$271/'Results ReCiPe (I) - HHD'!$AC$272-'Results ReCiPe (I) - HHD'!$AC$271)</f>
        <v>1.8874283018873988E-5</v>
      </c>
      <c r="O425" s="6">
        <f>$B$252*$AC$384*'Results - raw data ReCiPe (I)'!AP128/(1-0.5)*(1+'Results ReCiPe (I) - HHD'!$AC$271/'Results ReCiPe (I) - HHD'!$AC$272-'Results ReCiPe (I) - HHD'!$AC$271)</f>
        <v>1.8879822328069981E-5</v>
      </c>
      <c r="P425" s="6">
        <f>$B$252*$AC$384*'Results - raw data ReCiPe (I)'!AQ128/(1-0.5)*(1+'Results ReCiPe (I) - HHD'!$AC$271/'Results ReCiPe (I) - HHD'!$AC$272-'Results ReCiPe (I) - HHD'!$AC$271)</f>
        <v>1.8897078335062675E-5</v>
      </c>
      <c r="Q425" s="6">
        <f>$B$252*$AC$384*'Results - raw data ReCiPe (I)'!AR128/(1-0.5)*(1+'Results ReCiPe (I) - HHD'!$AC$271/'Results ReCiPe (I) - HHD'!$AC$272-'Results ReCiPe (I) - HHD'!$AC$271)</f>
        <v>1.8913014057802245E-5</v>
      </c>
      <c r="R425" s="6">
        <f>$B$252*$AC$384*'Results - raw data ReCiPe (I)'!AS128/(1-0.5)*(1+'Results ReCiPe (I) - HHD'!$AC$271/'Results ReCiPe (I) - HHD'!$AC$272-'Results ReCiPe (I) - HHD'!$AC$271)</f>
        <v>1.8917096968858292E-5</v>
      </c>
      <c r="S425" s="6">
        <f>$B$252*$AC$384*'Results - raw data ReCiPe (I)'!AT128/(1-0.5)*(1+'Results ReCiPe (I) - HHD'!$AC$271/'Results ReCiPe (I) - HHD'!$AC$272-'Results ReCiPe (I) - HHD'!$AC$271)</f>
        <v>1.8921016509966341E-5</v>
      </c>
      <c r="T425" s="6">
        <f>$B$252*$AC$384*'Results - raw data ReCiPe (I)'!AU128/(1-0.5)*(1+'Results ReCiPe (I) - HHD'!$AC$271/'Results ReCiPe (I) - HHD'!$AC$272-'Results ReCiPe (I) - HHD'!$AC$271)</f>
        <v>1.8911146750703826E-5</v>
      </c>
      <c r="U425" s="6">
        <f>$B$252*$AC$384*'Results - raw data ReCiPe (I)'!AV128/(1-0.5)*(1+'Results ReCiPe (I) - HHD'!$AC$271/'Results ReCiPe (I) - HHD'!$AC$272-'Results ReCiPe (I) - HHD'!$AC$271)</f>
        <v>1.8913613628047554E-5</v>
      </c>
      <c r="V425" s="6">
        <f>$B$252*$AC$384*'Results - raw data ReCiPe (I)'!AW128/(1-0.5)*(1+'Results ReCiPe (I) - HHD'!$AC$271/'Results ReCiPe (I) - HHD'!$AC$272-'Results ReCiPe (I) - HHD'!$AC$271)</f>
        <v>1.8902053957132625E-5</v>
      </c>
      <c r="W425" s="6">
        <f>$B$252*$AC$384*'Results - raw data ReCiPe (I)'!AX128/(1-0.5)*(1+'Results ReCiPe (I) - HHD'!$AC$271/'Results ReCiPe (I) - HHD'!$AC$272-'Results ReCiPe (I) - HHD'!$AC$271)</f>
        <v>1.9076564670671466E-5</v>
      </c>
      <c r="X425" s="6">
        <f>$B$252*$AC$384*'Results - raw data ReCiPe (I)'!AY128/(1-0.5)*(1+'Results ReCiPe (I) - HHD'!$AC$271/'Results ReCiPe (I) - HHD'!$AC$272-'Results ReCiPe (I) - HHD'!$AC$271)</f>
        <v>1.9088004311667526E-5</v>
      </c>
      <c r="Y425" s="6">
        <f>$B$252*$AC$384*'Results - raw data ReCiPe (I)'!AZ128/(1-0.5)*(1+'Results ReCiPe (I) - HHD'!$AC$271/'Results ReCiPe (I) - HHD'!$AC$272-'Results ReCiPe (I) - HHD'!$AC$271)</f>
        <v>1.909921579405788E-5</v>
      </c>
      <c r="Z425" s="6">
        <f>$B$252*$AC$384*'Results - raw data ReCiPe (I)'!BA128/(1-0.5)*(1+'Results ReCiPe (I) - HHD'!$AC$271/'Results ReCiPe (I) - HHD'!$AC$272-'Results ReCiPe (I) - HHD'!$AC$271)</f>
        <v>1.9110200140337874E-5</v>
      </c>
    </row>
    <row r="426" spans="1:53" outlineLevel="1" x14ac:dyDescent="0.35">
      <c r="A426" s="6" t="s">
        <v>797</v>
      </c>
      <c r="B426" s="6">
        <f>$B$380*$AC$384</f>
        <v>2.5914595838907584E-5</v>
      </c>
      <c r="C426" s="6">
        <f t="shared" ref="C426:Z426" si="61">$B$380*$AC$384</f>
        <v>2.5914595838907584E-5</v>
      </c>
      <c r="D426" s="6">
        <f t="shared" si="61"/>
        <v>2.5914595838907584E-5</v>
      </c>
      <c r="E426" s="6">
        <f t="shared" si="61"/>
        <v>2.5914595838907584E-5</v>
      </c>
      <c r="F426" s="6">
        <f t="shared" si="61"/>
        <v>2.5914595838907584E-5</v>
      </c>
      <c r="G426" s="6">
        <f t="shared" si="61"/>
        <v>2.5914595838907584E-5</v>
      </c>
      <c r="H426" s="6">
        <f t="shared" si="61"/>
        <v>2.5914595838907584E-5</v>
      </c>
      <c r="I426" s="6">
        <f t="shared" si="61"/>
        <v>2.5914595838907584E-5</v>
      </c>
      <c r="J426" s="6">
        <f t="shared" si="61"/>
        <v>2.5914595838907584E-5</v>
      </c>
      <c r="K426" s="6">
        <f t="shared" si="61"/>
        <v>2.5914595838907584E-5</v>
      </c>
      <c r="L426" s="6">
        <f t="shared" si="61"/>
        <v>2.5914595838907584E-5</v>
      </c>
      <c r="M426" s="6">
        <f t="shared" si="61"/>
        <v>2.5914595838907584E-5</v>
      </c>
      <c r="N426" s="6">
        <f t="shared" si="61"/>
        <v>2.5914595838907584E-5</v>
      </c>
      <c r="O426" s="6">
        <f t="shared" si="61"/>
        <v>2.5914595838907584E-5</v>
      </c>
      <c r="P426" s="6">
        <f t="shared" si="61"/>
        <v>2.5914595838907584E-5</v>
      </c>
      <c r="Q426" s="6">
        <f t="shared" si="61"/>
        <v>2.5914595838907584E-5</v>
      </c>
      <c r="R426" s="6">
        <f t="shared" si="61"/>
        <v>2.5914595838907584E-5</v>
      </c>
      <c r="S426" s="6">
        <f t="shared" si="61"/>
        <v>2.5914595838907584E-5</v>
      </c>
      <c r="T426" s="6">
        <f t="shared" si="61"/>
        <v>2.5914595838907584E-5</v>
      </c>
      <c r="U426" s="6">
        <f t="shared" si="61"/>
        <v>2.5914595838907584E-5</v>
      </c>
      <c r="V426" s="6">
        <f t="shared" si="61"/>
        <v>2.5914595838907584E-5</v>
      </c>
      <c r="W426" s="6">
        <f t="shared" si="61"/>
        <v>2.5914595838907584E-5</v>
      </c>
      <c r="X426" s="6">
        <f t="shared" si="61"/>
        <v>2.5914595838907584E-5</v>
      </c>
      <c r="Y426" s="6">
        <f t="shared" si="61"/>
        <v>2.5914595838907584E-5</v>
      </c>
      <c r="Z426" s="6">
        <f t="shared" si="61"/>
        <v>2.5914595838907584E-5</v>
      </c>
    </row>
    <row r="427" spans="1:53" outlineLevel="1" x14ac:dyDescent="0.35">
      <c r="A427" s="23" t="s">
        <v>125</v>
      </c>
      <c r="B427" s="17">
        <f>SUM(B395:B425)</f>
        <v>1.0808531391146E-4</v>
      </c>
      <c r="C427" s="17">
        <f t="shared" ref="C427:Z427" si="62">SUM(C395:C425)</f>
        <v>2.2489870382614412E-5</v>
      </c>
      <c r="D427" s="17">
        <f t="shared" si="62"/>
        <v>2.2298865279895995E-5</v>
      </c>
      <c r="E427" s="17">
        <f t="shared" si="62"/>
        <v>2.2037304518461292E-5</v>
      </c>
      <c r="F427" s="17">
        <f t="shared" si="62"/>
        <v>2.1831988984729074E-5</v>
      </c>
      <c r="G427" s="17">
        <f t="shared" si="62"/>
        <v>2.1621887209622526E-5</v>
      </c>
      <c r="H427" s="17">
        <f t="shared" si="62"/>
        <v>2.167800045786296E-5</v>
      </c>
      <c r="I427" s="17">
        <f t="shared" si="62"/>
        <v>2.1732272227738159E-5</v>
      </c>
      <c r="J427" s="17">
        <f t="shared" si="62"/>
        <v>2.1739794674885534E-5</v>
      </c>
      <c r="K427" s="17">
        <f t="shared" si="62"/>
        <v>2.1789493662795905E-5</v>
      </c>
      <c r="L427" s="17">
        <f t="shared" si="62"/>
        <v>2.1838037161926954E-5</v>
      </c>
      <c r="M427" s="17">
        <f t="shared" si="62"/>
        <v>2.1870395990788434E-5</v>
      </c>
      <c r="N427" s="17">
        <f t="shared" si="62"/>
        <v>2.1902840197963125E-5</v>
      </c>
      <c r="O427" s="17">
        <f t="shared" si="62"/>
        <v>2.1918133293528246E-5</v>
      </c>
      <c r="P427" s="17">
        <f t="shared" si="62"/>
        <v>2.194856838008091E-5</v>
      </c>
      <c r="Q427" s="17">
        <f t="shared" si="62"/>
        <v>2.1977445838249592E-5</v>
      </c>
      <c r="R427" s="17">
        <f t="shared" si="62"/>
        <v>2.1962495333438899E-5</v>
      </c>
      <c r="S427" s="17">
        <f t="shared" si="62"/>
        <v>2.19476502464878E-5</v>
      </c>
      <c r="T427" s="17">
        <f t="shared" si="62"/>
        <v>2.1915324922867271E-5</v>
      </c>
      <c r="U427" s="17">
        <f t="shared" si="62"/>
        <v>2.1899384521077619E-5</v>
      </c>
      <c r="V427" s="17">
        <f t="shared" si="62"/>
        <v>2.1869301910461434E-5</v>
      </c>
      <c r="W427" s="17">
        <f t="shared" si="62"/>
        <v>2.2100601699378637E-5</v>
      </c>
      <c r="X427" s="17">
        <f t="shared" si="62"/>
        <v>2.211332820389067E-5</v>
      </c>
      <c r="Y427" s="17">
        <f t="shared" si="62"/>
        <v>2.2125859718127772E-5</v>
      </c>
      <c r="Z427" s="17">
        <f t="shared" si="62"/>
        <v>2.3476260985911427E-5</v>
      </c>
    </row>
    <row r="428" spans="1:53" s="26" customFormat="1" outlineLevel="1" x14ac:dyDescent="0.35"/>
    <row r="429" spans="1:53" s="236" customFormat="1" ht="21" x14ac:dyDescent="0.5">
      <c r="A429" s="236" t="s">
        <v>136</v>
      </c>
    </row>
    <row r="432" spans="1:53" x14ac:dyDescent="0.35">
      <c r="A432" s="331" t="s">
        <v>131</v>
      </c>
      <c r="B432" s="331"/>
      <c r="C432" s="331"/>
      <c r="D432" s="331"/>
      <c r="E432" s="331"/>
      <c r="F432" s="331"/>
      <c r="G432" s="331"/>
      <c r="H432" s="331"/>
      <c r="I432" s="331"/>
      <c r="J432" s="331"/>
      <c r="K432" s="331"/>
    </row>
    <row r="433" spans="1:11" x14ac:dyDescent="0.35">
      <c r="A433" s="6" t="s">
        <v>921</v>
      </c>
    </row>
    <row r="434" spans="1:11" x14ac:dyDescent="0.35">
      <c r="B434" s="6" t="s">
        <v>889</v>
      </c>
      <c r="C434" s="6" t="s">
        <v>891</v>
      </c>
      <c r="D434" s="6" t="s">
        <v>890</v>
      </c>
      <c r="E434" s="6" t="s">
        <v>892</v>
      </c>
      <c r="F434" s="6" t="s">
        <v>893</v>
      </c>
      <c r="G434" s="6" t="s">
        <v>894</v>
      </c>
      <c r="H434" s="6" t="s">
        <v>896</v>
      </c>
      <c r="I434" s="6" t="s">
        <v>897</v>
      </c>
      <c r="J434" s="6" t="s">
        <v>895</v>
      </c>
    </row>
    <row r="435" spans="1:11" x14ac:dyDescent="0.35">
      <c r="A435" s="6" t="s">
        <v>117</v>
      </c>
      <c r="B435" s="6">
        <f>SUM(AC10:BA10)</f>
        <v>1.0953239448160322E-4</v>
      </c>
      <c r="C435" s="6">
        <f>SUM(AC50:BA50)</f>
        <v>1.044355890609833E-4</v>
      </c>
      <c r="D435" s="6">
        <f>SUM(AC90:BA90)</f>
        <v>9.0381118043135502E-5</v>
      </c>
      <c r="E435" s="6">
        <f>SUM(AC132:BA132)</f>
        <v>1.0953239448160322E-4</v>
      </c>
      <c r="F435" s="6">
        <f>SUM(AC173:BA173)</f>
        <v>1.044355890609833E-4</v>
      </c>
      <c r="G435" s="6">
        <f>SUM(AC214:BA214)</f>
        <v>9.0381118043135502E-5</v>
      </c>
      <c r="H435" s="6">
        <f>SUM(AC274:BA274)</f>
        <v>1.018863603566551E-4</v>
      </c>
      <c r="I435" s="6">
        <f>SUM(AC334:BA334)</f>
        <v>9.6835990969934167E-5</v>
      </c>
      <c r="J435" s="6">
        <f>SUM(AC395:BA395)</f>
        <v>8.2910851146931124E-5</v>
      </c>
    </row>
    <row r="436" spans="1:11" x14ac:dyDescent="0.35">
      <c r="A436" s="6" t="s">
        <v>118</v>
      </c>
      <c r="B436" s="6">
        <f>SUM(AC11:BA11)</f>
        <v>5.5821736600752947E-6</v>
      </c>
      <c r="C436" s="6">
        <f>SUM(AC51:BA51)</f>
        <v>5.3366017106762977E-6</v>
      </c>
      <c r="D436" s="6">
        <f>SUM(AC91:BA91)</f>
        <v>4.9982557100980421E-6</v>
      </c>
      <c r="E436" s="6">
        <f>SUM(AC133:BA133)</f>
        <v>5.5821736600752947E-6</v>
      </c>
      <c r="F436" s="6">
        <f>SUM(AC174:BA174)</f>
        <v>5.3366017106762977E-6</v>
      </c>
      <c r="G436" s="6">
        <f>SUM(AC215:BA215)</f>
        <v>4.9982557100980421E-6</v>
      </c>
      <c r="H436" s="6">
        <f t="shared" ref="H436:H444" si="63">SUM(AC275:BA275)</f>
        <v>2.7910868300376474E-6</v>
      </c>
      <c r="I436" s="6">
        <f t="shared" ref="I436:I444" si="64">SUM(AC335:BA335)</f>
        <v>2.6683008553381489E-6</v>
      </c>
      <c r="J436" s="6">
        <f t="shared" ref="J436:J444" si="65">SUM(AC396:BA396)</f>
        <v>2.499127855049021E-6</v>
      </c>
    </row>
    <row r="437" spans="1:11" x14ac:dyDescent="0.35">
      <c r="A437" s="6" t="s">
        <v>119</v>
      </c>
      <c r="B437" s="6">
        <f>SUM(AC12:BA12)</f>
        <v>1.2388121871278886E-6</v>
      </c>
      <c r="C437" s="6">
        <f>SUM(AC52:BA52)</f>
        <v>1.2390051343368202E-6</v>
      </c>
      <c r="D437" s="6">
        <f>SUM(AC92:BA92)</f>
        <v>1.3171343639388709E-6</v>
      </c>
      <c r="E437" s="6">
        <f>SUM(AC134:BA134)</f>
        <v>1.2388121871278886E-6</v>
      </c>
      <c r="F437" s="6">
        <f>SUM(AC175:BA175)</f>
        <v>1.2390051343368202E-6</v>
      </c>
      <c r="G437" s="6">
        <f>SUM(AC216:BA216)</f>
        <v>1.3171343639388709E-6</v>
      </c>
      <c r="H437" s="6">
        <f t="shared" si="63"/>
        <v>1.2388121871278886E-6</v>
      </c>
      <c r="I437" s="6">
        <f t="shared" si="64"/>
        <v>1.2390051343368202E-6</v>
      </c>
      <c r="J437" s="6">
        <f t="shared" si="65"/>
        <v>1.3171343639388709E-6</v>
      </c>
    </row>
    <row r="438" spans="1:11" x14ac:dyDescent="0.35">
      <c r="A438" s="6" t="s">
        <v>120</v>
      </c>
      <c r="B438" s="6">
        <f>SUM(AC13:BA13)</f>
        <v>3.8995886120102447E-8</v>
      </c>
      <c r="C438" s="6">
        <f>SUM(AC53:BA53)</f>
        <v>3.8973567066174879E-8</v>
      </c>
      <c r="D438" s="6">
        <f>SUM(AC93:BA93)</f>
        <v>4.1872261712862055E-8</v>
      </c>
      <c r="E438" s="6">
        <f>SUM(AC135:BA135)</f>
        <v>3.8995886120102447E-8</v>
      </c>
      <c r="F438" s="6">
        <f>SUM(AC176:BA176)</f>
        <v>3.8973567066174879E-8</v>
      </c>
      <c r="G438" s="6">
        <f>SUM(AC217:BA217)</f>
        <v>4.1872261712862055E-8</v>
      </c>
      <c r="H438" s="6">
        <f t="shared" si="63"/>
        <v>1.9497943060051223E-8</v>
      </c>
      <c r="I438" s="6">
        <f t="shared" si="64"/>
        <v>1.9486783533087439E-8</v>
      </c>
      <c r="J438" s="6">
        <f t="shared" si="65"/>
        <v>2.0936130856431027E-8</v>
      </c>
    </row>
    <row r="439" spans="1:11" x14ac:dyDescent="0.35">
      <c r="A439" s="6" t="s">
        <v>121</v>
      </c>
      <c r="B439" s="6">
        <f>SUM(AC14:BA14)</f>
        <v>1.6948344934200903E-5</v>
      </c>
      <c r="C439" s="6">
        <f>SUM(AC54:BA54)</f>
        <v>1.4518227566472154E-5</v>
      </c>
      <c r="D439" s="6">
        <f>SUM(AC94:BA94)</f>
        <v>1.3310801257479846E-5</v>
      </c>
      <c r="E439" s="6">
        <f>SUM(AC136:BA136)</f>
        <v>1.6948344934200903E-5</v>
      </c>
      <c r="F439" s="6">
        <f>SUM(AC177:BA177)</f>
        <v>1.4518227566472154E-5</v>
      </c>
      <c r="G439" s="6">
        <f>SUM(AC218:BA218)</f>
        <v>1.3310801257479846E-5</v>
      </c>
      <c r="H439" s="6">
        <f t="shared" si="63"/>
        <v>1.6948344934200903E-5</v>
      </c>
      <c r="I439" s="6">
        <f t="shared" si="64"/>
        <v>1.4518227566472154E-5</v>
      </c>
      <c r="J439" s="6">
        <f t="shared" si="65"/>
        <v>1.3310801257479846E-5</v>
      </c>
    </row>
    <row r="440" spans="1:11" x14ac:dyDescent="0.35">
      <c r="A440" s="6" t="s">
        <v>800</v>
      </c>
      <c r="H440" s="6">
        <f t="shared" si="63"/>
        <v>7.2826437763720488E-4</v>
      </c>
      <c r="I440" s="6">
        <f t="shared" si="64"/>
        <v>7.0991242283219237E-4</v>
      </c>
      <c r="J440" s="6">
        <f t="shared" si="65"/>
        <v>6.4786489597268944E-4</v>
      </c>
    </row>
    <row r="441" spans="1:11" x14ac:dyDescent="0.35">
      <c r="A441" s="6" t="s">
        <v>122</v>
      </c>
      <c r="B441" s="6">
        <f>SUM(AC15:BA15)</f>
        <v>2.8874083079311057E-3</v>
      </c>
      <c r="C441" s="6">
        <f>SUM(AC55:BA55)</f>
        <v>8.2529765260017389E-4</v>
      </c>
      <c r="D441" s="6">
        <f>SUM(AC95:BA95)</f>
        <v>5.9729698218863813E-4</v>
      </c>
      <c r="E441" s="6">
        <f>SUM(AC137:BA137)</f>
        <v>2.2811045495564324E-3</v>
      </c>
      <c r="F441" s="6">
        <f>SUM(AC178:BA178)</f>
        <v>7.0039152611788241E-4</v>
      </c>
      <c r="G441" s="6">
        <f>SUM(AC219:BA219)</f>
        <v>5.2526926013162856E-4</v>
      </c>
      <c r="H441" s="6">
        <f t="shared" si="63"/>
        <v>5.206464568446225E-4</v>
      </c>
      <c r="I441" s="6">
        <f t="shared" si="64"/>
        <v>4.8682145387756034E-4</v>
      </c>
      <c r="J441" s="6">
        <f t="shared" si="65"/>
        <v>4.76075009626306E-4</v>
      </c>
    </row>
    <row r="442" spans="1:11" x14ac:dyDescent="0.35">
      <c r="A442" s="6" t="s">
        <v>123</v>
      </c>
      <c r="B442" s="6">
        <f>SUM(AC16:BA16)</f>
        <v>2.4629177467502643E-4</v>
      </c>
      <c r="C442" s="6">
        <f>SUM(AC56:BA56)</f>
        <v>9.071221248618828E-5</v>
      </c>
      <c r="D442" s="6">
        <f>SUM(AC96:BA96)</f>
        <v>7.2966351318370072E-5</v>
      </c>
      <c r="E442" s="6">
        <f>SUM(AC138:BA138)</f>
        <v>5.6647108175256074E-7</v>
      </c>
      <c r="F442" s="6">
        <f>SUM(AC179:BA179)</f>
        <v>2.0863808871823298E-7</v>
      </c>
      <c r="G442" s="6">
        <f>SUM(AC220:BA220)</f>
        <v>1.6782260803225116E-7</v>
      </c>
      <c r="H442" s="6">
        <f t="shared" si="63"/>
        <v>1.2314588733751321E-4</v>
      </c>
      <c r="I442" s="6">
        <f t="shared" si="64"/>
        <v>4.535610624309414E-5</v>
      </c>
      <c r="J442" s="6">
        <f t="shared" si="65"/>
        <v>3.6483175659185036E-5</v>
      </c>
    </row>
    <row r="443" spans="1:11" x14ac:dyDescent="0.35">
      <c r="A443" s="6" t="s">
        <v>124</v>
      </c>
      <c r="B443" s="6">
        <f>SUM(AC17:BA17)</f>
        <v>-1.3300362500000009E-3</v>
      </c>
      <c r="C443" s="6">
        <f>SUM(AC57:BA57)</f>
        <v>-1.3300362500000009E-3</v>
      </c>
      <c r="D443" s="6">
        <f>SUM(AC97:BA97)</f>
        <v>-1.3300362500000009E-3</v>
      </c>
      <c r="E443" s="6">
        <f>SUM(AC139:BA139)</f>
        <v>-1.3300362500000009E-3</v>
      </c>
      <c r="F443" s="6">
        <f>SUM(AC180:BA180)</f>
        <v>-1.3300362500000009E-3</v>
      </c>
      <c r="G443" s="6">
        <f>SUM(AC221:BA221)</f>
        <v>-1.3300362500000009E-3</v>
      </c>
      <c r="H443" s="6">
        <f t="shared" si="63"/>
        <v>-6.6501812500000044E-4</v>
      </c>
      <c r="I443" s="6">
        <f t="shared" si="64"/>
        <v>-6.6501812500000044E-4</v>
      </c>
      <c r="J443" s="6">
        <f t="shared" si="65"/>
        <v>-6.6501812500000044E-4</v>
      </c>
    </row>
    <row r="444" spans="1:11" x14ac:dyDescent="0.35">
      <c r="A444" s="6" t="s">
        <v>137</v>
      </c>
      <c r="B444" s="6">
        <f>SUM(AC18:BA18)</f>
        <v>1.9370045537552589E-3</v>
      </c>
      <c r="C444" s="6">
        <f>SUM(AC58:BA58)</f>
        <v>-2.8845798787410337E-4</v>
      </c>
      <c r="D444" s="6">
        <f>SUM(AC98:BA98)</f>
        <v>-5.4972373485662684E-4</v>
      </c>
      <c r="E444" s="6">
        <f>SUM(AC140:BA140)</f>
        <v>1.0849754917873127E-3</v>
      </c>
      <c r="F444" s="6">
        <f>SUM(AC181:BA181)</f>
        <v>-5.0386768875386489E-4</v>
      </c>
      <c r="G444" s="6">
        <f>SUM(AC222:BA222)</f>
        <v>-6.9454998562397407E-4</v>
      </c>
      <c r="H444" s="6">
        <f t="shared" si="63"/>
        <v>8.2992269907042197E-4</v>
      </c>
      <c r="I444" s="6">
        <f t="shared" si="64"/>
        <v>6.9235286926246098E-4</v>
      </c>
      <c r="J444" s="6">
        <f t="shared" si="65"/>
        <v>5.95463807012436E-4</v>
      </c>
    </row>
    <row r="446" spans="1:11" x14ac:dyDescent="0.35">
      <c r="A446" s="331" t="s">
        <v>133</v>
      </c>
      <c r="B446" s="331"/>
      <c r="C446" s="331"/>
      <c r="D446" s="331"/>
      <c r="E446" s="331"/>
      <c r="F446" s="331"/>
      <c r="G446" s="331"/>
      <c r="H446" s="331"/>
      <c r="I446" s="331"/>
      <c r="J446" s="331"/>
      <c r="K446" s="331"/>
    </row>
    <row r="447" spans="1:11" x14ac:dyDescent="0.35">
      <c r="A447" s="6" t="s">
        <v>922</v>
      </c>
    </row>
    <row r="448" spans="1:11" x14ac:dyDescent="0.35">
      <c r="B448" s="6" t="s">
        <v>889</v>
      </c>
      <c r="C448" s="6" t="s">
        <v>891</v>
      </c>
      <c r="D448" s="6" t="s">
        <v>890</v>
      </c>
      <c r="E448" s="6" t="s">
        <v>892</v>
      </c>
      <c r="F448" s="6" t="s">
        <v>893</v>
      </c>
      <c r="G448" s="6" t="s">
        <v>894</v>
      </c>
      <c r="H448" s="6" t="s">
        <v>896</v>
      </c>
      <c r="I448" s="6" t="s">
        <v>897</v>
      </c>
      <c r="J448" s="6" t="s">
        <v>895</v>
      </c>
    </row>
    <row r="449" spans="1:11" x14ac:dyDescent="0.35">
      <c r="A449" s="6" t="s">
        <v>117</v>
      </c>
      <c r="B449" s="6">
        <f>B435/25</f>
        <v>4.3812957792641285E-6</v>
      </c>
      <c r="C449" s="6">
        <f t="shared" ref="C449:J449" si="66">C435/25</f>
        <v>4.177423562439332E-6</v>
      </c>
      <c r="D449" s="6">
        <f t="shared" si="66"/>
        <v>3.6152447217254202E-6</v>
      </c>
      <c r="E449" s="6">
        <f t="shared" si="66"/>
        <v>4.3812957792641285E-6</v>
      </c>
      <c r="F449" s="6">
        <f t="shared" si="66"/>
        <v>4.177423562439332E-6</v>
      </c>
      <c r="G449" s="6">
        <f t="shared" si="66"/>
        <v>3.6152447217254202E-6</v>
      </c>
      <c r="H449" s="6">
        <f t="shared" si="66"/>
        <v>4.075454414266204E-6</v>
      </c>
      <c r="I449" s="6">
        <f t="shared" si="66"/>
        <v>3.8734396387973664E-6</v>
      </c>
      <c r="J449" s="6">
        <f t="shared" si="66"/>
        <v>3.3164340458772448E-6</v>
      </c>
    </row>
    <row r="450" spans="1:11" x14ac:dyDescent="0.35">
      <c r="A450" s="6" t="s">
        <v>118</v>
      </c>
      <c r="B450" s="6">
        <f t="shared" ref="B450:J458" si="67">B436/25</f>
        <v>2.2328694640301179E-7</v>
      </c>
      <c r="C450" s="6">
        <f t="shared" si="67"/>
        <v>2.134640684270519E-7</v>
      </c>
      <c r="D450" s="6">
        <f t="shared" si="67"/>
        <v>1.9993022840392169E-7</v>
      </c>
      <c r="E450" s="6">
        <f t="shared" si="67"/>
        <v>2.2328694640301179E-7</v>
      </c>
      <c r="F450" s="6">
        <f t="shared" si="67"/>
        <v>2.134640684270519E-7</v>
      </c>
      <c r="G450" s="6">
        <f t="shared" si="67"/>
        <v>1.9993022840392169E-7</v>
      </c>
      <c r="H450" s="6">
        <f t="shared" si="67"/>
        <v>1.1164347320150589E-7</v>
      </c>
      <c r="I450" s="6">
        <f t="shared" si="67"/>
        <v>1.0673203421352595E-7</v>
      </c>
      <c r="J450" s="6">
        <f t="shared" si="67"/>
        <v>9.9965114201960844E-8</v>
      </c>
    </row>
    <row r="451" spans="1:11" x14ac:dyDescent="0.35">
      <c r="A451" s="6" t="s">
        <v>119</v>
      </c>
      <c r="B451" s="6">
        <f t="shared" si="67"/>
        <v>4.9552487485115541E-8</v>
      </c>
      <c r="C451" s="6">
        <f t="shared" si="67"/>
        <v>4.9560205373472812E-8</v>
      </c>
      <c r="D451" s="6">
        <f t="shared" si="67"/>
        <v>5.2685374557554837E-8</v>
      </c>
      <c r="E451" s="6">
        <f t="shared" si="67"/>
        <v>4.9552487485115541E-8</v>
      </c>
      <c r="F451" s="6">
        <f t="shared" si="67"/>
        <v>4.9560205373472812E-8</v>
      </c>
      <c r="G451" s="6">
        <f t="shared" si="67"/>
        <v>5.2685374557554837E-8</v>
      </c>
      <c r="H451" s="6">
        <f t="shared" si="67"/>
        <v>4.9552487485115541E-8</v>
      </c>
      <c r="I451" s="6">
        <f t="shared" si="67"/>
        <v>4.9560205373472812E-8</v>
      </c>
      <c r="J451" s="6">
        <f t="shared" si="67"/>
        <v>5.2685374557554837E-8</v>
      </c>
    </row>
    <row r="452" spans="1:11" x14ac:dyDescent="0.35">
      <c r="A452" s="6" t="s">
        <v>120</v>
      </c>
      <c r="B452" s="6">
        <f t="shared" si="67"/>
        <v>1.5598354448040979E-9</v>
      </c>
      <c r="C452" s="6">
        <f t="shared" si="67"/>
        <v>1.5589426826469951E-9</v>
      </c>
      <c r="D452" s="6">
        <f t="shared" si="67"/>
        <v>1.6748904685144823E-9</v>
      </c>
      <c r="E452" s="6">
        <f t="shared" si="67"/>
        <v>1.5598354448040979E-9</v>
      </c>
      <c r="F452" s="6">
        <f t="shared" si="67"/>
        <v>1.5589426826469951E-9</v>
      </c>
      <c r="G452" s="6">
        <f t="shared" si="67"/>
        <v>1.6748904685144823E-9</v>
      </c>
      <c r="H452" s="6">
        <f t="shared" si="67"/>
        <v>7.7991772240204896E-10</v>
      </c>
      <c r="I452" s="6">
        <f t="shared" si="67"/>
        <v>7.7947134132349753E-10</v>
      </c>
      <c r="J452" s="6">
        <f t="shared" si="67"/>
        <v>8.3744523425724114E-10</v>
      </c>
    </row>
    <row r="453" spans="1:11" x14ac:dyDescent="0.35">
      <c r="A453" s="6" t="s">
        <v>121</v>
      </c>
      <c r="B453" s="6">
        <f t="shared" si="67"/>
        <v>6.7793379736803613E-7</v>
      </c>
      <c r="C453" s="6">
        <f t="shared" si="67"/>
        <v>5.8072910265888619E-7</v>
      </c>
      <c r="D453" s="6">
        <f t="shared" si="67"/>
        <v>5.3243205029919383E-7</v>
      </c>
      <c r="E453" s="6">
        <f t="shared" si="67"/>
        <v>6.7793379736803613E-7</v>
      </c>
      <c r="F453" s="6">
        <f t="shared" si="67"/>
        <v>5.8072910265888619E-7</v>
      </c>
      <c r="G453" s="6">
        <f t="shared" si="67"/>
        <v>5.3243205029919383E-7</v>
      </c>
      <c r="H453" s="6">
        <f t="shared" si="67"/>
        <v>6.7793379736803613E-7</v>
      </c>
      <c r="I453" s="6">
        <f t="shared" si="67"/>
        <v>5.8072910265888619E-7</v>
      </c>
      <c r="J453" s="6">
        <f t="shared" si="67"/>
        <v>5.3243205029919383E-7</v>
      </c>
    </row>
    <row r="454" spans="1:11" x14ac:dyDescent="0.35">
      <c r="A454" s="6" t="s">
        <v>800</v>
      </c>
      <c r="B454" s="6">
        <f t="shared" si="67"/>
        <v>0</v>
      </c>
      <c r="C454" s="6">
        <f t="shared" si="67"/>
        <v>0</v>
      </c>
      <c r="D454" s="6">
        <f t="shared" si="67"/>
        <v>0</v>
      </c>
      <c r="E454" s="6">
        <f t="shared" si="67"/>
        <v>0</v>
      </c>
      <c r="F454" s="6">
        <f t="shared" si="67"/>
        <v>0</v>
      </c>
      <c r="G454" s="6">
        <f t="shared" si="67"/>
        <v>0</v>
      </c>
      <c r="H454" s="6">
        <f t="shared" si="67"/>
        <v>2.9130575105488196E-5</v>
      </c>
      <c r="I454" s="6">
        <f t="shared" si="67"/>
        <v>2.8396496913287696E-5</v>
      </c>
      <c r="J454" s="6">
        <f t="shared" si="67"/>
        <v>2.5914595838907578E-5</v>
      </c>
    </row>
    <row r="455" spans="1:11" x14ac:dyDescent="0.35">
      <c r="A455" s="6" t="s">
        <v>122</v>
      </c>
      <c r="B455" s="6">
        <f t="shared" si="67"/>
        <v>1.1549633231724423E-4</v>
      </c>
      <c r="C455" s="6">
        <f t="shared" si="67"/>
        <v>3.3011906104006957E-5</v>
      </c>
      <c r="D455" s="6">
        <f t="shared" si="67"/>
        <v>2.3891879287545524E-5</v>
      </c>
      <c r="E455" s="6">
        <f t="shared" si="67"/>
        <v>9.1244181982257303E-5</v>
      </c>
      <c r="F455" s="6">
        <f t="shared" si="67"/>
        <v>2.8015661044715296E-5</v>
      </c>
      <c r="G455" s="6">
        <f t="shared" si="67"/>
        <v>2.1010770405265143E-5</v>
      </c>
      <c r="H455" s="6">
        <f t="shared" si="67"/>
        <v>2.0825858273784899E-5</v>
      </c>
      <c r="I455" s="6">
        <f t="shared" si="67"/>
        <v>1.9472858155102415E-5</v>
      </c>
      <c r="J455" s="6">
        <f t="shared" si="67"/>
        <v>1.904300038505224E-5</v>
      </c>
    </row>
    <row r="456" spans="1:11" x14ac:dyDescent="0.35">
      <c r="A456" s="6" t="s">
        <v>123</v>
      </c>
      <c r="B456" s="6">
        <f t="shared" si="67"/>
        <v>9.8516709870010579E-6</v>
      </c>
      <c r="C456" s="6">
        <f t="shared" si="67"/>
        <v>3.6284884994475311E-6</v>
      </c>
      <c r="D456" s="6">
        <f t="shared" si="67"/>
        <v>2.9186540527348031E-6</v>
      </c>
      <c r="E456" s="6">
        <f t="shared" si="67"/>
        <v>2.265884327010243E-8</v>
      </c>
      <c r="F456" s="6">
        <f t="shared" si="67"/>
        <v>8.3455235487293185E-9</v>
      </c>
      <c r="G456" s="6">
        <f t="shared" si="67"/>
        <v>6.712904321290047E-9</v>
      </c>
      <c r="H456" s="6">
        <f t="shared" si="67"/>
        <v>4.9258354935005289E-6</v>
      </c>
      <c r="I456" s="6">
        <f t="shared" si="67"/>
        <v>1.8142442497237655E-6</v>
      </c>
      <c r="J456" s="6">
        <f t="shared" si="67"/>
        <v>1.4593270263674015E-6</v>
      </c>
    </row>
    <row r="457" spans="1:11" x14ac:dyDescent="0.35">
      <c r="A457" s="6" t="s">
        <v>124</v>
      </c>
      <c r="B457" s="6">
        <f t="shared" si="67"/>
        <v>-5.3201450000000033E-5</v>
      </c>
      <c r="C457" s="6">
        <f t="shared" si="67"/>
        <v>-5.3201450000000033E-5</v>
      </c>
      <c r="D457" s="6">
        <f t="shared" si="67"/>
        <v>-5.3201450000000033E-5</v>
      </c>
      <c r="E457" s="6">
        <f t="shared" si="67"/>
        <v>-5.3201450000000033E-5</v>
      </c>
      <c r="F457" s="6">
        <f t="shared" si="67"/>
        <v>-5.3201450000000033E-5</v>
      </c>
      <c r="G457" s="6">
        <f t="shared" si="67"/>
        <v>-5.3201450000000033E-5</v>
      </c>
      <c r="H457" s="6">
        <f t="shared" si="67"/>
        <v>-2.6600725000000016E-5</v>
      </c>
      <c r="I457" s="6">
        <f t="shared" si="67"/>
        <v>-2.6600725000000016E-5</v>
      </c>
      <c r="J457" s="6">
        <f t="shared" si="67"/>
        <v>-2.6600725000000016E-5</v>
      </c>
    </row>
    <row r="458" spans="1:11" x14ac:dyDescent="0.35">
      <c r="A458" s="6" t="s">
        <v>137</v>
      </c>
      <c r="B458" s="6">
        <f t="shared" si="67"/>
        <v>7.7480182150210358E-5</v>
      </c>
      <c r="C458" s="6">
        <f t="shared" si="67"/>
        <v>-1.1538319514964134E-5</v>
      </c>
      <c r="D458" s="6">
        <f t="shared" si="67"/>
        <v>-2.1988949394265075E-5</v>
      </c>
      <c r="E458" s="6">
        <f t="shared" si="67"/>
        <v>4.3399019671492505E-5</v>
      </c>
      <c r="F458" s="6">
        <f t="shared" si="67"/>
        <v>-2.0154707550154595E-5</v>
      </c>
      <c r="G458" s="6">
        <f t="shared" si="67"/>
        <v>-2.7781999424958964E-5</v>
      </c>
      <c r="H458" s="6">
        <f t="shared" si="67"/>
        <v>3.3196907962816876E-5</v>
      </c>
      <c r="I458" s="6">
        <f t="shared" si="67"/>
        <v>2.769411477049844E-5</v>
      </c>
      <c r="J458" s="6">
        <f t="shared" si="67"/>
        <v>2.3818552280497439E-5</v>
      </c>
    </row>
    <row r="461" spans="1:11" x14ac:dyDescent="0.35">
      <c r="A461" s="331" t="s">
        <v>135</v>
      </c>
      <c r="B461" s="331"/>
      <c r="C461" s="331"/>
      <c r="D461" s="331"/>
      <c r="E461" s="331"/>
      <c r="F461" s="331"/>
      <c r="G461" s="331"/>
      <c r="H461" s="331"/>
      <c r="I461" s="331"/>
      <c r="J461" s="331"/>
      <c r="K461" s="331"/>
    </row>
    <row r="462" spans="1:11" x14ac:dyDescent="0.35">
      <c r="A462" s="6" t="s">
        <v>923</v>
      </c>
    </row>
    <row r="463" spans="1:11" x14ac:dyDescent="0.35">
      <c r="A463" s="6" t="s">
        <v>139</v>
      </c>
      <c r="B463" s="6">
        <v>100</v>
      </c>
      <c r="C463" s="6" t="s">
        <v>128</v>
      </c>
    </row>
    <row r="464" spans="1:11" x14ac:dyDescent="0.35">
      <c r="A464" s="6" t="s">
        <v>140</v>
      </c>
      <c r="B464" s="6">
        <v>50</v>
      </c>
      <c r="C464" s="6" t="s">
        <v>128</v>
      </c>
    </row>
    <row r="466" spans="1:10" x14ac:dyDescent="0.35">
      <c r="B466" s="6" t="s">
        <v>889</v>
      </c>
      <c r="C466" s="6" t="s">
        <v>891</v>
      </c>
      <c r="D466" s="6" t="s">
        <v>890</v>
      </c>
      <c r="E466" s="6" t="s">
        <v>892</v>
      </c>
      <c r="F466" s="6" t="s">
        <v>893</v>
      </c>
      <c r="G466" s="6" t="s">
        <v>894</v>
      </c>
      <c r="H466" s="6" t="s">
        <v>896</v>
      </c>
      <c r="I466" s="6" t="s">
        <v>897</v>
      </c>
      <c r="J466" s="6" t="s">
        <v>895</v>
      </c>
    </row>
    <row r="467" spans="1:10" x14ac:dyDescent="0.35">
      <c r="A467" s="6" t="s">
        <v>117</v>
      </c>
      <c r="B467" s="6">
        <f t="shared" ref="B467:G467" si="68">B449/$B$463</f>
        <v>4.3812957792641282E-8</v>
      </c>
      <c r="C467" s="6">
        <f t="shared" si="68"/>
        <v>4.1774235624393321E-8</v>
      </c>
      <c r="D467" s="6">
        <f t="shared" si="68"/>
        <v>3.6152447217254202E-8</v>
      </c>
      <c r="E467" s="6">
        <f t="shared" si="68"/>
        <v>4.3812957792641282E-8</v>
      </c>
      <c r="F467" s="6">
        <f t="shared" si="68"/>
        <v>4.1774235624393321E-8</v>
      </c>
      <c r="G467" s="6">
        <f t="shared" si="68"/>
        <v>3.6152447217254202E-8</v>
      </c>
      <c r="H467" s="6">
        <f>H449/$B$464</f>
        <v>8.1509088285324074E-8</v>
      </c>
      <c r="I467" s="6">
        <f>I449/$B$464</f>
        <v>7.7468792775947325E-8</v>
      </c>
      <c r="J467" s="6">
        <f>J449/$B$464</f>
        <v>6.6328680917544895E-8</v>
      </c>
    </row>
    <row r="468" spans="1:10" x14ac:dyDescent="0.35">
      <c r="A468" s="6" t="s">
        <v>118</v>
      </c>
      <c r="B468" s="6">
        <f t="shared" ref="B468:G476" si="69">B450/$B$463</f>
        <v>2.2328694640301179E-9</v>
      </c>
      <c r="C468" s="6">
        <f t="shared" si="69"/>
        <v>2.134640684270519E-9</v>
      </c>
      <c r="D468" s="6">
        <f t="shared" si="69"/>
        <v>1.999302284039217E-9</v>
      </c>
      <c r="E468" s="6">
        <f t="shared" si="69"/>
        <v>2.2328694640301179E-9</v>
      </c>
      <c r="F468" s="6">
        <f t="shared" si="69"/>
        <v>2.134640684270519E-9</v>
      </c>
      <c r="G468" s="6">
        <f t="shared" si="69"/>
        <v>1.999302284039217E-9</v>
      </c>
      <c r="H468" s="6">
        <f t="shared" ref="H468:J476" si="70">H450/$B$464</f>
        <v>2.2328694640301179E-9</v>
      </c>
      <c r="I468" s="6">
        <f t="shared" si="70"/>
        <v>2.134640684270519E-9</v>
      </c>
      <c r="J468" s="6">
        <f t="shared" si="70"/>
        <v>1.999302284039217E-9</v>
      </c>
    </row>
    <row r="469" spans="1:10" x14ac:dyDescent="0.35">
      <c r="A469" s="6" t="s">
        <v>119</v>
      </c>
      <c r="B469" s="6">
        <f t="shared" si="69"/>
        <v>4.9552487485115543E-10</v>
      </c>
      <c r="C469" s="6">
        <f t="shared" si="69"/>
        <v>4.9560205373472807E-10</v>
      </c>
      <c r="D469" s="6">
        <f t="shared" si="69"/>
        <v>5.2685374557554837E-10</v>
      </c>
      <c r="E469" s="6">
        <f t="shared" si="69"/>
        <v>4.9552487485115543E-10</v>
      </c>
      <c r="F469" s="6">
        <f t="shared" si="69"/>
        <v>4.9560205373472807E-10</v>
      </c>
      <c r="G469" s="6">
        <f t="shared" si="69"/>
        <v>5.2685374557554837E-10</v>
      </c>
      <c r="H469" s="6">
        <f t="shared" si="70"/>
        <v>9.9104974970231086E-10</v>
      </c>
      <c r="I469" s="6">
        <f t="shared" si="70"/>
        <v>9.9120410746945614E-10</v>
      </c>
      <c r="J469" s="6">
        <f t="shared" si="70"/>
        <v>1.0537074911510967E-9</v>
      </c>
    </row>
    <row r="470" spans="1:10" x14ac:dyDescent="0.35">
      <c r="A470" s="6" t="s">
        <v>120</v>
      </c>
      <c r="B470" s="6">
        <f t="shared" si="69"/>
        <v>1.5598354448040979E-11</v>
      </c>
      <c r="C470" s="6">
        <f t="shared" si="69"/>
        <v>1.5589426826469951E-11</v>
      </c>
      <c r="D470" s="6">
        <f t="shared" si="69"/>
        <v>1.6748904685144823E-11</v>
      </c>
      <c r="E470" s="6">
        <f t="shared" si="69"/>
        <v>1.5598354448040979E-11</v>
      </c>
      <c r="F470" s="6">
        <f t="shared" si="69"/>
        <v>1.5589426826469951E-11</v>
      </c>
      <c r="G470" s="6">
        <f t="shared" si="69"/>
        <v>1.6748904685144823E-11</v>
      </c>
      <c r="H470" s="6">
        <f t="shared" si="70"/>
        <v>1.5598354448040979E-11</v>
      </c>
      <c r="I470" s="6">
        <f t="shared" si="70"/>
        <v>1.5589426826469951E-11</v>
      </c>
      <c r="J470" s="6">
        <f t="shared" si="70"/>
        <v>1.6748904685144823E-11</v>
      </c>
    </row>
    <row r="471" spans="1:10" x14ac:dyDescent="0.35">
      <c r="A471" s="6" t="s">
        <v>121</v>
      </c>
      <c r="B471" s="6">
        <f t="shared" si="69"/>
        <v>6.7793379736803612E-9</v>
      </c>
      <c r="C471" s="6">
        <f t="shared" si="69"/>
        <v>5.8072910265888618E-9</v>
      </c>
      <c r="D471" s="6">
        <f t="shared" si="69"/>
        <v>5.3243205029919386E-9</v>
      </c>
      <c r="E471" s="6">
        <f t="shared" si="69"/>
        <v>6.7793379736803612E-9</v>
      </c>
      <c r="F471" s="6">
        <f t="shared" si="69"/>
        <v>5.8072910265888618E-9</v>
      </c>
      <c r="G471" s="6">
        <f t="shared" si="69"/>
        <v>5.3243205029919386E-9</v>
      </c>
      <c r="H471" s="6">
        <f t="shared" si="70"/>
        <v>1.3558675947360722E-8</v>
      </c>
      <c r="I471" s="6">
        <f t="shared" si="70"/>
        <v>1.1614582053177724E-8</v>
      </c>
      <c r="J471" s="6">
        <f t="shared" si="70"/>
        <v>1.0648641005983877E-8</v>
      </c>
    </row>
    <row r="472" spans="1:10" x14ac:dyDescent="0.35">
      <c r="A472" s="6" t="s">
        <v>800</v>
      </c>
      <c r="B472" s="6">
        <f t="shared" si="69"/>
        <v>0</v>
      </c>
      <c r="C472" s="6">
        <f t="shared" si="69"/>
        <v>0</v>
      </c>
      <c r="D472" s="6">
        <f t="shared" si="69"/>
        <v>0</v>
      </c>
      <c r="E472" s="6">
        <f t="shared" si="69"/>
        <v>0</v>
      </c>
      <c r="F472" s="6">
        <f t="shared" si="69"/>
        <v>0</v>
      </c>
      <c r="G472" s="6">
        <f t="shared" si="69"/>
        <v>0</v>
      </c>
      <c r="H472" s="6">
        <f t="shared" si="70"/>
        <v>5.8261150210976387E-7</v>
      </c>
      <c r="I472" s="6">
        <f t="shared" si="70"/>
        <v>5.679299382657539E-7</v>
      </c>
      <c r="J472" s="6">
        <f t="shared" si="70"/>
        <v>5.1829191677815157E-7</v>
      </c>
    </row>
    <row r="473" spans="1:10" x14ac:dyDescent="0.35">
      <c r="A473" s="6" t="s">
        <v>122</v>
      </c>
      <c r="B473" s="6">
        <f t="shared" si="69"/>
        <v>1.1549633231724424E-6</v>
      </c>
      <c r="C473" s="6">
        <f t="shared" si="69"/>
        <v>3.3011906104006956E-7</v>
      </c>
      <c r="D473" s="6">
        <f t="shared" si="69"/>
        <v>2.3891879287545523E-7</v>
      </c>
      <c r="E473" s="6">
        <f t="shared" si="69"/>
        <v>9.1244181982257298E-7</v>
      </c>
      <c r="F473" s="6">
        <f t="shared" si="69"/>
        <v>2.8015661044715295E-7</v>
      </c>
      <c r="G473" s="6">
        <f t="shared" si="69"/>
        <v>2.1010770405265144E-7</v>
      </c>
      <c r="H473" s="6">
        <f t="shared" si="70"/>
        <v>4.16517165475698E-7</v>
      </c>
      <c r="I473" s="6">
        <f t="shared" si="70"/>
        <v>3.8945716310204828E-7</v>
      </c>
      <c r="J473" s="6">
        <f t="shared" si="70"/>
        <v>3.8086000770104482E-7</v>
      </c>
    </row>
    <row r="474" spans="1:10" x14ac:dyDescent="0.35">
      <c r="A474" s="6" t="s">
        <v>123</v>
      </c>
      <c r="B474" s="6">
        <f t="shared" si="69"/>
        <v>9.851670987001058E-8</v>
      </c>
      <c r="C474" s="6">
        <f t="shared" si="69"/>
        <v>3.628488499447531E-8</v>
      </c>
      <c r="D474" s="6">
        <f t="shared" si="69"/>
        <v>2.918654052734803E-8</v>
      </c>
      <c r="E474" s="6">
        <f t="shared" si="69"/>
        <v>2.2658843270102429E-10</v>
      </c>
      <c r="F474" s="6">
        <f t="shared" si="69"/>
        <v>8.3455235487293182E-11</v>
      </c>
      <c r="G474" s="6">
        <f t="shared" si="69"/>
        <v>6.7129043212900472E-11</v>
      </c>
      <c r="H474" s="6">
        <f t="shared" si="70"/>
        <v>9.851670987001058E-8</v>
      </c>
      <c r="I474" s="6">
        <f t="shared" si="70"/>
        <v>3.628488499447531E-8</v>
      </c>
      <c r="J474" s="6">
        <f t="shared" si="70"/>
        <v>2.918654052734803E-8</v>
      </c>
    </row>
    <row r="475" spans="1:10" x14ac:dyDescent="0.35">
      <c r="A475" s="6" t="s">
        <v>124</v>
      </c>
      <c r="B475" s="6">
        <f t="shared" si="69"/>
        <v>-5.3201450000000035E-7</v>
      </c>
      <c r="C475" s="6">
        <f t="shared" si="69"/>
        <v>-5.3201450000000035E-7</v>
      </c>
      <c r="D475" s="6">
        <f t="shared" si="69"/>
        <v>-5.3201450000000035E-7</v>
      </c>
      <c r="E475" s="6">
        <f t="shared" si="69"/>
        <v>-5.3201450000000035E-7</v>
      </c>
      <c r="F475" s="6">
        <f t="shared" si="69"/>
        <v>-5.3201450000000035E-7</v>
      </c>
      <c r="G475" s="6">
        <f t="shared" si="69"/>
        <v>-5.3201450000000035E-7</v>
      </c>
      <c r="H475" s="6">
        <f t="shared" si="70"/>
        <v>-5.3201450000000035E-7</v>
      </c>
      <c r="I475" s="6">
        <f t="shared" si="70"/>
        <v>-5.3201450000000035E-7</v>
      </c>
      <c r="J475" s="6">
        <f t="shared" si="70"/>
        <v>-5.3201450000000035E-7</v>
      </c>
    </row>
    <row r="476" spans="1:10" x14ac:dyDescent="0.35">
      <c r="A476" s="6" t="s">
        <v>137</v>
      </c>
      <c r="B476" s="6">
        <f t="shared" si="69"/>
        <v>7.7480182150210357E-7</v>
      </c>
      <c r="C476" s="6">
        <f t="shared" si="69"/>
        <v>-1.1538319514964134E-7</v>
      </c>
      <c r="D476" s="6">
        <f t="shared" si="69"/>
        <v>-2.1988949394265074E-7</v>
      </c>
      <c r="E476" s="6">
        <f t="shared" si="69"/>
        <v>4.3399019671492504E-7</v>
      </c>
      <c r="F476" s="6">
        <f>F458/$B$463</f>
        <v>-2.0154707550154595E-7</v>
      </c>
      <c r="G476" s="6">
        <f t="shared" si="69"/>
        <v>-2.7781999424958965E-7</v>
      </c>
      <c r="H476" s="6">
        <f t="shared" si="70"/>
        <v>6.6393815925633752E-7</v>
      </c>
      <c r="I476" s="6">
        <f t="shared" si="70"/>
        <v>5.5388229540996876E-7</v>
      </c>
      <c r="J476" s="6">
        <f t="shared" si="70"/>
        <v>4.7637104560994875E-7</v>
      </c>
    </row>
  </sheetData>
  <mergeCells count="3">
    <mergeCell ref="A461:K461"/>
    <mergeCell ref="A432:K432"/>
    <mergeCell ref="A446:K446"/>
  </mergeCells>
  <pageMargins left="0.7" right="0.7" top="0.75" bottom="0.75" header="0.3" footer="0.3"/>
  <drawing r:id="rId1"/>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D65D6-733B-44B7-AB2A-F1770DAA1CCB}">
  <sheetPr>
    <tabColor theme="5" tint="-0.249977111117893"/>
  </sheetPr>
  <dimension ref="A1:BA476"/>
  <sheetViews>
    <sheetView topLeftCell="A124" zoomScale="50" zoomScaleNormal="50" workbookViewId="0">
      <selection activeCell="U184" sqref="U184"/>
    </sheetView>
  </sheetViews>
  <sheetFormatPr defaultColWidth="8.54296875" defaultRowHeight="14.5" outlineLevelRow="1" x14ac:dyDescent="0.35"/>
  <cols>
    <col min="1" max="1" width="37.54296875" style="6" customWidth="1"/>
    <col min="2" max="2" width="16.453125" style="6" bestFit="1" customWidth="1"/>
    <col min="3" max="14" width="10.54296875" style="6" bestFit="1" customWidth="1"/>
    <col min="15" max="16" width="10.1796875" style="6" bestFit="1" customWidth="1"/>
    <col min="17" max="24" width="10.54296875" style="6" bestFit="1" customWidth="1"/>
    <col min="25" max="25" width="10.1796875" style="6" bestFit="1" customWidth="1"/>
    <col min="26" max="26" width="16.453125" style="6" bestFit="1" customWidth="1"/>
    <col min="27" max="27" width="8.54296875" style="6"/>
    <col min="28" max="28" width="35" style="6" bestFit="1" customWidth="1"/>
    <col min="29" max="29" width="16.453125" style="6" bestFit="1" customWidth="1"/>
    <col min="30" max="30" width="16.54296875" style="6" customWidth="1"/>
    <col min="31" max="53" width="12.81640625" style="6" bestFit="1" customWidth="1"/>
    <col min="54" max="16384" width="8.54296875" style="6"/>
  </cols>
  <sheetData>
    <row r="1" spans="1:53" s="139" customFormat="1" ht="21" x14ac:dyDescent="0.5">
      <c r="A1" s="138" t="s">
        <v>765</v>
      </c>
    </row>
    <row r="2" spans="1:53" s="221" customFormat="1" ht="21" x14ac:dyDescent="0.5">
      <c r="A2" s="229" t="s">
        <v>849</v>
      </c>
    </row>
    <row r="3" spans="1:53" s="18" customFormat="1" ht="21" x14ac:dyDescent="0.5">
      <c r="A3" s="18" t="s">
        <v>72</v>
      </c>
    </row>
    <row r="4" spans="1:53" s="20" customFormat="1" outlineLevel="1" x14ac:dyDescent="0.35">
      <c r="A4" s="19" t="s">
        <v>767</v>
      </c>
    </row>
    <row r="5" spans="1:53" s="16" customFormat="1" outlineLevel="1" x14ac:dyDescent="0.35">
      <c r="A5" s="21"/>
      <c r="AE5" s="15"/>
    </row>
    <row r="6" spans="1:53" s="16" customFormat="1" outlineLevel="1" x14ac:dyDescent="0.35">
      <c r="A6" s="22" t="s">
        <v>761</v>
      </c>
    </row>
    <row r="7" spans="1:53" s="16" customFormat="1" outlineLevel="1" x14ac:dyDescent="0.35">
      <c r="A7" s="22"/>
      <c r="AB7" s="16" t="s">
        <v>127</v>
      </c>
      <c r="AC7" s="16">
        <v>100</v>
      </c>
      <c r="AD7" s="16" t="s">
        <v>128</v>
      </c>
    </row>
    <row r="8" spans="1:53" s="16" customFormat="1" outlineLevel="1" x14ac:dyDescent="0.35">
      <c r="A8" s="22"/>
      <c r="AB8" s="16" t="s">
        <v>129</v>
      </c>
      <c r="AC8" s="16">
        <v>25</v>
      </c>
      <c r="AD8" s="16" t="s">
        <v>130</v>
      </c>
    </row>
    <row r="9" spans="1:53" outlineLevel="1" x14ac:dyDescent="0.35">
      <c r="B9" s="25">
        <v>2030</v>
      </c>
      <c r="C9" s="25">
        <v>2031</v>
      </c>
      <c r="D9" s="25">
        <v>2032</v>
      </c>
      <c r="E9" s="25">
        <v>2033</v>
      </c>
      <c r="F9" s="25">
        <v>2034</v>
      </c>
      <c r="G9" s="25">
        <v>2035</v>
      </c>
      <c r="H9" s="25">
        <v>2036</v>
      </c>
      <c r="I9" s="25">
        <v>2037</v>
      </c>
      <c r="J9" s="25">
        <v>2038</v>
      </c>
      <c r="K9" s="25">
        <v>2039</v>
      </c>
      <c r="L9" s="25">
        <v>2040</v>
      </c>
      <c r="M9" s="25">
        <v>2041</v>
      </c>
      <c r="N9" s="25">
        <v>2042</v>
      </c>
      <c r="O9" s="25">
        <v>2043</v>
      </c>
      <c r="P9" s="25">
        <v>2044</v>
      </c>
      <c r="Q9" s="25">
        <v>2045</v>
      </c>
      <c r="R9" s="25">
        <v>2046</v>
      </c>
      <c r="S9" s="25">
        <v>2047</v>
      </c>
      <c r="T9" s="25">
        <v>2048</v>
      </c>
      <c r="U9" s="25">
        <v>2049</v>
      </c>
      <c r="V9" s="25">
        <v>2050</v>
      </c>
      <c r="W9" s="25">
        <v>2051</v>
      </c>
      <c r="X9" s="25">
        <v>2052</v>
      </c>
      <c r="Y9" s="25">
        <v>2053</v>
      </c>
      <c r="Z9" s="25">
        <v>2054</v>
      </c>
      <c r="AC9" s="25">
        <v>2030</v>
      </c>
      <c r="AD9" s="25">
        <v>2031</v>
      </c>
      <c r="AE9" s="25">
        <v>2032</v>
      </c>
      <c r="AF9" s="25">
        <v>2033</v>
      </c>
      <c r="AG9" s="25">
        <v>2034</v>
      </c>
      <c r="AH9" s="25">
        <v>2035</v>
      </c>
      <c r="AI9" s="25">
        <v>2036</v>
      </c>
      <c r="AJ9" s="25">
        <v>2037</v>
      </c>
      <c r="AK9" s="25">
        <v>2038</v>
      </c>
      <c r="AL9" s="25">
        <v>2039</v>
      </c>
      <c r="AM9" s="25">
        <v>2040</v>
      </c>
      <c r="AN9" s="25">
        <v>2041</v>
      </c>
      <c r="AO9" s="25">
        <v>2042</v>
      </c>
      <c r="AP9" s="25">
        <v>2043</v>
      </c>
      <c r="AQ9" s="25">
        <v>2044</v>
      </c>
      <c r="AR9" s="25">
        <v>2045</v>
      </c>
      <c r="AS9" s="25">
        <v>2046</v>
      </c>
      <c r="AT9" s="25">
        <v>2047</v>
      </c>
      <c r="AU9" s="25">
        <v>2048</v>
      </c>
      <c r="AV9" s="25">
        <v>2049</v>
      </c>
      <c r="AW9" s="25">
        <v>2050</v>
      </c>
      <c r="AX9" s="25">
        <v>2051</v>
      </c>
      <c r="AY9" s="25">
        <v>2052</v>
      </c>
      <c r="AZ9" s="25">
        <v>2053</v>
      </c>
      <c r="BA9" s="25">
        <v>2054</v>
      </c>
    </row>
    <row r="10" spans="1:53" outlineLevel="1" x14ac:dyDescent="0.35">
      <c r="A10" s="6" t="s">
        <v>21</v>
      </c>
      <c r="B10" s="6">
        <f>'Results - raw data ReCiPe (I)'!BC5</f>
        <v>76.767492302520182</v>
      </c>
      <c r="AB10" s="6" t="s">
        <v>117</v>
      </c>
      <c r="AC10" s="6">
        <f>SUM(B10:B21)+B23</f>
        <v>2878.9918075462724</v>
      </c>
    </row>
    <row r="11" spans="1:53" outlineLevel="1" x14ac:dyDescent="0.35">
      <c r="A11" s="6" t="s">
        <v>23</v>
      </c>
      <c r="B11" s="6">
        <f>'Results - raw data ReCiPe (I)'!BC6</f>
        <v>338.00738724341471</v>
      </c>
      <c r="AB11" s="6" t="s">
        <v>118</v>
      </c>
      <c r="AC11" s="6">
        <f>B22</f>
        <v>270.56319436365197</v>
      </c>
    </row>
    <row r="12" spans="1:53" outlineLevel="1" x14ac:dyDescent="0.35">
      <c r="A12" s="6" t="s">
        <v>26</v>
      </c>
      <c r="B12" s="6">
        <f>'Results - raw data ReCiPe (I)'!BC7</f>
        <v>323.4318262539179</v>
      </c>
      <c r="AB12" s="6" t="s">
        <v>119</v>
      </c>
      <c r="BA12" s="6">
        <f>SUM(Z24:Z35)</f>
        <v>45.667206385167617</v>
      </c>
    </row>
    <row r="13" spans="1:53" outlineLevel="1" x14ac:dyDescent="0.35">
      <c r="A13" s="6" t="s">
        <v>28</v>
      </c>
      <c r="B13" s="6">
        <f>'Results - raw data ReCiPe (I)'!BC8</f>
        <v>232.54506805144459</v>
      </c>
      <c r="AB13" s="6" t="s">
        <v>120</v>
      </c>
      <c r="BA13" s="6">
        <f>Z36</f>
        <v>1.3426941091969788</v>
      </c>
    </row>
    <row r="14" spans="1:53" outlineLevel="1" x14ac:dyDescent="0.35">
      <c r="A14" s="6" t="s">
        <v>29</v>
      </c>
      <c r="B14" s="6">
        <f>'Results - raw data ReCiPe (I)'!BC9</f>
        <v>108.53636572634311</v>
      </c>
      <c r="AB14" s="6" t="s">
        <v>121</v>
      </c>
      <c r="AC14" s="6">
        <f>B37</f>
        <v>118.02764904622801</v>
      </c>
      <c r="AF14" s="6">
        <f>E37</f>
        <v>117.2066454136766</v>
      </c>
      <c r="AI14" s="6">
        <f>H37</f>
        <v>117.0826402904443</v>
      </c>
      <c r="AL14" s="6">
        <f>K37</f>
        <v>116.48331346148591</v>
      </c>
      <c r="AO14" s="6">
        <f>N37</f>
        <v>116.4010822157788</v>
      </c>
      <c r="AR14" s="6">
        <f>Q37</f>
        <v>116.1865333353054</v>
      </c>
      <c r="AU14" s="6">
        <f>T37</f>
        <v>115.889418436463</v>
      </c>
      <c r="AX14" s="6">
        <f>W37</f>
        <v>115.765483779476</v>
      </c>
      <c r="BA14" s="6">
        <f>Z37</f>
        <v>115.702219044955</v>
      </c>
    </row>
    <row r="15" spans="1:53" outlineLevel="1" x14ac:dyDescent="0.35">
      <c r="A15" s="6" t="s">
        <v>31</v>
      </c>
      <c r="B15" s="6">
        <f>'Results - raw data ReCiPe (I)'!BC10</f>
        <v>79.824583259713961</v>
      </c>
      <c r="AB15" s="6" t="s">
        <v>122</v>
      </c>
      <c r="AC15" s="6">
        <f>B40+B39</f>
        <v>2320.2957126513638</v>
      </c>
      <c r="AD15" s="6">
        <f t="shared" ref="AD15:BA15" si="0">C40+C39</f>
        <v>2331.0218189238758</v>
      </c>
      <c r="AE15" s="6">
        <f t="shared" si="0"/>
        <v>2341.8370283107788</v>
      </c>
      <c r="AF15" s="6">
        <f t="shared" si="0"/>
        <v>2348.5919610114788</v>
      </c>
      <c r="AG15" s="6">
        <f t="shared" si="0"/>
        <v>2359.6433244948312</v>
      </c>
      <c r="AH15" s="6">
        <f t="shared" si="0"/>
        <v>2370.780781485762</v>
      </c>
      <c r="AI15" s="6">
        <f t="shared" si="0"/>
        <v>2412.493818635865</v>
      </c>
      <c r="AJ15" s="6">
        <f t="shared" si="0"/>
        <v>2454.1519216562142</v>
      </c>
      <c r="AK15" s="6">
        <f t="shared" si="0"/>
        <v>2492.6634035677921</v>
      </c>
      <c r="AL15" s="6">
        <f t="shared" si="0"/>
        <v>2534.3600755608791</v>
      </c>
      <c r="AM15" s="6">
        <f t="shared" si="0"/>
        <v>2576.0259066095182</v>
      </c>
      <c r="AN15" s="6">
        <f t="shared" si="0"/>
        <v>2580.9910172522009</v>
      </c>
      <c r="AO15" s="6">
        <f t="shared" si="0"/>
        <v>2585.835724022978</v>
      </c>
      <c r="AP15" s="6">
        <f t="shared" si="0"/>
        <v>2589.847069282258</v>
      </c>
      <c r="AQ15" s="6">
        <f t="shared" si="0"/>
        <v>2594.4417078668812</v>
      </c>
      <c r="AR15" s="6">
        <f t="shared" si="0"/>
        <v>2598.8976822769332</v>
      </c>
      <c r="AS15" s="6">
        <f t="shared" si="0"/>
        <v>2694.096908539269</v>
      </c>
      <c r="AT15" s="6">
        <f t="shared" si="0"/>
        <v>2789.3406357299609</v>
      </c>
      <c r="AU15" s="6">
        <f t="shared" si="0"/>
        <v>2884.0214082249759</v>
      </c>
      <c r="AV15" s="6">
        <f t="shared" si="0"/>
        <v>2979.415699161957</v>
      </c>
      <c r="AW15" s="6">
        <f t="shared" si="0"/>
        <v>3074.893445952297</v>
      </c>
      <c r="AX15" s="6">
        <f t="shared" si="0"/>
        <v>3094.610040836661</v>
      </c>
      <c r="AY15" s="6">
        <f t="shared" si="0"/>
        <v>3114.509726791935</v>
      </c>
      <c r="AZ15" s="6">
        <f t="shared" si="0"/>
        <v>3134.5413143898099</v>
      </c>
      <c r="BA15" s="6">
        <f t="shared" si="0"/>
        <v>3154.7042012745792</v>
      </c>
    </row>
    <row r="16" spans="1:53" outlineLevel="1" x14ac:dyDescent="0.35">
      <c r="A16" s="6" t="s">
        <v>34</v>
      </c>
      <c r="B16" s="6">
        <f>'Results - raw data ReCiPe (I)'!BC11</f>
        <v>52.771691831657407</v>
      </c>
      <c r="AB16" s="6" t="s">
        <v>123</v>
      </c>
      <c r="AC16" s="6">
        <f>B38</f>
        <v>185.0458730795367</v>
      </c>
      <c r="AD16" s="6">
        <f t="shared" ref="AD16:BA16" si="1">C38</f>
        <v>185.5870061753408</v>
      </c>
      <c r="AE16" s="6">
        <f t="shared" si="1"/>
        <v>186.1317559408335</v>
      </c>
      <c r="AF16" s="6">
        <f t="shared" si="1"/>
        <v>186.3049753122952</v>
      </c>
      <c r="AG16" s="6">
        <f t="shared" si="1"/>
        <v>186.86159401415</v>
      </c>
      <c r="AH16" s="6">
        <f t="shared" si="1"/>
        <v>187.42139894988489</v>
      </c>
      <c r="AI16" s="6">
        <f t="shared" si="1"/>
        <v>190.33749070944052</v>
      </c>
      <c r="AJ16" s="6">
        <f t="shared" si="1"/>
        <v>193.24039260737891</v>
      </c>
      <c r="AK16" s="6">
        <f t="shared" si="1"/>
        <v>195.85265493849241</v>
      </c>
      <c r="AL16" s="6">
        <f t="shared" si="1"/>
        <v>198.74092132194491</v>
      </c>
      <c r="AM16" s="6">
        <f t="shared" si="1"/>
        <v>201.6178194425556</v>
      </c>
      <c r="AN16" s="6">
        <f t="shared" si="1"/>
        <v>201.7888689970024</v>
      </c>
      <c r="AO16" s="6">
        <f t="shared" si="1"/>
        <v>201.9500347911808</v>
      </c>
      <c r="AP16" s="6">
        <f t="shared" si="1"/>
        <v>202.03504034392071</v>
      </c>
      <c r="AQ16" s="6">
        <f t="shared" si="1"/>
        <v>202.17597488637722</v>
      </c>
      <c r="AR16" s="6">
        <f t="shared" si="1"/>
        <v>202.30575738198948</v>
      </c>
      <c r="AS16" s="6">
        <f t="shared" si="1"/>
        <v>209.23970997685458</v>
      </c>
      <c r="AT16" s="6">
        <f t="shared" si="1"/>
        <v>216.16324456249362</v>
      </c>
      <c r="AU16" s="6">
        <f t="shared" si="1"/>
        <v>223.01863752602168</v>
      </c>
      <c r="AV16" s="6">
        <f t="shared" si="1"/>
        <v>229.9260485609436</v>
      </c>
      <c r="AW16" s="6">
        <f t="shared" si="1"/>
        <v>236.82589937845711</v>
      </c>
      <c r="AX16" s="6">
        <f t="shared" si="1"/>
        <v>237.86094040196261</v>
      </c>
      <c r="AY16" s="6">
        <f t="shared" si="1"/>
        <v>238.90809153153509</v>
      </c>
      <c r="AZ16" s="6">
        <f t="shared" si="1"/>
        <v>239.95899568543302</v>
      </c>
      <c r="BA16" s="6">
        <f t="shared" si="1"/>
        <v>241.0134498082281</v>
      </c>
    </row>
    <row r="17" spans="1:53" outlineLevel="1" x14ac:dyDescent="0.35">
      <c r="A17" s="6" t="s">
        <v>36</v>
      </c>
      <c r="B17" s="6">
        <f>'Results - raw data ReCiPe (I)'!BC12</f>
        <v>61.224159595716117</v>
      </c>
      <c r="AB17" s="6" t="s">
        <v>124</v>
      </c>
      <c r="AC17" s="6">
        <f>-$AC$7*$AC$6</f>
        <v>0</v>
      </c>
      <c r="AD17" s="6">
        <f t="shared" ref="AD17:BA17" si="2">-$AC$7*$AC$6</f>
        <v>0</v>
      </c>
      <c r="AE17" s="6">
        <f t="shared" si="2"/>
        <v>0</v>
      </c>
      <c r="AF17" s="6">
        <f t="shared" si="2"/>
        <v>0</v>
      </c>
      <c r="AG17" s="6">
        <f t="shared" si="2"/>
        <v>0</v>
      </c>
      <c r="AH17" s="6">
        <f t="shared" si="2"/>
        <v>0</v>
      </c>
      <c r="AI17" s="6">
        <f t="shared" si="2"/>
        <v>0</v>
      </c>
      <c r="AJ17" s="6">
        <f t="shared" si="2"/>
        <v>0</v>
      </c>
      <c r="AK17" s="6">
        <f t="shared" si="2"/>
        <v>0</v>
      </c>
      <c r="AL17" s="6">
        <f t="shared" si="2"/>
        <v>0</v>
      </c>
      <c r="AM17" s="6">
        <f t="shared" si="2"/>
        <v>0</v>
      </c>
      <c r="AN17" s="6">
        <f t="shared" si="2"/>
        <v>0</v>
      </c>
      <c r="AO17" s="6">
        <f t="shared" si="2"/>
        <v>0</v>
      </c>
      <c r="AP17" s="6">
        <f t="shared" si="2"/>
        <v>0</v>
      </c>
      <c r="AQ17" s="6">
        <f t="shared" si="2"/>
        <v>0</v>
      </c>
      <c r="AR17" s="6">
        <f t="shared" si="2"/>
        <v>0</v>
      </c>
      <c r="AS17" s="6">
        <f t="shared" si="2"/>
        <v>0</v>
      </c>
      <c r="AT17" s="6">
        <f t="shared" si="2"/>
        <v>0</v>
      </c>
      <c r="AU17" s="6">
        <f t="shared" si="2"/>
        <v>0</v>
      </c>
      <c r="AV17" s="6">
        <f t="shared" si="2"/>
        <v>0</v>
      </c>
      <c r="AW17" s="6">
        <f t="shared" si="2"/>
        <v>0</v>
      </c>
      <c r="AX17" s="6">
        <f t="shared" si="2"/>
        <v>0</v>
      </c>
      <c r="AY17" s="6">
        <f t="shared" si="2"/>
        <v>0</v>
      </c>
      <c r="AZ17" s="6">
        <f t="shared" si="2"/>
        <v>0</v>
      </c>
      <c r="BA17" s="6">
        <f t="shared" si="2"/>
        <v>0</v>
      </c>
    </row>
    <row r="18" spans="1:53" outlineLevel="1" x14ac:dyDescent="0.35">
      <c r="A18" s="6" t="s">
        <v>38</v>
      </c>
      <c r="B18" s="6">
        <f>'Results - raw data ReCiPe (I)'!BC13</f>
        <v>676.12434605426552</v>
      </c>
      <c r="AB18" s="23" t="s">
        <v>125</v>
      </c>
      <c r="AC18" s="17">
        <f>SUM(AC10:AC17)</f>
        <v>5772.9242366870531</v>
      </c>
      <c r="AD18" s="17">
        <f t="shared" ref="AD18:BA18" si="3">SUM(AD10:AD17)</f>
        <v>2516.6088250992166</v>
      </c>
      <c r="AE18" s="17">
        <f t="shared" si="3"/>
        <v>2527.9687842516123</v>
      </c>
      <c r="AF18" s="17">
        <f t="shared" si="3"/>
        <v>2652.1035817374504</v>
      </c>
      <c r="AG18" s="17">
        <f t="shared" si="3"/>
        <v>2546.5049185089811</v>
      </c>
      <c r="AH18" s="17">
        <f t="shared" si="3"/>
        <v>2558.2021804356468</v>
      </c>
      <c r="AI18" s="17">
        <f t="shared" si="3"/>
        <v>2719.9139496357498</v>
      </c>
      <c r="AJ18" s="17">
        <f t="shared" si="3"/>
        <v>2647.3923142635931</v>
      </c>
      <c r="AK18" s="17">
        <f t="shared" si="3"/>
        <v>2688.5160585062845</v>
      </c>
      <c r="AL18" s="17">
        <f t="shared" si="3"/>
        <v>2849.5843103443099</v>
      </c>
      <c r="AM18" s="17">
        <f t="shared" si="3"/>
        <v>2777.6437260520738</v>
      </c>
      <c r="AN18" s="17">
        <f t="shared" si="3"/>
        <v>2782.7798862492032</v>
      </c>
      <c r="AO18" s="17">
        <f t="shared" si="3"/>
        <v>2904.1868410299376</v>
      </c>
      <c r="AP18" s="17">
        <f t="shared" si="3"/>
        <v>2791.8821096261786</v>
      </c>
      <c r="AQ18" s="17">
        <f t="shared" si="3"/>
        <v>2796.6176827532586</v>
      </c>
      <c r="AR18" s="17">
        <f t="shared" si="3"/>
        <v>2917.3899729942282</v>
      </c>
      <c r="AS18" s="17">
        <f t="shared" si="3"/>
        <v>2903.3366185161235</v>
      </c>
      <c r="AT18" s="17">
        <f t="shared" si="3"/>
        <v>3005.5038802924546</v>
      </c>
      <c r="AU18" s="17">
        <f t="shared" si="3"/>
        <v>3222.9294641874608</v>
      </c>
      <c r="AV18" s="17">
        <f t="shared" si="3"/>
        <v>3209.3417477229004</v>
      </c>
      <c r="AW18" s="17">
        <f t="shared" si="3"/>
        <v>3311.7193453307541</v>
      </c>
      <c r="AX18" s="17">
        <f t="shared" si="3"/>
        <v>3448.2364650180998</v>
      </c>
      <c r="AY18" s="17">
        <f t="shared" si="3"/>
        <v>3353.4178183234699</v>
      </c>
      <c r="AZ18" s="17">
        <f t="shared" si="3"/>
        <v>3374.5003100752429</v>
      </c>
      <c r="BA18" s="17">
        <f t="shared" si="3"/>
        <v>3558.4297706221269</v>
      </c>
    </row>
    <row r="19" spans="1:53" outlineLevel="1" x14ac:dyDescent="0.35">
      <c r="A19" s="6" t="s">
        <v>39</v>
      </c>
      <c r="B19" s="6">
        <f>'Results - raw data ReCiPe (I)'!BC14</f>
        <v>708.24896256388683</v>
      </c>
    </row>
    <row r="20" spans="1:53" outlineLevel="1" x14ac:dyDescent="0.35">
      <c r="A20" s="6" t="s">
        <v>41</v>
      </c>
      <c r="B20" s="6">
        <f>'Results - raw data ReCiPe (I)'!BC15</f>
        <v>53.280996790889731</v>
      </c>
    </row>
    <row r="21" spans="1:53" outlineLevel="1" x14ac:dyDescent="0.35">
      <c r="A21" s="6" t="s">
        <v>43</v>
      </c>
      <c r="B21" s="6">
        <f>'Results - raw data ReCiPe (I)'!BC16</f>
        <v>73.643519008709234</v>
      </c>
      <c r="AB21" s="219"/>
      <c r="AC21" s="219"/>
      <c r="AD21" s="219"/>
      <c r="AE21" s="219"/>
      <c r="AF21" s="219"/>
      <c r="AG21" s="219"/>
      <c r="AH21" s="219"/>
      <c r="AI21" s="219"/>
      <c r="AJ21" s="219"/>
      <c r="AK21" s="219"/>
      <c r="AL21" s="219"/>
      <c r="AM21" s="219"/>
      <c r="AN21" s="219"/>
      <c r="AO21" s="219"/>
      <c r="AP21" s="219"/>
      <c r="AQ21" s="219"/>
      <c r="AR21" s="219"/>
      <c r="AS21" s="219"/>
      <c r="AT21" s="219"/>
      <c r="AU21" s="219"/>
      <c r="AV21" s="219"/>
      <c r="AW21" s="219"/>
      <c r="AX21" s="219"/>
      <c r="AY21" s="219"/>
      <c r="AZ21" s="219"/>
      <c r="BA21" s="219"/>
    </row>
    <row r="22" spans="1:53" outlineLevel="1" x14ac:dyDescent="0.35">
      <c r="A22" s="6" t="s">
        <v>44</v>
      </c>
      <c r="B22" s="6">
        <f>'Results - raw data ReCiPe (I)'!BC17*AC7*AC8</f>
        <v>270.56319436365197</v>
      </c>
      <c r="AB22" s="219"/>
      <c r="AC22" s="219"/>
      <c r="AD22" s="219"/>
      <c r="AE22" s="219"/>
      <c r="AF22" s="219"/>
      <c r="AG22" s="219"/>
      <c r="AH22" s="219"/>
      <c r="AI22" s="219"/>
      <c r="AJ22" s="219"/>
      <c r="AK22" s="219"/>
      <c r="AL22" s="219"/>
      <c r="AM22" s="219"/>
      <c r="AN22" s="219"/>
      <c r="AO22" s="219"/>
      <c r="AP22" s="219"/>
      <c r="AQ22" s="219"/>
      <c r="AR22" s="219"/>
      <c r="AS22" s="219"/>
      <c r="AT22" s="219"/>
      <c r="AU22" s="219"/>
      <c r="AV22" s="219"/>
      <c r="AW22" s="219"/>
      <c r="AX22" s="219"/>
      <c r="AY22" s="219"/>
      <c r="AZ22" s="219"/>
      <c r="BA22" s="219"/>
    </row>
    <row r="23" spans="1:53" outlineLevel="1" x14ac:dyDescent="0.35">
      <c r="A23" s="6" t="s">
        <v>757</v>
      </c>
      <c r="B23" s="6">
        <f>'Results - raw data ReCiPe (I)'!BC18*AC8*AC7</f>
        <v>94.585408863793219</v>
      </c>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row>
    <row r="24" spans="1:53" outlineLevel="1" x14ac:dyDescent="0.35">
      <c r="A24" s="6" t="s">
        <v>22</v>
      </c>
      <c r="Z24" s="6">
        <f>'Results - raw data ReCiPe (I)'!CA19</f>
        <v>0.33401882632561952</v>
      </c>
      <c r="AB24" s="219"/>
      <c r="AC24" s="219"/>
      <c r="AD24" s="219"/>
      <c r="AE24" s="219"/>
      <c r="AF24" s="219"/>
      <c r="AG24" s="219"/>
      <c r="AH24" s="219"/>
      <c r="AI24" s="219"/>
      <c r="AJ24" s="219"/>
      <c r="AK24" s="219"/>
      <c r="AL24" s="219"/>
      <c r="AM24" s="219"/>
      <c r="AN24" s="219"/>
      <c r="AO24" s="219"/>
      <c r="AP24" s="219"/>
      <c r="AQ24" s="219"/>
      <c r="AR24" s="219"/>
      <c r="AS24" s="219"/>
      <c r="AT24" s="219"/>
      <c r="AU24" s="219"/>
      <c r="AV24" s="219"/>
      <c r="AW24" s="219"/>
      <c r="AX24" s="219"/>
      <c r="AY24" s="219"/>
      <c r="AZ24" s="219"/>
      <c r="BA24" s="219"/>
    </row>
    <row r="25" spans="1:53" outlineLevel="1" x14ac:dyDescent="0.35">
      <c r="A25" s="6" t="s">
        <v>24</v>
      </c>
      <c r="Z25" s="6">
        <f>'Results - raw data ReCiPe (I)'!CA20</f>
        <v>0.37174567535029729</v>
      </c>
      <c r="AB25" s="219"/>
      <c r="AC25" s="219"/>
      <c r="AD25" s="219"/>
      <c r="AE25" s="219"/>
      <c r="AF25" s="219"/>
      <c r="AG25" s="219"/>
      <c r="AH25" s="219"/>
      <c r="AI25" s="219"/>
      <c r="AJ25" s="219"/>
      <c r="AK25" s="219"/>
      <c r="AL25" s="219"/>
      <c r="AM25" s="219"/>
      <c r="AN25" s="219"/>
      <c r="AO25" s="219"/>
      <c r="AP25" s="219"/>
      <c r="AQ25" s="219"/>
      <c r="AR25" s="219"/>
      <c r="AS25" s="219"/>
      <c r="AT25" s="219"/>
      <c r="AU25" s="219"/>
      <c r="AV25" s="219"/>
      <c r="AW25" s="219"/>
      <c r="AX25" s="219"/>
      <c r="AY25" s="219"/>
      <c r="AZ25" s="219"/>
      <c r="BA25" s="219"/>
    </row>
    <row r="26" spans="1:53" outlineLevel="1" x14ac:dyDescent="0.35">
      <c r="A26" s="6" t="s">
        <v>25</v>
      </c>
      <c r="Z26" s="6">
        <f>'Results - raw data ReCiPe (I)'!CA21</f>
        <v>1.7156655158669361</v>
      </c>
      <c r="AB26" s="219"/>
      <c r="AC26" s="219"/>
      <c r="AD26" s="219"/>
      <c r="AE26" s="219"/>
      <c r="AF26" s="219"/>
      <c r="AG26" s="219"/>
      <c r="AH26" s="219"/>
      <c r="AI26" s="219"/>
      <c r="AJ26" s="219"/>
      <c r="AK26" s="219"/>
      <c r="AL26" s="219"/>
      <c r="AM26" s="219"/>
      <c r="AN26" s="219"/>
      <c r="AO26" s="219"/>
      <c r="AP26" s="219"/>
      <c r="AQ26" s="219"/>
      <c r="AR26" s="219"/>
      <c r="AS26" s="219"/>
      <c r="AT26" s="219"/>
      <c r="AU26" s="219"/>
      <c r="AV26" s="219"/>
      <c r="AW26" s="219"/>
      <c r="AX26" s="219"/>
      <c r="AY26" s="219"/>
      <c r="AZ26" s="219"/>
      <c r="BA26" s="219"/>
    </row>
    <row r="27" spans="1:53" outlineLevel="1" x14ac:dyDescent="0.35">
      <c r="A27" s="6" t="s">
        <v>27</v>
      </c>
      <c r="Z27" s="6">
        <f>'Results - raw data ReCiPe (I)'!CA22</f>
        <v>1.0331687521724979</v>
      </c>
      <c r="AB27" s="219"/>
      <c r="AC27" s="219"/>
      <c r="AD27" s="219"/>
      <c r="AE27" s="219"/>
      <c r="AF27" s="219"/>
      <c r="AG27" s="219"/>
      <c r="AH27" s="219"/>
      <c r="AI27" s="219"/>
      <c r="AJ27" s="219"/>
      <c r="AK27" s="219"/>
      <c r="AL27" s="219"/>
      <c r="AM27" s="219"/>
      <c r="AN27" s="219"/>
      <c r="AO27" s="219"/>
      <c r="AP27" s="219"/>
      <c r="AQ27" s="219"/>
      <c r="AR27" s="219"/>
      <c r="AS27" s="219"/>
      <c r="AT27" s="219"/>
      <c r="AU27" s="219"/>
      <c r="AV27" s="219"/>
      <c r="AW27" s="219"/>
      <c r="AX27" s="219"/>
      <c r="AY27" s="219"/>
      <c r="AZ27" s="219"/>
      <c r="BA27" s="219"/>
    </row>
    <row r="28" spans="1:53" outlineLevel="1" x14ac:dyDescent="0.35">
      <c r="A28" s="6" t="s">
        <v>30</v>
      </c>
      <c r="Z28" s="6">
        <f>'Results - raw data ReCiPe (I)'!CA23</f>
        <v>0.41020634885926188</v>
      </c>
      <c r="AB28" s="219"/>
      <c r="AC28" s="219"/>
      <c r="AD28" s="219"/>
      <c r="AE28" s="219"/>
      <c r="AF28" s="219"/>
      <c r="AG28" s="219"/>
      <c r="AH28" s="219"/>
      <c r="AI28" s="219"/>
      <c r="AJ28" s="219"/>
      <c r="AK28" s="219"/>
      <c r="AL28" s="219"/>
      <c r="AM28" s="219"/>
      <c r="AN28" s="219"/>
      <c r="AO28" s="219"/>
      <c r="AP28" s="219"/>
      <c r="AQ28" s="219"/>
      <c r="AR28" s="219"/>
      <c r="AS28" s="219"/>
      <c r="AT28" s="219"/>
      <c r="AU28" s="219"/>
      <c r="AV28" s="219"/>
      <c r="AW28" s="219"/>
      <c r="AX28" s="219"/>
      <c r="AY28" s="219"/>
      <c r="AZ28" s="219"/>
      <c r="BA28" s="219"/>
    </row>
    <row r="29" spans="1:53" outlineLevel="1" x14ac:dyDescent="0.35">
      <c r="A29" s="6" t="s">
        <v>32</v>
      </c>
      <c r="Z29" s="6">
        <f>'Results - raw data ReCiPe (I)'!CA24</f>
        <v>0.18412691445675031</v>
      </c>
      <c r="AB29" s="219"/>
      <c r="AC29" s="219"/>
      <c r="AD29" s="219"/>
      <c r="AE29" s="219"/>
      <c r="AF29" s="219"/>
      <c r="AG29" s="219"/>
      <c r="AH29" s="219"/>
      <c r="AI29" s="219"/>
      <c r="AJ29" s="219"/>
      <c r="AK29" s="219"/>
      <c r="AL29" s="219"/>
      <c r="AM29" s="219"/>
      <c r="AN29" s="219"/>
      <c r="AO29" s="219"/>
      <c r="AP29" s="219"/>
      <c r="AQ29" s="219"/>
      <c r="AR29" s="219"/>
      <c r="AS29" s="219"/>
      <c r="AT29" s="219"/>
      <c r="AU29" s="219"/>
      <c r="AV29" s="219"/>
      <c r="AW29" s="219"/>
      <c r="AX29" s="219"/>
      <c r="AY29" s="219"/>
      <c r="AZ29" s="219"/>
      <c r="BA29" s="219"/>
    </row>
    <row r="30" spans="1:53" outlineLevel="1" x14ac:dyDescent="0.35">
      <c r="A30" s="6" t="s">
        <v>33</v>
      </c>
      <c r="Z30" s="6">
        <f>'Results - raw data ReCiPe (I)'!CA25</f>
        <v>0.1062742806047989</v>
      </c>
      <c r="AB30" s="219"/>
      <c r="AC30" s="219"/>
      <c r="AD30" s="219"/>
      <c r="AE30" s="219"/>
      <c r="AF30" s="219"/>
      <c r="AG30" s="219"/>
      <c r="AH30" s="219"/>
      <c r="AI30" s="219"/>
      <c r="AJ30" s="219"/>
      <c r="AK30" s="219"/>
      <c r="AL30" s="219"/>
      <c r="AM30" s="219"/>
      <c r="AN30" s="219"/>
      <c r="AO30" s="219"/>
      <c r="AP30" s="219"/>
      <c r="AQ30" s="219"/>
      <c r="AR30" s="219"/>
      <c r="AS30" s="219"/>
      <c r="AT30" s="219"/>
      <c r="AU30" s="219"/>
      <c r="AV30" s="219"/>
      <c r="AW30" s="219"/>
      <c r="AX30" s="219"/>
      <c r="AY30" s="219"/>
      <c r="AZ30" s="219"/>
      <c r="BA30" s="219"/>
    </row>
    <row r="31" spans="1:53" outlineLevel="1" x14ac:dyDescent="0.35">
      <c r="A31" s="6" t="s">
        <v>35</v>
      </c>
      <c r="Z31" s="6">
        <f>'Results - raw data ReCiPe (I)'!CA26</f>
        <v>0.21254856120959789</v>
      </c>
      <c r="AB31" s="219"/>
      <c r="AC31" s="219"/>
      <c r="AD31" s="219"/>
      <c r="AE31" s="219"/>
      <c r="AF31" s="219"/>
      <c r="AG31" s="219"/>
      <c r="AH31" s="219"/>
      <c r="AI31" s="219"/>
      <c r="AJ31" s="219"/>
      <c r="AK31" s="219"/>
      <c r="AL31" s="219"/>
      <c r="AM31" s="219"/>
      <c r="AN31" s="219"/>
      <c r="AO31" s="219"/>
      <c r="AP31" s="219"/>
      <c r="AQ31" s="219"/>
      <c r="AR31" s="219"/>
      <c r="AS31" s="219"/>
      <c r="AT31" s="219"/>
      <c r="AU31" s="219"/>
      <c r="AV31" s="219"/>
      <c r="AW31" s="219"/>
      <c r="AX31" s="219"/>
      <c r="AY31" s="219"/>
      <c r="AZ31" s="219"/>
      <c r="BA31" s="219"/>
    </row>
    <row r="32" spans="1:53" outlineLevel="1" x14ac:dyDescent="0.35">
      <c r="A32" s="6" t="s">
        <v>37</v>
      </c>
      <c r="Z32" s="6">
        <f>'Results - raw data ReCiPe (I)'!CA27</f>
        <v>3.132562457996884</v>
      </c>
      <c r="AB32" s="219"/>
      <c r="AC32" s="219"/>
      <c r="AD32" s="219"/>
      <c r="AE32" s="219"/>
      <c r="AF32" s="219"/>
      <c r="AG32" s="219"/>
      <c r="AH32" s="219"/>
      <c r="AI32" s="219"/>
      <c r="AJ32" s="219"/>
      <c r="AK32" s="219"/>
      <c r="AL32" s="219"/>
      <c r="AM32" s="219"/>
      <c r="AN32" s="219"/>
      <c r="AO32" s="219"/>
      <c r="AP32" s="219"/>
      <c r="AQ32" s="219"/>
      <c r="AR32" s="219"/>
      <c r="AS32" s="219"/>
      <c r="AT32" s="219"/>
      <c r="AU32" s="219"/>
      <c r="AV32" s="219"/>
      <c r="AW32" s="219"/>
      <c r="AX32" s="219"/>
      <c r="AY32" s="219"/>
      <c r="AZ32" s="219"/>
      <c r="BA32" s="219"/>
    </row>
    <row r="33" spans="1:53" outlineLevel="1" x14ac:dyDescent="0.35">
      <c r="A33" s="6" t="s">
        <v>40</v>
      </c>
      <c r="Z33" s="6">
        <f>'Results - raw data ReCiPe (I)'!CA28</f>
        <v>1.49141294639072</v>
      </c>
      <c r="AB33" s="219"/>
      <c r="AC33" s="219"/>
      <c r="AD33" s="219"/>
      <c r="AE33" s="219"/>
      <c r="AF33" s="219"/>
      <c r="AG33" s="219"/>
      <c r="AH33" s="219"/>
      <c r="AI33" s="219"/>
      <c r="AJ33" s="219"/>
      <c r="AK33" s="219"/>
      <c r="AL33" s="219"/>
      <c r="AM33" s="219"/>
      <c r="AN33" s="219"/>
      <c r="AO33" s="219"/>
      <c r="AP33" s="219"/>
      <c r="AQ33" s="219"/>
      <c r="AR33" s="219"/>
      <c r="AS33" s="219"/>
      <c r="AT33" s="219"/>
      <c r="AU33" s="219"/>
      <c r="AV33" s="219"/>
      <c r="AW33" s="219"/>
      <c r="AX33" s="219"/>
      <c r="AY33" s="219"/>
      <c r="AZ33" s="219"/>
      <c r="BA33" s="219"/>
    </row>
    <row r="34" spans="1:53" outlineLevel="1" x14ac:dyDescent="0.35">
      <c r="A34" s="6" t="s">
        <v>42</v>
      </c>
      <c r="Z34" s="6">
        <f>'Results - raw data ReCiPe (I)'!CA29</f>
        <v>3.9182755663625111</v>
      </c>
      <c r="AB34" s="219"/>
      <c r="AC34" s="219"/>
      <c r="AD34" s="219"/>
      <c r="AE34" s="219"/>
      <c r="AF34" s="219"/>
      <c r="AG34" s="219"/>
      <c r="AH34" s="219"/>
      <c r="AI34" s="219"/>
      <c r="AJ34" s="219"/>
      <c r="AK34" s="219"/>
      <c r="AL34" s="219"/>
      <c r="AM34" s="219"/>
      <c r="AN34" s="219"/>
      <c r="AO34" s="219"/>
      <c r="AP34" s="219"/>
      <c r="AQ34" s="219"/>
      <c r="AR34" s="219"/>
      <c r="AS34" s="219"/>
      <c r="AT34" s="219"/>
      <c r="AU34" s="219"/>
      <c r="AV34" s="219"/>
      <c r="AW34" s="219"/>
      <c r="AX34" s="219"/>
      <c r="AY34" s="219"/>
      <c r="AZ34" s="219"/>
      <c r="BA34" s="219"/>
    </row>
    <row r="35" spans="1:53" outlineLevel="1" x14ac:dyDescent="0.35">
      <c r="A35" s="6" t="s">
        <v>115</v>
      </c>
      <c r="Z35" s="6">
        <f>'Results - raw data ReCiPe (I)'!CA30</f>
        <v>32.757200539571741</v>
      </c>
    </row>
    <row r="36" spans="1:53" outlineLevel="1" x14ac:dyDescent="0.35">
      <c r="A36" s="6" t="s">
        <v>45</v>
      </c>
      <c r="Z36" s="6">
        <f>'Results - raw data ReCiPe (I)'!CA31*AC7*AC8</f>
        <v>1.3426941091969788</v>
      </c>
    </row>
    <row r="37" spans="1:53" outlineLevel="1" x14ac:dyDescent="0.35">
      <c r="A37" s="6" t="s">
        <v>116</v>
      </c>
      <c r="B37" s="6">
        <f>'Results - raw data ReCiPe (I)'!BC32</f>
        <v>118.02764904622801</v>
      </c>
      <c r="C37" s="6">
        <f>'Results - raw data ReCiPe (I)'!BD32</f>
        <v>117.98373872622631</v>
      </c>
      <c r="D37" s="6">
        <f>'Results - raw data ReCiPe (I)'!BE32</f>
        <v>117.94039073957509</v>
      </c>
      <c r="E37" s="6">
        <f>'Results - raw data ReCiPe (I)'!BF32</f>
        <v>117.2066454136766</v>
      </c>
      <c r="F37" s="6">
        <f>'Results - raw data ReCiPe (I)'!BG32</f>
        <v>117.1656896823397</v>
      </c>
      <c r="G37" s="6">
        <f>'Results - raw data ReCiPe (I)'!BH32</f>
        <v>117.1250551001704</v>
      </c>
      <c r="H37" s="6">
        <f>'Results - raw data ReCiPe (I)'!BI32</f>
        <v>117.0826402904443</v>
      </c>
      <c r="I37" s="6">
        <f>'Results - raw data ReCiPe (I)'!BJ32</f>
        <v>117.0403377490028</v>
      </c>
      <c r="J37" s="6">
        <f>'Results - raw data ReCiPe (I)'!BK32</f>
        <v>116.5223451401131</v>
      </c>
      <c r="K37" s="6">
        <f>'Results - raw data ReCiPe (I)'!BL32</f>
        <v>116.48331346148591</v>
      </c>
      <c r="L37" s="6">
        <f>'Results - raw data ReCiPe (I)'!BM32</f>
        <v>116.44433520141639</v>
      </c>
      <c r="M37" s="6">
        <f>'Results - raw data ReCiPe (I)'!BN32</f>
        <v>116.42301971193</v>
      </c>
      <c r="N37" s="6">
        <f>'Results - raw data ReCiPe (I)'!BO32</f>
        <v>116.4010822157788</v>
      </c>
      <c r="O37" s="6">
        <f>'Results - raw data ReCiPe (I)'!BP32</f>
        <v>116.2311850172577</v>
      </c>
      <c r="P37" s="6">
        <f>'Results - raw data ReCiPe (I)'!BQ32</f>
        <v>116.2091861190398</v>
      </c>
      <c r="Q37" s="6">
        <f>'Results - raw data ReCiPe (I)'!BR32</f>
        <v>116.1865333353054</v>
      </c>
      <c r="R37" s="6">
        <f>'Results - raw data ReCiPe (I)'!BS32</f>
        <v>116.1354305145795</v>
      </c>
      <c r="S37" s="6">
        <f>'Results - raw data ReCiPe (I)'!BT32</f>
        <v>116.0838942184931</v>
      </c>
      <c r="T37" s="6">
        <f>'Results - raw data ReCiPe (I)'!BU32</f>
        <v>115.889418436463</v>
      </c>
      <c r="U37" s="6">
        <f>'Results - raw data ReCiPe (I)'!BV32</f>
        <v>115.83864558274711</v>
      </c>
      <c r="V37" s="6">
        <f>'Results - raw data ReCiPe (I)'!BW32</f>
        <v>115.78749641573989</v>
      </c>
      <c r="W37" s="6">
        <f>'Results - raw data ReCiPe (I)'!BX32</f>
        <v>115.765483779476</v>
      </c>
      <c r="X37" s="6">
        <f>'Results - raw data ReCiPe (I)'!BY32</f>
        <v>115.7440081863779</v>
      </c>
      <c r="Y37" s="6">
        <f>'Results - raw data ReCiPe (I)'!BZ32</f>
        <v>115.722919994202</v>
      </c>
      <c r="Z37" s="6">
        <f>'Results - raw data ReCiPe (I)'!CA32</f>
        <v>115.702219044955</v>
      </c>
    </row>
    <row r="38" spans="1:53" outlineLevel="1" x14ac:dyDescent="0.35">
      <c r="A38" s="6" t="s">
        <v>758</v>
      </c>
      <c r="B38" s="6">
        <f>'Results - raw data ReCiPe (I)'!BC33*$AC$7</f>
        <v>185.0458730795367</v>
      </c>
      <c r="C38" s="6">
        <f>'Results - raw data ReCiPe (I)'!BD33*$AC$7</f>
        <v>185.5870061753408</v>
      </c>
      <c r="D38" s="6">
        <f>'Results - raw data ReCiPe (I)'!BE33*$AC$7</f>
        <v>186.1317559408335</v>
      </c>
      <c r="E38" s="6">
        <f>'Results - raw data ReCiPe (I)'!BF33*$AC$7</f>
        <v>186.3049753122952</v>
      </c>
      <c r="F38" s="6">
        <f>'Results - raw data ReCiPe (I)'!BG33*$AC$7</f>
        <v>186.86159401415</v>
      </c>
      <c r="G38" s="6">
        <f>'Results - raw data ReCiPe (I)'!BH33*$AC$7</f>
        <v>187.42139894988489</v>
      </c>
      <c r="H38" s="6">
        <f>'Results - raw data ReCiPe (I)'!BI33*$AC$7</f>
        <v>190.33749070944052</v>
      </c>
      <c r="I38" s="6">
        <f>'Results - raw data ReCiPe (I)'!BJ33*$AC$7</f>
        <v>193.24039260737891</v>
      </c>
      <c r="J38" s="6">
        <f>'Results - raw data ReCiPe (I)'!BK33*$AC$7</f>
        <v>195.85265493849241</v>
      </c>
      <c r="K38" s="6">
        <f>'Results - raw data ReCiPe (I)'!BL33*$AC$7</f>
        <v>198.74092132194491</v>
      </c>
      <c r="L38" s="6">
        <f>'Results - raw data ReCiPe (I)'!BM33*$AC$7</f>
        <v>201.6178194425556</v>
      </c>
      <c r="M38" s="6">
        <f>'Results - raw data ReCiPe (I)'!BN33*$AC$7</f>
        <v>201.7888689970024</v>
      </c>
      <c r="N38" s="6">
        <f>'Results - raw data ReCiPe (I)'!BO33*$AC$7</f>
        <v>201.9500347911808</v>
      </c>
      <c r="O38" s="6">
        <f>'Results - raw data ReCiPe (I)'!BP33*$AC$7</f>
        <v>202.03504034392071</v>
      </c>
      <c r="P38" s="6">
        <f>'Results - raw data ReCiPe (I)'!BQ33*$AC$7</f>
        <v>202.17597488637722</v>
      </c>
      <c r="Q38" s="6">
        <f>'Results - raw data ReCiPe (I)'!BR33*$AC$7</f>
        <v>202.30575738198948</v>
      </c>
      <c r="R38" s="6">
        <f>'Results - raw data ReCiPe (I)'!BS33*$AC$7</f>
        <v>209.23970997685458</v>
      </c>
      <c r="S38" s="6">
        <f>'Results - raw data ReCiPe (I)'!BT33*$AC$7</f>
        <v>216.16324456249362</v>
      </c>
      <c r="T38" s="6">
        <f>'Results - raw data ReCiPe (I)'!BU33*$AC$7</f>
        <v>223.01863752602168</v>
      </c>
      <c r="U38" s="6">
        <f>'Results - raw data ReCiPe (I)'!BV33*$AC$7</f>
        <v>229.9260485609436</v>
      </c>
      <c r="V38" s="6">
        <f>'Results - raw data ReCiPe (I)'!BW33*$AC$7</f>
        <v>236.82589937845711</v>
      </c>
      <c r="W38" s="6">
        <f>'Results - raw data ReCiPe (I)'!BX33*$AC$7</f>
        <v>237.86094040196261</v>
      </c>
      <c r="X38" s="6">
        <f>'Results - raw data ReCiPe (I)'!BY33*$AC$7</f>
        <v>238.90809153153509</v>
      </c>
      <c r="Y38" s="6">
        <f>'Results - raw data ReCiPe (I)'!BZ33*$AC$7</f>
        <v>239.95899568543302</v>
      </c>
      <c r="Z38" s="6">
        <f>'Results - raw data ReCiPe (I)'!CA33*$AC$7</f>
        <v>241.0134498082281</v>
      </c>
    </row>
    <row r="39" spans="1:53" outlineLevel="1" x14ac:dyDescent="0.35">
      <c r="A39" s="6" t="s">
        <v>759</v>
      </c>
      <c r="B39" s="6">
        <f>'Results - raw data ReCiPe (I)'!BC34</f>
        <v>0</v>
      </c>
      <c r="C39" s="6">
        <f>'Results - raw data ReCiPe (I)'!BD34</f>
        <v>0</v>
      </c>
      <c r="D39" s="6">
        <f>'Results - raw data ReCiPe (I)'!BE34</f>
        <v>0</v>
      </c>
      <c r="E39" s="6">
        <f>'Results - raw data ReCiPe (I)'!BF34</f>
        <v>0</v>
      </c>
      <c r="F39" s="6">
        <f>'Results - raw data ReCiPe (I)'!BG34</f>
        <v>0</v>
      </c>
      <c r="G39" s="6">
        <f>'Results - raw data ReCiPe (I)'!BH34</f>
        <v>0</v>
      </c>
      <c r="H39" s="6">
        <f>'Results - raw data ReCiPe (I)'!BI34</f>
        <v>0</v>
      </c>
      <c r="I39" s="6">
        <f>'Results - raw data ReCiPe (I)'!BJ34</f>
        <v>0</v>
      </c>
      <c r="J39" s="6">
        <f>'Results - raw data ReCiPe (I)'!BK34</f>
        <v>0</v>
      </c>
      <c r="K39" s="6">
        <f>'Results - raw data ReCiPe (I)'!BL34</f>
        <v>0</v>
      </c>
      <c r="L39" s="6">
        <f>'Results - raw data ReCiPe (I)'!BM34</f>
        <v>0</v>
      </c>
      <c r="M39" s="6">
        <f>'Results - raw data ReCiPe (I)'!BN34</f>
        <v>0</v>
      </c>
      <c r="N39" s="6">
        <f>'Results - raw data ReCiPe (I)'!BO34</f>
        <v>0</v>
      </c>
      <c r="O39" s="6">
        <f>'Results - raw data ReCiPe (I)'!BP34</f>
        <v>0</v>
      </c>
      <c r="P39" s="6">
        <f>'Results - raw data ReCiPe (I)'!BQ34</f>
        <v>0</v>
      </c>
      <c r="Q39" s="6">
        <f>'Results - raw data ReCiPe (I)'!BR34</f>
        <v>0</v>
      </c>
      <c r="R39" s="6">
        <f>'Results - raw data ReCiPe (I)'!BS34</f>
        <v>0</v>
      </c>
      <c r="S39" s="6">
        <f>'Results - raw data ReCiPe (I)'!BT34</f>
        <v>0</v>
      </c>
      <c r="T39" s="6">
        <f>'Results - raw data ReCiPe (I)'!BU34</f>
        <v>0</v>
      </c>
      <c r="U39" s="6">
        <f>'Results - raw data ReCiPe (I)'!BV34</f>
        <v>0</v>
      </c>
      <c r="V39" s="6">
        <f>'Results - raw data ReCiPe (I)'!BW34</f>
        <v>0</v>
      </c>
      <c r="W39" s="6">
        <f>'Results - raw data ReCiPe (I)'!BX34</f>
        <v>0</v>
      </c>
      <c r="X39" s="6">
        <f>'Results - raw data ReCiPe (I)'!BY34</f>
        <v>0</v>
      </c>
      <c r="Y39" s="6">
        <f>'Results - raw data ReCiPe (I)'!BZ34</f>
        <v>0</v>
      </c>
      <c r="Z39" s="6">
        <f>'Results - raw data ReCiPe (I)'!CA34</f>
        <v>0</v>
      </c>
    </row>
    <row r="40" spans="1:53" outlineLevel="1" x14ac:dyDescent="0.35">
      <c r="A40" s="6" t="s">
        <v>760</v>
      </c>
      <c r="B40" s="6">
        <f>'Results - raw data ReCiPe (I)'!BC35</f>
        <v>2320.2957126513638</v>
      </c>
      <c r="C40" s="6">
        <f>'Results - raw data ReCiPe (I)'!BD35</f>
        <v>2331.0218189238758</v>
      </c>
      <c r="D40" s="6">
        <f>'Results - raw data ReCiPe (I)'!BE35</f>
        <v>2341.8370283107788</v>
      </c>
      <c r="E40" s="6">
        <f>'Results - raw data ReCiPe (I)'!BF35</f>
        <v>2348.5919610114788</v>
      </c>
      <c r="F40" s="6">
        <f>'Results - raw data ReCiPe (I)'!BG35</f>
        <v>2359.6433244948312</v>
      </c>
      <c r="G40" s="6">
        <f>'Results - raw data ReCiPe (I)'!BH35</f>
        <v>2370.780781485762</v>
      </c>
      <c r="H40" s="6">
        <f>'Results - raw data ReCiPe (I)'!BI35</f>
        <v>2412.493818635865</v>
      </c>
      <c r="I40" s="6">
        <f>'Results - raw data ReCiPe (I)'!BJ35</f>
        <v>2454.1519216562142</v>
      </c>
      <c r="J40" s="6">
        <f>'Results - raw data ReCiPe (I)'!BK35</f>
        <v>2492.6634035677921</v>
      </c>
      <c r="K40" s="6">
        <f>'Results - raw data ReCiPe (I)'!BL35</f>
        <v>2534.3600755608791</v>
      </c>
      <c r="L40" s="6">
        <f>'Results - raw data ReCiPe (I)'!BM35</f>
        <v>2576.0259066095182</v>
      </c>
      <c r="M40" s="6">
        <f>'Results - raw data ReCiPe (I)'!BN35</f>
        <v>2580.9910172522009</v>
      </c>
      <c r="N40" s="6">
        <f>'Results - raw data ReCiPe (I)'!BO35</f>
        <v>2585.835724022978</v>
      </c>
      <c r="O40" s="6">
        <f>'Results - raw data ReCiPe (I)'!BP35</f>
        <v>2589.847069282258</v>
      </c>
      <c r="P40" s="6">
        <f>'Results - raw data ReCiPe (I)'!BQ35</f>
        <v>2594.4417078668812</v>
      </c>
      <c r="Q40" s="6">
        <f>'Results - raw data ReCiPe (I)'!BR35</f>
        <v>2598.8976822769332</v>
      </c>
      <c r="R40" s="6">
        <f>'Results - raw data ReCiPe (I)'!BS35</f>
        <v>2694.096908539269</v>
      </c>
      <c r="S40" s="6">
        <f>'Results - raw data ReCiPe (I)'!BT35</f>
        <v>2789.3406357299609</v>
      </c>
      <c r="T40" s="6">
        <f>'Results - raw data ReCiPe (I)'!BU35</f>
        <v>2884.0214082249759</v>
      </c>
      <c r="U40" s="6">
        <f>'Results - raw data ReCiPe (I)'!BV35</f>
        <v>2979.415699161957</v>
      </c>
      <c r="V40" s="6">
        <f>'Results - raw data ReCiPe (I)'!BW35</f>
        <v>3074.893445952297</v>
      </c>
      <c r="W40" s="6">
        <f>'Results - raw data ReCiPe (I)'!BX35</f>
        <v>3094.610040836661</v>
      </c>
      <c r="X40" s="6">
        <f>'Results - raw data ReCiPe (I)'!BY35</f>
        <v>3114.509726791935</v>
      </c>
      <c r="Y40" s="6">
        <f>'Results - raw data ReCiPe (I)'!BZ35</f>
        <v>3134.5413143898099</v>
      </c>
      <c r="Z40" s="6">
        <f>'Results - raw data ReCiPe (I)'!CA35</f>
        <v>3154.7042012745792</v>
      </c>
    </row>
    <row r="41" spans="1:53" outlineLevel="1" x14ac:dyDescent="0.35">
      <c r="A41" s="23" t="s">
        <v>125</v>
      </c>
      <c r="B41" s="17">
        <f>SUM(B10:B40)</f>
        <v>5772.9242366870531</v>
      </c>
      <c r="C41" s="17">
        <f>SUM(C10:C40)</f>
        <v>2634.592563825443</v>
      </c>
      <c r="D41" s="17">
        <f>SUM(D10:D40)</f>
        <v>2645.9091749911872</v>
      </c>
      <c r="E41" s="17">
        <f>SUM(E10:E40)</f>
        <v>2652.1035817374504</v>
      </c>
      <c r="F41" s="17">
        <f>SUM(F10:F40)</f>
        <v>2663.6706081913208</v>
      </c>
      <c r="G41" s="17">
        <f t="shared" ref="G41:Z41" si="4">SUM(G10:G40)</f>
        <v>2675.3272355358172</v>
      </c>
      <c r="H41" s="17">
        <f t="shared" si="4"/>
        <v>2719.9139496357498</v>
      </c>
      <c r="I41" s="17">
        <f t="shared" si="4"/>
        <v>2764.432652012596</v>
      </c>
      <c r="J41" s="17">
        <f t="shared" si="4"/>
        <v>2805.0384036463975</v>
      </c>
      <c r="K41" s="17">
        <f t="shared" si="4"/>
        <v>2849.5843103443099</v>
      </c>
      <c r="L41" s="17">
        <f t="shared" si="4"/>
        <v>2894.0880612534902</v>
      </c>
      <c r="M41" s="17">
        <f t="shared" si="4"/>
        <v>2899.2029059611332</v>
      </c>
      <c r="N41" s="17">
        <f t="shared" si="4"/>
        <v>2904.1868410299376</v>
      </c>
      <c r="O41" s="17">
        <f t="shared" si="4"/>
        <v>2908.1132946434363</v>
      </c>
      <c r="P41" s="17">
        <f t="shared" si="4"/>
        <v>2912.8268688722983</v>
      </c>
      <c r="Q41" s="17">
        <f t="shared" si="4"/>
        <v>2917.3899729942282</v>
      </c>
      <c r="R41" s="17">
        <f t="shared" si="4"/>
        <v>3019.4720490307031</v>
      </c>
      <c r="S41" s="17">
        <f t="shared" si="4"/>
        <v>3121.5877745109474</v>
      </c>
      <c r="T41" s="17">
        <f t="shared" si="4"/>
        <v>3222.9294641874603</v>
      </c>
      <c r="U41" s="17">
        <f t="shared" si="4"/>
        <v>3325.1803933056476</v>
      </c>
      <c r="V41" s="17">
        <f t="shared" si="4"/>
        <v>3427.506841746494</v>
      </c>
      <c r="W41" s="17">
        <f t="shared" si="4"/>
        <v>3448.2364650180998</v>
      </c>
      <c r="X41" s="17">
        <f t="shared" si="4"/>
        <v>3469.1618265098477</v>
      </c>
      <c r="Y41" s="17">
        <f t="shared" si="4"/>
        <v>3490.223230069445</v>
      </c>
      <c r="Z41" s="17">
        <f t="shared" si="4"/>
        <v>3558.4297706221269</v>
      </c>
    </row>
    <row r="42" spans="1:53" outlineLevel="1" x14ac:dyDescent="0.35"/>
    <row r="43" spans="1:53" s="18" customFormat="1" ht="21" x14ac:dyDescent="0.5">
      <c r="A43" s="18" t="s">
        <v>73</v>
      </c>
    </row>
    <row r="44" spans="1:53" s="20" customFormat="1" outlineLevel="1" x14ac:dyDescent="0.35">
      <c r="A44" s="19" t="s">
        <v>767</v>
      </c>
    </row>
    <row r="45" spans="1:53" s="16" customFormat="1" outlineLevel="1" x14ac:dyDescent="0.35">
      <c r="A45" s="21"/>
      <c r="AE45" s="15" t="s">
        <v>714</v>
      </c>
    </row>
    <row r="46" spans="1:53" s="16" customFormat="1" outlineLevel="1" x14ac:dyDescent="0.35">
      <c r="A46" s="22" t="s">
        <v>761</v>
      </c>
    </row>
    <row r="47" spans="1:53" s="16" customFormat="1" outlineLevel="1" x14ac:dyDescent="0.35">
      <c r="A47" s="22"/>
      <c r="AB47" s="16" t="s">
        <v>127</v>
      </c>
      <c r="AC47" s="16">
        <v>100</v>
      </c>
      <c r="AD47" s="16" t="s">
        <v>128</v>
      </c>
    </row>
    <row r="48" spans="1:53" s="16" customFormat="1" outlineLevel="1" x14ac:dyDescent="0.35">
      <c r="A48" s="22"/>
      <c r="AB48" s="16" t="s">
        <v>129</v>
      </c>
      <c r="AC48" s="16">
        <v>25</v>
      </c>
      <c r="AD48" s="16" t="s">
        <v>130</v>
      </c>
    </row>
    <row r="49" spans="1:53" outlineLevel="1" x14ac:dyDescent="0.35">
      <c r="B49" s="25">
        <v>2030</v>
      </c>
      <c r="C49" s="25">
        <v>2031</v>
      </c>
      <c r="D49" s="25">
        <v>2032</v>
      </c>
      <c r="E49" s="25">
        <v>2033</v>
      </c>
      <c r="F49" s="25">
        <v>2034</v>
      </c>
      <c r="G49" s="25">
        <v>2035</v>
      </c>
      <c r="H49" s="25">
        <v>2036</v>
      </c>
      <c r="I49" s="25">
        <v>2037</v>
      </c>
      <c r="J49" s="25">
        <v>2038</v>
      </c>
      <c r="K49" s="25">
        <v>2039</v>
      </c>
      <c r="L49" s="25">
        <v>2040</v>
      </c>
      <c r="M49" s="25">
        <v>2041</v>
      </c>
      <c r="N49" s="25">
        <v>2042</v>
      </c>
      <c r="O49" s="25">
        <v>2043</v>
      </c>
      <c r="P49" s="25">
        <v>2044</v>
      </c>
      <c r="Q49" s="25">
        <v>2045</v>
      </c>
      <c r="R49" s="25">
        <v>2046</v>
      </c>
      <c r="S49" s="25">
        <v>2047</v>
      </c>
      <c r="T49" s="25">
        <v>2048</v>
      </c>
      <c r="U49" s="25">
        <v>2049</v>
      </c>
      <c r="V49" s="25">
        <v>2050</v>
      </c>
      <c r="W49" s="25">
        <v>2051</v>
      </c>
      <c r="X49" s="25">
        <v>2052</v>
      </c>
      <c r="Y49" s="25">
        <v>2053</v>
      </c>
      <c r="Z49" s="25">
        <v>2054</v>
      </c>
      <c r="AC49" s="25">
        <v>2030</v>
      </c>
      <c r="AD49" s="25">
        <v>2031</v>
      </c>
      <c r="AE49" s="25">
        <v>2032</v>
      </c>
      <c r="AF49" s="25">
        <v>2033</v>
      </c>
      <c r="AG49" s="25">
        <v>2034</v>
      </c>
      <c r="AH49" s="25">
        <v>2035</v>
      </c>
      <c r="AI49" s="25">
        <v>2036</v>
      </c>
      <c r="AJ49" s="25">
        <v>2037</v>
      </c>
      <c r="AK49" s="25">
        <v>2038</v>
      </c>
      <c r="AL49" s="25">
        <v>2039</v>
      </c>
      <c r="AM49" s="25">
        <v>2040</v>
      </c>
      <c r="AN49" s="25">
        <v>2041</v>
      </c>
      <c r="AO49" s="25">
        <v>2042</v>
      </c>
      <c r="AP49" s="25">
        <v>2043</v>
      </c>
      <c r="AQ49" s="25">
        <v>2044</v>
      </c>
      <c r="AR49" s="25">
        <v>2045</v>
      </c>
      <c r="AS49" s="25">
        <v>2046</v>
      </c>
      <c r="AT49" s="25">
        <v>2047</v>
      </c>
      <c r="AU49" s="25">
        <v>2048</v>
      </c>
      <c r="AV49" s="25">
        <v>2049</v>
      </c>
      <c r="AW49" s="25">
        <v>2050</v>
      </c>
      <c r="AX49" s="25">
        <v>2051</v>
      </c>
      <c r="AY49" s="25">
        <v>2052</v>
      </c>
      <c r="AZ49" s="25">
        <v>2053</v>
      </c>
      <c r="BA49" s="25">
        <v>2054</v>
      </c>
    </row>
    <row r="50" spans="1:53" outlineLevel="1" x14ac:dyDescent="0.35">
      <c r="A50" s="6" t="s">
        <v>21</v>
      </c>
      <c r="B50" s="6">
        <f>'Results - raw data ReCiPe (I)'!BC41</f>
        <v>75.449016980629139</v>
      </c>
      <c r="AB50" s="6" t="s">
        <v>117</v>
      </c>
      <c r="AC50" s="6">
        <f>SUM(B50:B61)+B63</f>
        <v>2823.4856314484796</v>
      </c>
    </row>
    <row r="51" spans="1:53" outlineLevel="1" x14ac:dyDescent="0.35">
      <c r="A51" s="6" t="s">
        <v>23</v>
      </c>
      <c r="B51" s="6">
        <f>'Results - raw data ReCiPe (I)'!BC42</f>
        <v>336.51251463631371</v>
      </c>
      <c r="AB51" s="6" t="s">
        <v>118</v>
      </c>
      <c r="AC51" s="6">
        <f>B62</f>
        <v>267.84906066089701</v>
      </c>
    </row>
    <row r="52" spans="1:53" outlineLevel="1" x14ac:dyDescent="0.35">
      <c r="A52" s="6" t="s">
        <v>26</v>
      </c>
      <c r="B52" s="6">
        <f>'Results - raw data ReCiPe (I)'!BC43</f>
        <v>318.42348502452592</v>
      </c>
      <c r="AB52" s="6" t="s">
        <v>119</v>
      </c>
      <c r="BA52" s="6">
        <f>SUM(Z64:Z75)</f>
        <v>41.820043084295236</v>
      </c>
    </row>
    <row r="53" spans="1:53" outlineLevel="1" x14ac:dyDescent="0.35">
      <c r="A53" s="6" t="s">
        <v>28</v>
      </c>
      <c r="B53" s="6">
        <f>'Results - raw data ReCiPe (I)'!BC44</f>
        <v>229.02021178830259</v>
      </c>
      <c r="AB53" s="6" t="s">
        <v>120</v>
      </c>
      <c r="BA53" s="6">
        <f>Z76</f>
        <v>1.2962600802775475</v>
      </c>
    </row>
    <row r="54" spans="1:53" outlineLevel="1" x14ac:dyDescent="0.35">
      <c r="A54" s="6" t="s">
        <v>29</v>
      </c>
      <c r="B54" s="6">
        <f>'Results - raw data ReCiPe (I)'!BC45</f>
        <v>106.4688062127529</v>
      </c>
      <c r="AB54" s="6" t="s">
        <v>121</v>
      </c>
      <c r="AC54" s="6">
        <f>B77</f>
        <v>117.2508960880117</v>
      </c>
      <c r="AF54" s="6">
        <f>E77</f>
        <v>115.97999477629099</v>
      </c>
      <c r="AI54" s="6">
        <f>H77</f>
        <v>115.68776613125171</v>
      </c>
      <c r="AL54" s="6">
        <f>K77</f>
        <v>115.5360727733087</v>
      </c>
      <c r="AO54" s="6">
        <f>N77</f>
        <v>115.051358787382</v>
      </c>
      <c r="AR54" s="6">
        <f>Q77</f>
        <v>114.04079735172429</v>
      </c>
      <c r="AU54" s="6">
        <f>T77</f>
        <v>113.2082579102948</v>
      </c>
      <c r="AX54" s="6">
        <f>W77</f>
        <v>112.6698309452093</v>
      </c>
      <c r="BA54" s="6">
        <f>Z77</f>
        <v>112.4422249103109</v>
      </c>
    </row>
    <row r="55" spans="1:53" outlineLevel="1" x14ac:dyDescent="0.35">
      <c r="A55" s="6" t="s">
        <v>31</v>
      </c>
      <c r="B55" s="6">
        <f>'Results - raw data ReCiPe (I)'!BC46</f>
        <v>78.737095426987352</v>
      </c>
      <c r="AB55" s="6" t="s">
        <v>122</v>
      </c>
      <c r="AC55" s="6">
        <f>B80+B79</f>
        <v>2395.2784371450261</v>
      </c>
      <c r="AD55" s="6">
        <f t="shared" ref="AD55:BA55" si="5">C80+C79</f>
        <v>2377.7659488164841</v>
      </c>
      <c r="AE55" s="6">
        <f t="shared" si="5"/>
        <v>2360.278481322463</v>
      </c>
      <c r="AF55" s="6">
        <f t="shared" si="5"/>
        <v>2338.3366574323809</v>
      </c>
      <c r="AG55" s="6">
        <f t="shared" si="5"/>
        <v>2320.9131369377228</v>
      </c>
      <c r="AH55" s="6">
        <f t="shared" si="5"/>
        <v>2303.5112511814382</v>
      </c>
      <c r="AI55" s="6">
        <f t="shared" si="5"/>
        <v>2298.6405021851651</v>
      </c>
      <c r="AJ55" s="6">
        <f t="shared" si="5"/>
        <v>2293.6427801031141</v>
      </c>
      <c r="AK55" s="6">
        <f t="shared" si="5"/>
        <v>2284.5436558183569</v>
      </c>
      <c r="AL55" s="6">
        <f t="shared" si="5"/>
        <v>2279.1128477594411</v>
      </c>
      <c r="AM55" s="6">
        <f t="shared" si="5"/>
        <v>2273.4892258671998</v>
      </c>
      <c r="AN55" s="6">
        <f t="shared" si="5"/>
        <v>2258.3806691600962</v>
      </c>
      <c r="AO55" s="6">
        <f t="shared" si="5"/>
        <v>2243.0013513386421</v>
      </c>
      <c r="AP55" s="6">
        <f t="shared" si="5"/>
        <v>2226.425186101631</v>
      </c>
      <c r="AQ55" s="6">
        <f t="shared" si="5"/>
        <v>2210.5189960885832</v>
      </c>
      <c r="AR55" s="6">
        <f t="shared" si="5"/>
        <v>2194.3472971194292</v>
      </c>
      <c r="AS55" s="6">
        <f t="shared" si="5"/>
        <v>2207.7555202365961</v>
      </c>
      <c r="AT55" s="6">
        <f t="shared" si="5"/>
        <v>2220.8992458052571</v>
      </c>
      <c r="AU55" s="6">
        <f t="shared" si="5"/>
        <v>2232.8684946513622</v>
      </c>
      <c r="AV55" s="6">
        <f t="shared" si="5"/>
        <v>2245.4956115771961</v>
      </c>
      <c r="AW55" s="6">
        <f t="shared" si="5"/>
        <v>2257.8694150948049</v>
      </c>
      <c r="AX55" s="6">
        <f t="shared" si="5"/>
        <v>2236.3664567277801</v>
      </c>
      <c r="AY55" s="6">
        <f t="shared" si="5"/>
        <v>2214.865474169248</v>
      </c>
      <c r="AZ55" s="6">
        <f t="shared" si="5"/>
        <v>2193.275164287033</v>
      </c>
      <c r="BA55" s="6">
        <f t="shared" si="5"/>
        <v>2171.5922338779951</v>
      </c>
    </row>
    <row r="56" spans="1:53" outlineLevel="1" x14ac:dyDescent="0.35">
      <c r="A56" s="6" t="s">
        <v>34</v>
      </c>
      <c r="B56" s="6">
        <f>'Results - raw data ReCiPe (I)'!BC47</f>
        <v>51.732502787849143</v>
      </c>
      <c r="AB56" s="6" t="s">
        <v>123</v>
      </c>
      <c r="AC56" s="6">
        <f t="shared" ref="AC56:BA56" si="6">B78</f>
        <v>189.95365198935059</v>
      </c>
      <c r="AD56" s="6">
        <f t="shared" si="6"/>
        <v>188.19494287198691</v>
      </c>
      <c r="AE56" s="6">
        <f t="shared" si="6"/>
        <v>186.44260066353669</v>
      </c>
      <c r="AF56" s="6">
        <f t="shared" si="6"/>
        <v>184.2978933509371</v>
      </c>
      <c r="AG56" s="6">
        <f t="shared" si="6"/>
        <v>182.5600392896562</v>
      </c>
      <c r="AH56" s="6">
        <f t="shared" si="6"/>
        <v>180.8281778211298</v>
      </c>
      <c r="AI56" s="6">
        <f t="shared" si="6"/>
        <v>180.28554710780492</v>
      </c>
      <c r="AJ56" s="6">
        <f t="shared" si="6"/>
        <v>179.73401544872561</v>
      </c>
      <c r="AK56" s="6">
        <f t="shared" si="6"/>
        <v>178.83169177435428</v>
      </c>
      <c r="AL56" s="6">
        <f t="shared" si="6"/>
        <v>178.24948779215859</v>
      </c>
      <c r="AM56" s="6">
        <f t="shared" si="6"/>
        <v>177.6533101314715</v>
      </c>
      <c r="AN56" s="6">
        <f t="shared" si="6"/>
        <v>176.47977086474322</v>
      </c>
      <c r="AO56" s="6">
        <f t="shared" si="6"/>
        <v>175.28679841680329</v>
      </c>
      <c r="AP56" s="6">
        <f t="shared" si="6"/>
        <v>173.9928575036916</v>
      </c>
      <c r="AQ56" s="6">
        <f t="shared" si="6"/>
        <v>172.76223616991192</v>
      </c>
      <c r="AR56" s="6">
        <f t="shared" si="6"/>
        <v>171.512456333968</v>
      </c>
      <c r="AS56" s="6">
        <f t="shared" si="6"/>
        <v>172.75597036638891</v>
      </c>
      <c r="AT56" s="6">
        <f t="shared" si="6"/>
        <v>173.98577947093</v>
      </c>
      <c r="AU56" s="6">
        <f t="shared" si="6"/>
        <v>175.12202568925511</v>
      </c>
      <c r="AV56" s="6">
        <f t="shared" si="6"/>
        <v>176.32490210861661</v>
      </c>
      <c r="AW56" s="6">
        <f t="shared" si="6"/>
        <v>177.5143633388152</v>
      </c>
      <c r="AX56" s="6">
        <f t="shared" si="6"/>
        <v>175.6440767498911</v>
      </c>
      <c r="AY56" s="6">
        <f t="shared" si="6"/>
        <v>173.78266047518341</v>
      </c>
      <c r="AZ56" s="6">
        <f t="shared" si="6"/>
        <v>171.91962939424371</v>
      </c>
      <c r="BA56" s="6">
        <f t="shared" si="6"/>
        <v>170.05468115511479</v>
      </c>
    </row>
    <row r="57" spans="1:53" outlineLevel="1" x14ac:dyDescent="0.35">
      <c r="A57" s="6" t="s">
        <v>36</v>
      </c>
      <c r="B57" s="6">
        <f>'Results - raw data ReCiPe (I)'!BC48</f>
        <v>60.007332536569692</v>
      </c>
      <c r="AB57" s="6" t="s">
        <v>124</v>
      </c>
      <c r="AC57" s="6">
        <f>-$AC$7*$AC$6</f>
        <v>0</v>
      </c>
      <c r="AD57" s="6">
        <f t="shared" ref="AD57:BA57" si="7">-$AC$7*$AC$6</f>
        <v>0</v>
      </c>
      <c r="AE57" s="6">
        <f t="shared" si="7"/>
        <v>0</v>
      </c>
      <c r="AF57" s="6">
        <f t="shared" si="7"/>
        <v>0</v>
      </c>
      <c r="AG57" s="6">
        <f t="shared" si="7"/>
        <v>0</v>
      </c>
      <c r="AH57" s="6">
        <f t="shared" si="7"/>
        <v>0</v>
      </c>
      <c r="AI57" s="6">
        <f t="shared" si="7"/>
        <v>0</v>
      </c>
      <c r="AJ57" s="6">
        <f t="shared" si="7"/>
        <v>0</v>
      </c>
      <c r="AK57" s="6">
        <f t="shared" si="7"/>
        <v>0</v>
      </c>
      <c r="AL57" s="6">
        <f t="shared" si="7"/>
        <v>0</v>
      </c>
      <c r="AM57" s="6">
        <f t="shared" si="7"/>
        <v>0</v>
      </c>
      <c r="AN57" s="6">
        <f t="shared" si="7"/>
        <v>0</v>
      </c>
      <c r="AO57" s="6">
        <f t="shared" si="7"/>
        <v>0</v>
      </c>
      <c r="AP57" s="6">
        <f t="shared" si="7"/>
        <v>0</v>
      </c>
      <c r="AQ57" s="6">
        <f t="shared" si="7"/>
        <v>0</v>
      </c>
      <c r="AR57" s="6">
        <f t="shared" si="7"/>
        <v>0</v>
      </c>
      <c r="AS57" s="6">
        <f t="shared" si="7"/>
        <v>0</v>
      </c>
      <c r="AT57" s="6">
        <f t="shared" si="7"/>
        <v>0</v>
      </c>
      <c r="AU57" s="6">
        <f t="shared" si="7"/>
        <v>0</v>
      </c>
      <c r="AV57" s="6">
        <f t="shared" si="7"/>
        <v>0</v>
      </c>
      <c r="AW57" s="6">
        <f t="shared" si="7"/>
        <v>0</v>
      </c>
      <c r="AX57" s="6">
        <f t="shared" si="7"/>
        <v>0</v>
      </c>
      <c r="AY57" s="6">
        <f t="shared" si="7"/>
        <v>0</v>
      </c>
      <c r="AZ57" s="6">
        <f t="shared" si="7"/>
        <v>0</v>
      </c>
      <c r="BA57" s="6">
        <f t="shared" si="7"/>
        <v>0</v>
      </c>
    </row>
    <row r="58" spans="1:53" outlineLevel="1" x14ac:dyDescent="0.35">
      <c r="A58" s="6" t="s">
        <v>38</v>
      </c>
      <c r="B58" s="6">
        <f>'Results - raw data ReCiPe (I)'!BC49</f>
        <v>665.92266488225209</v>
      </c>
      <c r="AB58" s="23" t="s">
        <v>125</v>
      </c>
      <c r="AC58" s="17">
        <f t="shared" ref="AC58:BA58" si="8">SUM(AC50:AC57)</f>
        <v>5793.8176773317655</v>
      </c>
      <c r="AD58" s="17">
        <f t="shared" si="8"/>
        <v>2565.9608916884708</v>
      </c>
      <c r="AE58" s="17">
        <f t="shared" si="8"/>
        <v>2546.7210819859997</v>
      </c>
      <c r="AF58" s="17">
        <f t="shared" si="8"/>
        <v>2638.6145455596088</v>
      </c>
      <c r="AG58" s="17">
        <f t="shared" si="8"/>
        <v>2503.4731762273791</v>
      </c>
      <c r="AH58" s="17">
        <f t="shared" si="8"/>
        <v>2484.3394290025681</v>
      </c>
      <c r="AI58" s="17">
        <f t="shared" si="8"/>
        <v>2594.6138154242221</v>
      </c>
      <c r="AJ58" s="17">
        <f t="shared" si="8"/>
        <v>2473.3767955518397</v>
      </c>
      <c r="AK58" s="17">
        <f t="shared" si="8"/>
        <v>2463.375347592711</v>
      </c>
      <c r="AL58" s="17">
        <f t="shared" si="8"/>
        <v>2572.8984083249084</v>
      </c>
      <c r="AM58" s="17">
        <f t="shared" si="8"/>
        <v>2451.1425359986715</v>
      </c>
      <c r="AN58" s="17">
        <f t="shared" si="8"/>
        <v>2434.8604400248396</v>
      </c>
      <c r="AO58" s="17">
        <f t="shared" si="8"/>
        <v>2533.3395085428274</v>
      </c>
      <c r="AP58" s="17">
        <f t="shared" si="8"/>
        <v>2400.4180436053225</v>
      </c>
      <c r="AQ58" s="17">
        <f t="shared" si="8"/>
        <v>2383.281232258495</v>
      </c>
      <c r="AR58" s="17">
        <f t="shared" si="8"/>
        <v>2479.9005508051218</v>
      </c>
      <c r="AS58" s="17">
        <f t="shared" si="8"/>
        <v>2380.5114906029848</v>
      </c>
      <c r="AT58" s="17">
        <f t="shared" si="8"/>
        <v>2394.8850252761872</v>
      </c>
      <c r="AU58" s="17">
        <f t="shared" si="8"/>
        <v>2521.1987782509123</v>
      </c>
      <c r="AV58" s="17">
        <f t="shared" si="8"/>
        <v>2421.8205136858128</v>
      </c>
      <c r="AW58" s="17">
        <f t="shared" si="8"/>
        <v>2435.3837784336201</v>
      </c>
      <c r="AX58" s="17">
        <f t="shared" si="8"/>
        <v>2524.6803644228808</v>
      </c>
      <c r="AY58" s="17">
        <f t="shared" si="8"/>
        <v>2388.6481346444316</v>
      </c>
      <c r="AZ58" s="17">
        <f t="shared" si="8"/>
        <v>2365.1947936812767</v>
      </c>
      <c r="BA58" s="17">
        <f t="shared" si="8"/>
        <v>2497.2054431079937</v>
      </c>
    </row>
    <row r="59" spans="1:53" outlineLevel="1" x14ac:dyDescent="0.35">
      <c r="A59" s="6" t="s">
        <v>39</v>
      </c>
      <c r="B59" s="6">
        <f>'Results - raw data ReCiPe (I)'!BC50</f>
        <v>681.17766622519434</v>
      </c>
    </row>
    <row r="60" spans="1:53" outlineLevel="1" x14ac:dyDescent="0.35">
      <c r="A60" s="6" t="s">
        <v>41</v>
      </c>
      <c r="B60" s="6">
        <f>'Results - raw data ReCiPe (I)'!BC51</f>
        <v>53.558479659252633</v>
      </c>
    </row>
    <row r="61" spans="1:53" outlineLevel="1" x14ac:dyDescent="0.35">
      <c r="A61" s="6" t="s">
        <v>43</v>
      </c>
      <c r="B61" s="6">
        <f>'Results - raw data ReCiPe (I)'!BC52</f>
        <v>73.237308146846516</v>
      </c>
      <c r="AB61" s="219"/>
      <c r="AC61" s="219"/>
      <c r="AD61" s="219"/>
      <c r="AE61" s="219"/>
      <c r="AF61" s="219"/>
      <c r="AG61" s="219"/>
      <c r="AH61" s="219"/>
      <c r="AI61" s="219"/>
      <c r="AJ61" s="219"/>
      <c r="AK61" s="219"/>
      <c r="AL61" s="219"/>
      <c r="AM61" s="219"/>
      <c r="AN61" s="219"/>
      <c r="AO61" s="219"/>
      <c r="AP61" s="219"/>
      <c r="AQ61" s="219"/>
      <c r="AR61" s="219"/>
      <c r="AS61" s="219"/>
      <c r="AT61" s="219"/>
      <c r="AU61" s="219"/>
      <c r="AV61" s="219"/>
      <c r="AW61" s="219"/>
      <c r="AX61" s="219"/>
      <c r="AY61" s="219"/>
      <c r="AZ61" s="219"/>
      <c r="BA61" s="219"/>
    </row>
    <row r="62" spans="1:53" outlineLevel="1" x14ac:dyDescent="0.35">
      <c r="A62" s="6" t="s">
        <v>44</v>
      </c>
      <c r="B62" s="6">
        <f>'Results - raw data ReCiPe (I)'!BC53*AC47*AC48</f>
        <v>267.84906066089701</v>
      </c>
      <c r="AB62" s="219"/>
      <c r="AC62" s="219"/>
      <c r="AD62" s="219"/>
      <c r="AE62" s="219"/>
      <c r="AF62" s="219"/>
      <c r="AG62" s="219"/>
      <c r="AH62" s="219"/>
      <c r="AI62" s="219"/>
      <c r="AJ62" s="219"/>
      <c r="AK62" s="219"/>
      <c r="AL62" s="219"/>
      <c r="AM62" s="219"/>
      <c r="AN62" s="219"/>
      <c r="AO62" s="219"/>
      <c r="AP62" s="219"/>
      <c r="AQ62" s="219"/>
      <c r="AR62" s="219"/>
      <c r="AS62" s="219"/>
      <c r="AT62" s="219"/>
      <c r="AU62" s="219"/>
      <c r="AV62" s="219"/>
      <c r="AW62" s="219"/>
      <c r="AX62" s="219"/>
      <c r="AY62" s="219"/>
      <c r="AZ62" s="219"/>
      <c r="BA62" s="219"/>
    </row>
    <row r="63" spans="1:53" outlineLevel="1" x14ac:dyDescent="0.35">
      <c r="A63" s="6" t="s">
        <v>757</v>
      </c>
      <c r="B63" s="6">
        <f>'Results - raw data ReCiPe (I)'!BC54*AC48*AC47</f>
        <v>93.238547141004119</v>
      </c>
      <c r="AB63" s="219"/>
      <c r="AC63" s="219"/>
      <c r="AD63" s="219"/>
      <c r="AE63" s="219"/>
      <c r="AF63" s="219"/>
      <c r="AG63" s="219"/>
      <c r="AH63" s="219"/>
      <c r="AI63" s="219"/>
      <c r="AJ63" s="219"/>
      <c r="AK63" s="219"/>
      <c r="AL63" s="219"/>
      <c r="AM63" s="219"/>
      <c r="AN63" s="219"/>
      <c r="AO63" s="219"/>
      <c r="AP63" s="219"/>
      <c r="AQ63" s="219"/>
      <c r="AR63" s="219"/>
      <c r="AS63" s="219"/>
      <c r="AT63" s="219"/>
      <c r="AU63" s="219"/>
      <c r="AV63" s="219"/>
      <c r="AW63" s="219"/>
      <c r="AX63" s="219"/>
      <c r="AY63" s="219"/>
      <c r="AZ63" s="219"/>
      <c r="BA63" s="219"/>
    </row>
    <row r="64" spans="1:53" outlineLevel="1" x14ac:dyDescent="0.35">
      <c r="A64" s="6" t="s">
        <v>22</v>
      </c>
      <c r="Z64" s="6">
        <f>'Results - raw data ReCiPe (I)'!CA55</f>
        <v>0.32238240937958129</v>
      </c>
      <c r="AB64" s="219"/>
      <c r="AC64" s="219"/>
      <c r="AD64" s="219"/>
      <c r="AE64" s="219"/>
      <c r="AF64" s="219"/>
      <c r="AG64" s="219"/>
      <c r="AH64" s="219"/>
      <c r="AI64" s="219"/>
      <c r="AJ64" s="219"/>
      <c r="AK64" s="219"/>
      <c r="AL64" s="219"/>
      <c r="AM64" s="219"/>
      <c r="AN64" s="219"/>
      <c r="AO64" s="219"/>
      <c r="AP64" s="219"/>
      <c r="AQ64" s="219"/>
      <c r="AR64" s="219"/>
      <c r="AS64" s="219"/>
      <c r="AT64" s="219"/>
      <c r="AU64" s="219"/>
      <c r="AV64" s="219"/>
      <c r="AW64" s="219"/>
      <c r="AX64" s="219"/>
      <c r="AY64" s="219"/>
      <c r="AZ64" s="219"/>
      <c r="BA64" s="219"/>
    </row>
    <row r="65" spans="1:53" outlineLevel="1" x14ac:dyDescent="0.35">
      <c r="A65" s="6" t="s">
        <v>24</v>
      </c>
      <c r="Z65" s="6">
        <f>'Results - raw data ReCiPe (I)'!CA56</f>
        <v>0.35837727434107558</v>
      </c>
      <c r="AB65" s="219"/>
      <c r="AC65" s="219"/>
      <c r="AD65" s="219"/>
      <c r="AE65" s="219"/>
      <c r="AF65" s="219"/>
      <c r="AG65" s="219"/>
      <c r="AH65" s="219"/>
      <c r="AI65" s="219"/>
      <c r="AJ65" s="219"/>
      <c r="AK65" s="219"/>
      <c r="AL65" s="219"/>
      <c r="AM65" s="219"/>
      <c r="AN65" s="219"/>
      <c r="AO65" s="219"/>
      <c r="AP65" s="219"/>
      <c r="AQ65" s="219"/>
      <c r="AR65" s="219"/>
      <c r="AS65" s="219"/>
      <c r="AT65" s="219"/>
      <c r="AU65" s="219"/>
      <c r="AV65" s="219"/>
      <c r="AW65" s="219"/>
      <c r="AX65" s="219"/>
      <c r="AY65" s="219"/>
      <c r="AZ65" s="219"/>
      <c r="BA65" s="219"/>
    </row>
    <row r="66" spans="1:53" outlineLevel="1" x14ac:dyDescent="0.35">
      <c r="A66" s="6" t="s">
        <v>25</v>
      </c>
      <c r="Z66" s="6">
        <f>'Results - raw data ReCiPe (I)'!CA57</f>
        <v>1.6318222409314349</v>
      </c>
      <c r="AB66" s="219"/>
      <c r="AC66" s="219"/>
      <c r="AD66" s="219"/>
      <c r="AE66" s="219"/>
      <c r="AF66" s="219"/>
      <c r="AG66" s="219"/>
      <c r="AH66" s="219"/>
      <c r="AI66" s="219"/>
      <c r="AJ66" s="219"/>
      <c r="AK66" s="219"/>
      <c r="AL66" s="219"/>
      <c r="AM66" s="219"/>
      <c r="AN66" s="219"/>
      <c r="AO66" s="219"/>
      <c r="AP66" s="219"/>
      <c r="AQ66" s="219"/>
      <c r="AR66" s="219"/>
      <c r="AS66" s="219"/>
      <c r="AT66" s="219"/>
      <c r="AU66" s="219"/>
      <c r="AV66" s="219"/>
      <c r="AW66" s="219"/>
      <c r="AX66" s="219"/>
      <c r="AY66" s="219"/>
      <c r="AZ66" s="219"/>
      <c r="BA66" s="219"/>
    </row>
    <row r="67" spans="1:53" outlineLevel="1" x14ac:dyDescent="0.35">
      <c r="A67" s="6" t="s">
        <v>27</v>
      </c>
      <c r="Z67" s="6">
        <f>'Results - raw data ReCiPe (I)'!CA58</f>
        <v>0.99741271479110116</v>
      </c>
      <c r="AB67" s="219"/>
      <c r="AC67" s="219"/>
      <c r="AD67" s="219"/>
      <c r="AE67" s="219"/>
      <c r="AF67" s="219"/>
      <c r="AG67" s="219"/>
      <c r="AH67" s="219"/>
      <c r="AI67" s="219"/>
      <c r="AJ67" s="219"/>
      <c r="AK67" s="219"/>
      <c r="AL67" s="219"/>
      <c r="AM67" s="219"/>
      <c r="AN67" s="219"/>
      <c r="AO67" s="219"/>
      <c r="AP67" s="219"/>
      <c r="AQ67" s="219"/>
      <c r="AR67" s="219"/>
      <c r="AS67" s="219"/>
      <c r="AT67" s="219"/>
      <c r="AU67" s="219"/>
      <c r="AV67" s="219"/>
      <c r="AW67" s="219"/>
      <c r="AX67" s="219"/>
      <c r="AY67" s="219"/>
      <c r="AZ67" s="219"/>
      <c r="BA67" s="219"/>
    </row>
    <row r="68" spans="1:53" outlineLevel="1" x14ac:dyDescent="0.35">
      <c r="A68" s="6" t="s">
        <v>30</v>
      </c>
      <c r="Z68" s="6">
        <f>'Results - raw data ReCiPe (I)'!CA59</f>
        <v>0.3955535997984968</v>
      </c>
      <c r="AB68" s="219"/>
      <c r="AC68" s="219"/>
      <c r="AD68" s="219"/>
      <c r="AE68" s="219"/>
      <c r="AF68" s="219"/>
      <c r="AG68" s="219"/>
      <c r="AH68" s="219"/>
      <c r="AI68" s="219"/>
      <c r="AJ68" s="219"/>
      <c r="AK68" s="219"/>
      <c r="AL68" s="219"/>
      <c r="AM68" s="219"/>
      <c r="AN68" s="219"/>
      <c r="AO68" s="219"/>
      <c r="AP68" s="219"/>
      <c r="AQ68" s="219"/>
      <c r="AR68" s="219"/>
      <c r="AS68" s="219"/>
      <c r="AT68" s="219"/>
      <c r="AU68" s="219"/>
      <c r="AV68" s="219"/>
      <c r="AW68" s="219"/>
      <c r="AX68" s="219"/>
      <c r="AY68" s="219"/>
      <c r="AZ68" s="219"/>
      <c r="BA68" s="219"/>
    </row>
    <row r="69" spans="1:53" outlineLevel="1" x14ac:dyDescent="0.35">
      <c r="A69" s="6" t="s">
        <v>32</v>
      </c>
      <c r="Z69" s="6">
        <f>'Results - raw data ReCiPe (I)'!CA60</f>
        <v>0.17717501669208749</v>
      </c>
      <c r="AB69" s="219"/>
      <c r="AC69" s="219"/>
      <c r="AD69" s="219"/>
      <c r="AE69" s="219"/>
      <c r="AF69" s="219"/>
      <c r="AG69" s="219"/>
      <c r="AH69" s="219"/>
      <c r="AI69" s="219"/>
      <c r="AJ69" s="219"/>
      <c r="AK69" s="219"/>
      <c r="AL69" s="219"/>
      <c r="AM69" s="219"/>
      <c r="AN69" s="219"/>
      <c r="AO69" s="219"/>
      <c r="AP69" s="219"/>
      <c r="AQ69" s="219"/>
      <c r="AR69" s="219"/>
      <c r="AS69" s="219"/>
      <c r="AT69" s="219"/>
      <c r="AU69" s="219"/>
      <c r="AV69" s="219"/>
      <c r="AW69" s="219"/>
      <c r="AX69" s="219"/>
      <c r="AY69" s="219"/>
      <c r="AZ69" s="219"/>
      <c r="BA69" s="219"/>
    </row>
    <row r="70" spans="1:53" outlineLevel="1" x14ac:dyDescent="0.35">
      <c r="A70" s="6" t="s">
        <v>33</v>
      </c>
      <c r="Z70" s="6">
        <f>'Results - raw data ReCiPe (I)'!CA61</f>
        <v>0.10220414506967419</v>
      </c>
      <c r="AB70" s="219"/>
      <c r="AC70" s="219"/>
      <c r="AD70" s="219"/>
      <c r="AE70" s="219"/>
      <c r="AF70" s="219"/>
      <c r="AG70" s="219"/>
      <c r="AH70" s="219"/>
      <c r="AI70" s="219"/>
      <c r="AJ70" s="219"/>
      <c r="AK70" s="219"/>
      <c r="AL70" s="219"/>
      <c r="AM70" s="219"/>
      <c r="AN70" s="219"/>
      <c r="AO70" s="219"/>
      <c r="AP70" s="219"/>
      <c r="AQ70" s="219"/>
      <c r="AR70" s="219"/>
      <c r="AS70" s="219"/>
      <c r="AT70" s="219"/>
      <c r="AU70" s="219"/>
      <c r="AV70" s="219"/>
      <c r="AW70" s="219"/>
      <c r="AX70" s="219"/>
      <c r="AY70" s="219"/>
      <c r="AZ70" s="219"/>
      <c r="BA70" s="219"/>
    </row>
    <row r="71" spans="1:53" outlineLevel="1" x14ac:dyDescent="0.35">
      <c r="A71" s="6" t="s">
        <v>35</v>
      </c>
      <c r="Z71" s="6">
        <f>'Results - raw data ReCiPe (I)'!CA62</f>
        <v>0.20440829013934839</v>
      </c>
      <c r="AB71" s="219"/>
      <c r="AC71" s="219"/>
      <c r="AD71" s="219"/>
      <c r="AE71" s="219"/>
      <c r="AF71" s="219"/>
      <c r="AG71" s="219"/>
      <c r="AH71" s="219"/>
      <c r="AI71" s="219"/>
      <c r="AJ71" s="219"/>
      <c r="AK71" s="219"/>
      <c r="AL71" s="219"/>
      <c r="AM71" s="219"/>
      <c r="AN71" s="219"/>
      <c r="AO71" s="219"/>
      <c r="AP71" s="219"/>
      <c r="AQ71" s="219"/>
      <c r="AR71" s="219"/>
      <c r="AS71" s="219"/>
      <c r="AT71" s="219"/>
      <c r="AU71" s="219"/>
      <c r="AV71" s="219"/>
      <c r="AW71" s="219"/>
      <c r="AX71" s="219"/>
      <c r="AY71" s="219"/>
      <c r="AZ71" s="219"/>
      <c r="BA71" s="219"/>
    </row>
    <row r="72" spans="1:53" outlineLevel="1" x14ac:dyDescent="0.35">
      <c r="A72" s="6" t="s">
        <v>37</v>
      </c>
      <c r="Z72" s="6">
        <f>'Results - raw data ReCiPe (I)'!CA63</f>
        <v>3.022842925402534</v>
      </c>
      <c r="AB72" s="219"/>
      <c r="AC72" s="219"/>
      <c r="AD72" s="219"/>
      <c r="AE72" s="219"/>
      <c r="AF72" s="219"/>
      <c r="AG72" s="219"/>
      <c r="AH72" s="219"/>
      <c r="AI72" s="219"/>
      <c r="AJ72" s="219"/>
      <c r="AK72" s="219"/>
      <c r="AL72" s="219"/>
      <c r="AM72" s="219"/>
      <c r="AN72" s="219"/>
      <c r="AO72" s="219"/>
      <c r="AP72" s="219"/>
      <c r="AQ72" s="219"/>
      <c r="AR72" s="219"/>
      <c r="AS72" s="219"/>
      <c r="AT72" s="219"/>
      <c r="AU72" s="219"/>
      <c r="AV72" s="219"/>
      <c r="AW72" s="219"/>
      <c r="AX72" s="219"/>
      <c r="AY72" s="219"/>
      <c r="AZ72" s="219"/>
      <c r="BA72" s="219"/>
    </row>
    <row r="73" spans="1:53" outlineLevel="1" x14ac:dyDescent="0.35">
      <c r="A73" s="6" t="s">
        <v>40</v>
      </c>
      <c r="Z73" s="6">
        <f>'Results - raw data ReCiPe (I)'!CA64</f>
        <v>1.4016389183975979</v>
      </c>
      <c r="AB73" s="219"/>
      <c r="AC73" s="219"/>
      <c r="AD73" s="219"/>
      <c r="AE73" s="219"/>
      <c r="AF73" s="219"/>
      <c r="AG73" s="219"/>
      <c r="AH73" s="219"/>
      <c r="AI73" s="219"/>
      <c r="AJ73" s="219"/>
      <c r="AK73" s="219"/>
      <c r="AL73" s="219"/>
      <c r="AM73" s="219"/>
      <c r="AN73" s="219"/>
      <c r="AO73" s="219"/>
      <c r="AP73" s="219"/>
      <c r="AQ73" s="219"/>
      <c r="AR73" s="219"/>
      <c r="AS73" s="219"/>
      <c r="AT73" s="219"/>
      <c r="AU73" s="219"/>
      <c r="AV73" s="219"/>
      <c r="AW73" s="219"/>
      <c r="AX73" s="219"/>
      <c r="AY73" s="219"/>
      <c r="AZ73" s="219"/>
      <c r="BA73" s="219"/>
    </row>
    <row r="74" spans="1:53" outlineLevel="1" x14ac:dyDescent="0.35">
      <c r="A74" s="6" t="s">
        <v>42</v>
      </c>
      <c r="Z74" s="6">
        <f>'Results - raw data ReCiPe (I)'!CA65</f>
        <v>3.7438994184695842</v>
      </c>
    </row>
    <row r="75" spans="1:53" outlineLevel="1" x14ac:dyDescent="0.35">
      <c r="A75" s="6" t="s">
        <v>115</v>
      </c>
      <c r="Z75" s="6">
        <f>'Results - raw data ReCiPe (I)'!CA66</f>
        <v>29.462326130882719</v>
      </c>
    </row>
    <row r="76" spans="1:53" outlineLevel="1" x14ac:dyDescent="0.35">
      <c r="A76" s="6" t="s">
        <v>45</v>
      </c>
      <c r="Z76" s="6">
        <f>'Results - raw data ReCiPe (I)'!CA67*AC47*AC48</f>
        <v>1.2962600802775475</v>
      </c>
    </row>
    <row r="77" spans="1:53" outlineLevel="1" x14ac:dyDescent="0.35">
      <c r="A77" s="6" t="s">
        <v>116</v>
      </c>
      <c r="B77" s="6">
        <f>'Results - raw data ReCiPe (I)'!BC68</f>
        <v>117.2508960880117</v>
      </c>
      <c r="C77" s="6">
        <f>'Results - raw data ReCiPe (I)'!BD68</f>
        <v>117.05842109886321</v>
      </c>
      <c r="D77" s="6">
        <f>'Results - raw data ReCiPe (I)'!BE68</f>
        <v>116.8636437618317</v>
      </c>
      <c r="E77" s="6">
        <f>'Results - raw data ReCiPe (I)'!BF68</f>
        <v>115.97999477629099</v>
      </c>
      <c r="F77" s="6">
        <f>'Results - raw data ReCiPe (I)'!BG68</f>
        <v>115.7831833870675</v>
      </c>
      <c r="G77" s="6">
        <f>'Results - raw data ReCiPe (I)'!BH68</f>
        <v>115.58385485205029</v>
      </c>
      <c r="H77" s="6">
        <f>'Results - raw data ReCiPe (I)'!BI68</f>
        <v>115.68776613125171</v>
      </c>
      <c r="I77" s="6">
        <f>'Results - raw data ReCiPe (I)'!BJ68</f>
        <v>115.7914768762525</v>
      </c>
      <c r="J77" s="6">
        <f>'Results - raw data ReCiPe (I)'!BK68</f>
        <v>115.429473571918</v>
      </c>
      <c r="K77" s="6">
        <f>'Results - raw data ReCiPe (I)'!BL68</f>
        <v>115.5360727733087</v>
      </c>
      <c r="L77" s="6">
        <f>'Results - raw data ReCiPe (I)'!BM68</f>
        <v>115.6408906112827</v>
      </c>
      <c r="M77" s="6">
        <f>'Results - raw data ReCiPe (I)'!BN68</f>
        <v>115.3455752054013</v>
      </c>
      <c r="N77" s="6">
        <f>'Results - raw data ReCiPe (I)'!BO68</f>
        <v>115.051358787382</v>
      </c>
      <c r="O77" s="6">
        <f>'Results - raw data ReCiPe (I)'!BP68</f>
        <v>114.61897450534229</v>
      </c>
      <c r="P77" s="6">
        <f>'Results - raw data ReCiPe (I)'!BQ68</f>
        <v>114.3294075695038</v>
      </c>
      <c r="Q77" s="6">
        <f>'Results - raw data ReCiPe (I)'!BR68</f>
        <v>114.04079735172429</v>
      </c>
      <c r="R77" s="6">
        <f>'Results - raw data ReCiPe (I)'!BS68</f>
        <v>113.80650405097479</v>
      </c>
      <c r="S77" s="6">
        <f>'Results - raw data ReCiPe (I)'!BT68</f>
        <v>113.5726812825028</v>
      </c>
      <c r="T77" s="6">
        <f>'Results - raw data ReCiPe (I)'!BU68</f>
        <v>113.2082579102948</v>
      </c>
      <c r="U77" s="6">
        <f>'Results - raw data ReCiPe (I)'!BV68</f>
        <v>112.9774404236322</v>
      </c>
      <c r="V77" s="6">
        <f>'Results - raw data ReCiPe (I)'!BW68</f>
        <v>112.74702549637411</v>
      </c>
      <c r="W77" s="6">
        <f>'Results - raw data ReCiPe (I)'!BX68</f>
        <v>112.6698309452093</v>
      </c>
      <c r="X77" s="6">
        <f>'Results - raw data ReCiPe (I)'!BY68</f>
        <v>112.5934051175214</v>
      </c>
      <c r="Y77" s="6">
        <f>'Results - raw data ReCiPe (I)'!BZ68</f>
        <v>112.5175442583955</v>
      </c>
      <c r="Z77" s="6">
        <f>'Results - raw data ReCiPe (I)'!CA68</f>
        <v>112.4422249103109</v>
      </c>
    </row>
    <row r="78" spans="1:53" outlineLevel="1" x14ac:dyDescent="0.35">
      <c r="A78" s="6" t="s">
        <v>758</v>
      </c>
      <c r="B78" s="6">
        <f>'Results - raw data ReCiPe (I)'!BC69*$AC$47</f>
        <v>189.95365198935059</v>
      </c>
      <c r="C78" s="6">
        <f>'Results - raw data ReCiPe (I)'!BD69*$AC$47</f>
        <v>188.19494287198691</v>
      </c>
      <c r="D78" s="6">
        <f>'Results - raw data ReCiPe (I)'!BE69*$AC$47</f>
        <v>186.44260066353669</v>
      </c>
      <c r="E78" s="6">
        <f>'Results - raw data ReCiPe (I)'!BF69*$AC$47</f>
        <v>184.2978933509371</v>
      </c>
      <c r="F78" s="6">
        <f>'Results - raw data ReCiPe (I)'!BG69*$AC$47</f>
        <v>182.5600392896562</v>
      </c>
      <c r="G78" s="6">
        <f>'Results - raw data ReCiPe (I)'!BH69*$AC$47</f>
        <v>180.8281778211298</v>
      </c>
      <c r="H78" s="6">
        <f>'Results - raw data ReCiPe (I)'!BI69*$AC$47</f>
        <v>180.28554710780492</v>
      </c>
      <c r="I78" s="6">
        <f>'Results - raw data ReCiPe (I)'!BJ69*$AC$47</f>
        <v>179.73401544872561</v>
      </c>
      <c r="J78" s="6">
        <f>'Results - raw data ReCiPe (I)'!BK69*$AC$47</f>
        <v>178.83169177435428</v>
      </c>
      <c r="K78" s="6">
        <f>'Results - raw data ReCiPe (I)'!BL69*$AC$47</f>
        <v>178.24948779215859</v>
      </c>
      <c r="L78" s="6">
        <f>'Results - raw data ReCiPe (I)'!BM69*$AC$47</f>
        <v>177.6533101314715</v>
      </c>
      <c r="M78" s="6">
        <f>'Results - raw data ReCiPe (I)'!BN69*$AC$47</f>
        <v>176.47977086474322</v>
      </c>
      <c r="N78" s="6">
        <f>'Results - raw data ReCiPe (I)'!BO69*$AC$47</f>
        <v>175.28679841680329</v>
      </c>
      <c r="O78" s="6">
        <f>'Results - raw data ReCiPe (I)'!BP69*$AC$47</f>
        <v>173.9928575036916</v>
      </c>
      <c r="P78" s="6">
        <f>'Results - raw data ReCiPe (I)'!BQ69*$AC$47</f>
        <v>172.76223616991192</v>
      </c>
      <c r="Q78" s="6">
        <f>'Results - raw data ReCiPe (I)'!BR69*$AC$47</f>
        <v>171.512456333968</v>
      </c>
      <c r="R78" s="6">
        <f>'Results - raw data ReCiPe (I)'!BS69*$AC$47</f>
        <v>172.75597036638891</v>
      </c>
      <c r="S78" s="6">
        <f>'Results - raw data ReCiPe (I)'!BT69*$AC$47</f>
        <v>173.98577947093</v>
      </c>
      <c r="T78" s="6">
        <f>'Results - raw data ReCiPe (I)'!BU69*$AC$47</f>
        <v>175.12202568925511</v>
      </c>
      <c r="U78" s="6">
        <f>'Results - raw data ReCiPe (I)'!BV69*$AC$47</f>
        <v>176.32490210861661</v>
      </c>
      <c r="V78" s="6">
        <f>'Results - raw data ReCiPe (I)'!BW69*$AC$47</f>
        <v>177.5143633388152</v>
      </c>
      <c r="W78" s="6">
        <f>'Results - raw data ReCiPe (I)'!BX69*$AC$47</f>
        <v>175.6440767498911</v>
      </c>
      <c r="X78" s="6">
        <f>'Results - raw data ReCiPe (I)'!BY69*$AC$47</f>
        <v>173.78266047518341</v>
      </c>
      <c r="Y78" s="6">
        <f>'Results - raw data ReCiPe (I)'!BZ69*$AC$47</f>
        <v>171.91962939424371</v>
      </c>
      <c r="Z78" s="6">
        <f>'Results - raw data ReCiPe (I)'!CA69*$AC$47</f>
        <v>170.05468115511479</v>
      </c>
    </row>
    <row r="79" spans="1:53" outlineLevel="1" x14ac:dyDescent="0.35">
      <c r="A79" s="6" t="s">
        <v>759</v>
      </c>
      <c r="B79" s="6">
        <f>'Results - raw data ReCiPe (I)'!BC70</f>
        <v>0</v>
      </c>
      <c r="C79" s="6">
        <f>'Results - raw data ReCiPe (I)'!BD70</f>
        <v>0</v>
      </c>
      <c r="D79" s="6">
        <f>'Results - raw data ReCiPe (I)'!BE70</f>
        <v>0</v>
      </c>
      <c r="E79" s="6">
        <f>'Results - raw data ReCiPe (I)'!BF70</f>
        <v>0</v>
      </c>
      <c r="F79" s="6">
        <f>'Results - raw data ReCiPe (I)'!BG70</f>
        <v>0</v>
      </c>
      <c r="G79" s="6">
        <f>'Results - raw data ReCiPe (I)'!BH70</f>
        <v>0</v>
      </c>
      <c r="H79" s="6">
        <f>'Results - raw data ReCiPe (I)'!BI70</f>
        <v>0</v>
      </c>
      <c r="I79" s="6">
        <f>'Results - raw data ReCiPe (I)'!BJ70</f>
        <v>0</v>
      </c>
      <c r="J79" s="6">
        <f>'Results - raw data ReCiPe (I)'!BK70</f>
        <v>0</v>
      </c>
      <c r="K79" s="6">
        <f>'Results - raw data ReCiPe (I)'!BL70</f>
        <v>0</v>
      </c>
      <c r="L79" s="6">
        <f>'Results - raw data ReCiPe (I)'!BM70</f>
        <v>0</v>
      </c>
      <c r="M79" s="6">
        <f>'Results - raw data ReCiPe (I)'!BN70</f>
        <v>0</v>
      </c>
      <c r="N79" s="6">
        <f>'Results - raw data ReCiPe (I)'!BO70</f>
        <v>0</v>
      </c>
      <c r="O79" s="6">
        <f>'Results - raw data ReCiPe (I)'!BP70</f>
        <v>0</v>
      </c>
      <c r="P79" s="6">
        <f>'Results - raw data ReCiPe (I)'!BQ70</f>
        <v>0</v>
      </c>
      <c r="Q79" s="6">
        <f>'Results - raw data ReCiPe (I)'!BR70</f>
        <v>0</v>
      </c>
      <c r="R79" s="6">
        <f>'Results - raw data ReCiPe (I)'!BS70</f>
        <v>0</v>
      </c>
      <c r="S79" s="6">
        <f>'Results - raw data ReCiPe (I)'!BT70</f>
        <v>0</v>
      </c>
      <c r="T79" s="6">
        <f>'Results - raw data ReCiPe (I)'!BU70</f>
        <v>0</v>
      </c>
      <c r="U79" s="6">
        <f>'Results - raw data ReCiPe (I)'!BV70</f>
        <v>0</v>
      </c>
      <c r="V79" s="6">
        <f>'Results - raw data ReCiPe (I)'!BW70</f>
        <v>0</v>
      </c>
      <c r="W79" s="6">
        <f>'Results - raw data ReCiPe (I)'!BX70</f>
        <v>0</v>
      </c>
      <c r="X79" s="6">
        <f>'Results - raw data ReCiPe (I)'!BY70</f>
        <v>0</v>
      </c>
      <c r="Y79" s="6">
        <f>'Results - raw data ReCiPe (I)'!BZ70</f>
        <v>0</v>
      </c>
      <c r="Z79" s="6">
        <f>'Results - raw data ReCiPe (I)'!CA70</f>
        <v>0</v>
      </c>
    </row>
    <row r="80" spans="1:53" outlineLevel="1" x14ac:dyDescent="0.35">
      <c r="A80" s="6" t="s">
        <v>760</v>
      </c>
      <c r="B80" s="6">
        <f>'Results - raw data ReCiPe (I)'!BC71</f>
        <v>2395.2784371450261</v>
      </c>
      <c r="C80" s="6">
        <f>'Results - raw data ReCiPe (I)'!BD71</f>
        <v>2377.7659488164841</v>
      </c>
      <c r="D80" s="6">
        <f>'Results - raw data ReCiPe (I)'!BE71</f>
        <v>2360.278481322463</v>
      </c>
      <c r="E80" s="6">
        <f>'Results - raw data ReCiPe (I)'!BF71</f>
        <v>2338.3366574323809</v>
      </c>
      <c r="F80" s="6">
        <f>'Results - raw data ReCiPe (I)'!BG71</f>
        <v>2320.9131369377228</v>
      </c>
      <c r="G80" s="6">
        <f>'Results - raw data ReCiPe (I)'!BH71</f>
        <v>2303.5112511814382</v>
      </c>
      <c r="H80" s="6">
        <f>'Results - raw data ReCiPe (I)'!BI71</f>
        <v>2298.6405021851651</v>
      </c>
      <c r="I80" s="6">
        <f>'Results - raw data ReCiPe (I)'!BJ71</f>
        <v>2293.6427801031141</v>
      </c>
      <c r="J80" s="6">
        <f>'Results - raw data ReCiPe (I)'!BK71</f>
        <v>2284.5436558183569</v>
      </c>
      <c r="K80" s="6">
        <f>'Results - raw data ReCiPe (I)'!BL71</f>
        <v>2279.1128477594411</v>
      </c>
      <c r="L80" s="6">
        <f>'Results - raw data ReCiPe (I)'!BM71</f>
        <v>2273.4892258671998</v>
      </c>
      <c r="M80" s="6">
        <f>'Results - raw data ReCiPe (I)'!BN71</f>
        <v>2258.3806691600962</v>
      </c>
      <c r="N80" s="6">
        <f>'Results - raw data ReCiPe (I)'!BO71</f>
        <v>2243.0013513386421</v>
      </c>
      <c r="O80" s="6">
        <f>'Results - raw data ReCiPe (I)'!BP71</f>
        <v>2226.425186101631</v>
      </c>
      <c r="P80" s="6">
        <f>'Results - raw data ReCiPe (I)'!BQ71</f>
        <v>2210.5189960885832</v>
      </c>
      <c r="Q80" s="6">
        <f>'Results - raw data ReCiPe (I)'!BR71</f>
        <v>2194.3472971194292</v>
      </c>
      <c r="R80" s="6">
        <f>'Results - raw data ReCiPe (I)'!BS71</f>
        <v>2207.7555202365961</v>
      </c>
      <c r="S80" s="6">
        <f>'Results - raw data ReCiPe (I)'!BT71</f>
        <v>2220.8992458052571</v>
      </c>
      <c r="T80" s="6">
        <f>'Results - raw data ReCiPe (I)'!BU71</f>
        <v>2232.8684946513622</v>
      </c>
      <c r="U80" s="6">
        <f>'Results - raw data ReCiPe (I)'!BV71</f>
        <v>2245.4956115771961</v>
      </c>
      <c r="V80" s="6">
        <f>'Results - raw data ReCiPe (I)'!BW71</f>
        <v>2257.8694150948049</v>
      </c>
      <c r="W80" s="6">
        <f>'Results - raw data ReCiPe (I)'!BX71</f>
        <v>2236.3664567277801</v>
      </c>
      <c r="X80" s="6">
        <f>'Results - raw data ReCiPe (I)'!BY71</f>
        <v>2214.865474169248</v>
      </c>
      <c r="Y80" s="6">
        <f>'Results - raw data ReCiPe (I)'!BZ71</f>
        <v>2193.275164287033</v>
      </c>
      <c r="Z80" s="6">
        <f>'Results - raw data ReCiPe (I)'!CA71</f>
        <v>2171.5922338779951</v>
      </c>
    </row>
    <row r="81" spans="1:53" outlineLevel="1" x14ac:dyDescent="0.35">
      <c r="A81" s="23" t="s">
        <v>125</v>
      </c>
      <c r="B81" s="17">
        <f t="shared" ref="B81:Z81" si="9">SUM(B50:B80)</f>
        <v>5793.8176773317655</v>
      </c>
      <c r="C81" s="17">
        <f t="shared" si="9"/>
        <v>2683.019312787334</v>
      </c>
      <c r="D81" s="17">
        <f t="shared" si="9"/>
        <v>2663.5847257478313</v>
      </c>
      <c r="E81" s="17">
        <f t="shared" si="9"/>
        <v>2638.6145455596088</v>
      </c>
      <c r="F81" s="17">
        <f t="shared" si="9"/>
        <v>2619.2563596144464</v>
      </c>
      <c r="G81" s="17">
        <f t="shared" si="9"/>
        <v>2599.9232838546181</v>
      </c>
      <c r="H81" s="17">
        <f t="shared" si="9"/>
        <v>2594.6138154242217</v>
      </c>
      <c r="I81" s="17">
        <f t="shared" si="9"/>
        <v>2589.1682724280922</v>
      </c>
      <c r="J81" s="17">
        <f t="shared" si="9"/>
        <v>2578.8048211646292</v>
      </c>
      <c r="K81" s="17">
        <f t="shared" si="9"/>
        <v>2572.8984083249084</v>
      </c>
      <c r="L81" s="17">
        <f t="shared" si="9"/>
        <v>2566.7834266099539</v>
      </c>
      <c r="M81" s="17">
        <f t="shared" si="9"/>
        <v>2550.2060152302406</v>
      </c>
      <c r="N81" s="17">
        <f t="shared" si="9"/>
        <v>2533.3395085428274</v>
      </c>
      <c r="O81" s="17">
        <f t="shared" si="9"/>
        <v>2515.037018110665</v>
      </c>
      <c r="P81" s="17">
        <f t="shared" si="9"/>
        <v>2497.610639827999</v>
      </c>
      <c r="Q81" s="17">
        <f t="shared" si="9"/>
        <v>2479.9005508051214</v>
      </c>
      <c r="R81" s="17">
        <f t="shared" si="9"/>
        <v>2494.3179946539599</v>
      </c>
      <c r="S81" s="17">
        <f t="shared" si="9"/>
        <v>2508.45770655869</v>
      </c>
      <c r="T81" s="17">
        <f t="shared" si="9"/>
        <v>2521.1987782509123</v>
      </c>
      <c r="U81" s="17">
        <f t="shared" si="9"/>
        <v>2534.7979541094451</v>
      </c>
      <c r="V81" s="17">
        <f t="shared" si="9"/>
        <v>2548.1308039299943</v>
      </c>
      <c r="W81" s="17">
        <f t="shared" si="9"/>
        <v>2524.6803644228803</v>
      </c>
      <c r="X81" s="17">
        <f t="shared" si="9"/>
        <v>2501.2415397619529</v>
      </c>
      <c r="Y81" s="17">
        <f t="shared" si="9"/>
        <v>2477.7123379396721</v>
      </c>
      <c r="Z81" s="17">
        <f t="shared" si="9"/>
        <v>2497.2054431079937</v>
      </c>
    </row>
    <row r="82" spans="1:53" outlineLevel="1" x14ac:dyDescent="0.35"/>
    <row r="83" spans="1:53" s="18" customFormat="1" ht="21" x14ac:dyDescent="0.5">
      <c r="A83" s="18" t="s">
        <v>94</v>
      </c>
    </row>
    <row r="84" spans="1:53" s="20" customFormat="1" outlineLevel="1" x14ac:dyDescent="0.35">
      <c r="A84" s="19" t="s">
        <v>767</v>
      </c>
    </row>
    <row r="85" spans="1:53" s="16" customFormat="1" outlineLevel="1" x14ac:dyDescent="0.35">
      <c r="A85" s="21"/>
      <c r="AE85" s="15" t="s">
        <v>714</v>
      </c>
    </row>
    <row r="86" spans="1:53" s="16" customFormat="1" outlineLevel="1" x14ac:dyDescent="0.35">
      <c r="A86" s="22" t="s">
        <v>761</v>
      </c>
    </row>
    <row r="87" spans="1:53" s="16" customFormat="1" outlineLevel="1" x14ac:dyDescent="0.35">
      <c r="A87" s="22"/>
      <c r="AB87" s="16" t="s">
        <v>127</v>
      </c>
      <c r="AC87" s="16">
        <v>100</v>
      </c>
      <c r="AD87" s="16" t="s">
        <v>128</v>
      </c>
    </row>
    <row r="88" spans="1:53" s="16" customFormat="1" outlineLevel="1" x14ac:dyDescent="0.35">
      <c r="A88" s="22"/>
      <c r="AB88" s="16" t="s">
        <v>129</v>
      </c>
      <c r="AC88" s="16">
        <v>25</v>
      </c>
      <c r="AD88" s="16" t="s">
        <v>130</v>
      </c>
    </row>
    <row r="89" spans="1:53" outlineLevel="1" x14ac:dyDescent="0.35">
      <c r="B89" s="25">
        <v>2030</v>
      </c>
      <c r="C89" s="25">
        <v>2031</v>
      </c>
      <c r="D89" s="25">
        <v>2032</v>
      </c>
      <c r="E89" s="25">
        <v>2033</v>
      </c>
      <c r="F89" s="25">
        <v>2034</v>
      </c>
      <c r="G89" s="25">
        <v>2035</v>
      </c>
      <c r="H89" s="25">
        <v>2036</v>
      </c>
      <c r="I89" s="25">
        <v>2037</v>
      </c>
      <c r="J89" s="25">
        <v>2038</v>
      </c>
      <c r="K89" s="25">
        <v>2039</v>
      </c>
      <c r="L89" s="25">
        <v>2040</v>
      </c>
      <c r="M89" s="25">
        <v>2041</v>
      </c>
      <c r="N89" s="25">
        <v>2042</v>
      </c>
      <c r="O89" s="25">
        <v>2043</v>
      </c>
      <c r="P89" s="25">
        <v>2044</v>
      </c>
      <c r="Q89" s="25">
        <v>2045</v>
      </c>
      <c r="R89" s="25">
        <v>2046</v>
      </c>
      <c r="S89" s="25">
        <v>2047</v>
      </c>
      <c r="T89" s="25">
        <v>2048</v>
      </c>
      <c r="U89" s="25">
        <v>2049</v>
      </c>
      <c r="V89" s="25">
        <v>2050</v>
      </c>
      <c r="W89" s="25">
        <v>2051</v>
      </c>
      <c r="X89" s="25">
        <v>2052</v>
      </c>
      <c r="Y89" s="25">
        <v>2053</v>
      </c>
      <c r="Z89" s="25">
        <v>2054</v>
      </c>
      <c r="AC89" s="25">
        <v>2030</v>
      </c>
      <c r="AD89" s="25">
        <v>2031</v>
      </c>
      <c r="AE89" s="25">
        <v>2032</v>
      </c>
      <c r="AF89" s="25">
        <v>2033</v>
      </c>
      <c r="AG89" s="25">
        <v>2034</v>
      </c>
      <c r="AH89" s="25">
        <v>2035</v>
      </c>
      <c r="AI89" s="25">
        <v>2036</v>
      </c>
      <c r="AJ89" s="25">
        <v>2037</v>
      </c>
      <c r="AK89" s="25">
        <v>2038</v>
      </c>
      <c r="AL89" s="25">
        <v>2039</v>
      </c>
      <c r="AM89" s="25">
        <v>2040</v>
      </c>
      <c r="AN89" s="25">
        <v>2041</v>
      </c>
      <c r="AO89" s="25">
        <v>2042</v>
      </c>
      <c r="AP89" s="25">
        <v>2043</v>
      </c>
      <c r="AQ89" s="25">
        <v>2044</v>
      </c>
      <c r="AR89" s="25">
        <v>2045</v>
      </c>
      <c r="AS89" s="25">
        <v>2046</v>
      </c>
      <c r="AT89" s="25">
        <v>2047</v>
      </c>
      <c r="AU89" s="25">
        <v>2048</v>
      </c>
      <c r="AV89" s="25">
        <v>2049</v>
      </c>
      <c r="AW89" s="25">
        <v>2050</v>
      </c>
      <c r="AX89" s="25">
        <v>2051</v>
      </c>
      <c r="AY89" s="25">
        <v>2052</v>
      </c>
      <c r="AZ89" s="25">
        <v>2053</v>
      </c>
      <c r="BA89" s="25">
        <v>2054</v>
      </c>
    </row>
    <row r="90" spans="1:53" outlineLevel="1" x14ac:dyDescent="0.35">
      <c r="A90" s="6" t="s">
        <v>21</v>
      </c>
      <c r="B90" s="6">
        <f>'Results - raw data ReCiPe (I)'!BC77</f>
        <v>72.255576601305791</v>
      </c>
      <c r="AB90" s="6" t="s">
        <v>117</v>
      </c>
      <c r="AC90" s="6">
        <f>SUM(B90:B101)+B103</f>
        <v>2667.7638206178117</v>
      </c>
    </row>
    <row r="91" spans="1:53" outlineLevel="1" x14ac:dyDescent="0.35">
      <c r="A91" s="6" t="s">
        <v>23</v>
      </c>
      <c r="B91" s="6">
        <f>'Results - raw data ReCiPe (I)'!BC78</f>
        <v>332.07989198207088</v>
      </c>
      <c r="AB91" s="6" t="s">
        <v>118</v>
      </c>
      <c r="AC91" s="6">
        <f>B102</f>
        <v>259.78797680878478</v>
      </c>
    </row>
    <row r="92" spans="1:53" outlineLevel="1" x14ac:dyDescent="0.35">
      <c r="A92" s="6" t="s">
        <v>26</v>
      </c>
      <c r="B92" s="6">
        <f>'Results - raw data ReCiPe (I)'!BC79</f>
        <v>307.66955330145822</v>
      </c>
      <c r="AB92" s="6" t="s">
        <v>119</v>
      </c>
      <c r="BA92" s="6">
        <f>SUM(Z104:Z115)</f>
        <v>38.811208026370814</v>
      </c>
    </row>
    <row r="93" spans="1:53" outlineLevel="1" x14ac:dyDescent="0.35">
      <c r="A93" s="6" t="s">
        <v>28</v>
      </c>
      <c r="B93" s="6">
        <f>'Results - raw data ReCiPe (I)'!BC80</f>
        <v>217.9178527036477</v>
      </c>
      <c r="AB93" s="6" t="s">
        <v>120</v>
      </c>
      <c r="BA93" s="6">
        <f>Z116</f>
        <v>1.2286815910263129</v>
      </c>
    </row>
    <row r="94" spans="1:53" outlineLevel="1" x14ac:dyDescent="0.35">
      <c r="A94" s="6" t="s">
        <v>29</v>
      </c>
      <c r="B94" s="6">
        <f>'Results - raw data ReCiPe (I)'!BC81</f>
        <v>98.859617046014776</v>
      </c>
      <c r="AB94" s="6" t="s">
        <v>121</v>
      </c>
      <c r="AC94" s="6">
        <f>B117</f>
        <v>113.898776346798</v>
      </c>
      <c r="AF94" s="6">
        <f>E117</f>
        <v>112.2202631041648</v>
      </c>
      <c r="AI94" s="6">
        <f>H117</f>
        <v>112.02723495155939</v>
      </c>
      <c r="AL94" s="6">
        <f>K117</f>
        <v>113.04433550375791</v>
      </c>
      <c r="AO94" s="6">
        <f>N117</f>
        <v>113.43821672233091</v>
      </c>
      <c r="AR94" s="6">
        <f>Q117</f>
        <v>113.1998263783904</v>
      </c>
      <c r="AU94" s="6">
        <f>T117</f>
        <v>112.0953414641442</v>
      </c>
      <c r="AX94" s="6">
        <f>W117</f>
        <v>111.3874174886531</v>
      </c>
      <c r="BA94" s="6">
        <f>Z117</f>
        <v>111.1953975844519</v>
      </c>
    </row>
    <row r="95" spans="1:53" outlineLevel="1" x14ac:dyDescent="0.35">
      <c r="A95" s="6" t="s">
        <v>31</v>
      </c>
      <c r="B95" s="6">
        <f>'Results - raw data ReCiPe (I)'!BC82</f>
        <v>74.95740277950722</v>
      </c>
      <c r="AB95" s="6" t="s">
        <v>122</v>
      </c>
      <c r="AC95" s="6">
        <f>B120+B118</f>
        <v>1571.0682191808789</v>
      </c>
      <c r="AD95" s="6">
        <f t="shared" ref="AD95:BA95" si="10">C120+C118</f>
        <v>1445.7131334175683</v>
      </c>
      <c r="AE95" s="6">
        <f t="shared" si="10"/>
        <v>1319.4214226823001</v>
      </c>
      <c r="AF95" s="6">
        <f t="shared" si="10"/>
        <v>1186.5064602083582</v>
      </c>
      <c r="AG95" s="6">
        <f t="shared" si="10"/>
        <v>1058.0915305078242</v>
      </c>
      <c r="AH95" s="6">
        <f t="shared" si="10"/>
        <v>928.7436252182016</v>
      </c>
      <c r="AI95" s="6">
        <f t="shared" si="10"/>
        <v>1084.3106399852938</v>
      </c>
      <c r="AJ95" s="6">
        <f t="shared" si="10"/>
        <v>1239.4449571400612</v>
      </c>
      <c r="AK95" s="6">
        <f t="shared" si="10"/>
        <v>1388.3134423320785</v>
      </c>
      <c r="AL95" s="6">
        <f t="shared" si="10"/>
        <v>1542.3754869129064</v>
      </c>
      <c r="AM95" s="6">
        <f t="shared" si="10"/>
        <v>1696.0347344771947</v>
      </c>
      <c r="AN95" s="6">
        <f t="shared" si="10"/>
        <v>1887.8077530517094</v>
      </c>
      <c r="AO95" s="6">
        <f t="shared" si="10"/>
        <v>2078.9843625668254</v>
      </c>
      <c r="AP95" s="6">
        <f t="shared" si="10"/>
        <v>2268.2668674606007</v>
      </c>
      <c r="AQ95" s="6">
        <f t="shared" si="10"/>
        <v>2458.2863616476779</v>
      </c>
      <c r="AR95" s="6">
        <f t="shared" si="10"/>
        <v>2647.7066682885852</v>
      </c>
      <c r="AS95" s="6">
        <f t="shared" si="10"/>
        <v>2579.4874456067578</v>
      </c>
      <c r="AT95" s="6">
        <f t="shared" si="10"/>
        <v>2511.583904213554</v>
      </c>
      <c r="AU95" s="6">
        <f t="shared" si="10"/>
        <v>2442.8197979528927</v>
      </c>
      <c r="AV95" s="6">
        <f t="shared" si="10"/>
        <v>2375.5677187186147</v>
      </c>
      <c r="AW95" s="6">
        <f t="shared" si="10"/>
        <v>2308.6090862854735</v>
      </c>
      <c r="AX95" s="6">
        <f t="shared" si="10"/>
        <v>2309.1176946172895</v>
      </c>
      <c r="AY95" s="6">
        <f t="shared" si="10"/>
        <v>2309.7068506781534</v>
      </c>
      <c r="AZ95" s="6">
        <f t="shared" si="10"/>
        <v>2310.2783054378597</v>
      </c>
      <c r="BA95" s="6">
        <f t="shared" si="10"/>
        <v>2310.8300285032828</v>
      </c>
    </row>
    <row r="96" spans="1:53" outlineLevel="1" x14ac:dyDescent="0.35">
      <c r="A96" s="6" t="s">
        <v>34</v>
      </c>
      <c r="B96" s="6">
        <f>'Results - raw data ReCiPe (I)'!BC83</f>
        <v>48.236543162443397</v>
      </c>
      <c r="AB96" s="6" t="s">
        <v>123</v>
      </c>
      <c r="AC96" s="6">
        <f t="shared" ref="AC96:BA96" si="11">B118</f>
        <v>117.8568792486479</v>
      </c>
      <c r="AD96" s="6">
        <f t="shared" si="11"/>
        <v>108.6734880566903</v>
      </c>
      <c r="AE96" s="6">
        <f t="shared" si="11"/>
        <v>99.483171917324086</v>
      </c>
      <c r="AF96" s="6">
        <f t="shared" si="11"/>
        <v>89.834876440245282</v>
      </c>
      <c r="AG96" s="6">
        <f t="shared" si="11"/>
        <v>80.616658357088596</v>
      </c>
      <c r="AH96" s="6">
        <f t="shared" si="11"/>
        <v>71.39380239652408</v>
      </c>
      <c r="AI96" s="6">
        <f t="shared" si="11"/>
        <v>82.12517998251586</v>
      </c>
      <c r="AJ96" s="6">
        <f t="shared" si="11"/>
        <v>92.782447964405179</v>
      </c>
      <c r="AK96" s="6">
        <f t="shared" si="11"/>
        <v>102.92379696753939</v>
      </c>
      <c r="AL96" s="6">
        <f t="shared" si="11"/>
        <v>113.42029184498151</v>
      </c>
      <c r="AM96" s="6">
        <f t="shared" si="11"/>
        <v>123.84525773378361</v>
      </c>
      <c r="AN96" s="6">
        <f t="shared" si="11"/>
        <v>137.06848811315538</v>
      </c>
      <c r="AO96" s="6">
        <f t="shared" si="11"/>
        <v>150.2716475387015</v>
      </c>
      <c r="AP96" s="6">
        <f t="shared" si="11"/>
        <v>163.35427947618578</v>
      </c>
      <c r="AQ96" s="6">
        <f t="shared" si="11"/>
        <v>176.51957495567621</v>
      </c>
      <c r="AR96" s="6">
        <f t="shared" si="11"/>
        <v>189.6642186682013</v>
      </c>
      <c r="AS96" s="6">
        <f t="shared" si="11"/>
        <v>185.59424550255198</v>
      </c>
      <c r="AT96" s="6">
        <f t="shared" si="11"/>
        <v>181.50694864530419</v>
      </c>
      <c r="AU96" s="6">
        <f t="shared" si="11"/>
        <v>177.31044454310768</v>
      </c>
      <c r="AV96" s="6">
        <f t="shared" si="11"/>
        <v>173.19043309970979</v>
      </c>
      <c r="AW96" s="6">
        <f t="shared" si="11"/>
        <v>169.0520920965904</v>
      </c>
      <c r="AX96" s="6">
        <f t="shared" si="11"/>
        <v>168.88098557630579</v>
      </c>
      <c r="AY96" s="6">
        <f t="shared" si="11"/>
        <v>168.71851244775661</v>
      </c>
      <c r="AZ96" s="6">
        <f t="shared" si="11"/>
        <v>168.55461012015971</v>
      </c>
      <c r="BA96" s="6">
        <f t="shared" si="11"/>
        <v>168.38906925869591</v>
      </c>
    </row>
    <row r="97" spans="1:53" outlineLevel="1" x14ac:dyDescent="0.35">
      <c r="A97" s="6" t="s">
        <v>36</v>
      </c>
      <c r="B97" s="6">
        <f>'Results - raw data ReCiPe (I)'!BC84</f>
        <v>56.329787563552607</v>
      </c>
      <c r="AB97" s="6" t="s">
        <v>124</v>
      </c>
      <c r="AC97" s="6">
        <f>-$AC$7*$AC$6</f>
        <v>0</v>
      </c>
      <c r="AD97" s="6">
        <f t="shared" ref="AD97:BA97" si="12">-$AC$7*$AC$6</f>
        <v>0</v>
      </c>
      <c r="AE97" s="6">
        <f t="shared" si="12"/>
        <v>0</v>
      </c>
      <c r="AF97" s="6">
        <f t="shared" si="12"/>
        <v>0</v>
      </c>
      <c r="AG97" s="6">
        <f t="shared" si="12"/>
        <v>0</v>
      </c>
      <c r="AH97" s="6">
        <f t="shared" si="12"/>
        <v>0</v>
      </c>
      <c r="AI97" s="6">
        <f t="shared" si="12"/>
        <v>0</v>
      </c>
      <c r="AJ97" s="6">
        <f t="shared" si="12"/>
        <v>0</v>
      </c>
      <c r="AK97" s="6">
        <f t="shared" si="12"/>
        <v>0</v>
      </c>
      <c r="AL97" s="6">
        <f t="shared" si="12"/>
        <v>0</v>
      </c>
      <c r="AM97" s="6">
        <f t="shared" si="12"/>
        <v>0</v>
      </c>
      <c r="AN97" s="6">
        <f t="shared" si="12"/>
        <v>0</v>
      </c>
      <c r="AO97" s="6">
        <f t="shared" si="12"/>
        <v>0</v>
      </c>
      <c r="AP97" s="6">
        <f t="shared" si="12"/>
        <v>0</v>
      </c>
      <c r="AQ97" s="6">
        <f t="shared" si="12"/>
        <v>0</v>
      </c>
      <c r="AR97" s="6">
        <f t="shared" si="12"/>
        <v>0</v>
      </c>
      <c r="AS97" s="6">
        <f t="shared" si="12"/>
        <v>0</v>
      </c>
      <c r="AT97" s="6">
        <f t="shared" si="12"/>
        <v>0</v>
      </c>
      <c r="AU97" s="6">
        <f t="shared" si="12"/>
        <v>0</v>
      </c>
      <c r="AV97" s="6">
        <f t="shared" si="12"/>
        <v>0</v>
      </c>
      <c r="AW97" s="6">
        <f t="shared" si="12"/>
        <v>0</v>
      </c>
      <c r="AX97" s="6">
        <f t="shared" si="12"/>
        <v>0</v>
      </c>
      <c r="AY97" s="6">
        <f t="shared" si="12"/>
        <v>0</v>
      </c>
      <c r="AZ97" s="6">
        <f t="shared" si="12"/>
        <v>0</v>
      </c>
      <c r="BA97" s="6">
        <f t="shared" si="12"/>
        <v>0</v>
      </c>
    </row>
    <row r="98" spans="1:53" outlineLevel="1" x14ac:dyDescent="0.35">
      <c r="A98" s="6" t="s">
        <v>38</v>
      </c>
      <c r="B98" s="6">
        <f>'Results - raw data ReCiPe (I)'!BC85</f>
        <v>643.79134840884126</v>
      </c>
      <c r="AB98" s="23" t="s">
        <v>125</v>
      </c>
      <c r="AC98" s="17">
        <f t="shared" ref="AC98:BA98" si="13">SUM(AC90:AC97)</f>
        <v>4730.3756722029211</v>
      </c>
      <c r="AD98" s="17">
        <f t="shared" si="13"/>
        <v>1554.3866214742586</v>
      </c>
      <c r="AE98" s="17">
        <f t="shared" si="13"/>
        <v>1418.9045945996243</v>
      </c>
      <c r="AF98" s="17">
        <f t="shared" si="13"/>
        <v>1388.5615997527684</v>
      </c>
      <c r="AG98" s="17">
        <f t="shared" si="13"/>
        <v>1138.7081888649129</v>
      </c>
      <c r="AH98" s="17">
        <f t="shared" si="13"/>
        <v>1000.1374276147257</v>
      </c>
      <c r="AI98" s="17">
        <f t="shared" si="13"/>
        <v>1278.4630549193691</v>
      </c>
      <c r="AJ98" s="17">
        <f t="shared" si="13"/>
        <v>1332.2274051044665</v>
      </c>
      <c r="AK98" s="17">
        <f t="shared" si="13"/>
        <v>1491.2372392996178</v>
      </c>
      <c r="AL98" s="17">
        <f t="shared" si="13"/>
        <v>1768.8401142616458</v>
      </c>
      <c r="AM98" s="17">
        <f t="shared" si="13"/>
        <v>1819.8799922109783</v>
      </c>
      <c r="AN98" s="17">
        <f t="shared" si="13"/>
        <v>2024.8762411648647</v>
      </c>
      <c r="AO98" s="17">
        <f t="shared" si="13"/>
        <v>2342.6942268278576</v>
      </c>
      <c r="AP98" s="17">
        <f t="shared" si="13"/>
        <v>2431.6211469367863</v>
      </c>
      <c r="AQ98" s="17">
        <f t="shared" si="13"/>
        <v>2634.805936603354</v>
      </c>
      <c r="AR98" s="17">
        <f t="shared" si="13"/>
        <v>2950.5707133351766</v>
      </c>
      <c r="AS98" s="17">
        <f t="shared" si="13"/>
        <v>2765.0816911093098</v>
      </c>
      <c r="AT98" s="17">
        <f t="shared" si="13"/>
        <v>2693.0908528588579</v>
      </c>
      <c r="AU98" s="17">
        <f t="shared" si="13"/>
        <v>2732.2255839601444</v>
      </c>
      <c r="AV98" s="17">
        <f t="shared" si="13"/>
        <v>2548.7581518183247</v>
      </c>
      <c r="AW98" s="17">
        <f t="shared" si="13"/>
        <v>2477.661178382064</v>
      </c>
      <c r="AX98" s="17">
        <f t="shared" si="13"/>
        <v>2589.3860976822484</v>
      </c>
      <c r="AY98" s="17">
        <f t="shared" si="13"/>
        <v>2478.4253631259098</v>
      </c>
      <c r="AZ98" s="17">
        <f t="shared" si="13"/>
        <v>2478.8329155580195</v>
      </c>
      <c r="BA98" s="17">
        <f t="shared" si="13"/>
        <v>2630.454384963828</v>
      </c>
    </row>
    <row r="99" spans="1:53" outlineLevel="1" x14ac:dyDescent="0.35">
      <c r="A99" s="6" t="s">
        <v>39</v>
      </c>
      <c r="B99" s="6">
        <f>'Results - raw data ReCiPe (I)'!BC86</f>
        <v>600.68151504185573</v>
      </c>
    </row>
    <row r="100" spans="1:53" outlineLevel="1" x14ac:dyDescent="0.35">
      <c r="A100" s="6" t="s">
        <v>41</v>
      </c>
      <c r="B100" s="6">
        <f>'Results - raw data ReCiPe (I)'!BC87</f>
        <v>53.750548509494848</v>
      </c>
    </row>
    <row r="101" spans="1:53" outlineLevel="1" x14ac:dyDescent="0.35">
      <c r="A101" s="6" t="s">
        <v>43</v>
      </c>
      <c r="B101" s="6">
        <f>'Results - raw data ReCiPe (I)'!BC88</f>
        <v>70.879104867522443</v>
      </c>
      <c r="AB101" s="219"/>
      <c r="AC101" s="219"/>
      <c r="AD101" s="219"/>
      <c r="AE101" s="219"/>
      <c r="AF101" s="219"/>
      <c r="AG101" s="219"/>
      <c r="AH101" s="219"/>
      <c r="AI101" s="219"/>
      <c r="AJ101" s="219"/>
      <c r="AK101" s="219"/>
      <c r="AL101" s="219"/>
      <c r="AM101" s="219"/>
      <c r="AN101" s="219"/>
      <c r="AO101" s="219"/>
      <c r="AP101" s="219"/>
      <c r="AQ101" s="219"/>
      <c r="AR101" s="219"/>
      <c r="AS101" s="219"/>
      <c r="AT101" s="219"/>
      <c r="AU101" s="219"/>
      <c r="AV101" s="219"/>
      <c r="AW101" s="219"/>
      <c r="AX101" s="219"/>
      <c r="AY101" s="219"/>
      <c r="AZ101" s="219"/>
      <c r="BA101" s="219"/>
    </row>
    <row r="102" spans="1:53" outlineLevel="1" x14ac:dyDescent="0.35">
      <c r="A102" s="6" t="s">
        <v>44</v>
      </c>
      <c r="B102" s="6">
        <f>'Results - raw data ReCiPe (I)'!BC89*100*25</f>
        <v>259.78797680878478</v>
      </c>
      <c r="AB102" s="219"/>
      <c r="AC102" s="219"/>
      <c r="AD102" s="219"/>
      <c r="AE102" s="219"/>
      <c r="AF102" s="219"/>
      <c r="AG102" s="219"/>
      <c r="AH102" s="219"/>
      <c r="AI102" s="219"/>
      <c r="AJ102" s="219"/>
      <c r="AK102" s="219"/>
      <c r="AL102" s="219"/>
      <c r="AM102" s="219"/>
      <c r="AN102" s="219"/>
      <c r="AO102" s="219"/>
      <c r="AP102" s="219"/>
      <c r="AQ102" s="219"/>
      <c r="AR102" s="219"/>
      <c r="AS102" s="219"/>
      <c r="AT102" s="219"/>
      <c r="AU102" s="219"/>
      <c r="AV102" s="219"/>
      <c r="AW102" s="219"/>
      <c r="AX102" s="219"/>
      <c r="AY102" s="219"/>
      <c r="AZ102" s="219"/>
      <c r="BA102" s="219"/>
    </row>
    <row r="103" spans="1:53" outlineLevel="1" x14ac:dyDescent="0.35">
      <c r="A103" s="6" t="s">
        <v>757</v>
      </c>
      <c r="B103" s="6">
        <f>'Results - raw data ReCiPe (I)'!BC90*100*25</f>
        <v>90.355078650097028</v>
      </c>
      <c r="AB103" s="219"/>
      <c r="AC103" s="219"/>
      <c r="AD103" s="219"/>
      <c r="AE103" s="219"/>
      <c r="AF103" s="219"/>
      <c r="AG103" s="219"/>
      <c r="AH103" s="219"/>
      <c r="AI103" s="219"/>
      <c r="AJ103" s="219"/>
      <c r="AK103" s="219"/>
      <c r="AL103" s="219"/>
      <c r="AM103" s="219"/>
      <c r="AN103" s="219"/>
      <c r="AO103" s="219"/>
      <c r="AP103" s="219"/>
      <c r="AQ103" s="219"/>
      <c r="AR103" s="219"/>
      <c r="AS103" s="219"/>
      <c r="AT103" s="219"/>
      <c r="AU103" s="219"/>
      <c r="AV103" s="219"/>
      <c r="AW103" s="219"/>
      <c r="AX103" s="219"/>
      <c r="AY103" s="219"/>
      <c r="AZ103" s="219"/>
      <c r="BA103" s="219"/>
    </row>
    <row r="104" spans="1:53" outlineLevel="1" x14ac:dyDescent="0.35">
      <c r="A104" s="6" t="s">
        <v>22</v>
      </c>
      <c r="Z104" s="6">
        <f>'Results - raw data ReCiPe (I)'!CA91</f>
        <v>0.30635972341572332</v>
      </c>
      <c r="AB104" s="219"/>
      <c r="AC104" s="219"/>
      <c r="AD104" s="219"/>
      <c r="AE104" s="219"/>
      <c r="AF104" s="219"/>
      <c r="AG104" s="219"/>
      <c r="AH104" s="219"/>
      <c r="AI104" s="219"/>
      <c r="AJ104" s="219"/>
      <c r="AK104" s="219"/>
      <c r="AL104" s="219"/>
      <c r="AM104" s="219"/>
      <c r="AN104" s="219"/>
      <c r="AO104" s="219"/>
      <c r="AP104" s="219"/>
      <c r="AQ104" s="219"/>
      <c r="AR104" s="219"/>
      <c r="AS104" s="219"/>
      <c r="AT104" s="219"/>
      <c r="AU104" s="219"/>
      <c r="AV104" s="219"/>
      <c r="AW104" s="219"/>
      <c r="AX104" s="219"/>
      <c r="AY104" s="219"/>
      <c r="AZ104" s="219"/>
      <c r="BA104" s="219"/>
    </row>
    <row r="105" spans="1:53" outlineLevel="1" x14ac:dyDescent="0.35">
      <c r="A105" s="6" t="s">
        <v>24</v>
      </c>
      <c r="Z105" s="6">
        <f>'Results - raw data ReCiPe (I)'!CA92</f>
        <v>0.33984583893654807</v>
      </c>
      <c r="AB105" s="219"/>
      <c r="AC105" s="219"/>
      <c r="AD105" s="219"/>
      <c r="AE105" s="219"/>
      <c r="AF105" s="219"/>
      <c r="AG105" s="219"/>
      <c r="AH105" s="219"/>
      <c r="AI105" s="219"/>
      <c r="AJ105" s="219"/>
      <c r="AK105" s="219"/>
      <c r="AL105" s="219"/>
      <c r="AM105" s="219"/>
      <c r="AN105" s="219"/>
      <c r="AO105" s="219"/>
      <c r="AP105" s="219"/>
      <c r="AQ105" s="219"/>
      <c r="AR105" s="219"/>
      <c r="AS105" s="219"/>
      <c r="AT105" s="219"/>
      <c r="AU105" s="219"/>
      <c r="AV105" s="219"/>
      <c r="AW105" s="219"/>
      <c r="AX105" s="219"/>
      <c r="AY105" s="219"/>
      <c r="AZ105" s="219"/>
      <c r="BA105" s="219"/>
    </row>
    <row r="106" spans="1:53" outlineLevel="1" x14ac:dyDescent="0.35">
      <c r="A106" s="6" t="s">
        <v>25</v>
      </c>
      <c r="Z106" s="6">
        <f>'Results - raw data ReCiPe (I)'!CA93</f>
        <v>1.5474181038718611</v>
      </c>
      <c r="AB106" s="219"/>
      <c r="AC106" s="219"/>
      <c r="AD106" s="219"/>
      <c r="AE106" s="219"/>
      <c r="AF106" s="219"/>
      <c r="AG106" s="219"/>
      <c r="AH106" s="219"/>
      <c r="AI106" s="219"/>
      <c r="AJ106" s="219"/>
      <c r="AK106" s="219"/>
      <c r="AL106" s="219"/>
      <c r="AM106" s="219"/>
      <c r="AN106" s="219"/>
      <c r="AO106" s="219"/>
      <c r="AP106" s="219"/>
      <c r="AQ106" s="219"/>
      <c r="AR106" s="219"/>
      <c r="AS106" s="219"/>
      <c r="AT106" s="219"/>
      <c r="AU106" s="219"/>
      <c r="AV106" s="219"/>
      <c r="AW106" s="219"/>
      <c r="AX106" s="219"/>
      <c r="AY106" s="219"/>
      <c r="AZ106" s="219"/>
      <c r="BA106" s="219"/>
    </row>
    <row r="107" spans="1:53" outlineLevel="1" x14ac:dyDescent="0.35">
      <c r="A107" s="6" t="s">
        <v>27</v>
      </c>
      <c r="Z107" s="6">
        <f>'Results - raw data ReCiPe (I)'!CA94</f>
        <v>0.94548201452630143</v>
      </c>
      <c r="AB107" s="219"/>
      <c r="AC107" s="219"/>
      <c r="AD107" s="219"/>
      <c r="AE107" s="219"/>
      <c r="AF107" s="219"/>
      <c r="AG107" s="219"/>
      <c r="AH107" s="219"/>
      <c r="AI107" s="219"/>
      <c r="AJ107" s="219"/>
      <c r="AK107" s="219"/>
      <c r="AL107" s="219"/>
      <c r="AM107" s="219"/>
      <c r="AN107" s="219"/>
      <c r="AO107" s="219"/>
      <c r="AP107" s="219"/>
      <c r="AQ107" s="219"/>
      <c r="AR107" s="219"/>
      <c r="AS107" s="219"/>
      <c r="AT107" s="219"/>
      <c r="AU107" s="219"/>
      <c r="AV107" s="219"/>
      <c r="AW107" s="219"/>
      <c r="AX107" s="219"/>
      <c r="AY107" s="219"/>
      <c r="AZ107" s="219"/>
      <c r="BA107" s="219"/>
    </row>
    <row r="108" spans="1:53" outlineLevel="1" x14ac:dyDescent="0.35">
      <c r="A108" s="6" t="s">
        <v>30</v>
      </c>
      <c r="Z108" s="6">
        <f>'Results - raw data ReCiPe (I)'!CA95</f>
        <v>0.37604451141395889</v>
      </c>
      <c r="AB108" s="219"/>
      <c r="AC108" s="219"/>
      <c r="AD108" s="219"/>
      <c r="AE108" s="219"/>
      <c r="AF108" s="219"/>
      <c r="AG108" s="219"/>
      <c r="AH108" s="219"/>
      <c r="AI108" s="219"/>
      <c r="AJ108" s="219"/>
      <c r="AK108" s="219"/>
      <c r="AL108" s="219"/>
      <c r="AM108" s="219"/>
      <c r="AN108" s="219"/>
      <c r="AO108" s="219"/>
      <c r="AP108" s="219"/>
      <c r="AQ108" s="219"/>
      <c r="AR108" s="219"/>
      <c r="AS108" s="219"/>
      <c r="AT108" s="219"/>
      <c r="AU108" s="219"/>
      <c r="AV108" s="219"/>
      <c r="AW108" s="219"/>
      <c r="AX108" s="219"/>
      <c r="AY108" s="219"/>
      <c r="AZ108" s="219"/>
      <c r="BA108" s="219"/>
    </row>
    <row r="109" spans="1:53" outlineLevel="1" x14ac:dyDescent="0.35">
      <c r="A109" s="6" t="s">
        <v>32</v>
      </c>
      <c r="Z109" s="6">
        <f>'Results - raw data ReCiPe (I)'!CA96</f>
        <v>0.1689526457090417</v>
      </c>
      <c r="AB109" s="219"/>
      <c r="AC109" s="219"/>
      <c r="AD109" s="219"/>
      <c r="AE109" s="219"/>
      <c r="AF109" s="219"/>
      <c r="AG109" s="219"/>
      <c r="AH109" s="219"/>
      <c r="AI109" s="219"/>
      <c r="AJ109" s="219"/>
      <c r="AK109" s="219"/>
      <c r="AL109" s="219"/>
      <c r="AM109" s="219"/>
      <c r="AN109" s="219"/>
      <c r="AO109" s="219"/>
      <c r="AP109" s="219"/>
      <c r="AQ109" s="219"/>
      <c r="AR109" s="219"/>
      <c r="AS109" s="219"/>
      <c r="AT109" s="219"/>
      <c r="AU109" s="219"/>
      <c r="AV109" s="219"/>
      <c r="AW109" s="219"/>
      <c r="AX109" s="219"/>
      <c r="AY109" s="219"/>
      <c r="AZ109" s="219"/>
      <c r="BA109" s="219"/>
    </row>
    <row r="110" spans="1:53" outlineLevel="1" x14ac:dyDescent="0.35">
      <c r="A110" s="6" t="s">
        <v>33</v>
      </c>
      <c r="Z110" s="6">
        <f>'Results - raw data ReCiPe (I)'!CA97</f>
        <v>9.7186212345248976E-2</v>
      </c>
      <c r="AB110" s="219"/>
      <c r="AC110" s="219"/>
      <c r="AD110" s="219"/>
      <c r="AE110" s="219"/>
      <c r="AF110" s="219"/>
      <c r="AG110" s="219"/>
      <c r="AH110" s="219"/>
      <c r="AI110" s="219"/>
      <c r="AJ110" s="219"/>
      <c r="AK110" s="219"/>
      <c r="AL110" s="219"/>
      <c r="AM110" s="219"/>
      <c r="AN110" s="219"/>
      <c r="AO110" s="219"/>
      <c r="AP110" s="219"/>
      <c r="AQ110" s="219"/>
      <c r="AR110" s="219"/>
      <c r="AS110" s="219"/>
      <c r="AT110" s="219"/>
      <c r="AU110" s="219"/>
      <c r="AV110" s="219"/>
      <c r="AW110" s="219"/>
      <c r="AX110" s="219"/>
      <c r="AY110" s="219"/>
      <c r="AZ110" s="219"/>
      <c r="BA110" s="219"/>
    </row>
    <row r="111" spans="1:53" outlineLevel="1" x14ac:dyDescent="0.35">
      <c r="A111" s="6" t="s">
        <v>35</v>
      </c>
      <c r="Z111" s="6">
        <f>'Results - raw data ReCiPe (I)'!CA98</f>
        <v>0.19437242469049801</v>
      </c>
      <c r="AB111" s="219"/>
      <c r="AC111" s="219"/>
      <c r="AD111" s="219"/>
      <c r="AE111" s="219"/>
      <c r="AF111" s="219"/>
      <c r="AG111" s="219"/>
      <c r="AH111" s="219"/>
      <c r="AI111" s="219"/>
      <c r="AJ111" s="219"/>
      <c r="AK111" s="219"/>
      <c r="AL111" s="219"/>
      <c r="AM111" s="219"/>
      <c r="AN111" s="219"/>
      <c r="AO111" s="219"/>
      <c r="AP111" s="219"/>
      <c r="AQ111" s="219"/>
      <c r="AR111" s="219"/>
      <c r="AS111" s="219"/>
      <c r="AT111" s="219"/>
      <c r="AU111" s="219"/>
      <c r="AV111" s="219"/>
      <c r="AW111" s="219"/>
      <c r="AX111" s="219"/>
      <c r="AY111" s="219"/>
      <c r="AZ111" s="219"/>
      <c r="BA111" s="219"/>
    </row>
    <row r="112" spans="1:53" outlineLevel="1" x14ac:dyDescent="0.35">
      <c r="A112" s="6" t="s">
        <v>37</v>
      </c>
      <c r="Z112" s="6">
        <f>'Results - raw data ReCiPe (I)'!CA99</f>
        <v>2.8633835937773271</v>
      </c>
    </row>
    <row r="113" spans="1:31" outlineLevel="1" x14ac:dyDescent="0.35">
      <c r="A113" s="6" t="s">
        <v>40</v>
      </c>
      <c r="Z113" s="6">
        <f>'Results - raw data ReCiPe (I)'!CA100</f>
        <v>1.3399465538739621</v>
      </c>
    </row>
    <row r="114" spans="1:31" outlineLevel="1" x14ac:dyDescent="0.35">
      <c r="A114" s="6" t="s">
        <v>42</v>
      </c>
      <c r="Z114" s="6">
        <f>'Results - raw data ReCiPe (I)'!CA101</f>
        <v>3.604224052803163</v>
      </c>
    </row>
    <row r="115" spans="1:31" outlineLevel="1" x14ac:dyDescent="0.35">
      <c r="A115" s="6" t="s">
        <v>115</v>
      </c>
      <c r="Z115" s="6">
        <f>'Results - raw data ReCiPe (I)'!CA102</f>
        <v>27.027992351007178</v>
      </c>
    </row>
    <row r="116" spans="1:31" outlineLevel="1" x14ac:dyDescent="0.35">
      <c r="A116" s="6" t="s">
        <v>45</v>
      </c>
      <c r="Z116" s="6">
        <f>'Results - raw data ReCiPe (I)'!CA103*AC87*AC88</f>
        <v>1.2286815910263129</v>
      </c>
    </row>
    <row r="117" spans="1:31" outlineLevel="1" x14ac:dyDescent="0.35">
      <c r="A117" s="6" t="s">
        <v>116</v>
      </c>
      <c r="B117" s="6">
        <f>'Results - raw data ReCiPe (I)'!BC104</f>
        <v>113.898776346798</v>
      </c>
      <c r="C117" s="6">
        <f>'Results - raw data ReCiPe (I)'!BD104</f>
        <v>113.56243348710539</v>
      </c>
      <c r="D117" s="6">
        <f>'Results - raw data ReCiPe (I)'!BE104</f>
        <v>113.2211122554602</v>
      </c>
      <c r="E117" s="6">
        <f>'Results - raw data ReCiPe (I)'!BF104</f>
        <v>112.2202631041648</v>
      </c>
      <c r="F117" s="6">
        <f>'Results - raw data ReCiPe (I)'!BG104</f>
        <v>111.87545543858</v>
      </c>
      <c r="G117" s="6">
        <f>'Results - raw data ReCiPe (I)'!BH104</f>
        <v>111.5248413382393</v>
      </c>
      <c r="H117" s="6">
        <f>'Results - raw data ReCiPe (I)'!BI104</f>
        <v>112.02723495155939</v>
      </c>
      <c r="I117" s="6">
        <f>'Results - raw data ReCiPe (I)'!BJ104</f>
        <v>112.5196703576229</v>
      </c>
      <c r="J117" s="6">
        <f>'Results - raw data ReCiPe (I)'!BK104</f>
        <v>112.5648468888273</v>
      </c>
      <c r="K117" s="6">
        <f>'Results - raw data ReCiPe (I)'!BL104</f>
        <v>113.04433550375791</v>
      </c>
      <c r="L117" s="6">
        <f>'Results - raw data ReCiPe (I)'!BM104</f>
        <v>113.5145120285696</v>
      </c>
      <c r="M117" s="6">
        <f>'Results - raw data ReCiPe (I)'!BN104</f>
        <v>113.47633656230281</v>
      </c>
      <c r="N117" s="6">
        <f>'Results - raw data ReCiPe (I)'!BO104</f>
        <v>113.43821672233091</v>
      </c>
      <c r="O117" s="6">
        <f>'Results - raw data ReCiPe (I)'!BP104</f>
        <v>113.27001425759541</v>
      </c>
      <c r="P117" s="6">
        <f>'Results - raw data ReCiPe (I)'!BQ104</f>
        <v>113.2350028411453</v>
      </c>
      <c r="Q117" s="6">
        <f>'Results - raw data ReCiPe (I)'!BR104</f>
        <v>113.1998263783904</v>
      </c>
      <c r="R117" s="6">
        <f>'Results - raw data ReCiPe (I)'!BS104</f>
        <v>112.87099562799639</v>
      </c>
      <c r="S117" s="6">
        <f>'Results - raw data ReCiPe (I)'!BT104</f>
        <v>112.5438700453108</v>
      </c>
      <c r="T117" s="6">
        <f>'Results - raw data ReCiPe (I)'!BU104</f>
        <v>112.0953414641442</v>
      </c>
      <c r="U117" s="6">
        <f>'Results - raw data ReCiPe (I)'!BV104</f>
        <v>111.7733057348982</v>
      </c>
      <c r="V117" s="6">
        <f>'Results - raw data ReCiPe (I)'!BW104</f>
        <v>111.4523390475613</v>
      </c>
      <c r="W117" s="6">
        <f>'Results - raw data ReCiPe (I)'!BX104</f>
        <v>111.3874174886531</v>
      </c>
      <c r="X117" s="6">
        <f>'Results - raw data ReCiPe (I)'!BY104</f>
        <v>111.3230858402094</v>
      </c>
      <c r="Y117" s="6">
        <f>'Results - raw data ReCiPe (I)'!BZ104</f>
        <v>111.2590823157262</v>
      </c>
      <c r="Z117" s="6">
        <f>'Results - raw data ReCiPe (I)'!CA104</f>
        <v>111.1953975844519</v>
      </c>
    </row>
    <row r="118" spans="1:31" outlineLevel="1" x14ac:dyDescent="0.35">
      <c r="A118" s="6" t="s">
        <v>758</v>
      </c>
      <c r="B118" s="6">
        <f>'Results - raw data ReCiPe (I)'!BC105*$AC$87</f>
        <v>117.8568792486479</v>
      </c>
      <c r="C118" s="6">
        <f>'Results - raw data ReCiPe (I)'!BD105*$AC$87</f>
        <v>108.6734880566903</v>
      </c>
      <c r="D118" s="6">
        <f>'Results - raw data ReCiPe (I)'!BE105*$AC$87</f>
        <v>99.483171917324086</v>
      </c>
      <c r="E118" s="6">
        <f>'Results - raw data ReCiPe (I)'!BF105*$AC$87</f>
        <v>89.834876440245282</v>
      </c>
      <c r="F118" s="6">
        <f>'Results - raw data ReCiPe (I)'!BG105*$AC$87</f>
        <v>80.616658357088596</v>
      </c>
      <c r="G118" s="6">
        <f>'Results - raw data ReCiPe (I)'!BH105*$AC$87</f>
        <v>71.39380239652408</v>
      </c>
      <c r="H118" s="6">
        <f>'Results - raw data ReCiPe (I)'!BI105*$AC$87</f>
        <v>82.12517998251586</v>
      </c>
      <c r="I118" s="6">
        <f>'Results - raw data ReCiPe (I)'!BJ105*$AC$87</f>
        <v>92.782447964405179</v>
      </c>
      <c r="J118" s="6">
        <f>'Results - raw data ReCiPe (I)'!BK105*$AC$87</f>
        <v>102.92379696753939</v>
      </c>
      <c r="K118" s="6">
        <f>'Results - raw data ReCiPe (I)'!BL105*$AC$87</f>
        <v>113.42029184498151</v>
      </c>
      <c r="L118" s="6">
        <f>'Results - raw data ReCiPe (I)'!BM105*$AC$87</f>
        <v>123.84525773378361</v>
      </c>
      <c r="M118" s="6">
        <f>'Results - raw data ReCiPe (I)'!BN105*$AC$87</f>
        <v>137.06848811315538</v>
      </c>
      <c r="N118" s="6">
        <f>'Results - raw data ReCiPe (I)'!BO105*$AC$87</f>
        <v>150.2716475387015</v>
      </c>
      <c r="O118" s="6">
        <f>'Results - raw data ReCiPe (I)'!BP105*$AC$87</f>
        <v>163.35427947618578</v>
      </c>
      <c r="P118" s="6">
        <f>'Results - raw data ReCiPe (I)'!BQ105*$AC$87</f>
        <v>176.51957495567621</v>
      </c>
      <c r="Q118" s="6">
        <f>'Results - raw data ReCiPe (I)'!BR105*$AC$87</f>
        <v>189.6642186682013</v>
      </c>
      <c r="R118" s="6">
        <f>'Results - raw data ReCiPe (I)'!BS105*$AC$87</f>
        <v>185.59424550255198</v>
      </c>
      <c r="S118" s="6">
        <f>'Results - raw data ReCiPe (I)'!BT105*$AC$87</f>
        <v>181.50694864530419</v>
      </c>
      <c r="T118" s="6">
        <f>'Results - raw data ReCiPe (I)'!BU105*$AC$87</f>
        <v>177.31044454310768</v>
      </c>
      <c r="U118" s="6">
        <f>'Results - raw data ReCiPe (I)'!BV105*$AC$87</f>
        <v>173.19043309970979</v>
      </c>
      <c r="V118" s="6">
        <f>'Results - raw data ReCiPe (I)'!BW105*$AC$87</f>
        <v>169.0520920965904</v>
      </c>
      <c r="W118" s="6">
        <f>'Results - raw data ReCiPe (I)'!BX105*$AC$87</f>
        <v>168.88098557630579</v>
      </c>
      <c r="X118" s="6">
        <f>'Results - raw data ReCiPe (I)'!BY105*$AC$87</f>
        <v>168.71851244775661</v>
      </c>
      <c r="Y118" s="6">
        <f>'Results - raw data ReCiPe (I)'!BZ105*$AC$87</f>
        <v>168.55461012015971</v>
      </c>
      <c r="Z118" s="6">
        <f>'Results - raw data ReCiPe (I)'!CA105*$AC$87</f>
        <v>168.38906925869591</v>
      </c>
    </row>
    <row r="119" spans="1:31" outlineLevel="1" x14ac:dyDescent="0.35">
      <c r="A119" s="6" t="s">
        <v>759</v>
      </c>
      <c r="B119" s="6">
        <f>'Results - raw data ReCiPe (I)'!BC106</f>
        <v>0</v>
      </c>
      <c r="C119" s="6">
        <f>'Results - raw data ReCiPe (I)'!BD106</f>
        <v>0</v>
      </c>
      <c r="D119" s="6">
        <f>'Results - raw data ReCiPe (I)'!BE106</f>
        <v>0</v>
      </c>
      <c r="E119" s="6">
        <f>'Results - raw data ReCiPe (I)'!BF106</f>
        <v>0</v>
      </c>
      <c r="F119" s="6">
        <f>'Results - raw data ReCiPe (I)'!BG106</f>
        <v>0</v>
      </c>
      <c r="G119" s="6">
        <f>'Results - raw data ReCiPe (I)'!BH106</f>
        <v>0</v>
      </c>
      <c r="H119" s="6">
        <f>'Results - raw data ReCiPe (I)'!BI106</f>
        <v>0</v>
      </c>
      <c r="I119" s="6">
        <f>'Results - raw data ReCiPe (I)'!BJ106</f>
        <v>0</v>
      </c>
      <c r="J119" s="6">
        <f>'Results - raw data ReCiPe (I)'!BK106</f>
        <v>0</v>
      </c>
      <c r="K119" s="6">
        <f>'Results - raw data ReCiPe (I)'!BL106</f>
        <v>0</v>
      </c>
      <c r="L119" s="6">
        <f>'Results - raw data ReCiPe (I)'!BM106</f>
        <v>0</v>
      </c>
      <c r="M119" s="6">
        <f>'Results - raw data ReCiPe (I)'!BN106</f>
        <v>0</v>
      </c>
      <c r="N119" s="6">
        <f>'Results - raw data ReCiPe (I)'!BO106</f>
        <v>0</v>
      </c>
      <c r="O119" s="6">
        <f>'Results - raw data ReCiPe (I)'!BP106</f>
        <v>0</v>
      </c>
      <c r="P119" s="6">
        <f>'Results - raw data ReCiPe (I)'!BQ106</f>
        <v>0</v>
      </c>
      <c r="Q119" s="6">
        <f>'Results - raw data ReCiPe (I)'!BR106</f>
        <v>0</v>
      </c>
      <c r="R119" s="6">
        <f>'Results - raw data ReCiPe (I)'!BS106</f>
        <v>0</v>
      </c>
      <c r="S119" s="6">
        <f>'Results - raw data ReCiPe (I)'!BT106</f>
        <v>0</v>
      </c>
      <c r="T119" s="6">
        <f>'Results - raw data ReCiPe (I)'!BU106</f>
        <v>0</v>
      </c>
      <c r="U119" s="6">
        <f>'Results - raw data ReCiPe (I)'!BV106</f>
        <v>0</v>
      </c>
      <c r="V119" s="6">
        <f>'Results - raw data ReCiPe (I)'!BW106</f>
        <v>0</v>
      </c>
      <c r="W119" s="6">
        <f>'Results - raw data ReCiPe (I)'!BX106</f>
        <v>0</v>
      </c>
      <c r="X119" s="6">
        <f>'Results - raw data ReCiPe (I)'!BY106</f>
        <v>0</v>
      </c>
      <c r="Y119" s="6">
        <f>'Results - raw data ReCiPe (I)'!BZ106</f>
        <v>0</v>
      </c>
      <c r="Z119" s="6">
        <f>'Results - raw data ReCiPe (I)'!CA106</f>
        <v>0</v>
      </c>
    </row>
    <row r="120" spans="1:31" outlineLevel="1" x14ac:dyDescent="0.35">
      <c r="A120" s="6" t="s">
        <v>760</v>
      </c>
      <c r="B120" s="6">
        <f>'Results - raw data ReCiPe (I)'!BC107</f>
        <v>1453.2113399322311</v>
      </c>
      <c r="C120" s="6">
        <f>'Results - raw data ReCiPe (I)'!BD107</f>
        <v>1337.039645360878</v>
      </c>
      <c r="D120" s="6">
        <f>'Results - raw data ReCiPe (I)'!BE107</f>
        <v>1219.9382507649759</v>
      </c>
      <c r="E120" s="6">
        <f>'Results - raw data ReCiPe (I)'!BF107</f>
        <v>1096.6715837681129</v>
      </c>
      <c r="F120" s="6">
        <f>'Results - raw data ReCiPe (I)'!BG107</f>
        <v>977.47487215073556</v>
      </c>
      <c r="G120" s="6">
        <f>'Results - raw data ReCiPe (I)'!BH107</f>
        <v>857.34982282167755</v>
      </c>
      <c r="H120" s="6">
        <f>'Results - raw data ReCiPe (I)'!BI107</f>
        <v>1002.185460002778</v>
      </c>
      <c r="I120" s="6">
        <f>'Results - raw data ReCiPe (I)'!BJ107</f>
        <v>1146.6625091756559</v>
      </c>
      <c r="J120" s="6">
        <f>'Results - raw data ReCiPe (I)'!BK107</f>
        <v>1285.3896453645391</v>
      </c>
      <c r="K120" s="6">
        <f>'Results - raw data ReCiPe (I)'!BL107</f>
        <v>1428.9551950679249</v>
      </c>
      <c r="L120" s="6">
        <f>'Results - raw data ReCiPe (I)'!BM107</f>
        <v>1572.189476743411</v>
      </c>
      <c r="M120" s="6">
        <f>'Results - raw data ReCiPe (I)'!BN107</f>
        <v>1750.739264938554</v>
      </c>
      <c r="N120" s="6">
        <f>'Results - raw data ReCiPe (I)'!BO107</f>
        <v>1928.712715028124</v>
      </c>
      <c r="O120" s="6">
        <f>'Results - raw data ReCiPe (I)'!BP107</f>
        <v>2104.912587984415</v>
      </c>
      <c r="P120" s="6">
        <f>'Results - raw data ReCiPe (I)'!BQ107</f>
        <v>2281.7667866920019</v>
      </c>
      <c r="Q120" s="6">
        <f>'Results - raw data ReCiPe (I)'!BR107</f>
        <v>2458.0424496203841</v>
      </c>
      <c r="R120" s="6">
        <f>'Results - raw data ReCiPe (I)'!BS107</f>
        <v>2393.8932001042058</v>
      </c>
      <c r="S120" s="6">
        <f>'Results - raw data ReCiPe (I)'!BT107</f>
        <v>2330.07695556825</v>
      </c>
      <c r="T120" s="6">
        <f>'Results - raw data ReCiPe (I)'!BU107</f>
        <v>2265.509353409785</v>
      </c>
      <c r="U120" s="6">
        <f>'Results - raw data ReCiPe (I)'!BV107</f>
        <v>2202.3772856189048</v>
      </c>
      <c r="V120" s="6">
        <f>'Results - raw data ReCiPe (I)'!BW107</f>
        <v>2139.556994188883</v>
      </c>
      <c r="W120" s="6">
        <f>'Results - raw data ReCiPe (I)'!BX107</f>
        <v>2140.2367090409839</v>
      </c>
      <c r="X120" s="6">
        <f>'Results - raw data ReCiPe (I)'!BY107</f>
        <v>2140.9883382303969</v>
      </c>
      <c r="Y120" s="6">
        <f>'Results - raw data ReCiPe (I)'!BZ107</f>
        <v>2141.7236953176998</v>
      </c>
      <c r="Z120" s="6">
        <f>'Results - raw data ReCiPe (I)'!CA107</f>
        <v>2142.4409592445868</v>
      </c>
    </row>
    <row r="121" spans="1:31" outlineLevel="1" x14ac:dyDescent="0.35">
      <c r="A121" s="23" t="s">
        <v>125</v>
      </c>
      <c r="B121" s="17">
        <f t="shared" ref="B121:Z121" si="14">SUM(B90:B120)</f>
        <v>4612.5187929542735</v>
      </c>
      <c r="C121" s="17">
        <f t="shared" si="14"/>
        <v>1559.2755669046737</v>
      </c>
      <c r="D121" s="17">
        <f t="shared" si="14"/>
        <v>1432.6425349377603</v>
      </c>
      <c r="E121" s="17">
        <f t="shared" si="14"/>
        <v>1298.7267233125231</v>
      </c>
      <c r="F121" s="17">
        <f t="shared" si="14"/>
        <v>1169.9669859464043</v>
      </c>
      <c r="G121" s="17">
        <f t="shared" si="14"/>
        <v>1040.2684665564409</v>
      </c>
      <c r="H121" s="17">
        <f t="shared" si="14"/>
        <v>1196.3378749368533</v>
      </c>
      <c r="I121" s="17">
        <f t="shared" si="14"/>
        <v>1351.964627497684</v>
      </c>
      <c r="J121" s="17">
        <f t="shared" si="14"/>
        <v>1500.8782892209058</v>
      </c>
      <c r="K121" s="17">
        <f t="shared" si="14"/>
        <v>1655.4198224166644</v>
      </c>
      <c r="L121" s="17">
        <f t="shared" si="14"/>
        <v>1809.5492465057641</v>
      </c>
      <c r="M121" s="17">
        <f t="shared" si="14"/>
        <v>2001.2840896140121</v>
      </c>
      <c r="N121" s="17">
        <f t="shared" si="14"/>
        <v>2192.4225792891566</v>
      </c>
      <c r="O121" s="17">
        <f t="shared" si="14"/>
        <v>2381.5368817181961</v>
      </c>
      <c r="P121" s="17">
        <f t="shared" si="14"/>
        <v>2571.5213644888236</v>
      </c>
      <c r="Q121" s="17">
        <f t="shared" si="14"/>
        <v>2760.906494666976</v>
      </c>
      <c r="R121" s="17">
        <f t="shared" si="14"/>
        <v>2692.3584412347541</v>
      </c>
      <c r="S121" s="17">
        <f t="shared" si="14"/>
        <v>2624.127774258865</v>
      </c>
      <c r="T121" s="17">
        <f t="shared" si="14"/>
        <v>2554.9151394170367</v>
      </c>
      <c r="U121" s="17">
        <f t="shared" si="14"/>
        <v>2487.3410244535125</v>
      </c>
      <c r="V121" s="17">
        <f t="shared" si="14"/>
        <v>2420.0614253330345</v>
      </c>
      <c r="W121" s="17">
        <f t="shared" si="14"/>
        <v>2420.5051121059428</v>
      </c>
      <c r="X121" s="17">
        <f t="shared" si="14"/>
        <v>2421.0299365183628</v>
      </c>
      <c r="Y121" s="17">
        <f t="shared" si="14"/>
        <v>2421.5373877535858</v>
      </c>
      <c r="Z121" s="17">
        <f t="shared" si="14"/>
        <v>2462.065315705132</v>
      </c>
    </row>
    <row r="122" spans="1:31" s="26" customFormat="1" outlineLevel="1" x14ac:dyDescent="0.35"/>
    <row r="123" spans="1:31" s="221" customFormat="1" ht="21" x14ac:dyDescent="0.5">
      <c r="A123" s="229" t="s">
        <v>850</v>
      </c>
    </row>
    <row r="124" spans="1:31" s="18" customFormat="1" ht="21" x14ac:dyDescent="0.5">
      <c r="A124" s="18" t="s">
        <v>72</v>
      </c>
    </row>
    <row r="125" spans="1:31" s="20" customFormat="1" outlineLevel="1" x14ac:dyDescent="0.35">
      <c r="A125" s="19" t="s">
        <v>766</v>
      </c>
    </row>
    <row r="126" spans="1:31" s="16" customFormat="1" outlineLevel="1" x14ac:dyDescent="0.35">
      <c r="A126" s="21"/>
      <c r="AE126" s="15"/>
    </row>
    <row r="127" spans="1:31" s="16" customFormat="1" outlineLevel="1" x14ac:dyDescent="0.35">
      <c r="A127" s="22" t="s">
        <v>761</v>
      </c>
    </row>
    <row r="128" spans="1:31" s="16" customFormat="1" outlineLevel="1" x14ac:dyDescent="0.35">
      <c r="A128" s="22"/>
      <c r="AB128" s="16" t="s">
        <v>127</v>
      </c>
      <c r="AC128" s="16">
        <v>100</v>
      </c>
      <c r="AD128" s="16" t="s">
        <v>128</v>
      </c>
    </row>
    <row r="129" spans="1:53" s="16" customFormat="1" outlineLevel="1" x14ac:dyDescent="0.35">
      <c r="A129" s="230" t="s">
        <v>768</v>
      </c>
      <c r="AB129" s="16" t="s">
        <v>20</v>
      </c>
      <c r="AC129" s="16">
        <v>0.23</v>
      </c>
      <c r="AD129" s="16" t="s">
        <v>715</v>
      </c>
    </row>
    <row r="130" spans="1:53" s="16" customFormat="1" outlineLevel="1" x14ac:dyDescent="0.35">
      <c r="A130" s="22"/>
      <c r="AB130" s="16" t="s">
        <v>129</v>
      </c>
      <c r="AC130" s="16">
        <v>25</v>
      </c>
      <c r="AD130" s="16" t="s">
        <v>130</v>
      </c>
    </row>
    <row r="131" spans="1:53" outlineLevel="1" x14ac:dyDescent="0.35">
      <c r="B131" s="25">
        <v>2030</v>
      </c>
      <c r="C131" s="25">
        <v>2031</v>
      </c>
      <c r="D131" s="25">
        <v>2032</v>
      </c>
      <c r="E131" s="25">
        <v>2033</v>
      </c>
      <c r="F131" s="25">
        <v>2034</v>
      </c>
      <c r="G131" s="25">
        <v>2035</v>
      </c>
      <c r="H131" s="25">
        <v>2036</v>
      </c>
      <c r="I131" s="25">
        <v>2037</v>
      </c>
      <c r="J131" s="25">
        <v>2038</v>
      </c>
      <c r="K131" s="25">
        <v>2039</v>
      </c>
      <c r="L131" s="25">
        <v>2040</v>
      </c>
      <c r="M131" s="25">
        <v>2041</v>
      </c>
      <c r="N131" s="25">
        <v>2042</v>
      </c>
      <c r="O131" s="25">
        <v>2043</v>
      </c>
      <c r="P131" s="25">
        <v>2044</v>
      </c>
      <c r="Q131" s="25">
        <v>2045</v>
      </c>
      <c r="R131" s="25">
        <v>2046</v>
      </c>
      <c r="S131" s="25">
        <v>2047</v>
      </c>
      <c r="T131" s="25">
        <v>2048</v>
      </c>
      <c r="U131" s="25">
        <v>2049</v>
      </c>
      <c r="V131" s="25">
        <v>2050</v>
      </c>
      <c r="W131" s="25">
        <v>2051</v>
      </c>
      <c r="X131" s="25">
        <v>2052</v>
      </c>
      <c r="Y131" s="25">
        <v>2053</v>
      </c>
      <c r="Z131" s="25">
        <v>2054</v>
      </c>
      <c r="AC131" s="25">
        <v>2030</v>
      </c>
      <c r="AD131" s="25">
        <v>2031</v>
      </c>
      <c r="AE131" s="25">
        <v>2032</v>
      </c>
      <c r="AF131" s="25">
        <v>2033</v>
      </c>
      <c r="AG131" s="25">
        <v>2034</v>
      </c>
      <c r="AH131" s="25">
        <v>2035</v>
      </c>
      <c r="AI131" s="25">
        <v>2036</v>
      </c>
      <c r="AJ131" s="25">
        <v>2037</v>
      </c>
      <c r="AK131" s="25">
        <v>2038</v>
      </c>
      <c r="AL131" s="25">
        <v>2039</v>
      </c>
      <c r="AM131" s="25">
        <v>2040</v>
      </c>
      <c r="AN131" s="25">
        <v>2041</v>
      </c>
      <c r="AO131" s="25">
        <v>2042</v>
      </c>
      <c r="AP131" s="25">
        <v>2043</v>
      </c>
      <c r="AQ131" s="25">
        <v>2044</v>
      </c>
      <c r="AR131" s="25">
        <v>2045</v>
      </c>
      <c r="AS131" s="25">
        <v>2046</v>
      </c>
      <c r="AT131" s="25">
        <v>2047</v>
      </c>
      <c r="AU131" s="25">
        <v>2048</v>
      </c>
      <c r="AV131" s="25">
        <v>2049</v>
      </c>
      <c r="AW131" s="25">
        <v>2050</v>
      </c>
      <c r="AX131" s="25">
        <v>2051</v>
      </c>
      <c r="AY131" s="25">
        <v>2052</v>
      </c>
      <c r="AZ131" s="25">
        <v>2053</v>
      </c>
      <c r="BA131" s="25">
        <v>2054</v>
      </c>
    </row>
    <row r="132" spans="1:53" outlineLevel="1" x14ac:dyDescent="0.35">
      <c r="A132" s="6" t="s">
        <v>21</v>
      </c>
      <c r="B132" s="6">
        <f>'Results - raw data ReCiPe (I)'!BC5</f>
        <v>76.767492302520182</v>
      </c>
      <c r="AB132" s="6" t="s">
        <v>117</v>
      </c>
      <c r="AC132" s="6">
        <f>SUM(B132:B143)+B145</f>
        <v>2878.9918075462724</v>
      </c>
    </row>
    <row r="133" spans="1:53" outlineLevel="1" x14ac:dyDescent="0.35">
      <c r="A133" s="6" t="s">
        <v>23</v>
      </c>
      <c r="B133" s="6">
        <f>'Results - raw data ReCiPe (I)'!BC6</f>
        <v>338.00738724341471</v>
      </c>
      <c r="AB133" s="6" t="s">
        <v>118</v>
      </c>
      <c r="AC133" s="6">
        <f>B144</f>
        <v>270.56319436365197</v>
      </c>
    </row>
    <row r="134" spans="1:53" outlineLevel="1" x14ac:dyDescent="0.35">
      <c r="A134" s="6" t="s">
        <v>26</v>
      </c>
      <c r="B134" s="6">
        <f>'Results - raw data ReCiPe (I)'!BC7</f>
        <v>323.4318262539179</v>
      </c>
      <c r="AB134" s="6" t="s">
        <v>119</v>
      </c>
      <c r="BA134" s="6">
        <f>SUM(Z146:Z157)</f>
        <v>45.667206385167617</v>
      </c>
    </row>
    <row r="135" spans="1:53" outlineLevel="1" x14ac:dyDescent="0.35">
      <c r="A135" s="6" t="s">
        <v>28</v>
      </c>
      <c r="B135" s="6">
        <f>'Results - raw data ReCiPe (I)'!BC8</f>
        <v>232.54506805144459</v>
      </c>
      <c r="AB135" s="6" t="s">
        <v>120</v>
      </c>
      <c r="BA135" s="6">
        <f>Z158</f>
        <v>1.3426941091969788</v>
      </c>
    </row>
    <row r="136" spans="1:53" outlineLevel="1" x14ac:dyDescent="0.35">
      <c r="A136" s="6" t="s">
        <v>29</v>
      </c>
      <c r="B136" s="6">
        <f>'Results - raw data ReCiPe (I)'!BC9</f>
        <v>108.53636572634311</v>
      </c>
      <c r="AB136" s="6" t="s">
        <v>121</v>
      </c>
      <c r="AC136" s="6">
        <f>B159</f>
        <v>118.02764904622801</v>
      </c>
      <c r="AF136" s="6">
        <f>E159</f>
        <v>117.2066454136766</v>
      </c>
      <c r="AI136" s="6">
        <f>H159</f>
        <v>117.0826402904443</v>
      </c>
      <c r="AL136" s="6">
        <f>K159</f>
        <v>116.48331346148591</v>
      </c>
      <c r="AO136" s="6">
        <f>N159</f>
        <v>116.4010822157788</v>
      </c>
      <c r="AR136" s="6">
        <f>Q159</f>
        <v>116.1865333353054</v>
      </c>
      <c r="AU136" s="6">
        <f>T159</f>
        <v>115.889418436463</v>
      </c>
      <c r="AX136" s="6">
        <f>W159</f>
        <v>115.765483779476</v>
      </c>
      <c r="BA136" s="6">
        <f>Z159</f>
        <v>115.702219044955</v>
      </c>
    </row>
    <row r="137" spans="1:53" outlineLevel="1" x14ac:dyDescent="0.35">
      <c r="A137" s="6" t="s">
        <v>31</v>
      </c>
      <c r="B137" s="6">
        <f>'Results - raw data ReCiPe (I)'!BC10</f>
        <v>79.824583259713961</v>
      </c>
      <c r="AB137" s="6" t="s">
        <v>122</v>
      </c>
      <c r="AC137" s="6">
        <f>B162+B161</f>
        <v>1837.5090476930616</v>
      </c>
      <c r="AD137" s="6">
        <f t="shared" ref="AD137:BA137" si="15">C162+C161</f>
        <v>1845.5021760301299</v>
      </c>
      <c r="AE137" s="6">
        <f t="shared" si="15"/>
        <v>1853.5674364018564</v>
      </c>
      <c r="AF137" s="6">
        <f t="shared" si="15"/>
        <v>1857.8354212113595</v>
      </c>
      <c r="AG137" s="6">
        <f t="shared" si="15"/>
        <v>1866.0906042402401</v>
      </c>
      <c r="AH137" s="6">
        <f t="shared" si="15"/>
        <v>1874.4143756884948</v>
      </c>
      <c r="AI137" s="6">
        <f t="shared" si="15"/>
        <v>1906.0571732451494</v>
      </c>
      <c r="AJ137" s="6">
        <f t="shared" si="15"/>
        <v>1937.6644442161817</v>
      </c>
      <c r="AK137" s="6">
        <f t="shared" si="15"/>
        <v>1966.3865758187428</v>
      </c>
      <c r="AL137" s="6">
        <f t="shared" si="15"/>
        <v>1998.0376624481378</v>
      </c>
      <c r="AM137" s="6">
        <f t="shared" si="15"/>
        <v>2029.6700087474378</v>
      </c>
      <c r="AN137" s="6">
        <f t="shared" si="15"/>
        <v>2033.3390934682459</v>
      </c>
      <c r="AO137" s="6">
        <f t="shared" si="15"/>
        <v>2036.9216048695464</v>
      </c>
      <c r="AP137" s="6">
        <f t="shared" si="15"/>
        <v>2039.7332168288492</v>
      </c>
      <c r="AQ137" s="6">
        <f t="shared" si="15"/>
        <v>2043.1353248932242</v>
      </c>
      <c r="AR137" s="6">
        <f t="shared" si="15"/>
        <v>2046.4385510764143</v>
      </c>
      <c r="AS137" s="6">
        <f t="shared" si="15"/>
        <v>2118.978698313058</v>
      </c>
      <c r="AT137" s="6">
        <f t="shared" si="15"/>
        <v>2191.5534654664302</v>
      </c>
      <c r="AU137" s="6">
        <f t="shared" si="15"/>
        <v>2263.5636173784842</v>
      </c>
      <c r="AV137" s="6">
        <f t="shared" si="15"/>
        <v>2336.2558451238228</v>
      </c>
      <c r="AW137" s="6">
        <f t="shared" si="15"/>
        <v>2409.012219721636</v>
      </c>
      <c r="AX137" s="6">
        <f t="shared" si="15"/>
        <v>2424.0099778315271</v>
      </c>
      <c r="AY137" s="6">
        <f t="shared" si="15"/>
        <v>2439.1487481405629</v>
      </c>
      <c r="AZ137" s="6">
        <f t="shared" si="15"/>
        <v>2454.3893825979826</v>
      </c>
      <c r="BA137" s="6">
        <f t="shared" si="15"/>
        <v>2469.7313728499848</v>
      </c>
    </row>
    <row r="138" spans="1:53" outlineLevel="1" x14ac:dyDescent="0.35">
      <c r="A138" s="6" t="s">
        <v>34</v>
      </c>
      <c r="B138" s="6">
        <f>'Results - raw data ReCiPe (I)'!BC11</f>
        <v>52.771691831657407</v>
      </c>
      <c r="AB138" s="6" t="s">
        <v>123</v>
      </c>
      <c r="AC138" s="6">
        <f t="shared" ref="AC138:BA138" si="16">B160</f>
        <v>185.0458730795367</v>
      </c>
      <c r="AD138" s="6">
        <f t="shared" si="16"/>
        <v>185.5870061753408</v>
      </c>
      <c r="AE138" s="6">
        <f t="shared" si="16"/>
        <v>186.1317559408335</v>
      </c>
      <c r="AF138" s="6">
        <f t="shared" si="16"/>
        <v>186.3049753122952</v>
      </c>
      <c r="AG138" s="6">
        <f t="shared" si="16"/>
        <v>186.86159401415</v>
      </c>
      <c r="AH138" s="6">
        <f t="shared" si="16"/>
        <v>187.42139894988489</v>
      </c>
      <c r="AI138" s="6">
        <f t="shared" si="16"/>
        <v>190.33749070944052</v>
      </c>
      <c r="AJ138" s="6">
        <f t="shared" si="16"/>
        <v>193.24039260737891</v>
      </c>
      <c r="AK138" s="6">
        <f t="shared" si="16"/>
        <v>195.85265493849241</v>
      </c>
      <c r="AL138" s="6">
        <f t="shared" si="16"/>
        <v>198.74092132194491</v>
      </c>
      <c r="AM138" s="6">
        <f t="shared" si="16"/>
        <v>201.6178194425556</v>
      </c>
      <c r="AN138" s="6">
        <f t="shared" si="16"/>
        <v>201.7888689970024</v>
      </c>
      <c r="AO138" s="6">
        <f t="shared" si="16"/>
        <v>201.9500347911808</v>
      </c>
      <c r="AP138" s="6">
        <f t="shared" si="16"/>
        <v>202.03504034392071</v>
      </c>
      <c r="AQ138" s="6">
        <f t="shared" si="16"/>
        <v>202.17597488637722</v>
      </c>
      <c r="AR138" s="6">
        <f t="shared" si="16"/>
        <v>202.30575738198948</v>
      </c>
      <c r="AS138" s="6">
        <f t="shared" si="16"/>
        <v>209.23970997685458</v>
      </c>
      <c r="AT138" s="6">
        <f t="shared" si="16"/>
        <v>216.16324456249362</v>
      </c>
      <c r="AU138" s="6">
        <f t="shared" si="16"/>
        <v>223.01863752602168</v>
      </c>
      <c r="AV138" s="6">
        <f t="shared" si="16"/>
        <v>229.9260485609436</v>
      </c>
      <c r="AW138" s="6">
        <f t="shared" si="16"/>
        <v>236.82589937845711</v>
      </c>
      <c r="AX138" s="6">
        <f t="shared" si="16"/>
        <v>237.86094040196261</v>
      </c>
      <c r="AY138" s="6">
        <f t="shared" si="16"/>
        <v>238.90809153153509</v>
      </c>
      <c r="AZ138" s="6">
        <f t="shared" si="16"/>
        <v>239.95899568543302</v>
      </c>
      <c r="BA138" s="6">
        <f t="shared" si="16"/>
        <v>241.0134498082281</v>
      </c>
    </row>
    <row r="139" spans="1:53" outlineLevel="1" x14ac:dyDescent="0.35">
      <c r="A139" s="6" t="s">
        <v>36</v>
      </c>
      <c r="B139" s="6">
        <f>'Results - raw data ReCiPe (I)'!BC12</f>
        <v>61.224159595716117</v>
      </c>
      <c r="AB139" s="6" t="s">
        <v>124</v>
      </c>
    </row>
    <row r="140" spans="1:53" outlineLevel="1" x14ac:dyDescent="0.35">
      <c r="A140" s="6" t="s">
        <v>38</v>
      </c>
      <c r="B140" s="6">
        <f>'Results - raw data ReCiPe (I)'!BC13</f>
        <v>676.12434605426552</v>
      </c>
      <c r="AB140" s="23" t="s">
        <v>125</v>
      </c>
      <c r="AC140" s="17">
        <f t="shared" ref="AC140:BA140" si="17">SUM(AC132:AC139)</f>
        <v>5290.1375717287501</v>
      </c>
      <c r="AD140" s="17">
        <f t="shared" si="17"/>
        <v>2031.0891822054707</v>
      </c>
      <c r="AE140" s="17">
        <f t="shared" si="17"/>
        <v>2039.6991923426899</v>
      </c>
      <c r="AF140" s="17">
        <f t="shared" si="17"/>
        <v>2161.3470419373311</v>
      </c>
      <c r="AG140" s="17">
        <f t="shared" si="17"/>
        <v>2052.9521982543902</v>
      </c>
      <c r="AH140" s="17">
        <f t="shared" si="17"/>
        <v>2061.8357746383799</v>
      </c>
      <c r="AI140" s="17">
        <f t="shared" si="17"/>
        <v>2213.4773042450342</v>
      </c>
      <c r="AJ140" s="17">
        <f t="shared" si="17"/>
        <v>2130.9048368235608</v>
      </c>
      <c r="AK140" s="17">
        <f t="shared" si="17"/>
        <v>2162.2392307572354</v>
      </c>
      <c r="AL140" s="17">
        <f t="shared" si="17"/>
        <v>2313.2618972315686</v>
      </c>
      <c r="AM140" s="17">
        <f t="shared" si="17"/>
        <v>2231.2878281899934</v>
      </c>
      <c r="AN140" s="17">
        <f t="shared" si="17"/>
        <v>2235.1279624652484</v>
      </c>
      <c r="AO140" s="17">
        <f t="shared" si="17"/>
        <v>2355.2727218765058</v>
      </c>
      <c r="AP140" s="17">
        <f t="shared" si="17"/>
        <v>2241.7682571727701</v>
      </c>
      <c r="AQ140" s="17">
        <f t="shared" si="17"/>
        <v>2245.3112997796015</v>
      </c>
      <c r="AR140" s="17">
        <f t="shared" si="17"/>
        <v>2364.9308417937095</v>
      </c>
      <c r="AS140" s="17">
        <f t="shared" si="17"/>
        <v>2328.2184082899125</v>
      </c>
      <c r="AT140" s="17">
        <f t="shared" si="17"/>
        <v>2407.7167100289239</v>
      </c>
      <c r="AU140" s="17">
        <f t="shared" si="17"/>
        <v>2602.4716733409691</v>
      </c>
      <c r="AV140" s="17">
        <f t="shared" si="17"/>
        <v>2566.1818936847662</v>
      </c>
      <c r="AW140" s="17">
        <f t="shared" si="17"/>
        <v>2645.8381191000931</v>
      </c>
      <c r="AX140" s="17">
        <f t="shared" si="17"/>
        <v>2777.6364020129658</v>
      </c>
      <c r="AY140" s="17">
        <f t="shared" si="17"/>
        <v>2678.0568396720982</v>
      </c>
      <c r="AZ140" s="17">
        <f t="shared" si="17"/>
        <v>2694.3483782834155</v>
      </c>
      <c r="BA140" s="17">
        <f t="shared" si="17"/>
        <v>2873.4569421975325</v>
      </c>
    </row>
    <row r="141" spans="1:53" outlineLevel="1" x14ac:dyDescent="0.35">
      <c r="A141" s="6" t="s">
        <v>39</v>
      </c>
      <c r="B141" s="6">
        <f>'Results - raw data ReCiPe (I)'!BC14</f>
        <v>708.24896256388683</v>
      </c>
    </row>
    <row r="142" spans="1:53" outlineLevel="1" x14ac:dyDescent="0.35">
      <c r="A142" s="6" t="s">
        <v>41</v>
      </c>
      <c r="B142" s="6">
        <f>'Results - raw data ReCiPe (I)'!BC15</f>
        <v>53.280996790889731</v>
      </c>
    </row>
    <row r="143" spans="1:53" outlineLevel="1" x14ac:dyDescent="0.35">
      <c r="A143" s="6" t="s">
        <v>43</v>
      </c>
      <c r="B143" s="6">
        <f>'Results - raw data ReCiPe (I)'!BC16</f>
        <v>73.643519008709234</v>
      </c>
      <c r="AB143" s="219"/>
      <c r="AC143" s="219"/>
      <c r="AD143" s="219"/>
      <c r="AE143" s="219"/>
      <c r="AF143" s="219"/>
      <c r="AG143" s="219"/>
      <c r="AH143" s="219"/>
      <c r="AI143" s="219"/>
      <c r="AJ143" s="219"/>
      <c r="AK143" s="219"/>
      <c r="AL143" s="219"/>
      <c r="AM143" s="219"/>
      <c r="AN143" s="219"/>
      <c r="AO143" s="219"/>
      <c r="AP143" s="219"/>
      <c r="AQ143" s="219"/>
      <c r="AR143" s="219"/>
      <c r="AS143" s="219"/>
      <c r="AT143" s="219"/>
      <c r="AU143" s="219"/>
      <c r="AV143" s="219"/>
      <c r="AW143" s="219"/>
      <c r="AX143" s="219"/>
      <c r="AY143" s="219"/>
      <c r="AZ143" s="219"/>
      <c r="BA143" s="219"/>
    </row>
    <row r="144" spans="1:53" outlineLevel="1" x14ac:dyDescent="0.35">
      <c r="A144" s="6" t="s">
        <v>44</v>
      </c>
      <c r="B144" s="6">
        <f>'Results - raw data ReCiPe (I)'!BC17*AC128*AC130</f>
        <v>270.56319436365197</v>
      </c>
      <c r="AB144" s="219"/>
      <c r="AC144" s="219"/>
      <c r="AD144" s="219"/>
      <c r="AE144" s="219"/>
      <c r="AF144" s="219"/>
      <c r="AG144" s="219"/>
      <c r="AH144" s="219"/>
      <c r="AI144" s="219"/>
      <c r="AJ144" s="219"/>
      <c r="AK144" s="219"/>
      <c r="AL144" s="219"/>
      <c r="AM144" s="219"/>
      <c r="AN144" s="219"/>
      <c r="AO144" s="219"/>
      <c r="AP144" s="219"/>
      <c r="AQ144" s="219"/>
      <c r="AR144" s="219"/>
      <c r="AS144" s="219"/>
      <c r="AT144" s="219"/>
      <c r="AU144" s="219"/>
      <c r="AV144" s="219"/>
      <c r="AW144" s="219"/>
      <c r="AX144" s="219"/>
      <c r="AY144" s="219"/>
      <c r="AZ144" s="219"/>
      <c r="BA144" s="219"/>
    </row>
    <row r="145" spans="1:53" outlineLevel="1" x14ac:dyDescent="0.35">
      <c r="A145" s="6" t="s">
        <v>757</v>
      </c>
      <c r="B145" s="6">
        <f>'Results - raw data ReCiPe (I)'!BC18*AC128*AC130</f>
        <v>94.585408863793219</v>
      </c>
      <c r="AB145" s="219"/>
      <c r="AC145" s="219"/>
      <c r="AD145" s="219"/>
      <c r="AE145" s="219"/>
      <c r="AF145" s="219"/>
      <c r="AG145" s="219"/>
      <c r="AH145" s="219"/>
      <c r="AI145" s="219"/>
      <c r="AJ145" s="219"/>
      <c r="AK145" s="219"/>
      <c r="AL145" s="219"/>
      <c r="AM145" s="219"/>
      <c r="AN145" s="219"/>
      <c r="AO145" s="219"/>
      <c r="AP145" s="219"/>
      <c r="AQ145" s="219"/>
      <c r="AR145" s="219"/>
      <c r="AS145" s="219"/>
      <c r="AT145" s="219"/>
      <c r="AU145" s="219"/>
      <c r="AV145" s="219"/>
      <c r="AW145" s="219"/>
      <c r="AX145" s="219"/>
      <c r="AY145" s="219"/>
      <c r="AZ145" s="219"/>
      <c r="BA145" s="219"/>
    </row>
    <row r="146" spans="1:53" outlineLevel="1" x14ac:dyDescent="0.35">
      <c r="A146" s="6" t="s">
        <v>22</v>
      </c>
      <c r="Z146" s="6">
        <f>'Results - raw data ReCiPe (I)'!CA19</f>
        <v>0.33401882632561952</v>
      </c>
      <c r="AB146" s="219"/>
      <c r="AC146" s="219"/>
      <c r="AD146" s="219"/>
      <c r="AE146" s="219"/>
      <c r="AF146" s="219"/>
      <c r="AG146" s="219"/>
      <c r="AH146" s="219"/>
      <c r="AI146" s="219"/>
      <c r="AJ146" s="219"/>
      <c r="AK146" s="219"/>
      <c r="AL146" s="219"/>
      <c r="AM146" s="219"/>
      <c r="AN146" s="219"/>
      <c r="AO146" s="219"/>
      <c r="AP146" s="219"/>
      <c r="AQ146" s="219"/>
      <c r="AR146" s="219"/>
      <c r="AS146" s="219"/>
      <c r="AT146" s="219"/>
      <c r="AU146" s="219"/>
      <c r="AV146" s="219"/>
      <c r="AW146" s="219"/>
      <c r="AX146" s="219"/>
      <c r="AY146" s="219"/>
      <c r="AZ146" s="219"/>
      <c r="BA146" s="219"/>
    </row>
    <row r="147" spans="1:53" outlineLevel="1" x14ac:dyDescent="0.35">
      <c r="A147" s="6" t="s">
        <v>24</v>
      </c>
      <c r="Z147" s="6">
        <f>'Results - raw data ReCiPe (I)'!CA20</f>
        <v>0.37174567535029729</v>
      </c>
      <c r="AB147" s="219"/>
      <c r="AC147" s="219"/>
      <c r="AD147" s="219"/>
      <c r="AE147" s="219"/>
      <c r="AF147" s="219"/>
      <c r="AG147" s="219"/>
      <c r="AH147" s="219"/>
      <c r="AI147" s="219"/>
      <c r="AJ147" s="219"/>
      <c r="AK147" s="219"/>
      <c r="AL147" s="219"/>
      <c r="AM147" s="219"/>
      <c r="AN147" s="219"/>
      <c r="AO147" s="219"/>
      <c r="AP147" s="219"/>
      <c r="AQ147" s="219"/>
      <c r="AR147" s="219"/>
      <c r="AS147" s="219"/>
      <c r="AT147" s="219"/>
      <c r="AU147" s="219"/>
      <c r="AV147" s="219"/>
      <c r="AW147" s="219"/>
      <c r="AX147" s="219"/>
      <c r="AY147" s="219"/>
      <c r="AZ147" s="219"/>
      <c r="BA147" s="219"/>
    </row>
    <row r="148" spans="1:53" outlineLevel="1" x14ac:dyDescent="0.35">
      <c r="A148" s="6" t="s">
        <v>25</v>
      </c>
      <c r="Z148" s="6">
        <f>'Results - raw data ReCiPe (I)'!CA21</f>
        <v>1.7156655158669361</v>
      </c>
      <c r="AB148" s="219"/>
      <c r="AC148" s="219"/>
      <c r="AD148" s="219"/>
      <c r="AE148" s="219"/>
      <c r="AF148" s="219"/>
      <c r="AG148" s="219"/>
      <c r="AH148" s="219"/>
      <c r="AI148" s="219"/>
      <c r="AJ148" s="219"/>
      <c r="AK148" s="219"/>
      <c r="AL148" s="219"/>
      <c r="AM148" s="219"/>
      <c r="AN148" s="219"/>
      <c r="AO148" s="219"/>
      <c r="AP148" s="219"/>
      <c r="AQ148" s="219"/>
      <c r="AR148" s="219"/>
      <c r="AS148" s="219"/>
      <c r="AT148" s="219"/>
      <c r="AU148" s="219"/>
      <c r="AV148" s="219"/>
      <c r="AW148" s="219"/>
      <c r="AX148" s="219"/>
      <c r="AY148" s="219"/>
      <c r="AZ148" s="219"/>
      <c r="BA148" s="219"/>
    </row>
    <row r="149" spans="1:53" outlineLevel="1" x14ac:dyDescent="0.35">
      <c r="A149" s="6" t="s">
        <v>27</v>
      </c>
      <c r="Z149" s="6">
        <f>'Results - raw data ReCiPe (I)'!CA22</f>
        <v>1.0331687521724979</v>
      </c>
      <c r="AB149" s="219"/>
      <c r="AC149" s="219"/>
      <c r="AD149" s="219"/>
      <c r="AE149" s="219"/>
      <c r="AF149" s="219"/>
      <c r="AG149" s="219"/>
      <c r="AH149" s="219"/>
      <c r="AI149" s="219"/>
      <c r="AJ149" s="219"/>
      <c r="AK149" s="219"/>
      <c r="AL149" s="219"/>
      <c r="AM149" s="219"/>
      <c r="AN149" s="219"/>
      <c r="AO149" s="219"/>
      <c r="AP149" s="219"/>
      <c r="AQ149" s="219"/>
      <c r="AR149" s="219"/>
      <c r="AS149" s="219"/>
      <c r="AT149" s="219"/>
      <c r="AU149" s="219"/>
      <c r="AV149" s="219"/>
      <c r="AW149" s="219"/>
      <c r="AX149" s="219"/>
      <c r="AY149" s="219"/>
      <c r="AZ149" s="219"/>
      <c r="BA149" s="219"/>
    </row>
    <row r="150" spans="1:53" outlineLevel="1" x14ac:dyDescent="0.35">
      <c r="A150" s="6" t="s">
        <v>30</v>
      </c>
      <c r="Z150" s="6">
        <f>'Results - raw data ReCiPe (I)'!CA23</f>
        <v>0.41020634885926188</v>
      </c>
      <c r="AB150" s="219"/>
      <c r="AC150" s="219"/>
      <c r="AD150" s="219"/>
      <c r="AE150" s="219"/>
      <c r="AF150" s="219"/>
      <c r="AG150" s="219"/>
      <c r="AH150" s="219"/>
      <c r="AI150" s="219"/>
      <c r="AJ150" s="219"/>
      <c r="AK150" s="219"/>
      <c r="AL150" s="219"/>
      <c r="AM150" s="219"/>
      <c r="AN150" s="219"/>
      <c r="AO150" s="219"/>
      <c r="AP150" s="219"/>
      <c r="AQ150" s="219"/>
      <c r="AR150" s="219"/>
      <c r="AS150" s="219"/>
      <c r="AT150" s="219"/>
      <c r="AU150" s="219"/>
      <c r="AV150" s="219"/>
      <c r="AW150" s="219"/>
      <c r="AX150" s="219"/>
      <c r="AY150" s="219"/>
      <c r="AZ150" s="219"/>
      <c r="BA150" s="219"/>
    </row>
    <row r="151" spans="1:53" outlineLevel="1" x14ac:dyDescent="0.35">
      <c r="A151" s="6" t="s">
        <v>32</v>
      </c>
      <c r="Z151" s="6">
        <f>'Results - raw data ReCiPe (I)'!CA24</f>
        <v>0.18412691445675031</v>
      </c>
      <c r="AB151" s="219"/>
      <c r="AC151" s="219"/>
      <c r="AD151" s="219"/>
      <c r="AE151" s="219"/>
      <c r="AF151" s="219"/>
      <c r="AG151" s="219"/>
      <c r="AH151" s="219"/>
      <c r="AI151" s="219"/>
      <c r="AJ151" s="219"/>
      <c r="AK151" s="219"/>
      <c r="AL151" s="219"/>
      <c r="AM151" s="219"/>
      <c r="AN151" s="219"/>
      <c r="AO151" s="219"/>
      <c r="AP151" s="219"/>
      <c r="AQ151" s="219"/>
      <c r="AR151" s="219"/>
      <c r="AS151" s="219"/>
      <c r="AT151" s="219"/>
      <c r="AU151" s="219"/>
      <c r="AV151" s="219"/>
      <c r="AW151" s="219"/>
      <c r="AX151" s="219"/>
      <c r="AY151" s="219"/>
      <c r="AZ151" s="219"/>
      <c r="BA151" s="219"/>
    </row>
    <row r="152" spans="1:53" outlineLevel="1" x14ac:dyDescent="0.35">
      <c r="A152" s="6" t="s">
        <v>33</v>
      </c>
      <c r="Z152" s="6">
        <f>'Results - raw data ReCiPe (I)'!CA25</f>
        <v>0.1062742806047989</v>
      </c>
      <c r="AB152" s="219"/>
      <c r="AC152" s="219"/>
      <c r="AD152" s="219"/>
      <c r="AE152" s="219"/>
      <c r="AF152" s="219"/>
      <c r="AG152" s="219"/>
      <c r="AH152" s="219"/>
      <c r="AI152" s="219"/>
      <c r="AJ152" s="219"/>
      <c r="AK152" s="219"/>
      <c r="AL152" s="219"/>
      <c r="AM152" s="219"/>
      <c r="AN152" s="219"/>
      <c r="AO152" s="219"/>
      <c r="AP152" s="219"/>
      <c r="AQ152" s="219"/>
      <c r="AR152" s="219"/>
      <c r="AS152" s="219"/>
      <c r="AT152" s="219"/>
      <c r="AU152" s="219"/>
      <c r="AV152" s="219"/>
      <c r="AW152" s="219"/>
      <c r="AX152" s="219"/>
      <c r="AY152" s="219"/>
      <c r="AZ152" s="219"/>
      <c r="BA152" s="219"/>
    </row>
    <row r="153" spans="1:53" outlineLevel="1" x14ac:dyDescent="0.35">
      <c r="A153" s="6" t="s">
        <v>35</v>
      </c>
      <c r="Z153" s="6">
        <f>'Results - raw data ReCiPe (I)'!CA26</f>
        <v>0.21254856120959789</v>
      </c>
      <c r="AB153" s="219"/>
      <c r="AC153" s="219"/>
      <c r="AD153" s="219"/>
      <c r="AE153" s="219"/>
      <c r="AF153" s="219"/>
      <c r="AG153" s="219"/>
      <c r="AH153" s="219"/>
      <c r="AI153" s="219"/>
      <c r="AJ153" s="219"/>
      <c r="AK153" s="219"/>
      <c r="AL153" s="219"/>
      <c r="AM153" s="219"/>
      <c r="AN153" s="219"/>
      <c r="AO153" s="219"/>
      <c r="AP153" s="219"/>
      <c r="AQ153" s="219"/>
      <c r="AR153" s="219"/>
      <c r="AS153" s="219"/>
      <c r="AT153" s="219"/>
      <c r="AU153" s="219"/>
      <c r="AV153" s="219"/>
      <c r="AW153" s="219"/>
      <c r="AX153" s="219"/>
      <c r="AY153" s="219"/>
      <c r="AZ153" s="219"/>
      <c r="BA153" s="219"/>
    </row>
    <row r="154" spans="1:53" outlineLevel="1" x14ac:dyDescent="0.35">
      <c r="A154" s="6" t="s">
        <v>37</v>
      </c>
      <c r="Z154" s="6">
        <f>'Results - raw data ReCiPe (I)'!CA27</f>
        <v>3.132562457996884</v>
      </c>
      <c r="AB154" s="219"/>
      <c r="AC154" s="219"/>
      <c r="AD154" s="219"/>
      <c r="AE154" s="219"/>
      <c r="AF154" s="219"/>
      <c r="AG154" s="219"/>
      <c r="AH154" s="219"/>
      <c r="AI154" s="219"/>
      <c r="AJ154" s="219"/>
      <c r="AK154" s="219"/>
      <c r="AL154" s="219"/>
      <c r="AM154" s="219"/>
      <c r="AN154" s="219"/>
      <c r="AO154" s="219"/>
      <c r="AP154" s="219"/>
      <c r="AQ154" s="219"/>
      <c r="AR154" s="219"/>
      <c r="AS154" s="219"/>
      <c r="AT154" s="219"/>
      <c r="AU154" s="219"/>
      <c r="AV154" s="219"/>
      <c r="AW154" s="219"/>
      <c r="AX154" s="219"/>
      <c r="AY154" s="219"/>
      <c r="AZ154" s="219"/>
      <c r="BA154" s="219"/>
    </row>
    <row r="155" spans="1:53" outlineLevel="1" x14ac:dyDescent="0.35">
      <c r="A155" s="6" t="s">
        <v>40</v>
      </c>
      <c r="Z155" s="6">
        <f>'Results - raw data ReCiPe (I)'!CA28</f>
        <v>1.49141294639072</v>
      </c>
    </row>
    <row r="156" spans="1:53" outlineLevel="1" x14ac:dyDescent="0.35">
      <c r="A156" s="6" t="s">
        <v>42</v>
      </c>
      <c r="Z156" s="6">
        <f>'Results - raw data ReCiPe (I)'!CA29</f>
        <v>3.9182755663625111</v>
      </c>
    </row>
    <row r="157" spans="1:53" outlineLevel="1" x14ac:dyDescent="0.35">
      <c r="A157" s="6" t="s">
        <v>115</v>
      </c>
      <c r="Z157" s="6">
        <f>'Results - raw data ReCiPe (I)'!CA30</f>
        <v>32.757200539571741</v>
      </c>
    </row>
    <row r="158" spans="1:53" outlineLevel="1" x14ac:dyDescent="0.35">
      <c r="A158" s="6" t="s">
        <v>45</v>
      </c>
      <c r="Z158" s="6">
        <f>'Results - raw data ReCiPe (I)'!CA31*AC128*AC130</f>
        <v>1.3426941091969788</v>
      </c>
    </row>
    <row r="159" spans="1:53" outlineLevel="1" x14ac:dyDescent="0.35">
      <c r="A159" s="6" t="s">
        <v>116</v>
      </c>
      <c r="B159" s="6">
        <f>'Results - raw data ReCiPe (I)'!BC32</f>
        <v>118.02764904622801</v>
      </c>
      <c r="C159" s="6">
        <f>'Results - raw data ReCiPe (I)'!BD32</f>
        <v>117.98373872622631</v>
      </c>
      <c r="D159" s="6">
        <f>'Results - raw data ReCiPe (I)'!BE32</f>
        <v>117.94039073957509</v>
      </c>
      <c r="E159" s="6">
        <f>'Results - raw data ReCiPe (I)'!BF32</f>
        <v>117.2066454136766</v>
      </c>
      <c r="F159" s="6">
        <f>'Results - raw data ReCiPe (I)'!BG32</f>
        <v>117.1656896823397</v>
      </c>
      <c r="G159" s="6">
        <f>'Results - raw data ReCiPe (I)'!BH32</f>
        <v>117.1250551001704</v>
      </c>
      <c r="H159" s="6">
        <f>'Results - raw data ReCiPe (I)'!BI32</f>
        <v>117.0826402904443</v>
      </c>
      <c r="I159" s="6">
        <f>'Results - raw data ReCiPe (I)'!BJ32</f>
        <v>117.0403377490028</v>
      </c>
      <c r="J159" s="6">
        <f>'Results - raw data ReCiPe (I)'!BK32</f>
        <v>116.5223451401131</v>
      </c>
      <c r="K159" s="6">
        <f>'Results - raw data ReCiPe (I)'!BL32</f>
        <v>116.48331346148591</v>
      </c>
      <c r="L159" s="6">
        <f>'Results - raw data ReCiPe (I)'!BM32</f>
        <v>116.44433520141639</v>
      </c>
      <c r="M159" s="6">
        <f>'Results - raw data ReCiPe (I)'!BN32</f>
        <v>116.42301971193</v>
      </c>
      <c r="N159" s="6">
        <f>'Results - raw data ReCiPe (I)'!BO32</f>
        <v>116.4010822157788</v>
      </c>
      <c r="O159" s="6">
        <f>'Results - raw data ReCiPe (I)'!BP32</f>
        <v>116.2311850172577</v>
      </c>
      <c r="P159" s="6">
        <f>'Results - raw data ReCiPe (I)'!BQ32</f>
        <v>116.2091861190398</v>
      </c>
      <c r="Q159" s="6">
        <f>'Results - raw data ReCiPe (I)'!BR32</f>
        <v>116.1865333353054</v>
      </c>
      <c r="R159" s="6">
        <f>'Results - raw data ReCiPe (I)'!BS32</f>
        <v>116.1354305145795</v>
      </c>
      <c r="S159" s="6">
        <f>'Results - raw data ReCiPe (I)'!BT32</f>
        <v>116.0838942184931</v>
      </c>
      <c r="T159" s="6">
        <f>'Results - raw data ReCiPe (I)'!BU32</f>
        <v>115.889418436463</v>
      </c>
      <c r="U159" s="6">
        <f>'Results - raw data ReCiPe (I)'!BV32</f>
        <v>115.83864558274711</v>
      </c>
      <c r="V159" s="6">
        <f>'Results - raw data ReCiPe (I)'!BW32</f>
        <v>115.78749641573989</v>
      </c>
      <c r="W159" s="6">
        <f>'Results - raw data ReCiPe (I)'!BX32</f>
        <v>115.765483779476</v>
      </c>
      <c r="X159" s="6">
        <f>'Results - raw data ReCiPe (I)'!BY32</f>
        <v>115.7440081863779</v>
      </c>
      <c r="Y159" s="6">
        <f>'Results - raw data ReCiPe (I)'!BZ32</f>
        <v>115.722919994202</v>
      </c>
      <c r="Z159" s="6">
        <f>'Results - raw data ReCiPe (I)'!CA32</f>
        <v>115.702219044955</v>
      </c>
    </row>
    <row r="160" spans="1:53" outlineLevel="1" x14ac:dyDescent="0.35">
      <c r="A160" s="6" t="s">
        <v>758</v>
      </c>
      <c r="B160" s="6">
        <f>'Results - raw data ReCiPe (I)'!BC33*$AC$128</f>
        <v>185.0458730795367</v>
      </c>
      <c r="C160" s="6">
        <f>'Results - raw data ReCiPe (I)'!BD33*$AC$128</f>
        <v>185.5870061753408</v>
      </c>
      <c r="D160" s="6">
        <f>'Results - raw data ReCiPe (I)'!BE33*$AC$128</f>
        <v>186.1317559408335</v>
      </c>
      <c r="E160" s="6">
        <f>'Results - raw data ReCiPe (I)'!BF33*$AC$128</f>
        <v>186.3049753122952</v>
      </c>
      <c r="F160" s="6">
        <f>'Results - raw data ReCiPe (I)'!BG33*$AC$128</f>
        <v>186.86159401415</v>
      </c>
      <c r="G160" s="6">
        <f>'Results - raw data ReCiPe (I)'!BH33*$AC$128</f>
        <v>187.42139894988489</v>
      </c>
      <c r="H160" s="6">
        <f>'Results - raw data ReCiPe (I)'!BI33*$AC$128</f>
        <v>190.33749070944052</v>
      </c>
      <c r="I160" s="6">
        <f>'Results - raw data ReCiPe (I)'!BJ33*$AC$128</f>
        <v>193.24039260737891</v>
      </c>
      <c r="J160" s="6">
        <f>'Results - raw data ReCiPe (I)'!BK33*$AC$128</f>
        <v>195.85265493849241</v>
      </c>
      <c r="K160" s="6">
        <f>'Results - raw data ReCiPe (I)'!BL33*$AC$128</f>
        <v>198.74092132194491</v>
      </c>
      <c r="L160" s="6">
        <f>'Results - raw data ReCiPe (I)'!BM33*$AC$128</f>
        <v>201.6178194425556</v>
      </c>
      <c r="M160" s="6">
        <f>'Results - raw data ReCiPe (I)'!BN33*$AC$128</f>
        <v>201.7888689970024</v>
      </c>
      <c r="N160" s="6">
        <f>'Results - raw data ReCiPe (I)'!BO33*$AC$128</f>
        <v>201.9500347911808</v>
      </c>
      <c r="O160" s="6">
        <f>'Results - raw data ReCiPe (I)'!BP33*$AC$128</f>
        <v>202.03504034392071</v>
      </c>
      <c r="P160" s="6">
        <f>'Results - raw data ReCiPe (I)'!BQ33*$AC$128</f>
        <v>202.17597488637722</v>
      </c>
      <c r="Q160" s="6">
        <f>'Results - raw data ReCiPe (I)'!BR33*$AC$128</f>
        <v>202.30575738198948</v>
      </c>
      <c r="R160" s="6">
        <f>'Results - raw data ReCiPe (I)'!BS33*$AC$128</f>
        <v>209.23970997685458</v>
      </c>
      <c r="S160" s="6">
        <f>'Results - raw data ReCiPe (I)'!BT33*$AC$128</f>
        <v>216.16324456249362</v>
      </c>
      <c r="T160" s="6">
        <f>'Results - raw data ReCiPe (I)'!BU33*$AC$128</f>
        <v>223.01863752602168</v>
      </c>
      <c r="U160" s="6">
        <f>'Results - raw data ReCiPe (I)'!BV33*$AC$128</f>
        <v>229.9260485609436</v>
      </c>
      <c r="V160" s="6">
        <f>'Results - raw data ReCiPe (I)'!BW33*$AC$128</f>
        <v>236.82589937845711</v>
      </c>
      <c r="W160" s="6">
        <f>'Results - raw data ReCiPe (I)'!BX33*$AC$128</f>
        <v>237.86094040196261</v>
      </c>
      <c r="X160" s="6">
        <f>'Results - raw data ReCiPe (I)'!BY33*$AC$128</f>
        <v>238.90809153153509</v>
      </c>
      <c r="Y160" s="6">
        <f>'Results - raw data ReCiPe (I)'!BZ33*$AC$128</f>
        <v>239.95899568543302</v>
      </c>
      <c r="Z160" s="6">
        <f>'Results - raw data ReCiPe (I)'!CA33*$AC$128</f>
        <v>241.0134498082281</v>
      </c>
    </row>
    <row r="161" spans="1:53" outlineLevel="1" x14ac:dyDescent="0.35">
      <c r="A161" s="6" t="s">
        <v>759</v>
      </c>
      <c r="B161" s="6">
        <f>'Results - raw data ReCiPe (I)'!BC34</f>
        <v>0</v>
      </c>
      <c r="C161" s="6">
        <f>'Results - raw data ReCiPe (I)'!BD34</f>
        <v>0</v>
      </c>
      <c r="D161" s="6">
        <f>'Results - raw data ReCiPe (I)'!BE34</f>
        <v>0</v>
      </c>
      <c r="E161" s="6">
        <f>'Results - raw data ReCiPe (I)'!BF34</f>
        <v>0</v>
      </c>
      <c r="F161" s="6">
        <f>'Results - raw data ReCiPe (I)'!BG34</f>
        <v>0</v>
      </c>
      <c r="G161" s="6">
        <f>'Results - raw data ReCiPe (I)'!BH34</f>
        <v>0</v>
      </c>
      <c r="H161" s="6">
        <f>'Results - raw data ReCiPe (I)'!BI34</f>
        <v>0</v>
      </c>
      <c r="I161" s="6">
        <f>'Results - raw data ReCiPe (I)'!BJ34</f>
        <v>0</v>
      </c>
      <c r="J161" s="6">
        <f>'Results - raw data ReCiPe (I)'!BK34</f>
        <v>0</v>
      </c>
      <c r="K161" s="6">
        <f>'Results - raw data ReCiPe (I)'!BL34</f>
        <v>0</v>
      </c>
      <c r="L161" s="6">
        <f>'Results - raw data ReCiPe (I)'!BM34</f>
        <v>0</v>
      </c>
      <c r="M161" s="6">
        <f>'Results - raw data ReCiPe (I)'!BN34</f>
        <v>0</v>
      </c>
      <c r="N161" s="6">
        <f>'Results - raw data ReCiPe (I)'!BO34</f>
        <v>0</v>
      </c>
      <c r="O161" s="6">
        <f>'Results - raw data ReCiPe (I)'!BP34</f>
        <v>0</v>
      </c>
      <c r="P161" s="6">
        <f>'Results - raw data ReCiPe (I)'!BQ34</f>
        <v>0</v>
      </c>
      <c r="Q161" s="6">
        <f>'Results - raw data ReCiPe (I)'!BR34</f>
        <v>0</v>
      </c>
      <c r="R161" s="6">
        <f>'Results - raw data ReCiPe (I)'!BS34</f>
        <v>0</v>
      </c>
      <c r="S161" s="6">
        <f>'Results - raw data ReCiPe (I)'!BT34</f>
        <v>0</v>
      </c>
      <c r="T161" s="6">
        <f>'Results - raw data ReCiPe (I)'!BU34</f>
        <v>0</v>
      </c>
      <c r="U161" s="6">
        <f>'Results - raw data ReCiPe (I)'!BV34</f>
        <v>0</v>
      </c>
      <c r="V161" s="6">
        <f>'Results - raw data ReCiPe (I)'!BW34</f>
        <v>0</v>
      </c>
      <c r="W161" s="6">
        <f>'Results - raw data ReCiPe (I)'!BX34</f>
        <v>0</v>
      </c>
      <c r="X161" s="6">
        <f>'Results - raw data ReCiPe (I)'!BY34</f>
        <v>0</v>
      </c>
      <c r="Y161" s="6">
        <f>'Results - raw data ReCiPe (I)'!BZ34</f>
        <v>0</v>
      </c>
      <c r="Z161" s="6">
        <f>'Results - raw data ReCiPe (I)'!CA34</f>
        <v>0</v>
      </c>
    </row>
    <row r="162" spans="1:53" outlineLevel="1" x14ac:dyDescent="0.35">
      <c r="A162" s="6" t="s">
        <v>760</v>
      </c>
      <c r="B162" s="6">
        <f>150000*($AC$129*'Results - raw data ReCiPe (I)'!BC114+(1-'Results ReCiPe (I) - HHD'!$AC$129)*'Results - raw data ReCiPe (I)'!BC115)</f>
        <v>1837.5090476930616</v>
      </c>
      <c r="C162" s="6">
        <f>150000*($AC$129*'Results - raw data ReCiPe (I)'!BD114+(1-'Results ReCiPe (I) - HHD'!$AC$129)*'Results - raw data ReCiPe (I)'!BD115)</f>
        <v>1845.5021760301299</v>
      </c>
      <c r="D162" s="6">
        <f>150000*($AC$129*'Results - raw data ReCiPe (I)'!BE114+(1-'Results ReCiPe (I) - HHD'!$AC$129)*'Results - raw data ReCiPe (I)'!BE115)</f>
        <v>1853.5674364018564</v>
      </c>
      <c r="E162" s="6">
        <f>150000*($AC$129*'Results - raw data ReCiPe (I)'!BF114+(1-'Results ReCiPe (I) - HHD'!$AC$129)*'Results - raw data ReCiPe (I)'!BF115)</f>
        <v>1857.8354212113595</v>
      </c>
      <c r="F162" s="6">
        <f>150000*($AC$129*'Results - raw data ReCiPe (I)'!BG114+(1-'Results ReCiPe (I) - HHD'!$AC$129)*'Results - raw data ReCiPe (I)'!BG115)</f>
        <v>1866.0906042402401</v>
      </c>
      <c r="G162" s="6">
        <f>150000*($AC$129*'Results - raw data ReCiPe (I)'!BH114+(1-'Results ReCiPe (I) - HHD'!$AC$129)*'Results - raw data ReCiPe (I)'!BH115)</f>
        <v>1874.4143756884948</v>
      </c>
      <c r="H162" s="6">
        <f>150000*($AC$129*'Results - raw data ReCiPe (I)'!BI114+(1-'Results ReCiPe (I) - HHD'!$AC$129)*'Results - raw data ReCiPe (I)'!BI115)</f>
        <v>1906.0571732451494</v>
      </c>
      <c r="I162" s="6">
        <f>150000*($AC$129*'Results - raw data ReCiPe (I)'!BJ114+(1-'Results ReCiPe (I) - HHD'!$AC$129)*'Results - raw data ReCiPe (I)'!BJ115)</f>
        <v>1937.6644442161817</v>
      </c>
      <c r="J162" s="6">
        <f>150000*($AC$129*'Results - raw data ReCiPe (I)'!BK114+(1-'Results ReCiPe (I) - HHD'!$AC$129)*'Results - raw data ReCiPe (I)'!BK115)</f>
        <v>1966.3865758187428</v>
      </c>
      <c r="K162" s="6">
        <f>150000*($AC$129*'Results - raw data ReCiPe (I)'!BL114+(1-'Results ReCiPe (I) - HHD'!$AC$129)*'Results - raw data ReCiPe (I)'!BL115)</f>
        <v>1998.0376624481378</v>
      </c>
      <c r="L162" s="6">
        <f>150000*($AC$129*'Results - raw data ReCiPe (I)'!BM114+(1-'Results ReCiPe (I) - HHD'!$AC$129)*'Results - raw data ReCiPe (I)'!BM115)</f>
        <v>2029.6700087474378</v>
      </c>
      <c r="M162" s="6">
        <f>150000*($AC$129*'Results - raw data ReCiPe (I)'!BN114+(1-'Results ReCiPe (I) - HHD'!$AC$129)*'Results - raw data ReCiPe (I)'!BN115)</f>
        <v>2033.3390934682459</v>
      </c>
      <c r="N162" s="6">
        <f>150000*($AC$129*'Results - raw data ReCiPe (I)'!BO114+(1-'Results ReCiPe (I) - HHD'!$AC$129)*'Results - raw data ReCiPe (I)'!BO115)</f>
        <v>2036.9216048695464</v>
      </c>
      <c r="O162" s="6">
        <f>150000*($AC$129*'Results - raw data ReCiPe (I)'!BP114+(1-'Results ReCiPe (I) - HHD'!$AC$129)*'Results - raw data ReCiPe (I)'!BP115)</f>
        <v>2039.7332168288492</v>
      </c>
      <c r="P162" s="6">
        <f>150000*($AC$129*'Results - raw data ReCiPe (I)'!BQ114+(1-'Results ReCiPe (I) - HHD'!$AC$129)*'Results - raw data ReCiPe (I)'!BQ115)</f>
        <v>2043.1353248932242</v>
      </c>
      <c r="Q162" s="6">
        <f>150000*($AC$129*'Results - raw data ReCiPe (I)'!BR114+(1-'Results ReCiPe (I) - HHD'!$AC$129)*'Results - raw data ReCiPe (I)'!BR115)</f>
        <v>2046.4385510764143</v>
      </c>
      <c r="R162" s="6">
        <f>150000*($AC$129*'Results - raw data ReCiPe (I)'!BS114+(1-'Results ReCiPe (I) - HHD'!$AC$129)*'Results - raw data ReCiPe (I)'!BS115)</f>
        <v>2118.978698313058</v>
      </c>
      <c r="S162" s="6">
        <f>150000*($AC$129*'Results - raw data ReCiPe (I)'!BT114+(1-'Results ReCiPe (I) - HHD'!$AC$129)*'Results - raw data ReCiPe (I)'!BT115)</f>
        <v>2191.5534654664302</v>
      </c>
      <c r="T162" s="6">
        <f>150000*($AC$129*'Results - raw data ReCiPe (I)'!BU114+(1-'Results ReCiPe (I) - HHD'!$AC$129)*'Results - raw data ReCiPe (I)'!BU115)</f>
        <v>2263.5636173784842</v>
      </c>
      <c r="U162" s="6">
        <f>150000*($AC$129*'Results - raw data ReCiPe (I)'!BV114+(1-'Results ReCiPe (I) - HHD'!$AC$129)*'Results - raw data ReCiPe (I)'!BV115)</f>
        <v>2336.2558451238228</v>
      </c>
      <c r="V162" s="6">
        <f>150000*($AC$129*'Results - raw data ReCiPe (I)'!BW114+(1-'Results ReCiPe (I) - HHD'!$AC$129)*'Results - raw data ReCiPe (I)'!BW115)</f>
        <v>2409.012219721636</v>
      </c>
      <c r="W162" s="6">
        <f>150000*($AC$129*'Results - raw data ReCiPe (I)'!BX114+(1-'Results ReCiPe (I) - HHD'!$AC$129)*'Results - raw data ReCiPe (I)'!BX115)</f>
        <v>2424.0099778315271</v>
      </c>
      <c r="X162" s="6">
        <f>150000*($AC$129*'Results - raw data ReCiPe (I)'!BY114+(1-'Results ReCiPe (I) - HHD'!$AC$129)*'Results - raw data ReCiPe (I)'!BY115)</f>
        <v>2439.1487481405629</v>
      </c>
      <c r="Y162" s="6">
        <f>150000*($AC$129*'Results - raw data ReCiPe (I)'!BZ114+(1-'Results ReCiPe (I) - HHD'!$AC$129)*'Results - raw data ReCiPe (I)'!BZ115)</f>
        <v>2454.3893825979826</v>
      </c>
      <c r="Z162" s="6">
        <f>150000*($AC$129*'Results - raw data ReCiPe (I)'!CA114+(1-'Results ReCiPe (I) - HHD'!$AC$129)*'Results - raw data ReCiPe (I)'!CA115)</f>
        <v>2469.7313728499848</v>
      </c>
    </row>
    <row r="163" spans="1:53" outlineLevel="1" x14ac:dyDescent="0.35">
      <c r="A163" s="23" t="s">
        <v>125</v>
      </c>
      <c r="B163" s="17">
        <f t="shared" ref="B163:Z163" si="18">SUM(B132:B162)</f>
        <v>5290.137571728751</v>
      </c>
      <c r="C163" s="17">
        <f t="shared" si="18"/>
        <v>2149.0729209316969</v>
      </c>
      <c r="D163" s="17">
        <f t="shared" si="18"/>
        <v>2157.6395830822648</v>
      </c>
      <c r="E163" s="17">
        <f t="shared" si="18"/>
        <v>2161.3470419373311</v>
      </c>
      <c r="F163" s="17">
        <f t="shared" si="18"/>
        <v>2170.1178879367299</v>
      </c>
      <c r="G163" s="17">
        <f t="shared" si="18"/>
        <v>2178.9608297385503</v>
      </c>
      <c r="H163" s="17">
        <f t="shared" si="18"/>
        <v>2213.4773042450342</v>
      </c>
      <c r="I163" s="17">
        <f t="shared" si="18"/>
        <v>2247.9451745725632</v>
      </c>
      <c r="J163" s="17">
        <f t="shared" si="18"/>
        <v>2278.7615758973484</v>
      </c>
      <c r="K163" s="17">
        <f t="shared" si="18"/>
        <v>2313.2618972315686</v>
      </c>
      <c r="L163" s="17">
        <f t="shared" si="18"/>
        <v>2347.7321633914098</v>
      </c>
      <c r="M163" s="17">
        <f t="shared" si="18"/>
        <v>2351.5509821771784</v>
      </c>
      <c r="N163" s="17">
        <f t="shared" si="18"/>
        <v>2355.2727218765058</v>
      </c>
      <c r="O163" s="17">
        <f t="shared" si="18"/>
        <v>2357.9994421900274</v>
      </c>
      <c r="P163" s="17">
        <f t="shared" si="18"/>
        <v>2361.5204858986413</v>
      </c>
      <c r="Q163" s="17">
        <f t="shared" si="18"/>
        <v>2364.9308417937091</v>
      </c>
      <c r="R163" s="17">
        <f t="shared" si="18"/>
        <v>2444.3538388044922</v>
      </c>
      <c r="S163" s="17">
        <f t="shared" si="18"/>
        <v>2523.8006042474171</v>
      </c>
      <c r="T163" s="17">
        <f t="shared" si="18"/>
        <v>2602.4716733409687</v>
      </c>
      <c r="U163" s="17">
        <f t="shared" si="18"/>
        <v>2682.0205392675134</v>
      </c>
      <c r="V163" s="17">
        <f t="shared" si="18"/>
        <v>2761.625615515833</v>
      </c>
      <c r="W163" s="17">
        <f t="shared" si="18"/>
        <v>2777.6364020129658</v>
      </c>
      <c r="X163" s="17">
        <f t="shared" si="18"/>
        <v>2793.8008478584761</v>
      </c>
      <c r="Y163" s="17">
        <f t="shared" si="18"/>
        <v>2810.0712982776176</v>
      </c>
      <c r="Z163" s="17">
        <f t="shared" si="18"/>
        <v>2873.4569421975325</v>
      </c>
    </row>
    <row r="164" spans="1:53" outlineLevel="1" x14ac:dyDescent="0.35"/>
    <row r="165" spans="1:53" s="18" customFormat="1" ht="21" x14ac:dyDescent="0.5">
      <c r="A165" s="18" t="s">
        <v>73</v>
      </c>
    </row>
    <row r="166" spans="1:53" s="20" customFormat="1" outlineLevel="1" x14ac:dyDescent="0.35">
      <c r="A166" s="19" t="s">
        <v>766</v>
      </c>
    </row>
    <row r="167" spans="1:53" s="16" customFormat="1" outlineLevel="1" x14ac:dyDescent="0.35">
      <c r="A167" s="21"/>
      <c r="AE167" s="15"/>
    </row>
    <row r="168" spans="1:53" s="16" customFormat="1" outlineLevel="1" x14ac:dyDescent="0.35">
      <c r="A168" s="22" t="s">
        <v>761</v>
      </c>
    </row>
    <row r="169" spans="1:53" s="16" customFormat="1" outlineLevel="1" x14ac:dyDescent="0.35">
      <c r="A169" s="22"/>
      <c r="AB169" s="16" t="s">
        <v>127</v>
      </c>
      <c r="AC169" s="16">
        <v>100</v>
      </c>
      <c r="AD169" s="16" t="s">
        <v>128</v>
      </c>
    </row>
    <row r="170" spans="1:53" s="16" customFormat="1" outlineLevel="1" x14ac:dyDescent="0.35">
      <c r="A170" s="230" t="s">
        <v>768</v>
      </c>
      <c r="AB170" s="16" t="s">
        <v>20</v>
      </c>
      <c r="AC170" s="16">
        <v>0.23</v>
      </c>
      <c r="AD170" s="16" t="s">
        <v>715</v>
      </c>
    </row>
    <row r="171" spans="1:53" s="16" customFormat="1" outlineLevel="1" x14ac:dyDescent="0.35">
      <c r="A171" s="22"/>
      <c r="AB171" s="16" t="s">
        <v>129</v>
      </c>
      <c r="AC171" s="16">
        <v>25</v>
      </c>
      <c r="AD171" s="16" t="s">
        <v>130</v>
      </c>
    </row>
    <row r="172" spans="1:53" outlineLevel="1" x14ac:dyDescent="0.35">
      <c r="B172" s="25">
        <v>2030</v>
      </c>
      <c r="C172" s="25">
        <v>2031</v>
      </c>
      <c r="D172" s="25">
        <v>2032</v>
      </c>
      <c r="E172" s="25">
        <v>2033</v>
      </c>
      <c r="F172" s="25">
        <v>2034</v>
      </c>
      <c r="G172" s="25">
        <v>2035</v>
      </c>
      <c r="H172" s="25">
        <v>2036</v>
      </c>
      <c r="I172" s="25">
        <v>2037</v>
      </c>
      <c r="J172" s="25">
        <v>2038</v>
      </c>
      <c r="K172" s="25">
        <v>2039</v>
      </c>
      <c r="L172" s="25">
        <v>2040</v>
      </c>
      <c r="M172" s="25">
        <v>2041</v>
      </c>
      <c r="N172" s="25">
        <v>2042</v>
      </c>
      <c r="O172" s="25">
        <v>2043</v>
      </c>
      <c r="P172" s="25">
        <v>2044</v>
      </c>
      <c r="Q172" s="25">
        <v>2045</v>
      </c>
      <c r="R172" s="25">
        <v>2046</v>
      </c>
      <c r="S172" s="25">
        <v>2047</v>
      </c>
      <c r="T172" s="25">
        <v>2048</v>
      </c>
      <c r="U172" s="25">
        <v>2049</v>
      </c>
      <c r="V172" s="25">
        <v>2050</v>
      </c>
      <c r="W172" s="25">
        <v>2051</v>
      </c>
      <c r="X172" s="25">
        <v>2052</v>
      </c>
      <c r="Y172" s="25">
        <v>2053</v>
      </c>
      <c r="Z172" s="25">
        <v>2054</v>
      </c>
      <c r="AC172" s="25">
        <v>2030</v>
      </c>
      <c r="AD172" s="25">
        <v>2031</v>
      </c>
      <c r="AE172" s="25">
        <v>2032</v>
      </c>
      <c r="AF172" s="25">
        <v>2033</v>
      </c>
      <c r="AG172" s="25">
        <v>2034</v>
      </c>
      <c r="AH172" s="25">
        <v>2035</v>
      </c>
      <c r="AI172" s="25">
        <v>2036</v>
      </c>
      <c r="AJ172" s="25">
        <v>2037</v>
      </c>
      <c r="AK172" s="25">
        <v>2038</v>
      </c>
      <c r="AL172" s="25">
        <v>2039</v>
      </c>
      <c r="AM172" s="25">
        <v>2040</v>
      </c>
      <c r="AN172" s="25">
        <v>2041</v>
      </c>
      <c r="AO172" s="25">
        <v>2042</v>
      </c>
      <c r="AP172" s="25">
        <v>2043</v>
      </c>
      <c r="AQ172" s="25">
        <v>2044</v>
      </c>
      <c r="AR172" s="25">
        <v>2045</v>
      </c>
      <c r="AS172" s="25">
        <v>2046</v>
      </c>
      <c r="AT172" s="25">
        <v>2047</v>
      </c>
      <c r="AU172" s="25">
        <v>2048</v>
      </c>
      <c r="AV172" s="25">
        <v>2049</v>
      </c>
      <c r="AW172" s="25">
        <v>2050</v>
      </c>
      <c r="AX172" s="25">
        <v>2051</v>
      </c>
      <c r="AY172" s="25">
        <v>2052</v>
      </c>
      <c r="AZ172" s="25">
        <v>2053</v>
      </c>
      <c r="BA172" s="25">
        <v>2054</v>
      </c>
    </row>
    <row r="173" spans="1:53" outlineLevel="1" x14ac:dyDescent="0.35">
      <c r="A173" s="6" t="s">
        <v>21</v>
      </c>
      <c r="B173" s="6">
        <f>'Results - raw data ReCiPe (I)'!BC41</f>
        <v>75.449016980629139</v>
      </c>
      <c r="AB173" s="6" t="s">
        <v>117</v>
      </c>
      <c r="AC173" s="6">
        <f>SUM(B173:B184)+B186</f>
        <v>2823.4856314484796</v>
      </c>
    </row>
    <row r="174" spans="1:53" outlineLevel="1" x14ac:dyDescent="0.35">
      <c r="A174" s="6" t="s">
        <v>23</v>
      </c>
      <c r="B174" s="6">
        <f>'Results - raw data ReCiPe (I)'!BC42</f>
        <v>336.51251463631371</v>
      </c>
      <c r="AB174" s="6" t="s">
        <v>118</v>
      </c>
      <c r="AC174" s="6">
        <f>B185</f>
        <v>267.84906066089701</v>
      </c>
    </row>
    <row r="175" spans="1:53" outlineLevel="1" x14ac:dyDescent="0.35">
      <c r="A175" s="6" t="s">
        <v>26</v>
      </c>
      <c r="B175" s="6">
        <f>'Results - raw data ReCiPe (I)'!BC43</f>
        <v>318.42348502452592</v>
      </c>
      <c r="AB175" s="6" t="s">
        <v>119</v>
      </c>
      <c r="BA175" s="6">
        <f>SUM(Z187:Z198)</f>
        <v>41.820043084295236</v>
      </c>
    </row>
    <row r="176" spans="1:53" outlineLevel="1" x14ac:dyDescent="0.35">
      <c r="A176" s="6" t="s">
        <v>28</v>
      </c>
      <c r="B176" s="6">
        <f>'Results - raw data ReCiPe (I)'!BC44</f>
        <v>229.02021178830259</v>
      </c>
      <c r="AB176" s="6" t="s">
        <v>120</v>
      </c>
      <c r="BA176" s="6">
        <f>Z199</f>
        <v>1.2962600802775475</v>
      </c>
    </row>
    <row r="177" spans="1:53" outlineLevel="1" x14ac:dyDescent="0.35">
      <c r="A177" s="6" t="s">
        <v>29</v>
      </c>
      <c r="B177" s="6">
        <f>'Results - raw data ReCiPe (I)'!BC45</f>
        <v>106.4688062127529</v>
      </c>
      <c r="AB177" s="6" t="s">
        <v>121</v>
      </c>
      <c r="AC177" s="6">
        <f>B200</f>
        <v>117.2508960880117</v>
      </c>
      <c r="AF177" s="6">
        <f>E200</f>
        <v>115.97999477629099</v>
      </c>
      <c r="AI177" s="6">
        <f>H200</f>
        <v>115.68776613125171</v>
      </c>
      <c r="AL177" s="6">
        <f>K200</f>
        <v>115.5360727733087</v>
      </c>
      <c r="AO177" s="6">
        <f>N200</f>
        <v>115.051358787382</v>
      </c>
      <c r="AR177" s="6">
        <f>Q200</f>
        <v>114.04079735172429</v>
      </c>
      <c r="AU177" s="6">
        <f>T200</f>
        <v>113.2082579102948</v>
      </c>
      <c r="AX177" s="6">
        <f>W200</f>
        <v>112.6698309452093</v>
      </c>
      <c r="BA177" s="6">
        <f>Z200</f>
        <v>112.4422249103109</v>
      </c>
    </row>
    <row r="178" spans="1:53" outlineLevel="1" x14ac:dyDescent="0.35">
      <c r="A178" s="6" t="s">
        <v>31</v>
      </c>
      <c r="B178" s="6">
        <f>'Results - raw data ReCiPe (I)'!BC46</f>
        <v>78.737095426987352</v>
      </c>
      <c r="AB178" s="6" t="s">
        <v>122</v>
      </c>
      <c r="AC178" s="6">
        <f>B203+B202</f>
        <v>1894.6684733717298</v>
      </c>
      <c r="AD178" s="6">
        <f t="shared" ref="AD178:AV178" si="19">C203+C202</f>
        <v>1881.1691360170628</v>
      </c>
      <c r="AE178" s="6">
        <f t="shared" si="19"/>
        <v>1867.6817495062714</v>
      </c>
      <c r="AF178" s="6">
        <f t="shared" si="19"/>
        <v>1850.094693001045</v>
      </c>
      <c r="AG178" s="6">
        <f t="shared" si="19"/>
        <v>1836.6445534093732</v>
      </c>
      <c r="AH178" s="6">
        <f t="shared" si="19"/>
        <v>1823.2011301378025</v>
      </c>
      <c r="AI178" s="6">
        <f t="shared" si="19"/>
        <v>1819.3509421741719</v>
      </c>
      <c r="AJ178" s="6">
        <f t="shared" si="19"/>
        <v>1815.4332723540142</v>
      </c>
      <c r="AK178" s="6">
        <f t="shared" si="19"/>
        <v>1807.9237441846246</v>
      </c>
      <c r="AL178" s="6">
        <f t="shared" si="19"/>
        <v>1803.6932699484021</v>
      </c>
      <c r="AM178" s="6">
        <f t="shared" si="19"/>
        <v>1799.3124856448912</v>
      </c>
      <c r="AN178" s="6">
        <f t="shared" si="19"/>
        <v>1787.5053452761545</v>
      </c>
      <c r="AO178" s="6">
        <f t="shared" si="19"/>
        <v>1775.4944456883607</v>
      </c>
      <c r="AP178" s="6">
        <f t="shared" si="19"/>
        <v>1762.4407130766403</v>
      </c>
      <c r="AQ178" s="6">
        <f t="shared" si="19"/>
        <v>1750.0346525245889</v>
      </c>
      <c r="AR178" s="6">
        <f t="shared" si="19"/>
        <v>1737.4273333703122</v>
      </c>
      <c r="AS178" s="6">
        <f t="shared" si="19"/>
        <v>1747.4063909825595</v>
      </c>
      <c r="AT178" s="6">
        <f t="shared" si="19"/>
        <v>1757.1873583275371</v>
      </c>
      <c r="AU178" s="6">
        <f t="shared" si="19"/>
        <v>1765.9500505004505</v>
      </c>
      <c r="AV178" s="6">
        <f t="shared" si="19"/>
        <v>1775.3473127218065</v>
      </c>
      <c r="AW178" s="6">
        <f>V203</f>
        <v>1784.5521548140409</v>
      </c>
      <c r="AX178" s="6">
        <f>W203</f>
        <v>1768.090579047768</v>
      </c>
      <c r="AY178" s="6">
        <f>X203</f>
        <v>1751.6313910574554</v>
      </c>
      <c r="AZ178" s="6">
        <f>Y203</f>
        <v>1735.1047607708044</v>
      </c>
      <c r="BA178" s="6">
        <f>Z203</f>
        <v>1718.5081208307577</v>
      </c>
    </row>
    <row r="179" spans="1:53" outlineLevel="1" x14ac:dyDescent="0.35">
      <c r="A179" s="6" t="s">
        <v>34</v>
      </c>
      <c r="B179" s="6">
        <f>'Results - raw data ReCiPe (I)'!BC47</f>
        <v>51.732502787849143</v>
      </c>
      <c r="AB179" s="6" t="s">
        <v>123</v>
      </c>
      <c r="AC179" s="6">
        <f t="shared" ref="AC179:BA179" si="20">B201</f>
        <v>189.95365198935059</v>
      </c>
      <c r="AD179" s="6">
        <f t="shared" si="20"/>
        <v>188.19494287198691</v>
      </c>
      <c r="AE179" s="6">
        <f t="shared" si="20"/>
        <v>186.44260066353669</v>
      </c>
      <c r="AF179" s="6">
        <f t="shared" si="20"/>
        <v>184.2978933509371</v>
      </c>
      <c r="AG179" s="6">
        <f t="shared" si="20"/>
        <v>182.5600392896562</v>
      </c>
      <c r="AH179" s="6">
        <f t="shared" si="20"/>
        <v>180.8281778211298</v>
      </c>
      <c r="AI179" s="6">
        <f t="shared" si="20"/>
        <v>180.28554710780492</v>
      </c>
      <c r="AJ179" s="6">
        <f t="shared" si="20"/>
        <v>179.73401544872561</v>
      </c>
      <c r="AK179" s="6">
        <f t="shared" si="20"/>
        <v>178.83169177435428</v>
      </c>
      <c r="AL179" s="6">
        <f t="shared" si="20"/>
        <v>178.24948779215859</v>
      </c>
      <c r="AM179" s="6">
        <f t="shared" si="20"/>
        <v>177.6533101314715</v>
      </c>
      <c r="AN179" s="6">
        <f t="shared" si="20"/>
        <v>176.47977086474322</v>
      </c>
      <c r="AO179" s="6">
        <f t="shared" si="20"/>
        <v>175.28679841680329</v>
      </c>
      <c r="AP179" s="6">
        <f t="shared" si="20"/>
        <v>173.9928575036916</v>
      </c>
      <c r="AQ179" s="6">
        <f t="shared" si="20"/>
        <v>172.76223616991192</v>
      </c>
      <c r="AR179" s="6">
        <f t="shared" si="20"/>
        <v>171.512456333968</v>
      </c>
      <c r="AS179" s="6">
        <f t="shared" si="20"/>
        <v>172.75597036638891</v>
      </c>
      <c r="AT179" s="6">
        <f t="shared" si="20"/>
        <v>173.98577947093</v>
      </c>
      <c r="AU179" s="6">
        <f t="shared" si="20"/>
        <v>175.12202568925511</v>
      </c>
      <c r="AV179" s="6">
        <f t="shared" si="20"/>
        <v>176.32490210861661</v>
      </c>
      <c r="AW179" s="6">
        <f t="shared" si="20"/>
        <v>177.5143633388152</v>
      </c>
      <c r="AX179" s="6">
        <f t="shared" si="20"/>
        <v>175.6440767498911</v>
      </c>
      <c r="AY179" s="6">
        <f t="shared" si="20"/>
        <v>173.78266047518341</v>
      </c>
      <c r="AZ179" s="6">
        <f t="shared" si="20"/>
        <v>171.91962939424371</v>
      </c>
      <c r="BA179" s="6">
        <f t="shared" si="20"/>
        <v>170.05468115511479</v>
      </c>
    </row>
    <row r="180" spans="1:53" outlineLevel="1" x14ac:dyDescent="0.35">
      <c r="A180" s="6" t="s">
        <v>36</v>
      </c>
      <c r="B180" s="6">
        <f>'Results - raw data ReCiPe (I)'!BC48</f>
        <v>60.007332536569692</v>
      </c>
      <c r="AB180" s="6" t="s">
        <v>124</v>
      </c>
    </row>
    <row r="181" spans="1:53" outlineLevel="1" x14ac:dyDescent="0.35">
      <c r="A181" s="6" t="s">
        <v>38</v>
      </c>
      <c r="B181" s="6">
        <f>'Results - raw data ReCiPe (I)'!BC49</f>
        <v>665.92266488225209</v>
      </c>
      <c r="AB181" s="23" t="s">
        <v>125</v>
      </c>
      <c r="AC181" s="17">
        <f>SUM(AC173:AC180)</f>
        <v>5293.2077135584686</v>
      </c>
      <c r="AD181" s="17">
        <f t="shared" ref="AD181:BA181" si="21">SUM(AD173:AD180)</f>
        <v>2069.3640788890498</v>
      </c>
      <c r="AE181" s="17">
        <f t="shared" si="21"/>
        <v>2054.1243501698082</v>
      </c>
      <c r="AF181" s="17">
        <f t="shared" si="21"/>
        <v>2150.3725811282729</v>
      </c>
      <c r="AG181" s="17">
        <f t="shared" si="21"/>
        <v>2019.2045926990295</v>
      </c>
      <c r="AH181" s="17">
        <f t="shared" si="21"/>
        <v>2004.0293079589323</v>
      </c>
      <c r="AI181" s="17">
        <f t="shared" si="21"/>
        <v>2115.3242554132285</v>
      </c>
      <c r="AJ181" s="17">
        <f t="shared" si="21"/>
        <v>1995.1672878027398</v>
      </c>
      <c r="AK181" s="17">
        <f t="shared" si="21"/>
        <v>1986.755435958979</v>
      </c>
      <c r="AL181" s="17">
        <f t="shared" si="21"/>
        <v>2097.4788305138695</v>
      </c>
      <c r="AM181" s="17">
        <f t="shared" si="21"/>
        <v>1976.9657957763627</v>
      </c>
      <c r="AN181" s="17">
        <f t="shared" si="21"/>
        <v>1963.9851161408976</v>
      </c>
      <c r="AO181" s="17">
        <f t="shared" si="21"/>
        <v>2065.8326028925458</v>
      </c>
      <c r="AP181" s="17">
        <f t="shared" si="21"/>
        <v>1936.4335705803319</v>
      </c>
      <c r="AQ181" s="17">
        <f t="shared" si="21"/>
        <v>1922.7968886945007</v>
      </c>
      <c r="AR181" s="17">
        <f t="shared" si="21"/>
        <v>2022.9805870560044</v>
      </c>
      <c r="AS181" s="17">
        <f t="shared" si="21"/>
        <v>1920.1623613489485</v>
      </c>
      <c r="AT181" s="17">
        <f t="shared" si="21"/>
        <v>1931.1731377984672</v>
      </c>
      <c r="AU181" s="17">
        <f t="shared" si="21"/>
        <v>2054.2803341000003</v>
      </c>
      <c r="AV181" s="17">
        <f t="shared" si="21"/>
        <v>1951.6722148304232</v>
      </c>
      <c r="AW181" s="17">
        <f t="shared" si="21"/>
        <v>1962.0665181528561</v>
      </c>
      <c r="AX181" s="17">
        <f t="shared" si="21"/>
        <v>2056.4044867428684</v>
      </c>
      <c r="AY181" s="17">
        <f t="shared" si="21"/>
        <v>1925.4140515326387</v>
      </c>
      <c r="AZ181" s="17">
        <f t="shared" si="21"/>
        <v>1907.0243901650481</v>
      </c>
      <c r="BA181" s="17">
        <f t="shared" si="21"/>
        <v>2044.1213300607562</v>
      </c>
    </row>
    <row r="182" spans="1:53" outlineLevel="1" x14ac:dyDescent="0.35">
      <c r="A182" s="6" t="s">
        <v>39</v>
      </c>
      <c r="B182" s="6">
        <f>'Results - raw data ReCiPe (I)'!BC50</f>
        <v>681.17766622519434</v>
      </c>
    </row>
    <row r="183" spans="1:53" outlineLevel="1" x14ac:dyDescent="0.35">
      <c r="A183" s="6" t="s">
        <v>41</v>
      </c>
      <c r="B183" s="6">
        <f>'Results - raw data ReCiPe (I)'!BC51</f>
        <v>53.558479659252633</v>
      </c>
    </row>
    <row r="184" spans="1:53" outlineLevel="1" x14ac:dyDescent="0.35">
      <c r="A184" s="6" t="s">
        <v>43</v>
      </c>
      <c r="B184" s="6">
        <f>'Results - raw data ReCiPe (I)'!BC52</f>
        <v>73.237308146846516</v>
      </c>
      <c r="AB184" s="219"/>
      <c r="AC184" s="219"/>
      <c r="AD184" s="219"/>
      <c r="AE184" s="219"/>
      <c r="AF184" s="219"/>
      <c r="AG184" s="219"/>
      <c r="AH184" s="219"/>
      <c r="AI184" s="219"/>
      <c r="AJ184" s="219"/>
      <c r="AK184" s="219"/>
      <c r="AL184" s="219"/>
      <c r="AM184" s="219"/>
      <c r="AN184" s="219"/>
      <c r="AO184" s="219"/>
      <c r="AP184" s="219"/>
      <c r="AQ184" s="219"/>
      <c r="AR184" s="219"/>
      <c r="AS184" s="219"/>
      <c r="AT184" s="219"/>
      <c r="AU184" s="219"/>
      <c r="AV184" s="219"/>
      <c r="AW184" s="219"/>
      <c r="AX184" s="219"/>
      <c r="AY184" s="219"/>
      <c r="AZ184" s="219"/>
      <c r="BA184" s="219"/>
    </row>
    <row r="185" spans="1:53" outlineLevel="1" x14ac:dyDescent="0.35">
      <c r="A185" s="6" t="s">
        <v>44</v>
      </c>
      <c r="B185" s="6">
        <f>'Results - raw data ReCiPe (I)'!BC53*AC169*AC171</f>
        <v>267.84906066089701</v>
      </c>
      <c r="AB185" s="219"/>
      <c r="AC185" s="219"/>
      <c r="AD185" s="219"/>
      <c r="AE185" s="219"/>
      <c r="AF185" s="219"/>
      <c r="AG185" s="219"/>
      <c r="AH185" s="219"/>
      <c r="AI185" s="219"/>
      <c r="AJ185" s="219"/>
      <c r="AK185" s="219"/>
      <c r="AL185" s="219"/>
      <c r="AM185" s="219"/>
      <c r="AN185" s="219"/>
      <c r="AO185" s="219"/>
      <c r="AP185" s="219"/>
      <c r="AQ185" s="219"/>
      <c r="AR185" s="219"/>
      <c r="AS185" s="219"/>
      <c r="AT185" s="219"/>
      <c r="AU185" s="219"/>
      <c r="AV185" s="219"/>
      <c r="AW185" s="219"/>
      <c r="AX185" s="219"/>
      <c r="AY185" s="219"/>
      <c r="AZ185" s="219"/>
      <c r="BA185" s="219"/>
    </row>
    <row r="186" spans="1:53" outlineLevel="1" x14ac:dyDescent="0.35">
      <c r="A186" s="6" t="s">
        <v>757</v>
      </c>
      <c r="B186" s="6">
        <f>'Results - raw data ReCiPe (I)'!BC54*AC169*AC171</f>
        <v>93.238547141004119</v>
      </c>
      <c r="AB186" s="219"/>
      <c r="AC186" s="219"/>
      <c r="AD186" s="219"/>
      <c r="AE186" s="219"/>
      <c r="AF186" s="219"/>
      <c r="AG186" s="219"/>
      <c r="AH186" s="219"/>
      <c r="AI186" s="219"/>
      <c r="AJ186" s="219"/>
      <c r="AK186" s="219"/>
      <c r="AL186" s="219"/>
      <c r="AM186" s="219"/>
      <c r="AN186" s="219"/>
      <c r="AO186" s="219"/>
      <c r="AP186" s="219"/>
      <c r="AQ186" s="219"/>
      <c r="AR186" s="219"/>
      <c r="AS186" s="219"/>
      <c r="AT186" s="219"/>
      <c r="AU186" s="219"/>
      <c r="AV186" s="219"/>
      <c r="AW186" s="219"/>
      <c r="AX186" s="219"/>
      <c r="AY186" s="219"/>
      <c r="AZ186" s="219"/>
      <c r="BA186" s="219"/>
    </row>
    <row r="187" spans="1:53" outlineLevel="1" x14ac:dyDescent="0.35">
      <c r="A187" s="6" t="s">
        <v>22</v>
      </c>
      <c r="Z187" s="6">
        <f>'Results - raw data ReCiPe (I)'!CA55</f>
        <v>0.32238240937958129</v>
      </c>
      <c r="AB187" s="219"/>
      <c r="AC187" s="219"/>
      <c r="AD187" s="219"/>
      <c r="AE187" s="219"/>
      <c r="AF187" s="219"/>
      <c r="AG187" s="219"/>
      <c r="AH187" s="219"/>
      <c r="AI187" s="219"/>
      <c r="AJ187" s="219"/>
      <c r="AK187" s="219"/>
      <c r="AL187" s="219"/>
      <c r="AM187" s="219"/>
      <c r="AN187" s="219"/>
      <c r="AO187" s="219"/>
      <c r="AP187" s="219"/>
      <c r="AQ187" s="219"/>
      <c r="AR187" s="219"/>
      <c r="AS187" s="219"/>
      <c r="AT187" s="219"/>
      <c r="AU187" s="219"/>
      <c r="AV187" s="219"/>
      <c r="AW187" s="219"/>
      <c r="AX187" s="219"/>
      <c r="AY187" s="219"/>
      <c r="AZ187" s="219"/>
      <c r="BA187" s="219"/>
    </row>
    <row r="188" spans="1:53" outlineLevel="1" x14ac:dyDescent="0.35">
      <c r="A188" s="6" t="s">
        <v>24</v>
      </c>
      <c r="Z188" s="6">
        <f>'Results - raw data ReCiPe (I)'!CA56</f>
        <v>0.35837727434107558</v>
      </c>
      <c r="AB188" s="219"/>
      <c r="AC188" s="219"/>
      <c r="AD188" s="219"/>
      <c r="AE188" s="219"/>
      <c r="AF188" s="219"/>
      <c r="AG188" s="219"/>
      <c r="AH188" s="219"/>
      <c r="AI188" s="219"/>
      <c r="AJ188" s="219"/>
      <c r="AK188" s="219"/>
      <c r="AL188" s="219"/>
      <c r="AM188" s="219"/>
      <c r="AN188" s="219"/>
      <c r="AO188" s="219"/>
      <c r="AP188" s="219"/>
      <c r="AQ188" s="219"/>
      <c r="AR188" s="219"/>
      <c r="AS188" s="219"/>
      <c r="AT188" s="219"/>
      <c r="AU188" s="219"/>
      <c r="AV188" s="219"/>
      <c r="AW188" s="219"/>
      <c r="AX188" s="219"/>
      <c r="AY188" s="219"/>
      <c r="AZ188" s="219"/>
      <c r="BA188" s="219"/>
    </row>
    <row r="189" spans="1:53" outlineLevel="1" x14ac:dyDescent="0.35">
      <c r="A189" s="6" t="s">
        <v>25</v>
      </c>
      <c r="Z189" s="6">
        <f>'Results - raw data ReCiPe (I)'!CA57</f>
        <v>1.6318222409314349</v>
      </c>
      <c r="AB189" s="219"/>
      <c r="AC189" s="219"/>
      <c r="AD189" s="219"/>
      <c r="AE189" s="219"/>
      <c r="AF189" s="219"/>
      <c r="AG189" s="219"/>
      <c r="AH189" s="219"/>
      <c r="AI189" s="219"/>
      <c r="AJ189" s="219"/>
      <c r="AK189" s="219"/>
      <c r="AL189" s="219"/>
      <c r="AM189" s="219"/>
      <c r="AN189" s="219"/>
      <c r="AO189" s="219"/>
      <c r="AP189" s="219"/>
      <c r="AQ189" s="219"/>
      <c r="AR189" s="219"/>
      <c r="AS189" s="219"/>
      <c r="AT189" s="219"/>
      <c r="AU189" s="219"/>
      <c r="AV189" s="219"/>
      <c r="AW189" s="219"/>
      <c r="AX189" s="219"/>
      <c r="AY189" s="219"/>
      <c r="AZ189" s="219"/>
      <c r="BA189" s="219"/>
    </row>
    <row r="190" spans="1:53" outlineLevel="1" x14ac:dyDescent="0.35">
      <c r="A190" s="6" t="s">
        <v>27</v>
      </c>
      <c r="Z190" s="6">
        <f>'Results - raw data ReCiPe (I)'!CA58</f>
        <v>0.99741271479110116</v>
      </c>
      <c r="AB190" s="219"/>
      <c r="AC190" s="219"/>
      <c r="AD190" s="219"/>
      <c r="AE190" s="219"/>
      <c r="AF190" s="219"/>
      <c r="AG190" s="219"/>
      <c r="AH190" s="219"/>
      <c r="AI190" s="219"/>
      <c r="AJ190" s="219"/>
      <c r="AK190" s="219"/>
      <c r="AL190" s="219"/>
      <c r="AM190" s="219"/>
      <c r="AN190" s="219"/>
      <c r="AO190" s="219"/>
      <c r="AP190" s="219"/>
      <c r="AQ190" s="219"/>
      <c r="AR190" s="219"/>
      <c r="AS190" s="219"/>
      <c r="AT190" s="219"/>
      <c r="AU190" s="219"/>
      <c r="AV190" s="219"/>
      <c r="AW190" s="219"/>
      <c r="AX190" s="219"/>
      <c r="AY190" s="219"/>
      <c r="AZ190" s="219"/>
      <c r="BA190" s="219"/>
    </row>
    <row r="191" spans="1:53" outlineLevel="1" x14ac:dyDescent="0.35">
      <c r="A191" s="6" t="s">
        <v>30</v>
      </c>
      <c r="Z191" s="6">
        <f>'Results - raw data ReCiPe (I)'!CA59</f>
        <v>0.3955535997984968</v>
      </c>
      <c r="AB191" s="219"/>
      <c r="AC191" s="219"/>
      <c r="AD191" s="219"/>
      <c r="AE191" s="219"/>
      <c r="AF191" s="219"/>
      <c r="AG191" s="219"/>
      <c r="AH191" s="219"/>
      <c r="AI191" s="219"/>
      <c r="AJ191" s="219"/>
      <c r="AK191" s="219"/>
      <c r="AL191" s="219"/>
      <c r="AM191" s="219"/>
      <c r="AN191" s="219"/>
      <c r="AO191" s="219"/>
      <c r="AP191" s="219"/>
      <c r="AQ191" s="219"/>
      <c r="AR191" s="219"/>
      <c r="AS191" s="219"/>
      <c r="AT191" s="219"/>
      <c r="AU191" s="219"/>
      <c r="AV191" s="219"/>
      <c r="AW191" s="219"/>
      <c r="AX191" s="219"/>
      <c r="AY191" s="219"/>
      <c r="AZ191" s="219"/>
      <c r="BA191" s="219"/>
    </row>
    <row r="192" spans="1:53" outlineLevel="1" x14ac:dyDescent="0.35">
      <c r="A192" s="6" t="s">
        <v>32</v>
      </c>
      <c r="Z192" s="6">
        <f>'Results - raw data ReCiPe (I)'!CA60</f>
        <v>0.17717501669208749</v>
      </c>
      <c r="AB192" s="219"/>
      <c r="AC192" s="219"/>
      <c r="AD192" s="219"/>
      <c r="AE192" s="219"/>
      <c r="AF192" s="219"/>
      <c r="AG192" s="219"/>
      <c r="AH192" s="219"/>
      <c r="AI192" s="219"/>
      <c r="AJ192" s="219"/>
      <c r="AK192" s="219"/>
      <c r="AL192" s="219"/>
      <c r="AM192" s="219"/>
      <c r="AN192" s="219"/>
      <c r="AO192" s="219"/>
      <c r="AP192" s="219"/>
      <c r="AQ192" s="219"/>
      <c r="AR192" s="219"/>
      <c r="AS192" s="219"/>
      <c r="AT192" s="219"/>
      <c r="AU192" s="219"/>
      <c r="AV192" s="219"/>
      <c r="AW192" s="219"/>
      <c r="AX192" s="219"/>
      <c r="AY192" s="219"/>
      <c r="AZ192" s="219"/>
      <c r="BA192" s="219"/>
    </row>
    <row r="193" spans="1:53" outlineLevel="1" x14ac:dyDescent="0.35">
      <c r="A193" s="6" t="s">
        <v>33</v>
      </c>
      <c r="Z193" s="6">
        <f>'Results - raw data ReCiPe (I)'!CA61</f>
        <v>0.10220414506967419</v>
      </c>
      <c r="AB193" s="219"/>
      <c r="AC193" s="219"/>
      <c r="AD193" s="219"/>
      <c r="AE193" s="219"/>
      <c r="AF193" s="219"/>
      <c r="AG193" s="219"/>
      <c r="AH193" s="219"/>
      <c r="AI193" s="219"/>
      <c r="AJ193" s="219"/>
      <c r="AK193" s="219"/>
      <c r="AL193" s="219"/>
      <c r="AM193" s="219"/>
      <c r="AN193" s="219"/>
      <c r="AO193" s="219"/>
      <c r="AP193" s="219"/>
      <c r="AQ193" s="219"/>
      <c r="AR193" s="219"/>
      <c r="AS193" s="219"/>
      <c r="AT193" s="219"/>
      <c r="AU193" s="219"/>
      <c r="AV193" s="219"/>
      <c r="AW193" s="219"/>
      <c r="AX193" s="219"/>
      <c r="AY193" s="219"/>
      <c r="AZ193" s="219"/>
      <c r="BA193" s="219"/>
    </row>
    <row r="194" spans="1:53" outlineLevel="1" x14ac:dyDescent="0.35">
      <c r="A194" s="6" t="s">
        <v>35</v>
      </c>
      <c r="Z194" s="6">
        <f>'Results - raw data ReCiPe (I)'!CA62</f>
        <v>0.20440829013934839</v>
      </c>
      <c r="AB194" s="219"/>
      <c r="AC194" s="219"/>
      <c r="AD194" s="219"/>
      <c r="AE194" s="219"/>
      <c r="AF194" s="219"/>
      <c r="AG194" s="219"/>
      <c r="AH194" s="219"/>
      <c r="AI194" s="219"/>
      <c r="AJ194" s="219"/>
      <c r="AK194" s="219"/>
      <c r="AL194" s="219"/>
      <c r="AM194" s="219"/>
      <c r="AN194" s="219"/>
      <c r="AO194" s="219"/>
      <c r="AP194" s="219"/>
      <c r="AQ194" s="219"/>
      <c r="AR194" s="219"/>
      <c r="AS194" s="219"/>
      <c r="AT194" s="219"/>
      <c r="AU194" s="219"/>
      <c r="AV194" s="219"/>
      <c r="AW194" s="219"/>
      <c r="AX194" s="219"/>
      <c r="AY194" s="219"/>
      <c r="AZ194" s="219"/>
      <c r="BA194" s="219"/>
    </row>
    <row r="195" spans="1:53" outlineLevel="1" x14ac:dyDescent="0.35">
      <c r="A195" s="6" t="s">
        <v>37</v>
      </c>
      <c r="Z195" s="6">
        <f>'Results - raw data ReCiPe (I)'!CA63</f>
        <v>3.022842925402534</v>
      </c>
      <c r="AB195" s="219"/>
      <c r="AC195" s="219"/>
      <c r="AD195" s="219"/>
      <c r="AE195" s="219"/>
      <c r="AF195" s="219"/>
      <c r="AG195" s="219"/>
      <c r="AH195" s="219"/>
      <c r="AI195" s="219"/>
      <c r="AJ195" s="219"/>
      <c r="AK195" s="219"/>
      <c r="AL195" s="219"/>
      <c r="AM195" s="219"/>
      <c r="AN195" s="219"/>
      <c r="AO195" s="219"/>
      <c r="AP195" s="219"/>
      <c r="AQ195" s="219"/>
      <c r="AR195" s="219"/>
      <c r="AS195" s="219"/>
      <c r="AT195" s="219"/>
      <c r="AU195" s="219"/>
      <c r="AV195" s="219"/>
      <c r="AW195" s="219"/>
      <c r="AX195" s="219"/>
      <c r="AY195" s="219"/>
      <c r="AZ195" s="219"/>
      <c r="BA195" s="219"/>
    </row>
    <row r="196" spans="1:53" outlineLevel="1" x14ac:dyDescent="0.35">
      <c r="A196" s="6" t="s">
        <v>40</v>
      </c>
      <c r="Z196" s="6">
        <f>'Results - raw data ReCiPe (I)'!CA64</f>
        <v>1.4016389183975979</v>
      </c>
    </row>
    <row r="197" spans="1:53" outlineLevel="1" x14ac:dyDescent="0.35">
      <c r="A197" s="6" t="s">
        <v>42</v>
      </c>
      <c r="Z197" s="6">
        <f>'Results - raw data ReCiPe (I)'!CA65</f>
        <v>3.7438994184695842</v>
      </c>
    </row>
    <row r="198" spans="1:53" outlineLevel="1" x14ac:dyDescent="0.35">
      <c r="A198" s="6" t="s">
        <v>115</v>
      </c>
      <c r="Z198" s="6">
        <f>'Results - raw data ReCiPe (I)'!CA66</f>
        <v>29.462326130882719</v>
      </c>
    </row>
    <row r="199" spans="1:53" outlineLevel="1" x14ac:dyDescent="0.35">
      <c r="A199" s="6" t="s">
        <v>45</v>
      </c>
      <c r="Z199" s="6">
        <f>'Results - raw data ReCiPe (I)'!CA67*AC169*AC171</f>
        <v>1.2962600802775475</v>
      </c>
    </row>
    <row r="200" spans="1:53" outlineLevel="1" x14ac:dyDescent="0.35">
      <c r="A200" s="6" t="s">
        <v>116</v>
      </c>
      <c r="B200" s="6">
        <f>'Results - raw data ReCiPe (I)'!BC68</f>
        <v>117.2508960880117</v>
      </c>
      <c r="C200" s="6">
        <f>'Results - raw data ReCiPe (I)'!BD68</f>
        <v>117.05842109886321</v>
      </c>
      <c r="D200" s="6">
        <f>'Results - raw data ReCiPe (I)'!BE68</f>
        <v>116.8636437618317</v>
      </c>
      <c r="E200" s="6">
        <f>'Results - raw data ReCiPe (I)'!BF68</f>
        <v>115.97999477629099</v>
      </c>
      <c r="F200" s="6">
        <f>'Results - raw data ReCiPe (I)'!BG68</f>
        <v>115.7831833870675</v>
      </c>
      <c r="G200" s="6">
        <f>'Results - raw data ReCiPe (I)'!BH68</f>
        <v>115.58385485205029</v>
      </c>
      <c r="H200" s="6">
        <f>'Results - raw data ReCiPe (I)'!BI68</f>
        <v>115.68776613125171</v>
      </c>
      <c r="I200" s="6">
        <f>'Results - raw data ReCiPe (I)'!BJ68</f>
        <v>115.7914768762525</v>
      </c>
      <c r="J200" s="6">
        <f>'Results - raw data ReCiPe (I)'!BK68</f>
        <v>115.429473571918</v>
      </c>
      <c r="K200" s="6">
        <f>'Results - raw data ReCiPe (I)'!BL68</f>
        <v>115.5360727733087</v>
      </c>
      <c r="L200" s="6">
        <f>'Results - raw data ReCiPe (I)'!BM68</f>
        <v>115.6408906112827</v>
      </c>
      <c r="M200" s="6">
        <f>'Results - raw data ReCiPe (I)'!BN68</f>
        <v>115.3455752054013</v>
      </c>
      <c r="N200" s="6">
        <f>'Results - raw data ReCiPe (I)'!BO68</f>
        <v>115.051358787382</v>
      </c>
      <c r="O200" s="6">
        <f>'Results - raw data ReCiPe (I)'!BP68</f>
        <v>114.61897450534229</v>
      </c>
      <c r="P200" s="6">
        <f>'Results - raw data ReCiPe (I)'!BQ68</f>
        <v>114.3294075695038</v>
      </c>
      <c r="Q200" s="6">
        <f>'Results - raw data ReCiPe (I)'!BR68</f>
        <v>114.04079735172429</v>
      </c>
      <c r="R200" s="6">
        <f>'Results - raw data ReCiPe (I)'!BS68</f>
        <v>113.80650405097479</v>
      </c>
      <c r="S200" s="6">
        <f>'Results - raw data ReCiPe (I)'!BT68</f>
        <v>113.5726812825028</v>
      </c>
      <c r="T200" s="6">
        <f>'Results - raw data ReCiPe (I)'!BU68</f>
        <v>113.2082579102948</v>
      </c>
      <c r="U200" s="6">
        <f>'Results - raw data ReCiPe (I)'!BV68</f>
        <v>112.9774404236322</v>
      </c>
      <c r="V200" s="6">
        <f>'Results - raw data ReCiPe (I)'!BW68</f>
        <v>112.74702549637411</v>
      </c>
      <c r="W200" s="6">
        <f>'Results - raw data ReCiPe (I)'!BX68</f>
        <v>112.6698309452093</v>
      </c>
      <c r="X200" s="6">
        <f>'Results - raw data ReCiPe (I)'!BY68</f>
        <v>112.5934051175214</v>
      </c>
      <c r="Y200" s="6">
        <f>'Results - raw data ReCiPe (I)'!BZ68</f>
        <v>112.5175442583955</v>
      </c>
      <c r="Z200" s="6">
        <f>'Results - raw data ReCiPe (I)'!CA68</f>
        <v>112.4422249103109</v>
      </c>
    </row>
    <row r="201" spans="1:53" outlineLevel="1" x14ac:dyDescent="0.35">
      <c r="A201" s="6" t="s">
        <v>758</v>
      </c>
      <c r="B201" s="6">
        <f>'Results - raw data ReCiPe (I)'!BC69*$AC$169</f>
        <v>189.95365198935059</v>
      </c>
      <c r="C201" s="6">
        <f>'Results - raw data ReCiPe (I)'!BD69*$AC$169</f>
        <v>188.19494287198691</v>
      </c>
      <c r="D201" s="6">
        <f>'Results - raw data ReCiPe (I)'!BE69*$AC$169</f>
        <v>186.44260066353669</v>
      </c>
      <c r="E201" s="6">
        <f>'Results - raw data ReCiPe (I)'!BF69*$AC$169</f>
        <v>184.2978933509371</v>
      </c>
      <c r="F201" s="6">
        <f>'Results - raw data ReCiPe (I)'!BG69*$AC$169</f>
        <v>182.5600392896562</v>
      </c>
      <c r="G201" s="6">
        <f>'Results - raw data ReCiPe (I)'!BH69*$AC$169</f>
        <v>180.8281778211298</v>
      </c>
      <c r="H201" s="6">
        <f>'Results - raw data ReCiPe (I)'!BI69*$AC$169</f>
        <v>180.28554710780492</v>
      </c>
      <c r="I201" s="6">
        <f>'Results - raw data ReCiPe (I)'!BJ69*$AC$169</f>
        <v>179.73401544872561</v>
      </c>
      <c r="J201" s="6">
        <f>'Results - raw data ReCiPe (I)'!BK69*$AC$169</f>
        <v>178.83169177435428</v>
      </c>
      <c r="K201" s="6">
        <f>'Results - raw data ReCiPe (I)'!BL69*$AC$169</f>
        <v>178.24948779215859</v>
      </c>
      <c r="L201" s="6">
        <f>'Results - raw data ReCiPe (I)'!BM69*$AC$169</f>
        <v>177.6533101314715</v>
      </c>
      <c r="M201" s="6">
        <f>'Results - raw data ReCiPe (I)'!BN69*$AC$169</f>
        <v>176.47977086474322</v>
      </c>
      <c r="N201" s="6">
        <f>'Results - raw data ReCiPe (I)'!BO69*$AC$169</f>
        <v>175.28679841680329</v>
      </c>
      <c r="O201" s="6">
        <f>'Results - raw data ReCiPe (I)'!BP69*$AC$169</f>
        <v>173.9928575036916</v>
      </c>
      <c r="P201" s="6">
        <f>'Results - raw data ReCiPe (I)'!BQ69*$AC$169</f>
        <v>172.76223616991192</v>
      </c>
      <c r="Q201" s="6">
        <f>'Results - raw data ReCiPe (I)'!BR69*$AC$169</f>
        <v>171.512456333968</v>
      </c>
      <c r="R201" s="6">
        <f>'Results - raw data ReCiPe (I)'!BS69*$AC$169</f>
        <v>172.75597036638891</v>
      </c>
      <c r="S201" s="6">
        <f>'Results - raw data ReCiPe (I)'!BT69*$AC$169</f>
        <v>173.98577947093</v>
      </c>
      <c r="T201" s="6">
        <f>'Results - raw data ReCiPe (I)'!BU69*$AC$169</f>
        <v>175.12202568925511</v>
      </c>
      <c r="U201" s="6">
        <f>'Results - raw data ReCiPe (I)'!BV69*$AC$169</f>
        <v>176.32490210861661</v>
      </c>
      <c r="V201" s="6">
        <f>'Results - raw data ReCiPe (I)'!BW69*$AC$169</f>
        <v>177.5143633388152</v>
      </c>
      <c r="W201" s="6">
        <f>'Results - raw data ReCiPe (I)'!BX69*$AC$169</f>
        <v>175.6440767498911</v>
      </c>
      <c r="X201" s="6">
        <f>'Results - raw data ReCiPe (I)'!BY69*$AC$169</f>
        <v>173.78266047518341</v>
      </c>
      <c r="Y201" s="6">
        <f>'Results - raw data ReCiPe (I)'!BZ69*$AC$169</f>
        <v>171.91962939424371</v>
      </c>
      <c r="Z201" s="6">
        <f>'Results - raw data ReCiPe (I)'!CA69*$AC$169</f>
        <v>170.05468115511479</v>
      </c>
    </row>
    <row r="202" spans="1:53" outlineLevel="1" x14ac:dyDescent="0.35">
      <c r="A202" s="6" t="s">
        <v>759</v>
      </c>
      <c r="B202" s="6">
        <f>'Results - raw data ReCiPe (I)'!BC70</f>
        <v>0</v>
      </c>
      <c r="C202" s="6">
        <f>'Results - raw data ReCiPe (I)'!BD70</f>
        <v>0</v>
      </c>
      <c r="D202" s="6">
        <f>'Results - raw data ReCiPe (I)'!BE70</f>
        <v>0</v>
      </c>
      <c r="E202" s="6">
        <f>'Results - raw data ReCiPe (I)'!BF70</f>
        <v>0</v>
      </c>
      <c r="F202" s="6">
        <f>'Results - raw data ReCiPe (I)'!BG70</f>
        <v>0</v>
      </c>
      <c r="G202" s="6">
        <f>'Results - raw data ReCiPe (I)'!BH70</f>
        <v>0</v>
      </c>
      <c r="H202" s="6">
        <f>'Results - raw data ReCiPe (I)'!BI70</f>
        <v>0</v>
      </c>
      <c r="I202" s="6">
        <f>'Results - raw data ReCiPe (I)'!BJ70</f>
        <v>0</v>
      </c>
      <c r="J202" s="6">
        <f>'Results - raw data ReCiPe (I)'!BK70</f>
        <v>0</v>
      </c>
      <c r="K202" s="6">
        <f>'Results - raw data ReCiPe (I)'!BL70</f>
        <v>0</v>
      </c>
      <c r="L202" s="6">
        <f>'Results - raw data ReCiPe (I)'!BM70</f>
        <v>0</v>
      </c>
      <c r="M202" s="6">
        <f>'Results - raw data ReCiPe (I)'!BN70</f>
        <v>0</v>
      </c>
      <c r="N202" s="6">
        <f>'Results - raw data ReCiPe (I)'!BO70</f>
        <v>0</v>
      </c>
      <c r="O202" s="6">
        <f>'Results - raw data ReCiPe (I)'!BP70</f>
        <v>0</v>
      </c>
      <c r="P202" s="6">
        <f>'Results - raw data ReCiPe (I)'!BQ70</f>
        <v>0</v>
      </c>
      <c r="Q202" s="6">
        <f>'Results - raw data ReCiPe (I)'!BR70</f>
        <v>0</v>
      </c>
      <c r="R202" s="6">
        <f>'Results - raw data ReCiPe (I)'!BS70</f>
        <v>0</v>
      </c>
      <c r="S202" s="6">
        <f>'Results - raw data ReCiPe (I)'!BT70</f>
        <v>0</v>
      </c>
      <c r="T202" s="6">
        <f>'Results - raw data ReCiPe (I)'!BU70</f>
        <v>0</v>
      </c>
      <c r="U202" s="6">
        <f>'Results - raw data ReCiPe (I)'!BV70</f>
        <v>0</v>
      </c>
      <c r="V202" s="6">
        <f>'Results - raw data ReCiPe (I)'!BW70</f>
        <v>0</v>
      </c>
      <c r="W202" s="6">
        <f>'Results - raw data ReCiPe (I)'!BX70</f>
        <v>0</v>
      </c>
      <c r="X202" s="6">
        <f>'Results - raw data ReCiPe (I)'!BY70</f>
        <v>0</v>
      </c>
      <c r="Y202" s="6">
        <f>'Results - raw data ReCiPe (I)'!BZ70</f>
        <v>0</v>
      </c>
      <c r="Z202" s="6">
        <f>'Results - raw data ReCiPe (I)'!CA70</f>
        <v>0</v>
      </c>
    </row>
    <row r="203" spans="1:53" outlineLevel="1" x14ac:dyDescent="0.35">
      <c r="A203" s="6" t="s">
        <v>760</v>
      </c>
      <c r="B203" s="6">
        <f>150000*($AC$170*'Results - raw data ReCiPe (I)'!BC121+(1-'Results ReCiPe (I) - HHD'!$AC$170)*'Results - raw data ReCiPe (I)'!BC122)</f>
        <v>1894.6684733717298</v>
      </c>
      <c r="C203" s="6">
        <f>150000*($AC$170*'Results - raw data ReCiPe (I)'!BD121+(1-'Results ReCiPe (I) - HHD'!$AC$170)*'Results - raw data ReCiPe (I)'!BD122)</f>
        <v>1881.1691360170628</v>
      </c>
      <c r="D203" s="6">
        <f>150000*($AC$170*'Results - raw data ReCiPe (I)'!BE121+(1-'Results ReCiPe (I) - HHD'!$AC$170)*'Results - raw data ReCiPe (I)'!BE122)</f>
        <v>1867.6817495062714</v>
      </c>
      <c r="E203" s="6">
        <f>150000*($AC$170*'Results - raw data ReCiPe (I)'!BF121+(1-'Results ReCiPe (I) - HHD'!$AC$170)*'Results - raw data ReCiPe (I)'!BF122)</f>
        <v>1850.094693001045</v>
      </c>
      <c r="F203" s="6">
        <f>150000*($AC$170*'Results - raw data ReCiPe (I)'!BG121+(1-'Results ReCiPe (I) - HHD'!$AC$170)*'Results - raw data ReCiPe (I)'!BG122)</f>
        <v>1836.6445534093732</v>
      </c>
      <c r="G203" s="6">
        <f>150000*($AC$170*'Results - raw data ReCiPe (I)'!BH121+(1-'Results ReCiPe (I) - HHD'!$AC$170)*'Results - raw data ReCiPe (I)'!BH122)</f>
        <v>1823.2011301378025</v>
      </c>
      <c r="H203" s="6">
        <f>150000*($AC$170*'Results - raw data ReCiPe (I)'!BI121+(1-'Results ReCiPe (I) - HHD'!$AC$170)*'Results - raw data ReCiPe (I)'!BI122)</f>
        <v>1819.3509421741719</v>
      </c>
      <c r="I203" s="6">
        <f>150000*($AC$170*'Results - raw data ReCiPe (I)'!BJ121+(1-'Results ReCiPe (I) - HHD'!$AC$170)*'Results - raw data ReCiPe (I)'!BJ122)</f>
        <v>1815.4332723540142</v>
      </c>
      <c r="J203" s="6">
        <f>150000*($AC$170*'Results - raw data ReCiPe (I)'!BK121+(1-'Results ReCiPe (I) - HHD'!$AC$170)*'Results - raw data ReCiPe (I)'!BK122)</f>
        <v>1807.9237441846246</v>
      </c>
      <c r="K203" s="6">
        <f>150000*($AC$170*'Results - raw data ReCiPe (I)'!BL121+(1-'Results ReCiPe (I) - HHD'!$AC$170)*'Results - raw data ReCiPe (I)'!BL122)</f>
        <v>1803.6932699484021</v>
      </c>
      <c r="L203" s="6">
        <f>150000*($AC$170*'Results - raw data ReCiPe (I)'!BM121+(1-'Results ReCiPe (I) - HHD'!$AC$170)*'Results - raw data ReCiPe (I)'!BM122)</f>
        <v>1799.3124856448912</v>
      </c>
      <c r="M203" s="6">
        <f>150000*($AC$170*'Results - raw data ReCiPe (I)'!BN121+(1-'Results ReCiPe (I) - HHD'!$AC$170)*'Results - raw data ReCiPe (I)'!BN122)</f>
        <v>1787.5053452761545</v>
      </c>
      <c r="N203" s="6">
        <f>150000*($AC$170*'Results - raw data ReCiPe (I)'!BO121+(1-'Results ReCiPe (I) - HHD'!$AC$170)*'Results - raw data ReCiPe (I)'!BO122)</f>
        <v>1775.4944456883607</v>
      </c>
      <c r="O203" s="6">
        <f>150000*($AC$170*'Results - raw data ReCiPe (I)'!BP121+(1-'Results ReCiPe (I) - HHD'!$AC$170)*'Results - raw data ReCiPe (I)'!BP122)</f>
        <v>1762.4407130766403</v>
      </c>
      <c r="P203" s="6">
        <f>150000*($AC$170*'Results - raw data ReCiPe (I)'!BQ121+(1-'Results ReCiPe (I) - HHD'!$AC$170)*'Results - raw data ReCiPe (I)'!BQ122)</f>
        <v>1750.0346525245889</v>
      </c>
      <c r="Q203" s="6">
        <f>150000*($AC$170*'Results - raw data ReCiPe (I)'!BR121+(1-'Results ReCiPe (I) - HHD'!$AC$170)*'Results - raw data ReCiPe (I)'!BR122)</f>
        <v>1737.4273333703122</v>
      </c>
      <c r="R203" s="6">
        <f>150000*($AC$170*'Results - raw data ReCiPe (I)'!BS121+(1-'Results ReCiPe (I) - HHD'!$AC$170)*'Results - raw data ReCiPe (I)'!BS122)</f>
        <v>1747.4063909825595</v>
      </c>
      <c r="S203" s="6">
        <f>150000*($AC$170*'Results - raw data ReCiPe (I)'!BT121+(1-'Results ReCiPe (I) - HHD'!$AC$170)*'Results - raw data ReCiPe (I)'!BT122)</f>
        <v>1757.1873583275371</v>
      </c>
      <c r="T203" s="6">
        <f>150000*($AC$170*'Results - raw data ReCiPe (I)'!BU121+(1-'Results ReCiPe (I) - HHD'!$AC$170)*'Results - raw data ReCiPe (I)'!BU122)</f>
        <v>1765.9500505004505</v>
      </c>
      <c r="U203" s="6">
        <f>150000*($AC$170*'Results - raw data ReCiPe (I)'!BV121+(1-'Results ReCiPe (I) - HHD'!$AC$170)*'Results - raw data ReCiPe (I)'!BV122)</f>
        <v>1775.3473127218065</v>
      </c>
      <c r="V203" s="6">
        <f>150000*($AC$170*'Results - raw data ReCiPe (I)'!BW121+(1-'Results ReCiPe (I) - HHD'!$AC$170)*'Results - raw data ReCiPe (I)'!BW122)</f>
        <v>1784.5521548140409</v>
      </c>
      <c r="W203" s="6">
        <f>150000*($AC$170*'Results - raw data ReCiPe (I)'!BX121+(1-'Results ReCiPe (I) - HHD'!$AC$170)*'Results - raw data ReCiPe (I)'!BX122)</f>
        <v>1768.090579047768</v>
      </c>
      <c r="X203" s="6">
        <f>150000*($AC$170*'Results - raw data ReCiPe (I)'!BY121+(1-'Results ReCiPe (I) - HHD'!$AC$170)*'Results - raw data ReCiPe (I)'!BY122)</f>
        <v>1751.6313910574554</v>
      </c>
      <c r="Y203" s="6">
        <f>150000*($AC$170*'Results - raw data ReCiPe (I)'!BZ121+(1-'Results ReCiPe (I) - HHD'!$AC$170)*'Results - raw data ReCiPe (I)'!BZ122)</f>
        <v>1735.1047607708044</v>
      </c>
      <c r="Z203" s="6">
        <f>150000*($AC$170*'Results - raw data ReCiPe (I)'!CA121+(1-'Results ReCiPe (I) - HHD'!$AC$170)*'Results - raw data ReCiPe (I)'!CA122)</f>
        <v>1718.5081208307577</v>
      </c>
    </row>
    <row r="204" spans="1:53" outlineLevel="1" x14ac:dyDescent="0.35">
      <c r="A204" s="23" t="s">
        <v>125</v>
      </c>
      <c r="B204" s="17">
        <f>SUM(B173:B203)</f>
        <v>5293.2077135584695</v>
      </c>
      <c r="C204" s="17">
        <f t="shared" ref="C204:Z204" si="22">SUM(C173:C203)</f>
        <v>2186.4224999879129</v>
      </c>
      <c r="D204" s="17">
        <f t="shared" si="22"/>
        <v>2170.9879939316397</v>
      </c>
      <c r="E204" s="17">
        <f t="shared" si="22"/>
        <v>2150.3725811282729</v>
      </c>
      <c r="F204" s="17">
        <f t="shared" si="22"/>
        <v>2134.9877760860968</v>
      </c>
      <c r="G204" s="17">
        <f t="shared" si="22"/>
        <v>2119.6131628109824</v>
      </c>
      <c r="H204" s="17">
        <f t="shared" si="22"/>
        <v>2115.3242554132285</v>
      </c>
      <c r="I204" s="17">
        <f t="shared" si="22"/>
        <v>2110.9587646789923</v>
      </c>
      <c r="J204" s="17">
        <f t="shared" si="22"/>
        <v>2102.1849095308971</v>
      </c>
      <c r="K204" s="17">
        <f t="shared" si="22"/>
        <v>2097.4788305138695</v>
      </c>
      <c r="L204" s="17">
        <f t="shared" si="22"/>
        <v>2092.6066863876454</v>
      </c>
      <c r="M204" s="17">
        <f t="shared" si="22"/>
        <v>2079.3306913462989</v>
      </c>
      <c r="N204" s="17">
        <f t="shared" si="22"/>
        <v>2065.8326028925458</v>
      </c>
      <c r="O204" s="17">
        <f t="shared" si="22"/>
        <v>2051.0525450856744</v>
      </c>
      <c r="P204" s="17">
        <f t="shared" si="22"/>
        <v>2037.1262962640046</v>
      </c>
      <c r="Q204" s="17">
        <f t="shared" si="22"/>
        <v>2022.9805870560044</v>
      </c>
      <c r="R204" s="17">
        <f t="shared" si="22"/>
        <v>2033.9688653999233</v>
      </c>
      <c r="S204" s="17">
        <f t="shared" si="22"/>
        <v>2044.7458190809698</v>
      </c>
      <c r="T204" s="17">
        <f t="shared" si="22"/>
        <v>2054.2803341000003</v>
      </c>
      <c r="U204" s="17">
        <f t="shared" si="22"/>
        <v>2064.6496552540552</v>
      </c>
      <c r="V204" s="17">
        <f t="shared" si="22"/>
        <v>2074.8135436492303</v>
      </c>
      <c r="W204" s="17">
        <f t="shared" si="22"/>
        <v>2056.4044867428684</v>
      </c>
      <c r="X204" s="17">
        <f t="shared" si="22"/>
        <v>2038.0074566501603</v>
      </c>
      <c r="Y204" s="17">
        <f t="shared" si="22"/>
        <v>2019.5419344234438</v>
      </c>
      <c r="Z204" s="17">
        <f t="shared" si="22"/>
        <v>2044.121330060756</v>
      </c>
    </row>
    <row r="205" spans="1:53" outlineLevel="1" x14ac:dyDescent="0.35"/>
    <row r="206" spans="1:53" s="18" customFormat="1" ht="21" x14ac:dyDescent="0.5">
      <c r="A206" s="18" t="s">
        <v>94</v>
      </c>
    </row>
    <row r="207" spans="1:53" s="20" customFormat="1" outlineLevel="1" x14ac:dyDescent="0.35">
      <c r="A207" s="19" t="s">
        <v>766</v>
      </c>
    </row>
    <row r="208" spans="1:53" s="16" customFormat="1" outlineLevel="1" x14ac:dyDescent="0.35">
      <c r="A208" s="21"/>
      <c r="AE208" s="15"/>
    </row>
    <row r="209" spans="1:53" s="16" customFormat="1" outlineLevel="1" x14ac:dyDescent="0.35">
      <c r="A209" s="22" t="s">
        <v>761</v>
      </c>
    </row>
    <row r="210" spans="1:53" s="16" customFormat="1" outlineLevel="1" x14ac:dyDescent="0.35">
      <c r="A210" s="22"/>
      <c r="AB210" s="16" t="s">
        <v>127</v>
      </c>
      <c r="AC210" s="16">
        <v>100</v>
      </c>
      <c r="AD210" s="16" t="s">
        <v>128</v>
      </c>
    </row>
    <row r="211" spans="1:53" s="16" customFormat="1" outlineLevel="1" x14ac:dyDescent="0.35">
      <c r="A211" s="230" t="s">
        <v>768</v>
      </c>
      <c r="AB211" s="16" t="s">
        <v>20</v>
      </c>
      <c r="AC211" s="16">
        <v>0.23</v>
      </c>
      <c r="AD211" s="16" t="s">
        <v>715</v>
      </c>
    </row>
    <row r="212" spans="1:53" s="16" customFormat="1" outlineLevel="1" x14ac:dyDescent="0.35">
      <c r="A212" s="22"/>
      <c r="AB212" s="16" t="s">
        <v>129</v>
      </c>
      <c r="AC212" s="16">
        <v>25</v>
      </c>
      <c r="AD212" s="16" t="s">
        <v>130</v>
      </c>
    </row>
    <row r="213" spans="1:53" outlineLevel="1" x14ac:dyDescent="0.35">
      <c r="B213" s="25">
        <v>2030</v>
      </c>
      <c r="C213" s="25">
        <v>2031</v>
      </c>
      <c r="D213" s="25">
        <v>2032</v>
      </c>
      <c r="E213" s="25">
        <v>2033</v>
      </c>
      <c r="F213" s="25">
        <v>2034</v>
      </c>
      <c r="G213" s="25">
        <v>2035</v>
      </c>
      <c r="H213" s="25">
        <v>2036</v>
      </c>
      <c r="I213" s="25">
        <v>2037</v>
      </c>
      <c r="J213" s="25">
        <v>2038</v>
      </c>
      <c r="K213" s="25">
        <v>2039</v>
      </c>
      <c r="L213" s="25">
        <v>2040</v>
      </c>
      <c r="M213" s="25">
        <v>2041</v>
      </c>
      <c r="N213" s="25">
        <v>2042</v>
      </c>
      <c r="O213" s="25">
        <v>2043</v>
      </c>
      <c r="P213" s="25">
        <v>2044</v>
      </c>
      <c r="Q213" s="25">
        <v>2045</v>
      </c>
      <c r="R213" s="25">
        <v>2046</v>
      </c>
      <c r="S213" s="25">
        <v>2047</v>
      </c>
      <c r="T213" s="25">
        <v>2048</v>
      </c>
      <c r="U213" s="25">
        <v>2049</v>
      </c>
      <c r="V213" s="25">
        <v>2050</v>
      </c>
      <c r="W213" s="25">
        <v>2051</v>
      </c>
      <c r="X213" s="25">
        <v>2052</v>
      </c>
      <c r="Y213" s="25">
        <v>2053</v>
      </c>
      <c r="Z213" s="25">
        <v>2054</v>
      </c>
      <c r="AC213" s="25">
        <v>2030</v>
      </c>
      <c r="AD213" s="25">
        <v>2031</v>
      </c>
      <c r="AE213" s="25">
        <v>2032</v>
      </c>
      <c r="AF213" s="25">
        <v>2033</v>
      </c>
      <c r="AG213" s="25">
        <v>2034</v>
      </c>
      <c r="AH213" s="25">
        <v>2035</v>
      </c>
      <c r="AI213" s="25">
        <v>2036</v>
      </c>
      <c r="AJ213" s="25">
        <v>2037</v>
      </c>
      <c r="AK213" s="25">
        <v>2038</v>
      </c>
      <c r="AL213" s="25">
        <v>2039</v>
      </c>
      <c r="AM213" s="25">
        <v>2040</v>
      </c>
      <c r="AN213" s="25">
        <v>2041</v>
      </c>
      <c r="AO213" s="25">
        <v>2042</v>
      </c>
      <c r="AP213" s="25">
        <v>2043</v>
      </c>
      <c r="AQ213" s="25">
        <v>2044</v>
      </c>
      <c r="AR213" s="25">
        <v>2045</v>
      </c>
      <c r="AS213" s="25">
        <v>2046</v>
      </c>
      <c r="AT213" s="25">
        <v>2047</v>
      </c>
      <c r="AU213" s="25">
        <v>2048</v>
      </c>
      <c r="AV213" s="25">
        <v>2049</v>
      </c>
      <c r="AW213" s="25">
        <v>2050</v>
      </c>
      <c r="AX213" s="25">
        <v>2051</v>
      </c>
      <c r="AY213" s="25">
        <v>2052</v>
      </c>
      <c r="AZ213" s="25">
        <v>2053</v>
      </c>
      <c r="BA213" s="25">
        <v>2054</v>
      </c>
    </row>
    <row r="214" spans="1:53" outlineLevel="1" x14ac:dyDescent="0.35">
      <c r="A214" s="6" t="s">
        <v>21</v>
      </c>
      <c r="B214" s="6">
        <f>'Results - raw data ReCiPe (I)'!BC77</f>
        <v>72.255576601305791</v>
      </c>
      <c r="AB214" s="6" t="s">
        <v>117</v>
      </c>
      <c r="AC214" s="6">
        <f>SUM(B214:B225)+B227</f>
        <v>2667.7638206178117</v>
      </c>
    </row>
    <row r="215" spans="1:53" outlineLevel="1" x14ac:dyDescent="0.35">
      <c r="A215" s="6" t="s">
        <v>23</v>
      </c>
      <c r="B215" s="6">
        <f>'Results - raw data ReCiPe (I)'!BC78</f>
        <v>332.07989198207088</v>
      </c>
      <c r="AB215" s="6" t="s">
        <v>118</v>
      </c>
      <c r="AC215" s="6">
        <f>B226</f>
        <v>259.78797680878478</v>
      </c>
    </row>
    <row r="216" spans="1:53" outlineLevel="1" x14ac:dyDescent="0.35">
      <c r="A216" s="6" t="s">
        <v>26</v>
      </c>
      <c r="B216" s="6">
        <f>'Results - raw data ReCiPe (I)'!BC79</f>
        <v>307.66955330145822</v>
      </c>
      <c r="AB216" s="6" t="s">
        <v>119</v>
      </c>
      <c r="BA216" s="6">
        <f>SUM(Z228:Z239)</f>
        <v>38.811208026370814</v>
      </c>
    </row>
    <row r="217" spans="1:53" outlineLevel="1" x14ac:dyDescent="0.35">
      <c r="A217" s="6" t="s">
        <v>28</v>
      </c>
      <c r="B217" s="6">
        <f>'Results - raw data ReCiPe (I)'!BC80</f>
        <v>217.9178527036477</v>
      </c>
      <c r="AB217" s="6" t="s">
        <v>120</v>
      </c>
      <c r="BA217" s="6">
        <f>Z240</f>
        <v>1.2286815910263129</v>
      </c>
    </row>
    <row r="218" spans="1:53" outlineLevel="1" x14ac:dyDescent="0.35">
      <c r="A218" s="6" t="s">
        <v>29</v>
      </c>
      <c r="B218" s="6">
        <f>'Results - raw data ReCiPe (I)'!BC81</f>
        <v>98.859617046014776</v>
      </c>
      <c r="AB218" s="6" t="s">
        <v>121</v>
      </c>
      <c r="AC218" s="6">
        <f>B241</f>
        <v>113.898776346798</v>
      </c>
      <c r="AF218" s="6">
        <f>E241</f>
        <v>112.2202631041648</v>
      </c>
      <c r="AI218" s="6">
        <f>H241</f>
        <v>112.02723495155939</v>
      </c>
      <c r="AL218" s="6">
        <f>K241</f>
        <v>113.04433550375791</v>
      </c>
      <c r="AO218" s="6">
        <f>N241</f>
        <v>113.43821672233091</v>
      </c>
      <c r="AR218" s="6">
        <f>Q241</f>
        <v>113.1998263783904</v>
      </c>
      <c r="AU218" s="6">
        <f>T241</f>
        <v>112.0953414641442</v>
      </c>
      <c r="AX218" s="6">
        <f>W241</f>
        <v>111.3874174886531</v>
      </c>
      <c r="BA218" s="6">
        <f>Z241</f>
        <v>111.1953975844519</v>
      </c>
    </row>
    <row r="219" spans="1:53" outlineLevel="1" x14ac:dyDescent="0.35">
      <c r="A219" s="6" t="s">
        <v>31</v>
      </c>
      <c r="B219" s="6">
        <f>'Results - raw data ReCiPe (I)'!BC82</f>
        <v>74.95740277950722</v>
      </c>
      <c r="AB219" s="6" t="s">
        <v>122</v>
      </c>
      <c r="AC219" s="6">
        <f>B244+B243</f>
        <v>1173.5113470907304</v>
      </c>
      <c r="AD219" s="6">
        <f t="shared" ref="AD219:BA219" si="23">C244+C243</f>
        <v>1084.6489104473187</v>
      </c>
      <c r="AE219" s="6">
        <f t="shared" si="23"/>
        <v>995.07365726014177</v>
      </c>
      <c r="AF219" s="6">
        <f t="shared" si="23"/>
        <v>900.12221409508845</v>
      </c>
      <c r="AG219" s="6">
        <f t="shared" si="23"/>
        <v>808.93658202369147</v>
      </c>
      <c r="AH219" s="6">
        <f t="shared" si="23"/>
        <v>717.04376656979923</v>
      </c>
      <c r="AI219" s="6">
        <f t="shared" si="23"/>
        <v>827.69920531221646</v>
      </c>
      <c r="AJ219" s="6">
        <f t="shared" si="23"/>
        <v>938.07346363372085</v>
      </c>
      <c r="AK219" s="6">
        <f t="shared" si="23"/>
        <v>1043.6046122063867</v>
      </c>
      <c r="AL219" s="6">
        <f t="shared" si="23"/>
        <v>1153.2745068895172</v>
      </c>
      <c r="AM219" s="6">
        <f t="shared" si="23"/>
        <v>1262.6855683661406</v>
      </c>
      <c r="AN219" s="6">
        <f t="shared" si="23"/>
        <v>1398.7601105876331</v>
      </c>
      <c r="AO219" s="6">
        <f t="shared" si="23"/>
        <v>1534.3969467774723</v>
      </c>
      <c r="AP219" s="6">
        <f t="shared" si="23"/>
        <v>1668.5569926686808</v>
      </c>
      <c r="AQ219" s="6">
        <f t="shared" si="23"/>
        <v>1803.3419255240051</v>
      </c>
      <c r="AR219" s="6">
        <f t="shared" si="23"/>
        <v>1937.6839787884905</v>
      </c>
      <c r="AS219" s="6">
        <f t="shared" si="23"/>
        <v>1888.4503747792228</v>
      </c>
      <c r="AT219" s="6">
        <f t="shared" si="23"/>
        <v>1839.474084248305</v>
      </c>
      <c r="AU219" s="6">
        <f t="shared" si="23"/>
        <v>1789.8084493286601</v>
      </c>
      <c r="AV219" s="6">
        <f t="shared" si="23"/>
        <v>1741.3571801186274</v>
      </c>
      <c r="AW219" s="6">
        <f t="shared" si="23"/>
        <v>1693.1277324317427</v>
      </c>
      <c r="AX219" s="6">
        <f t="shared" si="23"/>
        <v>1693.5730974540745</v>
      </c>
      <c r="AY219" s="6">
        <f t="shared" si="23"/>
        <v>1694.0738600196682</v>
      </c>
      <c r="AZ219" s="6">
        <f t="shared" si="23"/>
        <v>1694.5625334789479</v>
      </c>
      <c r="BA219" s="6">
        <f t="shared" si="23"/>
        <v>1695.0377222595323</v>
      </c>
    </row>
    <row r="220" spans="1:53" outlineLevel="1" x14ac:dyDescent="0.35">
      <c r="A220" s="6" t="s">
        <v>34</v>
      </c>
      <c r="B220" s="6">
        <f>'Results - raw data ReCiPe (I)'!BC83</f>
        <v>48.236543162443397</v>
      </c>
      <c r="AB220" s="6" t="s">
        <v>123</v>
      </c>
      <c r="AC220" s="6">
        <f>B242</f>
        <v>117.8568792486479</v>
      </c>
      <c r="AD220" s="6">
        <f t="shared" ref="AD220:BA220" si="24">C242</f>
        <v>108.6734880566903</v>
      </c>
      <c r="AE220" s="6">
        <f t="shared" si="24"/>
        <v>99.483171917324086</v>
      </c>
      <c r="AF220" s="6">
        <f t="shared" si="24"/>
        <v>89.834876440245282</v>
      </c>
      <c r="AG220" s="6">
        <f t="shared" si="24"/>
        <v>80.616658357088596</v>
      </c>
      <c r="AH220" s="6">
        <f t="shared" si="24"/>
        <v>71.39380239652408</v>
      </c>
      <c r="AI220" s="6">
        <f t="shared" si="24"/>
        <v>82.12517998251586</v>
      </c>
      <c r="AJ220" s="6">
        <f t="shared" si="24"/>
        <v>92.782447964405179</v>
      </c>
      <c r="AK220" s="6">
        <f t="shared" si="24"/>
        <v>102.92379696753939</v>
      </c>
      <c r="AL220" s="6">
        <f t="shared" si="24"/>
        <v>113.42029184498151</v>
      </c>
      <c r="AM220" s="6">
        <f t="shared" si="24"/>
        <v>123.84525773378361</v>
      </c>
      <c r="AN220" s="6">
        <f t="shared" si="24"/>
        <v>137.06848811315538</v>
      </c>
      <c r="AO220" s="6">
        <f t="shared" si="24"/>
        <v>150.2716475387015</v>
      </c>
      <c r="AP220" s="6">
        <f t="shared" si="24"/>
        <v>163.35427947618578</v>
      </c>
      <c r="AQ220" s="6">
        <f t="shared" si="24"/>
        <v>176.51957495567621</v>
      </c>
      <c r="AR220" s="6">
        <f t="shared" si="24"/>
        <v>189.6642186682013</v>
      </c>
      <c r="AS220" s="6">
        <f t="shared" si="24"/>
        <v>185.59424550255198</v>
      </c>
      <c r="AT220" s="6">
        <f t="shared" si="24"/>
        <v>181.50694864530419</v>
      </c>
      <c r="AU220" s="6">
        <f t="shared" si="24"/>
        <v>177.31044454310768</v>
      </c>
      <c r="AV220" s="6">
        <f t="shared" si="24"/>
        <v>173.19043309970979</v>
      </c>
      <c r="AW220" s="6">
        <f t="shared" si="24"/>
        <v>169.0520920965904</v>
      </c>
      <c r="AX220" s="6">
        <f t="shared" si="24"/>
        <v>168.88098557630579</v>
      </c>
      <c r="AY220" s="6">
        <f t="shared" si="24"/>
        <v>168.71851244775661</v>
      </c>
      <c r="AZ220" s="6">
        <f t="shared" si="24"/>
        <v>168.55461012015971</v>
      </c>
      <c r="BA220" s="6">
        <f t="shared" si="24"/>
        <v>168.38906925869591</v>
      </c>
    </row>
    <row r="221" spans="1:53" outlineLevel="1" x14ac:dyDescent="0.35">
      <c r="A221" s="6" t="s">
        <v>36</v>
      </c>
      <c r="B221" s="6">
        <f>'Results - raw data ReCiPe (I)'!BC84</f>
        <v>56.329787563552607</v>
      </c>
      <c r="AB221" s="6" t="s">
        <v>124</v>
      </c>
    </row>
    <row r="222" spans="1:53" outlineLevel="1" x14ac:dyDescent="0.35">
      <c r="A222" s="6" t="s">
        <v>38</v>
      </c>
      <c r="B222" s="6">
        <f>'Results - raw data ReCiPe (I)'!BC85</f>
        <v>643.79134840884126</v>
      </c>
      <c r="AB222" s="23" t="s">
        <v>125</v>
      </c>
      <c r="AC222" s="17">
        <f>SUM(AC214:AC221)</f>
        <v>4332.8188001127728</v>
      </c>
      <c r="AD222" s="17">
        <f t="shared" ref="AD222:BA222" si="25">SUM(AD214:AD221)</f>
        <v>1193.322398504009</v>
      </c>
      <c r="AE222" s="17">
        <f t="shared" si="25"/>
        <v>1094.5568291774659</v>
      </c>
      <c r="AF222" s="17">
        <f t="shared" si="25"/>
        <v>1102.1773536394985</v>
      </c>
      <c r="AG222" s="17">
        <f t="shared" si="25"/>
        <v>889.55324038078004</v>
      </c>
      <c r="AH222" s="17">
        <f t="shared" si="25"/>
        <v>788.43756896632328</v>
      </c>
      <c r="AI222" s="17">
        <f t="shared" si="25"/>
        <v>1021.8516202462918</v>
      </c>
      <c r="AJ222" s="17">
        <f t="shared" si="25"/>
        <v>1030.8559115981261</v>
      </c>
      <c r="AK222" s="17">
        <f t="shared" si="25"/>
        <v>1146.5284091739261</v>
      </c>
      <c r="AL222" s="17">
        <f t="shared" si="25"/>
        <v>1379.7391342382566</v>
      </c>
      <c r="AM222" s="17">
        <f t="shared" si="25"/>
        <v>1386.5308260999243</v>
      </c>
      <c r="AN222" s="17">
        <f t="shared" si="25"/>
        <v>1535.8285987007885</v>
      </c>
      <c r="AO222" s="17">
        <f t="shared" si="25"/>
        <v>1798.1068110385047</v>
      </c>
      <c r="AP222" s="17">
        <f t="shared" si="25"/>
        <v>1831.9112721448666</v>
      </c>
      <c r="AQ222" s="17">
        <f t="shared" si="25"/>
        <v>1979.8615004796814</v>
      </c>
      <c r="AR222" s="17">
        <f t="shared" si="25"/>
        <v>2240.5480238350819</v>
      </c>
      <c r="AS222" s="17">
        <f t="shared" si="25"/>
        <v>2074.0446202817748</v>
      </c>
      <c r="AT222" s="17">
        <f t="shared" si="25"/>
        <v>2020.9810328936092</v>
      </c>
      <c r="AU222" s="17">
        <f t="shared" si="25"/>
        <v>2079.2142353359122</v>
      </c>
      <c r="AV222" s="17">
        <f t="shared" si="25"/>
        <v>1914.5476132183371</v>
      </c>
      <c r="AW222" s="17">
        <f t="shared" si="25"/>
        <v>1862.179824528333</v>
      </c>
      <c r="AX222" s="17">
        <f t="shared" si="25"/>
        <v>1973.8415005190334</v>
      </c>
      <c r="AY222" s="17">
        <f t="shared" si="25"/>
        <v>1862.7923724674249</v>
      </c>
      <c r="AZ222" s="17">
        <f t="shared" si="25"/>
        <v>1863.1171435991075</v>
      </c>
      <c r="BA222" s="17">
        <f t="shared" si="25"/>
        <v>2014.662078720077</v>
      </c>
    </row>
    <row r="223" spans="1:53" outlineLevel="1" x14ac:dyDescent="0.35">
      <c r="A223" s="6" t="s">
        <v>39</v>
      </c>
      <c r="B223" s="6">
        <f>'Results - raw data ReCiPe (I)'!BC86</f>
        <v>600.68151504185573</v>
      </c>
    </row>
    <row r="224" spans="1:53" outlineLevel="1" x14ac:dyDescent="0.35">
      <c r="A224" s="6" t="s">
        <v>41</v>
      </c>
      <c r="B224" s="6">
        <f>'Results - raw data ReCiPe (I)'!BC87</f>
        <v>53.750548509494848</v>
      </c>
    </row>
    <row r="225" spans="1:53" outlineLevel="1" x14ac:dyDescent="0.35">
      <c r="A225" s="6" t="s">
        <v>43</v>
      </c>
      <c r="B225" s="6">
        <f>'Results - raw data ReCiPe (I)'!BC88</f>
        <v>70.879104867522443</v>
      </c>
      <c r="AB225" s="219"/>
      <c r="AC225" s="219"/>
      <c r="AD225" s="219"/>
      <c r="AE225" s="219"/>
      <c r="AF225" s="219"/>
      <c r="AG225" s="219"/>
      <c r="AH225" s="219"/>
      <c r="AI225" s="219"/>
      <c r="AJ225" s="219"/>
      <c r="AK225" s="219"/>
      <c r="AL225" s="219"/>
      <c r="AM225" s="219"/>
      <c r="AN225" s="219"/>
      <c r="AO225" s="219"/>
      <c r="AP225" s="219"/>
      <c r="AQ225" s="219"/>
      <c r="AR225" s="219"/>
      <c r="AS225" s="219"/>
      <c r="AT225" s="219"/>
      <c r="AU225" s="219"/>
      <c r="AV225" s="219"/>
      <c r="AW225" s="219"/>
      <c r="AX225" s="219"/>
      <c r="AY225" s="219"/>
      <c r="AZ225" s="219"/>
      <c r="BA225" s="219"/>
    </row>
    <row r="226" spans="1:53" outlineLevel="1" x14ac:dyDescent="0.35">
      <c r="A226" s="6" t="s">
        <v>44</v>
      </c>
      <c r="B226" s="6">
        <f>'Results - raw data ReCiPe (I)'!BC89*AC210*AC212</f>
        <v>259.78797680878478</v>
      </c>
      <c r="AB226" s="219"/>
      <c r="AC226" s="219"/>
      <c r="AD226" s="219"/>
      <c r="AE226" s="219"/>
      <c r="AF226" s="219"/>
      <c r="AG226" s="219"/>
      <c r="AH226" s="219"/>
      <c r="AI226" s="219"/>
      <c r="AJ226" s="219"/>
      <c r="AK226" s="219"/>
      <c r="AL226" s="219"/>
      <c r="AM226" s="219"/>
      <c r="AN226" s="219"/>
      <c r="AO226" s="219"/>
      <c r="AP226" s="219"/>
      <c r="AQ226" s="219"/>
      <c r="AR226" s="219"/>
      <c r="AS226" s="219"/>
      <c r="AT226" s="219"/>
      <c r="AU226" s="219"/>
      <c r="AV226" s="219"/>
      <c r="AW226" s="219"/>
      <c r="AX226" s="219"/>
      <c r="AY226" s="219"/>
      <c r="AZ226" s="219"/>
      <c r="BA226" s="219"/>
    </row>
    <row r="227" spans="1:53" outlineLevel="1" x14ac:dyDescent="0.35">
      <c r="A227" s="6" t="s">
        <v>757</v>
      </c>
      <c r="B227" s="6">
        <f>'Results - raw data ReCiPe (I)'!BC90*AC210*AC212</f>
        <v>90.355078650097028</v>
      </c>
      <c r="AB227" s="219"/>
      <c r="AC227" s="219"/>
      <c r="AD227" s="219"/>
      <c r="AE227" s="219"/>
      <c r="AF227" s="219"/>
      <c r="AG227" s="219"/>
      <c r="AH227" s="219"/>
      <c r="AI227" s="219"/>
      <c r="AJ227" s="219"/>
      <c r="AK227" s="219"/>
      <c r="AL227" s="219"/>
      <c r="AM227" s="219"/>
      <c r="AN227" s="219"/>
      <c r="AO227" s="219"/>
      <c r="AP227" s="219"/>
      <c r="AQ227" s="219"/>
      <c r="AR227" s="219"/>
      <c r="AS227" s="219"/>
      <c r="AT227" s="219"/>
      <c r="AU227" s="219"/>
      <c r="AV227" s="219"/>
      <c r="AW227" s="219"/>
      <c r="AX227" s="219"/>
      <c r="AY227" s="219"/>
      <c r="AZ227" s="219"/>
      <c r="BA227" s="219"/>
    </row>
    <row r="228" spans="1:53" outlineLevel="1" x14ac:dyDescent="0.35">
      <c r="A228" s="6" t="s">
        <v>22</v>
      </c>
      <c r="Z228" s="6">
        <f>'Results - raw data ReCiPe (I)'!CA91</f>
        <v>0.30635972341572332</v>
      </c>
      <c r="AB228" s="219"/>
      <c r="AC228" s="219"/>
      <c r="AD228" s="219"/>
      <c r="AE228" s="219"/>
      <c r="AF228" s="219"/>
      <c r="AG228" s="219"/>
      <c r="AH228" s="219"/>
      <c r="AI228" s="219"/>
      <c r="AJ228" s="219"/>
      <c r="AK228" s="219"/>
      <c r="AL228" s="219"/>
      <c r="AM228" s="219"/>
      <c r="AN228" s="219"/>
      <c r="AO228" s="219"/>
      <c r="AP228" s="219"/>
      <c r="AQ228" s="219"/>
      <c r="AR228" s="219"/>
      <c r="AS228" s="219"/>
      <c r="AT228" s="219"/>
      <c r="AU228" s="219"/>
      <c r="AV228" s="219"/>
      <c r="AW228" s="219"/>
      <c r="AX228" s="219"/>
      <c r="AY228" s="219"/>
      <c r="AZ228" s="219"/>
      <c r="BA228" s="219"/>
    </row>
    <row r="229" spans="1:53" outlineLevel="1" x14ac:dyDescent="0.35">
      <c r="A229" s="6" t="s">
        <v>24</v>
      </c>
      <c r="Z229" s="6">
        <f>'Results - raw data ReCiPe (I)'!CA92</f>
        <v>0.33984583893654807</v>
      </c>
      <c r="AB229" s="219"/>
      <c r="AC229" s="219"/>
      <c r="AD229" s="219"/>
      <c r="AE229" s="219"/>
      <c r="AF229" s="219"/>
      <c r="AG229" s="219"/>
      <c r="AH229" s="219"/>
      <c r="AI229" s="219"/>
      <c r="AJ229" s="219"/>
      <c r="AK229" s="219"/>
      <c r="AL229" s="219"/>
      <c r="AM229" s="219"/>
      <c r="AN229" s="219"/>
      <c r="AO229" s="219"/>
      <c r="AP229" s="219"/>
      <c r="AQ229" s="219"/>
      <c r="AR229" s="219"/>
      <c r="AS229" s="219"/>
      <c r="AT229" s="219"/>
      <c r="AU229" s="219"/>
      <c r="AV229" s="219"/>
      <c r="AW229" s="219"/>
      <c r="AX229" s="219"/>
      <c r="AY229" s="219"/>
      <c r="AZ229" s="219"/>
      <c r="BA229" s="219"/>
    </row>
    <row r="230" spans="1:53" outlineLevel="1" x14ac:dyDescent="0.35">
      <c r="A230" s="6" t="s">
        <v>25</v>
      </c>
      <c r="Z230" s="6">
        <f>'Results - raw data ReCiPe (I)'!CA93</f>
        <v>1.5474181038718611</v>
      </c>
      <c r="AB230" s="219"/>
      <c r="AC230" s="219"/>
      <c r="AD230" s="219"/>
      <c r="AE230" s="219"/>
      <c r="AF230" s="219"/>
      <c r="AG230" s="219"/>
      <c r="AH230" s="219"/>
      <c r="AI230" s="219"/>
      <c r="AJ230" s="219"/>
      <c r="AK230" s="219"/>
      <c r="AL230" s="219"/>
      <c r="AM230" s="219"/>
      <c r="AN230" s="219"/>
      <c r="AO230" s="219"/>
      <c r="AP230" s="219"/>
      <c r="AQ230" s="219"/>
      <c r="AR230" s="219"/>
      <c r="AS230" s="219"/>
      <c r="AT230" s="219"/>
      <c r="AU230" s="219"/>
      <c r="AV230" s="219"/>
      <c r="AW230" s="219"/>
      <c r="AX230" s="219"/>
      <c r="AY230" s="219"/>
      <c r="AZ230" s="219"/>
      <c r="BA230" s="219"/>
    </row>
    <row r="231" spans="1:53" outlineLevel="1" x14ac:dyDescent="0.35">
      <c r="A231" s="6" t="s">
        <v>27</v>
      </c>
      <c r="Z231" s="6">
        <f>'Results - raw data ReCiPe (I)'!CA94</f>
        <v>0.94548201452630143</v>
      </c>
      <c r="AB231" s="219"/>
      <c r="AC231" s="219"/>
      <c r="AD231" s="219"/>
      <c r="AE231" s="219"/>
      <c r="AF231" s="219"/>
      <c r="AG231" s="219"/>
      <c r="AH231" s="219"/>
      <c r="AI231" s="219"/>
      <c r="AJ231" s="219"/>
      <c r="AK231" s="219"/>
      <c r="AL231" s="219"/>
      <c r="AM231" s="219"/>
      <c r="AN231" s="219"/>
      <c r="AO231" s="219"/>
      <c r="AP231" s="219"/>
      <c r="AQ231" s="219"/>
      <c r="AR231" s="219"/>
      <c r="AS231" s="219"/>
      <c r="AT231" s="219"/>
      <c r="AU231" s="219"/>
      <c r="AV231" s="219"/>
      <c r="AW231" s="219"/>
      <c r="AX231" s="219"/>
      <c r="AY231" s="219"/>
      <c r="AZ231" s="219"/>
      <c r="BA231" s="219"/>
    </row>
    <row r="232" spans="1:53" outlineLevel="1" x14ac:dyDescent="0.35">
      <c r="A232" s="6" t="s">
        <v>30</v>
      </c>
      <c r="Z232" s="6">
        <f>'Results - raw data ReCiPe (I)'!CA95</f>
        <v>0.37604451141395889</v>
      </c>
      <c r="AB232" s="219"/>
      <c r="AC232" s="219"/>
      <c r="AD232" s="219"/>
      <c r="AE232" s="219"/>
      <c r="AF232" s="219"/>
      <c r="AG232" s="219"/>
      <c r="AH232" s="219"/>
      <c r="AI232" s="219"/>
      <c r="AJ232" s="219"/>
      <c r="AK232" s="219"/>
      <c r="AL232" s="219"/>
      <c r="AM232" s="219"/>
      <c r="AN232" s="219"/>
      <c r="AO232" s="219"/>
      <c r="AP232" s="219"/>
      <c r="AQ232" s="219"/>
      <c r="AR232" s="219"/>
      <c r="AS232" s="219"/>
      <c r="AT232" s="219"/>
      <c r="AU232" s="219"/>
      <c r="AV232" s="219"/>
      <c r="AW232" s="219"/>
      <c r="AX232" s="219"/>
      <c r="AY232" s="219"/>
      <c r="AZ232" s="219"/>
      <c r="BA232" s="219"/>
    </row>
    <row r="233" spans="1:53" outlineLevel="1" x14ac:dyDescent="0.35">
      <c r="A233" s="6" t="s">
        <v>32</v>
      </c>
      <c r="Z233" s="6">
        <f>'Results - raw data ReCiPe (I)'!CA96</f>
        <v>0.1689526457090417</v>
      </c>
      <c r="AB233" s="219"/>
      <c r="AC233" s="219"/>
      <c r="AD233" s="219"/>
      <c r="AE233" s="219"/>
      <c r="AF233" s="219"/>
      <c r="AG233" s="219"/>
      <c r="AH233" s="219"/>
      <c r="AI233" s="219"/>
      <c r="AJ233" s="219"/>
      <c r="AK233" s="219"/>
      <c r="AL233" s="219"/>
      <c r="AM233" s="219"/>
      <c r="AN233" s="219"/>
      <c r="AO233" s="219"/>
      <c r="AP233" s="219"/>
      <c r="AQ233" s="219"/>
      <c r="AR233" s="219"/>
      <c r="AS233" s="219"/>
      <c r="AT233" s="219"/>
      <c r="AU233" s="219"/>
      <c r="AV233" s="219"/>
      <c r="AW233" s="219"/>
      <c r="AX233" s="219"/>
      <c r="AY233" s="219"/>
      <c r="AZ233" s="219"/>
      <c r="BA233" s="219"/>
    </row>
    <row r="234" spans="1:53" outlineLevel="1" x14ac:dyDescent="0.35">
      <c r="A234" s="6" t="s">
        <v>33</v>
      </c>
      <c r="Z234" s="6">
        <f>'Results - raw data ReCiPe (I)'!CA97</f>
        <v>9.7186212345248976E-2</v>
      </c>
      <c r="AB234" s="219"/>
      <c r="AC234" s="219"/>
      <c r="AD234" s="219"/>
      <c r="AE234" s="219"/>
      <c r="AF234" s="219"/>
      <c r="AG234" s="219"/>
      <c r="AH234" s="219"/>
      <c r="AI234" s="219"/>
      <c r="AJ234" s="219"/>
      <c r="AK234" s="219"/>
      <c r="AL234" s="219"/>
      <c r="AM234" s="219"/>
      <c r="AN234" s="219"/>
      <c r="AO234" s="219"/>
      <c r="AP234" s="219"/>
      <c r="AQ234" s="219"/>
      <c r="AR234" s="219"/>
      <c r="AS234" s="219"/>
      <c r="AT234" s="219"/>
      <c r="AU234" s="219"/>
      <c r="AV234" s="219"/>
      <c r="AW234" s="219"/>
      <c r="AX234" s="219"/>
      <c r="AY234" s="219"/>
      <c r="AZ234" s="219"/>
      <c r="BA234" s="219"/>
    </row>
    <row r="235" spans="1:53" outlineLevel="1" x14ac:dyDescent="0.35">
      <c r="A235" s="6" t="s">
        <v>35</v>
      </c>
      <c r="Z235" s="6">
        <f>'Results - raw data ReCiPe (I)'!CA98</f>
        <v>0.19437242469049801</v>
      </c>
      <c r="AB235" s="219"/>
      <c r="AC235" s="219"/>
      <c r="AD235" s="219"/>
      <c r="AE235" s="219"/>
      <c r="AF235" s="219"/>
      <c r="AG235" s="219"/>
      <c r="AH235" s="219"/>
      <c r="AI235" s="219"/>
      <c r="AJ235" s="219"/>
      <c r="AK235" s="219"/>
      <c r="AL235" s="219"/>
      <c r="AM235" s="219"/>
      <c r="AN235" s="219"/>
      <c r="AO235" s="219"/>
      <c r="AP235" s="219"/>
      <c r="AQ235" s="219"/>
      <c r="AR235" s="219"/>
      <c r="AS235" s="219"/>
      <c r="AT235" s="219"/>
      <c r="AU235" s="219"/>
      <c r="AV235" s="219"/>
      <c r="AW235" s="219"/>
      <c r="AX235" s="219"/>
      <c r="AY235" s="219"/>
      <c r="AZ235" s="219"/>
      <c r="BA235" s="219"/>
    </row>
    <row r="236" spans="1:53" outlineLevel="1" x14ac:dyDescent="0.35">
      <c r="A236" s="6" t="s">
        <v>37</v>
      </c>
      <c r="Z236" s="6">
        <f>'Results - raw data ReCiPe (I)'!CA99</f>
        <v>2.8633835937773271</v>
      </c>
      <c r="AB236" s="219"/>
      <c r="AC236" s="219"/>
      <c r="AD236" s="219"/>
      <c r="AE236" s="219"/>
      <c r="AF236" s="219"/>
      <c r="AG236" s="219"/>
      <c r="AH236" s="219"/>
      <c r="AI236" s="219"/>
      <c r="AJ236" s="219"/>
      <c r="AK236" s="219"/>
      <c r="AL236" s="219"/>
      <c r="AM236" s="219"/>
      <c r="AN236" s="219"/>
      <c r="AO236" s="219"/>
      <c r="AP236" s="219"/>
      <c r="AQ236" s="219"/>
      <c r="AR236" s="219"/>
      <c r="AS236" s="219"/>
      <c r="AT236" s="219"/>
      <c r="AU236" s="219"/>
      <c r="AV236" s="219"/>
      <c r="AW236" s="219"/>
      <c r="AX236" s="219"/>
      <c r="AY236" s="219"/>
      <c r="AZ236" s="219"/>
      <c r="BA236" s="219"/>
    </row>
    <row r="237" spans="1:53" outlineLevel="1" x14ac:dyDescent="0.35">
      <c r="A237" s="6" t="s">
        <v>40</v>
      </c>
      <c r="Z237" s="6">
        <f>'Results - raw data ReCiPe (I)'!CA100</f>
        <v>1.3399465538739621</v>
      </c>
    </row>
    <row r="238" spans="1:53" outlineLevel="1" x14ac:dyDescent="0.35">
      <c r="A238" s="6" t="s">
        <v>42</v>
      </c>
      <c r="Z238" s="6">
        <f>'Results - raw data ReCiPe (I)'!CA101</f>
        <v>3.604224052803163</v>
      </c>
    </row>
    <row r="239" spans="1:53" outlineLevel="1" x14ac:dyDescent="0.35">
      <c r="A239" s="6" t="s">
        <v>115</v>
      </c>
      <c r="Z239" s="6">
        <f>'Results - raw data ReCiPe (I)'!CA102</f>
        <v>27.027992351007178</v>
      </c>
    </row>
    <row r="240" spans="1:53" outlineLevel="1" x14ac:dyDescent="0.35">
      <c r="A240" s="6" t="s">
        <v>45</v>
      </c>
      <c r="Z240" s="6">
        <f>'Results - raw data ReCiPe (I)'!CA103*AC210*AC212</f>
        <v>1.2286815910263129</v>
      </c>
    </row>
    <row r="241" spans="1:26" outlineLevel="1" x14ac:dyDescent="0.35">
      <c r="A241" s="6" t="s">
        <v>116</v>
      </c>
      <c r="B241" s="6">
        <f>'Results - raw data ReCiPe (I)'!BC104</f>
        <v>113.898776346798</v>
      </c>
      <c r="C241" s="6">
        <f>'Results - raw data ReCiPe (I)'!BD104</f>
        <v>113.56243348710539</v>
      </c>
      <c r="D241" s="6">
        <f>'Results - raw data ReCiPe (I)'!BE104</f>
        <v>113.2211122554602</v>
      </c>
      <c r="E241" s="6">
        <f>'Results - raw data ReCiPe (I)'!BF104</f>
        <v>112.2202631041648</v>
      </c>
      <c r="F241" s="6">
        <f>'Results - raw data ReCiPe (I)'!BG104</f>
        <v>111.87545543858</v>
      </c>
      <c r="G241" s="6">
        <f>'Results - raw data ReCiPe (I)'!BH104</f>
        <v>111.5248413382393</v>
      </c>
      <c r="H241" s="6">
        <f>'Results - raw data ReCiPe (I)'!BI104</f>
        <v>112.02723495155939</v>
      </c>
      <c r="I241" s="6">
        <f>'Results - raw data ReCiPe (I)'!BJ104</f>
        <v>112.5196703576229</v>
      </c>
      <c r="J241" s="6">
        <f>'Results - raw data ReCiPe (I)'!BK104</f>
        <v>112.5648468888273</v>
      </c>
      <c r="K241" s="6">
        <f>'Results - raw data ReCiPe (I)'!BL104</f>
        <v>113.04433550375791</v>
      </c>
      <c r="L241" s="6">
        <f>'Results - raw data ReCiPe (I)'!BM104</f>
        <v>113.5145120285696</v>
      </c>
      <c r="M241" s="6">
        <f>'Results - raw data ReCiPe (I)'!BN104</f>
        <v>113.47633656230281</v>
      </c>
      <c r="N241" s="6">
        <f>'Results - raw data ReCiPe (I)'!BO104</f>
        <v>113.43821672233091</v>
      </c>
      <c r="O241" s="6">
        <f>'Results - raw data ReCiPe (I)'!BP104</f>
        <v>113.27001425759541</v>
      </c>
      <c r="P241" s="6">
        <f>'Results - raw data ReCiPe (I)'!BQ104</f>
        <v>113.2350028411453</v>
      </c>
      <c r="Q241" s="6">
        <f>'Results - raw data ReCiPe (I)'!BR104</f>
        <v>113.1998263783904</v>
      </c>
      <c r="R241" s="6">
        <f>'Results - raw data ReCiPe (I)'!BS104</f>
        <v>112.87099562799639</v>
      </c>
      <c r="S241" s="6">
        <f>'Results - raw data ReCiPe (I)'!BT104</f>
        <v>112.5438700453108</v>
      </c>
      <c r="T241" s="6">
        <f>'Results - raw data ReCiPe (I)'!BU104</f>
        <v>112.0953414641442</v>
      </c>
      <c r="U241" s="6">
        <f>'Results - raw data ReCiPe (I)'!BV104</f>
        <v>111.7733057348982</v>
      </c>
      <c r="V241" s="6">
        <f>'Results - raw data ReCiPe (I)'!BW104</f>
        <v>111.4523390475613</v>
      </c>
      <c r="W241" s="6">
        <f>'Results - raw data ReCiPe (I)'!BX104</f>
        <v>111.3874174886531</v>
      </c>
      <c r="X241" s="6">
        <f>'Results - raw data ReCiPe (I)'!BY104</f>
        <v>111.3230858402094</v>
      </c>
      <c r="Y241" s="6">
        <f>'Results - raw data ReCiPe (I)'!BZ104</f>
        <v>111.2590823157262</v>
      </c>
      <c r="Z241" s="6">
        <f>'Results - raw data ReCiPe (I)'!CA104</f>
        <v>111.1953975844519</v>
      </c>
    </row>
    <row r="242" spans="1:26" outlineLevel="1" x14ac:dyDescent="0.35">
      <c r="A242" s="6" t="s">
        <v>758</v>
      </c>
      <c r="B242" s="6">
        <f>'Results - raw data ReCiPe (I)'!BC105*$AC$210</f>
        <v>117.8568792486479</v>
      </c>
      <c r="C242" s="6">
        <f>'Results - raw data ReCiPe (I)'!BD105*$AC$210</f>
        <v>108.6734880566903</v>
      </c>
      <c r="D242" s="6">
        <f>'Results - raw data ReCiPe (I)'!BE105*$AC$210</f>
        <v>99.483171917324086</v>
      </c>
      <c r="E242" s="6">
        <f>'Results - raw data ReCiPe (I)'!BF105*$AC$210</f>
        <v>89.834876440245282</v>
      </c>
      <c r="F242" s="6">
        <f>'Results - raw data ReCiPe (I)'!BG105*$AC$210</f>
        <v>80.616658357088596</v>
      </c>
      <c r="G242" s="6">
        <f>'Results - raw data ReCiPe (I)'!BH105*$AC$210</f>
        <v>71.39380239652408</v>
      </c>
      <c r="H242" s="6">
        <f>'Results - raw data ReCiPe (I)'!BI105*$AC$210</f>
        <v>82.12517998251586</v>
      </c>
      <c r="I242" s="6">
        <f>'Results - raw data ReCiPe (I)'!BJ105*$AC$210</f>
        <v>92.782447964405179</v>
      </c>
      <c r="J242" s="6">
        <f>'Results - raw data ReCiPe (I)'!BK105*$AC$210</f>
        <v>102.92379696753939</v>
      </c>
      <c r="K242" s="6">
        <f>'Results - raw data ReCiPe (I)'!BL105*$AC$210</f>
        <v>113.42029184498151</v>
      </c>
      <c r="L242" s="6">
        <f>'Results - raw data ReCiPe (I)'!BM105*$AC$210</f>
        <v>123.84525773378361</v>
      </c>
      <c r="M242" s="6">
        <f>'Results - raw data ReCiPe (I)'!BN105*$AC$210</f>
        <v>137.06848811315538</v>
      </c>
      <c r="N242" s="6">
        <f>'Results - raw data ReCiPe (I)'!BO105*$AC$210</f>
        <v>150.2716475387015</v>
      </c>
      <c r="O242" s="6">
        <f>'Results - raw data ReCiPe (I)'!BP105*$AC$210</f>
        <v>163.35427947618578</v>
      </c>
      <c r="P242" s="6">
        <f>'Results - raw data ReCiPe (I)'!BQ105*$AC$210</f>
        <v>176.51957495567621</v>
      </c>
      <c r="Q242" s="6">
        <f>'Results - raw data ReCiPe (I)'!BR105*$AC$210</f>
        <v>189.6642186682013</v>
      </c>
      <c r="R242" s="6">
        <f>'Results - raw data ReCiPe (I)'!BS105*$AC$210</f>
        <v>185.59424550255198</v>
      </c>
      <c r="S242" s="6">
        <f>'Results - raw data ReCiPe (I)'!BT105*$AC$210</f>
        <v>181.50694864530419</v>
      </c>
      <c r="T242" s="6">
        <f>'Results - raw data ReCiPe (I)'!BU105*$AC$210</f>
        <v>177.31044454310768</v>
      </c>
      <c r="U242" s="6">
        <f>'Results - raw data ReCiPe (I)'!BV105*$AC$210</f>
        <v>173.19043309970979</v>
      </c>
      <c r="V242" s="6">
        <f>'Results - raw data ReCiPe (I)'!BW105*$AC$210</f>
        <v>169.0520920965904</v>
      </c>
      <c r="W242" s="6">
        <f>'Results - raw data ReCiPe (I)'!BX105*$AC$210</f>
        <v>168.88098557630579</v>
      </c>
      <c r="X242" s="6">
        <f>'Results - raw data ReCiPe (I)'!BY105*$AC$210</f>
        <v>168.71851244775661</v>
      </c>
      <c r="Y242" s="6">
        <f>'Results - raw data ReCiPe (I)'!BZ105*$AC$210</f>
        <v>168.55461012015971</v>
      </c>
      <c r="Z242" s="6">
        <f>'Results - raw data ReCiPe (I)'!CA105*$AC$210</f>
        <v>168.38906925869591</v>
      </c>
    </row>
    <row r="243" spans="1:26" outlineLevel="1" x14ac:dyDescent="0.35">
      <c r="A243" s="6" t="s">
        <v>759</v>
      </c>
      <c r="B243" s="6">
        <f>'Results - raw data ReCiPe (I)'!BC106</f>
        <v>0</v>
      </c>
      <c r="C243" s="6">
        <f>'Results - raw data ReCiPe (I)'!BD106</f>
        <v>0</v>
      </c>
      <c r="D243" s="6">
        <f>'Results - raw data ReCiPe (I)'!BE106</f>
        <v>0</v>
      </c>
      <c r="E243" s="6">
        <f>'Results - raw data ReCiPe (I)'!BF106</f>
        <v>0</v>
      </c>
      <c r="F243" s="6">
        <f>'Results - raw data ReCiPe (I)'!BG106</f>
        <v>0</v>
      </c>
      <c r="G243" s="6">
        <f>'Results - raw data ReCiPe (I)'!BH106</f>
        <v>0</v>
      </c>
      <c r="H243" s="6">
        <f>'Results - raw data ReCiPe (I)'!BI106</f>
        <v>0</v>
      </c>
      <c r="I243" s="6">
        <f>'Results - raw data ReCiPe (I)'!BJ106</f>
        <v>0</v>
      </c>
      <c r="J243" s="6">
        <f>'Results - raw data ReCiPe (I)'!BK106</f>
        <v>0</v>
      </c>
      <c r="K243" s="6">
        <f>'Results - raw data ReCiPe (I)'!BL106</f>
        <v>0</v>
      </c>
      <c r="L243" s="6">
        <f>'Results - raw data ReCiPe (I)'!BM106</f>
        <v>0</v>
      </c>
      <c r="M243" s="6">
        <f>'Results - raw data ReCiPe (I)'!BN106</f>
        <v>0</v>
      </c>
      <c r="N243" s="6">
        <f>'Results - raw data ReCiPe (I)'!BO106</f>
        <v>0</v>
      </c>
      <c r="O243" s="6">
        <f>'Results - raw data ReCiPe (I)'!BP106</f>
        <v>0</v>
      </c>
      <c r="P243" s="6">
        <f>'Results - raw data ReCiPe (I)'!BQ106</f>
        <v>0</v>
      </c>
      <c r="Q243" s="6">
        <f>'Results - raw data ReCiPe (I)'!BR106</f>
        <v>0</v>
      </c>
      <c r="R243" s="6">
        <f>'Results - raw data ReCiPe (I)'!BS106</f>
        <v>0</v>
      </c>
      <c r="S243" s="6">
        <f>'Results - raw data ReCiPe (I)'!BT106</f>
        <v>0</v>
      </c>
      <c r="T243" s="6">
        <f>'Results - raw data ReCiPe (I)'!BU106</f>
        <v>0</v>
      </c>
      <c r="U243" s="6">
        <f>'Results - raw data ReCiPe (I)'!BV106</f>
        <v>0</v>
      </c>
      <c r="V243" s="6">
        <f>'Results - raw data ReCiPe (I)'!BW106</f>
        <v>0</v>
      </c>
      <c r="W243" s="6">
        <f>'Results - raw data ReCiPe (I)'!BX106</f>
        <v>0</v>
      </c>
      <c r="X243" s="6">
        <f>'Results - raw data ReCiPe (I)'!BY106</f>
        <v>0</v>
      </c>
      <c r="Y243" s="6">
        <f>'Results - raw data ReCiPe (I)'!BZ106</f>
        <v>0</v>
      </c>
      <c r="Z243" s="6">
        <f>'Results - raw data ReCiPe (I)'!CA106</f>
        <v>0</v>
      </c>
    </row>
    <row r="244" spans="1:26" outlineLevel="1" x14ac:dyDescent="0.35">
      <c r="A244" s="6" t="s">
        <v>760</v>
      </c>
      <c r="B244" s="6">
        <f>150000*($AC$211*'Results - raw data ReCiPe (I)'!BC128+(1-$AC$211)*'Results - raw data ReCiPe (I)'!BC129)</f>
        <v>1173.5113470907304</v>
      </c>
      <c r="C244" s="6">
        <f>150000*($AC$211*'Results - raw data ReCiPe (I)'!BD128+(1-$AC$211)*'Results - raw data ReCiPe (I)'!BD129)</f>
        <v>1084.6489104473187</v>
      </c>
      <c r="D244" s="6">
        <f>150000*($AC$211*'Results - raw data ReCiPe (I)'!BE128+(1-$AC$211)*'Results - raw data ReCiPe (I)'!BE129)</f>
        <v>995.07365726014177</v>
      </c>
      <c r="E244" s="6">
        <f>150000*($AC$211*'Results - raw data ReCiPe (I)'!BF128+(1-$AC$211)*'Results - raw data ReCiPe (I)'!BF129)</f>
        <v>900.12221409508845</v>
      </c>
      <c r="F244" s="6">
        <f>150000*($AC$211*'Results - raw data ReCiPe (I)'!BG128+(1-$AC$211)*'Results - raw data ReCiPe (I)'!BG129)</f>
        <v>808.93658202369147</v>
      </c>
      <c r="G244" s="6">
        <f>150000*($AC$211*'Results - raw data ReCiPe (I)'!BH128+(1-$AC$211)*'Results - raw data ReCiPe (I)'!BH129)</f>
        <v>717.04376656979923</v>
      </c>
      <c r="H244" s="6">
        <f>150000*($AC$211*'Results - raw data ReCiPe (I)'!BI128+(1-$AC$211)*'Results - raw data ReCiPe (I)'!BI129)</f>
        <v>827.69920531221646</v>
      </c>
      <c r="I244" s="6">
        <f>150000*($AC$211*'Results - raw data ReCiPe (I)'!BJ128+(1-$AC$211)*'Results - raw data ReCiPe (I)'!BJ129)</f>
        <v>938.07346363372085</v>
      </c>
      <c r="J244" s="6">
        <f>150000*($AC$211*'Results - raw data ReCiPe (I)'!BK128+(1-$AC$211)*'Results - raw data ReCiPe (I)'!BK129)</f>
        <v>1043.6046122063867</v>
      </c>
      <c r="K244" s="6">
        <f>150000*($AC$211*'Results - raw data ReCiPe (I)'!BL128+(1-$AC$211)*'Results - raw data ReCiPe (I)'!BL129)</f>
        <v>1153.2745068895172</v>
      </c>
      <c r="L244" s="6">
        <f>150000*($AC$211*'Results - raw data ReCiPe (I)'!BM128+(1-$AC$211)*'Results - raw data ReCiPe (I)'!BM129)</f>
        <v>1262.6855683661406</v>
      </c>
      <c r="M244" s="6">
        <f>150000*($AC$211*'Results - raw data ReCiPe (I)'!BN128+(1-$AC$211)*'Results - raw data ReCiPe (I)'!BN129)</f>
        <v>1398.7601105876331</v>
      </c>
      <c r="N244" s="6">
        <f>150000*($AC$211*'Results - raw data ReCiPe (I)'!BO128+(1-$AC$211)*'Results - raw data ReCiPe (I)'!BO129)</f>
        <v>1534.3969467774723</v>
      </c>
      <c r="O244" s="6">
        <f>150000*($AC$211*'Results - raw data ReCiPe (I)'!BP128+(1-$AC$211)*'Results - raw data ReCiPe (I)'!BP129)</f>
        <v>1668.5569926686808</v>
      </c>
      <c r="P244" s="6">
        <f>150000*($AC$211*'Results - raw data ReCiPe (I)'!BQ128+(1-$AC$211)*'Results - raw data ReCiPe (I)'!BQ129)</f>
        <v>1803.3419255240051</v>
      </c>
      <c r="Q244" s="6">
        <f>150000*($AC$211*'Results - raw data ReCiPe (I)'!BR128+(1-$AC$211)*'Results - raw data ReCiPe (I)'!BR129)</f>
        <v>1937.6839787884905</v>
      </c>
      <c r="R244" s="6">
        <f>150000*($AC$211*'Results - raw data ReCiPe (I)'!BS128+(1-$AC$211)*'Results - raw data ReCiPe (I)'!BS129)</f>
        <v>1888.4503747792228</v>
      </c>
      <c r="S244" s="6">
        <f>150000*($AC$211*'Results - raw data ReCiPe (I)'!BT128+(1-$AC$211)*'Results - raw data ReCiPe (I)'!BT129)</f>
        <v>1839.474084248305</v>
      </c>
      <c r="T244" s="6">
        <f>150000*($AC$211*'Results - raw data ReCiPe (I)'!BU128+(1-$AC$211)*'Results - raw data ReCiPe (I)'!BU129)</f>
        <v>1789.8084493286601</v>
      </c>
      <c r="U244" s="6">
        <f>150000*($AC$211*'Results - raw data ReCiPe (I)'!BV128+(1-$AC$211)*'Results - raw data ReCiPe (I)'!BV129)</f>
        <v>1741.3571801186274</v>
      </c>
      <c r="V244" s="6">
        <f>150000*($AC$211*'Results - raw data ReCiPe (I)'!BW128+(1-$AC$211)*'Results - raw data ReCiPe (I)'!BW129)</f>
        <v>1693.1277324317427</v>
      </c>
      <c r="W244" s="6">
        <f>150000*($AC$211*'Results - raw data ReCiPe (I)'!BX128+(1-$AC$211)*'Results - raw data ReCiPe (I)'!BX129)</f>
        <v>1693.5730974540745</v>
      </c>
      <c r="X244" s="6">
        <f>150000*($AC$211*'Results - raw data ReCiPe (I)'!BY128+(1-$AC$211)*'Results - raw data ReCiPe (I)'!BY129)</f>
        <v>1694.0738600196682</v>
      </c>
      <c r="Y244" s="6">
        <f>150000*($AC$211*'Results - raw data ReCiPe (I)'!BZ128+(1-$AC$211)*'Results - raw data ReCiPe (I)'!BZ129)</f>
        <v>1694.5625334789479</v>
      </c>
      <c r="Z244" s="6">
        <f>150000*($AC$211*'Results - raw data ReCiPe (I)'!CA128+(1-$AC$211)*'Results - raw data ReCiPe (I)'!CA129)</f>
        <v>1695.0377222595323</v>
      </c>
    </row>
    <row r="245" spans="1:26" outlineLevel="1" x14ac:dyDescent="0.35">
      <c r="A245" s="23" t="s">
        <v>125</v>
      </c>
      <c r="B245" s="17">
        <f>SUM(B214:B244)</f>
        <v>4332.8188001127728</v>
      </c>
      <c r="C245" s="17">
        <f t="shared" ref="C245:Z245" si="26">SUM(C214:C244)</f>
        <v>1306.8848319911144</v>
      </c>
      <c r="D245" s="17">
        <f t="shared" si="26"/>
        <v>1207.7779414329261</v>
      </c>
      <c r="E245" s="17">
        <f t="shared" si="26"/>
        <v>1102.1773536394985</v>
      </c>
      <c r="F245" s="17">
        <f t="shared" si="26"/>
        <v>1001.4286958193601</v>
      </c>
      <c r="G245" s="17">
        <f t="shared" si="26"/>
        <v>899.96241030456258</v>
      </c>
      <c r="H245" s="17">
        <f t="shared" si="26"/>
        <v>1021.8516202462918</v>
      </c>
      <c r="I245" s="17">
        <f t="shared" si="26"/>
        <v>1143.3755819557489</v>
      </c>
      <c r="J245" s="17">
        <f t="shared" si="26"/>
        <v>1259.0932560627534</v>
      </c>
      <c r="K245" s="17">
        <f t="shared" si="26"/>
        <v>1379.7391342382566</v>
      </c>
      <c r="L245" s="17">
        <f t="shared" si="26"/>
        <v>1500.0453381284938</v>
      </c>
      <c r="M245" s="17">
        <f t="shared" si="26"/>
        <v>1649.3049352630912</v>
      </c>
      <c r="N245" s="17">
        <f t="shared" si="26"/>
        <v>1798.1068110385047</v>
      </c>
      <c r="O245" s="17">
        <f t="shared" si="26"/>
        <v>1945.1812864024619</v>
      </c>
      <c r="P245" s="17">
        <f t="shared" si="26"/>
        <v>2093.0965033208267</v>
      </c>
      <c r="Q245" s="17">
        <f t="shared" si="26"/>
        <v>2240.5480238350824</v>
      </c>
      <c r="R245" s="17">
        <f t="shared" si="26"/>
        <v>2186.9156159097711</v>
      </c>
      <c r="S245" s="17">
        <f t="shared" si="26"/>
        <v>2133.5249029389197</v>
      </c>
      <c r="T245" s="17">
        <f t="shared" si="26"/>
        <v>2079.2142353359122</v>
      </c>
      <c r="U245" s="17">
        <f t="shared" si="26"/>
        <v>2026.3209189532354</v>
      </c>
      <c r="V245" s="17">
        <f t="shared" si="26"/>
        <v>1973.6321635758945</v>
      </c>
      <c r="W245" s="17">
        <f t="shared" si="26"/>
        <v>1973.8415005190334</v>
      </c>
      <c r="X245" s="17">
        <f t="shared" si="26"/>
        <v>1974.1154583076343</v>
      </c>
      <c r="Y245" s="17">
        <f t="shared" si="26"/>
        <v>1974.3762259148339</v>
      </c>
      <c r="Z245" s="17">
        <f t="shared" si="26"/>
        <v>2014.6620787200773</v>
      </c>
    </row>
    <row r="246" spans="1:26" s="26" customFormat="1" outlineLevel="1" x14ac:dyDescent="0.35"/>
    <row r="247" spans="1:26" s="221" customFormat="1" ht="21" x14ac:dyDescent="0.5">
      <c r="A247" s="229" t="s">
        <v>851</v>
      </c>
    </row>
    <row r="248" spans="1:26" s="18" customFormat="1" ht="21" x14ac:dyDescent="0.5">
      <c r="A248" s="18" t="s">
        <v>72</v>
      </c>
    </row>
    <row r="249" spans="1:26" s="20" customFormat="1" outlineLevel="1" x14ac:dyDescent="0.35">
      <c r="A249" s="19" t="s">
        <v>788</v>
      </c>
    </row>
    <row r="250" spans="1:26" s="20" customFormat="1" outlineLevel="1" x14ac:dyDescent="0.35">
      <c r="A250" s="273" t="s">
        <v>775</v>
      </c>
      <c r="B250" s="20">
        <v>1</v>
      </c>
      <c r="C250" s="274" t="s">
        <v>787</v>
      </c>
    </row>
    <row r="251" spans="1:26" s="20" customFormat="1" outlineLevel="1" x14ac:dyDescent="0.35">
      <c r="A251" s="273" t="s">
        <v>781</v>
      </c>
      <c r="B251" s="20">
        <v>100000</v>
      </c>
      <c r="C251" s="20" t="s">
        <v>782</v>
      </c>
      <c r="E251" s="274"/>
    </row>
    <row r="252" spans="1:26" s="20" customFormat="1" outlineLevel="1" x14ac:dyDescent="0.35">
      <c r="A252" s="273" t="s">
        <v>783</v>
      </c>
      <c r="B252" s="20">
        <v>1500</v>
      </c>
      <c r="C252" s="20" t="s">
        <v>592</v>
      </c>
    </row>
    <row r="253" spans="1:26" s="20" customFormat="1" outlineLevel="1" x14ac:dyDescent="0.35">
      <c r="A253" s="273" t="s">
        <v>784</v>
      </c>
      <c r="B253" s="20">
        <v>8760</v>
      </c>
      <c r="C253" s="20" t="s">
        <v>785</v>
      </c>
    </row>
    <row r="254" spans="1:26" s="20" customFormat="1" outlineLevel="1" x14ac:dyDescent="0.35">
      <c r="A254" s="273"/>
    </row>
    <row r="255" spans="1:26" s="20" customFormat="1" outlineLevel="1" x14ac:dyDescent="0.35">
      <c r="A255" s="275" t="s">
        <v>786</v>
      </c>
      <c r="B255" s="275">
        <f>(B251*B252)/(B253*B250)</f>
        <v>17123.287671232876</v>
      </c>
      <c r="C255" s="275" t="s">
        <v>749</v>
      </c>
    </row>
    <row r="256" spans="1:26" s="20" customFormat="1" outlineLevel="1" x14ac:dyDescent="0.35">
      <c r="A256" s="19"/>
    </row>
    <row r="257" spans="1:31" s="20" customFormat="1" outlineLevel="1" x14ac:dyDescent="0.35">
      <c r="A257" s="19" t="s">
        <v>793</v>
      </c>
    </row>
    <row r="258" spans="1:31" s="20" customFormat="1" outlineLevel="1" x14ac:dyDescent="0.35">
      <c r="A258" s="273" t="s">
        <v>789</v>
      </c>
      <c r="B258" s="20">
        <f>SUM('Results - raw data ReCiPe (I)'!BC136:BC137)+'Results - raw data ReCiPe (I)'!BC140+SUM('Results - raw data ReCiPe (I)'!BC138:BC139)*AC267</f>
        <v>75.111651406656108</v>
      </c>
      <c r="C258" s="20" t="s">
        <v>902</v>
      </c>
    </row>
    <row r="259" spans="1:31" s="20" customFormat="1" outlineLevel="1" x14ac:dyDescent="0.35">
      <c r="A259" s="20" t="s">
        <v>792</v>
      </c>
      <c r="B259" s="20">
        <f>B251*AC265</f>
        <v>50000</v>
      </c>
      <c r="C259" s="274" t="s">
        <v>795</v>
      </c>
    </row>
    <row r="260" spans="1:31" s="20" customFormat="1" outlineLevel="1" x14ac:dyDescent="0.35">
      <c r="A260" s="20" t="s">
        <v>791</v>
      </c>
      <c r="B260" s="20">
        <f>(B258*AC267*B255)/(B259*AC266)*(AC266/AC268)</f>
        <v>7.7169504869852155</v>
      </c>
      <c r="C260" s="20" t="s">
        <v>903</v>
      </c>
      <c r="E260" s="274" t="s">
        <v>796</v>
      </c>
    </row>
    <row r="261" spans="1:31" s="20" customFormat="1" outlineLevel="1" x14ac:dyDescent="0.35">
      <c r="A261" s="19"/>
    </row>
    <row r="262" spans="1:31" s="16" customFormat="1" outlineLevel="1" x14ac:dyDescent="0.35">
      <c r="A262" s="21"/>
      <c r="AE262" s="15"/>
    </row>
    <row r="263" spans="1:31" s="16" customFormat="1" outlineLevel="1" x14ac:dyDescent="0.35">
      <c r="A263" s="22" t="s">
        <v>761</v>
      </c>
    </row>
    <row r="264" spans="1:31" s="16" customFormat="1" outlineLevel="1" x14ac:dyDescent="0.35">
      <c r="A264" s="22"/>
      <c r="AB264" s="16" t="s">
        <v>127</v>
      </c>
      <c r="AC264" s="276">
        <f>100*AC265</f>
        <v>50</v>
      </c>
      <c r="AD264" s="16" t="s">
        <v>128</v>
      </c>
    </row>
    <row r="265" spans="1:31" s="16" customFormat="1" outlineLevel="1" x14ac:dyDescent="0.35">
      <c r="A265" s="230"/>
      <c r="AB265" s="16" t="s">
        <v>776</v>
      </c>
      <c r="AC265" s="276">
        <v>0.5</v>
      </c>
    </row>
    <row r="266" spans="1:31" s="16" customFormat="1" outlineLevel="1" x14ac:dyDescent="0.35">
      <c r="A266" s="230"/>
      <c r="AB266" s="16" t="s">
        <v>129</v>
      </c>
      <c r="AC266" s="276">
        <v>25</v>
      </c>
      <c r="AD266" s="16" t="s">
        <v>130</v>
      </c>
    </row>
    <row r="267" spans="1:31" s="16" customFormat="1" outlineLevel="1" x14ac:dyDescent="0.35">
      <c r="A267" s="230"/>
      <c r="AB267" s="16" t="s">
        <v>777</v>
      </c>
      <c r="AC267" s="276">
        <v>6</v>
      </c>
      <c r="AD267" s="16" t="s">
        <v>779</v>
      </c>
    </row>
    <row r="268" spans="1:31" s="16" customFormat="1" outlineLevel="1" x14ac:dyDescent="0.35">
      <c r="A268" s="22"/>
      <c r="AB268" s="16" t="s">
        <v>778</v>
      </c>
      <c r="AC268" s="276">
        <v>20</v>
      </c>
      <c r="AD268" s="16" t="s">
        <v>130</v>
      </c>
    </row>
    <row r="269" spans="1:31" s="16" customFormat="1" outlineLevel="1" x14ac:dyDescent="0.35">
      <c r="A269" s="22"/>
      <c r="AB269" s="16" t="s">
        <v>780</v>
      </c>
      <c r="AC269" s="276">
        <f>B255</f>
        <v>17123.287671232876</v>
      </c>
      <c r="AD269" s="16" t="s">
        <v>749</v>
      </c>
    </row>
    <row r="270" spans="1:31" s="16" customFormat="1" outlineLevel="1" x14ac:dyDescent="0.35">
      <c r="A270" s="22"/>
    </row>
    <row r="271" spans="1:31" s="16" customFormat="1" outlineLevel="1" x14ac:dyDescent="0.35">
      <c r="A271" s="22"/>
      <c r="AB271" s="16" t="s">
        <v>798</v>
      </c>
      <c r="AC271" s="16">
        <v>0.25</v>
      </c>
    </row>
    <row r="272" spans="1:31" s="16" customFormat="1" outlineLevel="1" x14ac:dyDescent="0.35">
      <c r="A272" s="22"/>
      <c r="AB272" s="16" t="s">
        <v>799</v>
      </c>
      <c r="AC272" s="16">
        <v>0.9</v>
      </c>
    </row>
    <row r="273" spans="1:53" outlineLevel="1" x14ac:dyDescent="0.35">
      <c r="B273" s="25">
        <v>2030</v>
      </c>
      <c r="C273" s="25">
        <v>2031</v>
      </c>
      <c r="D273" s="25">
        <v>2032</v>
      </c>
      <c r="E273" s="25">
        <v>2033</v>
      </c>
      <c r="F273" s="25">
        <v>2034</v>
      </c>
      <c r="G273" s="25">
        <v>2035</v>
      </c>
      <c r="H273" s="25">
        <v>2036</v>
      </c>
      <c r="I273" s="25">
        <v>2037</v>
      </c>
      <c r="J273" s="25">
        <v>2038</v>
      </c>
      <c r="K273" s="25">
        <v>2039</v>
      </c>
      <c r="L273" s="25">
        <v>2040</v>
      </c>
      <c r="M273" s="25">
        <v>2041</v>
      </c>
      <c r="N273" s="25">
        <v>2042</v>
      </c>
      <c r="O273" s="25">
        <v>2043</v>
      </c>
      <c r="P273" s="25">
        <v>2044</v>
      </c>
      <c r="Q273" s="25">
        <v>2045</v>
      </c>
      <c r="R273" s="25">
        <v>2046</v>
      </c>
      <c r="S273" s="25">
        <v>2047</v>
      </c>
      <c r="T273" s="25">
        <v>2048</v>
      </c>
      <c r="U273" s="25">
        <v>2049</v>
      </c>
      <c r="V273" s="25">
        <v>2050</v>
      </c>
      <c r="W273" s="25">
        <v>2051</v>
      </c>
      <c r="X273" s="25">
        <v>2052</v>
      </c>
      <c r="Y273" s="25">
        <v>2053</v>
      </c>
      <c r="Z273" s="25">
        <v>2054</v>
      </c>
      <c r="AC273" s="25">
        <v>2030</v>
      </c>
      <c r="AD273" s="25">
        <v>2031</v>
      </c>
      <c r="AE273" s="25">
        <v>2032</v>
      </c>
      <c r="AF273" s="25">
        <v>2033</v>
      </c>
      <c r="AG273" s="25">
        <v>2034</v>
      </c>
      <c r="AH273" s="25">
        <v>2035</v>
      </c>
      <c r="AI273" s="25">
        <v>2036</v>
      </c>
      <c r="AJ273" s="25">
        <v>2037</v>
      </c>
      <c r="AK273" s="25">
        <v>2038</v>
      </c>
      <c r="AL273" s="25">
        <v>2039</v>
      </c>
      <c r="AM273" s="25">
        <v>2040</v>
      </c>
      <c r="AN273" s="25">
        <v>2041</v>
      </c>
      <c r="AO273" s="25">
        <v>2042</v>
      </c>
      <c r="AP273" s="25">
        <v>2043</v>
      </c>
      <c r="AQ273" s="25">
        <v>2044</v>
      </c>
      <c r="AR273" s="25">
        <v>2045</v>
      </c>
      <c r="AS273" s="25">
        <v>2046</v>
      </c>
      <c r="AT273" s="25">
        <v>2047</v>
      </c>
      <c r="AU273" s="25">
        <v>2048</v>
      </c>
      <c r="AV273" s="25">
        <v>2049</v>
      </c>
      <c r="AW273" s="25">
        <v>2050</v>
      </c>
      <c r="AX273" s="25">
        <v>2051</v>
      </c>
      <c r="AY273" s="25">
        <v>2052</v>
      </c>
      <c r="AZ273" s="25">
        <v>2053</v>
      </c>
      <c r="BA273" s="25">
        <v>2054</v>
      </c>
    </row>
    <row r="274" spans="1:53" outlineLevel="1" x14ac:dyDescent="0.35">
      <c r="A274" s="6" t="s">
        <v>21</v>
      </c>
      <c r="B274" s="6">
        <f t="shared" ref="B274:B285" si="27">B10</f>
        <v>76.767492302520182</v>
      </c>
      <c r="AB274" s="6" t="s">
        <v>117</v>
      </c>
      <c r="AC274" s="6">
        <f>SUM(B274:B285)+B287</f>
        <v>2831.6991031143757</v>
      </c>
    </row>
    <row r="275" spans="1:53" outlineLevel="1" x14ac:dyDescent="0.35">
      <c r="A275" s="6" t="s">
        <v>23</v>
      </c>
      <c r="B275" s="6">
        <f t="shared" si="27"/>
        <v>338.00738724341471</v>
      </c>
      <c r="AB275" s="6" t="s">
        <v>118</v>
      </c>
      <c r="AC275" s="6">
        <f>B286</f>
        <v>135.28159718182599</v>
      </c>
    </row>
    <row r="276" spans="1:53" outlineLevel="1" x14ac:dyDescent="0.35">
      <c r="A276" s="6" t="s">
        <v>26</v>
      </c>
      <c r="B276" s="6">
        <f t="shared" si="27"/>
        <v>323.4318262539179</v>
      </c>
      <c r="AB276" s="6" t="s">
        <v>119</v>
      </c>
      <c r="BA276" s="6">
        <f>SUM(Z288:Z299)</f>
        <v>45.667206385167617</v>
      </c>
    </row>
    <row r="277" spans="1:53" outlineLevel="1" x14ac:dyDescent="0.35">
      <c r="A277" s="6" t="s">
        <v>28</v>
      </c>
      <c r="B277" s="6">
        <f t="shared" si="27"/>
        <v>232.54506805144459</v>
      </c>
      <c r="AB277" s="6" t="s">
        <v>120</v>
      </c>
      <c r="BA277" s="6">
        <f>Z300</f>
        <v>0.67134705459848942</v>
      </c>
    </row>
    <row r="278" spans="1:53" outlineLevel="1" x14ac:dyDescent="0.35">
      <c r="A278" s="6" t="s">
        <v>29</v>
      </c>
      <c r="B278" s="6">
        <f t="shared" si="27"/>
        <v>108.53636572634311</v>
      </c>
      <c r="AB278" s="6" t="s">
        <v>121</v>
      </c>
      <c r="AC278" s="6">
        <f>B301</f>
        <v>118.02764904622801</v>
      </c>
      <c r="AF278" s="6">
        <f>E301</f>
        <v>117.2066454136766</v>
      </c>
      <c r="AI278" s="6">
        <f>H301</f>
        <v>117.0826402904443</v>
      </c>
      <c r="AL278" s="6">
        <f>K301</f>
        <v>116.48331346148591</v>
      </c>
      <c r="AO278" s="6">
        <f>N301</f>
        <v>116.4010822157788</v>
      </c>
      <c r="AR278" s="6">
        <f>Q301</f>
        <v>116.1865333353054</v>
      </c>
      <c r="AU278" s="6">
        <f>T301</f>
        <v>115.889418436463</v>
      </c>
      <c r="AX278" s="6">
        <f>W301</f>
        <v>115.765483779476</v>
      </c>
      <c r="BA278" s="6">
        <f>Z301</f>
        <v>115.702219044955</v>
      </c>
    </row>
    <row r="279" spans="1:53" outlineLevel="1" x14ac:dyDescent="0.35">
      <c r="A279" s="6" t="s">
        <v>31</v>
      </c>
      <c r="B279" s="6">
        <f t="shared" si="27"/>
        <v>79.824583259713961</v>
      </c>
      <c r="AB279" s="6" t="s">
        <v>797</v>
      </c>
      <c r="AC279" s="6">
        <f>B305</f>
        <v>385.84752434926077</v>
      </c>
      <c r="AD279" s="6">
        <f t="shared" ref="AD279:BA279" si="28">C305</f>
        <v>385.84752434926077</v>
      </c>
      <c r="AE279" s="6">
        <f t="shared" si="28"/>
        <v>385.84752434926077</v>
      </c>
      <c r="AF279" s="6">
        <f t="shared" si="28"/>
        <v>385.84752434926077</v>
      </c>
      <c r="AG279" s="6">
        <f t="shared" si="28"/>
        <v>385.84752434926077</v>
      </c>
      <c r="AH279" s="6">
        <f t="shared" si="28"/>
        <v>385.84752434926077</v>
      </c>
      <c r="AI279" s="6">
        <f t="shared" si="28"/>
        <v>385.84752434926077</v>
      </c>
      <c r="AJ279" s="6">
        <f t="shared" si="28"/>
        <v>385.84752434926077</v>
      </c>
      <c r="AK279" s="6">
        <f t="shared" si="28"/>
        <v>385.84752434926077</v>
      </c>
      <c r="AL279" s="6">
        <f t="shared" si="28"/>
        <v>385.84752434926077</v>
      </c>
      <c r="AM279" s="6">
        <f t="shared" si="28"/>
        <v>385.84752434926077</v>
      </c>
      <c r="AN279" s="6">
        <f t="shared" si="28"/>
        <v>385.84752434926077</v>
      </c>
      <c r="AO279" s="6">
        <f t="shared" si="28"/>
        <v>385.84752434926077</v>
      </c>
      <c r="AP279" s="6">
        <f t="shared" si="28"/>
        <v>385.84752434926077</v>
      </c>
      <c r="AQ279" s="6">
        <f t="shared" si="28"/>
        <v>385.84752434926077</v>
      </c>
      <c r="AR279" s="6">
        <f t="shared" si="28"/>
        <v>385.84752434926077</v>
      </c>
      <c r="AS279" s="6">
        <f t="shared" si="28"/>
        <v>385.84752434926077</v>
      </c>
      <c r="AT279" s="6">
        <f t="shared" si="28"/>
        <v>385.84752434926077</v>
      </c>
      <c r="AU279" s="6">
        <f t="shared" si="28"/>
        <v>385.84752434926077</v>
      </c>
      <c r="AV279" s="6">
        <f t="shared" si="28"/>
        <v>385.84752434926077</v>
      </c>
      <c r="AW279" s="6">
        <f t="shared" si="28"/>
        <v>385.84752434926077</v>
      </c>
      <c r="AX279" s="6">
        <f t="shared" si="28"/>
        <v>385.84752434926077</v>
      </c>
      <c r="AY279" s="6">
        <f t="shared" si="28"/>
        <v>385.84752434926077</v>
      </c>
      <c r="AZ279" s="6">
        <f t="shared" si="28"/>
        <v>385.84752434926077</v>
      </c>
      <c r="BA279" s="6">
        <f t="shared" si="28"/>
        <v>385.84752434926077</v>
      </c>
    </row>
    <row r="280" spans="1:53" outlineLevel="1" x14ac:dyDescent="0.35">
      <c r="A280" s="6" t="s">
        <v>34</v>
      </c>
      <c r="B280" s="6">
        <f t="shared" si="27"/>
        <v>52.771691831657407</v>
      </c>
      <c r="AB280" s="6" t="s">
        <v>122</v>
      </c>
      <c r="AC280" s="6">
        <f t="shared" ref="AC280:BA280" si="29">B304+B303</f>
        <v>349.14264620710111</v>
      </c>
      <c r="AD280" s="6">
        <f t="shared" si="29"/>
        <v>348.2431396351933</v>
      </c>
      <c r="AE280" s="6">
        <f t="shared" si="29"/>
        <v>347.36247045382612</v>
      </c>
      <c r="AF280" s="6">
        <f t="shared" si="29"/>
        <v>343.05484236434222</v>
      </c>
      <c r="AG280" s="6">
        <f t="shared" si="29"/>
        <v>342.21803244203898</v>
      </c>
      <c r="AH280" s="6">
        <f t="shared" si="29"/>
        <v>341.39397491012551</v>
      </c>
      <c r="AI280" s="6">
        <f t="shared" si="29"/>
        <v>340.519493045942</v>
      </c>
      <c r="AJ280" s="6">
        <f t="shared" si="29"/>
        <v>339.67357000501755</v>
      </c>
      <c r="AK280" s="6">
        <f t="shared" si="29"/>
        <v>336.44840115701339</v>
      </c>
      <c r="AL280" s="6">
        <f t="shared" si="29"/>
        <v>335.66808711343111</v>
      </c>
      <c r="AM280" s="6">
        <f t="shared" si="29"/>
        <v>334.90911822090703</v>
      </c>
      <c r="AN280" s="6">
        <f t="shared" si="29"/>
        <v>334.36987009383552</v>
      </c>
      <c r="AO280" s="6">
        <f t="shared" si="29"/>
        <v>333.85429664930979</v>
      </c>
      <c r="AP280" s="6">
        <f t="shared" si="29"/>
        <v>332.6721854422874</v>
      </c>
      <c r="AQ280" s="6">
        <f t="shared" si="29"/>
        <v>332.20360797147902</v>
      </c>
      <c r="AR280" s="6">
        <f t="shared" si="29"/>
        <v>331.76600573896133</v>
      </c>
      <c r="AS280" s="6">
        <f t="shared" si="29"/>
        <v>331.35705198035743</v>
      </c>
      <c r="AT280" s="6">
        <f t="shared" si="29"/>
        <v>330.95090051133479</v>
      </c>
      <c r="AU280" s="6">
        <f t="shared" si="29"/>
        <v>329.8800570815813</v>
      </c>
      <c r="AV280" s="6">
        <f t="shared" si="29"/>
        <v>329.48577795690358</v>
      </c>
      <c r="AW280" s="6">
        <f t="shared" si="29"/>
        <v>329.09346053322696</v>
      </c>
      <c r="AX280" s="6">
        <f t="shared" si="29"/>
        <v>328.89033551148219</v>
      </c>
      <c r="AY280" s="6">
        <f t="shared" si="29"/>
        <v>328.69369942731873</v>
      </c>
      <c r="AZ280" s="6">
        <f t="shared" si="29"/>
        <v>328.50305391993157</v>
      </c>
      <c r="BA280" s="6">
        <f t="shared" si="29"/>
        <v>328.31818474496987</v>
      </c>
    </row>
    <row r="281" spans="1:53" outlineLevel="1" x14ac:dyDescent="0.35">
      <c r="A281" s="6" t="s">
        <v>36</v>
      </c>
      <c r="B281" s="6">
        <f t="shared" si="27"/>
        <v>61.224159595716117</v>
      </c>
      <c r="AB281" s="6" t="s">
        <v>123</v>
      </c>
      <c r="AC281" s="6">
        <f t="shared" ref="AC281:BA281" si="30">B302</f>
        <v>92.522936539768352</v>
      </c>
      <c r="AD281" s="6">
        <f t="shared" si="30"/>
        <v>92.793503087670402</v>
      </c>
      <c r="AE281" s="6">
        <f t="shared" si="30"/>
        <v>93.06587797041675</v>
      </c>
      <c r="AF281" s="6">
        <f t="shared" si="30"/>
        <v>93.152487656147599</v>
      </c>
      <c r="AG281" s="6">
        <f t="shared" si="30"/>
        <v>93.430797007075</v>
      </c>
      <c r="AH281" s="6">
        <f t="shared" si="30"/>
        <v>93.710699474942444</v>
      </c>
      <c r="AI281" s="6">
        <f t="shared" si="30"/>
        <v>95.168745354720258</v>
      </c>
      <c r="AJ281" s="6">
        <f t="shared" si="30"/>
        <v>96.620196303689454</v>
      </c>
      <c r="AK281" s="6">
        <f t="shared" si="30"/>
        <v>97.926327469246203</v>
      </c>
      <c r="AL281" s="6">
        <f t="shared" si="30"/>
        <v>99.370460660972455</v>
      </c>
      <c r="AM281" s="6">
        <f t="shared" si="30"/>
        <v>100.8089097212778</v>
      </c>
      <c r="AN281" s="6">
        <f t="shared" si="30"/>
        <v>100.8944344985012</v>
      </c>
      <c r="AO281" s="6">
        <f t="shared" si="30"/>
        <v>100.9750173955904</v>
      </c>
      <c r="AP281" s="6">
        <f t="shared" si="30"/>
        <v>101.01752017196036</v>
      </c>
      <c r="AQ281" s="6">
        <f t="shared" si="30"/>
        <v>101.08798744318861</v>
      </c>
      <c r="AR281" s="6">
        <f t="shared" si="30"/>
        <v>101.15287869099474</v>
      </c>
      <c r="AS281" s="6">
        <f t="shared" si="30"/>
        <v>104.61985498842729</v>
      </c>
      <c r="AT281" s="6">
        <f t="shared" si="30"/>
        <v>108.08162228124681</v>
      </c>
      <c r="AU281" s="6">
        <f t="shared" si="30"/>
        <v>111.50931876301084</v>
      </c>
      <c r="AV281" s="6">
        <f t="shared" si="30"/>
        <v>114.9630242804718</v>
      </c>
      <c r="AW281" s="6">
        <f t="shared" si="30"/>
        <v>118.41294968922855</v>
      </c>
      <c r="AX281" s="6">
        <f t="shared" si="30"/>
        <v>118.9304702009813</v>
      </c>
      <c r="AY281" s="6">
        <f t="shared" si="30"/>
        <v>119.45404576576755</v>
      </c>
      <c r="AZ281" s="6">
        <f t="shared" si="30"/>
        <v>119.97949784271651</v>
      </c>
      <c r="BA281" s="6">
        <f t="shared" si="30"/>
        <v>120.50672490411405</v>
      </c>
    </row>
    <row r="282" spans="1:53" outlineLevel="1" x14ac:dyDescent="0.35">
      <c r="A282" s="6" t="s">
        <v>38</v>
      </c>
      <c r="B282" s="6">
        <f t="shared" si="27"/>
        <v>676.12434605426552</v>
      </c>
      <c r="AB282" s="6" t="s">
        <v>124</v>
      </c>
      <c r="AC282" s="6">
        <f>-$AC$264*$AC$263</f>
        <v>0</v>
      </c>
      <c r="AD282" s="6">
        <f t="shared" ref="AD282:BA282" si="31">-$AC$264*$AC$263</f>
        <v>0</v>
      </c>
      <c r="AE282" s="6">
        <f t="shared" si="31"/>
        <v>0</v>
      </c>
      <c r="AF282" s="6">
        <f t="shared" si="31"/>
        <v>0</v>
      </c>
      <c r="AG282" s="6">
        <f t="shared" si="31"/>
        <v>0</v>
      </c>
      <c r="AH282" s="6">
        <f t="shared" si="31"/>
        <v>0</v>
      </c>
      <c r="AI282" s="6">
        <f t="shared" si="31"/>
        <v>0</v>
      </c>
      <c r="AJ282" s="6">
        <f t="shared" si="31"/>
        <v>0</v>
      </c>
      <c r="AK282" s="6">
        <f t="shared" si="31"/>
        <v>0</v>
      </c>
      <c r="AL282" s="6">
        <f t="shared" si="31"/>
        <v>0</v>
      </c>
      <c r="AM282" s="6">
        <f t="shared" si="31"/>
        <v>0</v>
      </c>
      <c r="AN282" s="6">
        <f t="shared" si="31"/>
        <v>0</v>
      </c>
      <c r="AO282" s="6">
        <f t="shared" si="31"/>
        <v>0</v>
      </c>
      <c r="AP282" s="6">
        <f t="shared" si="31"/>
        <v>0</v>
      </c>
      <c r="AQ282" s="6">
        <f t="shared" si="31"/>
        <v>0</v>
      </c>
      <c r="AR282" s="6">
        <f t="shared" si="31"/>
        <v>0</v>
      </c>
      <c r="AS282" s="6">
        <f t="shared" si="31"/>
        <v>0</v>
      </c>
      <c r="AT282" s="6">
        <f t="shared" si="31"/>
        <v>0</v>
      </c>
      <c r="AU282" s="6">
        <f t="shared" si="31"/>
        <v>0</v>
      </c>
      <c r="AV282" s="6">
        <f t="shared" si="31"/>
        <v>0</v>
      </c>
      <c r="AW282" s="6">
        <f t="shared" si="31"/>
        <v>0</v>
      </c>
      <c r="AX282" s="6">
        <f t="shared" si="31"/>
        <v>0</v>
      </c>
      <c r="AY282" s="6">
        <f t="shared" si="31"/>
        <v>0</v>
      </c>
      <c r="AZ282" s="6">
        <f t="shared" si="31"/>
        <v>0</v>
      </c>
      <c r="BA282" s="6">
        <f t="shared" si="31"/>
        <v>0</v>
      </c>
    </row>
    <row r="283" spans="1:53" outlineLevel="1" x14ac:dyDescent="0.35">
      <c r="A283" s="6" t="s">
        <v>39</v>
      </c>
      <c r="B283" s="6">
        <f t="shared" si="27"/>
        <v>708.24896256388683</v>
      </c>
      <c r="AB283" s="23" t="s">
        <v>125</v>
      </c>
      <c r="AC283" s="17">
        <f t="shared" ref="AC283:BA283" si="32">SUM(AC274:AC282)</f>
        <v>3912.5214564385597</v>
      </c>
      <c r="AD283" s="17">
        <f t="shared" si="32"/>
        <v>826.88416707212446</v>
      </c>
      <c r="AE283" s="17">
        <f t="shared" si="32"/>
        <v>826.27587277350358</v>
      </c>
      <c r="AF283" s="17">
        <f t="shared" si="32"/>
        <v>939.26149978342721</v>
      </c>
      <c r="AG283" s="17">
        <f t="shared" si="32"/>
        <v>821.49635379837468</v>
      </c>
      <c r="AH283" s="17">
        <f t="shared" si="32"/>
        <v>820.9521987343287</v>
      </c>
      <c r="AI283" s="17">
        <f t="shared" si="32"/>
        <v>938.6184030403673</v>
      </c>
      <c r="AJ283" s="17">
        <f t="shared" si="32"/>
        <v>822.14129065796783</v>
      </c>
      <c r="AK283" s="17">
        <f t="shared" si="32"/>
        <v>820.22225297552041</v>
      </c>
      <c r="AL283" s="17">
        <f t="shared" si="32"/>
        <v>937.36938558515021</v>
      </c>
      <c r="AM283" s="17">
        <f t="shared" si="32"/>
        <v>821.56555229144556</v>
      </c>
      <c r="AN283" s="17">
        <f t="shared" si="32"/>
        <v>821.11182894159742</v>
      </c>
      <c r="AO283" s="17">
        <f t="shared" si="32"/>
        <v>937.07792060993972</v>
      </c>
      <c r="AP283" s="17">
        <f t="shared" si="32"/>
        <v>819.53722996350848</v>
      </c>
      <c r="AQ283" s="17">
        <f t="shared" si="32"/>
        <v>819.13911976392831</v>
      </c>
      <c r="AR283" s="17">
        <f t="shared" si="32"/>
        <v>934.95294211452222</v>
      </c>
      <c r="AS283" s="17">
        <f t="shared" si="32"/>
        <v>821.82443131804553</v>
      </c>
      <c r="AT283" s="17">
        <f t="shared" si="32"/>
        <v>824.8800471418424</v>
      </c>
      <c r="AU283" s="17">
        <f t="shared" si="32"/>
        <v>943.12631863031595</v>
      </c>
      <c r="AV283" s="17">
        <f t="shared" si="32"/>
        <v>830.29632658663616</v>
      </c>
      <c r="AW283" s="17">
        <f t="shared" si="32"/>
        <v>833.35393457171631</v>
      </c>
      <c r="AX283" s="17">
        <f t="shared" si="32"/>
        <v>949.43381384120016</v>
      </c>
      <c r="AY283" s="17">
        <f t="shared" si="32"/>
        <v>833.99526954234705</v>
      </c>
      <c r="AZ283" s="17">
        <f t="shared" si="32"/>
        <v>834.33007611190874</v>
      </c>
      <c r="BA283" s="17">
        <f t="shared" si="32"/>
        <v>996.71320648306585</v>
      </c>
    </row>
    <row r="284" spans="1:53" outlineLevel="1" x14ac:dyDescent="0.35">
      <c r="A284" s="6" t="s">
        <v>41</v>
      </c>
      <c r="B284" s="6">
        <f t="shared" si="27"/>
        <v>53.280996790889731</v>
      </c>
    </row>
    <row r="285" spans="1:53" outlineLevel="1" x14ac:dyDescent="0.35">
      <c r="A285" s="6" t="s">
        <v>43</v>
      </c>
      <c r="B285" s="6">
        <f t="shared" si="27"/>
        <v>73.643519008709234</v>
      </c>
      <c r="AB285" s="272"/>
      <c r="AC285" s="272"/>
      <c r="AD285" s="272"/>
      <c r="AE285" s="272"/>
      <c r="AF285" s="272"/>
      <c r="AG285" s="272"/>
      <c r="AH285" s="272"/>
      <c r="AI285" s="272"/>
      <c r="AJ285" s="272"/>
      <c r="AK285" s="272"/>
      <c r="AL285" s="272"/>
      <c r="AM285" s="272"/>
      <c r="AN285" s="272"/>
      <c r="AO285" s="272"/>
      <c r="AP285" s="272"/>
      <c r="AQ285" s="272"/>
      <c r="AR285" s="272"/>
      <c r="AS285" s="272"/>
      <c r="AT285" s="272"/>
      <c r="AU285" s="272"/>
      <c r="AV285" s="272"/>
      <c r="AW285" s="272"/>
      <c r="AX285" s="272"/>
      <c r="AY285" s="272"/>
      <c r="AZ285" s="272"/>
      <c r="BA285" s="272"/>
    </row>
    <row r="286" spans="1:53" outlineLevel="1" x14ac:dyDescent="0.35">
      <c r="A286" s="6" t="s">
        <v>44</v>
      </c>
      <c r="B286" s="6">
        <f>B22*AC265</f>
        <v>135.28159718182599</v>
      </c>
      <c r="AB286" s="272"/>
      <c r="AC286" s="272"/>
      <c r="AD286" s="272"/>
      <c r="AE286" s="272"/>
      <c r="AF286" s="272"/>
      <c r="AG286" s="272"/>
      <c r="AH286" s="272"/>
      <c r="AI286" s="272"/>
      <c r="AJ286" s="272"/>
      <c r="AK286" s="272"/>
      <c r="AL286" s="272"/>
      <c r="AM286" s="272"/>
      <c r="AN286" s="272"/>
      <c r="AO286" s="272"/>
      <c r="AP286" s="272"/>
      <c r="AQ286" s="272"/>
      <c r="AR286" s="272"/>
      <c r="AS286" s="272"/>
      <c r="AT286" s="272"/>
      <c r="AU286" s="272"/>
      <c r="AV286" s="272"/>
      <c r="AW286" s="272"/>
      <c r="AX286" s="272"/>
      <c r="AY286" s="272"/>
      <c r="AZ286" s="272"/>
      <c r="BA286" s="272"/>
    </row>
    <row r="287" spans="1:53" outlineLevel="1" x14ac:dyDescent="0.35">
      <c r="A287" s="6" t="s">
        <v>757</v>
      </c>
      <c r="B287" s="6">
        <f>B23*AC265</f>
        <v>47.29270443189661</v>
      </c>
      <c r="AB287" s="272"/>
      <c r="AC287" s="272"/>
      <c r="AD287" s="272"/>
      <c r="AE287" s="272"/>
      <c r="AF287" s="272"/>
      <c r="AG287" s="272"/>
      <c r="AH287" s="272"/>
      <c r="AI287" s="272"/>
      <c r="AJ287" s="272"/>
      <c r="AK287" s="272"/>
      <c r="AL287" s="272"/>
      <c r="AM287" s="272"/>
      <c r="AN287" s="272"/>
      <c r="AO287" s="272"/>
      <c r="AP287" s="272"/>
      <c r="AQ287" s="272"/>
      <c r="AR287" s="272"/>
      <c r="AS287" s="272"/>
      <c r="AT287" s="272"/>
      <c r="AU287" s="272"/>
      <c r="AV287" s="272"/>
      <c r="AW287" s="272"/>
      <c r="AX287" s="272"/>
      <c r="AY287" s="272"/>
      <c r="AZ287" s="272"/>
      <c r="BA287" s="272"/>
    </row>
    <row r="288" spans="1:53" outlineLevel="1" x14ac:dyDescent="0.35">
      <c r="A288" s="6" t="s">
        <v>22</v>
      </c>
      <c r="Z288" s="6">
        <f t="shared" ref="Z288:Z299" si="33">Z24</f>
        <v>0.33401882632561952</v>
      </c>
      <c r="AB288" s="272"/>
      <c r="AC288" s="272"/>
      <c r="AD288" s="272"/>
      <c r="AE288" s="272"/>
      <c r="AF288" s="272"/>
      <c r="AG288" s="272"/>
      <c r="AH288" s="272"/>
      <c r="AI288" s="272"/>
      <c r="AJ288" s="272"/>
      <c r="AK288" s="272"/>
      <c r="AL288" s="272"/>
      <c r="AM288" s="272"/>
      <c r="AN288" s="272"/>
      <c r="AO288" s="272"/>
      <c r="AP288" s="272"/>
      <c r="AQ288" s="272"/>
      <c r="AR288" s="272"/>
      <c r="AS288" s="272"/>
      <c r="AT288" s="272"/>
      <c r="AU288" s="272"/>
      <c r="AV288" s="272"/>
      <c r="AW288" s="272"/>
      <c r="AX288" s="272"/>
      <c r="AY288" s="272"/>
      <c r="AZ288" s="272"/>
      <c r="BA288" s="272"/>
    </row>
    <row r="289" spans="1:53" outlineLevel="1" x14ac:dyDescent="0.35">
      <c r="A289" s="6" t="s">
        <v>24</v>
      </c>
      <c r="Z289" s="6">
        <f t="shared" si="33"/>
        <v>0.37174567535029729</v>
      </c>
      <c r="AB289" s="272"/>
      <c r="AC289" s="272"/>
      <c r="AD289" s="272"/>
      <c r="AE289" s="272"/>
      <c r="AF289" s="272"/>
      <c r="AG289" s="272"/>
      <c r="AH289" s="272"/>
      <c r="AI289" s="272"/>
      <c r="AJ289" s="272"/>
      <c r="AK289" s="272"/>
      <c r="AL289" s="272"/>
      <c r="AM289" s="272"/>
      <c r="AN289" s="272"/>
      <c r="AO289" s="272"/>
      <c r="AP289" s="272"/>
      <c r="AQ289" s="272"/>
      <c r="AR289" s="272"/>
      <c r="AS289" s="272"/>
      <c r="AT289" s="272"/>
      <c r="AU289" s="272"/>
      <c r="AV289" s="272"/>
      <c r="AW289" s="272"/>
      <c r="AX289" s="272"/>
      <c r="AY289" s="272"/>
      <c r="AZ289" s="272"/>
      <c r="BA289" s="272"/>
    </row>
    <row r="290" spans="1:53" outlineLevel="1" x14ac:dyDescent="0.35">
      <c r="A290" s="6" t="s">
        <v>25</v>
      </c>
      <c r="Z290" s="6">
        <f t="shared" si="33"/>
        <v>1.7156655158669361</v>
      </c>
      <c r="AB290" s="272"/>
      <c r="AC290" s="272"/>
      <c r="AD290" s="272"/>
      <c r="AE290" s="272"/>
      <c r="AF290" s="272"/>
      <c r="AG290" s="272"/>
      <c r="AH290" s="272"/>
      <c r="AI290" s="272"/>
      <c r="AJ290" s="272"/>
      <c r="AK290" s="272"/>
      <c r="AL290" s="272"/>
      <c r="AM290" s="272"/>
      <c r="AN290" s="272"/>
      <c r="AO290" s="272"/>
      <c r="AP290" s="272"/>
      <c r="AQ290" s="272"/>
      <c r="AR290" s="272"/>
      <c r="AS290" s="272"/>
      <c r="AT290" s="272"/>
      <c r="AU290" s="272"/>
      <c r="AV290" s="272"/>
      <c r="AW290" s="272"/>
      <c r="AX290" s="272"/>
      <c r="AY290" s="272"/>
      <c r="AZ290" s="272"/>
      <c r="BA290" s="272"/>
    </row>
    <row r="291" spans="1:53" outlineLevel="1" x14ac:dyDescent="0.35">
      <c r="A291" s="6" t="s">
        <v>27</v>
      </c>
      <c r="Z291" s="6">
        <f t="shared" si="33"/>
        <v>1.0331687521724979</v>
      </c>
      <c r="AB291" s="272"/>
      <c r="AC291" s="272"/>
      <c r="AD291" s="272"/>
      <c r="AE291" s="272"/>
      <c r="AF291" s="272"/>
      <c r="AG291" s="272"/>
      <c r="AH291" s="272"/>
      <c r="AI291" s="272"/>
      <c r="AJ291" s="272"/>
      <c r="AK291" s="272"/>
      <c r="AL291" s="272"/>
      <c r="AM291" s="272"/>
      <c r="AN291" s="272"/>
      <c r="AO291" s="272"/>
      <c r="AP291" s="272"/>
      <c r="AQ291" s="272"/>
      <c r="AR291" s="272"/>
      <c r="AS291" s="272"/>
      <c r="AT291" s="272"/>
      <c r="AU291" s="272"/>
      <c r="AV291" s="272"/>
      <c r="AW291" s="272"/>
      <c r="AX291" s="272"/>
      <c r="AY291" s="272"/>
      <c r="AZ291" s="272"/>
      <c r="BA291" s="272"/>
    </row>
    <row r="292" spans="1:53" outlineLevel="1" x14ac:dyDescent="0.35">
      <c r="A292" s="6" t="s">
        <v>30</v>
      </c>
      <c r="Z292" s="6">
        <f t="shared" si="33"/>
        <v>0.41020634885926188</v>
      </c>
      <c r="AB292" s="272"/>
      <c r="AC292" s="272"/>
      <c r="AD292" s="272"/>
      <c r="AE292" s="272"/>
      <c r="AF292" s="272"/>
      <c r="AG292" s="272"/>
      <c r="AH292" s="272"/>
      <c r="AI292" s="272"/>
      <c r="AJ292" s="272"/>
      <c r="AK292" s="272"/>
      <c r="AL292" s="272"/>
      <c r="AM292" s="272"/>
      <c r="AN292" s="272"/>
      <c r="AO292" s="272"/>
      <c r="AP292" s="272"/>
      <c r="AQ292" s="272"/>
      <c r="AR292" s="272"/>
      <c r="AS292" s="272"/>
      <c r="AT292" s="272"/>
      <c r="AU292" s="272"/>
      <c r="AV292" s="272"/>
      <c r="AW292" s="272"/>
      <c r="AX292" s="272"/>
      <c r="AY292" s="272"/>
      <c r="AZ292" s="272"/>
      <c r="BA292" s="272"/>
    </row>
    <row r="293" spans="1:53" outlineLevel="1" x14ac:dyDescent="0.35">
      <c r="A293" s="6" t="s">
        <v>32</v>
      </c>
      <c r="Z293" s="6">
        <f t="shared" si="33"/>
        <v>0.18412691445675031</v>
      </c>
      <c r="AB293" s="272"/>
      <c r="AC293" s="272"/>
      <c r="AD293" s="272"/>
      <c r="AE293" s="272"/>
      <c r="AF293" s="272"/>
      <c r="AG293" s="272"/>
      <c r="AH293" s="272"/>
      <c r="AI293" s="272"/>
      <c r="AJ293" s="272"/>
      <c r="AK293" s="272"/>
      <c r="AL293" s="272"/>
      <c r="AM293" s="272"/>
      <c r="AN293" s="272"/>
      <c r="AO293" s="272"/>
      <c r="AP293" s="272"/>
      <c r="AQ293" s="272"/>
      <c r="AR293" s="272"/>
      <c r="AS293" s="272"/>
      <c r="AT293" s="272"/>
      <c r="AU293" s="272"/>
      <c r="AV293" s="272"/>
      <c r="AW293" s="272"/>
      <c r="AX293" s="272"/>
      <c r="AY293" s="272"/>
      <c r="AZ293" s="272"/>
      <c r="BA293" s="272"/>
    </row>
    <row r="294" spans="1:53" outlineLevel="1" x14ac:dyDescent="0.35">
      <c r="A294" s="6" t="s">
        <v>33</v>
      </c>
      <c r="Z294" s="6">
        <f t="shared" si="33"/>
        <v>0.1062742806047989</v>
      </c>
      <c r="AB294" s="272"/>
      <c r="AC294" s="272"/>
      <c r="AD294" s="272"/>
      <c r="AE294" s="272"/>
      <c r="AF294" s="272"/>
      <c r="AG294" s="272"/>
      <c r="AH294" s="272"/>
      <c r="AI294" s="272"/>
      <c r="AJ294" s="272"/>
      <c r="AK294" s="272"/>
      <c r="AL294" s="272"/>
      <c r="AM294" s="272"/>
      <c r="AN294" s="272"/>
      <c r="AO294" s="272"/>
      <c r="AP294" s="272"/>
      <c r="AQ294" s="272"/>
      <c r="AR294" s="272"/>
      <c r="AS294" s="272"/>
      <c r="AT294" s="272"/>
      <c r="AU294" s="272"/>
      <c r="AV294" s="272"/>
      <c r="AW294" s="272"/>
      <c r="AX294" s="272"/>
      <c r="AY294" s="272"/>
      <c r="AZ294" s="272"/>
      <c r="BA294" s="272"/>
    </row>
    <row r="295" spans="1:53" outlineLevel="1" x14ac:dyDescent="0.35">
      <c r="A295" s="6" t="s">
        <v>35</v>
      </c>
      <c r="Z295" s="6">
        <f t="shared" si="33"/>
        <v>0.21254856120959789</v>
      </c>
      <c r="AB295" s="272"/>
      <c r="AC295" s="272"/>
      <c r="AD295" s="272"/>
      <c r="AE295" s="272"/>
      <c r="AF295" s="272"/>
      <c r="AG295" s="272"/>
      <c r="AH295" s="272"/>
      <c r="AI295" s="272"/>
      <c r="AJ295" s="272"/>
      <c r="AK295" s="272"/>
      <c r="AL295" s="272"/>
      <c r="AM295" s="272"/>
      <c r="AN295" s="272"/>
      <c r="AO295" s="272"/>
      <c r="AP295" s="272"/>
      <c r="AQ295" s="272"/>
      <c r="AR295" s="272"/>
      <c r="AS295" s="272"/>
      <c r="AT295" s="272"/>
      <c r="AU295" s="272"/>
      <c r="AV295" s="272"/>
      <c r="AW295" s="272"/>
      <c r="AX295" s="272"/>
      <c r="AY295" s="272"/>
      <c r="AZ295" s="272"/>
      <c r="BA295" s="272"/>
    </row>
    <row r="296" spans="1:53" outlineLevel="1" x14ac:dyDescent="0.35">
      <c r="A296" s="6" t="s">
        <v>37</v>
      </c>
      <c r="Z296" s="6">
        <f t="shared" si="33"/>
        <v>3.132562457996884</v>
      </c>
      <c r="AB296" s="272"/>
      <c r="AC296" s="272"/>
      <c r="AD296" s="272"/>
      <c r="AE296" s="272"/>
      <c r="AF296" s="272"/>
      <c r="AG296" s="272"/>
      <c r="AH296" s="272"/>
      <c r="AI296" s="272"/>
      <c r="AJ296" s="272"/>
      <c r="AK296" s="272"/>
      <c r="AL296" s="272"/>
      <c r="AM296" s="272"/>
      <c r="AN296" s="272"/>
      <c r="AO296" s="272"/>
      <c r="AP296" s="272"/>
      <c r="AQ296" s="272"/>
      <c r="AR296" s="272"/>
      <c r="AS296" s="272"/>
      <c r="AT296" s="272"/>
      <c r="AU296" s="272"/>
      <c r="AV296" s="272"/>
      <c r="AW296" s="272"/>
      <c r="AX296" s="272"/>
      <c r="AY296" s="272"/>
      <c r="AZ296" s="272"/>
      <c r="BA296" s="272"/>
    </row>
    <row r="297" spans="1:53" outlineLevel="1" x14ac:dyDescent="0.35">
      <c r="A297" s="6" t="s">
        <v>40</v>
      </c>
      <c r="Z297" s="6">
        <f t="shared" si="33"/>
        <v>1.49141294639072</v>
      </c>
    </row>
    <row r="298" spans="1:53" outlineLevel="1" x14ac:dyDescent="0.35">
      <c r="A298" s="6" t="s">
        <v>42</v>
      </c>
      <c r="Z298" s="6">
        <f t="shared" si="33"/>
        <v>3.9182755663625111</v>
      </c>
    </row>
    <row r="299" spans="1:53" outlineLevel="1" x14ac:dyDescent="0.35">
      <c r="A299" s="6" t="s">
        <v>115</v>
      </c>
      <c r="Z299" s="6">
        <f t="shared" si="33"/>
        <v>32.757200539571741</v>
      </c>
    </row>
    <row r="300" spans="1:53" outlineLevel="1" x14ac:dyDescent="0.35">
      <c r="A300" s="6" t="s">
        <v>45</v>
      </c>
      <c r="Z300" s="6">
        <f>Z36*AC265</f>
        <v>0.67134705459848942</v>
      </c>
    </row>
    <row r="301" spans="1:53" outlineLevel="1" x14ac:dyDescent="0.35">
      <c r="A301" s="6" t="s">
        <v>116</v>
      </c>
      <c r="B301" s="6">
        <f>B37</f>
        <v>118.02764904622801</v>
      </c>
      <c r="C301" s="6">
        <f t="shared" ref="C301:Z301" si="34">C37</f>
        <v>117.98373872622631</v>
      </c>
      <c r="D301" s="6">
        <f t="shared" si="34"/>
        <v>117.94039073957509</v>
      </c>
      <c r="E301" s="6">
        <f t="shared" si="34"/>
        <v>117.2066454136766</v>
      </c>
      <c r="F301" s="6">
        <f t="shared" si="34"/>
        <v>117.1656896823397</v>
      </c>
      <c r="G301" s="6">
        <f t="shared" si="34"/>
        <v>117.1250551001704</v>
      </c>
      <c r="H301" s="6">
        <f t="shared" si="34"/>
        <v>117.0826402904443</v>
      </c>
      <c r="I301" s="6">
        <f t="shared" si="34"/>
        <v>117.0403377490028</v>
      </c>
      <c r="J301" s="6">
        <f t="shared" si="34"/>
        <v>116.5223451401131</v>
      </c>
      <c r="K301" s="6">
        <f t="shared" si="34"/>
        <v>116.48331346148591</v>
      </c>
      <c r="L301" s="6">
        <f t="shared" si="34"/>
        <v>116.44433520141639</v>
      </c>
      <c r="M301" s="6">
        <f t="shared" si="34"/>
        <v>116.42301971193</v>
      </c>
      <c r="N301" s="6">
        <f t="shared" si="34"/>
        <v>116.4010822157788</v>
      </c>
      <c r="O301" s="6">
        <f t="shared" si="34"/>
        <v>116.2311850172577</v>
      </c>
      <c r="P301" s="6">
        <f t="shared" si="34"/>
        <v>116.2091861190398</v>
      </c>
      <c r="Q301" s="6">
        <f t="shared" si="34"/>
        <v>116.1865333353054</v>
      </c>
      <c r="R301" s="6">
        <f t="shared" si="34"/>
        <v>116.1354305145795</v>
      </c>
      <c r="S301" s="6">
        <f t="shared" si="34"/>
        <v>116.0838942184931</v>
      </c>
      <c r="T301" s="6">
        <f t="shared" si="34"/>
        <v>115.889418436463</v>
      </c>
      <c r="U301" s="6">
        <f t="shared" si="34"/>
        <v>115.83864558274711</v>
      </c>
      <c r="V301" s="6">
        <f t="shared" si="34"/>
        <v>115.78749641573989</v>
      </c>
      <c r="W301" s="6">
        <f t="shared" si="34"/>
        <v>115.765483779476</v>
      </c>
      <c r="X301" s="6">
        <f t="shared" si="34"/>
        <v>115.7440081863779</v>
      </c>
      <c r="Y301" s="6">
        <f t="shared" si="34"/>
        <v>115.722919994202</v>
      </c>
      <c r="Z301" s="6">
        <f t="shared" si="34"/>
        <v>115.702219044955</v>
      </c>
    </row>
    <row r="302" spans="1:53" outlineLevel="1" x14ac:dyDescent="0.35">
      <c r="A302" s="6" t="s">
        <v>758</v>
      </c>
      <c r="B302" s="6">
        <f>B38*$AC$265</f>
        <v>92.522936539768352</v>
      </c>
      <c r="C302" s="6">
        <f t="shared" ref="C302:Z303" si="35">C38*$AC$265</f>
        <v>92.793503087670402</v>
      </c>
      <c r="D302" s="6">
        <f t="shared" si="35"/>
        <v>93.06587797041675</v>
      </c>
      <c r="E302" s="6">
        <f t="shared" si="35"/>
        <v>93.152487656147599</v>
      </c>
      <c r="F302" s="6">
        <f t="shared" si="35"/>
        <v>93.430797007075</v>
      </c>
      <c r="G302" s="6">
        <f t="shared" si="35"/>
        <v>93.710699474942444</v>
      </c>
      <c r="H302" s="6">
        <f t="shared" si="35"/>
        <v>95.168745354720258</v>
      </c>
      <c r="I302" s="6">
        <f t="shared" si="35"/>
        <v>96.620196303689454</v>
      </c>
      <c r="J302" s="6">
        <f t="shared" si="35"/>
        <v>97.926327469246203</v>
      </c>
      <c r="K302" s="6">
        <f t="shared" si="35"/>
        <v>99.370460660972455</v>
      </c>
      <c r="L302" s="6">
        <f t="shared" si="35"/>
        <v>100.8089097212778</v>
      </c>
      <c r="M302" s="6">
        <f t="shared" si="35"/>
        <v>100.8944344985012</v>
      </c>
      <c r="N302" s="6">
        <f t="shared" si="35"/>
        <v>100.9750173955904</v>
      </c>
      <c r="O302" s="6">
        <f t="shared" si="35"/>
        <v>101.01752017196036</v>
      </c>
      <c r="P302" s="6">
        <f t="shared" si="35"/>
        <v>101.08798744318861</v>
      </c>
      <c r="Q302" s="6">
        <f t="shared" si="35"/>
        <v>101.15287869099474</v>
      </c>
      <c r="R302" s="6">
        <f t="shared" si="35"/>
        <v>104.61985498842729</v>
      </c>
      <c r="S302" s="6">
        <f t="shared" si="35"/>
        <v>108.08162228124681</v>
      </c>
      <c r="T302" s="6">
        <f t="shared" si="35"/>
        <v>111.50931876301084</v>
      </c>
      <c r="U302" s="6">
        <f t="shared" si="35"/>
        <v>114.9630242804718</v>
      </c>
      <c r="V302" s="6">
        <f t="shared" si="35"/>
        <v>118.41294968922855</v>
      </c>
      <c r="W302" s="6">
        <f t="shared" si="35"/>
        <v>118.9304702009813</v>
      </c>
      <c r="X302" s="6">
        <f t="shared" si="35"/>
        <v>119.45404576576755</v>
      </c>
      <c r="Y302" s="6">
        <f t="shared" si="35"/>
        <v>119.97949784271651</v>
      </c>
      <c r="Z302" s="6">
        <f t="shared" si="35"/>
        <v>120.50672490411405</v>
      </c>
    </row>
    <row r="303" spans="1:53" outlineLevel="1" x14ac:dyDescent="0.35">
      <c r="A303" s="6" t="s">
        <v>759</v>
      </c>
      <c r="B303" s="6">
        <f>B39*$AC$265</f>
        <v>0</v>
      </c>
      <c r="C303" s="6">
        <f t="shared" si="35"/>
        <v>0</v>
      </c>
      <c r="D303" s="6">
        <f t="shared" si="35"/>
        <v>0</v>
      </c>
      <c r="E303" s="6">
        <f t="shared" si="35"/>
        <v>0</v>
      </c>
      <c r="F303" s="6">
        <f t="shared" si="35"/>
        <v>0</v>
      </c>
      <c r="G303" s="6">
        <f t="shared" si="35"/>
        <v>0</v>
      </c>
      <c r="H303" s="6">
        <f t="shared" si="35"/>
        <v>0</v>
      </c>
      <c r="I303" s="6">
        <f t="shared" si="35"/>
        <v>0</v>
      </c>
      <c r="J303" s="6">
        <f t="shared" si="35"/>
        <v>0</v>
      </c>
      <c r="K303" s="6">
        <f t="shared" si="35"/>
        <v>0</v>
      </c>
      <c r="L303" s="6">
        <f t="shared" si="35"/>
        <v>0</v>
      </c>
      <c r="M303" s="6">
        <f t="shared" si="35"/>
        <v>0</v>
      </c>
      <c r="N303" s="6">
        <f t="shared" si="35"/>
        <v>0</v>
      </c>
      <c r="O303" s="6">
        <f t="shared" si="35"/>
        <v>0</v>
      </c>
      <c r="P303" s="6">
        <f t="shared" si="35"/>
        <v>0</v>
      </c>
      <c r="Q303" s="6">
        <f t="shared" si="35"/>
        <v>0</v>
      </c>
      <c r="R303" s="6">
        <f t="shared" si="35"/>
        <v>0</v>
      </c>
      <c r="S303" s="6">
        <f t="shared" si="35"/>
        <v>0</v>
      </c>
      <c r="T303" s="6">
        <f t="shared" si="35"/>
        <v>0</v>
      </c>
      <c r="U303" s="6">
        <f t="shared" si="35"/>
        <v>0</v>
      </c>
      <c r="V303" s="6">
        <f t="shared" si="35"/>
        <v>0</v>
      </c>
      <c r="W303" s="6">
        <f t="shared" si="35"/>
        <v>0</v>
      </c>
      <c r="X303" s="6">
        <f t="shared" si="35"/>
        <v>0</v>
      </c>
      <c r="Y303" s="6">
        <f t="shared" si="35"/>
        <v>0</v>
      </c>
      <c r="Z303" s="6">
        <f t="shared" si="35"/>
        <v>0</v>
      </c>
    </row>
    <row r="304" spans="1:53" outlineLevel="1" x14ac:dyDescent="0.35">
      <c r="A304" s="6" t="s">
        <v>760</v>
      </c>
      <c r="B304" s="6">
        <f>$B$252*50*'Results - raw data ReCiPe (I)'!BC114/(1-0.5)*(1+'Results ReCiPe (I) - HHD'!$AC$271/'Results ReCiPe (I) - HHD'!$AC$272-'Results ReCiPe (I) - HHD'!$AC$271)</f>
        <v>349.14264620710111</v>
      </c>
      <c r="C304" s="6">
        <f>$B$252*50*'Results - raw data ReCiPe (I)'!BD114/(1-0.5)*(1+'Results ReCiPe (I) - HHD'!$AC$271/'Results ReCiPe (I) - HHD'!$AC$272-'Results ReCiPe (I) - HHD'!$AC$271)</f>
        <v>348.2431396351933</v>
      </c>
      <c r="D304" s="6">
        <f>$B$252*50*'Results - raw data ReCiPe (I)'!BE114/(1-0.5)*(1+'Results ReCiPe (I) - HHD'!$AC$271/'Results ReCiPe (I) - HHD'!$AC$272-'Results ReCiPe (I) - HHD'!$AC$271)</f>
        <v>347.36247045382612</v>
      </c>
      <c r="E304" s="6">
        <f>$B$252*50*'Results - raw data ReCiPe (I)'!BF114/(1-0.5)*(1+'Results ReCiPe (I) - HHD'!$AC$271/'Results ReCiPe (I) - HHD'!$AC$272-'Results ReCiPe (I) - HHD'!$AC$271)</f>
        <v>343.05484236434222</v>
      </c>
      <c r="F304" s="6">
        <f>$B$252*50*'Results - raw data ReCiPe (I)'!BG114/(1-0.5)*(1+'Results ReCiPe (I) - HHD'!$AC$271/'Results ReCiPe (I) - HHD'!$AC$272-'Results ReCiPe (I) - HHD'!$AC$271)</f>
        <v>342.21803244203898</v>
      </c>
      <c r="G304" s="6">
        <f>$B$252*50*'Results - raw data ReCiPe (I)'!BH114/(1-0.5)*(1+'Results ReCiPe (I) - HHD'!$AC$271/'Results ReCiPe (I) - HHD'!$AC$272-'Results ReCiPe (I) - HHD'!$AC$271)</f>
        <v>341.39397491012551</v>
      </c>
      <c r="H304" s="6">
        <f>$B$252*50*'Results - raw data ReCiPe (I)'!BI114/(1-0.5)*(1+'Results ReCiPe (I) - HHD'!$AC$271/'Results ReCiPe (I) - HHD'!$AC$272-'Results ReCiPe (I) - HHD'!$AC$271)</f>
        <v>340.519493045942</v>
      </c>
      <c r="I304" s="6">
        <f>$B$252*50*'Results - raw data ReCiPe (I)'!BJ114/(1-0.5)*(1+'Results ReCiPe (I) - HHD'!$AC$271/'Results ReCiPe (I) - HHD'!$AC$272-'Results ReCiPe (I) - HHD'!$AC$271)</f>
        <v>339.67357000501755</v>
      </c>
      <c r="J304" s="6">
        <f>$B$252*50*'Results - raw data ReCiPe (I)'!BK114/(1-0.5)*(1+'Results ReCiPe (I) - HHD'!$AC$271/'Results ReCiPe (I) - HHD'!$AC$272-'Results ReCiPe (I) - HHD'!$AC$271)</f>
        <v>336.44840115701339</v>
      </c>
      <c r="K304" s="6">
        <f>$B$252*50*'Results - raw data ReCiPe (I)'!BL114/(1-0.5)*(1+'Results ReCiPe (I) - HHD'!$AC$271/'Results ReCiPe (I) - HHD'!$AC$272-'Results ReCiPe (I) - HHD'!$AC$271)</f>
        <v>335.66808711343111</v>
      </c>
      <c r="L304" s="6">
        <f>$B$252*50*'Results - raw data ReCiPe (I)'!BM114/(1-0.5)*(1+'Results ReCiPe (I) - HHD'!$AC$271/'Results ReCiPe (I) - HHD'!$AC$272-'Results ReCiPe (I) - HHD'!$AC$271)</f>
        <v>334.90911822090703</v>
      </c>
      <c r="M304" s="6">
        <f>$B$252*50*'Results - raw data ReCiPe (I)'!BN114/(1-0.5)*(1+'Results ReCiPe (I) - HHD'!$AC$271/'Results ReCiPe (I) - HHD'!$AC$272-'Results ReCiPe (I) - HHD'!$AC$271)</f>
        <v>334.36987009383552</v>
      </c>
      <c r="N304" s="6">
        <f>$B$252*50*'Results - raw data ReCiPe (I)'!BO114/(1-0.5)*(1+'Results ReCiPe (I) - HHD'!$AC$271/'Results ReCiPe (I) - HHD'!$AC$272-'Results ReCiPe (I) - HHD'!$AC$271)</f>
        <v>333.85429664930979</v>
      </c>
      <c r="O304" s="6">
        <f>$B$252*50*'Results - raw data ReCiPe (I)'!BP114/(1-0.5)*(1+'Results ReCiPe (I) - HHD'!$AC$271/'Results ReCiPe (I) - HHD'!$AC$272-'Results ReCiPe (I) - HHD'!$AC$271)</f>
        <v>332.6721854422874</v>
      </c>
      <c r="P304" s="6">
        <f>$B$252*50*'Results - raw data ReCiPe (I)'!BQ114/(1-0.5)*(1+'Results ReCiPe (I) - HHD'!$AC$271/'Results ReCiPe (I) - HHD'!$AC$272-'Results ReCiPe (I) - HHD'!$AC$271)</f>
        <v>332.20360797147902</v>
      </c>
      <c r="Q304" s="6">
        <f>$B$252*50*'Results - raw data ReCiPe (I)'!BR114/(1-0.5)*(1+'Results ReCiPe (I) - HHD'!$AC$271/'Results ReCiPe (I) - HHD'!$AC$272-'Results ReCiPe (I) - HHD'!$AC$271)</f>
        <v>331.76600573896133</v>
      </c>
      <c r="R304" s="6">
        <f>$B$252*50*'Results - raw data ReCiPe (I)'!BS114/(1-0.5)*(1+'Results ReCiPe (I) - HHD'!$AC$271/'Results ReCiPe (I) - HHD'!$AC$272-'Results ReCiPe (I) - HHD'!$AC$271)</f>
        <v>331.35705198035743</v>
      </c>
      <c r="S304" s="6">
        <f>$B$252*50*'Results - raw data ReCiPe (I)'!BT114/(1-0.5)*(1+'Results ReCiPe (I) - HHD'!$AC$271/'Results ReCiPe (I) - HHD'!$AC$272-'Results ReCiPe (I) - HHD'!$AC$271)</f>
        <v>330.95090051133479</v>
      </c>
      <c r="T304" s="6">
        <f>$B$252*50*'Results - raw data ReCiPe (I)'!BU114/(1-0.5)*(1+'Results ReCiPe (I) - HHD'!$AC$271/'Results ReCiPe (I) - HHD'!$AC$272-'Results ReCiPe (I) - HHD'!$AC$271)</f>
        <v>329.8800570815813</v>
      </c>
      <c r="U304" s="6">
        <f>$B$252*50*'Results - raw data ReCiPe (I)'!BV114/(1-0.5)*(1+'Results ReCiPe (I) - HHD'!$AC$271/'Results ReCiPe (I) - HHD'!$AC$272-'Results ReCiPe (I) - HHD'!$AC$271)</f>
        <v>329.48577795690358</v>
      </c>
      <c r="V304" s="6">
        <f>$B$252*50*'Results - raw data ReCiPe (I)'!BW114/(1-0.5)*(1+'Results ReCiPe (I) - HHD'!$AC$271/'Results ReCiPe (I) - HHD'!$AC$272-'Results ReCiPe (I) - HHD'!$AC$271)</f>
        <v>329.09346053322696</v>
      </c>
      <c r="W304" s="6">
        <f>$B$252*50*'Results - raw data ReCiPe (I)'!BX114/(1-0.5)*(1+'Results ReCiPe (I) - HHD'!$AC$271/'Results ReCiPe (I) - HHD'!$AC$272-'Results ReCiPe (I) - HHD'!$AC$271)</f>
        <v>328.89033551148219</v>
      </c>
      <c r="X304" s="6">
        <f>$B$252*50*'Results - raw data ReCiPe (I)'!BY114/(1-0.5)*(1+'Results ReCiPe (I) - HHD'!$AC$271/'Results ReCiPe (I) - HHD'!$AC$272-'Results ReCiPe (I) - HHD'!$AC$271)</f>
        <v>328.69369942731873</v>
      </c>
      <c r="Y304" s="6">
        <f>$B$252*50*'Results - raw data ReCiPe (I)'!BZ114/(1-0.5)*(1+'Results ReCiPe (I) - HHD'!$AC$271/'Results ReCiPe (I) - HHD'!$AC$272-'Results ReCiPe (I) - HHD'!$AC$271)</f>
        <v>328.50305391993157</v>
      </c>
      <c r="Z304" s="6">
        <f>$B$252*50*'Results - raw data ReCiPe (I)'!CA114/(1-0.5)*(1+'Results ReCiPe (I) - HHD'!$AC$271/'Results ReCiPe (I) - HHD'!$AC$272-'Results ReCiPe (I) - HHD'!$AC$271)</f>
        <v>328.31818474496987</v>
      </c>
    </row>
    <row r="305" spans="1:26" outlineLevel="1" x14ac:dyDescent="0.35">
      <c r="A305" s="6" t="s">
        <v>797</v>
      </c>
      <c r="B305" s="6">
        <f>$B$260*$AC$264</f>
        <v>385.84752434926077</v>
      </c>
      <c r="C305" s="6">
        <f t="shared" ref="C305:Z305" si="36">$B$260*$AC$264</f>
        <v>385.84752434926077</v>
      </c>
      <c r="D305" s="6">
        <f t="shared" si="36"/>
        <v>385.84752434926077</v>
      </c>
      <c r="E305" s="6">
        <f t="shared" si="36"/>
        <v>385.84752434926077</v>
      </c>
      <c r="F305" s="6">
        <f t="shared" si="36"/>
        <v>385.84752434926077</v>
      </c>
      <c r="G305" s="6">
        <f t="shared" si="36"/>
        <v>385.84752434926077</v>
      </c>
      <c r="H305" s="6">
        <f t="shared" si="36"/>
        <v>385.84752434926077</v>
      </c>
      <c r="I305" s="6">
        <f t="shared" si="36"/>
        <v>385.84752434926077</v>
      </c>
      <c r="J305" s="6">
        <f t="shared" si="36"/>
        <v>385.84752434926077</v>
      </c>
      <c r="K305" s="6">
        <f t="shared" si="36"/>
        <v>385.84752434926077</v>
      </c>
      <c r="L305" s="6">
        <f t="shared" si="36"/>
        <v>385.84752434926077</v>
      </c>
      <c r="M305" s="6">
        <f t="shared" si="36"/>
        <v>385.84752434926077</v>
      </c>
      <c r="N305" s="6">
        <f t="shared" si="36"/>
        <v>385.84752434926077</v>
      </c>
      <c r="O305" s="6">
        <f t="shared" si="36"/>
        <v>385.84752434926077</v>
      </c>
      <c r="P305" s="6">
        <f t="shared" si="36"/>
        <v>385.84752434926077</v>
      </c>
      <c r="Q305" s="6">
        <f t="shared" si="36"/>
        <v>385.84752434926077</v>
      </c>
      <c r="R305" s="6">
        <f t="shared" si="36"/>
        <v>385.84752434926077</v>
      </c>
      <c r="S305" s="6">
        <f t="shared" si="36"/>
        <v>385.84752434926077</v>
      </c>
      <c r="T305" s="6">
        <f t="shared" si="36"/>
        <v>385.84752434926077</v>
      </c>
      <c r="U305" s="6">
        <f t="shared" si="36"/>
        <v>385.84752434926077</v>
      </c>
      <c r="V305" s="6">
        <f t="shared" si="36"/>
        <v>385.84752434926077</v>
      </c>
      <c r="W305" s="6">
        <f t="shared" si="36"/>
        <v>385.84752434926077</v>
      </c>
      <c r="X305" s="6">
        <f t="shared" si="36"/>
        <v>385.84752434926077</v>
      </c>
      <c r="Y305" s="6">
        <f t="shared" si="36"/>
        <v>385.84752434926077</v>
      </c>
      <c r="Z305" s="6">
        <f t="shared" si="36"/>
        <v>385.84752434926077</v>
      </c>
    </row>
    <row r="306" spans="1:26" outlineLevel="1" x14ac:dyDescent="0.35">
      <c r="A306" s="23" t="s">
        <v>125</v>
      </c>
      <c r="B306" s="17">
        <f t="shared" ref="B306:Z306" si="37">SUM(B274:B304)</f>
        <v>3526.6739320892993</v>
      </c>
      <c r="C306" s="17">
        <f t="shared" si="37"/>
        <v>559.02038144909</v>
      </c>
      <c r="D306" s="17">
        <f t="shared" si="37"/>
        <v>558.36873916381796</v>
      </c>
      <c r="E306" s="17">
        <f t="shared" si="37"/>
        <v>553.41397543416645</v>
      </c>
      <c r="F306" s="17">
        <f t="shared" si="37"/>
        <v>552.81451913145361</v>
      </c>
      <c r="G306" s="17">
        <f t="shared" si="37"/>
        <v>552.22972948523829</v>
      </c>
      <c r="H306" s="17">
        <f t="shared" si="37"/>
        <v>552.77087869110653</v>
      </c>
      <c r="I306" s="17">
        <f t="shared" si="37"/>
        <v>553.33410405770974</v>
      </c>
      <c r="J306" s="17">
        <f t="shared" si="37"/>
        <v>550.89707376637273</v>
      </c>
      <c r="K306" s="17">
        <f t="shared" si="37"/>
        <v>551.52186123588945</v>
      </c>
      <c r="L306" s="17">
        <f t="shared" si="37"/>
        <v>552.16236314360117</v>
      </c>
      <c r="M306" s="17">
        <f t="shared" si="37"/>
        <v>551.68732430426667</v>
      </c>
      <c r="N306" s="17">
        <f t="shared" si="37"/>
        <v>551.23039626067896</v>
      </c>
      <c r="O306" s="17">
        <f t="shared" si="37"/>
        <v>549.92089063150547</v>
      </c>
      <c r="P306" s="17">
        <f t="shared" si="37"/>
        <v>549.50078153370737</v>
      </c>
      <c r="Q306" s="17">
        <f t="shared" si="37"/>
        <v>549.10541776526145</v>
      </c>
      <c r="R306" s="17">
        <f t="shared" si="37"/>
        <v>552.11233748336417</v>
      </c>
      <c r="S306" s="17">
        <f t="shared" si="37"/>
        <v>555.11641701107465</v>
      </c>
      <c r="T306" s="17">
        <f t="shared" si="37"/>
        <v>557.27879428105507</v>
      </c>
      <c r="U306" s="17">
        <f t="shared" si="37"/>
        <v>560.28744782012245</v>
      </c>
      <c r="V306" s="17">
        <f t="shared" si="37"/>
        <v>563.29390663819538</v>
      </c>
      <c r="W306" s="17">
        <f t="shared" si="37"/>
        <v>563.58628949193951</v>
      </c>
      <c r="X306" s="17">
        <f t="shared" si="37"/>
        <v>563.89175337946415</v>
      </c>
      <c r="Y306" s="17">
        <f t="shared" si="37"/>
        <v>564.2054717568501</v>
      </c>
      <c r="Z306" s="17">
        <f t="shared" si="37"/>
        <v>610.86568213380497</v>
      </c>
    </row>
    <row r="307" spans="1:26" outlineLevel="1" x14ac:dyDescent="0.35"/>
    <row r="308" spans="1:26" s="18" customFormat="1" ht="21" x14ac:dyDescent="0.5">
      <c r="A308" s="18" t="s">
        <v>73</v>
      </c>
    </row>
    <row r="309" spans="1:26" s="20" customFormat="1" outlineLevel="1" x14ac:dyDescent="0.35">
      <c r="A309" s="19" t="s">
        <v>788</v>
      </c>
    </row>
    <row r="310" spans="1:26" s="20" customFormat="1" outlineLevel="1" x14ac:dyDescent="0.35">
      <c r="A310" s="273" t="s">
        <v>775</v>
      </c>
      <c r="B310" s="20">
        <v>1</v>
      </c>
      <c r="C310" s="274" t="s">
        <v>787</v>
      </c>
    </row>
    <row r="311" spans="1:26" s="20" customFormat="1" outlineLevel="1" x14ac:dyDescent="0.35">
      <c r="A311" s="273" t="s">
        <v>781</v>
      </c>
      <c r="B311" s="20">
        <v>100000</v>
      </c>
      <c r="C311" s="20" t="s">
        <v>782</v>
      </c>
      <c r="E311" s="274"/>
    </row>
    <row r="312" spans="1:26" s="20" customFormat="1" outlineLevel="1" x14ac:dyDescent="0.35">
      <c r="A312" s="273" t="s">
        <v>783</v>
      </c>
      <c r="B312" s="20">
        <v>1500</v>
      </c>
      <c r="C312" s="20" t="s">
        <v>592</v>
      </c>
    </row>
    <row r="313" spans="1:26" s="20" customFormat="1" outlineLevel="1" x14ac:dyDescent="0.35">
      <c r="A313" s="273" t="s">
        <v>784</v>
      </c>
      <c r="B313" s="20">
        <v>8760</v>
      </c>
      <c r="C313" s="20" t="s">
        <v>785</v>
      </c>
    </row>
    <row r="314" spans="1:26" s="20" customFormat="1" outlineLevel="1" x14ac:dyDescent="0.35">
      <c r="A314" s="273"/>
    </row>
    <row r="315" spans="1:26" s="20" customFormat="1" outlineLevel="1" x14ac:dyDescent="0.35">
      <c r="A315" s="275" t="s">
        <v>786</v>
      </c>
      <c r="B315" s="275">
        <f>(B311*B312)/(B313*B310)</f>
        <v>17123.287671232876</v>
      </c>
      <c r="C315" s="275" t="s">
        <v>749</v>
      </c>
    </row>
    <row r="316" spans="1:26" s="20" customFormat="1" outlineLevel="1" x14ac:dyDescent="0.35">
      <c r="A316" s="19"/>
    </row>
    <row r="317" spans="1:26" s="20" customFormat="1" outlineLevel="1" x14ac:dyDescent="0.35">
      <c r="A317" s="19" t="s">
        <v>793</v>
      </c>
    </row>
    <row r="318" spans="1:26" s="20" customFormat="1" outlineLevel="1" x14ac:dyDescent="0.35">
      <c r="A318" s="273" t="s">
        <v>789</v>
      </c>
      <c r="B318" s="20">
        <f>SUM('Results - raw data ReCiPe (I)'!BC146:BC147)+'Results - raw data ReCiPe (I)'!BC150+SUM('Results - raw data ReCiPe (I)'!BC148:BC149)*AC267</f>
        <v>73.426857982085593</v>
      </c>
      <c r="C318" s="20" t="s">
        <v>902</v>
      </c>
    </row>
    <row r="319" spans="1:26" s="20" customFormat="1" outlineLevel="1" x14ac:dyDescent="0.35">
      <c r="A319" s="20" t="s">
        <v>792</v>
      </c>
      <c r="B319" s="20">
        <f>B311*AC325</f>
        <v>50000</v>
      </c>
      <c r="C319" s="274" t="s">
        <v>795</v>
      </c>
    </row>
    <row r="320" spans="1:26" s="20" customFormat="1" outlineLevel="1" x14ac:dyDescent="0.35">
      <c r="A320" s="20" t="s">
        <v>791</v>
      </c>
      <c r="B320" s="20">
        <f>(B318*AC327*B315)/(B319*AC326)*(AC326/AC328)</f>
        <v>7.5438552721320811</v>
      </c>
      <c r="C320" s="20" t="s">
        <v>903</v>
      </c>
      <c r="E320" s="274" t="s">
        <v>796</v>
      </c>
    </row>
    <row r="321" spans="1:53" s="20" customFormat="1" outlineLevel="1" x14ac:dyDescent="0.35">
      <c r="A321" s="19"/>
    </row>
    <row r="322" spans="1:53" s="16" customFormat="1" outlineLevel="1" x14ac:dyDescent="0.35">
      <c r="A322" s="21"/>
      <c r="AE322" s="15"/>
    </row>
    <row r="323" spans="1:53" s="16" customFormat="1" outlineLevel="1" x14ac:dyDescent="0.35">
      <c r="A323" s="22" t="s">
        <v>761</v>
      </c>
    </row>
    <row r="324" spans="1:53" s="16" customFormat="1" outlineLevel="1" x14ac:dyDescent="0.35">
      <c r="A324" s="22"/>
      <c r="AB324" s="16" t="s">
        <v>127</v>
      </c>
      <c r="AC324" s="16">
        <f>100*AC325</f>
        <v>50</v>
      </c>
      <c r="AD324" s="16" t="s">
        <v>128</v>
      </c>
    </row>
    <row r="325" spans="1:53" s="16" customFormat="1" outlineLevel="1" x14ac:dyDescent="0.35">
      <c r="A325" s="230"/>
      <c r="AB325" s="16" t="s">
        <v>776</v>
      </c>
      <c r="AC325" s="16">
        <v>0.5</v>
      </c>
    </row>
    <row r="326" spans="1:53" s="16" customFormat="1" outlineLevel="1" x14ac:dyDescent="0.35">
      <c r="A326" s="21"/>
      <c r="AB326" s="16" t="s">
        <v>129</v>
      </c>
      <c r="AC326" s="16">
        <v>25</v>
      </c>
      <c r="AD326" s="16" t="s">
        <v>130</v>
      </c>
    </row>
    <row r="327" spans="1:53" s="16" customFormat="1" outlineLevel="1" x14ac:dyDescent="0.35">
      <c r="A327" s="21"/>
      <c r="AB327" s="16" t="s">
        <v>777</v>
      </c>
      <c r="AC327" s="16">
        <v>6</v>
      </c>
      <c r="AD327" s="16" t="s">
        <v>779</v>
      </c>
    </row>
    <row r="328" spans="1:53" s="16" customFormat="1" outlineLevel="1" x14ac:dyDescent="0.35">
      <c r="A328" s="21"/>
      <c r="AB328" s="16" t="s">
        <v>778</v>
      </c>
      <c r="AC328" s="16">
        <v>20</v>
      </c>
      <c r="AD328" s="16" t="s">
        <v>130</v>
      </c>
    </row>
    <row r="329" spans="1:53" s="16" customFormat="1" outlineLevel="1" x14ac:dyDescent="0.35">
      <c r="AB329" s="16" t="s">
        <v>780</v>
      </c>
      <c r="AC329" s="16">
        <f>B315</f>
        <v>17123.287671232876</v>
      </c>
      <c r="AD329" s="16" t="s">
        <v>749</v>
      </c>
    </row>
    <row r="330" spans="1:53" s="16" customFormat="1" outlineLevel="1" x14ac:dyDescent="0.35"/>
    <row r="331" spans="1:53" s="16" customFormat="1" outlineLevel="1" x14ac:dyDescent="0.35">
      <c r="AB331" s="16" t="s">
        <v>798</v>
      </c>
      <c r="AC331" s="16">
        <v>0.25</v>
      </c>
    </row>
    <row r="332" spans="1:53" s="16" customFormat="1" outlineLevel="1" x14ac:dyDescent="0.35">
      <c r="A332" s="22"/>
      <c r="AB332" s="16" t="s">
        <v>799</v>
      </c>
      <c r="AC332" s="16">
        <v>0.9</v>
      </c>
    </row>
    <row r="333" spans="1:53" outlineLevel="1" x14ac:dyDescent="0.35">
      <c r="B333" s="25">
        <v>2030</v>
      </c>
      <c r="C333" s="25">
        <v>2031</v>
      </c>
      <c r="D333" s="25">
        <v>2032</v>
      </c>
      <c r="E333" s="25">
        <v>2033</v>
      </c>
      <c r="F333" s="25">
        <v>2034</v>
      </c>
      <c r="G333" s="25">
        <v>2035</v>
      </c>
      <c r="H333" s="25">
        <v>2036</v>
      </c>
      <c r="I333" s="25">
        <v>2037</v>
      </c>
      <c r="J333" s="25">
        <v>2038</v>
      </c>
      <c r="K333" s="25">
        <v>2039</v>
      </c>
      <c r="L333" s="25">
        <v>2040</v>
      </c>
      <c r="M333" s="25">
        <v>2041</v>
      </c>
      <c r="N333" s="25">
        <v>2042</v>
      </c>
      <c r="O333" s="25">
        <v>2043</v>
      </c>
      <c r="P333" s="25">
        <v>2044</v>
      </c>
      <c r="Q333" s="25">
        <v>2045</v>
      </c>
      <c r="R333" s="25">
        <v>2046</v>
      </c>
      <c r="S333" s="25">
        <v>2047</v>
      </c>
      <c r="T333" s="25">
        <v>2048</v>
      </c>
      <c r="U333" s="25">
        <v>2049</v>
      </c>
      <c r="V333" s="25">
        <v>2050</v>
      </c>
      <c r="W333" s="25">
        <v>2051</v>
      </c>
      <c r="X333" s="25">
        <v>2052</v>
      </c>
      <c r="Y333" s="25">
        <v>2053</v>
      </c>
      <c r="Z333" s="25">
        <v>2054</v>
      </c>
      <c r="AC333" s="25">
        <v>2030</v>
      </c>
      <c r="AD333" s="25">
        <v>2031</v>
      </c>
      <c r="AE333" s="25">
        <v>2032</v>
      </c>
      <c r="AF333" s="25">
        <v>2033</v>
      </c>
      <c r="AG333" s="25">
        <v>2034</v>
      </c>
      <c r="AH333" s="25">
        <v>2035</v>
      </c>
      <c r="AI333" s="25">
        <v>2036</v>
      </c>
      <c r="AJ333" s="25">
        <v>2037</v>
      </c>
      <c r="AK333" s="25">
        <v>2038</v>
      </c>
      <c r="AL333" s="25">
        <v>2039</v>
      </c>
      <c r="AM333" s="25">
        <v>2040</v>
      </c>
      <c r="AN333" s="25">
        <v>2041</v>
      </c>
      <c r="AO333" s="25">
        <v>2042</v>
      </c>
      <c r="AP333" s="25">
        <v>2043</v>
      </c>
      <c r="AQ333" s="25">
        <v>2044</v>
      </c>
      <c r="AR333" s="25">
        <v>2045</v>
      </c>
      <c r="AS333" s="25">
        <v>2046</v>
      </c>
      <c r="AT333" s="25">
        <v>2047</v>
      </c>
      <c r="AU333" s="25">
        <v>2048</v>
      </c>
      <c r="AV333" s="25">
        <v>2049</v>
      </c>
      <c r="AW333" s="25">
        <v>2050</v>
      </c>
      <c r="AX333" s="25">
        <v>2051</v>
      </c>
      <c r="AY333" s="25">
        <v>2052</v>
      </c>
      <c r="AZ333" s="25">
        <v>2053</v>
      </c>
      <c r="BA333" s="25">
        <v>2054</v>
      </c>
    </row>
    <row r="334" spans="1:53" outlineLevel="1" x14ac:dyDescent="0.35">
      <c r="A334" s="6" t="s">
        <v>21</v>
      </c>
      <c r="B334" s="6">
        <f>B50</f>
        <v>75.449016980629139</v>
      </c>
      <c r="AB334" s="6" t="s">
        <v>117</v>
      </c>
      <c r="AC334" s="6">
        <f>SUM(B334:B345)+B347</f>
        <v>2776.8663578779779</v>
      </c>
    </row>
    <row r="335" spans="1:53" outlineLevel="1" x14ac:dyDescent="0.35">
      <c r="A335" s="6" t="s">
        <v>23</v>
      </c>
      <c r="B335" s="6">
        <f t="shared" ref="B335:B345" si="38">B51</f>
        <v>336.51251463631371</v>
      </c>
      <c r="AB335" s="6" t="s">
        <v>118</v>
      </c>
      <c r="AC335" s="6">
        <f>B346</f>
        <v>133.9245303304485</v>
      </c>
    </row>
    <row r="336" spans="1:53" outlineLevel="1" x14ac:dyDescent="0.35">
      <c r="A336" s="6" t="s">
        <v>26</v>
      </c>
      <c r="B336" s="6">
        <f t="shared" si="38"/>
        <v>318.42348502452592</v>
      </c>
      <c r="AB336" s="6" t="s">
        <v>119</v>
      </c>
      <c r="BA336" s="6">
        <f>SUM(Z348:Z359)</f>
        <v>41.820043084295236</v>
      </c>
    </row>
    <row r="337" spans="1:53" outlineLevel="1" x14ac:dyDescent="0.35">
      <c r="A337" s="6" t="s">
        <v>28</v>
      </c>
      <c r="B337" s="6">
        <f t="shared" si="38"/>
        <v>229.02021178830259</v>
      </c>
      <c r="AB337" s="6" t="s">
        <v>120</v>
      </c>
      <c r="BA337" s="6">
        <f>Z360</f>
        <v>0.64813004013877373</v>
      </c>
    </row>
    <row r="338" spans="1:53" outlineLevel="1" x14ac:dyDescent="0.35">
      <c r="A338" s="6" t="s">
        <v>29</v>
      </c>
      <c r="B338" s="6">
        <f t="shared" si="38"/>
        <v>106.4688062127529</v>
      </c>
      <c r="AB338" s="6" t="s">
        <v>121</v>
      </c>
      <c r="AC338" s="6">
        <f>B361</f>
        <v>117.2508960880117</v>
      </c>
      <c r="AF338" s="6">
        <f>E361</f>
        <v>115.97999477629099</v>
      </c>
      <c r="AI338" s="6">
        <f>H361</f>
        <v>115.68776613125171</v>
      </c>
      <c r="AL338" s="6">
        <f>K361</f>
        <v>115.5360727733087</v>
      </c>
      <c r="AO338" s="6">
        <f>N361</f>
        <v>115.051358787382</v>
      </c>
      <c r="AR338" s="6">
        <f>Q361</f>
        <v>114.04079735172429</v>
      </c>
      <c r="AU338" s="6">
        <f>T361</f>
        <v>113.2082579102948</v>
      </c>
      <c r="AX338" s="6">
        <f>W361</f>
        <v>112.6698309452093</v>
      </c>
      <c r="BA338" s="6">
        <f>Z361</f>
        <v>112.4422249103109</v>
      </c>
    </row>
    <row r="339" spans="1:53" outlineLevel="1" x14ac:dyDescent="0.35">
      <c r="A339" s="6" t="s">
        <v>31</v>
      </c>
      <c r="B339" s="6">
        <f t="shared" si="38"/>
        <v>78.737095426987352</v>
      </c>
      <c r="AB339" s="6" t="s">
        <v>797</v>
      </c>
      <c r="AC339" s="6">
        <f>B365</f>
        <v>377.19276360660405</v>
      </c>
      <c r="AD339" s="6">
        <f t="shared" ref="AD339:BA339" si="39">C365</f>
        <v>377.19276360660405</v>
      </c>
      <c r="AE339" s="6">
        <f t="shared" si="39"/>
        <v>377.19276360660405</v>
      </c>
      <c r="AF339" s="6">
        <f t="shared" si="39"/>
        <v>377.19276360660405</v>
      </c>
      <c r="AG339" s="6">
        <f t="shared" si="39"/>
        <v>377.19276360660405</v>
      </c>
      <c r="AH339" s="6">
        <f t="shared" si="39"/>
        <v>377.19276360660405</v>
      </c>
      <c r="AI339" s="6">
        <f t="shared" si="39"/>
        <v>377.19276360660405</v>
      </c>
      <c r="AJ339" s="6">
        <f t="shared" si="39"/>
        <v>377.19276360660405</v>
      </c>
      <c r="AK339" s="6">
        <f t="shared" si="39"/>
        <v>377.19276360660405</v>
      </c>
      <c r="AL339" s="6">
        <f t="shared" si="39"/>
        <v>377.19276360660405</v>
      </c>
      <c r="AM339" s="6">
        <f t="shared" si="39"/>
        <v>377.19276360660405</v>
      </c>
      <c r="AN339" s="6">
        <f t="shared" si="39"/>
        <v>377.19276360660405</v>
      </c>
      <c r="AO339" s="6">
        <f t="shared" si="39"/>
        <v>377.19276360660405</v>
      </c>
      <c r="AP339" s="6">
        <f t="shared" si="39"/>
        <v>377.19276360660405</v>
      </c>
      <c r="AQ339" s="6">
        <f t="shared" si="39"/>
        <v>377.19276360660405</v>
      </c>
      <c r="AR339" s="6">
        <f t="shared" si="39"/>
        <v>377.19276360660405</v>
      </c>
      <c r="AS339" s="6">
        <f t="shared" si="39"/>
        <v>377.19276360660405</v>
      </c>
      <c r="AT339" s="6">
        <f t="shared" si="39"/>
        <v>377.19276360660405</v>
      </c>
      <c r="AU339" s="6">
        <f t="shared" si="39"/>
        <v>377.19276360660405</v>
      </c>
      <c r="AV339" s="6">
        <f t="shared" si="39"/>
        <v>377.19276360660405</v>
      </c>
      <c r="AW339" s="6">
        <f t="shared" si="39"/>
        <v>377.19276360660405</v>
      </c>
      <c r="AX339" s="6">
        <f t="shared" si="39"/>
        <v>377.19276360660405</v>
      </c>
      <c r="AY339" s="6">
        <f t="shared" si="39"/>
        <v>377.19276360660405</v>
      </c>
      <c r="AZ339" s="6">
        <f t="shared" si="39"/>
        <v>377.19276360660405</v>
      </c>
      <c r="BA339" s="6">
        <f t="shared" si="39"/>
        <v>377.19276360660405</v>
      </c>
    </row>
    <row r="340" spans="1:53" outlineLevel="1" x14ac:dyDescent="0.35">
      <c r="A340" s="6" t="s">
        <v>34</v>
      </c>
      <c r="B340" s="6">
        <f t="shared" si="38"/>
        <v>51.732502787849143</v>
      </c>
      <c r="AB340" s="6" t="s">
        <v>122</v>
      </c>
      <c r="AC340" s="6">
        <f t="shared" ref="AC340:AV340" si="40">B364+B363</f>
        <v>348.56147976451734</v>
      </c>
      <c r="AD340" s="6">
        <f t="shared" si="40"/>
        <v>347.78161576643151</v>
      </c>
      <c r="AE340" s="6">
        <f t="shared" si="40"/>
        <v>346.96707769689681</v>
      </c>
      <c r="AF340" s="6">
        <f t="shared" si="40"/>
        <v>342.71669555697565</v>
      </c>
      <c r="AG340" s="6">
        <f t="shared" si="40"/>
        <v>341.84614592605539</v>
      </c>
      <c r="AH340" s="6">
        <f t="shared" si="40"/>
        <v>340.92881893230458</v>
      </c>
      <c r="AI340" s="6">
        <f t="shared" si="40"/>
        <v>340.28415514373773</v>
      </c>
      <c r="AJ340" s="6">
        <f t="shared" si="40"/>
        <v>339.77048445935407</v>
      </c>
      <c r="AK340" s="6">
        <f t="shared" si="40"/>
        <v>336.97822645547035</v>
      </c>
      <c r="AL340" s="6">
        <f t="shared" si="40"/>
        <v>336.54337773680487</v>
      </c>
      <c r="AM340" s="6">
        <f t="shared" si="40"/>
        <v>336.09266754089208</v>
      </c>
      <c r="AN340" s="6">
        <f t="shared" si="40"/>
        <v>334.71514751947217</v>
      </c>
      <c r="AO340" s="6">
        <f t="shared" si="40"/>
        <v>333.35065021583739</v>
      </c>
      <c r="AP340" s="6">
        <f t="shared" si="40"/>
        <v>331.34728817366829</v>
      </c>
      <c r="AQ340" s="6">
        <f t="shared" si="40"/>
        <v>330.01512877403701</v>
      </c>
      <c r="AR340" s="6">
        <f t="shared" si="40"/>
        <v>328.68918514078337</v>
      </c>
      <c r="AS340" s="6">
        <f t="shared" si="40"/>
        <v>327.46971764318869</v>
      </c>
      <c r="AT340" s="6">
        <f t="shared" si="40"/>
        <v>326.26684310074495</v>
      </c>
      <c r="AU340" s="6">
        <f t="shared" si="40"/>
        <v>324.46167476956253</v>
      </c>
      <c r="AV340" s="6">
        <f t="shared" si="40"/>
        <v>323.30634052463756</v>
      </c>
      <c r="AW340" s="6">
        <f>V364</f>
        <v>322.15472985367609</v>
      </c>
      <c r="AX340" s="6">
        <f>W364</f>
        <v>321.86997417078425</v>
      </c>
      <c r="AY340" s="6">
        <f>X364</f>
        <v>321.58951118835199</v>
      </c>
      <c r="AZ340" s="6">
        <f>Y364</f>
        <v>321.31245574126871</v>
      </c>
      <c r="BA340" s="6">
        <f>Z364</f>
        <v>321.03853156449065</v>
      </c>
    </row>
    <row r="341" spans="1:53" outlineLevel="1" x14ac:dyDescent="0.35">
      <c r="A341" s="6" t="s">
        <v>36</v>
      </c>
      <c r="B341" s="6">
        <f t="shared" si="38"/>
        <v>60.007332536569692</v>
      </c>
      <c r="AB341" s="6" t="s">
        <v>123</v>
      </c>
      <c r="AC341" s="6">
        <f t="shared" ref="AC341:BA341" si="41">B362</f>
        <v>94.976825994675295</v>
      </c>
      <c r="AD341" s="6">
        <f t="shared" si="41"/>
        <v>94.097471435993455</v>
      </c>
      <c r="AE341" s="6">
        <f t="shared" si="41"/>
        <v>93.221300331768347</v>
      </c>
      <c r="AF341" s="6">
        <f t="shared" si="41"/>
        <v>92.148946675468551</v>
      </c>
      <c r="AG341" s="6">
        <f t="shared" si="41"/>
        <v>91.280019644828101</v>
      </c>
      <c r="AH341" s="6">
        <f t="shared" si="41"/>
        <v>90.414088910564899</v>
      </c>
      <c r="AI341" s="6">
        <f t="shared" si="41"/>
        <v>90.142773553902458</v>
      </c>
      <c r="AJ341" s="6">
        <f t="shared" si="41"/>
        <v>89.867007724362807</v>
      </c>
      <c r="AK341" s="6">
        <f t="shared" si="41"/>
        <v>89.415845887177142</v>
      </c>
      <c r="AL341" s="6">
        <f t="shared" si="41"/>
        <v>89.124743896079295</v>
      </c>
      <c r="AM341" s="6">
        <f t="shared" si="41"/>
        <v>88.82665506573575</v>
      </c>
      <c r="AN341" s="6">
        <f t="shared" si="41"/>
        <v>88.239885432371608</v>
      </c>
      <c r="AO341" s="6">
        <f t="shared" si="41"/>
        <v>87.643399208401647</v>
      </c>
      <c r="AP341" s="6">
        <f t="shared" si="41"/>
        <v>86.996428751845798</v>
      </c>
      <c r="AQ341" s="6">
        <f t="shared" si="41"/>
        <v>86.381118084955958</v>
      </c>
      <c r="AR341" s="6">
        <f t="shared" si="41"/>
        <v>85.756228166984002</v>
      </c>
      <c r="AS341" s="6">
        <f t="shared" si="41"/>
        <v>86.377985183194454</v>
      </c>
      <c r="AT341" s="6">
        <f t="shared" si="41"/>
        <v>86.992889735464999</v>
      </c>
      <c r="AU341" s="6">
        <f t="shared" si="41"/>
        <v>87.561012844627555</v>
      </c>
      <c r="AV341" s="6">
        <f t="shared" si="41"/>
        <v>88.162451054308306</v>
      </c>
      <c r="AW341" s="6">
        <f t="shared" si="41"/>
        <v>88.757181669407601</v>
      </c>
      <c r="AX341" s="6">
        <f t="shared" si="41"/>
        <v>87.822038374945549</v>
      </c>
      <c r="AY341" s="6">
        <f t="shared" si="41"/>
        <v>86.891330237591703</v>
      </c>
      <c r="AZ341" s="6">
        <f t="shared" si="41"/>
        <v>85.959814697121857</v>
      </c>
      <c r="BA341" s="6">
        <f t="shared" si="41"/>
        <v>85.027340577557396</v>
      </c>
    </row>
    <row r="342" spans="1:53" outlineLevel="1" x14ac:dyDescent="0.35">
      <c r="A342" s="6" t="s">
        <v>38</v>
      </c>
      <c r="B342" s="6">
        <f t="shared" si="38"/>
        <v>665.92266488225209</v>
      </c>
      <c r="AB342" s="6" t="s">
        <v>124</v>
      </c>
      <c r="AC342" s="6">
        <f>-$AC$323*$AC$324</f>
        <v>0</v>
      </c>
      <c r="AD342" s="6">
        <f t="shared" ref="AD342:BA342" si="42">-$AC$323*$AC$324</f>
        <v>0</v>
      </c>
      <c r="AE342" s="6">
        <f t="shared" si="42"/>
        <v>0</v>
      </c>
      <c r="AF342" s="6">
        <f t="shared" si="42"/>
        <v>0</v>
      </c>
      <c r="AG342" s="6">
        <f t="shared" si="42"/>
        <v>0</v>
      </c>
      <c r="AH342" s="6">
        <f t="shared" si="42"/>
        <v>0</v>
      </c>
      <c r="AI342" s="6">
        <f t="shared" si="42"/>
        <v>0</v>
      </c>
      <c r="AJ342" s="6">
        <f t="shared" si="42"/>
        <v>0</v>
      </c>
      <c r="AK342" s="6">
        <f t="shared" si="42"/>
        <v>0</v>
      </c>
      <c r="AL342" s="6">
        <f t="shared" si="42"/>
        <v>0</v>
      </c>
      <c r="AM342" s="6">
        <f t="shared" si="42"/>
        <v>0</v>
      </c>
      <c r="AN342" s="6">
        <f t="shared" si="42"/>
        <v>0</v>
      </c>
      <c r="AO342" s="6">
        <f t="shared" si="42"/>
        <v>0</v>
      </c>
      <c r="AP342" s="6">
        <f t="shared" si="42"/>
        <v>0</v>
      </c>
      <c r="AQ342" s="6">
        <f t="shared" si="42"/>
        <v>0</v>
      </c>
      <c r="AR342" s="6">
        <f t="shared" si="42"/>
        <v>0</v>
      </c>
      <c r="AS342" s="6">
        <f t="shared" si="42"/>
        <v>0</v>
      </c>
      <c r="AT342" s="6">
        <f t="shared" si="42"/>
        <v>0</v>
      </c>
      <c r="AU342" s="6">
        <f t="shared" si="42"/>
        <v>0</v>
      </c>
      <c r="AV342" s="6">
        <f t="shared" si="42"/>
        <v>0</v>
      </c>
      <c r="AW342" s="6">
        <f t="shared" si="42"/>
        <v>0</v>
      </c>
      <c r="AX342" s="6">
        <f t="shared" si="42"/>
        <v>0</v>
      </c>
      <c r="AY342" s="6">
        <f t="shared" si="42"/>
        <v>0</v>
      </c>
      <c r="AZ342" s="6">
        <f t="shared" si="42"/>
        <v>0</v>
      </c>
      <c r="BA342" s="6">
        <f t="shared" si="42"/>
        <v>0</v>
      </c>
    </row>
    <row r="343" spans="1:53" outlineLevel="1" x14ac:dyDescent="0.35">
      <c r="A343" s="6" t="s">
        <v>39</v>
      </c>
      <c r="B343" s="6">
        <f t="shared" si="38"/>
        <v>681.17766622519434</v>
      </c>
      <c r="AB343" s="23" t="s">
        <v>125</v>
      </c>
      <c r="AC343" s="17">
        <f t="shared" ref="AC343:BA343" si="43">SUM(AC334:AC342)</f>
        <v>3848.7728536622349</v>
      </c>
      <c r="AD343" s="17">
        <f t="shared" si="43"/>
        <v>819.07185080902912</v>
      </c>
      <c r="AE343" s="17">
        <f t="shared" si="43"/>
        <v>817.38114163526916</v>
      </c>
      <c r="AF343" s="17">
        <f t="shared" si="43"/>
        <v>928.03840061533924</v>
      </c>
      <c r="AG343" s="17">
        <f t="shared" si="43"/>
        <v>810.31892917748758</v>
      </c>
      <c r="AH343" s="17">
        <f t="shared" si="43"/>
        <v>808.53567144947351</v>
      </c>
      <c r="AI343" s="17">
        <f t="shared" si="43"/>
        <v>923.30745843549596</v>
      </c>
      <c r="AJ343" s="17">
        <f t="shared" si="43"/>
        <v>806.83025579032096</v>
      </c>
      <c r="AK343" s="17">
        <f t="shared" si="43"/>
        <v>803.58683594925162</v>
      </c>
      <c r="AL343" s="17">
        <f t="shared" si="43"/>
        <v>918.39695801279686</v>
      </c>
      <c r="AM343" s="17">
        <f t="shared" si="43"/>
        <v>802.11208621323192</v>
      </c>
      <c r="AN343" s="17">
        <f t="shared" si="43"/>
        <v>800.14779655844779</v>
      </c>
      <c r="AO343" s="17">
        <f t="shared" si="43"/>
        <v>913.23817181822506</v>
      </c>
      <c r="AP343" s="17">
        <f t="shared" si="43"/>
        <v>795.53648053211805</v>
      </c>
      <c r="AQ343" s="17">
        <f t="shared" si="43"/>
        <v>793.58901046559697</v>
      </c>
      <c r="AR343" s="17">
        <f t="shared" si="43"/>
        <v>905.67897426609568</v>
      </c>
      <c r="AS343" s="17">
        <f t="shared" si="43"/>
        <v>791.04046643298727</v>
      </c>
      <c r="AT343" s="17">
        <f t="shared" si="43"/>
        <v>790.45249644281398</v>
      </c>
      <c r="AU343" s="17">
        <f t="shared" si="43"/>
        <v>902.42370913108903</v>
      </c>
      <c r="AV343" s="17">
        <f t="shared" si="43"/>
        <v>788.66155518555001</v>
      </c>
      <c r="AW343" s="17">
        <f t="shared" si="43"/>
        <v>788.10467512968773</v>
      </c>
      <c r="AX343" s="17">
        <f t="shared" si="43"/>
        <v>899.55460709754311</v>
      </c>
      <c r="AY343" s="17">
        <f t="shared" si="43"/>
        <v>785.6736050325477</v>
      </c>
      <c r="AZ343" s="17">
        <f t="shared" si="43"/>
        <v>784.46503404499458</v>
      </c>
      <c r="BA343" s="17">
        <f t="shared" si="43"/>
        <v>938.16903378339703</v>
      </c>
    </row>
    <row r="344" spans="1:53" outlineLevel="1" x14ac:dyDescent="0.35">
      <c r="A344" s="6" t="s">
        <v>41</v>
      </c>
      <c r="B344" s="6">
        <f t="shared" si="38"/>
        <v>53.558479659252633</v>
      </c>
    </row>
    <row r="345" spans="1:53" outlineLevel="1" x14ac:dyDescent="0.35">
      <c r="A345" s="6" t="s">
        <v>43</v>
      </c>
      <c r="B345" s="6">
        <f t="shared" si="38"/>
        <v>73.237308146846516</v>
      </c>
      <c r="AB345" s="272"/>
      <c r="AC345" s="272"/>
      <c r="AD345" s="272"/>
      <c r="AE345" s="272"/>
      <c r="AF345" s="272"/>
      <c r="AG345" s="272"/>
      <c r="AH345" s="272"/>
      <c r="AI345" s="272"/>
      <c r="AJ345" s="272"/>
      <c r="AK345" s="272"/>
      <c r="AL345" s="272"/>
      <c r="AM345" s="272"/>
      <c r="AN345" s="272"/>
      <c r="AO345" s="272"/>
      <c r="AP345" s="272"/>
      <c r="AQ345" s="272"/>
      <c r="AR345" s="272"/>
      <c r="AS345" s="272"/>
      <c r="AT345" s="272"/>
      <c r="AU345" s="272"/>
      <c r="AV345" s="272"/>
      <c r="AW345" s="272"/>
      <c r="AX345" s="272"/>
      <c r="AY345" s="272"/>
      <c r="AZ345" s="272"/>
      <c r="BA345" s="272"/>
    </row>
    <row r="346" spans="1:53" outlineLevel="1" x14ac:dyDescent="0.35">
      <c r="A346" s="6" t="s">
        <v>44</v>
      </c>
      <c r="B346" s="6">
        <f>B62*AC325</f>
        <v>133.9245303304485</v>
      </c>
      <c r="AB346" s="272"/>
      <c r="AC346" s="272"/>
      <c r="AD346" s="272"/>
      <c r="AE346" s="272"/>
      <c r="AF346" s="272"/>
      <c r="AG346" s="272"/>
      <c r="AH346" s="272"/>
      <c r="AI346" s="272"/>
      <c r="AJ346" s="272"/>
      <c r="AK346" s="272"/>
      <c r="AL346" s="272"/>
      <c r="AM346" s="272"/>
      <c r="AN346" s="272"/>
      <c r="AO346" s="272"/>
      <c r="AP346" s="272"/>
      <c r="AQ346" s="272"/>
      <c r="AR346" s="272"/>
      <c r="AS346" s="272"/>
      <c r="AT346" s="272"/>
      <c r="AU346" s="272"/>
      <c r="AV346" s="272"/>
      <c r="AW346" s="272"/>
      <c r="AX346" s="272"/>
      <c r="AY346" s="272"/>
      <c r="AZ346" s="272"/>
      <c r="BA346" s="272"/>
    </row>
    <row r="347" spans="1:53" outlineLevel="1" x14ac:dyDescent="0.35">
      <c r="A347" s="6" t="s">
        <v>757</v>
      </c>
      <c r="B347" s="6">
        <f>B63*AC325</f>
        <v>46.61927357050206</v>
      </c>
      <c r="AB347" s="272"/>
      <c r="AC347" s="272"/>
      <c r="AD347" s="272"/>
      <c r="AE347" s="272"/>
      <c r="AF347" s="272"/>
      <c r="AG347" s="272"/>
      <c r="AH347" s="272"/>
      <c r="AI347" s="272"/>
      <c r="AJ347" s="272"/>
      <c r="AK347" s="272"/>
      <c r="AL347" s="272"/>
      <c r="AM347" s="272"/>
      <c r="AN347" s="272"/>
      <c r="AO347" s="272"/>
      <c r="AP347" s="272"/>
      <c r="AQ347" s="272"/>
      <c r="AR347" s="272"/>
      <c r="AS347" s="272"/>
      <c r="AT347" s="272"/>
      <c r="AU347" s="272"/>
      <c r="AV347" s="272"/>
      <c r="AW347" s="272"/>
      <c r="AX347" s="272"/>
      <c r="AY347" s="272"/>
      <c r="AZ347" s="272"/>
      <c r="BA347" s="272"/>
    </row>
    <row r="348" spans="1:53" outlineLevel="1" x14ac:dyDescent="0.35">
      <c r="A348" s="6" t="s">
        <v>22</v>
      </c>
      <c r="Z348" s="6">
        <f>Z64</f>
        <v>0.32238240937958129</v>
      </c>
      <c r="AB348" s="272"/>
      <c r="AC348" s="272"/>
      <c r="AD348" s="272"/>
      <c r="AE348" s="272"/>
      <c r="AF348" s="272"/>
      <c r="AG348" s="272"/>
      <c r="AH348" s="272"/>
      <c r="AI348" s="272"/>
      <c r="AJ348" s="272"/>
      <c r="AK348" s="272"/>
      <c r="AL348" s="272"/>
      <c r="AM348" s="272"/>
      <c r="AN348" s="272"/>
      <c r="AO348" s="272"/>
      <c r="AP348" s="272"/>
      <c r="AQ348" s="272"/>
      <c r="AR348" s="272"/>
      <c r="AS348" s="272"/>
      <c r="AT348" s="272"/>
      <c r="AU348" s="272"/>
      <c r="AV348" s="272"/>
      <c r="AW348" s="272"/>
      <c r="AX348" s="272"/>
      <c r="AY348" s="272"/>
      <c r="AZ348" s="272"/>
      <c r="BA348" s="272"/>
    </row>
    <row r="349" spans="1:53" outlineLevel="1" x14ac:dyDescent="0.35">
      <c r="A349" s="6" t="s">
        <v>24</v>
      </c>
      <c r="Z349" s="6">
        <f t="shared" ref="Z349:Z359" si="44">Z65</f>
        <v>0.35837727434107558</v>
      </c>
      <c r="AB349" s="272"/>
      <c r="AC349" s="272"/>
      <c r="AD349" s="272"/>
      <c r="AE349" s="272"/>
      <c r="AF349" s="272"/>
      <c r="AG349" s="272"/>
      <c r="AH349" s="272"/>
      <c r="AI349" s="272"/>
      <c r="AJ349" s="272"/>
      <c r="AK349" s="272"/>
      <c r="AL349" s="272"/>
      <c r="AM349" s="272"/>
      <c r="AN349" s="272"/>
      <c r="AO349" s="272"/>
      <c r="AP349" s="272"/>
      <c r="AQ349" s="272"/>
      <c r="AR349" s="272"/>
      <c r="AS349" s="272"/>
      <c r="AT349" s="272"/>
      <c r="AU349" s="272"/>
      <c r="AV349" s="272"/>
      <c r="AW349" s="272"/>
      <c r="AX349" s="272"/>
      <c r="AY349" s="272"/>
      <c r="AZ349" s="272"/>
      <c r="BA349" s="272"/>
    </row>
    <row r="350" spans="1:53" outlineLevel="1" x14ac:dyDescent="0.35">
      <c r="A350" s="6" t="s">
        <v>25</v>
      </c>
      <c r="Z350" s="6">
        <f t="shared" si="44"/>
        <v>1.6318222409314349</v>
      </c>
      <c r="AB350" s="272"/>
      <c r="AC350" s="272"/>
      <c r="AD350" s="272"/>
      <c r="AE350" s="272"/>
      <c r="AF350" s="272"/>
      <c r="AG350" s="272"/>
      <c r="AH350" s="272"/>
      <c r="AI350" s="272"/>
      <c r="AJ350" s="272"/>
      <c r="AK350" s="272"/>
      <c r="AL350" s="272"/>
      <c r="AM350" s="272"/>
      <c r="AN350" s="272"/>
      <c r="AO350" s="272"/>
      <c r="AP350" s="272"/>
      <c r="AQ350" s="272"/>
      <c r="AR350" s="272"/>
      <c r="AS350" s="272"/>
      <c r="AT350" s="272"/>
      <c r="AU350" s="272"/>
      <c r="AV350" s="272"/>
      <c r="AW350" s="272"/>
      <c r="AX350" s="272"/>
      <c r="AY350" s="272"/>
      <c r="AZ350" s="272"/>
      <c r="BA350" s="272"/>
    </row>
    <row r="351" spans="1:53" outlineLevel="1" x14ac:dyDescent="0.35">
      <c r="A351" s="6" t="s">
        <v>27</v>
      </c>
      <c r="Z351" s="6">
        <f t="shared" si="44"/>
        <v>0.99741271479110116</v>
      </c>
      <c r="AB351" s="272"/>
      <c r="AC351" s="272"/>
      <c r="AD351" s="272"/>
      <c r="AE351" s="272"/>
      <c r="AF351" s="272"/>
      <c r="AG351" s="272"/>
      <c r="AH351" s="272"/>
      <c r="AI351" s="272"/>
      <c r="AJ351" s="272"/>
      <c r="AK351" s="272"/>
      <c r="AL351" s="272"/>
      <c r="AM351" s="272"/>
      <c r="AN351" s="272"/>
      <c r="AO351" s="272"/>
      <c r="AP351" s="272"/>
      <c r="AQ351" s="272"/>
      <c r="AR351" s="272"/>
      <c r="AS351" s="272"/>
      <c r="AT351" s="272"/>
      <c r="AU351" s="272"/>
      <c r="AV351" s="272"/>
      <c r="AW351" s="272"/>
      <c r="AX351" s="272"/>
      <c r="AY351" s="272"/>
      <c r="AZ351" s="272"/>
      <c r="BA351" s="272"/>
    </row>
    <row r="352" spans="1:53" outlineLevel="1" x14ac:dyDescent="0.35">
      <c r="A352" s="6" t="s">
        <v>30</v>
      </c>
      <c r="Z352" s="6">
        <f t="shared" si="44"/>
        <v>0.3955535997984968</v>
      </c>
      <c r="AB352" s="272"/>
      <c r="AC352" s="272"/>
      <c r="AD352" s="272"/>
      <c r="AE352" s="272"/>
      <c r="AF352" s="272"/>
      <c r="AG352" s="272"/>
      <c r="AH352" s="272"/>
      <c r="AI352" s="272"/>
      <c r="AJ352" s="272"/>
      <c r="AK352" s="272"/>
      <c r="AL352" s="272"/>
      <c r="AM352" s="272"/>
      <c r="AN352" s="272"/>
      <c r="AO352" s="272"/>
      <c r="AP352" s="272"/>
      <c r="AQ352" s="272"/>
      <c r="AR352" s="272"/>
      <c r="AS352" s="272"/>
      <c r="AT352" s="272"/>
      <c r="AU352" s="272"/>
      <c r="AV352" s="272"/>
      <c r="AW352" s="272"/>
      <c r="AX352" s="272"/>
      <c r="AY352" s="272"/>
      <c r="AZ352" s="272"/>
      <c r="BA352" s="272"/>
    </row>
    <row r="353" spans="1:53" outlineLevel="1" x14ac:dyDescent="0.35">
      <c r="A353" s="6" t="s">
        <v>32</v>
      </c>
      <c r="Z353" s="6">
        <f t="shared" si="44"/>
        <v>0.17717501669208749</v>
      </c>
      <c r="AB353" s="272"/>
      <c r="AC353" s="272"/>
      <c r="AD353" s="272"/>
      <c r="AE353" s="272"/>
      <c r="AF353" s="272"/>
      <c r="AG353" s="272"/>
      <c r="AH353" s="272"/>
      <c r="AI353" s="272"/>
      <c r="AJ353" s="272"/>
      <c r="AK353" s="272"/>
      <c r="AL353" s="272"/>
      <c r="AM353" s="272"/>
      <c r="AN353" s="272"/>
      <c r="AO353" s="272"/>
      <c r="AP353" s="272"/>
      <c r="AQ353" s="272"/>
      <c r="AR353" s="272"/>
      <c r="AS353" s="272"/>
      <c r="AT353" s="272"/>
      <c r="AU353" s="272"/>
      <c r="AV353" s="272"/>
      <c r="AW353" s="272"/>
      <c r="AX353" s="272"/>
      <c r="AY353" s="272"/>
      <c r="AZ353" s="272"/>
      <c r="BA353" s="272"/>
    </row>
    <row r="354" spans="1:53" outlineLevel="1" x14ac:dyDescent="0.35">
      <c r="A354" s="6" t="s">
        <v>33</v>
      </c>
      <c r="Z354" s="6">
        <f t="shared" si="44"/>
        <v>0.10220414506967419</v>
      </c>
      <c r="AB354" s="272"/>
      <c r="AC354" s="272"/>
      <c r="AD354" s="272"/>
      <c r="AE354" s="272"/>
      <c r="AF354" s="272"/>
      <c r="AG354" s="272"/>
      <c r="AH354" s="272"/>
      <c r="AI354" s="272"/>
      <c r="AJ354" s="272"/>
      <c r="AK354" s="272"/>
      <c r="AL354" s="272"/>
      <c r="AM354" s="272"/>
      <c r="AN354" s="272"/>
      <c r="AO354" s="272"/>
      <c r="AP354" s="272"/>
      <c r="AQ354" s="272"/>
      <c r="AR354" s="272"/>
      <c r="AS354" s="272"/>
      <c r="AT354" s="272"/>
      <c r="AU354" s="272"/>
      <c r="AV354" s="272"/>
      <c r="AW354" s="272"/>
      <c r="AX354" s="272"/>
      <c r="AY354" s="272"/>
      <c r="AZ354" s="272"/>
      <c r="BA354" s="272"/>
    </row>
    <row r="355" spans="1:53" outlineLevel="1" x14ac:dyDescent="0.35">
      <c r="A355" s="6" t="s">
        <v>35</v>
      </c>
      <c r="Z355" s="6">
        <f t="shared" si="44"/>
        <v>0.20440829013934839</v>
      </c>
      <c r="AB355" s="272"/>
      <c r="AC355" s="272"/>
      <c r="AD355" s="272"/>
      <c r="AE355" s="272"/>
      <c r="AF355" s="272"/>
      <c r="AG355" s="272"/>
      <c r="AH355" s="272"/>
      <c r="AI355" s="272"/>
      <c r="AJ355" s="272"/>
      <c r="AK355" s="272"/>
      <c r="AL355" s="272"/>
      <c r="AM355" s="272"/>
      <c r="AN355" s="272"/>
      <c r="AO355" s="272"/>
      <c r="AP355" s="272"/>
      <c r="AQ355" s="272"/>
      <c r="AR355" s="272"/>
      <c r="AS355" s="272"/>
      <c r="AT355" s="272"/>
      <c r="AU355" s="272"/>
      <c r="AV355" s="272"/>
      <c r="AW355" s="272"/>
      <c r="AX355" s="272"/>
      <c r="AY355" s="272"/>
      <c r="AZ355" s="272"/>
      <c r="BA355" s="272"/>
    </row>
    <row r="356" spans="1:53" outlineLevel="1" x14ac:dyDescent="0.35">
      <c r="A356" s="6" t="s">
        <v>37</v>
      </c>
      <c r="Z356" s="6">
        <f t="shared" si="44"/>
        <v>3.022842925402534</v>
      </c>
      <c r="AB356" s="272"/>
      <c r="AC356" s="272"/>
      <c r="AD356" s="272"/>
      <c r="AE356" s="272"/>
      <c r="AF356" s="272"/>
      <c r="AG356" s="272"/>
      <c r="AH356" s="272"/>
      <c r="AI356" s="272"/>
      <c r="AJ356" s="272"/>
      <c r="AK356" s="272"/>
      <c r="AL356" s="272"/>
      <c r="AM356" s="272"/>
      <c r="AN356" s="272"/>
      <c r="AO356" s="272"/>
      <c r="AP356" s="272"/>
      <c r="AQ356" s="272"/>
      <c r="AR356" s="272"/>
      <c r="AS356" s="272"/>
      <c r="AT356" s="272"/>
      <c r="AU356" s="272"/>
      <c r="AV356" s="272"/>
      <c r="AW356" s="272"/>
      <c r="AX356" s="272"/>
      <c r="AY356" s="272"/>
      <c r="AZ356" s="272"/>
      <c r="BA356" s="272"/>
    </row>
    <row r="357" spans="1:53" outlineLevel="1" x14ac:dyDescent="0.35">
      <c r="A357" s="6" t="s">
        <v>40</v>
      </c>
      <c r="Z357" s="6">
        <f t="shared" si="44"/>
        <v>1.4016389183975979</v>
      </c>
    </row>
    <row r="358" spans="1:53" outlineLevel="1" x14ac:dyDescent="0.35">
      <c r="A358" s="6" t="s">
        <v>42</v>
      </c>
      <c r="Z358" s="6">
        <f t="shared" si="44"/>
        <v>3.7438994184695842</v>
      </c>
    </row>
    <row r="359" spans="1:53" outlineLevel="1" x14ac:dyDescent="0.35">
      <c r="A359" s="6" t="s">
        <v>115</v>
      </c>
      <c r="Z359" s="6">
        <f t="shared" si="44"/>
        <v>29.462326130882719</v>
      </c>
    </row>
    <row r="360" spans="1:53" outlineLevel="1" x14ac:dyDescent="0.35">
      <c r="A360" s="6" t="s">
        <v>45</v>
      </c>
      <c r="Z360" s="6">
        <f>Z76*AC325</f>
        <v>0.64813004013877373</v>
      </c>
    </row>
    <row r="361" spans="1:53" outlineLevel="1" x14ac:dyDescent="0.35">
      <c r="A361" s="6" t="s">
        <v>116</v>
      </c>
      <c r="B361" s="6">
        <f>B77</f>
        <v>117.2508960880117</v>
      </c>
      <c r="C361" s="6">
        <f t="shared" ref="C361:Z361" si="45">C77</f>
        <v>117.05842109886321</v>
      </c>
      <c r="D361" s="6">
        <f t="shared" si="45"/>
        <v>116.8636437618317</v>
      </c>
      <c r="E361" s="6">
        <f t="shared" si="45"/>
        <v>115.97999477629099</v>
      </c>
      <c r="F361" s="6">
        <f t="shared" si="45"/>
        <v>115.7831833870675</v>
      </c>
      <c r="G361" s="6">
        <f t="shared" si="45"/>
        <v>115.58385485205029</v>
      </c>
      <c r="H361" s="6">
        <f t="shared" si="45"/>
        <v>115.68776613125171</v>
      </c>
      <c r="I361" s="6">
        <f t="shared" si="45"/>
        <v>115.7914768762525</v>
      </c>
      <c r="J361" s="6">
        <f t="shared" si="45"/>
        <v>115.429473571918</v>
      </c>
      <c r="K361" s="6">
        <f t="shared" si="45"/>
        <v>115.5360727733087</v>
      </c>
      <c r="L361" s="6">
        <f t="shared" si="45"/>
        <v>115.6408906112827</v>
      </c>
      <c r="M361" s="6">
        <f t="shared" si="45"/>
        <v>115.3455752054013</v>
      </c>
      <c r="N361" s="6">
        <f t="shared" si="45"/>
        <v>115.051358787382</v>
      </c>
      <c r="O361" s="6">
        <f t="shared" si="45"/>
        <v>114.61897450534229</v>
      </c>
      <c r="P361" s="6">
        <f t="shared" si="45"/>
        <v>114.3294075695038</v>
      </c>
      <c r="Q361" s="6">
        <f t="shared" si="45"/>
        <v>114.04079735172429</v>
      </c>
      <c r="R361" s="6">
        <f t="shared" si="45"/>
        <v>113.80650405097479</v>
      </c>
      <c r="S361" s="6">
        <f t="shared" si="45"/>
        <v>113.5726812825028</v>
      </c>
      <c r="T361" s="6">
        <f t="shared" si="45"/>
        <v>113.2082579102948</v>
      </c>
      <c r="U361" s="6">
        <f t="shared" si="45"/>
        <v>112.9774404236322</v>
      </c>
      <c r="V361" s="6">
        <f t="shared" si="45"/>
        <v>112.74702549637411</v>
      </c>
      <c r="W361" s="6">
        <f t="shared" si="45"/>
        <v>112.6698309452093</v>
      </c>
      <c r="X361" s="6">
        <f t="shared" si="45"/>
        <v>112.5934051175214</v>
      </c>
      <c r="Y361" s="6">
        <f t="shared" si="45"/>
        <v>112.5175442583955</v>
      </c>
      <c r="Z361" s="6">
        <f t="shared" si="45"/>
        <v>112.4422249103109</v>
      </c>
    </row>
    <row r="362" spans="1:53" outlineLevel="1" x14ac:dyDescent="0.35">
      <c r="A362" s="6" t="s">
        <v>758</v>
      </c>
      <c r="B362" s="6">
        <f>B78*$AC$325</f>
        <v>94.976825994675295</v>
      </c>
      <c r="C362" s="6">
        <f t="shared" ref="C362:Z363" si="46">C78*$AC$325</f>
        <v>94.097471435993455</v>
      </c>
      <c r="D362" s="6">
        <f t="shared" si="46"/>
        <v>93.221300331768347</v>
      </c>
      <c r="E362" s="6">
        <f t="shared" si="46"/>
        <v>92.148946675468551</v>
      </c>
      <c r="F362" s="6">
        <f t="shared" si="46"/>
        <v>91.280019644828101</v>
      </c>
      <c r="G362" s="6">
        <f t="shared" si="46"/>
        <v>90.414088910564899</v>
      </c>
      <c r="H362" s="6">
        <f t="shared" si="46"/>
        <v>90.142773553902458</v>
      </c>
      <c r="I362" s="6">
        <f t="shared" si="46"/>
        <v>89.867007724362807</v>
      </c>
      <c r="J362" s="6">
        <f t="shared" si="46"/>
        <v>89.415845887177142</v>
      </c>
      <c r="K362" s="6">
        <f t="shared" si="46"/>
        <v>89.124743896079295</v>
      </c>
      <c r="L362" s="6">
        <f t="shared" si="46"/>
        <v>88.82665506573575</v>
      </c>
      <c r="M362" s="6">
        <f t="shared" si="46"/>
        <v>88.239885432371608</v>
      </c>
      <c r="N362" s="6">
        <f t="shared" si="46"/>
        <v>87.643399208401647</v>
      </c>
      <c r="O362" s="6">
        <f t="shared" si="46"/>
        <v>86.996428751845798</v>
      </c>
      <c r="P362" s="6">
        <f t="shared" si="46"/>
        <v>86.381118084955958</v>
      </c>
      <c r="Q362" s="6">
        <f t="shared" si="46"/>
        <v>85.756228166984002</v>
      </c>
      <c r="R362" s="6">
        <f t="shared" si="46"/>
        <v>86.377985183194454</v>
      </c>
      <c r="S362" s="6">
        <f t="shared" si="46"/>
        <v>86.992889735464999</v>
      </c>
      <c r="T362" s="6">
        <f t="shared" si="46"/>
        <v>87.561012844627555</v>
      </c>
      <c r="U362" s="6">
        <f t="shared" si="46"/>
        <v>88.162451054308306</v>
      </c>
      <c r="V362" s="6">
        <f t="shared" si="46"/>
        <v>88.757181669407601</v>
      </c>
      <c r="W362" s="6">
        <f t="shared" si="46"/>
        <v>87.822038374945549</v>
      </c>
      <c r="X362" s="6">
        <f t="shared" si="46"/>
        <v>86.891330237591703</v>
      </c>
      <c r="Y362" s="6">
        <f t="shared" si="46"/>
        <v>85.959814697121857</v>
      </c>
      <c r="Z362" s="6">
        <f t="shared" si="46"/>
        <v>85.027340577557396</v>
      </c>
    </row>
    <row r="363" spans="1:53" outlineLevel="1" x14ac:dyDescent="0.35">
      <c r="A363" s="6" t="s">
        <v>759</v>
      </c>
      <c r="B363" s="6">
        <f>B79*$AC$325</f>
        <v>0</v>
      </c>
      <c r="C363" s="6">
        <f t="shared" si="46"/>
        <v>0</v>
      </c>
      <c r="D363" s="6">
        <f t="shared" si="46"/>
        <v>0</v>
      </c>
      <c r="E363" s="6">
        <f t="shared" si="46"/>
        <v>0</v>
      </c>
      <c r="F363" s="6">
        <f t="shared" si="46"/>
        <v>0</v>
      </c>
      <c r="G363" s="6">
        <f t="shared" si="46"/>
        <v>0</v>
      </c>
      <c r="H363" s="6">
        <f t="shared" si="46"/>
        <v>0</v>
      </c>
      <c r="I363" s="6">
        <f t="shared" si="46"/>
        <v>0</v>
      </c>
      <c r="J363" s="6">
        <f t="shared" si="46"/>
        <v>0</v>
      </c>
      <c r="K363" s="6">
        <f t="shared" si="46"/>
        <v>0</v>
      </c>
      <c r="L363" s="6">
        <f t="shared" si="46"/>
        <v>0</v>
      </c>
      <c r="M363" s="6">
        <f t="shared" si="46"/>
        <v>0</v>
      </c>
      <c r="N363" s="6">
        <f t="shared" si="46"/>
        <v>0</v>
      </c>
      <c r="O363" s="6">
        <f t="shared" si="46"/>
        <v>0</v>
      </c>
      <c r="P363" s="6">
        <f t="shared" si="46"/>
        <v>0</v>
      </c>
      <c r="Q363" s="6">
        <f t="shared" si="46"/>
        <v>0</v>
      </c>
      <c r="R363" s="6">
        <f t="shared" si="46"/>
        <v>0</v>
      </c>
      <c r="S363" s="6">
        <f t="shared" si="46"/>
        <v>0</v>
      </c>
      <c r="T363" s="6">
        <f t="shared" si="46"/>
        <v>0</v>
      </c>
      <c r="U363" s="6">
        <f t="shared" si="46"/>
        <v>0</v>
      </c>
      <c r="V363" s="6">
        <f t="shared" si="46"/>
        <v>0</v>
      </c>
      <c r="W363" s="6">
        <f t="shared" si="46"/>
        <v>0</v>
      </c>
      <c r="X363" s="6">
        <f t="shared" si="46"/>
        <v>0</v>
      </c>
      <c r="Y363" s="6">
        <f t="shared" si="46"/>
        <v>0</v>
      </c>
      <c r="Z363" s="6">
        <f t="shared" si="46"/>
        <v>0</v>
      </c>
    </row>
    <row r="364" spans="1:53" outlineLevel="1" x14ac:dyDescent="0.35">
      <c r="A364" s="6" t="s">
        <v>760</v>
      </c>
      <c r="B364" s="6">
        <f>$B$252*50*'Results - raw data ReCiPe (I)'!BC121/(1-0.5)*(1+'Results ReCiPe (I) - HHD'!$AC$271/'Results ReCiPe (I) - HHD'!$AC$272-'Results ReCiPe (I) - HHD'!$AC$271)</f>
        <v>348.56147976451734</v>
      </c>
      <c r="C364" s="6">
        <f>$B$252*50*'Results - raw data ReCiPe (I)'!BD121/(1-0.5)*(1+'Results ReCiPe (I) - HHD'!$AC$271/'Results ReCiPe (I) - HHD'!$AC$272-'Results ReCiPe (I) - HHD'!$AC$271)</f>
        <v>347.78161576643151</v>
      </c>
      <c r="D364" s="6">
        <f>$B$252*50*'Results - raw data ReCiPe (I)'!BE121/(1-0.5)*(1+'Results ReCiPe (I) - HHD'!$AC$271/'Results ReCiPe (I) - HHD'!$AC$272-'Results ReCiPe (I) - HHD'!$AC$271)</f>
        <v>346.96707769689681</v>
      </c>
      <c r="E364" s="6">
        <f>$B$252*50*'Results - raw data ReCiPe (I)'!BF121/(1-0.5)*(1+'Results ReCiPe (I) - HHD'!$AC$271/'Results ReCiPe (I) - HHD'!$AC$272-'Results ReCiPe (I) - HHD'!$AC$271)</f>
        <v>342.71669555697565</v>
      </c>
      <c r="F364" s="6">
        <f>$B$252*50*'Results - raw data ReCiPe (I)'!BG121/(1-0.5)*(1+'Results ReCiPe (I) - HHD'!$AC$271/'Results ReCiPe (I) - HHD'!$AC$272-'Results ReCiPe (I) - HHD'!$AC$271)</f>
        <v>341.84614592605539</v>
      </c>
      <c r="G364" s="6">
        <f>$B$252*50*'Results - raw data ReCiPe (I)'!BH121/(1-0.5)*(1+'Results ReCiPe (I) - HHD'!$AC$271/'Results ReCiPe (I) - HHD'!$AC$272-'Results ReCiPe (I) - HHD'!$AC$271)</f>
        <v>340.92881893230458</v>
      </c>
      <c r="H364" s="6">
        <f>$B$252*50*'Results - raw data ReCiPe (I)'!BI121/(1-0.5)*(1+'Results ReCiPe (I) - HHD'!$AC$271/'Results ReCiPe (I) - HHD'!$AC$272-'Results ReCiPe (I) - HHD'!$AC$271)</f>
        <v>340.28415514373773</v>
      </c>
      <c r="I364" s="6">
        <f>$B$252*50*'Results - raw data ReCiPe (I)'!BJ121/(1-0.5)*(1+'Results ReCiPe (I) - HHD'!$AC$271/'Results ReCiPe (I) - HHD'!$AC$272-'Results ReCiPe (I) - HHD'!$AC$271)</f>
        <v>339.77048445935407</v>
      </c>
      <c r="J364" s="6">
        <f>$B$252*50*'Results - raw data ReCiPe (I)'!BK121/(1-0.5)*(1+'Results ReCiPe (I) - HHD'!$AC$271/'Results ReCiPe (I) - HHD'!$AC$272-'Results ReCiPe (I) - HHD'!$AC$271)</f>
        <v>336.97822645547035</v>
      </c>
      <c r="K364" s="6">
        <f>$B$252*50*'Results - raw data ReCiPe (I)'!BL121/(1-0.5)*(1+'Results ReCiPe (I) - HHD'!$AC$271/'Results ReCiPe (I) - HHD'!$AC$272-'Results ReCiPe (I) - HHD'!$AC$271)</f>
        <v>336.54337773680487</v>
      </c>
      <c r="L364" s="6">
        <f>$B$252*50*'Results - raw data ReCiPe (I)'!BM121/(1-0.5)*(1+'Results ReCiPe (I) - HHD'!$AC$271/'Results ReCiPe (I) - HHD'!$AC$272-'Results ReCiPe (I) - HHD'!$AC$271)</f>
        <v>336.09266754089208</v>
      </c>
      <c r="M364" s="6">
        <f>$B$252*50*'Results - raw data ReCiPe (I)'!BN121/(1-0.5)*(1+'Results ReCiPe (I) - HHD'!$AC$271/'Results ReCiPe (I) - HHD'!$AC$272-'Results ReCiPe (I) - HHD'!$AC$271)</f>
        <v>334.71514751947217</v>
      </c>
      <c r="N364" s="6">
        <f>$B$252*50*'Results - raw data ReCiPe (I)'!BO121/(1-0.5)*(1+'Results ReCiPe (I) - HHD'!$AC$271/'Results ReCiPe (I) - HHD'!$AC$272-'Results ReCiPe (I) - HHD'!$AC$271)</f>
        <v>333.35065021583739</v>
      </c>
      <c r="O364" s="6">
        <f>$B$252*50*'Results - raw data ReCiPe (I)'!BP121/(1-0.5)*(1+'Results ReCiPe (I) - HHD'!$AC$271/'Results ReCiPe (I) - HHD'!$AC$272-'Results ReCiPe (I) - HHD'!$AC$271)</f>
        <v>331.34728817366829</v>
      </c>
      <c r="P364" s="6">
        <f>$B$252*50*'Results - raw data ReCiPe (I)'!BQ121/(1-0.5)*(1+'Results ReCiPe (I) - HHD'!$AC$271/'Results ReCiPe (I) - HHD'!$AC$272-'Results ReCiPe (I) - HHD'!$AC$271)</f>
        <v>330.01512877403701</v>
      </c>
      <c r="Q364" s="6">
        <f>$B$252*50*'Results - raw data ReCiPe (I)'!BR121/(1-0.5)*(1+'Results ReCiPe (I) - HHD'!$AC$271/'Results ReCiPe (I) - HHD'!$AC$272-'Results ReCiPe (I) - HHD'!$AC$271)</f>
        <v>328.68918514078337</v>
      </c>
      <c r="R364" s="6">
        <f>$B$252*50*'Results - raw data ReCiPe (I)'!BS121/(1-0.5)*(1+'Results ReCiPe (I) - HHD'!$AC$271/'Results ReCiPe (I) - HHD'!$AC$272-'Results ReCiPe (I) - HHD'!$AC$271)</f>
        <v>327.46971764318869</v>
      </c>
      <c r="S364" s="6">
        <f>$B$252*50*'Results - raw data ReCiPe (I)'!BT121/(1-0.5)*(1+'Results ReCiPe (I) - HHD'!$AC$271/'Results ReCiPe (I) - HHD'!$AC$272-'Results ReCiPe (I) - HHD'!$AC$271)</f>
        <v>326.26684310074495</v>
      </c>
      <c r="T364" s="6">
        <f>$B$252*50*'Results - raw data ReCiPe (I)'!BU121/(1-0.5)*(1+'Results ReCiPe (I) - HHD'!$AC$271/'Results ReCiPe (I) - HHD'!$AC$272-'Results ReCiPe (I) - HHD'!$AC$271)</f>
        <v>324.46167476956253</v>
      </c>
      <c r="U364" s="6">
        <f>$B$252*50*'Results - raw data ReCiPe (I)'!BV121/(1-0.5)*(1+'Results ReCiPe (I) - HHD'!$AC$271/'Results ReCiPe (I) - HHD'!$AC$272-'Results ReCiPe (I) - HHD'!$AC$271)</f>
        <v>323.30634052463756</v>
      </c>
      <c r="V364" s="6">
        <f>$B$252*50*'Results - raw data ReCiPe (I)'!BW121/(1-0.5)*(1+'Results ReCiPe (I) - HHD'!$AC$271/'Results ReCiPe (I) - HHD'!$AC$272-'Results ReCiPe (I) - HHD'!$AC$271)</f>
        <v>322.15472985367609</v>
      </c>
      <c r="W364" s="6">
        <f>$B$252*50*'Results - raw data ReCiPe (I)'!BX121/(1-0.5)*(1+'Results ReCiPe (I) - HHD'!$AC$271/'Results ReCiPe (I) - HHD'!$AC$272-'Results ReCiPe (I) - HHD'!$AC$271)</f>
        <v>321.86997417078425</v>
      </c>
      <c r="X364" s="6">
        <f>$B$252*50*'Results - raw data ReCiPe (I)'!BY121/(1-0.5)*(1+'Results ReCiPe (I) - HHD'!$AC$271/'Results ReCiPe (I) - HHD'!$AC$272-'Results ReCiPe (I) - HHD'!$AC$271)</f>
        <v>321.58951118835199</v>
      </c>
      <c r="Y364" s="6">
        <f>$B$252*50*'Results - raw data ReCiPe (I)'!BZ121/(1-0.5)*(1+'Results ReCiPe (I) - HHD'!$AC$271/'Results ReCiPe (I) - HHD'!$AC$272-'Results ReCiPe (I) - HHD'!$AC$271)</f>
        <v>321.31245574126871</v>
      </c>
      <c r="Z364" s="6">
        <f>$B$252*50*'Results - raw data ReCiPe (I)'!CA121/(1-0.5)*(1+'Results ReCiPe (I) - HHD'!$AC$271/'Results ReCiPe (I) - HHD'!$AC$272-'Results ReCiPe (I) - HHD'!$AC$271)</f>
        <v>321.03853156449065</v>
      </c>
    </row>
    <row r="365" spans="1:53" outlineLevel="1" x14ac:dyDescent="0.35">
      <c r="A365" s="6" t="s">
        <v>797</v>
      </c>
      <c r="B365" s="6">
        <f>$B$320*$AC$324</f>
        <v>377.19276360660405</v>
      </c>
      <c r="C365" s="6">
        <f t="shared" ref="C365:Z365" si="47">$B$320*$AC$324</f>
        <v>377.19276360660405</v>
      </c>
      <c r="D365" s="6">
        <f t="shared" si="47"/>
        <v>377.19276360660405</v>
      </c>
      <c r="E365" s="6">
        <f t="shared" si="47"/>
        <v>377.19276360660405</v>
      </c>
      <c r="F365" s="6">
        <f t="shared" si="47"/>
        <v>377.19276360660405</v>
      </c>
      <c r="G365" s="6">
        <f t="shared" si="47"/>
        <v>377.19276360660405</v>
      </c>
      <c r="H365" s="6">
        <f t="shared" si="47"/>
        <v>377.19276360660405</v>
      </c>
      <c r="I365" s="6">
        <f t="shared" si="47"/>
        <v>377.19276360660405</v>
      </c>
      <c r="J365" s="6">
        <f t="shared" si="47"/>
        <v>377.19276360660405</v>
      </c>
      <c r="K365" s="6">
        <f t="shared" si="47"/>
        <v>377.19276360660405</v>
      </c>
      <c r="L365" s="6">
        <f t="shared" si="47"/>
        <v>377.19276360660405</v>
      </c>
      <c r="M365" s="6">
        <f t="shared" si="47"/>
        <v>377.19276360660405</v>
      </c>
      <c r="N365" s="6">
        <f t="shared" si="47"/>
        <v>377.19276360660405</v>
      </c>
      <c r="O365" s="6">
        <f t="shared" si="47"/>
        <v>377.19276360660405</v>
      </c>
      <c r="P365" s="6">
        <f t="shared" si="47"/>
        <v>377.19276360660405</v>
      </c>
      <c r="Q365" s="6">
        <f t="shared" si="47"/>
        <v>377.19276360660405</v>
      </c>
      <c r="R365" s="6">
        <f t="shared" si="47"/>
        <v>377.19276360660405</v>
      </c>
      <c r="S365" s="6">
        <f t="shared" si="47"/>
        <v>377.19276360660405</v>
      </c>
      <c r="T365" s="6">
        <f t="shared" si="47"/>
        <v>377.19276360660405</v>
      </c>
      <c r="U365" s="6">
        <f t="shared" si="47"/>
        <v>377.19276360660405</v>
      </c>
      <c r="V365" s="6">
        <f t="shared" si="47"/>
        <v>377.19276360660405</v>
      </c>
      <c r="W365" s="6">
        <f t="shared" si="47"/>
        <v>377.19276360660405</v>
      </c>
      <c r="X365" s="6">
        <f t="shared" si="47"/>
        <v>377.19276360660405</v>
      </c>
      <c r="Y365" s="6">
        <f t="shared" si="47"/>
        <v>377.19276360660405</v>
      </c>
      <c r="Z365" s="6">
        <f t="shared" si="47"/>
        <v>377.19276360660405</v>
      </c>
    </row>
    <row r="366" spans="1:53" outlineLevel="1" x14ac:dyDescent="0.35">
      <c r="A366" s="23" t="s">
        <v>125</v>
      </c>
      <c r="B366" s="17">
        <f>SUM(B334:B364)</f>
        <v>3471.5800900556305</v>
      </c>
      <c r="C366" s="17">
        <f t="shared" ref="C366:Z366" si="48">SUM(C334:C364)</f>
        <v>558.93750830128818</v>
      </c>
      <c r="D366" s="17">
        <f t="shared" si="48"/>
        <v>557.05202179049684</v>
      </c>
      <c r="E366" s="17">
        <f t="shared" si="48"/>
        <v>550.84563700873514</v>
      </c>
      <c r="F366" s="17">
        <f t="shared" si="48"/>
        <v>548.90934895795101</v>
      </c>
      <c r="G366" s="17">
        <f t="shared" si="48"/>
        <v>546.92676269491972</v>
      </c>
      <c r="H366" s="17">
        <f t="shared" si="48"/>
        <v>546.11469482889197</v>
      </c>
      <c r="I366" s="17">
        <f t="shared" si="48"/>
        <v>545.4289690599694</v>
      </c>
      <c r="J366" s="17">
        <f t="shared" si="48"/>
        <v>541.82354591456556</v>
      </c>
      <c r="K366" s="17">
        <f t="shared" si="48"/>
        <v>541.20419440619287</v>
      </c>
      <c r="L366" s="17">
        <f t="shared" si="48"/>
        <v>540.56021321791059</v>
      </c>
      <c r="M366" s="17">
        <f t="shared" si="48"/>
        <v>538.30060815724505</v>
      </c>
      <c r="N366" s="17">
        <f t="shared" si="48"/>
        <v>536.04540821162107</v>
      </c>
      <c r="O366" s="17">
        <f t="shared" si="48"/>
        <v>532.96269143085635</v>
      </c>
      <c r="P366" s="17">
        <f t="shared" si="48"/>
        <v>530.7256544284968</v>
      </c>
      <c r="Q366" s="17">
        <f t="shared" si="48"/>
        <v>528.48621065949169</v>
      </c>
      <c r="R366" s="17">
        <f t="shared" si="48"/>
        <v>527.65420687735786</v>
      </c>
      <c r="S366" s="17">
        <f t="shared" si="48"/>
        <v>526.83241411871268</v>
      </c>
      <c r="T366" s="17">
        <f t="shared" si="48"/>
        <v>525.23094552448492</v>
      </c>
      <c r="U366" s="17">
        <f t="shared" si="48"/>
        <v>524.44623200257809</v>
      </c>
      <c r="V366" s="17">
        <f t="shared" si="48"/>
        <v>523.65893701945777</v>
      </c>
      <c r="W366" s="17">
        <f t="shared" si="48"/>
        <v>522.36184349093912</v>
      </c>
      <c r="X366" s="17">
        <f t="shared" si="48"/>
        <v>521.07424654346505</v>
      </c>
      <c r="Y366" s="17">
        <f t="shared" si="48"/>
        <v>519.78981469678604</v>
      </c>
      <c r="Z366" s="17">
        <f t="shared" si="48"/>
        <v>560.97627017679292</v>
      </c>
    </row>
    <row r="367" spans="1:53" outlineLevel="1" x14ac:dyDescent="0.35"/>
    <row r="368" spans="1:53" s="18" customFormat="1" ht="21" x14ac:dyDescent="0.5">
      <c r="A368" s="18" t="s">
        <v>94</v>
      </c>
    </row>
    <row r="369" spans="1:31" s="20" customFormat="1" outlineLevel="1" x14ac:dyDescent="0.35">
      <c r="A369" s="19" t="s">
        <v>788</v>
      </c>
    </row>
    <row r="370" spans="1:31" s="20" customFormat="1" outlineLevel="1" x14ac:dyDescent="0.35">
      <c r="A370" s="273" t="s">
        <v>775</v>
      </c>
      <c r="B370" s="20">
        <v>1</v>
      </c>
      <c r="C370" s="274" t="s">
        <v>787</v>
      </c>
    </row>
    <row r="371" spans="1:31" s="20" customFormat="1" outlineLevel="1" x14ac:dyDescent="0.35">
      <c r="A371" s="273" t="s">
        <v>781</v>
      </c>
      <c r="B371" s="20">
        <v>100000</v>
      </c>
      <c r="C371" s="20" t="s">
        <v>782</v>
      </c>
      <c r="E371" s="274"/>
    </row>
    <row r="372" spans="1:31" s="20" customFormat="1" outlineLevel="1" x14ac:dyDescent="0.35">
      <c r="A372" s="273" t="s">
        <v>783</v>
      </c>
      <c r="B372" s="20">
        <v>1500</v>
      </c>
      <c r="C372" s="20" t="s">
        <v>592</v>
      </c>
    </row>
    <row r="373" spans="1:31" s="20" customFormat="1" outlineLevel="1" x14ac:dyDescent="0.35">
      <c r="A373" s="273" t="s">
        <v>784</v>
      </c>
      <c r="B373" s="20">
        <v>8760</v>
      </c>
      <c r="C373" s="20" t="s">
        <v>785</v>
      </c>
    </row>
    <row r="374" spans="1:31" s="20" customFormat="1" outlineLevel="1" x14ac:dyDescent="0.35">
      <c r="A374" s="273"/>
    </row>
    <row r="375" spans="1:31" s="20" customFormat="1" outlineLevel="1" x14ac:dyDescent="0.35">
      <c r="A375" s="275" t="s">
        <v>786</v>
      </c>
      <c r="B375" s="275">
        <f>(B371*B372)/(B373*B370)</f>
        <v>17123.287671232876</v>
      </c>
      <c r="C375" s="275" t="s">
        <v>749</v>
      </c>
    </row>
    <row r="376" spans="1:31" s="20" customFormat="1" outlineLevel="1" x14ac:dyDescent="0.35">
      <c r="A376" s="19"/>
    </row>
    <row r="377" spans="1:31" s="20" customFormat="1" outlineLevel="1" x14ac:dyDescent="0.35">
      <c r="A377" s="19" t="s">
        <v>793</v>
      </c>
    </row>
    <row r="378" spans="1:31" s="20" customFormat="1" outlineLevel="1" x14ac:dyDescent="0.35">
      <c r="A378" s="273" t="s">
        <v>789</v>
      </c>
      <c r="B378" s="20">
        <f>SUM('Results - raw data ReCiPe (I)'!BC156:BC157)+'Results - raw data ReCiPe (I)'!BC160+SUM('Results - raw data ReCiPe (I)'!BC158:BC159)*AC387</f>
        <v>68.262965142423752</v>
      </c>
      <c r="C378" s="20" t="s">
        <v>902</v>
      </c>
    </row>
    <row r="379" spans="1:31" s="20" customFormat="1" outlineLevel="1" x14ac:dyDescent="0.35">
      <c r="A379" s="20" t="s">
        <v>792</v>
      </c>
      <c r="B379" s="20">
        <f>B371*AC385</f>
        <v>50000</v>
      </c>
      <c r="C379" s="274" t="s">
        <v>795</v>
      </c>
    </row>
    <row r="380" spans="1:31" s="20" customFormat="1" outlineLevel="1" x14ac:dyDescent="0.35">
      <c r="A380" s="20" t="s">
        <v>791</v>
      </c>
      <c r="B380" s="20">
        <f>(B378*AC387*B375)/(B379*AC386)*(AC386/AC388)</f>
        <v>7.0133183365503857</v>
      </c>
      <c r="C380" s="20" t="s">
        <v>903</v>
      </c>
      <c r="E380" s="274" t="s">
        <v>796</v>
      </c>
    </row>
    <row r="381" spans="1:31" s="20" customFormat="1" outlineLevel="1" x14ac:dyDescent="0.35">
      <c r="A381" s="19"/>
    </row>
    <row r="382" spans="1:31" s="16" customFormat="1" outlineLevel="1" x14ac:dyDescent="0.35">
      <c r="A382" s="21"/>
      <c r="AE382" s="15"/>
    </row>
    <row r="383" spans="1:31" s="16" customFormat="1" outlineLevel="1" x14ac:dyDescent="0.35">
      <c r="A383" s="22" t="s">
        <v>761</v>
      </c>
    </row>
    <row r="384" spans="1:31" s="16" customFormat="1" outlineLevel="1" x14ac:dyDescent="0.35">
      <c r="A384" s="22"/>
      <c r="AB384" s="16" t="s">
        <v>127</v>
      </c>
      <c r="AC384" s="16">
        <f>100*AC385</f>
        <v>50</v>
      </c>
      <c r="AD384" s="16" t="s">
        <v>128</v>
      </c>
    </row>
    <row r="385" spans="1:53" s="16" customFormat="1" outlineLevel="1" x14ac:dyDescent="0.35">
      <c r="A385" s="230"/>
      <c r="AB385" s="16" t="s">
        <v>776</v>
      </c>
      <c r="AC385" s="16">
        <v>0.5</v>
      </c>
    </row>
    <row r="386" spans="1:53" s="16" customFormat="1" outlineLevel="1" x14ac:dyDescent="0.35">
      <c r="A386" s="21"/>
      <c r="AB386" s="16" t="s">
        <v>129</v>
      </c>
      <c r="AC386" s="16">
        <v>25</v>
      </c>
      <c r="AD386" s="16" t="s">
        <v>130</v>
      </c>
    </row>
    <row r="387" spans="1:53" s="16" customFormat="1" outlineLevel="1" x14ac:dyDescent="0.35">
      <c r="A387" s="21"/>
      <c r="AB387" s="16" t="s">
        <v>777</v>
      </c>
      <c r="AC387" s="16">
        <v>6</v>
      </c>
      <c r="AD387" s="16" t="s">
        <v>779</v>
      </c>
    </row>
    <row r="388" spans="1:53" s="16" customFormat="1" outlineLevel="1" x14ac:dyDescent="0.35">
      <c r="A388" s="21"/>
      <c r="AB388" s="16" t="s">
        <v>778</v>
      </c>
      <c r="AC388" s="16">
        <v>20</v>
      </c>
      <c r="AD388" s="16" t="s">
        <v>130</v>
      </c>
    </row>
    <row r="389" spans="1:53" s="16" customFormat="1" outlineLevel="1" x14ac:dyDescent="0.35">
      <c r="AB389" s="16" t="s">
        <v>780</v>
      </c>
      <c r="AC389" s="16">
        <f>B375</f>
        <v>17123.287671232876</v>
      </c>
      <c r="AD389" s="16" t="s">
        <v>749</v>
      </c>
    </row>
    <row r="390" spans="1:53" s="16" customFormat="1" outlineLevel="1" x14ac:dyDescent="0.35"/>
    <row r="391" spans="1:53" s="16" customFormat="1" outlineLevel="1" x14ac:dyDescent="0.35">
      <c r="AB391" s="16" t="s">
        <v>798</v>
      </c>
      <c r="AC391" s="16">
        <v>0.25</v>
      </c>
    </row>
    <row r="392" spans="1:53" s="16" customFormat="1" outlineLevel="1" x14ac:dyDescent="0.35">
      <c r="A392" s="22"/>
      <c r="AB392" s="16" t="s">
        <v>799</v>
      </c>
      <c r="AC392" s="16">
        <v>0.9</v>
      </c>
    </row>
    <row r="393" spans="1:53" s="16" customFormat="1" outlineLevel="1" x14ac:dyDescent="0.35">
      <c r="A393" s="22"/>
    </row>
    <row r="394" spans="1:53" outlineLevel="1" x14ac:dyDescent="0.35">
      <c r="B394" s="25">
        <v>2030</v>
      </c>
      <c r="C394" s="25">
        <v>2031</v>
      </c>
      <c r="D394" s="25">
        <v>2032</v>
      </c>
      <c r="E394" s="25">
        <v>2033</v>
      </c>
      <c r="F394" s="25">
        <v>2034</v>
      </c>
      <c r="G394" s="25">
        <v>2035</v>
      </c>
      <c r="H394" s="25">
        <v>2036</v>
      </c>
      <c r="I394" s="25">
        <v>2037</v>
      </c>
      <c r="J394" s="25">
        <v>2038</v>
      </c>
      <c r="K394" s="25">
        <v>2039</v>
      </c>
      <c r="L394" s="25">
        <v>2040</v>
      </c>
      <c r="M394" s="25">
        <v>2041</v>
      </c>
      <c r="N394" s="25">
        <v>2042</v>
      </c>
      <c r="O394" s="25">
        <v>2043</v>
      </c>
      <c r="P394" s="25">
        <v>2044</v>
      </c>
      <c r="Q394" s="25">
        <v>2045</v>
      </c>
      <c r="R394" s="25">
        <v>2046</v>
      </c>
      <c r="S394" s="25">
        <v>2047</v>
      </c>
      <c r="T394" s="25">
        <v>2048</v>
      </c>
      <c r="U394" s="25">
        <v>2049</v>
      </c>
      <c r="V394" s="25">
        <v>2050</v>
      </c>
      <c r="W394" s="25">
        <v>2051</v>
      </c>
      <c r="X394" s="25">
        <v>2052</v>
      </c>
      <c r="Y394" s="25">
        <v>2053</v>
      </c>
      <c r="Z394" s="25">
        <v>2054</v>
      </c>
      <c r="AC394" s="25">
        <v>2030</v>
      </c>
      <c r="AD394" s="25">
        <v>2031</v>
      </c>
      <c r="AE394" s="25">
        <v>2032</v>
      </c>
      <c r="AF394" s="25">
        <v>2033</v>
      </c>
      <c r="AG394" s="25">
        <v>2034</v>
      </c>
      <c r="AH394" s="25">
        <v>2035</v>
      </c>
      <c r="AI394" s="25">
        <v>2036</v>
      </c>
      <c r="AJ394" s="25">
        <v>2037</v>
      </c>
      <c r="AK394" s="25">
        <v>2038</v>
      </c>
      <c r="AL394" s="25">
        <v>2039</v>
      </c>
      <c r="AM394" s="25">
        <v>2040</v>
      </c>
      <c r="AN394" s="25">
        <v>2041</v>
      </c>
      <c r="AO394" s="25">
        <v>2042</v>
      </c>
      <c r="AP394" s="25">
        <v>2043</v>
      </c>
      <c r="AQ394" s="25">
        <v>2044</v>
      </c>
      <c r="AR394" s="25">
        <v>2045</v>
      </c>
      <c r="AS394" s="25">
        <v>2046</v>
      </c>
      <c r="AT394" s="25">
        <v>2047</v>
      </c>
      <c r="AU394" s="25">
        <v>2048</v>
      </c>
      <c r="AV394" s="25">
        <v>2049</v>
      </c>
      <c r="AW394" s="25">
        <v>2050</v>
      </c>
      <c r="AX394" s="25">
        <v>2051</v>
      </c>
      <c r="AY394" s="25">
        <v>2052</v>
      </c>
      <c r="AZ394" s="25">
        <v>2053</v>
      </c>
      <c r="BA394" s="25">
        <v>2054</v>
      </c>
    </row>
    <row r="395" spans="1:53" outlineLevel="1" x14ac:dyDescent="0.35">
      <c r="A395" s="6" t="s">
        <v>21</v>
      </c>
      <c r="B395" s="6">
        <f>B90</f>
        <v>72.255576601305791</v>
      </c>
      <c r="AB395" s="6" t="s">
        <v>117</v>
      </c>
      <c r="AC395" s="6">
        <f>SUM(B395:B406)+B408</f>
        <v>2622.5862812927635</v>
      </c>
    </row>
    <row r="396" spans="1:53" outlineLevel="1" x14ac:dyDescent="0.35">
      <c r="A396" s="6" t="s">
        <v>23</v>
      </c>
      <c r="B396" s="6">
        <f t="shared" ref="B396:B406" si="49">B91</f>
        <v>332.07989198207088</v>
      </c>
      <c r="AB396" s="6" t="s">
        <v>118</v>
      </c>
      <c r="AC396" s="6">
        <f>B407</f>
        <v>129.89398840439239</v>
      </c>
    </row>
    <row r="397" spans="1:53" outlineLevel="1" x14ac:dyDescent="0.35">
      <c r="A397" s="6" t="s">
        <v>26</v>
      </c>
      <c r="B397" s="6">
        <f t="shared" si="49"/>
        <v>307.66955330145822</v>
      </c>
      <c r="AB397" s="6" t="s">
        <v>119</v>
      </c>
      <c r="BA397" s="6">
        <f>SUM(Z409:Z420)</f>
        <v>38.811208026370814</v>
      </c>
    </row>
    <row r="398" spans="1:53" outlineLevel="1" x14ac:dyDescent="0.35">
      <c r="A398" s="6" t="s">
        <v>28</v>
      </c>
      <c r="B398" s="6">
        <f t="shared" si="49"/>
        <v>217.9178527036477</v>
      </c>
      <c r="AB398" s="6" t="s">
        <v>120</v>
      </c>
      <c r="BA398" s="6">
        <f>Z421</f>
        <v>0.61434079551315646</v>
      </c>
    </row>
    <row r="399" spans="1:53" outlineLevel="1" x14ac:dyDescent="0.35">
      <c r="A399" s="6" t="s">
        <v>29</v>
      </c>
      <c r="B399" s="6">
        <f t="shared" si="49"/>
        <v>98.859617046014776</v>
      </c>
      <c r="AB399" s="6" t="s">
        <v>121</v>
      </c>
      <c r="AC399" s="6">
        <f>B422</f>
        <v>113.898776346798</v>
      </c>
      <c r="AF399" s="6">
        <f>E422</f>
        <v>112.2202631041648</v>
      </c>
      <c r="AI399" s="6">
        <f>H422</f>
        <v>112.02723495155939</v>
      </c>
      <c r="AL399" s="6">
        <f>K422</f>
        <v>113.04433550375791</v>
      </c>
      <c r="AO399" s="6">
        <f>N422</f>
        <v>113.43821672233091</v>
      </c>
      <c r="AR399" s="6">
        <f>Q422</f>
        <v>113.1998263783904</v>
      </c>
      <c r="AU399" s="6">
        <f>T422</f>
        <v>112.0953414641442</v>
      </c>
      <c r="AX399" s="6">
        <f>W422</f>
        <v>111.3874174886531</v>
      </c>
      <c r="BA399" s="6">
        <f>Z422</f>
        <v>111.1953975844519</v>
      </c>
    </row>
    <row r="400" spans="1:53" outlineLevel="1" x14ac:dyDescent="0.35">
      <c r="A400" s="6" t="s">
        <v>31</v>
      </c>
      <c r="B400" s="6">
        <f t="shared" si="49"/>
        <v>74.95740277950722</v>
      </c>
      <c r="AB400" s="6" t="s">
        <v>797</v>
      </c>
      <c r="AC400" s="6">
        <f>B426</f>
        <v>350.66591682751931</v>
      </c>
      <c r="AD400" s="6">
        <f t="shared" ref="AD400:BA400" si="50">C426</f>
        <v>350.66591682751931</v>
      </c>
      <c r="AE400" s="6">
        <f t="shared" si="50"/>
        <v>350.66591682751931</v>
      </c>
      <c r="AF400" s="6">
        <f t="shared" si="50"/>
        <v>350.66591682751931</v>
      </c>
      <c r="AG400" s="6">
        <f t="shared" si="50"/>
        <v>350.66591682751931</v>
      </c>
      <c r="AH400" s="6">
        <f t="shared" si="50"/>
        <v>350.66591682751931</v>
      </c>
      <c r="AI400" s="6">
        <f t="shared" si="50"/>
        <v>350.66591682751931</v>
      </c>
      <c r="AJ400" s="6">
        <f t="shared" si="50"/>
        <v>350.66591682751931</v>
      </c>
      <c r="AK400" s="6">
        <f t="shared" si="50"/>
        <v>350.66591682751931</v>
      </c>
      <c r="AL400" s="6">
        <f t="shared" si="50"/>
        <v>350.66591682751931</v>
      </c>
      <c r="AM400" s="6">
        <f t="shared" si="50"/>
        <v>350.66591682751931</v>
      </c>
      <c r="AN400" s="6">
        <f t="shared" si="50"/>
        <v>350.66591682751931</v>
      </c>
      <c r="AO400" s="6">
        <f t="shared" si="50"/>
        <v>350.66591682751931</v>
      </c>
      <c r="AP400" s="6">
        <f t="shared" si="50"/>
        <v>350.66591682751931</v>
      </c>
      <c r="AQ400" s="6">
        <f t="shared" si="50"/>
        <v>350.66591682751931</v>
      </c>
      <c r="AR400" s="6">
        <f t="shared" si="50"/>
        <v>350.66591682751931</v>
      </c>
      <c r="AS400" s="6">
        <f t="shared" si="50"/>
        <v>350.66591682751931</v>
      </c>
      <c r="AT400" s="6">
        <f t="shared" si="50"/>
        <v>350.66591682751931</v>
      </c>
      <c r="AU400" s="6">
        <f t="shared" si="50"/>
        <v>350.66591682751931</v>
      </c>
      <c r="AV400" s="6">
        <f t="shared" si="50"/>
        <v>350.66591682751931</v>
      </c>
      <c r="AW400" s="6">
        <f t="shared" si="50"/>
        <v>350.66591682751931</v>
      </c>
      <c r="AX400" s="6">
        <f t="shared" si="50"/>
        <v>350.66591682751931</v>
      </c>
      <c r="AY400" s="6">
        <f t="shared" si="50"/>
        <v>350.66591682751931</v>
      </c>
      <c r="AZ400" s="6">
        <f t="shared" si="50"/>
        <v>350.66591682751931</v>
      </c>
      <c r="BA400" s="6">
        <f t="shared" si="50"/>
        <v>350.66591682751931</v>
      </c>
    </row>
    <row r="401" spans="1:53" outlineLevel="1" x14ac:dyDescent="0.35">
      <c r="A401" s="6" t="s">
        <v>34</v>
      </c>
      <c r="B401" s="6">
        <f t="shared" si="49"/>
        <v>48.236543162443397</v>
      </c>
      <c r="AB401" s="6" t="s">
        <v>122</v>
      </c>
      <c r="AC401" s="6">
        <f t="shared" ref="AC401:BA401" si="51">B425+B424</f>
        <v>336.14751507525233</v>
      </c>
      <c r="AD401" s="6">
        <f t="shared" si="51"/>
        <v>334.84576484283099</v>
      </c>
      <c r="AE401" s="6">
        <f t="shared" si="51"/>
        <v>333.52308735220038</v>
      </c>
      <c r="AF401" s="6">
        <f t="shared" si="51"/>
        <v>328.90364071327667</v>
      </c>
      <c r="AG401" s="6">
        <f t="shared" si="51"/>
        <v>327.51914242822323</v>
      </c>
      <c r="AH401" s="6">
        <f t="shared" si="51"/>
        <v>326.13586953118045</v>
      </c>
      <c r="AI401" s="6">
        <f t="shared" si="51"/>
        <v>326.98181280518838</v>
      </c>
      <c r="AJ401" s="6">
        <f t="shared" si="51"/>
        <v>327.78936413975191</v>
      </c>
      <c r="AK401" s="6">
        <f t="shared" si="51"/>
        <v>326.35550355728918</v>
      </c>
      <c r="AL401" s="6">
        <f t="shared" si="51"/>
        <v>327.11718799948471</v>
      </c>
      <c r="AM401" s="6">
        <f t="shared" si="51"/>
        <v>327.84748188650991</v>
      </c>
      <c r="AN401" s="6">
        <f t="shared" si="51"/>
        <v>327.2041472533399</v>
      </c>
      <c r="AO401" s="6">
        <f t="shared" si="51"/>
        <v>326.56951558623643</v>
      </c>
      <c r="AP401" s="6">
        <f t="shared" si="51"/>
        <v>325.32599823043961</v>
      </c>
      <c r="AQ401" s="6">
        <f t="shared" si="51"/>
        <v>324.70102944038865</v>
      </c>
      <c r="AR401" s="6">
        <f t="shared" si="51"/>
        <v>324.06899646438103</v>
      </c>
      <c r="AS401" s="6">
        <f t="shared" si="51"/>
        <v>322.58166966215782</v>
      </c>
      <c r="AT401" s="6">
        <f t="shared" si="51"/>
        <v>321.10990290084789</v>
      </c>
      <c r="AU401" s="6">
        <f t="shared" si="51"/>
        <v>319.06734038442346</v>
      </c>
      <c r="AV401" s="6">
        <f t="shared" si="51"/>
        <v>317.61186136518774</v>
      </c>
      <c r="AW401" s="6">
        <f t="shared" si="51"/>
        <v>316.0851132280456</v>
      </c>
      <c r="AX401" s="6">
        <f t="shared" si="51"/>
        <v>315.72808592108299</v>
      </c>
      <c r="AY401" s="6">
        <f t="shared" si="51"/>
        <v>315.37373541834535</v>
      </c>
      <c r="AZ401" s="6">
        <f t="shared" si="51"/>
        <v>315.02097972612336</v>
      </c>
      <c r="BA401" s="6">
        <f t="shared" si="51"/>
        <v>314.66978822511641</v>
      </c>
    </row>
    <row r="402" spans="1:53" outlineLevel="1" x14ac:dyDescent="0.35">
      <c r="A402" s="6" t="s">
        <v>36</v>
      </c>
      <c r="B402" s="6">
        <f t="shared" si="49"/>
        <v>56.329787563552607</v>
      </c>
      <c r="AB402" s="6" t="s">
        <v>123</v>
      </c>
      <c r="AC402" s="6">
        <f t="shared" ref="AC402:BA402" si="52">B423</f>
        <v>58.92843962432395</v>
      </c>
      <c r="AD402" s="6">
        <f t="shared" si="52"/>
        <v>54.336744028345151</v>
      </c>
      <c r="AE402" s="6">
        <f t="shared" si="52"/>
        <v>49.741585958662043</v>
      </c>
      <c r="AF402" s="6">
        <f t="shared" si="52"/>
        <v>44.917438220122641</v>
      </c>
      <c r="AG402" s="6">
        <f t="shared" si="52"/>
        <v>40.308329178544298</v>
      </c>
      <c r="AH402" s="6">
        <f t="shared" si="52"/>
        <v>35.69690119826204</v>
      </c>
      <c r="AI402" s="6">
        <f t="shared" si="52"/>
        <v>41.06258999125793</v>
      </c>
      <c r="AJ402" s="6">
        <f t="shared" si="52"/>
        <v>46.39122398220259</v>
      </c>
      <c r="AK402" s="6">
        <f t="shared" si="52"/>
        <v>51.461898483769694</v>
      </c>
      <c r="AL402" s="6">
        <f t="shared" si="52"/>
        <v>56.710145922490753</v>
      </c>
      <c r="AM402" s="6">
        <f t="shared" si="52"/>
        <v>61.922628866891806</v>
      </c>
      <c r="AN402" s="6">
        <f t="shared" si="52"/>
        <v>68.534244056577691</v>
      </c>
      <c r="AO402" s="6">
        <f t="shared" si="52"/>
        <v>75.13582376935075</v>
      </c>
      <c r="AP402" s="6">
        <f t="shared" si="52"/>
        <v>81.67713973809289</v>
      </c>
      <c r="AQ402" s="6">
        <f t="shared" si="52"/>
        <v>88.259787477838103</v>
      </c>
      <c r="AR402" s="6">
        <f t="shared" si="52"/>
        <v>94.83210933410065</v>
      </c>
      <c r="AS402" s="6">
        <f t="shared" si="52"/>
        <v>92.797122751275992</v>
      </c>
      <c r="AT402" s="6">
        <f t="shared" si="52"/>
        <v>90.753474322652096</v>
      </c>
      <c r="AU402" s="6">
        <f t="shared" si="52"/>
        <v>88.655222271553839</v>
      </c>
      <c r="AV402" s="6">
        <f t="shared" si="52"/>
        <v>86.595216549854896</v>
      </c>
      <c r="AW402" s="6">
        <f t="shared" si="52"/>
        <v>84.5260460482952</v>
      </c>
      <c r="AX402" s="6">
        <f t="shared" si="52"/>
        <v>84.440492788152895</v>
      </c>
      <c r="AY402" s="6">
        <f t="shared" si="52"/>
        <v>84.359256223878305</v>
      </c>
      <c r="AZ402" s="6">
        <f t="shared" si="52"/>
        <v>84.277305060079854</v>
      </c>
      <c r="BA402" s="6">
        <f t="shared" si="52"/>
        <v>84.194534629347956</v>
      </c>
    </row>
    <row r="403" spans="1:53" outlineLevel="1" x14ac:dyDescent="0.35">
      <c r="A403" s="6" t="s">
        <v>38</v>
      </c>
      <c r="B403" s="6">
        <f t="shared" si="49"/>
        <v>643.79134840884126</v>
      </c>
      <c r="AB403" s="6" t="s">
        <v>124</v>
      </c>
      <c r="AC403" s="6">
        <f>-$AC$384*$AC$383</f>
        <v>0</v>
      </c>
      <c r="AD403" s="6">
        <f t="shared" ref="AD403:BA403" si="53">-$AC$384*$AC$383</f>
        <v>0</v>
      </c>
      <c r="AE403" s="6">
        <f t="shared" si="53"/>
        <v>0</v>
      </c>
      <c r="AF403" s="6">
        <f t="shared" si="53"/>
        <v>0</v>
      </c>
      <c r="AG403" s="6">
        <f t="shared" si="53"/>
        <v>0</v>
      </c>
      <c r="AH403" s="6">
        <f t="shared" si="53"/>
        <v>0</v>
      </c>
      <c r="AI403" s="6">
        <f t="shared" si="53"/>
        <v>0</v>
      </c>
      <c r="AJ403" s="6">
        <f t="shared" si="53"/>
        <v>0</v>
      </c>
      <c r="AK403" s="6">
        <f t="shared" si="53"/>
        <v>0</v>
      </c>
      <c r="AL403" s="6">
        <f t="shared" si="53"/>
        <v>0</v>
      </c>
      <c r="AM403" s="6">
        <f t="shared" si="53"/>
        <v>0</v>
      </c>
      <c r="AN403" s="6">
        <f t="shared" si="53"/>
        <v>0</v>
      </c>
      <c r="AO403" s="6">
        <f t="shared" si="53"/>
        <v>0</v>
      </c>
      <c r="AP403" s="6">
        <f t="shared" si="53"/>
        <v>0</v>
      </c>
      <c r="AQ403" s="6">
        <f t="shared" si="53"/>
        <v>0</v>
      </c>
      <c r="AR403" s="6">
        <f t="shared" si="53"/>
        <v>0</v>
      </c>
      <c r="AS403" s="6">
        <f t="shared" si="53"/>
        <v>0</v>
      </c>
      <c r="AT403" s="6">
        <f t="shared" si="53"/>
        <v>0</v>
      </c>
      <c r="AU403" s="6">
        <f t="shared" si="53"/>
        <v>0</v>
      </c>
      <c r="AV403" s="6">
        <f t="shared" si="53"/>
        <v>0</v>
      </c>
      <c r="AW403" s="6">
        <f t="shared" si="53"/>
        <v>0</v>
      </c>
      <c r="AX403" s="6">
        <f t="shared" si="53"/>
        <v>0</v>
      </c>
      <c r="AY403" s="6">
        <f t="shared" si="53"/>
        <v>0</v>
      </c>
      <c r="AZ403" s="6">
        <f t="shared" si="53"/>
        <v>0</v>
      </c>
      <c r="BA403" s="6">
        <f t="shared" si="53"/>
        <v>0</v>
      </c>
    </row>
    <row r="404" spans="1:53" outlineLevel="1" x14ac:dyDescent="0.35">
      <c r="A404" s="6" t="s">
        <v>39</v>
      </c>
      <c r="B404" s="6">
        <f t="shared" si="49"/>
        <v>600.68151504185573</v>
      </c>
      <c r="AB404" s="23" t="s">
        <v>125</v>
      </c>
      <c r="AC404" s="17">
        <f t="shared" ref="AC404:BA404" si="54">SUM(AC395:AC403)</f>
        <v>3612.1209175710492</v>
      </c>
      <c r="AD404" s="17">
        <f t="shared" si="54"/>
        <v>739.84842569869545</v>
      </c>
      <c r="AE404" s="17">
        <f t="shared" si="54"/>
        <v>733.93059013838172</v>
      </c>
      <c r="AF404" s="17">
        <f t="shared" si="54"/>
        <v>836.70725886508353</v>
      </c>
      <c r="AG404" s="17">
        <f t="shared" si="54"/>
        <v>718.49338843428689</v>
      </c>
      <c r="AH404" s="17">
        <f t="shared" si="54"/>
        <v>712.49868755696173</v>
      </c>
      <c r="AI404" s="17">
        <f t="shared" si="54"/>
        <v>830.737554575525</v>
      </c>
      <c r="AJ404" s="17">
        <f t="shared" si="54"/>
        <v>724.8465049494738</v>
      </c>
      <c r="AK404" s="17">
        <f t="shared" si="54"/>
        <v>728.48331886857818</v>
      </c>
      <c r="AL404" s="17">
        <f t="shared" si="54"/>
        <v>847.53758625325258</v>
      </c>
      <c r="AM404" s="17">
        <f t="shared" si="54"/>
        <v>740.43602758092106</v>
      </c>
      <c r="AN404" s="17">
        <f t="shared" si="54"/>
        <v>746.40430813743694</v>
      </c>
      <c r="AO404" s="17">
        <f t="shared" si="54"/>
        <v>865.80947290543736</v>
      </c>
      <c r="AP404" s="17">
        <f t="shared" si="54"/>
        <v>757.66905479605191</v>
      </c>
      <c r="AQ404" s="17">
        <f t="shared" si="54"/>
        <v>763.62673374574604</v>
      </c>
      <c r="AR404" s="17">
        <f t="shared" si="54"/>
        <v>882.76684900439147</v>
      </c>
      <c r="AS404" s="17">
        <f t="shared" si="54"/>
        <v>766.04470924095313</v>
      </c>
      <c r="AT404" s="17">
        <f t="shared" si="54"/>
        <v>762.52929405101929</v>
      </c>
      <c r="AU404" s="17">
        <f t="shared" si="54"/>
        <v>870.48382094764088</v>
      </c>
      <c r="AV404" s="17">
        <f t="shared" si="54"/>
        <v>754.8729947425619</v>
      </c>
      <c r="AW404" s="17">
        <f t="shared" si="54"/>
        <v>751.27707610386005</v>
      </c>
      <c r="AX404" s="17">
        <f t="shared" si="54"/>
        <v>862.2219130254083</v>
      </c>
      <c r="AY404" s="17">
        <f t="shared" si="54"/>
        <v>750.39890846974299</v>
      </c>
      <c r="AZ404" s="17">
        <f t="shared" si="54"/>
        <v>749.96420161372248</v>
      </c>
      <c r="BA404" s="17">
        <f t="shared" si="54"/>
        <v>900.15118608831949</v>
      </c>
    </row>
    <row r="405" spans="1:53" outlineLevel="1" x14ac:dyDescent="0.35">
      <c r="A405" s="6" t="s">
        <v>41</v>
      </c>
      <c r="B405" s="6">
        <f t="shared" si="49"/>
        <v>53.750548509494848</v>
      </c>
    </row>
    <row r="406" spans="1:53" outlineLevel="1" x14ac:dyDescent="0.35">
      <c r="A406" s="6" t="s">
        <v>43</v>
      </c>
      <c r="B406" s="6">
        <f t="shared" si="49"/>
        <v>70.879104867522443</v>
      </c>
      <c r="AB406" s="272"/>
      <c r="AC406" s="272"/>
      <c r="AD406" s="272"/>
      <c r="AE406" s="272"/>
      <c r="AF406" s="272"/>
      <c r="AG406" s="272"/>
      <c r="AH406" s="272"/>
      <c r="AI406" s="272"/>
      <c r="AJ406" s="272"/>
      <c r="AK406" s="272"/>
      <c r="AL406" s="272"/>
      <c r="AM406" s="272"/>
      <c r="AN406" s="272"/>
      <c r="AO406" s="272"/>
      <c r="AP406" s="272"/>
      <c r="AQ406" s="272"/>
      <c r="AR406" s="272"/>
      <c r="AS406" s="272"/>
      <c r="AT406" s="272"/>
      <c r="AU406" s="272"/>
      <c r="AV406" s="272"/>
      <c r="AW406" s="272"/>
      <c r="AX406" s="272"/>
      <c r="AY406" s="272"/>
      <c r="AZ406" s="272"/>
      <c r="BA406" s="272"/>
    </row>
    <row r="407" spans="1:53" outlineLevel="1" x14ac:dyDescent="0.35">
      <c r="A407" s="6" t="s">
        <v>44</v>
      </c>
      <c r="B407" s="6">
        <f>B102*AC385</f>
        <v>129.89398840439239</v>
      </c>
      <c r="AB407" s="272"/>
      <c r="AC407" s="272"/>
      <c r="AD407" s="272"/>
      <c r="AE407" s="272"/>
      <c r="AF407" s="272"/>
      <c r="AG407" s="272"/>
      <c r="AH407" s="272"/>
      <c r="AI407" s="272"/>
      <c r="AJ407" s="272"/>
      <c r="AK407" s="272"/>
      <c r="AL407" s="272"/>
      <c r="AM407" s="272"/>
      <c r="AN407" s="272"/>
      <c r="AO407" s="272"/>
      <c r="AP407" s="272"/>
      <c r="AQ407" s="272"/>
      <c r="AR407" s="272"/>
      <c r="AS407" s="272"/>
      <c r="AT407" s="272"/>
      <c r="AU407" s="272"/>
      <c r="AV407" s="272"/>
      <c r="AW407" s="272"/>
      <c r="AX407" s="272"/>
      <c r="AY407" s="272"/>
      <c r="AZ407" s="272"/>
      <c r="BA407" s="272"/>
    </row>
    <row r="408" spans="1:53" outlineLevel="1" x14ac:dyDescent="0.35">
      <c r="A408" s="6" t="s">
        <v>757</v>
      </c>
      <c r="B408" s="6">
        <f>B103*AC385</f>
        <v>45.177539325048514</v>
      </c>
      <c r="AB408" s="272"/>
      <c r="AC408" s="272"/>
      <c r="AD408" s="272"/>
      <c r="AE408" s="272"/>
      <c r="AF408" s="272"/>
      <c r="AG408" s="272"/>
      <c r="AH408" s="272"/>
      <c r="AI408" s="272"/>
      <c r="AJ408" s="272"/>
      <c r="AK408" s="272"/>
      <c r="AL408" s="272"/>
      <c r="AM408" s="272"/>
      <c r="AN408" s="272"/>
      <c r="AO408" s="272"/>
      <c r="AP408" s="272"/>
      <c r="AQ408" s="272"/>
      <c r="AR408" s="272"/>
      <c r="AS408" s="272"/>
      <c r="AT408" s="272"/>
      <c r="AU408" s="272"/>
      <c r="AV408" s="272"/>
      <c r="AW408" s="272"/>
      <c r="AX408" s="272"/>
      <c r="AY408" s="272"/>
      <c r="AZ408" s="272"/>
      <c r="BA408" s="272"/>
    </row>
    <row r="409" spans="1:53" outlineLevel="1" x14ac:dyDescent="0.35">
      <c r="A409" s="6" t="s">
        <v>22</v>
      </c>
      <c r="Z409" s="6">
        <f>Z104</f>
        <v>0.30635972341572332</v>
      </c>
      <c r="AB409" s="272"/>
      <c r="AC409" s="272"/>
      <c r="AD409" s="272"/>
      <c r="AE409" s="272"/>
      <c r="AF409" s="272"/>
      <c r="AG409" s="272"/>
      <c r="AH409" s="272"/>
      <c r="AI409" s="272"/>
      <c r="AJ409" s="272"/>
      <c r="AK409" s="272"/>
      <c r="AL409" s="272"/>
      <c r="AM409" s="272"/>
      <c r="AN409" s="272"/>
      <c r="AO409" s="272"/>
      <c r="AP409" s="272"/>
      <c r="AQ409" s="272"/>
      <c r="AR409" s="272"/>
      <c r="AS409" s="272"/>
      <c r="AT409" s="272"/>
      <c r="AU409" s="272"/>
      <c r="AV409" s="272"/>
      <c r="AW409" s="272"/>
      <c r="AX409" s="272"/>
      <c r="AY409" s="272"/>
      <c r="AZ409" s="272"/>
      <c r="BA409" s="272"/>
    </row>
    <row r="410" spans="1:53" outlineLevel="1" x14ac:dyDescent="0.35">
      <c r="A410" s="6" t="s">
        <v>24</v>
      </c>
      <c r="Z410" s="6">
        <f t="shared" ref="Z410:Z420" si="55">Z105</f>
        <v>0.33984583893654807</v>
      </c>
      <c r="AB410" s="272"/>
      <c r="AC410" s="272"/>
      <c r="AD410" s="272"/>
      <c r="AE410" s="272"/>
      <c r="AF410" s="272"/>
      <c r="AG410" s="272"/>
      <c r="AH410" s="272"/>
      <c r="AI410" s="272"/>
      <c r="AJ410" s="272"/>
      <c r="AK410" s="272"/>
      <c r="AL410" s="272"/>
      <c r="AM410" s="272"/>
      <c r="AN410" s="272"/>
      <c r="AO410" s="272"/>
      <c r="AP410" s="272"/>
      <c r="AQ410" s="272"/>
      <c r="AR410" s="272"/>
      <c r="AS410" s="272"/>
      <c r="AT410" s="272"/>
      <c r="AU410" s="272"/>
      <c r="AV410" s="272"/>
      <c r="AW410" s="272"/>
      <c r="AX410" s="272"/>
      <c r="AY410" s="272"/>
      <c r="AZ410" s="272"/>
      <c r="BA410" s="272"/>
    </row>
    <row r="411" spans="1:53" outlineLevel="1" x14ac:dyDescent="0.35">
      <c r="A411" s="6" t="s">
        <v>25</v>
      </c>
      <c r="Z411" s="6">
        <f t="shared" si="55"/>
        <v>1.5474181038718611</v>
      </c>
      <c r="AB411" s="272"/>
      <c r="AC411" s="272"/>
      <c r="AD411" s="272"/>
      <c r="AE411" s="272"/>
      <c r="AF411" s="272"/>
      <c r="AG411" s="272"/>
      <c r="AH411" s="272"/>
      <c r="AI411" s="272"/>
      <c r="AJ411" s="272"/>
      <c r="AK411" s="272"/>
      <c r="AL411" s="272"/>
      <c r="AM411" s="272"/>
      <c r="AN411" s="272"/>
      <c r="AO411" s="272"/>
      <c r="AP411" s="272"/>
      <c r="AQ411" s="272"/>
      <c r="AR411" s="272"/>
      <c r="AS411" s="272"/>
      <c r="AT411" s="272"/>
      <c r="AU411" s="272"/>
      <c r="AV411" s="272"/>
      <c r="AW411" s="272"/>
      <c r="AX411" s="272"/>
      <c r="AY411" s="272"/>
      <c r="AZ411" s="272"/>
      <c r="BA411" s="272"/>
    </row>
    <row r="412" spans="1:53" outlineLevel="1" x14ac:dyDescent="0.35">
      <c r="A412" s="6" t="s">
        <v>27</v>
      </c>
      <c r="Z412" s="6">
        <f t="shared" si="55"/>
        <v>0.94548201452630143</v>
      </c>
      <c r="AB412" s="272"/>
      <c r="AC412" s="272"/>
      <c r="AD412" s="272"/>
      <c r="AE412" s="272"/>
      <c r="AF412" s="272"/>
      <c r="AG412" s="272"/>
      <c r="AH412" s="272"/>
      <c r="AI412" s="272"/>
      <c r="AJ412" s="272"/>
      <c r="AK412" s="272"/>
      <c r="AL412" s="272"/>
      <c r="AM412" s="272"/>
      <c r="AN412" s="272"/>
      <c r="AO412" s="272"/>
      <c r="AP412" s="272"/>
      <c r="AQ412" s="272"/>
      <c r="AR412" s="272"/>
      <c r="AS412" s="272"/>
      <c r="AT412" s="272"/>
      <c r="AU412" s="272"/>
      <c r="AV412" s="272"/>
      <c r="AW412" s="272"/>
      <c r="AX412" s="272"/>
      <c r="AY412" s="272"/>
      <c r="AZ412" s="272"/>
      <c r="BA412" s="272"/>
    </row>
    <row r="413" spans="1:53" outlineLevel="1" x14ac:dyDescent="0.35">
      <c r="A413" s="6" t="s">
        <v>30</v>
      </c>
      <c r="Z413" s="6">
        <f t="shared" si="55"/>
        <v>0.37604451141395889</v>
      </c>
      <c r="AB413" s="272"/>
      <c r="AC413" s="272"/>
      <c r="AD413" s="272"/>
      <c r="AE413" s="272"/>
      <c r="AF413" s="272"/>
      <c r="AG413" s="272"/>
      <c r="AH413" s="272"/>
      <c r="AI413" s="272"/>
      <c r="AJ413" s="272"/>
      <c r="AK413" s="272"/>
      <c r="AL413" s="272"/>
      <c r="AM413" s="272"/>
      <c r="AN413" s="272"/>
      <c r="AO413" s="272"/>
      <c r="AP413" s="272"/>
      <c r="AQ413" s="272"/>
      <c r="AR413" s="272"/>
      <c r="AS413" s="272"/>
      <c r="AT413" s="272"/>
      <c r="AU413" s="272"/>
      <c r="AV413" s="272"/>
      <c r="AW413" s="272"/>
      <c r="AX413" s="272"/>
      <c r="AY413" s="272"/>
      <c r="AZ413" s="272"/>
      <c r="BA413" s="272"/>
    </row>
    <row r="414" spans="1:53" outlineLevel="1" x14ac:dyDescent="0.35">
      <c r="A414" s="6" t="s">
        <v>32</v>
      </c>
      <c r="Z414" s="6">
        <f t="shared" si="55"/>
        <v>0.1689526457090417</v>
      </c>
      <c r="AB414" s="272"/>
      <c r="AC414" s="272"/>
      <c r="AD414" s="272"/>
      <c r="AE414" s="272"/>
      <c r="AF414" s="272"/>
      <c r="AG414" s="272"/>
      <c r="AH414" s="272"/>
      <c r="AI414" s="272"/>
      <c r="AJ414" s="272"/>
      <c r="AK414" s="272"/>
      <c r="AL414" s="272"/>
      <c r="AM414" s="272"/>
      <c r="AN414" s="272"/>
      <c r="AO414" s="272"/>
      <c r="AP414" s="272"/>
      <c r="AQ414" s="272"/>
      <c r="AR414" s="272"/>
      <c r="AS414" s="272"/>
      <c r="AT414" s="272"/>
      <c r="AU414" s="272"/>
      <c r="AV414" s="272"/>
      <c r="AW414" s="272"/>
      <c r="AX414" s="272"/>
      <c r="AY414" s="272"/>
      <c r="AZ414" s="272"/>
      <c r="BA414" s="272"/>
    </row>
    <row r="415" spans="1:53" outlineLevel="1" x14ac:dyDescent="0.35">
      <c r="A415" s="6" t="s">
        <v>33</v>
      </c>
      <c r="Z415" s="6">
        <f t="shared" si="55"/>
        <v>9.7186212345248976E-2</v>
      </c>
      <c r="AB415" s="272"/>
      <c r="AC415" s="272"/>
      <c r="AD415" s="272"/>
      <c r="AE415" s="272"/>
      <c r="AF415" s="272"/>
      <c r="AG415" s="272"/>
      <c r="AH415" s="272"/>
      <c r="AI415" s="272"/>
      <c r="AJ415" s="272"/>
      <c r="AK415" s="272"/>
      <c r="AL415" s="272"/>
      <c r="AM415" s="272"/>
      <c r="AN415" s="272"/>
      <c r="AO415" s="272"/>
      <c r="AP415" s="272"/>
      <c r="AQ415" s="272"/>
      <c r="AR415" s="272"/>
      <c r="AS415" s="272"/>
      <c r="AT415" s="272"/>
      <c r="AU415" s="272"/>
      <c r="AV415" s="272"/>
      <c r="AW415" s="272"/>
      <c r="AX415" s="272"/>
      <c r="AY415" s="272"/>
      <c r="AZ415" s="272"/>
      <c r="BA415" s="272"/>
    </row>
    <row r="416" spans="1:53" outlineLevel="1" x14ac:dyDescent="0.35">
      <c r="A416" s="6" t="s">
        <v>35</v>
      </c>
      <c r="Z416" s="6">
        <f t="shared" si="55"/>
        <v>0.19437242469049801</v>
      </c>
      <c r="AB416" s="272"/>
      <c r="AC416" s="272"/>
      <c r="AD416" s="272"/>
      <c r="AE416" s="272"/>
      <c r="AF416" s="272"/>
      <c r="AG416" s="272"/>
      <c r="AH416" s="272"/>
      <c r="AI416" s="272"/>
      <c r="AJ416" s="272"/>
      <c r="AK416" s="272"/>
      <c r="AL416" s="272"/>
      <c r="AM416" s="272"/>
      <c r="AN416" s="272"/>
      <c r="AO416" s="272"/>
      <c r="AP416" s="272"/>
      <c r="AQ416" s="272"/>
      <c r="AR416" s="272"/>
      <c r="AS416" s="272"/>
      <c r="AT416" s="272"/>
      <c r="AU416" s="272"/>
      <c r="AV416" s="272"/>
      <c r="AW416" s="272"/>
      <c r="AX416" s="272"/>
      <c r="AY416" s="272"/>
      <c r="AZ416" s="272"/>
      <c r="BA416" s="272"/>
    </row>
    <row r="417" spans="1:53" outlineLevel="1" x14ac:dyDescent="0.35">
      <c r="A417" s="6" t="s">
        <v>37</v>
      </c>
      <c r="Z417" s="6">
        <f t="shared" si="55"/>
        <v>2.8633835937773271</v>
      </c>
      <c r="AB417" s="272"/>
      <c r="AC417" s="272"/>
      <c r="AD417" s="272"/>
      <c r="AE417" s="272"/>
      <c r="AF417" s="272"/>
      <c r="AG417" s="272"/>
      <c r="AH417" s="272"/>
      <c r="AI417" s="272"/>
      <c r="AJ417" s="272"/>
      <c r="AK417" s="272"/>
      <c r="AL417" s="272"/>
      <c r="AM417" s="272"/>
      <c r="AN417" s="272"/>
      <c r="AO417" s="272"/>
      <c r="AP417" s="272"/>
      <c r="AQ417" s="272"/>
      <c r="AR417" s="272"/>
      <c r="AS417" s="272"/>
      <c r="AT417" s="272"/>
      <c r="AU417" s="272"/>
      <c r="AV417" s="272"/>
      <c r="AW417" s="272"/>
      <c r="AX417" s="272"/>
      <c r="AY417" s="272"/>
      <c r="AZ417" s="272"/>
      <c r="BA417" s="272"/>
    </row>
    <row r="418" spans="1:53" outlineLevel="1" x14ac:dyDescent="0.35">
      <c r="A418" s="6" t="s">
        <v>40</v>
      </c>
      <c r="Z418" s="6">
        <f t="shared" si="55"/>
        <v>1.3399465538739621</v>
      </c>
    </row>
    <row r="419" spans="1:53" outlineLevel="1" x14ac:dyDescent="0.35">
      <c r="A419" s="6" t="s">
        <v>42</v>
      </c>
      <c r="Z419" s="6">
        <f t="shared" si="55"/>
        <v>3.604224052803163</v>
      </c>
    </row>
    <row r="420" spans="1:53" outlineLevel="1" x14ac:dyDescent="0.35">
      <c r="A420" s="6" t="s">
        <v>115</v>
      </c>
      <c r="Z420" s="6">
        <f t="shared" si="55"/>
        <v>27.027992351007178</v>
      </c>
    </row>
    <row r="421" spans="1:53" outlineLevel="1" x14ac:dyDescent="0.35">
      <c r="A421" s="6" t="s">
        <v>45</v>
      </c>
      <c r="Z421" s="6">
        <f>Z116*AC385</f>
        <v>0.61434079551315646</v>
      </c>
    </row>
    <row r="422" spans="1:53" outlineLevel="1" x14ac:dyDescent="0.35">
      <c r="A422" s="6" t="s">
        <v>116</v>
      </c>
      <c r="B422" s="6">
        <f>B117</f>
        <v>113.898776346798</v>
      </c>
      <c r="C422" s="6">
        <f t="shared" ref="C422:Z422" si="56">C117</f>
        <v>113.56243348710539</v>
      </c>
      <c r="D422" s="6">
        <f t="shared" si="56"/>
        <v>113.2211122554602</v>
      </c>
      <c r="E422" s="6">
        <f t="shared" si="56"/>
        <v>112.2202631041648</v>
      </c>
      <c r="F422" s="6">
        <f t="shared" si="56"/>
        <v>111.87545543858</v>
      </c>
      <c r="G422" s="6">
        <f t="shared" si="56"/>
        <v>111.5248413382393</v>
      </c>
      <c r="H422" s="6">
        <f t="shared" si="56"/>
        <v>112.02723495155939</v>
      </c>
      <c r="I422" s="6">
        <f t="shared" si="56"/>
        <v>112.5196703576229</v>
      </c>
      <c r="J422" s="6">
        <f t="shared" si="56"/>
        <v>112.5648468888273</v>
      </c>
      <c r="K422" s="6">
        <f t="shared" si="56"/>
        <v>113.04433550375791</v>
      </c>
      <c r="L422" s="6">
        <f t="shared" si="56"/>
        <v>113.5145120285696</v>
      </c>
      <c r="M422" s="6">
        <f t="shared" si="56"/>
        <v>113.47633656230281</v>
      </c>
      <c r="N422" s="6">
        <f t="shared" si="56"/>
        <v>113.43821672233091</v>
      </c>
      <c r="O422" s="6">
        <f t="shared" si="56"/>
        <v>113.27001425759541</v>
      </c>
      <c r="P422" s="6">
        <f t="shared" si="56"/>
        <v>113.2350028411453</v>
      </c>
      <c r="Q422" s="6">
        <f t="shared" si="56"/>
        <v>113.1998263783904</v>
      </c>
      <c r="R422" s="6">
        <f t="shared" si="56"/>
        <v>112.87099562799639</v>
      </c>
      <c r="S422" s="6">
        <f t="shared" si="56"/>
        <v>112.5438700453108</v>
      </c>
      <c r="T422" s="6">
        <f t="shared" si="56"/>
        <v>112.0953414641442</v>
      </c>
      <c r="U422" s="6">
        <f t="shared" si="56"/>
        <v>111.7733057348982</v>
      </c>
      <c r="V422" s="6">
        <f t="shared" si="56"/>
        <v>111.4523390475613</v>
      </c>
      <c r="W422" s="6">
        <f t="shared" si="56"/>
        <v>111.3874174886531</v>
      </c>
      <c r="X422" s="6">
        <f t="shared" si="56"/>
        <v>111.3230858402094</v>
      </c>
      <c r="Y422" s="6">
        <f t="shared" si="56"/>
        <v>111.2590823157262</v>
      </c>
      <c r="Z422" s="6">
        <f t="shared" si="56"/>
        <v>111.1953975844519</v>
      </c>
    </row>
    <row r="423" spans="1:53" outlineLevel="1" x14ac:dyDescent="0.35">
      <c r="A423" s="6" t="s">
        <v>758</v>
      </c>
      <c r="B423" s="6">
        <f>B118*$AC$385</f>
        <v>58.92843962432395</v>
      </c>
      <c r="C423" s="6">
        <f t="shared" ref="C423:Z424" si="57">C118*$AC$385</f>
        <v>54.336744028345151</v>
      </c>
      <c r="D423" s="6">
        <f t="shared" si="57"/>
        <v>49.741585958662043</v>
      </c>
      <c r="E423" s="6">
        <f t="shared" si="57"/>
        <v>44.917438220122641</v>
      </c>
      <c r="F423" s="6">
        <f t="shared" si="57"/>
        <v>40.308329178544298</v>
      </c>
      <c r="G423" s="6">
        <f t="shared" si="57"/>
        <v>35.69690119826204</v>
      </c>
      <c r="H423" s="6">
        <f t="shared" si="57"/>
        <v>41.06258999125793</v>
      </c>
      <c r="I423" s="6">
        <f t="shared" si="57"/>
        <v>46.39122398220259</v>
      </c>
      <c r="J423" s="6">
        <f t="shared" si="57"/>
        <v>51.461898483769694</v>
      </c>
      <c r="K423" s="6">
        <f t="shared" si="57"/>
        <v>56.710145922490753</v>
      </c>
      <c r="L423" s="6">
        <f t="shared" si="57"/>
        <v>61.922628866891806</v>
      </c>
      <c r="M423" s="6">
        <f t="shared" si="57"/>
        <v>68.534244056577691</v>
      </c>
      <c r="N423" s="6">
        <f t="shared" si="57"/>
        <v>75.13582376935075</v>
      </c>
      <c r="O423" s="6">
        <f t="shared" si="57"/>
        <v>81.67713973809289</v>
      </c>
      <c r="P423" s="6">
        <f t="shared" si="57"/>
        <v>88.259787477838103</v>
      </c>
      <c r="Q423" s="6">
        <f t="shared" si="57"/>
        <v>94.83210933410065</v>
      </c>
      <c r="R423" s="6">
        <f t="shared" si="57"/>
        <v>92.797122751275992</v>
      </c>
      <c r="S423" s="6">
        <f t="shared" si="57"/>
        <v>90.753474322652096</v>
      </c>
      <c r="T423" s="6">
        <f t="shared" si="57"/>
        <v>88.655222271553839</v>
      </c>
      <c r="U423" s="6">
        <f t="shared" si="57"/>
        <v>86.595216549854896</v>
      </c>
      <c r="V423" s="6">
        <f t="shared" si="57"/>
        <v>84.5260460482952</v>
      </c>
      <c r="W423" s="6">
        <f t="shared" si="57"/>
        <v>84.440492788152895</v>
      </c>
      <c r="X423" s="6">
        <f t="shared" si="57"/>
        <v>84.359256223878305</v>
      </c>
      <c r="Y423" s="6">
        <f t="shared" si="57"/>
        <v>84.277305060079854</v>
      </c>
      <c r="Z423" s="6">
        <f t="shared" si="57"/>
        <v>84.194534629347956</v>
      </c>
    </row>
    <row r="424" spans="1:53" outlineLevel="1" x14ac:dyDescent="0.35">
      <c r="A424" s="6" t="s">
        <v>759</v>
      </c>
      <c r="B424" s="6">
        <f>B119*$AC$385</f>
        <v>0</v>
      </c>
      <c r="C424" s="6">
        <f t="shared" si="57"/>
        <v>0</v>
      </c>
      <c r="D424" s="6">
        <f t="shared" si="57"/>
        <v>0</v>
      </c>
      <c r="E424" s="6">
        <f t="shared" si="57"/>
        <v>0</v>
      </c>
      <c r="F424" s="6">
        <f t="shared" si="57"/>
        <v>0</v>
      </c>
      <c r="G424" s="6">
        <f t="shared" si="57"/>
        <v>0</v>
      </c>
      <c r="H424" s="6">
        <f t="shared" si="57"/>
        <v>0</v>
      </c>
      <c r="I424" s="6">
        <f t="shared" si="57"/>
        <v>0</v>
      </c>
      <c r="J424" s="6">
        <f t="shared" si="57"/>
        <v>0</v>
      </c>
      <c r="K424" s="6">
        <f t="shared" si="57"/>
        <v>0</v>
      </c>
      <c r="L424" s="6">
        <f t="shared" si="57"/>
        <v>0</v>
      </c>
      <c r="M424" s="6">
        <f t="shared" si="57"/>
        <v>0</v>
      </c>
      <c r="N424" s="6">
        <f t="shared" si="57"/>
        <v>0</v>
      </c>
      <c r="O424" s="6">
        <f t="shared" si="57"/>
        <v>0</v>
      </c>
      <c r="P424" s="6">
        <f t="shared" si="57"/>
        <v>0</v>
      </c>
      <c r="Q424" s="6">
        <f t="shared" si="57"/>
        <v>0</v>
      </c>
      <c r="R424" s="6">
        <f t="shared" si="57"/>
        <v>0</v>
      </c>
      <c r="S424" s="6">
        <f t="shared" si="57"/>
        <v>0</v>
      </c>
      <c r="T424" s="6">
        <f t="shared" si="57"/>
        <v>0</v>
      </c>
      <c r="U424" s="6">
        <f t="shared" si="57"/>
        <v>0</v>
      </c>
      <c r="V424" s="6">
        <f t="shared" si="57"/>
        <v>0</v>
      </c>
      <c r="W424" s="6">
        <f t="shared" si="57"/>
        <v>0</v>
      </c>
      <c r="X424" s="6">
        <f t="shared" si="57"/>
        <v>0</v>
      </c>
      <c r="Y424" s="6">
        <f t="shared" si="57"/>
        <v>0</v>
      </c>
      <c r="Z424" s="6">
        <f t="shared" si="57"/>
        <v>0</v>
      </c>
    </row>
    <row r="425" spans="1:53" outlineLevel="1" x14ac:dyDescent="0.35">
      <c r="A425" s="6" t="s">
        <v>760</v>
      </c>
      <c r="B425" s="6">
        <f>$B$252*50*'Results - raw data ReCiPe (I)'!BC128/(1-0.5)*(1+'Results ReCiPe (I) - HHD'!$AC$271/'Results ReCiPe (I) - HHD'!$AC$272-'Results ReCiPe (I) - HHD'!$AC$271)</f>
        <v>336.14751507525233</v>
      </c>
      <c r="C425" s="6">
        <f>$B$252*50*'Results - raw data ReCiPe (I)'!BD128/(1-0.5)*(1+'Results ReCiPe (I) - HHD'!$AC$271/'Results ReCiPe (I) - HHD'!$AC$272-'Results ReCiPe (I) - HHD'!$AC$271)</f>
        <v>334.84576484283099</v>
      </c>
      <c r="D425" s="6">
        <f>$B$252*50*'Results - raw data ReCiPe (I)'!BE128/(1-0.5)*(1+'Results ReCiPe (I) - HHD'!$AC$271/'Results ReCiPe (I) - HHD'!$AC$272-'Results ReCiPe (I) - HHD'!$AC$271)</f>
        <v>333.52308735220038</v>
      </c>
      <c r="E425" s="6">
        <f>$B$252*50*'Results - raw data ReCiPe (I)'!BF128/(1-0.5)*(1+'Results ReCiPe (I) - HHD'!$AC$271/'Results ReCiPe (I) - HHD'!$AC$272-'Results ReCiPe (I) - HHD'!$AC$271)</f>
        <v>328.90364071327667</v>
      </c>
      <c r="F425" s="6">
        <f>$B$252*50*'Results - raw data ReCiPe (I)'!BG128/(1-0.5)*(1+'Results ReCiPe (I) - HHD'!$AC$271/'Results ReCiPe (I) - HHD'!$AC$272-'Results ReCiPe (I) - HHD'!$AC$271)</f>
        <v>327.51914242822323</v>
      </c>
      <c r="G425" s="6">
        <f>$B$252*50*'Results - raw data ReCiPe (I)'!BH128/(1-0.5)*(1+'Results ReCiPe (I) - HHD'!$AC$271/'Results ReCiPe (I) - HHD'!$AC$272-'Results ReCiPe (I) - HHD'!$AC$271)</f>
        <v>326.13586953118045</v>
      </c>
      <c r="H425" s="6">
        <f>$B$252*50*'Results - raw data ReCiPe (I)'!BI128/(1-0.5)*(1+'Results ReCiPe (I) - HHD'!$AC$271/'Results ReCiPe (I) - HHD'!$AC$272-'Results ReCiPe (I) - HHD'!$AC$271)</f>
        <v>326.98181280518838</v>
      </c>
      <c r="I425" s="6">
        <f>$B$252*50*'Results - raw data ReCiPe (I)'!BJ128/(1-0.5)*(1+'Results ReCiPe (I) - HHD'!$AC$271/'Results ReCiPe (I) - HHD'!$AC$272-'Results ReCiPe (I) - HHD'!$AC$271)</f>
        <v>327.78936413975191</v>
      </c>
      <c r="J425" s="6">
        <f>$B$252*50*'Results - raw data ReCiPe (I)'!BK128/(1-0.5)*(1+'Results ReCiPe (I) - HHD'!$AC$271/'Results ReCiPe (I) - HHD'!$AC$272-'Results ReCiPe (I) - HHD'!$AC$271)</f>
        <v>326.35550355728918</v>
      </c>
      <c r="K425" s="6">
        <f>$B$252*50*'Results - raw data ReCiPe (I)'!BL128/(1-0.5)*(1+'Results ReCiPe (I) - HHD'!$AC$271/'Results ReCiPe (I) - HHD'!$AC$272-'Results ReCiPe (I) - HHD'!$AC$271)</f>
        <v>327.11718799948471</v>
      </c>
      <c r="L425" s="6">
        <f>$B$252*50*'Results - raw data ReCiPe (I)'!BM128/(1-0.5)*(1+'Results ReCiPe (I) - HHD'!$AC$271/'Results ReCiPe (I) - HHD'!$AC$272-'Results ReCiPe (I) - HHD'!$AC$271)</f>
        <v>327.84748188650991</v>
      </c>
      <c r="M425" s="6">
        <f>$B$252*50*'Results - raw data ReCiPe (I)'!BN128/(1-0.5)*(1+'Results ReCiPe (I) - HHD'!$AC$271/'Results ReCiPe (I) - HHD'!$AC$272-'Results ReCiPe (I) - HHD'!$AC$271)</f>
        <v>327.2041472533399</v>
      </c>
      <c r="N425" s="6">
        <f>$B$252*50*'Results - raw data ReCiPe (I)'!BO128/(1-0.5)*(1+'Results ReCiPe (I) - HHD'!$AC$271/'Results ReCiPe (I) - HHD'!$AC$272-'Results ReCiPe (I) - HHD'!$AC$271)</f>
        <v>326.56951558623643</v>
      </c>
      <c r="O425" s="6">
        <f>$B$252*50*'Results - raw data ReCiPe (I)'!BP128/(1-0.5)*(1+'Results ReCiPe (I) - HHD'!$AC$271/'Results ReCiPe (I) - HHD'!$AC$272-'Results ReCiPe (I) - HHD'!$AC$271)</f>
        <v>325.32599823043961</v>
      </c>
      <c r="P425" s="6">
        <f>$B$252*50*'Results - raw data ReCiPe (I)'!BQ128/(1-0.5)*(1+'Results ReCiPe (I) - HHD'!$AC$271/'Results ReCiPe (I) - HHD'!$AC$272-'Results ReCiPe (I) - HHD'!$AC$271)</f>
        <v>324.70102944038865</v>
      </c>
      <c r="Q425" s="6">
        <f>$B$252*50*'Results - raw data ReCiPe (I)'!BR128/(1-0.5)*(1+'Results ReCiPe (I) - HHD'!$AC$271/'Results ReCiPe (I) - HHD'!$AC$272-'Results ReCiPe (I) - HHD'!$AC$271)</f>
        <v>324.06899646438103</v>
      </c>
      <c r="R425" s="6">
        <f>$B$252*50*'Results - raw data ReCiPe (I)'!BS128/(1-0.5)*(1+'Results ReCiPe (I) - HHD'!$AC$271/'Results ReCiPe (I) - HHD'!$AC$272-'Results ReCiPe (I) - HHD'!$AC$271)</f>
        <v>322.58166966215782</v>
      </c>
      <c r="S425" s="6">
        <f>$B$252*50*'Results - raw data ReCiPe (I)'!BT128/(1-0.5)*(1+'Results ReCiPe (I) - HHD'!$AC$271/'Results ReCiPe (I) - HHD'!$AC$272-'Results ReCiPe (I) - HHD'!$AC$271)</f>
        <v>321.10990290084789</v>
      </c>
      <c r="T425" s="6">
        <f>$B$252*50*'Results - raw data ReCiPe (I)'!BU128/(1-0.5)*(1+'Results ReCiPe (I) - HHD'!$AC$271/'Results ReCiPe (I) - HHD'!$AC$272-'Results ReCiPe (I) - HHD'!$AC$271)</f>
        <v>319.06734038442346</v>
      </c>
      <c r="U425" s="6">
        <f>$B$252*50*'Results - raw data ReCiPe (I)'!BV128/(1-0.5)*(1+'Results ReCiPe (I) - HHD'!$AC$271/'Results ReCiPe (I) - HHD'!$AC$272-'Results ReCiPe (I) - HHD'!$AC$271)</f>
        <v>317.61186136518774</v>
      </c>
      <c r="V425" s="6">
        <f>$B$252*50*'Results - raw data ReCiPe (I)'!BW128/(1-0.5)*(1+'Results ReCiPe (I) - HHD'!$AC$271/'Results ReCiPe (I) - HHD'!$AC$272-'Results ReCiPe (I) - HHD'!$AC$271)</f>
        <v>316.0851132280456</v>
      </c>
      <c r="W425" s="6">
        <f>$B$252*50*'Results - raw data ReCiPe (I)'!BX128/(1-0.5)*(1+'Results ReCiPe (I) - HHD'!$AC$271/'Results ReCiPe (I) - HHD'!$AC$272-'Results ReCiPe (I) - HHD'!$AC$271)</f>
        <v>315.72808592108299</v>
      </c>
      <c r="X425" s="6">
        <f>$B$252*50*'Results - raw data ReCiPe (I)'!BY128/(1-0.5)*(1+'Results ReCiPe (I) - HHD'!$AC$271/'Results ReCiPe (I) - HHD'!$AC$272-'Results ReCiPe (I) - HHD'!$AC$271)</f>
        <v>315.37373541834535</v>
      </c>
      <c r="Y425" s="6">
        <f>$B$252*50*'Results - raw data ReCiPe (I)'!BZ128/(1-0.5)*(1+'Results ReCiPe (I) - HHD'!$AC$271/'Results ReCiPe (I) - HHD'!$AC$272-'Results ReCiPe (I) - HHD'!$AC$271)</f>
        <v>315.02097972612336</v>
      </c>
      <c r="Z425" s="6">
        <f>$B$252*50*'Results - raw data ReCiPe (I)'!CA128/(1-0.5)*(1+'Results ReCiPe (I) - HHD'!$AC$271/'Results ReCiPe (I) - HHD'!$AC$272-'Results ReCiPe (I) - HHD'!$AC$271)</f>
        <v>314.66978822511641</v>
      </c>
    </row>
    <row r="426" spans="1:53" outlineLevel="1" x14ac:dyDescent="0.35">
      <c r="A426" s="6" t="s">
        <v>797</v>
      </c>
      <c r="B426" s="6">
        <f>$B$380*$AC$384</f>
        <v>350.66591682751931</v>
      </c>
      <c r="C426" s="6">
        <f t="shared" ref="C426:Z426" si="58">$B$380*$AC$384</f>
        <v>350.66591682751931</v>
      </c>
      <c r="D426" s="6">
        <f t="shared" si="58"/>
        <v>350.66591682751931</v>
      </c>
      <c r="E426" s="6">
        <f t="shared" si="58"/>
        <v>350.66591682751931</v>
      </c>
      <c r="F426" s="6">
        <f t="shared" si="58"/>
        <v>350.66591682751931</v>
      </c>
      <c r="G426" s="6">
        <f t="shared" si="58"/>
        <v>350.66591682751931</v>
      </c>
      <c r="H426" s="6">
        <f t="shared" si="58"/>
        <v>350.66591682751931</v>
      </c>
      <c r="I426" s="6">
        <f t="shared" si="58"/>
        <v>350.66591682751931</v>
      </c>
      <c r="J426" s="6">
        <f t="shared" si="58"/>
        <v>350.66591682751931</v>
      </c>
      <c r="K426" s="6">
        <f t="shared" si="58"/>
        <v>350.66591682751931</v>
      </c>
      <c r="L426" s="6">
        <f t="shared" si="58"/>
        <v>350.66591682751931</v>
      </c>
      <c r="M426" s="6">
        <f t="shared" si="58"/>
        <v>350.66591682751931</v>
      </c>
      <c r="N426" s="6">
        <f t="shared" si="58"/>
        <v>350.66591682751931</v>
      </c>
      <c r="O426" s="6">
        <f t="shared" si="58"/>
        <v>350.66591682751931</v>
      </c>
      <c r="P426" s="6">
        <f t="shared" si="58"/>
        <v>350.66591682751931</v>
      </c>
      <c r="Q426" s="6">
        <f t="shared" si="58"/>
        <v>350.66591682751931</v>
      </c>
      <c r="R426" s="6">
        <f t="shared" si="58"/>
        <v>350.66591682751931</v>
      </c>
      <c r="S426" s="6">
        <f t="shared" si="58"/>
        <v>350.66591682751931</v>
      </c>
      <c r="T426" s="6">
        <f t="shared" si="58"/>
        <v>350.66591682751931</v>
      </c>
      <c r="U426" s="6">
        <f t="shared" si="58"/>
        <v>350.66591682751931</v>
      </c>
      <c r="V426" s="6">
        <f t="shared" si="58"/>
        <v>350.66591682751931</v>
      </c>
      <c r="W426" s="6">
        <f t="shared" si="58"/>
        <v>350.66591682751931</v>
      </c>
      <c r="X426" s="6">
        <f t="shared" si="58"/>
        <v>350.66591682751931</v>
      </c>
      <c r="Y426" s="6">
        <f t="shared" si="58"/>
        <v>350.66591682751931</v>
      </c>
      <c r="Z426" s="6">
        <f t="shared" si="58"/>
        <v>350.66591682751931</v>
      </c>
    </row>
    <row r="427" spans="1:53" outlineLevel="1" x14ac:dyDescent="0.35">
      <c r="A427" s="23" t="s">
        <v>125</v>
      </c>
      <c r="B427" s="17">
        <f>SUM(B395:B425)</f>
        <v>3261.45500074353</v>
      </c>
      <c r="C427" s="17">
        <f t="shared" ref="C427:Z427" si="59">SUM(C395:C425)</f>
        <v>502.74494235828155</v>
      </c>
      <c r="D427" s="17">
        <f t="shared" si="59"/>
        <v>496.48578556632265</v>
      </c>
      <c r="E427" s="17">
        <f t="shared" si="59"/>
        <v>486.04134203756411</v>
      </c>
      <c r="F427" s="17">
        <f t="shared" si="59"/>
        <v>479.70292704534756</v>
      </c>
      <c r="G427" s="17">
        <f t="shared" si="59"/>
        <v>473.35761206768177</v>
      </c>
      <c r="H427" s="17">
        <f t="shared" si="59"/>
        <v>480.07163774800574</v>
      </c>
      <c r="I427" s="17">
        <f t="shared" si="59"/>
        <v>486.70025847957743</v>
      </c>
      <c r="J427" s="17">
        <f t="shared" si="59"/>
        <v>490.38224892988615</v>
      </c>
      <c r="K427" s="17">
        <f t="shared" si="59"/>
        <v>496.87166942573339</v>
      </c>
      <c r="L427" s="17">
        <f t="shared" si="59"/>
        <v>503.28462278197128</v>
      </c>
      <c r="M427" s="17">
        <f t="shared" si="59"/>
        <v>509.21472787222041</v>
      </c>
      <c r="N427" s="17">
        <f t="shared" si="59"/>
        <v>515.14355607791811</v>
      </c>
      <c r="O427" s="17">
        <f t="shared" si="59"/>
        <v>520.27315222612788</v>
      </c>
      <c r="P427" s="17">
        <f t="shared" si="59"/>
        <v>526.19581975937206</v>
      </c>
      <c r="Q427" s="17">
        <f t="shared" si="59"/>
        <v>532.10093217687211</v>
      </c>
      <c r="R427" s="17">
        <f t="shared" si="59"/>
        <v>528.24978804143018</v>
      </c>
      <c r="S427" s="17">
        <f t="shared" si="59"/>
        <v>524.40724726881081</v>
      </c>
      <c r="T427" s="17">
        <f t="shared" si="59"/>
        <v>519.81790412012151</v>
      </c>
      <c r="U427" s="17">
        <f t="shared" si="59"/>
        <v>515.9803836499409</v>
      </c>
      <c r="V427" s="17">
        <f t="shared" si="59"/>
        <v>512.06349832390208</v>
      </c>
      <c r="W427" s="17">
        <f t="shared" si="59"/>
        <v>511.55599619788899</v>
      </c>
      <c r="X427" s="17">
        <f t="shared" si="59"/>
        <v>511.05607748243307</v>
      </c>
      <c r="Y427" s="17">
        <f t="shared" si="59"/>
        <v>510.5573671019294</v>
      </c>
      <c r="Z427" s="17">
        <f t="shared" si="59"/>
        <v>549.48526926080024</v>
      </c>
    </row>
    <row r="428" spans="1:53" s="26" customFormat="1" outlineLevel="1" x14ac:dyDescent="0.35"/>
    <row r="429" spans="1:53" s="236" customFormat="1" ht="21" x14ac:dyDescent="0.5">
      <c r="A429" s="236" t="s">
        <v>136</v>
      </c>
    </row>
    <row r="432" spans="1:53" x14ac:dyDescent="0.35">
      <c r="A432" s="331" t="s">
        <v>131</v>
      </c>
      <c r="B432" s="331"/>
      <c r="C432" s="331"/>
      <c r="D432" s="331"/>
      <c r="E432" s="331"/>
      <c r="F432" s="331"/>
      <c r="G432" s="331"/>
      <c r="H432" s="331"/>
      <c r="I432" s="331"/>
      <c r="J432" s="331"/>
      <c r="K432" s="331"/>
    </row>
    <row r="433" spans="1:11" x14ac:dyDescent="0.35">
      <c r="A433" s="6" t="s">
        <v>907</v>
      </c>
    </row>
    <row r="434" spans="1:11" x14ac:dyDescent="0.35">
      <c r="B434" s="6" t="s">
        <v>889</v>
      </c>
      <c r="C434" s="6" t="s">
        <v>891</v>
      </c>
      <c r="D434" s="6" t="s">
        <v>890</v>
      </c>
      <c r="E434" s="6" t="s">
        <v>892</v>
      </c>
      <c r="F434" s="6" t="s">
        <v>893</v>
      </c>
      <c r="G434" s="6" t="s">
        <v>894</v>
      </c>
      <c r="H434" s="6" t="s">
        <v>896</v>
      </c>
      <c r="I434" s="6" t="s">
        <v>897</v>
      </c>
      <c r="J434" s="6" t="s">
        <v>895</v>
      </c>
    </row>
    <row r="435" spans="1:11" x14ac:dyDescent="0.35">
      <c r="A435" s="6" t="s">
        <v>117</v>
      </c>
      <c r="B435" s="6">
        <f>SUM(AC10:BA10)</f>
        <v>2878.9918075462724</v>
      </c>
      <c r="C435" s="6">
        <f>SUM(AC50:BA50)</f>
        <v>2823.4856314484796</v>
      </c>
      <c r="D435" s="6">
        <f>SUM(AC90:BA90)</f>
        <v>2667.7638206178117</v>
      </c>
      <c r="E435" s="6">
        <f>SUM(AC132:BA132)</f>
        <v>2878.9918075462724</v>
      </c>
      <c r="F435" s="6">
        <f>SUM(AC173:BA173)</f>
        <v>2823.4856314484796</v>
      </c>
      <c r="G435" s="6">
        <f>SUM(AC214:BA214)</f>
        <v>2667.7638206178117</v>
      </c>
      <c r="H435" s="6">
        <f>SUM(AC274:BA274)</f>
        <v>2831.6991031143757</v>
      </c>
      <c r="I435" s="6">
        <f>SUM(AC334:BA334)</f>
        <v>2776.8663578779779</v>
      </c>
      <c r="J435" s="6">
        <f>SUM(AC395:BA395)</f>
        <v>2622.5862812927635</v>
      </c>
    </row>
    <row r="436" spans="1:11" x14ac:dyDescent="0.35">
      <c r="A436" s="6" t="s">
        <v>118</v>
      </c>
      <c r="B436" s="6">
        <f>SUM(AC11:BA11)</f>
        <v>270.56319436365197</v>
      </c>
      <c r="C436" s="6">
        <f>SUM(AC51:BA51)</f>
        <v>267.84906066089701</v>
      </c>
      <c r="D436" s="6">
        <f>SUM(AC91:BA91)</f>
        <v>259.78797680878478</v>
      </c>
      <c r="E436" s="6">
        <f>SUM(AC133:BA133)</f>
        <v>270.56319436365197</v>
      </c>
      <c r="F436" s="6">
        <f>SUM(AC174:BA174)</f>
        <v>267.84906066089701</v>
      </c>
      <c r="G436" s="6">
        <f>SUM(AC215:BA215)</f>
        <v>259.78797680878478</v>
      </c>
      <c r="H436" s="6">
        <f t="shared" ref="H436:H444" si="60">SUM(AC275:BA275)</f>
        <v>135.28159718182599</v>
      </c>
      <c r="I436" s="6">
        <f t="shared" ref="I436:I444" si="61">SUM(AC335:BA335)</f>
        <v>133.9245303304485</v>
      </c>
      <c r="J436" s="6">
        <f t="shared" ref="J436:J444" si="62">SUM(AC396:BA396)</f>
        <v>129.89398840439239</v>
      </c>
    </row>
    <row r="437" spans="1:11" x14ac:dyDescent="0.35">
      <c r="A437" s="6" t="s">
        <v>119</v>
      </c>
      <c r="B437" s="6">
        <f>SUM(AC12:BA12)</f>
        <v>45.667206385167617</v>
      </c>
      <c r="C437" s="6">
        <f>SUM(AC52:BA52)</f>
        <v>41.820043084295236</v>
      </c>
      <c r="D437" s="6">
        <f>SUM(AC92:BA92)</f>
        <v>38.811208026370814</v>
      </c>
      <c r="E437" s="6">
        <f>SUM(AC134:BA134)</f>
        <v>45.667206385167617</v>
      </c>
      <c r="F437" s="6">
        <f>SUM(AC175:BA175)</f>
        <v>41.820043084295236</v>
      </c>
      <c r="G437" s="6">
        <f>SUM(AC216:BA216)</f>
        <v>38.811208026370814</v>
      </c>
      <c r="H437" s="6">
        <f t="shared" si="60"/>
        <v>45.667206385167617</v>
      </c>
      <c r="I437" s="6">
        <f t="shared" si="61"/>
        <v>41.820043084295236</v>
      </c>
      <c r="J437" s="6">
        <f t="shared" si="62"/>
        <v>38.811208026370814</v>
      </c>
    </row>
    <row r="438" spans="1:11" x14ac:dyDescent="0.35">
      <c r="A438" s="6" t="s">
        <v>120</v>
      </c>
      <c r="B438" s="6">
        <f>SUM(AC13:BA13)</f>
        <v>1.3426941091969788</v>
      </c>
      <c r="C438" s="6">
        <f>SUM(AC53:BA53)</f>
        <v>1.2962600802775475</v>
      </c>
      <c r="D438" s="6">
        <f>SUM(AC93:BA93)</f>
        <v>1.2286815910263129</v>
      </c>
      <c r="E438" s="6">
        <f>SUM(AC135:BA135)</f>
        <v>1.3426941091969788</v>
      </c>
      <c r="F438" s="6">
        <f>SUM(AC176:BA176)</f>
        <v>1.2962600802775475</v>
      </c>
      <c r="G438" s="6">
        <f>SUM(AC217:BA217)</f>
        <v>1.2286815910263129</v>
      </c>
      <c r="H438" s="6">
        <f t="shared" si="60"/>
        <v>0.67134705459848942</v>
      </c>
      <c r="I438" s="6">
        <f t="shared" si="61"/>
        <v>0.64813004013877373</v>
      </c>
      <c r="J438" s="6">
        <f t="shared" si="62"/>
        <v>0.61434079551315646</v>
      </c>
    </row>
    <row r="439" spans="1:11" x14ac:dyDescent="0.35">
      <c r="A439" s="6" t="s">
        <v>121</v>
      </c>
      <c r="B439" s="6">
        <f>SUM(AC14:BA14)</f>
        <v>1048.7449850238131</v>
      </c>
      <c r="C439" s="6">
        <f>SUM(AC54:BA54)</f>
        <v>1031.8671996737844</v>
      </c>
      <c r="D439" s="6">
        <f>SUM(AC94:BA94)</f>
        <v>1012.5068095442507</v>
      </c>
      <c r="E439" s="6">
        <f>SUM(AC136:BA136)</f>
        <v>1048.7449850238131</v>
      </c>
      <c r="F439" s="6">
        <f>SUM(AC177:BA177)</f>
        <v>1031.8671996737844</v>
      </c>
      <c r="G439" s="6">
        <f>SUM(AC218:BA218)</f>
        <v>1012.5068095442507</v>
      </c>
      <c r="H439" s="6">
        <f t="shared" si="60"/>
        <v>1048.7449850238131</v>
      </c>
      <c r="I439" s="6">
        <f t="shared" si="61"/>
        <v>1031.8671996737844</v>
      </c>
      <c r="J439" s="6">
        <f t="shared" si="62"/>
        <v>1012.5068095442507</v>
      </c>
    </row>
    <row r="440" spans="1:11" x14ac:dyDescent="0.35">
      <c r="A440" s="6" t="s">
        <v>800</v>
      </c>
      <c r="H440" s="6">
        <f t="shared" si="60"/>
        <v>9646.1881087315251</v>
      </c>
      <c r="I440" s="6">
        <f t="shared" si="61"/>
        <v>9429.8190901651014</v>
      </c>
      <c r="J440" s="6">
        <f t="shared" si="62"/>
        <v>8766.6479206879812</v>
      </c>
    </row>
    <row r="441" spans="1:11" x14ac:dyDescent="0.35">
      <c r="A441" s="6" t="s">
        <v>122</v>
      </c>
      <c r="B441" s="6">
        <f>SUM(AC15:BA15)</f>
        <v>66412.012334511048</v>
      </c>
      <c r="C441" s="6">
        <f>SUM(AC55:BA55)</f>
        <v>56639.17404080445</v>
      </c>
      <c r="D441" s="6">
        <f>SUM(AC95:BA95)</f>
        <v>47259.076497091948</v>
      </c>
      <c r="E441" s="6">
        <f>SUM(AC137:BA137)</f>
        <v>52278.946044300552</v>
      </c>
      <c r="F441" s="6">
        <f>SUM(AC178:BA178)</f>
        <v>44815.854058738623</v>
      </c>
      <c r="G441" s="6">
        <f>SUM(AC219:BA219)</f>
        <v>34976.878822359809</v>
      </c>
      <c r="H441" s="6">
        <f t="shared" si="60"/>
        <v>8388.6722631179182</v>
      </c>
      <c r="I441" s="6">
        <f t="shared" si="61"/>
        <v>8326.0579233599437</v>
      </c>
      <c r="J441" s="6">
        <f t="shared" si="62"/>
        <v>8108.2845341373059</v>
      </c>
    </row>
    <row r="442" spans="1:11" x14ac:dyDescent="0.35">
      <c r="A442" s="6" t="s">
        <v>123</v>
      </c>
      <c r="B442" s="6">
        <f>SUM(AC16:BA16)</f>
        <v>5180.3125763242542</v>
      </c>
      <c r="C442" s="6">
        <f>SUM(AC56:BA56)</f>
        <v>4444.1695662786697</v>
      </c>
      <c r="D442" s="6">
        <f>SUM(AC96:BA96)</f>
        <v>3461.0314009518479</v>
      </c>
      <c r="E442" s="6">
        <f>SUM(AC138:BA138)</f>
        <v>5180.3125763242542</v>
      </c>
      <c r="F442" s="6">
        <f>SUM(AC179:BA179)</f>
        <v>4444.1695662786697</v>
      </c>
      <c r="G442" s="6">
        <f>SUM(AC220:BA220)</f>
        <v>3461.0314009518479</v>
      </c>
      <c r="H442" s="6">
        <f t="shared" si="60"/>
        <v>2590.1562881621271</v>
      </c>
      <c r="I442" s="6">
        <f t="shared" si="61"/>
        <v>2222.0847831393348</v>
      </c>
      <c r="J442" s="6">
        <f t="shared" si="62"/>
        <v>1730.5157004759239</v>
      </c>
    </row>
    <row r="443" spans="1:11" x14ac:dyDescent="0.35">
      <c r="A443" s="6" t="s">
        <v>124</v>
      </c>
      <c r="B443" s="6">
        <f>SUM(AC17:BA17)</f>
        <v>0</v>
      </c>
      <c r="C443" s="6">
        <f>SUM(AC57:BA57)</f>
        <v>0</v>
      </c>
      <c r="D443" s="6">
        <f>SUM(AC97:BA97)</f>
        <v>0</v>
      </c>
      <c r="E443" s="6">
        <f>SUM(AC139:BA139)</f>
        <v>0</v>
      </c>
      <c r="F443" s="6">
        <f>SUM(AC180:BA180)</f>
        <v>0</v>
      </c>
      <c r="G443" s="6">
        <f>SUM(AC221:BA221)</f>
        <v>0</v>
      </c>
      <c r="H443" s="6">
        <f t="shared" si="60"/>
        <v>0</v>
      </c>
      <c r="I443" s="6">
        <f t="shared" si="61"/>
        <v>0</v>
      </c>
      <c r="J443" s="6">
        <f t="shared" si="62"/>
        <v>0</v>
      </c>
    </row>
    <row r="444" spans="1:11" x14ac:dyDescent="0.35">
      <c r="A444" s="6" t="s">
        <v>137</v>
      </c>
      <c r="B444" s="6">
        <f>SUM(AC18:BA18)</f>
        <v>75837.634798263418</v>
      </c>
      <c r="C444" s="6">
        <f>SUM(AC58:BA58)</f>
        <v>65249.661802030845</v>
      </c>
      <c r="D444" s="6">
        <f>SUM(AC98:BA98)</f>
        <v>54700.206394632034</v>
      </c>
      <c r="E444" s="6">
        <f>SUM(AC140:BA140)</f>
        <v>61704.568508052922</v>
      </c>
      <c r="F444" s="6">
        <f>SUM(AC181:BA181)</f>
        <v>53426.341819965019</v>
      </c>
      <c r="G444" s="6">
        <f>SUM(AC222:BA222)</f>
        <v>42418.008719899903</v>
      </c>
      <c r="H444" s="6">
        <f t="shared" si="60"/>
        <v>24687.080898771335</v>
      </c>
      <c r="I444" s="6">
        <f t="shared" si="61"/>
        <v>23963.08805767103</v>
      </c>
      <c r="J444" s="6">
        <f t="shared" si="62"/>
        <v>22409.8607833645</v>
      </c>
    </row>
    <row r="446" spans="1:11" x14ac:dyDescent="0.35">
      <c r="A446" s="331" t="s">
        <v>133</v>
      </c>
      <c r="B446" s="331"/>
      <c r="C446" s="331"/>
      <c r="D446" s="331"/>
      <c r="E446" s="331"/>
      <c r="F446" s="331"/>
      <c r="G446" s="331"/>
      <c r="H446" s="331"/>
      <c r="I446" s="331"/>
      <c r="J446" s="331"/>
      <c r="K446" s="331"/>
    </row>
    <row r="447" spans="1:11" x14ac:dyDescent="0.35">
      <c r="A447" s="6" t="s">
        <v>908</v>
      </c>
    </row>
    <row r="448" spans="1:11" x14ac:dyDescent="0.35">
      <c r="B448" s="6" t="s">
        <v>889</v>
      </c>
      <c r="C448" s="6" t="s">
        <v>891</v>
      </c>
      <c r="D448" s="6" t="s">
        <v>890</v>
      </c>
      <c r="E448" s="6" t="s">
        <v>892</v>
      </c>
      <c r="F448" s="6" t="s">
        <v>893</v>
      </c>
      <c r="G448" s="6" t="s">
        <v>894</v>
      </c>
      <c r="H448" s="6" t="s">
        <v>896</v>
      </c>
      <c r="I448" s="6" t="s">
        <v>897</v>
      </c>
      <c r="J448" s="6" t="s">
        <v>895</v>
      </c>
    </row>
    <row r="449" spans="1:11" x14ac:dyDescent="0.35">
      <c r="A449" s="6" t="s">
        <v>117</v>
      </c>
      <c r="B449" s="6">
        <f>B435/25</f>
        <v>115.15967230185089</v>
      </c>
      <c r="C449" s="6">
        <f t="shared" ref="C449:J449" si="63">C435/25</f>
        <v>112.93942525793918</v>
      </c>
      <c r="D449" s="6">
        <f t="shared" si="63"/>
        <v>106.71055282471247</v>
      </c>
      <c r="E449" s="6">
        <f t="shared" si="63"/>
        <v>115.15967230185089</v>
      </c>
      <c r="F449" s="6">
        <f t="shared" si="63"/>
        <v>112.93942525793918</v>
      </c>
      <c r="G449" s="6">
        <f t="shared" si="63"/>
        <v>106.71055282471247</v>
      </c>
      <c r="H449" s="6">
        <f t="shared" si="63"/>
        <v>113.26796412457503</v>
      </c>
      <c r="I449" s="6">
        <f t="shared" si="63"/>
        <v>111.07465431511912</v>
      </c>
      <c r="J449" s="6">
        <f t="shared" si="63"/>
        <v>104.90345125171054</v>
      </c>
    </row>
    <row r="450" spans="1:11" x14ac:dyDescent="0.35">
      <c r="A450" s="6" t="s">
        <v>118</v>
      </c>
      <c r="B450" s="6">
        <f t="shared" ref="B450:J458" si="64">B436/25</f>
        <v>10.82252777454608</v>
      </c>
      <c r="C450" s="6">
        <f t="shared" si="64"/>
        <v>10.713962426435881</v>
      </c>
      <c r="D450" s="6">
        <f t="shared" si="64"/>
        <v>10.391519072351391</v>
      </c>
      <c r="E450" s="6">
        <f t="shared" si="64"/>
        <v>10.82252777454608</v>
      </c>
      <c r="F450" s="6">
        <f t="shared" si="64"/>
        <v>10.713962426435881</v>
      </c>
      <c r="G450" s="6">
        <f t="shared" si="64"/>
        <v>10.391519072351391</v>
      </c>
      <c r="H450" s="6">
        <f t="shared" si="64"/>
        <v>5.4112638872730399</v>
      </c>
      <c r="I450" s="6">
        <f t="shared" si="64"/>
        <v>5.3569812132179404</v>
      </c>
      <c r="J450" s="6">
        <f t="shared" si="64"/>
        <v>5.1957595361756956</v>
      </c>
    </row>
    <row r="451" spans="1:11" x14ac:dyDescent="0.35">
      <c r="A451" s="6" t="s">
        <v>119</v>
      </c>
      <c r="B451" s="6">
        <f t="shared" si="64"/>
        <v>1.8266882554067048</v>
      </c>
      <c r="C451" s="6">
        <f t="shared" si="64"/>
        <v>1.6728017233718093</v>
      </c>
      <c r="D451" s="6">
        <f t="shared" si="64"/>
        <v>1.5524483210548325</v>
      </c>
      <c r="E451" s="6">
        <f t="shared" si="64"/>
        <v>1.8266882554067048</v>
      </c>
      <c r="F451" s="6">
        <f t="shared" si="64"/>
        <v>1.6728017233718093</v>
      </c>
      <c r="G451" s="6">
        <f t="shared" si="64"/>
        <v>1.5524483210548325</v>
      </c>
      <c r="H451" s="6">
        <f t="shared" si="64"/>
        <v>1.8266882554067048</v>
      </c>
      <c r="I451" s="6">
        <f t="shared" si="64"/>
        <v>1.6728017233718093</v>
      </c>
      <c r="J451" s="6">
        <f t="shared" si="64"/>
        <v>1.5524483210548325</v>
      </c>
    </row>
    <row r="452" spans="1:11" x14ac:dyDescent="0.35">
      <c r="A452" s="6" t="s">
        <v>120</v>
      </c>
      <c r="B452" s="6">
        <f t="shared" si="64"/>
        <v>5.3707764367879156E-2</v>
      </c>
      <c r="C452" s="6">
        <f t="shared" si="64"/>
        <v>5.1850403211101896E-2</v>
      </c>
      <c r="D452" s="6">
        <f t="shared" si="64"/>
        <v>4.9147263641052513E-2</v>
      </c>
      <c r="E452" s="6">
        <f t="shared" si="64"/>
        <v>5.3707764367879156E-2</v>
      </c>
      <c r="F452" s="6">
        <f t="shared" si="64"/>
        <v>5.1850403211101896E-2</v>
      </c>
      <c r="G452" s="6">
        <f t="shared" si="64"/>
        <v>4.9147263641052513E-2</v>
      </c>
      <c r="H452" s="6">
        <f t="shared" si="64"/>
        <v>2.6853882183939578E-2</v>
      </c>
      <c r="I452" s="6">
        <f t="shared" si="64"/>
        <v>2.5925201605550948E-2</v>
      </c>
      <c r="J452" s="6">
        <f t="shared" si="64"/>
        <v>2.4573631820526257E-2</v>
      </c>
    </row>
    <row r="453" spans="1:11" x14ac:dyDescent="0.35">
      <c r="A453" s="6" t="s">
        <v>121</v>
      </c>
      <c r="B453" s="6">
        <f t="shared" si="64"/>
        <v>41.949799400952521</v>
      </c>
      <c r="C453" s="6">
        <f t="shared" si="64"/>
        <v>41.274687986951378</v>
      </c>
      <c r="D453" s="6">
        <f t="shared" si="64"/>
        <v>40.500272381770031</v>
      </c>
      <c r="E453" s="6">
        <f t="shared" si="64"/>
        <v>41.949799400952521</v>
      </c>
      <c r="F453" s="6">
        <f t="shared" si="64"/>
        <v>41.274687986951378</v>
      </c>
      <c r="G453" s="6">
        <f t="shared" si="64"/>
        <v>40.500272381770031</v>
      </c>
      <c r="H453" s="6">
        <f t="shared" si="64"/>
        <v>41.949799400952521</v>
      </c>
      <c r="I453" s="6">
        <f t="shared" si="64"/>
        <v>41.274687986951378</v>
      </c>
      <c r="J453" s="6">
        <f t="shared" si="64"/>
        <v>40.500272381770031</v>
      </c>
    </row>
    <row r="454" spans="1:11" x14ac:dyDescent="0.35">
      <c r="A454" s="6" t="s">
        <v>800</v>
      </c>
      <c r="B454" s="6">
        <f t="shared" si="64"/>
        <v>0</v>
      </c>
      <c r="C454" s="6">
        <f t="shared" si="64"/>
        <v>0</v>
      </c>
      <c r="D454" s="6">
        <f t="shared" si="64"/>
        <v>0</v>
      </c>
      <c r="E454" s="6">
        <f t="shared" si="64"/>
        <v>0</v>
      </c>
      <c r="F454" s="6">
        <f t="shared" si="64"/>
        <v>0</v>
      </c>
      <c r="G454" s="6">
        <f t="shared" si="64"/>
        <v>0</v>
      </c>
      <c r="H454" s="6">
        <f t="shared" si="64"/>
        <v>385.84752434926099</v>
      </c>
      <c r="I454" s="6">
        <f t="shared" si="64"/>
        <v>377.19276360660405</v>
      </c>
      <c r="J454" s="6">
        <f t="shared" si="64"/>
        <v>350.66591682751925</v>
      </c>
    </row>
    <row r="455" spans="1:11" x14ac:dyDescent="0.35">
      <c r="A455" s="6" t="s">
        <v>122</v>
      </c>
      <c r="B455" s="6">
        <f t="shared" si="64"/>
        <v>2656.4804933804421</v>
      </c>
      <c r="C455" s="6">
        <f t="shared" si="64"/>
        <v>2265.5669616321779</v>
      </c>
      <c r="D455" s="6">
        <f t="shared" si="64"/>
        <v>1890.363059883678</v>
      </c>
      <c r="E455" s="6">
        <f t="shared" si="64"/>
        <v>2091.157841772022</v>
      </c>
      <c r="F455" s="6">
        <f t="shared" si="64"/>
        <v>1792.634162349545</v>
      </c>
      <c r="G455" s="6">
        <f t="shared" si="64"/>
        <v>1399.0751528943924</v>
      </c>
      <c r="H455" s="6">
        <f t="shared" si="64"/>
        <v>335.54689052471673</v>
      </c>
      <c r="I455" s="6">
        <f t="shared" si="64"/>
        <v>333.04231693439777</v>
      </c>
      <c r="J455" s="6">
        <f t="shared" si="64"/>
        <v>324.33138136549223</v>
      </c>
    </row>
    <row r="456" spans="1:11" x14ac:dyDescent="0.35">
      <c r="A456" s="6" t="s">
        <v>123</v>
      </c>
      <c r="B456" s="6">
        <f t="shared" si="64"/>
        <v>207.21250305297016</v>
      </c>
      <c r="C456" s="6">
        <f t="shared" si="64"/>
        <v>177.7667826511468</v>
      </c>
      <c r="D456" s="6">
        <f t="shared" si="64"/>
        <v>138.4412560380739</v>
      </c>
      <c r="E456" s="6">
        <f t="shared" si="64"/>
        <v>207.21250305297016</v>
      </c>
      <c r="F456" s="6">
        <f t="shared" si="64"/>
        <v>177.7667826511468</v>
      </c>
      <c r="G456" s="6">
        <f t="shared" si="64"/>
        <v>138.4412560380739</v>
      </c>
      <c r="H456" s="6">
        <f t="shared" si="64"/>
        <v>103.60625152648508</v>
      </c>
      <c r="I456" s="6">
        <f t="shared" si="64"/>
        <v>88.883391325573399</v>
      </c>
      <c r="J456" s="6">
        <f t="shared" si="64"/>
        <v>69.220628019036951</v>
      </c>
    </row>
    <row r="457" spans="1:11" x14ac:dyDescent="0.35">
      <c r="A457" s="6" t="s">
        <v>124</v>
      </c>
      <c r="B457" s="6">
        <f t="shared" si="64"/>
        <v>0</v>
      </c>
      <c r="C457" s="6">
        <f t="shared" si="64"/>
        <v>0</v>
      </c>
      <c r="D457" s="6">
        <f t="shared" si="64"/>
        <v>0</v>
      </c>
      <c r="E457" s="6">
        <f t="shared" si="64"/>
        <v>0</v>
      </c>
      <c r="F457" s="6">
        <f t="shared" si="64"/>
        <v>0</v>
      </c>
      <c r="G457" s="6">
        <f t="shared" si="64"/>
        <v>0</v>
      </c>
      <c r="H457" s="6">
        <f t="shared" si="64"/>
        <v>0</v>
      </c>
      <c r="I457" s="6">
        <f t="shared" si="64"/>
        <v>0</v>
      </c>
      <c r="J457" s="6">
        <f t="shared" si="64"/>
        <v>0</v>
      </c>
    </row>
    <row r="458" spans="1:11" x14ac:dyDescent="0.35">
      <c r="A458" s="6" t="s">
        <v>137</v>
      </c>
      <c r="B458" s="6">
        <f t="shared" si="64"/>
        <v>3033.5053919305369</v>
      </c>
      <c r="C458" s="6">
        <f t="shared" si="64"/>
        <v>2609.9864720812338</v>
      </c>
      <c r="D458" s="6">
        <f t="shared" si="64"/>
        <v>2188.0082557852816</v>
      </c>
      <c r="E458" s="6">
        <f t="shared" si="64"/>
        <v>2468.1827403221168</v>
      </c>
      <c r="F458" s="6">
        <f t="shared" si="64"/>
        <v>2137.0536727986009</v>
      </c>
      <c r="G458" s="6">
        <f t="shared" si="64"/>
        <v>1696.7203487959962</v>
      </c>
      <c r="H458" s="6">
        <f t="shared" si="64"/>
        <v>987.48323595085344</v>
      </c>
      <c r="I458" s="6">
        <f t="shared" si="64"/>
        <v>958.52352230684119</v>
      </c>
      <c r="J458" s="6">
        <f t="shared" si="64"/>
        <v>896.39443133457996</v>
      </c>
    </row>
    <row r="461" spans="1:11" x14ac:dyDescent="0.35">
      <c r="A461" s="331" t="s">
        <v>135</v>
      </c>
      <c r="B461" s="331"/>
      <c r="C461" s="331"/>
      <c r="D461" s="331"/>
      <c r="E461" s="331"/>
      <c r="F461" s="331"/>
      <c r="G461" s="331"/>
      <c r="H461" s="331"/>
      <c r="I461" s="331"/>
      <c r="J461" s="331"/>
      <c r="K461" s="331"/>
    </row>
    <row r="462" spans="1:11" x14ac:dyDescent="0.35">
      <c r="A462" s="6" t="s">
        <v>909</v>
      </c>
    </row>
    <row r="463" spans="1:11" x14ac:dyDescent="0.35">
      <c r="A463" s="6" t="s">
        <v>139</v>
      </c>
      <c r="B463" s="6">
        <v>100</v>
      </c>
      <c r="C463" s="6" t="s">
        <v>128</v>
      </c>
    </row>
    <row r="464" spans="1:11" x14ac:dyDescent="0.35">
      <c r="A464" s="6" t="s">
        <v>140</v>
      </c>
      <c r="B464" s="6">
        <v>50</v>
      </c>
      <c r="C464" s="6" t="s">
        <v>128</v>
      </c>
    </row>
    <row r="466" spans="1:12" x14ac:dyDescent="0.35">
      <c r="B466" s="6" t="s">
        <v>889</v>
      </c>
      <c r="C466" s="6" t="s">
        <v>891</v>
      </c>
      <c r="D466" s="6" t="s">
        <v>890</v>
      </c>
      <c r="E466" s="6" t="s">
        <v>892</v>
      </c>
      <c r="F466" s="6" t="s">
        <v>893</v>
      </c>
      <c r="G466" s="6" t="s">
        <v>894</v>
      </c>
      <c r="H466" s="6" t="s">
        <v>896</v>
      </c>
      <c r="I466" s="6" t="s">
        <v>897</v>
      </c>
      <c r="J466" s="6" t="s">
        <v>895</v>
      </c>
    </row>
    <row r="467" spans="1:12" x14ac:dyDescent="0.35">
      <c r="A467" s="6" t="s">
        <v>117</v>
      </c>
      <c r="B467" s="6">
        <f t="shared" ref="B467:G467" si="65">B449/$B$463</f>
        <v>1.1515967230185089</v>
      </c>
      <c r="C467" s="6">
        <f t="shared" si="65"/>
        <v>1.1293942525793919</v>
      </c>
      <c r="D467" s="6">
        <f t="shared" si="65"/>
        <v>1.0671055282471247</v>
      </c>
      <c r="E467" s="6">
        <f t="shared" si="65"/>
        <v>1.1515967230185089</v>
      </c>
      <c r="F467" s="6">
        <f t="shared" si="65"/>
        <v>1.1293942525793919</v>
      </c>
      <c r="G467" s="6">
        <f t="shared" si="65"/>
        <v>1.0671055282471247</v>
      </c>
      <c r="H467" s="6">
        <f>H449/$B$464</f>
        <v>2.2653592824915005</v>
      </c>
      <c r="I467" s="6">
        <f>I449/$B$464</f>
        <v>2.2214930863023823</v>
      </c>
      <c r="J467" s="6">
        <f>J449/$B$464</f>
        <v>2.0980690250342109</v>
      </c>
    </row>
    <row r="468" spans="1:12" x14ac:dyDescent="0.35">
      <c r="A468" s="6" t="s">
        <v>118</v>
      </c>
      <c r="B468" s="6">
        <f t="shared" ref="B468:G476" si="66">B450/$B$463</f>
        <v>0.1082252777454608</v>
      </c>
      <c r="C468" s="6">
        <f t="shared" si="66"/>
        <v>0.1071396242643588</v>
      </c>
      <c r="D468" s="6">
        <f t="shared" si="66"/>
        <v>0.10391519072351391</v>
      </c>
      <c r="E468" s="6">
        <f t="shared" si="66"/>
        <v>0.1082252777454608</v>
      </c>
      <c r="F468" s="6">
        <f t="shared" si="66"/>
        <v>0.1071396242643588</v>
      </c>
      <c r="G468" s="6">
        <f t="shared" si="66"/>
        <v>0.10391519072351391</v>
      </c>
      <c r="H468" s="6">
        <f t="shared" ref="H468:J476" si="67">H450/$B$464</f>
        <v>0.1082252777454608</v>
      </c>
      <c r="I468" s="6">
        <f t="shared" si="67"/>
        <v>0.1071396242643588</v>
      </c>
      <c r="J468" s="6">
        <f t="shared" si="67"/>
        <v>0.10391519072351391</v>
      </c>
    </row>
    <row r="469" spans="1:12" x14ac:dyDescent="0.35">
      <c r="A469" s="6" t="s">
        <v>119</v>
      </c>
      <c r="B469" s="6">
        <f t="shared" si="66"/>
        <v>1.8266882554067047E-2</v>
      </c>
      <c r="C469" s="6">
        <f t="shared" si="66"/>
        <v>1.6728017233718095E-2</v>
      </c>
      <c r="D469" s="6">
        <f t="shared" si="66"/>
        <v>1.5524483210548326E-2</v>
      </c>
      <c r="E469" s="6">
        <f t="shared" si="66"/>
        <v>1.8266882554067047E-2</v>
      </c>
      <c r="F469" s="6">
        <f t="shared" si="66"/>
        <v>1.6728017233718095E-2</v>
      </c>
      <c r="G469" s="6">
        <f t="shared" si="66"/>
        <v>1.5524483210548326E-2</v>
      </c>
      <c r="H469" s="6">
        <f t="shared" si="67"/>
        <v>3.6533765108134095E-2</v>
      </c>
      <c r="I469" s="6">
        <f t="shared" si="67"/>
        <v>3.345603446743619E-2</v>
      </c>
      <c r="J469" s="6">
        <f t="shared" si="67"/>
        <v>3.1048966421096651E-2</v>
      </c>
    </row>
    <row r="470" spans="1:12" x14ac:dyDescent="0.35">
      <c r="A470" s="6" t="s">
        <v>120</v>
      </c>
      <c r="B470" s="6">
        <f t="shared" si="66"/>
        <v>5.3707764367879154E-4</v>
      </c>
      <c r="C470" s="6">
        <f t="shared" si="66"/>
        <v>5.1850403211101896E-4</v>
      </c>
      <c r="D470" s="6">
        <f t="shared" si="66"/>
        <v>4.9147263641052515E-4</v>
      </c>
      <c r="E470" s="6">
        <f t="shared" si="66"/>
        <v>5.3707764367879154E-4</v>
      </c>
      <c r="F470" s="6">
        <f t="shared" si="66"/>
        <v>5.1850403211101896E-4</v>
      </c>
      <c r="G470" s="6">
        <f t="shared" si="66"/>
        <v>4.9147263641052515E-4</v>
      </c>
      <c r="H470" s="6">
        <f t="shared" si="67"/>
        <v>5.3707764367879154E-4</v>
      </c>
      <c r="I470" s="6">
        <f t="shared" si="67"/>
        <v>5.1850403211101896E-4</v>
      </c>
      <c r="J470" s="6">
        <f t="shared" si="67"/>
        <v>4.9147263641052515E-4</v>
      </c>
    </row>
    <row r="471" spans="1:12" x14ac:dyDescent="0.35">
      <c r="A471" s="6" t="s">
        <v>121</v>
      </c>
      <c r="B471" s="6">
        <f t="shared" si="66"/>
        <v>0.4194979940095252</v>
      </c>
      <c r="C471" s="6">
        <f t="shared" si="66"/>
        <v>0.41274687986951375</v>
      </c>
      <c r="D471" s="6">
        <f t="shared" si="66"/>
        <v>0.40500272381770031</v>
      </c>
      <c r="E471" s="6">
        <f t="shared" si="66"/>
        <v>0.4194979940095252</v>
      </c>
      <c r="F471" s="6">
        <f t="shared" si="66"/>
        <v>0.41274687986951375</v>
      </c>
      <c r="G471" s="6">
        <f t="shared" si="66"/>
        <v>0.40500272381770031</v>
      </c>
      <c r="H471" s="6">
        <f t="shared" si="67"/>
        <v>0.8389959880190504</v>
      </c>
      <c r="I471" s="6">
        <f t="shared" si="67"/>
        <v>0.8254937597390275</v>
      </c>
      <c r="J471" s="6">
        <f t="shared" si="67"/>
        <v>0.81000544763540061</v>
      </c>
    </row>
    <row r="472" spans="1:12" x14ac:dyDescent="0.35">
      <c r="A472" s="6" t="s">
        <v>800</v>
      </c>
      <c r="B472" s="6">
        <f t="shared" si="66"/>
        <v>0</v>
      </c>
      <c r="C472" s="6">
        <f t="shared" si="66"/>
        <v>0</v>
      </c>
      <c r="D472" s="6">
        <f t="shared" si="66"/>
        <v>0</v>
      </c>
      <c r="E472" s="6">
        <f t="shared" si="66"/>
        <v>0</v>
      </c>
      <c r="F472" s="6">
        <f t="shared" si="66"/>
        <v>0</v>
      </c>
      <c r="G472" s="6">
        <f t="shared" si="66"/>
        <v>0</v>
      </c>
      <c r="H472" s="6">
        <f t="shared" si="67"/>
        <v>7.7169504869852199</v>
      </c>
      <c r="I472" s="6">
        <f t="shared" si="67"/>
        <v>7.5438552721320811</v>
      </c>
      <c r="J472" s="6">
        <f t="shared" si="67"/>
        <v>7.0133183365503848</v>
      </c>
    </row>
    <row r="473" spans="1:12" x14ac:dyDescent="0.35">
      <c r="A473" s="6" t="s">
        <v>122</v>
      </c>
      <c r="B473" s="6">
        <f t="shared" si="66"/>
        <v>26.564804933804421</v>
      </c>
      <c r="C473" s="6">
        <f t="shared" si="66"/>
        <v>22.655669616321781</v>
      </c>
      <c r="D473" s="6">
        <f t="shared" si="66"/>
        <v>18.903630598836781</v>
      </c>
      <c r="E473" s="6">
        <f t="shared" si="66"/>
        <v>20.911578417720222</v>
      </c>
      <c r="F473" s="6">
        <f t="shared" si="66"/>
        <v>17.92634162349545</v>
      </c>
      <c r="G473" s="6">
        <f t="shared" si="66"/>
        <v>13.990751528943925</v>
      </c>
      <c r="H473" s="6">
        <f t="shared" si="67"/>
        <v>6.7109378104943342</v>
      </c>
      <c r="I473" s="6">
        <f t="shared" si="67"/>
        <v>6.6608463386879553</v>
      </c>
      <c r="J473" s="6">
        <f t="shared" si="67"/>
        <v>6.4866276273098444</v>
      </c>
      <c r="L473" s="1"/>
    </row>
    <row r="474" spans="1:12" x14ac:dyDescent="0.35">
      <c r="A474" s="6" t="s">
        <v>123</v>
      </c>
      <c r="B474" s="6">
        <f t="shared" si="66"/>
        <v>2.0721250305297017</v>
      </c>
      <c r="C474" s="6">
        <f t="shared" si="66"/>
        <v>1.777667826511468</v>
      </c>
      <c r="D474" s="6">
        <f t="shared" si="66"/>
        <v>1.3844125603807391</v>
      </c>
      <c r="E474" s="6">
        <f t="shared" si="66"/>
        <v>2.0721250305297017</v>
      </c>
      <c r="F474" s="6">
        <f t="shared" si="66"/>
        <v>1.777667826511468</v>
      </c>
      <c r="G474" s="6">
        <f t="shared" si="66"/>
        <v>1.3844125603807391</v>
      </c>
      <c r="H474" s="6">
        <f t="shared" si="67"/>
        <v>2.0721250305297017</v>
      </c>
      <c r="I474" s="6">
        <f t="shared" si="67"/>
        <v>1.777667826511468</v>
      </c>
      <c r="J474" s="6">
        <f t="shared" si="67"/>
        <v>1.3844125603807391</v>
      </c>
    </row>
    <row r="475" spans="1:12" x14ac:dyDescent="0.35">
      <c r="A475" s="6" t="s">
        <v>124</v>
      </c>
      <c r="B475" s="6">
        <f>B457/$B$463</f>
        <v>0</v>
      </c>
      <c r="C475" s="6">
        <f t="shared" si="66"/>
        <v>0</v>
      </c>
      <c r="D475" s="6">
        <f t="shared" si="66"/>
        <v>0</v>
      </c>
      <c r="E475" s="6">
        <f t="shared" si="66"/>
        <v>0</v>
      </c>
      <c r="F475" s="6">
        <f t="shared" si="66"/>
        <v>0</v>
      </c>
      <c r="G475" s="6">
        <f t="shared" si="66"/>
        <v>0</v>
      </c>
      <c r="H475" s="6">
        <f t="shared" si="67"/>
        <v>0</v>
      </c>
      <c r="I475" s="6">
        <f t="shared" si="67"/>
        <v>0</v>
      </c>
      <c r="J475" s="6">
        <f t="shared" si="67"/>
        <v>0</v>
      </c>
    </row>
    <row r="476" spans="1:12" x14ac:dyDescent="0.35">
      <c r="A476" s="6" t="s">
        <v>137</v>
      </c>
      <c r="B476" s="6">
        <f t="shared" si="66"/>
        <v>30.33505391930537</v>
      </c>
      <c r="C476" s="6">
        <f t="shared" si="66"/>
        <v>26.099864720812338</v>
      </c>
      <c r="D476" s="6">
        <f t="shared" si="66"/>
        <v>21.880082557852816</v>
      </c>
      <c r="E476" s="6">
        <f t="shared" si="66"/>
        <v>24.681827403221167</v>
      </c>
      <c r="F476" s="6">
        <f t="shared" si="66"/>
        <v>21.370536727986011</v>
      </c>
      <c r="G476" s="6">
        <f t="shared" si="66"/>
        <v>16.967203487959964</v>
      </c>
      <c r="H476" s="6">
        <f t="shared" si="67"/>
        <v>19.749664719017069</v>
      </c>
      <c r="I476" s="6">
        <f t="shared" si="67"/>
        <v>19.170470446136825</v>
      </c>
      <c r="J476" s="6">
        <f>J458/$B$464</f>
        <v>17.927888626691598</v>
      </c>
    </row>
  </sheetData>
  <mergeCells count="3">
    <mergeCell ref="A432:K432"/>
    <mergeCell ref="A446:K446"/>
    <mergeCell ref="A461:K461"/>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B609C-120A-4797-AEAA-EE91CFE6AB1C}">
  <sheetPr>
    <tabColor theme="5" tint="-0.249977111117893"/>
  </sheetPr>
  <dimension ref="A1:BA476"/>
  <sheetViews>
    <sheetView topLeftCell="AG379" zoomScale="96" zoomScaleNormal="50" workbookViewId="0">
      <selection activeCell="Z241" sqref="Z241"/>
    </sheetView>
  </sheetViews>
  <sheetFormatPr defaultColWidth="8.54296875" defaultRowHeight="14.5" outlineLevelRow="1" x14ac:dyDescent="0.35"/>
  <cols>
    <col min="1" max="1" width="37.54296875" style="6" customWidth="1"/>
    <col min="2" max="2" width="16.453125" style="6" bestFit="1" customWidth="1"/>
    <col min="3" max="14" width="10.54296875" style="6" bestFit="1" customWidth="1"/>
    <col min="15" max="16" width="10.1796875" style="6" bestFit="1" customWidth="1"/>
    <col min="17" max="24" width="10.54296875" style="6" bestFit="1" customWidth="1"/>
    <col min="25" max="25" width="10.1796875" style="6" bestFit="1" customWidth="1"/>
    <col min="26" max="26" width="16.453125" style="6" bestFit="1" customWidth="1"/>
    <col min="27" max="27" width="8.54296875" style="6"/>
    <col min="28" max="28" width="35" style="6" bestFit="1" customWidth="1"/>
    <col min="29" max="29" width="16.453125" style="6" bestFit="1" customWidth="1"/>
    <col min="30" max="53" width="12.81640625" style="6" bestFit="1" customWidth="1"/>
    <col min="54" max="16384" width="8.54296875" style="6"/>
  </cols>
  <sheetData>
    <row r="1" spans="1:53" s="139" customFormat="1" ht="21" x14ac:dyDescent="0.5">
      <c r="A1" s="138" t="s">
        <v>689</v>
      </c>
    </row>
    <row r="2" spans="1:53" s="221" customFormat="1" ht="21" x14ac:dyDescent="0.5">
      <c r="A2" s="229" t="s">
        <v>849</v>
      </c>
    </row>
    <row r="3" spans="1:53" s="18" customFormat="1" ht="21" x14ac:dyDescent="0.5">
      <c r="A3" s="18" t="s">
        <v>72</v>
      </c>
    </row>
    <row r="4" spans="1:53" s="20" customFormat="1" outlineLevel="1" x14ac:dyDescent="0.35">
      <c r="A4" s="19" t="s">
        <v>767</v>
      </c>
    </row>
    <row r="5" spans="1:53" s="16" customFormat="1" outlineLevel="1" x14ac:dyDescent="0.35">
      <c r="A5" s="21"/>
      <c r="AB5" s="16" t="s">
        <v>47</v>
      </c>
      <c r="AC5" s="16">
        <v>1</v>
      </c>
      <c r="AD5" s="16" t="s">
        <v>146</v>
      </c>
    </row>
    <row r="6" spans="1:53" s="16" customFormat="1" outlineLevel="1" x14ac:dyDescent="0.35">
      <c r="A6" s="22" t="s">
        <v>566</v>
      </c>
      <c r="AC6" s="16">
        <f>AC5*1000</f>
        <v>1000</v>
      </c>
      <c r="AD6" s="16" t="s">
        <v>144</v>
      </c>
    </row>
    <row r="7" spans="1:53" s="16" customFormat="1" outlineLevel="1" x14ac:dyDescent="0.35">
      <c r="A7" s="22"/>
      <c r="AB7" s="16" t="s">
        <v>127</v>
      </c>
      <c r="AC7" s="16">
        <v>100</v>
      </c>
      <c r="AD7" s="16" t="s">
        <v>128</v>
      </c>
    </row>
    <row r="8" spans="1:53" s="16" customFormat="1" outlineLevel="1" x14ac:dyDescent="0.35">
      <c r="A8" s="22"/>
      <c r="AB8" s="16" t="s">
        <v>129</v>
      </c>
      <c r="AC8" s="16">
        <v>25</v>
      </c>
      <c r="AD8" s="16" t="s">
        <v>130</v>
      </c>
    </row>
    <row r="9" spans="1:53" outlineLevel="1" x14ac:dyDescent="0.35">
      <c r="B9" s="25">
        <v>2030</v>
      </c>
      <c r="C9" s="25">
        <v>2031</v>
      </c>
      <c r="D9" s="25">
        <v>2032</v>
      </c>
      <c r="E9" s="25">
        <v>2033</v>
      </c>
      <c r="F9" s="25">
        <v>2034</v>
      </c>
      <c r="G9" s="25">
        <v>2035</v>
      </c>
      <c r="H9" s="25">
        <v>2036</v>
      </c>
      <c r="I9" s="25">
        <v>2037</v>
      </c>
      <c r="J9" s="25">
        <v>2038</v>
      </c>
      <c r="K9" s="25">
        <v>2039</v>
      </c>
      <c r="L9" s="25">
        <v>2040</v>
      </c>
      <c r="M9" s="25">
        <v>2041</v>
      </c>
      <c r="N9" s="25">
        <v>2042</v>
      </c>
      <c r="O9" s="25">
        <v>2043</v>
      </c>
      <c r="P9" s="25">
        <v>2044</v>
      </c>
      <c r="Q9" s="25">
        <v>2045</v>
      </c>
      <c r="R9" s="25">
        <v>2046</v>
      </c>
      <c r="S9" s="25">
        <v>2047</v>
      </c>
      <c r="T9" s="25">
        <v>2048</v>
      </c>
      <c r="U9" s="25">
        <v>2049</v>
      </c>
      <c r="V9" s="25">
        <v>2050</v>
      </c>
      <c r="W9" s="25">
        <v>2051</v>
      </c>
      <c r="X9" s="25">
        <v>2052</v>
      </c>
      <c r="Y9" s="25">
        <v>2053</v>
      </c>
      <c r="Z9" s="25">
        <v>2054</v>
      </c>
      <c r="AC9" s="25">
        <v>2030</v>
      </c>
      <c r="AD9" s="25">
        <v>2031</v>
      </c>
      <c r="AE9" s="25">
        <v>2032</v>
      </c>
      <c r="AF9" s="25">
        <v>2033</v>
      </c>
      <c r="AG9" s="25">
        <v>2034</v>
      </c>
      <c r="AH9" s="25">
        <v>2035</v>
      </c>
      <c r="AI9" s="25">
        <v>2036</v>
      </c>
      <c r="AJ9" s="25">
        <v>2037</v>
      </c>
      <c r="AK9" s="25">
        <v>2038</v>
      </c>
      <c r="AL9" s="25">
        <v>2039</v>
      </c>
      <c r="AM9" s="25">
        <v>2040</v>
      </c>
      <c r="AN9" s="25">
        <v>2041</v>
      </c>
      <c r="AO9" s="25">
        <v>2042</v>
      </c>
      <c r="AP9" s="25">
        <v>2043</v>
      </c>
      <c r="AQ9" s="25">
        <v>2044</v>
      </c>
      <c r="AR9" s="25">
        <v>2045</v>
      </c>
      <c r="AS9" s="25">
        <v>2046</v>
      </c>
      <c r="AT9" s="25">
        <v>2047</v>
      </c>
      <c r="AU9" s="25">
        <v>2048</v>
      </c>
      <c r="AV9" s="25">
        <v>2049</v>
      </c>
      <c r="AW9" s="25">
        <v>2050</v>
      </c>
      <c r="AX9" s="25">
        <v>2051</v>
      </c>
      <c r="AY9" s="25">
        <v>2052</v>
      </c>
      <c r="AZ9" s="25">
        <v>2053</v>
      </c>
      <c r="BA9" s="25">
        <v>2054</v>
      </c>
    </row>
    <row r="10" spans="1:53" outlineLevel="1" x14ac:dyDescent="0.35">
      <c r="A10" s="6" t="s">
        <v>21</v>
      </c>
      <c r="B10" s="6">
        <f>'Results - raw data ReCiPe (I)'!CC5</f>
        <v>866.78624642607451</v>
      </c>
      <c r="AB10" s="6" t="s">
        <v>117</v>
      </c>
      <c r="AC10" s="6">
        <f>SUM(B10:B21)+B23</f>
        <v>54120.743519027485</v>
      </c>
    </row>
    <row r="11" spans="1:53" outlineLevel="1" x14ac:dyDescent="0.35">
      <c r="A11" s="6" t="s">
        <v>23</v>
      </c>
      <c r="B11" s="6">
        <f>'Results - raw data ReCiPe (I)'!CC6</f>
        <v>1120.538598725911</v>
      </c>
      <c r="AB11" s="6" t="s">
        <v>118</v>
      </c>
      <c r="AC11" s="6">
        <f>B22</f>
        <v>2871.9230330962901</v>
      </c>
    </row>
    <row r="12" spans="1:53" outlineLevel="1" x14ac:dyDescent="0.35">
      <c r="A12" s="6" t="s">
        <v>26</v>
      </c>
      <c r="B12" s="6">
        <f>'Results - raw data ReCiPe (I)'!CC7</f>
        <v>3554.1174127380332</v>
      </c>
      <c r="AB12" s="6" t="s">
        <v>119</v>
      </c>
      <c r="BA12" s="6">
        <f>SUM(Z24:Z35)</f>
        <v>856.68574124441147</v>
      </c>
    </row>
    <row r="13" spans="1:53" outlineLevel="1" x14ac:dyDescent="0.35">
      <c r="A13" s="6" t="s">
        <v>28</v>
      </c>
      <c r="B13" s="6">
        <f>'Results - raw data ReCiPe (I)'!CC8</f>
        <v>3199.1456136315001</v>
      </c>
      <c r="AB13" s="6" t="s">
        <v>120</v>
      </c>
      <c r="BA13" s="6">
        <f>Z36</f>
        <v>23.905501404359882</v>
      </c>
    </row>
    <row r="14" spans="1:53" outlineLevel="1" x14ac:dyDescent="0.35">
      <c r="A14" s="6" t="s">
        <v>29</v>
      </c>
      <c r="B14" s="6">
        <f>'Results - raw data ReCiPe (I)'!CC9</f>
        <v>1874.359915502863</v>
      </c>
      <c r="AB14" s="6" t="s">
        <v>121</v>
      </c>
      <c r="AC14" s="6">
        <f>B37</f>
        <v>1412.262440014819</v>
      </c>
      <c r="AF14" s="6">
        <f>E37</f>
        <v>1398.947377491419</v>
      </c>
      <c r="AI14" s="6">
        <f>H37</f>
        <v>1394.6883638131801</v>
      </c>
      <c r="AL14" s="6">
        <f>K37</f>
        <v>1393.1438101355629</v>
      </c>
      <c r="AO14" s="6">
        <f>N37</f>
        <v>1396.982775239785</v>
      </c>
      <c r="AR14" s="6">
        <f>Q37</f>
        <v>1400.903339877279</v>
      </c>
      <c r="AU14" s="6">
        <f>T37</f>
        <v>1382.1741284587449</v>
      </c>
      <c r="AX14" s="6">
        <f>W37</f>
        <v>1363.5449444910939</v>
      </c>
      <c r="BA14" s="6">
        <f>Z37</f>
        <v>1336.5991252427</v>
      </c>
    </row>
    <row r="15" spans="1:53" outlineLevel="1" x14ac:dyDescent="0.35">
      <c r="A15" s="6" t="s">
        <v>31</v>
      </c>
      <c r="B15" s="6">
        <f>'Results - raw data ReCiPe (I)'!CC10</f>
        <v>1323.441437842409</v>
      </c>
      <c r="AB15" s="6" t="s">
        <v>122</v>
      </c>
      <c r="AC15" s="6">
        <f>B40+B39</f>
        <v>40261.888598827769</v>
      </c>
      <c r="AD15" s="6">
        <f t="shared" ref="AD15:BA15" si="0">C40+C39</f>
        <v>40240.470842344803</v>
      </c>
      <c r="AE15" s="6">
        <f t="shared" si="0"/>
        <v>40219.377189881066</v>
      </c>
      <c r="AF15" s="6">
        <f t="shared" si="0"/>
        <v>40164.155443535681</v>
      </c>
      <c r="AG15" s="6">
        <f t="shared" si="0"/>
        <v>40143.887253455367</v>
      </c>
      <c r="AH15" s="6">
        <f t="shared" si="0"/>
        <v>40123.744730421568</v>
      </c>
      <c r="AI15" s="6">
        <f t="shared" si="0"/>
        <v>42922.359912744832</v>
      </c>
      <c r="AJ15" s="6">
        <f t="shared" si="0"/>
        <v>45711.814655240029</v>
      </c>
      <c r="AK15" s="6">
        <f t="shared" si="0"/>
        <v>48469.600960247997</v>
      </c>
      <c r="AL15" s="6">
        <f t="shared" si="0"/>
        <v>51244.26166467186</v>
      </c>
      <c r="AM15" s="6">
        <f t="shared" si="0"/>
        <v>54007.57513731264</v>
      </c>
      <c r="AN15" s="6">
        <f t="shared" si="0"/>
        <v>58805.998099304423</v>
      </c>
      <c r="AO15" s="6">
        <f t="shared" si="0"/>
        <v>63593.729789985948</v>
      </c>
      <c r="AP15" s="6">
        <f t="shared" si="0"/>
        <v>68366.45073817049</v>
      </c>
      <c r="AQ15" s="6">
        <f t="shared" si="0"/>
        <v>73132.307582493653</v>
      </c>
      <c r="AR15" s="6">
        <f t="shared" si="0"/>
        <v>77887.249691509773</v>
      </c>
      <c r="AS15" s="6">
        <f t="shared" si="0"/>
        <v>78793.039772690652</v>
      </c>
      <c r="AT15" s="6">
        <f t="shared" si="0"/>
        <v>79697.966450308653</v>
      </c>
      <c r="AU15" s="6">
        <f t="shared" si="0"/>
        <v>80598.382412456966</v>
      </c>
      <c r="AV15" s="6">
        <f t="shared" si="0"/>
        <v>81502.020586552564</v>
      </c>
      <c r="AW15" s="6">
        <f t="shared" si="0"/>
        <v>82405.090800476421</v>
      </c>
      <c r="AX15" s="6">
        <f t="shared" si="0"/>
        <v>83596.226869636375</v>
      </c>
      <c r="AY15" s="6">
        <f t="shared" si="0"/>
        <v>81632.204246008099</v>
      </c>
      <c r="AZ15" s="6">
        <f t="shared" si="0"/>
        <v>79661.867864493193</v>
      </c>
      <c r="BA15" s="6">
        <f t="shared" si="0"/>
        <v>77685.151994211061</v>
      </c>
    </row>
    <row r="16" spans="1:53" outlineLevel="1" x14ac:dyDescent="0.35">
      <c r="A16" s="6" t="s">
        <v>34</v>
      </c>
      <c r="B16" s="6">
        <f>'Results - raw data ReCiPe (I)'!CC11</f>
        <v>891.197409038155</v>
      </c>
      <c r="AB16" s="6" t="s">
        <v>123</v>
      </c>
      <c r="AC16" s="6">
        <f>B38</f>
        <v>3227.0642832009357</v>
      </c>
      <c r="AD16" s="6">
        <f t="shared" ref="AD16:BA16" si="1">C38</f>
        <v>3220.4820064807036</v>
      </c>
      <c r="AE16" s="6">
        <f t="shared" si="1"/>
        <v>3213.9266122107406</v>
      </c>
      <c r="AF16" s="6">
        <f t="shared" si="1"/>
        <v>3204.2755103925961</v>
      </c>
      <c r="AG16" s="6">
        <f t="shared" si="1"/>
        <v>3197.7810533311199</v>
      </c>
      <c r="AH16" s="6">
        <f t="shared" si="1"/>
        <v>3191.293200538933</v>
      </c>
      <c r="AI16" s="6">
        <f t="shared" si="1"/>
        <v>3399.2495320576586</v>
      </c>
      <c r="AJ16" s="6">
        <f t="shared" si="1"/>
        <v>3605.9224350802679</v>
      </c>
      <c r="AK16" s="6">
        <f t="shared" si="1"/>
        <v>3809.2824940686</v>
      </c>
      <c r="AL16" s="6">
        <f t="shared" si="1"/>
        <v>4013.6674699518253</v>
      </c>
      <c r="AM16" s="6">
        <f t="shared" si="1"/>
        <v>4216.6109873621208</v>
      </c>
      <c r="AN16" s="6">
        <f t="shared" si="1"/>
        <v>4573.1821165020474</v>
      </c>
      <c r="AO16" s="6">
        <f t="shared" si="1"/>
        <v>4928.1398139239072</v>
      </c>
      <c r="AP16" s="6">
        <f t="shared" si="1"/>
        <v>5281.0862802050106</v>
      </c>
      <c r="AQ16" s="6">
        <f t="shared" si="1"/>
        <v>5632.7886890896625</v>
      </c>
      <c r="AR16" s="6">
        <f t="shared" si="1"/>
        <v>5982.8683766559761</v>
      </c>
      <c r="AS16" s="6">
        <f t="shared" si="1"/>
        <v>6044.359882748231</v>
      </c>
      <c r="AT16" s="6">
        <f t="shared" si="1"/>
        <v>6105.6533151232761</v>
      </c>
      <c r="AU16" s="6">
        <f t="shared" si="1"/>
        <v>6166.3996216888518</v>
      </c>
      <c r="AV16" s="6">
        <f t="shared" si="1"/>
        <v>6227.3279291410563</v>
      </c>
      <c r="AW16" s="6">
        <f t="shared" si="1"/>
        <v>6288.0783984268437</v>
      </c>
      <c r="AX16" s="6">
        <f t="shared" si="1"/>
        <v>6363.945726929911</v>
      </c>
      <c r="AY16" s="6">
        <f t="shared" si="1"/>
        <v>6205.170908935509</v>
      </c>
      <c r="AZ16" s="6">
        <f t="shared" si="1"/>
        <v>6046.505138354566</v>
      </c>
      <c r="BA16" s="6">
        <f t="shared" si="1"/>
        <v>5887.9443547387564</v>
      </c>
    </row>
    <row r="17" spans="1:53" outlineLevel="1" x14ac:dyDescent="0.35">
      <c r="A17" s="6" t="s">
        <v>36</v>
      </c>
      <c r="B17" s="6">
        <f>'Results - raw data ReCiPe (I)'!CC12</f>
        <v>769.01432974159798</v>
      </c>
      <c r="AB17" s="6" t="s">
        <v>124</v>
      </c>
      <c r="AC17" s="6">
        <f>-$AC$7*$AC$6</f>
        <v>-100000</v>
      </c>
      <c r="AD17" s="6">
        <f t="shared" ref="AD17:BA17" si="2">-$AC$7*$AC$6</f>
        <v>-100000</v>
      </c>
      <c r="AE17" s="6">
        <f t="shared" si="2"/>
        <v>-100000</v>
      </c>
      <c r="AF17" s="6">
        <f t="shared" si="2"/>
        <v>-100000</v>
      </c>
      <c r="AG17" s="6">
        <f t="shared" si="2"/>
        <v>-100000</v>
      </c>
      <c r="AH17" s="6">
        <f t="shared" si="2"/>
        <v>-100000</v>
      </c>
      <c r="AI17" s="6">
        <f t="shared" si="2"/>
        <v>-100000</v>
      </c>
      <c r="AJ17" s="6">
        <f t="shared" si="2"/>
        <v>-100000</v>
      </c>
      <c r="AK17" s="6">
        <f t="shared" si="2"/>
        <v>-100000</v>
      </c>
      <c r="AL17" s="6">
        <f t="shared" si="2"/>
        <v>-100000</v>
      </c>
      <c r="AM17" s="6">
        <f t="shared" si="2"/>
        <v>-100000</v>
      </c>
      <c r="AN17" s="6">
        <f t="shared" si="2"/>
        <v>-100000</v>
      </c>
      <c r="AO17" s="6">
        <f t="shared" si="2"/>
        <v>-100000</v>
      </c>
      <c r="AP17" s="6">
        <f t="shared" si="2"/>
        <v>-100000</v>
      </c>
      <c r="AQ17" s="6">
        <f t="shared" si="2"/>
        <v>-100000</v>
      </c>
      <c r="AR17" s="6">
        <f t="shared" si="2"/>
        <v>-100000</v>
      </c>
      <c r="AS17" s="6">
        <f t="shared" si="2"/>
        <v>-100000</v>
      </c>
      <c r="AT17" s="6">
        <f t="shared" si="2"/>
        <v>-100000</v>
      </c>
      <c r="AU17" s="6">
        <f t="shared" si="2"/>
        <v>-100000</v>
      </c>
      <c r="AV17" s="6">
        <f t="shared" si="2"/>
        <v>-100000</v>
      </c>
      <c r="AW17" s="6">
        <f t="shared" si="2"/>
        <v>-100000</v>
      </c>
      <c r="AX17" s="6">
        <f t="shared" si="2"/>
        <v>-100000</v>
      </c>
      <c r="AY17" s="6">
        <f t="shared" si="2"/>
        <v>-100000</v>
      </c>
      <c r="AZ17" s="6">
        <f t="shared" si="2"/>
        <v>-100000</v>
      </c>
      <c r="BA17" s="6">
        <f t="shared" si="2"/>
        <v>-100000</v>
      </c>
    </row>
    <row r="18" spans="1:53" outlineLevel="1" x14ac:dyDescent="0.35">
      <c r="A18" s="6" t="s">
        <v>38</v>
      </c>
      <c r="B18" s="6">
        <f>'Results - raw data ReCiPe (I)'!CC13</f>
        <v>7173.8295208590289</v>
      </c>
      <c r="AB18" s="23" t="s">
        <v>125</v>
      </c>
      <c r="AC18" s="17">
        <f>SUM(AC10:AC17)</f>
        <v>1893.8818741672876</v>
      </c>
      <c r="AD18" s="17">
        <f t="shared" ref="AD18:BA18" si="3">SUM(AD10:AD17)</f>
        <v>-56539.047151174491</v>
      </c>
      <c r="AE18" s="17">
        <f t="shared" si="3"/>
        <v>-56566.69619790819</v>
      </c>
      <c r="AF18" s="17">
        <f t="shared" si="3"/>
        <v>-55232.621668580301</v>
      </c>
      <c r="AG18" s="17">
        <f t="shared" si="3"/>
        <v>-56658.331693213513</v>
      </c>
      <c r="AH18" s="17">
        <f t="shared" si="3"/>
        <v>-56684.962069039502</v>
      </c>
      <c r="AI18" s="17">
        <f t="shared" si="3"/>
        <v>-52283.702191384335</v>
      </c>
      <c r="AJ18" s="17">
        <f t="shared" si="3"/>
        <v>-50682.262909679703</v>
      </c>
      <c r="AK18" s="17">
        <f t="shared" si="3"/>
        <v>-47721.116545683406</v>
      </c>
      <c r="AL18" s="17">
        <f t="shared" si="3"/>
        <v>-43348.927055240754</v>
      </c>
      <c r="AM18" s="17">
        <f t="shared" si="3"/>
        <v>-41775.813875325242</v>
      </c>
      <c r="AN18" s="17">
        <f t="shared" si="3"/>
        <v>-36620.819784193533</v>
      </c>
      <c r="AO18" s="17">
        <f t="shared" si="3"/>
        <v>-30081.147620850359</v>
      </c>
      <c r="AP18" s="17">
        <f t="shared" si="3"/>
        <v>-26352.4629816245</v>
      </c>
      <c r="AQ18" s="17">
        <f t="shared" si="3"/>
        <v>-21234.903728416684</v>
      </c>
      <c r="AR18" s="17">
        <f t="shared" si="3"/>
        <v>-14728.978591956984</v>
      </c>
      <c r="AS18" s="17">
        <f t="shared" si="3"/>
        <v>-15162.600344561113</v>
      </c>
      <c r="AT18" s="17">
        <f t="shared" si="3"/>
        <v>-14196.380234568074</v>
      </c>
      <c r="AU18" s="17">
        <f t="shared" si="3"/>
        <v>-11853.043837395438</v>
      </c>
      <c r="AV18" s="17">
        <f t="shared" si="3"/>
        <v>-12270.651484306378</v>
      </c>
      <c r="AW18" s="17">
        <f t="shared" si="3"/>
        <v>-11306.83080109673</v>
      </c>
      <c r="AX18" s="17">
        <f t="shared" si="3"/>
        <v>-8676.2824589426164</v>
      </c>
      <c r="AY18" s="17">
        <f t="shared" si="3"/>
        <v>-12162.624845056387</v>
      </c>
      <c r="AZ18" s="17">
        <f t="shared" si="3"/>
        <v>-14291.626997152242</v>
      </c>
      <c r="BA18" s="17">
        <f t="shared" si="3"/>
        <v>-14209.713283158722</v>
      </c>
    </row>
    <row r="19" spans="1:53" outlineLevel="1" x14ac:dyDescent="0.35">
      <c r="A19" s="6" t="s">
        <v>39</v>
      </c>
      <c r="B19" s="6">
        <f>'Results - raw data ReCiPe (I)'!CC14</f>
        <v>13142.75284581364</v>
      </c>
    </row>
    <row r="20" spans="1:53" outlineLevel="1" x14ac:dyDescent="0.35">
      <c r="A20" s="6" t="s">
        <v>41</v>
      </c>
      <c r="B20" s="6">
        <f>'Results - raw data ReCiPe (I)'!CC15</f>
        <v>259.19425167474537</v>
      </c>
    </row>
    <row r="21" spans="1:53" outlineLevel="1" x14ac:dyDescent="0.35">
      <c r="A21" s="6" t="s">
        <v>43</v>
      </c>
      <c r="B21" s="6">
        <f>'Results - raw data ReCiPe (I)'!CC16</f>
        <v>632.55655211301337</v>
      </c>
      <c r="AB21" s="187"/>
      <c r="AC21" s="187"/>
      <c r="AD21" s="187"/>
      <c r="AE21" s="187"/>
      <c r="AF21" s="187"/>
      <c r="AG21" s="187"/>
      <c r="AH21" s="187"/>
      <c r="AI21" s="187"/>
      <c r="AJ21" s="187"/>
      <c r="AK21" s="187"/>
      <c r="AL21" s="187"/>
      <c r="AM21" s="187"/>
      <c r="AN21" s="187"/>
      <c r="AO21" s="187"/>
      <c r="AP21" s="187"/>
      <c r="AQ21" s="187"/>
      <c r="AR21" s="187"/>
      <c r="AS21" s="187"/>
      <c r="AT21" s="187"/>
      <c r="AU21" s="187"/>
      <c r="AV21" s="187"/>
      <c r="AW21" s="187"/>
      <c r="AX21" s="187"/>
      <c r="AY21" s="187"/>
      <c r="AZ21" s="187"/>
      <c r="BA21" s="187"/>
    </row>
    <row r="22" spans="1:53" outlineLevel="1" x14ac:dyDescent="0.35">
      <c r="A22" s="6" t="s">
        <v>44</v>
      </c>
      <c r="B22" s="6">
        <f>'Results - raw data ReCiPe (I)'!CC17*AC7*AC8</f>
        <v>2871.9230330962901</v>
      </c>
      <c r="AB22" s="187"/>
      <c r="AC22" s="187"/>
      <c r="AD22" s="187"/>
      <c r="AE22" s="187"/>
      <c r="AF22" s="187"/>
      <c r="AG22" s="187"/>
      <c r="AH22" s="187"/>
      <c r="AI22" s="187"/>
      <c r="AJ22" s="187"/>
      <c r="AK22" s="187"/>
      <c r="AL22" s="187"/>
      <c r="AM22" s="187"/>
      <c r="AN22" s="187"/>
      <c r="AO22" s="187"/>
      <c r="AP22" s="187"/>
      <c r="AQ22" s="187"/>
      <c r="AR22" s="187"/>
      <c r="AS22" s="187"/>
      <c r="AT22" s="187"/>
      <c r="AU22" s="187"/>
      <c r="AV22" s="187"/>
      <c r="AW22" s="187"/>
      <c r="AX22" s="187"/>
      <c r="AY22" s="187"/>
      <c r="AZ22" s="187"/>
      <c r="BA22" s="187"/>
    </row>
    <row r="23" spans="1:53" outlineLevel="1" x14ac:dyDescent="0.35">
      <c r="A23" s="6" t="s">
        <v>757</v>
      </c>
      <c r="B23" s="6">
        <f>'Results - raw data ReCiPe (I)'!CC18*AC8*AC7</f>
        <v>19313.809384920522</v>
      </c>
      <c r="AB23" s="187"/>
      <c r="AC23" s="187"/>
      <c r="AD23" s="187"/>
      <c r="AE23" s="187"/>
      <c r="AF23" s="187"/>
      <c r="AG23" s="187"/>
      <c r="AH23" s="187"/>
      <c r="AI23" s="187"/>
      <c r="AJ23" s="187"/>
      <c r="AK23" s="187"/>
      <c r="AL23" s="187"/>
      <c r="AM23" s="187"/>
      <c r="AN23" s="187"/>
      <c r="AO23" s="187"/>
      <c r="AP23" s="187"/>
      <c r="AQ23" s="187"/>
      <c r="AR23" s="187"/>
      <c r="AS23" s="187"/>
      <c r="AT23" s="187"/>
      <c r="AU23" s="187"/>
      <c r="AV23" s="187"/>
      <c r="AW23" s="187"/>
      <c r="AX23" s="187"/>
      <c r="AY23" s="187"/>
      <c r="AZ23" s="187"/>
      <c r="BA23" s="187"/>
    </row>
    <row r="24" spans="1:53" outlineLevel="1" x14ac:dyDescent="0.35">
      <c r="A24" s="6" t="s">
        <v>22</v>
      </c>
      <c r="Z24" s="6">
        <f>'Results - raw data ReCiPe (I)'!DA19</f>
        <v>18.639704862851399</v>
      </c>
      <c r="AB24" s="187"/>
      <c r="AC24" s="187"/>
      <c r="AD24" s="187"/>
      <c r="AE24" s="187"/>
      <c r="AF24" s="187"/>
      <c r="AG24" s="187"/>
      <c r="AH24" s="187"/>
      <c r="AI24" s="187"/>
      <c r="AJ24" s="187"/>
      <c r="AK24" s="187"/>
      <c r="AL24" s="187"/>
      <c r="AM24" s="187"/>
      <c r="AN24" s="187"/>
      <c r="AO24" s="187"/>
      <c r="AP24" s="187"/>
      <c r="AQ24" s="187"/>
      <c r="AR24" s="187"/>
      <c r="AS24" s="187"/>
      <c r="AT24" s="187"/>
      <c r="AU24" s="187"/>
      <c r="AV24" s="187"/>
      <c r="AW24" s="187"/>
      <c r="AX24" s="187"/>
      <c r="AY24" s="187"/>
      <c r="AZ24" s="187"/>
      <c r="BA24" s="187"/>
    </row>
    <row r="25" spans="1:53" outlineLevel="1" x14ac:dyDescent="0.35">
      <c r="A25" s="6" t="s">
        <v>24</v>
      </c>
      <c r="Z25" s="6">
        <f>'Results - raw data ReCiPe (I)'!DA20</f>
        <v>7.340680538911645</v>
      </c>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row>
    <row r="26" spans="1:53" outlineLevel="1" x14ac:dyDescent="0.35">
      <c r="A26" s="6" t="s">
        <v>25</v>
      </c>
      <c r="Z26" s="6">
        <f>'Results - raw data ReCiPe (I)'!DA21</f>
        <v>26.617285771445509</v>
      </c>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row>
    <row r="27" spans="1:53" outlineLevel="1" x14ac:dyDescent="0.35">
      <c r="A27" s="6" t="s">
        <v>27</v>
      </c>
      <c r="Z27" s="6">
        <f>'Results - raw data ReCiPe (I)'!DA22</f>
        <v>8.6307208439382688</v>
      </c>
      <c r="AB27" s="187"/>
      <c r="AC27" s="187"/>
      <c r="AD27" s="187"/>
      <c r="AE27" s="187"/>
      <c r="AF27" s="187"/>
      <c r="AG27" s="187"/>
      <c r="AH27" s="187"/>
      <c r="AI27" s="187"/>
      <c r="AJ27" s="187"/>
      <c r="AK27" s="187"/>
      <c r="AL27" s="187"/>
      <c r="AM27" s="187"/>
      <c r="AN27" s="187"/>
      <c r="AO27" s="187"/>
      <c r="AP27" s="187"/>
      <c r="AQ27" s="187"/>
      <c r="AR27" s="187"/>
      <c r="AS27" s="187"/>
      <c r="AT27" s="187"/>
      <c r="AU27" s="187"/>
      <c r="AV27" s="187"/>
      <c r="AW27" s="187"/>
      <c r="AX27" s="187"/>
      <c r="AY27" s="187"/>
      <c r="AZ27" s="187"/>
      <c r="BA27" s="187"/>
    </row>
    <row r="28" spans="1:53" outlineLevel="1" x14ac:dyDescent="0.35">
      <c r="A28" s="6" t="s">
        <v>30</v>
      </c>
      <c r="Z28" s="6">
        <f>'Results - raw data ReCiPe (I)'!DA23</f>
        <v>24.266342345257758</v>
      </c>
      <c r="AB28" s="187"/>
      <c r="AC28" s="187"/>
      <c r="AD28" s="187"/>
      <c r="AE28" s="187"/>
      <c r="AF28" s="187"/>
      <c r="AG28" s="187"/>
      <c r="AH28" s="187"/>
      <c r="AI28" s="187"/>
      <c r="AJ28" s="187"/>
      <c r="AK28" s="187"/>
      <c r="AL28" s="187"/>
      <c r="AM28" s="187"/>
      <c r="AN28" s="187"/>
      <c r="AO28" s="187"/>
      <c r="AP28" s="187"/>
      <c r="AQ28" s="187"/>
      <c r="AR28" s="187"/>
      <c r="AS28" s="187"/>
      <c r="AT28" s="187"/>
      <c r="AU28" s="187"/>
      <c r="AV28" s="187"/>
      <c r="AW28" s="187"/>
      <c r="AX28" s="187"/>
      <c r="AY28" s="187"/>
      <c r="AZ28" s="187"/>
      <c r="BA28" s="187"/>
    </row>
    <row r="29" spans="1:53" outlineLevel="1" x14ac:dyDescent="0.35">
      <c r="A29" s="6" t="s">
        <v>32</v>
      </c>
      <c r="Z29" s="6">
        <f>'Results - raw data ReCiPe (I)'!DA24</f>
        <v>1.1728228925437281</v>
      </c>
      <c r="AB29" s="187"/>
      <c r="AC29" s="187"/>
      <c r="AD29" s="187"/>
      <c r="AE29" s="187"/>
      <c r="AF29" s="187"/>
      <c r="AG29" s="187"/>
      <c r="AH29" s="187"/>
      <c r="AI29" s="187"/>
      <c r="AJ29" s="187"/>
      <c r="AK29" s="187"/>
      <c r="AL29" s="187"/>
      <c r="AM29" s="187"/>
      <c r="AN29" s="187"/>
      <c r="AO29" s="187"/>
      <c r="AP29" s="187"/>
      <c r="AQ29" s="187"/>
      <c r="AR29" s="187"/>
      <c r="AS29" s="187"/>
      <c r="AT29" s="187"/>
      <c r="AU29" s="187"/>
      <c r="AV29" s="187"/>
      <c r="AW29" s="187"/>
      <c r="AX29" s="187"/>
      <c r="AY29" s="187"/>
      <c r="AZ29" s="187"/>
      <c r="BA29" s="187"/>
    </row>
    <row r="30" spans="1:53" outlineLevel="1" x14ac:dyDescent="0.35">
      <c r="A30" s="6" t="s">
        <v>33</v>
      </c>
      <c r="Z30" s="6">
        <f>'Results - raw data ReCiPe (I)'!DA25</f>
        <v>5.8011209073200991</v>
      </c>
      <c r="AB30" s="187"/>
      <c r="AC30" s="187"/>
      <c r="AD30" s="187"/>
      <c r="AE30" s="187"/>
      <c r="AF30" s="187"/>
      <c r="AG30" s="187"/>
      <c r="AH30" s="187"/>
      <c r="AI30" s="187"/>
      <c r="AJ30" s="187"/>
      <c r="AK30" s="187"/>
      <c r="AL30" s="187"/>
      <c r="AM30" s="187"/>
      <c r="AN30" s="187"/>
      <c r="AO30" s="187"/>
      <c r="AP30" s="187"/>
      <c r="AQ30" s="187"/>
      <c r="AR30" s="187"/>
      <c r="AS30" s="187"/>
      <c r="AT30" s="187"/>
      <c r="AU30" s="187"/>
      <c r="AV30" s="187"/>
      <c r="AW30" s="187"/>
      <c r="AX30" s="187"/>
      <c r="AY30" s="187"/>
      <c r="AZ30" s="187"/>
      <c r="BA30" s="187"/>
    </row>
    <row r="31" spans="1:53" outlineLevel="1" x14ac:dyDescent="0.35">
      <c r="A31" s="6" t="s">
        <v>35</v>
      </c>
      <c r="Z31" s="6">
        <f>'Results - raw data ReCiPe (I)'!DA26</f>
        <v>11.6022418146402</v>
      </c>
      <c r="AB31" s="187"/>
      <c r="AC31" s="187"/>
      <c r="AD31" s="187"/>
      <c r="AE31" s="187"/>
      <c r="AF31" s="187"/>
      <c r="AG31" s="187"/>
      <c r="AH31" s="187"/>
      <c r="AI31" s="187"/>
      <c r="AJ31" s="187"/>
      <c r="AK31" s="187"/>
      <c r="AL31" s="187"/>
      <c r="AM31" s="187"/>
      <c r="AN31" s="187"/>
      <c r="AO31" s="187"/>
      <c r="AP31" s="187"/>
      <c r="AQ31" s="187"/>
      <c r="AR31" s="187"/>
      <c r="AS31" s="187"/>
      <c r="AT31" s="187"/>
      <c r="AU31" s="187"/>
      <c r="AV31" s="187"/>
      <c r="AW31" s="187"/>
      <c r="AX31" s="187"/>
      <c r="AY31" s="187"/>
      <c r="AZ31" s="187"/>
      <c r="BA31" s="187"/>
    </row>
    <row r="32" spans="1:53" outlineLevel="1" x14ac:dyDescent="0.35">
      <c r="A32" s="6" t="s">
        <v>37</v>
      </c>
      <c r="Z32" s="6">
        <f>'Results - raw data ReCiPe (I)'!DA27</f>
        <v>18.16680365278004</v>
      </c>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row>
    <row r="33" spans="1:30" outlineLevel="1" x14ac:dyDescent="0.35">
      <c r="A33" s="6" t="s">
        <v>40</v>
      </c>
      <c r="Z33" s="6">
        <f>'Results - raw data ReCiPe (I)'!DA28</f>
        <v>390.41739046178918</v>
      </c>
    </row>
    <row r="34" spans="1:30" outlineLevel="1" x14ac:dyDescent="0.35">
      <c r="A34" s="6" t="s">
        <v>42</v>
      </c>
      <c r="Z34" s="6">
        <f>'Results - raw data ReCiPe (I)'!DA29</f>
        <v>46.649022568589473</v>
      </c>
    </row>
    <row r="35" spans="1:30" outlineLevel="1" x14ac:dyDescent="0.35">
      <c r="A35" s="6" t="s">
        <v>115</v>
      </c>
      <c r="Z35" s="6">
        <f>'Results - raw data ReCiPe (I)'!DA30</f>
        <v>297.38160458434419</v>
      </c>
    </row>
    <row r="36" spans="1:30" outlineLevel="1" x14ac:dyDescent="0.35">
      <c r="A36" s="6" t="s">
        <v>45</v>
      </c>
      <c r="Z36" s="6">
        <f>'Results - raw data ReCiPe (I)'!DA31*AC7*AC8</f>
        <v>23.905501404359882</v>
      </c>
    </row>
    <row r="37" spans="1:30" outlineLevel="1" x14ac:dyDescent="0.35">
      <c r="A37" s="6" t="s">
        <v>116</v>
      </c>
      <c r="B37" s="6">
        <f>'Results - raw data ReCiPe (I)'!CC32</f>
        <v>1412.262440014819</v>
      </c>
      <c r="C37" s="6">
        <f>'Results - raw data ReCiPe (I)'!CD32</f>
        <v>1409.7537543248011</v>
      </c>
      <c r="D37" s="6">
        <f>'Results - raw data ReCiPe (I)'!CE32</f>
        <v>1407.270973602039</v>
      </c>
      <c r="E37" s="6">
        <f>'Results - raw data ReCiPe (I)'!CF32</f>
        <v>1398.947377491419</v>
      </c>
      <c r="F37" s="6">
        <f>'Results - raw data ReCiPe (I)'!CG32</f>
        <v>1396.503154004482</v>
      </c>
      <c r="G37" s="6">
        <f>'Results - raw data ReCiPe (I)'!CH32</f>
        <v>1394.0699687116521</v>
      </c>
      <c r="H37" s="6">
        <f>'Results - raw data ReCiPe (I)'!CI32</f>
        <v>1394.6883638131801</v>
      </c>
      <c r="I37" s="6">
        <f>'Results - raw data ReCiPe (I)'!CJ32</f>
        <v>1395.3251464654811</v>
      </c>
      <c r="J37" s="6">
        <f>'Results - raw data ReCiPe (I)'!CK32</f>
        <v>1392.429080046333</v>
      </c>
      <c r="K37" s="6">
        <f>'Results - raw data ReCiPe (I)'!CL32</f>
        <v>1393.1438101355629</v>
      </c>
      <c r="L37" s="6">
        <f>'Results - raw data ReCiPe (I)'!CM32</f>
        <v>1393.8696800420209</v>
      </c>
      <c r="M37" s="6">
        <f>'Results - raw data ReCiPe (I)'!CN32</f>
        <v>1395.423573271461</v>
      </c>
      <c r="N37" s="6">
        <f>'Results - raw data ReCiPe (I)'!CO32</f>
        <v>1396.982775239785</v>
      </c>
      <c r="O37" s="6">
        <f>'Results - raw data ReCiPe (I)'!CP32</f>
        <v>1397.710564548009</v>
      </c>
      <c r="P37" s="6">
        <f>'Results - raw data ReCiPe (I)'!CQ32</f>
        <v>1399.3055922191111</v>
      </c>
      <c r="Q37" s="6">
        <f>'Results - raw data ReCiPe (I)'!CR32</f>
        <v>1400.903339877279</v>
      </c>
      <c r="R37" s="6">
        <f>'Results - raw data ReCiPe (I)'!CS32</f>
        <v>1394.961644306168</v>
      </c>
      <c r="S37" s="6">
        <f>'Results - raw data ReCiPe (I)'!CT32</f>
        <v>1388.9989568984579</v>
      </c>
      <c r="T37" s="6">
        <f>'Results - raw data ReCiPe (I)'!CU32</f>
        <v>1382.1741284587449</v>
      </c>
      <c r="U37" s="6">
        <f>'Results - raw data ReCiPe (I)'!CV32</f>
        <v>1376.158478571163</v>
      </c>
      <c r="V37" s="6">
        <f>'Results - raw data ReCiPe (I)'!CW32</f>
        <v>1370.107237608559</v>
      </c>
      <c r="W37" s="6">
        <f>'Results - raw data ReCiPe (I)'!CX32</f>
        <v>1363.5449444910939</v>
      </c>
      <c r="X37" s="6">
        <f>'Results - raw data ReCiPe (I)'!CY32</f>
        <v>1354.6024742797381</v>
      </c>
      <c r="Y37" s="6">
        <f>'Results - raw data ReCiPe (I)'!CZ32</f>
        <v>1345.620807514438</v>
      </c>
      <c r="Z37" s="6">
        <f>'Results - raw data ReCiPe (I)'!DA32</f>
        <v>1336.5991252427</v>
      </c>
    </row>
    <row r="38" spans="1:30" outlineLevel="1" x14ac:dyDescent="0.35">
      <c r="A38" s="6" t="s">
        <v>758</v>
      </c>
      <c r="B38" s="6">
        <f>'Results - raw data ReCiPe (I)'!CC33*$AC$7</f>
        <v>3227.0642832009357</v>
      </c>
      <c r="C38" s="6">
        <f>'Results - raw data ReCiPe (I)'!CD33*$AC$7</f>
        <v>3220.4820064807036</v>
      </c>
      <c r="D38" s="6">
        <f>'Results - raw data ReCiPe (I)'!CE33*$AC$7</f>
        <v>3213.9266122107406</v>
      </c>
      <c r="E38" s="6">
        <f>'Results - raw data ReCiPe (I)'!CF33*$AC$7</f>
        <v>3204.2755103925961</v>
      </c>
      <c r="F38" s="6">
        <f>'Results - raw data ReCiPe (I)'!CG33*$AC$7</f>
        <v>3197.7810533311199</v>
      </c>
      <c r="G38" s="6">
        <f>'Results - raw data ReCiPe (I)'!CH33*$AC$7</f>
        <v>3191.293200538933</v>
      </c>
      <c r="H38" s="6">
        <f>'Results - raw data ReCiPe (I)'!CI33*$AC$7</f>
        <v>3399.2495320576586</v>
      </c>
      <c r="I38" s="6">
        <f>'Results - raw data ReCiPe (I)'!CJ33*$AC$7</f>
        <v>3605.9224350802679</v>
      </c>
      <c r="J38" s="6">
        <f>'Results - raw data ReCiPe (I)'!CK33*$AC$7</f>
        <v>3809.2824940686</v>
      </c>
      <c r="K38" s="6">
        <f>'Results - raw data ReCiPe (I)'!CL33*$AC$7</f>
        <v>4013.6674699518253</v>
      </c>
      <c r="L38" s="6">
        <f>'Results - raw data ReCiPe (I)'!CM33*$AC$7</f>
        <v>4216.6109873621208</v>
      </c>
      <c r="M38" s="6">
        <f>'Results - raw data ReCiPe (I)'!CN33*$AC$7</f>
        <v>4573.1821165020474</v>
      </c>
      <c r="N38" s="6">
        <f>'Results - raw data ReCiPe (I)'!CO33*$AC$7</f>
        <v>4928.1398139239072</v>
      </c>
      <c r="O38" s="6">
        <f>'Results - raw data ReCiPe (I)'!CP33*$AC$7</f>
        <v>5281.0862802050106</v>
      </c>
      <c r="P38" s="6">
        <f>'Results - raw data ReCiPe (I)'!CQ33*$AC$7</f>
        <v>5632.7886890896625</v>
      </c>
      <c r="Q38" s="6">
        <f>'Results - raw data ReCiPe (I)'!CR33*$AC$7</f>
        <v>5982.8683766559761</v>
      </c>
      <c r="R38" s="6">
        <f>'Results - raw data ReCiPe (I)'!CS33*$AC$7</f>
        <v>6044.359882748231</v>
      </c>
      <c r="S38" s="6">
        <f>'Results - raw data ReCiPe (I)'!CT33*$AC$7</f>
        <v>6105.6533151232761</v>
      </c>
      <c r="T38" s="6">
        <f>'Results - raw data ReCiPe (I)'!CU33*$AC$7</f>
        <v>6166.3996216888518</v>
      </c>
      <c r="U38" s="6">
        <f>'Results - raw data ReCiPe (I)'!CV33*$AC$7</f>
        <v>6227.3279291410563</v>
      </c>
      <c r="V38" s="6">
        <f>'Results - raw data ReCiPe (I)'!CW33*$AC$7</f>
        <v>6288.0783984268437</v>
      </c>
      <c r="W38" s="6">
        <f>'Results - raw data ReCiPe (I)'!CX33*$AC$7</f>
        <v>6363.945726929911</v>
      </c>
      <c r="X38" s="6">
        <f>'Results - raw data ReCiPe (I)'!CY33*$AC$7</f>
        <v>6205.170908935509</v>
      </c>
      <c r="Y38" s="6">
        <f>'Results - raw data ReCiPe (I)'!CZ33*$AC$7</f>
        <v>6046.505138354566</v>
      </c>
      <c r="Z38" s="6">
        <f>'Results - raw data ReCiPe (I)'!DA33*$AC$7</f>
        <v>5887.9443547387564</v>
      </c>
    </row>
    <row r="39" spans="1:30" outlineLevel="1" x14ac:dyDescent="0.35">
      <c r="A39" s="6" t="s">
        <v>759</v>
      </c>
      <c r="B39" s="6">
        <f>'Results - raw data ReCiPe (I)'!CC34</f>
        <v>0</v>
      </c>
      <c r="C39" s="6">
        <f>'Results - raw data ReCiPe (I)'!CD34</f>
        <v>0</v>
      </c>
      <c r="D39" s="6">
        <f>'Results - raw data ReCiPe (I)'!CE34</f>
        <v>0</v>
      </c>
      <c r="E39" s="6">
        <f>'Results - raw data ReCiPe (I)'!CF34</f>
        <v>0</v>
      </c>
      <c r="F39" s="6">
        <f>'Results - raw data ReCiPe (I)'!CG34</f>
        <v>0</v>
      </c>
      <c r="G39" s="6">
        <f>'Results - raw data ReCiPe (I)'!CH34</f>
        <v>0</v>
      </c>
      <c r="H39" s="6">
        <f>'Results - raw data ReCiPe (I)'!CI34</f>
        <v>0</v>
      </c>
      <c r="I39" s="6">
        <f>'Results - raw data ReCiPe (I)'!CJ34</f>
        <v>0</v>
      </c>
      <c r="J39" s="6">
        <f>'Results - raw data ReCiPe (I)'!CK34</f>
        <v>0</v>
      </c>
      <c r="K39" s="6">
        <f>'Results - raw data ReCiPe (I)'!CL34</f>
        <v>0</v>
      </c>
      <c r="L39" s="6">
        <f>'Results - raw data ReCiPe (I)'!CM34</f>
        <v>0</v>
      </c>
      <c r="M39" s="6">
        <f>'Results - raw data ReCiPe (I)'!CN34</f>
        <v>0</v>
      </c>
      <c r="N39" s="6">
        <f>'Results - raw data ReCiPe (I)'!CO34</f>
        <v>0</v>
      </c>
      <c r="O39" s="6">
        <f>'Results - raw data ReCiPe (I)'!CP34</f>
        <v>0</v>
      </c>
      <c r="P39" s="6">
        <f>'Results - raw data ReCiPe (I)'!CQ34</f>
        <v>0</v>
      </c>
      <c r="Q39" s="6">
        <f>'Results - raw data ReCiPe (I)'!CR34</f>
        <v>0</v>
      </c>
      <c r="R39" s="6">
        <f>'Results - raw data ReCiPe (I)'!CS34</f>
        <v>0</v>
      </c>
      <c r="S39" s="6">
        <f>'Results - raw data ReCiPe (I)'!CT34</f>
        <v>0</v>
      </c>
      <c r="T39" s="6">
        <f>'Results - raw data ReCiPe (I)'!CU34</f>
        <v>0</v>
      </c>
      <c r="U39" s="6">
        <f>'Results - raw data ReCiPe (I)'!CV34</f>
        <v>0</v>
      </c>
      <c r="V39" s="6">
        <f>'Results - raw data ReCiPe (I)'!CW34</f>
        <v>0</v>
      </c>
      <c r="W39" s="6">
        <f>'Results - raw data ReCiPe (I)'!CX34</f>
        <v>0</v>
      </c>
      <c r="X39" s="6">
        <f>'Results - raw data ReCiPe (I)'!CY34</f>
        <v>0</v>
      </c>
      <c r="Y39" s="6">
        <f>'Results - raw data ReCiPe (I)'!CZ34</f>
        <v>0</v>
      </c>
      <c r="Z39" s="6">
        <f>'Results - raw data ReCiPe (I)'!DA34</f>
        <v>0</v>
      </c>
    </row>
    <row r="40" spans="1:30" outlineLevel="1" x14ac:dyDescent="0.35">
      <c r="A40" s="6" t="s">
        <v>760</v>
      </c>
      <c r="B40" s="6">
        <f>'Results - raw data ReCiPe (I)'!CC35</f>
        <v>40261.888598827769</v>
      </c>
      <c r="C40" s="6">
        <f>'Results - raw data ReCiPe (I)'!CD35</f>
        <v>40240.470842344803</v>
      </c>
      <c r="D40" s="6">
        <f>'Results - raw data ReCiPe (I)'!CE35</f>
        <v>40219.377189881066</v>
      </c>
      <c r="E40" s="6">
        <f>'Results - raw data ReCiPe (I)'!CF35</f>
        <v>40164.155443535681</v>
      </c>
      <c r="F40" s="6">
        <f>'Results - raw data ReCiPe (I)'!CG35</f>
        <v>40143.887253455367</v>
      </c>
      <c r="G40" s="6">
        <f>'Results - raw data ReCiPe (I)'!CH35</f>
        <v>40123.744730421568</v>
      </c>
      <c r="H40" s="6">
        <f>'Results - raw data ReCiPe (I)'!CI35</f>
        <v>42922.359912744832</v>
      </c>
      <c r="I40" s="6">
        <f>'Results - raw data ReCiPe (I)'!CJ35</f>
        <v>45711.814655240029</v>
      </c>
      <c r="J40" s="6">
        <f>'Results - raw data ReCiPe (I)'!CK35</f>
        <v>48469.600960247997</v>
      </c>
      <c r="K40" s="6">
        <f>'Results - raw data ReCiPe (I)'!CL35</f>
        <v>51244.26166467186</v>
      </c>
      <c r="L40" s="6">
        <f>'Results - raw data ReCiPe (I)'!CM35</f>
        <v>54007.57513731264</v>
      </c>
      <c r="M40" s="6">
        <f>'Results - raw data ReCiPe (I)'!CN35</f>
        <v>58805.998099304423</v>
      </c>
      <c r="N40" s="6">
        <f>'Results - raw data ReCiPe (I)'!CO35</f>
        <v>63593.729789985948</v>
      </c>
      <c r="O40" s="6">
        <f>'Results - raw data ReCiPe (I)'!CP35</f>
        <v>68366.45073817049</v>
      </c>
      <c r="P40" s="6">
        <f>'Results - raw data ReCiPe (I)'!CQ35</f>
        <v>73132.307582493653</v>
      </c>
      <c r="Q40" s="6">
        <f>'Results - raw data ReCiPe (I)'!CR35</f>
        <v>77887.249691509773</v>
      </c>
      <c r="R40" s="6">
        <f>'Results - raw data ReCiPe (I)'!CS35</f>
        <v>78793.039772690652</v>
      </c>
      <c r="S40" s="6">
        <f>'Results - raw data ReCiPe (I)'!CT35</f>
        <v>79697.966450308653</v>
      </c>
      <c r="T40" s="6">
        <f>'Results - raw data ReCiPe (I)'!CU35</f>
        <v>80598.382412456966</v>
      </c>
      <c r="U40" s="6">
        <f>'Results - raw data ReCiPe (I)'!CV35</f>
        <v>81502.020586552564</v>
      </c>
      <c r="V40" s="6">
        <f>'Results - raw data ReCiPe (I)'!CW35</f>
        <v>82405.090800476421</v>
      </c>
      <c r="W40" s="6">
        <f>'Results - raw data ReCiPe (I)'!CX35</f>
        <v>83596.226869636375</v>
      </c>
      <c r="X40" s="6">
        <f>'Results - raw data ReCiPe (I)'!CY35</f>
        <v>81632.204246008099</v>
      </c>
      <c r="Y40" s="6">
        <f>'Results - raw data ReCiPe (I)'!CZ35</f>
        <v>79661.867864493193</v>
      </c>
      <c r="Z40" s="6">
        <f>'Results - raw data ReCiPe (I)'!DA35</f>
        <v>77685.151994211061</v>
      </c>
    </row>
    <row r="41" spans="1:30" outlineLevel="1" x14ac:dyDescent="0.35">
      <c r="A41" s="23" t="s">
        <v>125</v>
      </c>
      <c r="B41" s="17">
        <f>SUM(B10:B40)</f>
        <v>101893.8818741673</v>
      </c>
      <c r="C41" s="17">
        <f>SUM(C10:C40)</f>
        <v>44870.706603150305</v>
      </c>
      <c r="D41" s="17">
        <f>SUM(D10:D40)</f>
        <v>44840.574775693844</v>
      </c>
      <c r="E41" s="17">
        <f>SUM(E10:E40)</f>
        <v>44767.378331419699</v>
      </c>
      <c r="F41" s="17">
        <f>SUM(F10:F40)</f>
        <v>44738.171460790967</v>
      </c>
      <c r="G41" s="17">
        <f t="shared" ref="G41:Z41" si="4">SUM(G10:G40)</f>
        <v>44709.107899672155</v>
      </c>
      <c r="H41" s="17">
        <f t="shared" si="4"/>
        <v>47716.297808615673</v>
      </c>
      <c r="I41" s="17">
        <f t="shared" si="4"/>
        <v>50713.06223678578</v>
      </c>
      <c r="J41" s="17">
        <f t="shared" si="4"/>
        <v>53671.312534362929</v>
      </c>
      <c r="K41" s="17">
        <f t="shared" si="4"/>
        <v>56651.072944759246</v>
      </c>
      <c r="L41" s="17">
        <f t="shared" si="4"/>
        <v>59618.05580471678</v>
      </c>
      <c r="M41" s="17">
        <f t="shared" si="4"/>
        <v>64774.603789077933</v>
      </c>
      <c r="N41" s="17">
        <f t="shared" si="4"/>
        <v>69918.852379149641</v>
      </c>
      <c r="O41" s="17">
        <f t="shared" si="4"/>
        <v>75045.247582923505</v>
      </c>
      <c r="P41" s="17">
        <f t="shared" si="4"/>
        <v>80164.401863802428</v>
      </c>
      <c r="Q41" s="17">
        <f t="shared" si="4"/>
        <v>85271.021408043031</v>
      </c>
      <c r="R41" s="17">
        <f t="shared" si="4"/>
        <v>86232.361299745055</v>
      </c>
      <c r="S41" s="17">
        <f t="shared" si="4"/>
        <v>87192.618722330386</v>
      </c>
      <c r="T41" s="17">
        <f t="shared" si="4"/>
        <v>88146.956162604562</v>
      </c>
      <c r="U41" s="17">
        <f t="shared" si="4"/>
        <v>89105.506994264782</v>
      </c>
      <c r="V41" s="17">
        <f t="shared" si="4"/>
        <v>90063.27643651182</v>
      </c>
      <c r="W41" s="17">
        <f t="shared" si="4"/>
        <v>91323.717541057384</v>
      </c>
      <c r="X41" s="17">
        <f t="shared" si="4"/>
        <v>89191.977629223344</v>
      </c>
      <c r="Y41" s="17">
        <f t="shared" si="4"/>
        <v>87053.993810362197</v>
      </c>
      <c r="Z41" s="17">
        <f t="shared" si="4"/>
        <v>85790.286716841292</v>
      </c>
    </row>
    <row r="42" spans="1:30" outlineLevel="1" x14ac:dyDescent="0.35"/>
    <row r="43" spans="1:30" s="18" customFormat="1" ht="21" x14ac:dyDescent="0.5">
      <c r="A43" s="18" t="s">
        <v>73</v>
      </c>
    </row>
    <row r="44" spans="1:30" s="20" customFormat="1" outlineLevel="1" x14ac:dyDescent="0.35">
      <c r="A44" s="19" t="s">
        <v>767</v>
      </c>
    </row>
    <row r="45" spans="1:30" s="16" customFormat="1" outlineLevel="1" x14ac:dyDescent="0.35">
      <c r="A45" s="21"/>
      <c r="AB45" s="16" t="s">
        <v>47</v>
      </c>
      <c r="AC45" s="16">
        <v>1</v>
      </c>
      <c r="AD45" s="16" t="s">
        <v>146</v>
      </c>
    </row>
    <row r="46" spans="1:30" s="16" customFormat="1" outlineLevel="1" x14ac:dyDescent="0.35">
      <c r="A46" s="22" t="s">
        <v>566</v>
      </c>
      <c r="AC46" s="16">
        <f>AC45*1000</f>
        <v>1000</v>
      </c>
      <c r="AD46" s="16" t="s">
        <v>144</v>
      </c>
    </row>
    <row r="47" spans="1:30" s="16" customFormat="1" outlineLevel="1" x14ac:dyDescent="0.35">
      <c r="A47" s="22"/>
      <c r="AB47" s="16" t="s">
        <v>127</v>
      </c>
      <c r="AC47" s="16">
        <v>100</v>
      </c>
      <c r="AD47" s="16" t="s">
        <v>128</v>
      </c>
    </row>
    <row r="48" spans="1:30" s="16" customFormat="1" outlineLevel="1" x14ac:dyDescent="0.35">
      <c r="A48" s="22"/>
      <c r="AB48" s="16" t="s">
        <v>129</v>
      </c>
      <c r="AC48" s="16">
        <v>25</v>
      </c>
      <c r="AD48" s="16" t="s">
        <v>130</v>
      </c>
    </row>
    <row r="49" spans="1:53" outlineLevel="1" x14ac:dyDescent="0.35">
      <c r="B49" s="25">
        <v>2030</v>
      </c>
      <c r="C49" s="25">
        <v>2031</v>
      </c>
      <c r="D49" s="25">
        <v>2032</v>
      </c>
      <c r="E49" s="25">
        <v>2033</v>
      </c>
      <c r="F49" s="25">
        <v>2034</v>
      </c>
      <c r="G49" s="25">
        <v>2035</v>
      </c>
      <c r="H49" s="25">
        <v>2036</v>
      </c>
      <c r="I49" s="25">
        <v>2037</v>
      </c>
      <c r="J49" s="25">
        <v>2038</v>
      </c>
      <c r="K49" s="25">
        <v>2039</v>
      </c>
      <c r="L49" s="25">
        <v>2040</v>
      </c>
      <c r="M49" s="25">
        <v>2041</v>
      </c>
      <c r="N49" s="25">
        <v>2042</v>
      </c>
      <c r="O49" s="25">
        <v>2043</v>
      </c>
      <c r="P49" s="25">
        <v>2044</v>
      </c>
      <c r="Q49" s="25">
        <v>2045</v>
      </c>
      <c r="R49" s="25">
        <v>2046</v>
      </c>
      <c r="S49" s="25">
        <v>2047</v>
      </c>
      <c r="T49" s="25">
        <v>2048</v>
      </c>
      <c r="U49" s="25">
        <v>2049</v>
      </c>
      <c r="V49" s="25">
        <v>2050</v>
      </c>
      <c r="W49" s="25">
        <v>2051</v>
      </c>
      <c r="X49" s="25">
        <v>2052</v>
      </c>
      <c r="Y49" s="25">
        <v>2053</v>
      </c>
      <c r="Z49" s="25">
        <v>2054</v>
      </c>
      <c r="AC49" s="25">
        <v>2030</v>
      </c>
      <c r="AD49" s="25">
        <v>2031</v>
      </c>
      <c r="AE49" s="25">
        <v>2032</v>
      </c>
      <c r="AF49" s="25">
        <v>2033</v>
      </c>
      <c r="AG49" s="25">
        <v>2034</v>
      </c>
      <c r="AH49" s="25">
        <v>2035</v>
      </c>
      <c r="AI49" s="25">
        <v>2036</v>
      </c>
      <c r="AJ49" s="25">
        <v>2037</v>
      </c>
      <c r="AK49" s="25">
        <v>2038</v>
      </c>
      <c r="AL49" s="25">
        <v>2039</v>
      </c>
      <c r="AM49" s="25">
        <v>2040</v>
      </c>
      <c r="AN49" s="25">
        <v>2041</v>
      </c>
      <c r="AO49" s="25">
        <v>2042</v>
      </c>
      <c r="AP49" s="25">
        <v>2043</v>
      </c>
      <c r="AQ49" s="25">
        <v>2044</v>
      </c>
      <c r="AR49" s="25">
        <v>2045</v>
      </c>
      <c r="AS49" s="25">
        <v>2046</v>
      </c>
      <c r="AT49" s="25">
        <v>2047</v>
      </c>
      <c r="AU49" s="25">
        <v>2048</v>
      </c>
      <c r="AV49" s="25">
        <v>2049</v>
      </c>
      <c r="AW49" s="25">
        <v>2050</v>
      </c>
      <c r="AX49" s="25">
        <v>2051</v>
      </c>
      <c r="AY49" s="25">
        <v>2052</v>
      </c>
      <c r="AZ49" s="25">
        <v>2053</v>
      </c>
      <c r="BA49" s="25">
        <v>2054</v>
      </c>
    </row>
    <row r="50" spans="1:53" outlineLevel="1" x14ac:dyDescent="0.35">
      <c r="A50" s="6" t="s">
        <v>21</v>
      </c>
      <c r="B50" s="6">
        <f>'Results - raw data ReCiPe (I)'!CC41</f>
        <v>783.40535284478449</v>
      </c>
      <c r="AB50" s="6" t="s">
        <v>117</v>
      </c>
      <c r="AC50" s="6">
        <f>SUM(B50:B61)+B63</f>
        <v>50992.896958343765</v>
      </c>
    </row>
    <row r="51" spans="1:53" outlineLevel="1" x14ac:dyDescent="0.35">
      <c r="A51" s="6" t="s">
        <v>23</v>
      </c>
      <c r="B51" s="6">
        <f>'Results - raw data ReCiPe (I)'!CC42</f>
        <v>1025.57883289906</v>
      </c>
      <c r="AB51" s="6" t="s">
        <v>118</v>
      </c>
      <c r="AC51" s="6">
        <f>B62</f>
        <v>2689.460902868675</v>
      </c>
    </row>
    <row r="52" spans="1:53" outlineLevel="1" x14ac:dyDescent="0.35">
      <c r="A52" s="6" t="s">
        <v>26</v>
      </c>
      <c r="B52" s="6">
        <f>'Results - raw data ReCiPe (I)'!CC43</f>
        <v>3221.4583525363928</v>
      </c>
      <c r="AB52" s="6" t="s">
        <v>119</v>
      </c>
      <c r="BA52" s="6">
        <f>SUM(Z64:Z75)</f>
        <v>736.84411269170732</v>
      </c>
    </row>
    <row r="53" spans="1:53" outlineLevel="1" x14ac:dyDescent="0.35">
      <c r="A53" s="6" t="s">
        <v>28</v>
      </c>
      <c r="B53" s="6">
        <f>'Results - raw data ReCiPe (I)'!CC44</f>
        <v>2960.5265782802999</v>
      </c>
      <c r="AB53" s="6" t="s">
        <v>120</v>
      </c>
      <c r="BA53" s="6">
        <f>Z76</f>
        <v>22.256211814560157</v>
      </c>
    </row>
    <row r="54" spans="1:53" outlineLevel="1" x14ac:dyDescent="0.35">
      <c r="A54" s="6" t="s">
        <v>29</v>
      </c>
      <c r="B54" s="6">
        <f>'Results - raw data ReCiPe (I)'!CC45</f>
        <v>1754.810343624591</v>
      </c>
      <c r="AB54" s="6" t="s">
        <v>121</v>
      </c>
      <c r="AC54" s="6">
        <f>B77</f>
        <v>1369.6249485785811</v>
      </c>
      <c r="AF54" s="6">
        <f>E77</f>
        <v>1330.201743386594</v>
      </c>
      <c r="AI54" s="6">
        <f>H77</f>
        <v>1291.6658561466461</v>
      </c>
      <c r="AL54" s="6">
        <f>K77</f>
        <v>1241.1161458074589</v>
      </c>
      <c r="AO54" s="6">
        <f>N77</f>
        <v>1178.1152807241949</v>
      </c>
      <c r="AR54" s="6">
        <f>Q77</f>
        <v>1107.2050594847649</v>
      </c>
      <c r="AU54" s="6">
        <f>T77</f>
        <v>1057.185548264049</v>
      </c>
      <c r="AX54" s="6">
        <f>W77</f>
        <v>1022.6160132821969</v>
      </c>
      <c r="BA54" s="6">
        <f>Z77</f>
        <v>1014.652642880409</v>
      </c>
    </row>
    <row r="55" spans="1:53" outlineLevel="1" x14ac:dyDescent="0.35">
      <c r="A55" s="6" t="s">
        <v>31</v>
      </c>
      <c r="B55" s="6">
        <f>'Results - raw data ReCiPe (I)'!CC46</f>
        <v>1257.0760627810021</v>
      </c>
      <c r="AB55" s="6" t="s">
        <v>122</v>
      </c>
      <c r="AC55" s="6">
        <f>B80+B79</f>
        <v>35137.912585031052</v>
      </c>
      <c r="AD55" s="6">
        <f t="shared" ref="AD55:BA55" si="5">C80+C79</f>
        <v>32955.608635970399</v>
      </c>
      <c r="AE55" s="6">
        <f t="shared" si="5"/>
        <v>30774.206240875312</v>
      </c>
      <c r="AF55" s="6">
        <f t="shared" si="5"/>
        <v>28556.69838655461</v>
      </c>
      <c r="AG55" s="6">
        <f t="shared" si="5"/>
        <v>26376.533712289089</v>
      </c>
      <c r="AH55" s="6">
        <f t="shared" si="5"/>
        <v>24196.677350939779</v>
      </c>
      <c r="AI55" s="6">
        <f t="shared" si="5"/>
        <v>22496.69274953589</v>
      </c>
      <c r="AJ55" s="6">
        <f t="shared" si="5"/>
        <v>20800.987314882339</v>
      </c>
      <c r="AK55" s="6">
        <f t="shared" si="5"/>
        <v>19077.733178113311</v>
      </c>
      <c r="AL55" s="6">
        <f t="shared" si="5"/>
        <v>17385.017301517611</v>
      </c>
      <c r="AM55" s="6">
        <f t="shared" si="5"/>
        <v>15693.00812724036</v>
      </c>
      <c r="AN55" s="6">
        <f t="shared" si="5"/>
        <v>14328.560135041969</v>
      </c>
      <c r="AO55" s="6">
        <f t="shared" si="5"/>
        <v>12958.521106640081</v>
      </c>
      <c r="AP55" s="6">
        <f t="shared" si="5"/>
        <v>11576.690666377919</v>
      </c>
      <c r="AQ55" s="6">
        <f t="shared" si="5"/>
        <v>10195.76064630136</v>
      </c>
      <c r="AR55" s="6">
        <f t="shared" si="5"/>
        <v>8809.5027908814172</v>
      </c>
      <c r="AS55" s="6">
        <f t="shared" si="5"/>
        <v>8086.6452877616366</v>
      </c>
      <c r="AT55" s="6">
        <f t="shared" si="5"/>
        <v>7363.1972148878667</v>
      </c>
      <c r="AU55" s="6">
        <f t="shared" si="5"/>
        <v>6633.6849264403409</v>
      </c>
      <c r="AV55" s="6">
        <f t="shared" si="5"/>
        <v>5909.2251672782704</v>
      </c>
      <c r="AW55" s="6">
        <f t="shared" si="5"/>
        <v>5184.5274816267993</v>
      </c>
      <c r="AX55" s="6">
        <f t="shared" si="5"/>
        <v>4921.3552851747154</v>
      </c>
      <c r="AY55" s="6">
        <f t="shared" si="5"/>
        <v>4607.1491399061242</v>
      </c>
      <c r="AZ55" s="6">
        <f t="shared" si="5"/>
        <v>4291.8716246713884</v>
      </c>
      <c r="BA55" s="6">
        <f t="shared" si="5"/>
        <v>3975.4949944578962</v>
      </c>
    </row>
    <row r="56" spans="1:53" outlineLevel="1" x14ac:dyDescent="0.35">
      <c r="A56" s="6" t="s">
        <v>34</v>
      </c>
      <c r="B56" s="6">
        <f>'Results - raw data ReCiPe (I)'!CC47</f>
        <v>834.04174256004239</v>
      </c>
      <c r="AB56" s="6" t="s">
        <v>123</v>
      </c>
      <c r="AC56" s="6">
        <f t="shared" ref="AC56:BA56" si="6">B78</f>
        <v>2816.490015727883</v>
      </c>
      <c r="AD56" s="6">
        <f t="shared" si="6"/>
        <v>2643.1630151783997</v>
      </c>
      <c r="AE56" s="6">
        <f t="shared" si="6"/>
        <v>2470.6554529119071</v>
      </c>
      <c r="AF56" s="6">
        <f t="shared" si="6"/>
        <v>2295.6641346214378</v>
      </c>
      <c r="AG56" s="6">
        <f t="shared" si="6"/>
        <v>2124.7498711288149</v>
      </c>
      <c r="AH56" s="6">
        <f t="shared" si="6"/>
        <v>1954.6031179130839</v>
      </c>
      <c r="AI56" s="6">
        <f t="shared" si="6"/>
        <v>1822.7260345807761</v>
      </c>
      <c r="AJ56" s="6">
        <f t="shared" si="6"/>
        <v>1691.452781228018</v>
      </c>
      <c r="AK56" s="6">
        <f t="shared" si="6"/>
        <v>1558.0543689634449</v>
      </c>
      <c r="AL56" s="6">
        <f t="shared" si="6"/>
        <v>1427.5534970495339</v>
      </c>
      <c r="AM56" s="6">
        <f t="shared" si="6"/>
        <v>1297.370820631347</v>
      </c>
      <c r="AN56" s="6">
        <f t="shared" si="6"/>
        <v>1192.0280904561412</v>
      </c>
      <c r="AO56" s="6">
        <f t="shared" si="6"/>
        <v>1086.3153844765</v>
      </c>
      <c r="AP56" s="6">
        <f t="shared" si="6"/>
        <v>979.679313659066</v>
      </c>
      <c r="AQ56" s="6">
        <f t="shared" si="6"/>
        <v>873.24358547651377</v>
      </c>
      <c r="AR56" s="6">
        <f t="shared" si="6"/>
        <v>766.45125956112827</v>
      </c>
      <c r="AS56" s="6">
        <f t="shared" si="6"/>
        <v>710.64060120959937</v>
      </c>
      <c r="AT56" s="6">
        <f t="shared" si="6"/>
        <v>654.65478553185676</v>
      </c>
      <c r="AU56" s="6">
        <f t="shared" si="6"/>
        <v>598.01001692743648</v>
      </c>
      <c r="AV56" s="6">
        <f t="shared" si="6"/>
        <v>541.67841816254531</v>
      </c>
      <c r="AW56" s="6">
        <f t="shared" si="6"/>
        <v>485.18977986330407</v>
      </c>
      <c r="AX56" s="6">
        <f t="shared" si="6"/>
        <v>464.83208119096309</v>
      </c>
      <c r="AY56" s="6">
        <f t="shared" si="6"/>
        <v>440.5989318243453</v>
      </c>
      <c r="AZ56" s="6">
        <f t="shared" si="6"/>
        <v>416.35907723093732</v>
      </c>
      <c r="BA56" s="6">
        <f t="shared" si="6"/>
        <v>392.11018079298378</v>
      </c>
    </row>
    <row r="57" spans="1:53" outlineLevel="1" x14ac:dyDescent="0.35">
      <c r="A57" s="6" t="s">
        <v>36</v>
      </c>
      <c r="B57" s="6">
        <f>'Results - raw data ReCiPe (I)'!CC48</f>
        <v>697.10387954951784</v>
      </c>
      <c r="AB57" s="6" t="s">
        <v>124</v>
      </c>
      <c r="AC57" s="6">
        <f>-$AC$7*$AC$6</f>
        <v>-100000</v>
      </c>
      <c r="AD57" s="6">
        <f t="shared" ref="AD57:BA57" si="7">-$AC$7*$AC$6</f>
        <v>-100000</v>
      </c>
      <c r="AE57" s="6">
        <f t="shared" si="7"/>
        <v>-100000</v>
      </c>
      <c r="AF57" s="6">
        <f t="shared" si="7"/>
        <v>-100000</v>
      </c>
      <c r="AG57" s="6">
        <f t="shared" si="7"/>
        <v>-100000</v>
      </c>
      <c r="AH57" s="6">
        <f t="shared" si="7"/>
        <v>-100000</v>
      </c>
      <c r="AI57" s="6">
        <f t="shared" si="7"/>
        <v>-100000</v>
      </c>
      <c r="AJ57" s="6">
        <f t="shared" si="7"/>
        <v>-100000</v>
      </c>
      <c r="AK57" s="6">
        <f t="shared" si="7"/>
        <v>-100000</v>
      </c>
      <c r="AL57" s="6">
        <f t="shared" si="7"/>
        <v>-100000</v>
      </c>
      <c r="AM57" s="6">
        <f t="shared" si="7"/>
        <v>-100000</v>
      </c>
      <c r="AN57" s="6">
        <f t="shared" si="7"/>
        <v>-100000</v>
      </c>
      <c r="AO57" s="6">
        <f t="shared" si="7"/>
        <v>-100000</v>
      </c>
      <c r="AP57" s="6">
        <f t="shared" si="7"/>
        <v>-100000</v>
      </c>
      <c r="AQ57" s="6">
        <f t="shared" si="7"/>
        <v>-100000</v>
      </c>
      <c r="AR57" s="6">
        <f t="shared" si="7"/>
        <v>-100000</v>
      </c>
      <c r="AS57" s="6">
        <f t="shared" si="7"/>
        <v>-100000</v>
      </c>
      <c r="AT57" s="6">
        <f t="shared" si="7"/>
        <v>-100000</v>
      </c>
      <c r="AU57" s="6">
        <f t="shared" si="7"/>
        <v>-100000</v>
      </c>
      <c r="AV57" s="6">
        <f t="shared" si="7"/>
        <v>-100000</v>
      </c>
      <c r="AW57" s="6">
        <f t="shared" si="7"/>
        <v>-100000</v>
      </c>
      <c r="AX57" s="6">
        <f t="shared" si="7"/>
        <v>-100000</v>
      </c>
      <c r="AY57" s="6">
        <f t="shared" si="7"/>
        <v>-100000</v>
      </c>
      <c r="AZ57" s="6">
        <f t="shared" si="7"/>
        <v>-100000</v>
      </c>
      <c r="BA57" s="6">
        <f t="shared" si="7"/>
        <v>-100000</v>
      </c>
    </row>
    <row r="58" spans="1:53" outlineLevel="1" x14ac:dyDescent="0.35">
      <c r="A58" s="6" t="s">
        <v>38</v>
      </c>
      <c r="B58" s="6">
        <f>'Results - raw data ReCiPe (I)'!CC49</f>
        <v>6478.0424981536307</v>
      </c>
      <c r="AB58" s="23" t="s">
        <v>125</v>
      </c>
      <c r="AC58" s="17">
        <f t="shared" ref="AC58:BA58" si="8">SUM(AC50:AC57)</f>
        <v>-6993.6145894500369</v>
      </c>
      <c r="AD58" s="17">
        <f t="shared" si="8"/>
        <v>-64401.228348851204</v>
      </c>
      <c r="AE58" s="17">
        <f t="shared" si="8"/>
        <v>-66755.138306212786</v>
      </c>
      <c r="AF58" s="17">
        <f t="shared" si="8"/>
        <v>-67817.43573543735</v>
      </c>
      <c r="AG58" s="17">
        <f t="shared" si="8"/>
        <v>-71498.716416582101</v>
      </c>
      <c r="AH58" s="17">
        <f t="shared" si="8"/>
        <v>-73848.71953114713</v>
      </c>
      <c r="AI58" s="17">
        <f t="shared" si="8"/>
        <v>-74388.915359736682</v>
      </c>
      <c r="AJ58" s="17">
        <f t="shared" si="8"/>
        <v>-77507.559903889647</v>
      </c>
      <c r="AK58" s="17">
        <f t="shared" si="8"/>
        <v>-79364.212452923239</v>
      </c>
      <c r="AL58" s="17">
        <f t="shared" si="8"/>
        <v>-79946.313055625389</v>
      </c>
      <c r="AM58" s="17">
        <f t="shared" si="8"/>
        <v>-83009.621052128292</v>
      </c>
      <c r="AN58" s="17">
        <f t="shared" si="8"/>
        <v>-84479.411774501888</v>
      </c>
      <c r="AO58" s="17">
        <f t="shared" si="8"/>
        <v>-84777.048228159227</v>
      </c>
      <c r="AP58" s="17">
        <f t="shared" si="8"/>
        <v>-87443.63001996302</v>
      </c>
      <c r="AQ58" s="17">
        <f t="shared" si="8"/>
        <v>-88930.995768222128</v>
      </c>
      <c r="AR58" s="17">
        <f t="shared" si="8"/>
        <v>-89316.840890072694</v>
      </c>
      <c r="AS58" s="17">
        <f t="shared" si="8"/>
        <v>-91202.714111028763</v>
      </c>
      <c r="AT58" s="17">
        <f t="shared" si="8"/>
        <v>-91982.14799958028</v>
      </c>
      <c r="AU58" s="17">
        <f t="shared" si="8"/>
        <v>-91711.119508368167</v>
      </c>
      <c r="AV58" s="17">
        <f t="shared" si="8"/>
        <v>-93549.096414559186</v>
      </c>
      <c r="AW58" s="17">
        <f t="shared" si="8"/>
        <v>-94330.282738509894</v>
      </c>
      <c r="AX58" s="17">
        <f t="shared" si="8"/>
        <v>-93591.19662035213</v>
      </c>
      <c r="AY58" s="17">
        <f t="shared" si="8"/>
        <v>-94952.251928269528</v>
      </c>
      <c r="AZ58" s="17">
        <f t="shared" si="8"/>
        <v>-95291.769298097672</v>
      </c>
      <c r="BA58" s="17">
        <f t="shared" si="8"/>
        <v>-93858.64185736244</v>
      </c>
    </row>
    <row r="59" spans="1:53" outlineLevel="1" x14ac:dyDescent="0.35">
      <c r="A59" s="6" t="s">
        <v>39</v>
      </c>
      <c r="B59" s="6">
        <f>'Results - raw data ReCiPe (I)'!CC50</f>
        <v>11863.13931563111</v>
      </c>
    </row>
    <row r="60" spans="1:53" outlineLevel="1" x14ac:dyDescent="0.35">
      <c r="A60" s="6" t="s">
        <v>41</v>
      </c>
      <c r="B60" s="6">
        <f>'Results - raw data ReCiPe (I)'!CC51</f>
        <v>248.08396652691221</v>
      </c>
    </row>
    <row r="61" spans="1:53" outlineLevel="1" x14ac:dyDescent="0.35">
      <c r="A61" s="6" t="s">
        <v>43</v>
      </c>
      <c r="B61" s="6">
        <f>'Results - raw data ReCiPe (I)'!CC52</f>
        <v>619.51156124386785</v>
      </c>
      <c r="AB61" s="187"/>
      <c r="AC61" s="187"/>
      <c r="AD61" s="187"/>
      <c r="AE61" s="187"/>
      <c r="AF61" s="187"/>
      <c r="AG61" s="187"/>
      <c r="AH61" s="187"/>
      <c r="AI61" s="187"/>
      <c r="AJ61" s="187"/>
      <c r="AK61" s="187"/>
      <c r="AL61" s="187"/>
      <c r="AM61" s="187"/>
      <c r="AN61" s="187"/>
      <c r="AO61" s="187"/>
      <c r="AP61" s="187"/>
      <c r="AQ61" s="187"/>
      <c r="AR61" s="187"/>
      <c r="AS61" s="187"/>
      <c r="AT61" s="187"/>
      <c r="AU61" s="187"/>
      <c r="AV61" s="187"/>
      <c r="AW61" s="187"/>
      <c r="AX61" s="187"/>
      <c r="AY61" s="187"/>
      <c r="AZ61" s="187"/>
      <c r="BA61" s="187"/>
    </row>
    <row r="62" spans="1:53" outlineLevel="1" x14ac:dyDescent="0.35">
      <c r="A62" s="6" t="s">
        <v>44</v>
      </c>
      <c r="B62" s="6">
        <f>'Results - raw data ReCiPe (I)'!CC53*AC47*AC48</f>
        <v>2689.460902868675</v>
      </c>
      <c r="AB62" s="187"/>
      <c r="AC62" s="187"/>
      <c r="AD62" s="187"/>
      <c r="AE62" s="187"/>
      <c r="AF62" s="187"/>
      <c r="AG62" s="187"/>
      <c r="AH62" s="187"/>
      <c r="AI62" s="187"/>
      <c r="AJ62" s="187"/>
      <c r="AK62" s="187"/>
      <c r="AL62" s="187"/>
      <c r="AM62" s="187"/>
      <c r="AN62" s="187"/>
      <c r="AO62" s="187"/>
      <c r="AP62" s="187"/>
      <c r="AQ62" s="187"/>
      <c r="AR62" s="187"/>
      <c r="AS62" s="187"/>
      <c r="AT62" s="187"/>
      <c r="AU62" s="187"/>
      <c r="AV62" s="187"/>
      <c r="AW62" s="187"/>
      <c r="AX62" s="187"/>
      <c r="AY62" s="187"/>
      <c r="AZ62" s="187"/>
      <c r="BA62" s="187"/>
    </row>
    <row r="63" spans="1:53" outlineLevel="1" x14ac:dyDescent="0.35">
      <c r="A63" s="6" t="s">
        <v>757</v>
      </c>
      <c r="B63" s="6">
        <f>'Results - raw data ReCiPe (I)'!CC54*AC48*AC47</f>
        <v>19250.118471712554</v>
      </c>
      <c r="AB63" s="187"/>
      <c r="AC63" s="187"/>
      <c r="AD63" s="187"/>
      <c r="AE63" s="187"/>
      <c r="AF63" s="187"/>
      <c r="AG63" s="187"/>
      <c r="AH63" s="187"/>
      <c r="AI63" s="187"/>
      <c r="AJ63" s="187"/>
      <c r="AK63" s="187"/>
      <c r="AL63" s="187"/>
      <c r="AM63" s="187"/>
      <c r="AN63" s="187"/>
      <c r="AO63" s="187"/>
      <c r="AP63" s="187"/>
      <c r="AQ63" s="187"/>
      <c r="AR63" s="187"/>
      <c r="AS63" s="187"/>
      <c r="AT63" s="187"/>
      <c r="AU63" s="187"/>
      <c r="AV63" s="187"/>
      <c r="AW63" s="187"/>
      <c r="AX63" s="187"/>
      <c r="AY63" s="187"/>
      <c r="AZ63" s="187"/>
      <c r="BA63" s="187"/>
    </row>
    <row r="64" spans="1:53" outlineLevel="1" x14ac:dyDescent="0.35">
      <c r="A64" s="6" t="s">
        <v>22</v>
      </c>
      <c r="Z64" s="6">
        <f>'Results - raw data ReCiPe (I)'!DA55</f>
        <v>18.14077077211557</v>
      </c>
      <c r="AB64" s="187"/>
      <c r="AC64" s="187"/>
      <c r="AD64" s="187"/>
      <c r="AE64" s="187"/>
      <c r="AF64" s="187"/>
      <c r="AG64" s="187"/>
      <c r="AH64" s="187"/>
      <c r="AI64" s="187"/>
      <c r="AJ64" s="187"/>
      <c r="AK64" s="187"/>
      <c r="AL64" s="187"/>
      <c r="AM64" s="187"/>
      <c r="AN64" s="187"/>
      <c r="AO64" s="187"/>
      <c r="AP64" s="187"/>
      <c r="AQ64" s="187"/>
      <c r="AR64" s="187"/>
      <c r="AS64" s="187"/>
      <c r="AT64" s="187"/>
      <c r="AU64" s="187"/>
      <c r="AV64" s="187"/>
      <c r="AW64" s="187"/>
      <c r="AX64" s="187"/>
      <c r="AY64" s="187"/>
      <c r="AZ64" s="187"/>
      <c r="BA64" s="187"/>
    </row>
    <row r="65" spans="1:53" outlineLevel="1" x14ac:dyDescent="0.35">
      <c r="A65" s="6" t="s">
        <v>24</v>
      </c>
      <c r="Z65" s="6">
        <f>'Results - raw data ReCiPe (I)'!DA56</f>
        <v>6.8259991520238597</v>
      </c>
      <c r="AB65" s="187"/>
      <c r="AC65" s="187"/>
      <c r="AD65" s="187"/>
      <c r="AE65" s="187"/>
      <c r="AF65" s="187"/>
      <c r="AG65" s="187"/>
      <c r="AH65" s="187"/>
      <c r="AI65" s="187"/>
      <c r="AJ65" s="187"/>
      <c r="AK65" s="187"/>
      <c r="AL65" s="187"/>
      <c r="AM65" s="187"/>
      <c r="AN65" s="187"/>
      <c r="AO65" s="187"/>
      <c r="AP65" s="187"/>
      <c r="AQ65" s="187"/>
      <c r="AR65" s="187"/>
      <c r="AS65" s="187"/>
      <c r="AT65" s="187"/>
      <c r="AU65" s="187"/>
      <c r="AV65" s="187"/>
      <c r="AW65" s="187"/>
      <c r="AX65" s="187"/>
      <c r="AY65" s="187"/>
      <c r="AZ65" s="187"/>
      <c r="BA65" s="187"/>
    </row>
    <row r="66" spans="1:53" outlineLevel="1" x14ac:dyDescent="0.35">
      <c r="A66" s="6" t="s">
        <v>25</v>
      </c>
      <c r="Z66" s="6">
        <f>'Results - raw data ReCiPe (I)'!DA57</f>
        <v>22.025810344976279</v>
      </c>
      <c r="AB66" s="187"/>
      <c r="AC66" s="187"/>
      <c r="AD66" s="187"/>
      <c r="AE66" s="187"/>
      <c r="AF66" s="187"/>
      <c r="AG66" s="187"/>
      <c r="AH66" s="187"/>
      <c r="AI66" s="187"/>
      <c r="AJ66" s="187"/>
      <c r="AK66" s="187"/>
      <c r="AL66" s="187"/>
      <c r="AM66" s="187"/>
      <c r="AN66" s="187"/>
      <c r="AO66" s="187"/>
      <c r="AP66" s="187"/>
      <c r="AQ66" s="187"/>
      <c r="AR66" s="187"/>
      <c r="AS66" s="187"/>
      <c r="AT66" s="187"/>
      <c r="AU66" s="187"/>
      <c r="AV66" s="187"/>
      <c r="AW66" s="187"/>
      <c r="AX66" s="187"/>
      <c r="AY66" s="187"/>
      <c r="AZ66" s="187"/>
      <c r="BA66" s="187"/>
    </row>
    <row r="67" spans="1:53" outlineLevel="1" x14ac:dyDescent="0.35">
      <c r="A67" s="6" t="s">
        <v>27</v>
      </c>
      <c r="Z67" s="6">
        <f>'Results - raw data ReCiPe (I)'!DA58</f>
        <v>7.3969005273690289</v>
      </c>
      <c r="AB67" s="187"/>
      <c r="AC67" s="187"/>
      <c r="AD67" s="187"/>
      <c r="AE67" s="187"/>
      <c r="AF67" s="187"/>
      <c r="AG67" s="187"/>
      <c r="AH67" s="187"/>
      <c r="AI67" s="187"/>
      <c r="AJ67" s="187"/>
      <c r="AK67" s="187"/>
      <c r="AL67" s="187"/>
      <c r="AM67" s="187"/>
      <c r="AN67" s="187"/>
      <c r="AO67" s="187"/>
      <c r="AP67" s="187"/>
      <c r="AQ67" s="187"/>
      <c r="AR67" s="187"/>
      <c r="AS67" s="187"/>
      <c r="AT67" s="187"/>
      <c r="AU67" s="187"/>
      <c r="AV67" s="187"/>
      <c r="AW67" s="187"/>
      <c r="AX67" s="187"/>
      <c r="AY67" s="187"/>
      <c r="AZ67" s="187"/>
      <c r="BA67" s="187"/>
    </row>
    <row r="68" spans="1:53" outlineLevel="1" x14ac:dyDescent="0.35">
      <c r="A68" s="6" t="s">
        <v>30</v>
      </c>
      <c r="Z68" s="6">
        <f>'Results - raw data ReCiPe (I)'!DA59</f>
        <v>23.607416959139901</v>
      </c>
      <c r="AB68" s="187"/>
      <c r="AC68" s="187"/>
      <c r="AD68" s="187"/>
      <c r="AE68" s="187"/>
      <c r="AF68" s="187"/>
      <c r="AG68" s="187"/>
      <c r="AH68" s="187"/>
      <c r="AI68" s="187"/>
      <c r="AJ68" s="187"/>
      <c r="AK68" s="187"/>
      <c r="AL68" s="187"/>
      <c r="AM68" s="187"/>
      <c r="AN68" s="187"/>
      <c r="AO68" s="187"/>
      <c r="AP68" s="187"/>
      <c r="AQ68" s="187"/>
      <c r="AR68" s="187"/>
      <c r="AS68" s="187"/>
      <c r="AT68" s="187"/>
      <c r="AU68" s="187"/>
      <c r="AV68" s="187"/>
      <c r="AW68" s="187"/>
      <c r="AX68" s="187"/>
      <c r="AY68" s="187"/>
      <c r="AZ68" s="187"/>
      <c r="BA68" s="187"/>
    </row>
    <row r="69" spans="1:53" outlineLevel="1" x14ac:dyDescent="0.35">
      <c r="A69" s="6" t="s">
        <v>32</v>
      </c>
      <c r="Z69" s="6">
        <f>'Results - raw data ReCiPe (I)'!DA60</f>
        <v>0.89023877747084434</v>
      </c>
      <c r="AB69" s="187"/>
      <c r="AC69" s="187"/>
      <c r="AD69" s="187"/>
      <c r="AE69" s="187"/>
      <c r="AF69" s="187"/>
      <c r="AG69" s="187"/>
      <c r="AH69" s="187"/>
      <c r="AI69" s="187"/>
      <c r="AJ69" s="187"/>
      <c r="AK69" s="187"/>
      <c r="AL69" s="187"/>
      <c r="AM69" s="187"/>
      <c r="AN69" s="187"/>
      <c r="AO69" s="187"/>
      <c r="AP69" s="187"/>
      <c r="AQ69" s="187"/>
      <c r="AR69" s="187"/>
      <c r="AS69" s="187"/>
      <c r="AT69" s="187"/>
      <c r="AU69" s="187"/>
      <c r="AV69" s="187"/>
      <c r="AW69" s="187"/>
      <c r="AX69" s="187"/>
      <c r="AY69" s="187"/>
      <c r="AZ69" s="187"/>
      <c r="BA69" s="187"/>
    </row>
    <row r="70" spans="1:53" outlineLevel="1" x14ac:dyDescent="0.35">
      <c r="A70" s="6" t="s">
        <v>33</v>
      </c>
      <c r="Z70" s="6">
        <f>'Results - raw data ReCiPe (I)'!DA61</f>
        <v>5.605023434958313</v>
      </c>
      <c r="AB70" s="187"/>
      <c r="AC70" s="187"/>
      <c r="AD70" s="187"/>
      <c r="AE70" s="187"/>
      <c r="AF70" s="187"/>
      <c r="AG70" s="187"/>
      <c r="AH70" s="187"/>
      <c r="AI70" s="187"/>
      <c r="AJ70" s="187"/>
      <c r="AK70" s="187"/>
      <c r="AL70" s="187"/>
      <c r="AM70" s="187"/>
      <c r="AN70" s="187"/>
      <c r="AO70" s="187"/>
      <c r="AP70" s="187"/>
      <c r="AQ70" s="187"/>
      <c r="AR70" s="187"/>
      <c r="AS70" s="187"/>
      <c r="AT70" s="187"/>
      <c r="AU70" s="187"/>
      <c r="AV70" s="187"/>
      <c r="AW70" s="187"/>
      <c r="AX70" s="187"/>
      <c r="AY70" s="187"/>
      <c r="AZ70" s="187"/>
      <c r="BA70" s="187"/>
    </row>
    <row r="71" spans="1:53" outlineLevel="1" x14ac:dyDescent="0.35">
      <c r="A71" s="6" t="s">
        <v>35</v>
      </c>
      <c r="Z71" s="6">
        <f>'Results - raw data ReCiPe (I)'!DA62</f>
        <v>11.21004686991663</v>
      </c>
      <c r="AB71" s="187"/>
      <c r="AC71" s="187"/>
      <c r="AD71" s="187"/>
      <c r="AE71" s="187"/>
      <c r="AF71" s="187"/>
      <c r="AG71" s="187"/>
      <c r="AH71" s="187"/>
      <c r="AI71" s="187"/>
      <c r="AJ71" s="187"/>
      <c r="AK71" s="187"/>
      <c r="AL71" s="187"/>
      <c r="AM71" s="187"/>
      <c r="AN71" s="187"/>
      <c r="AO71" s="187"/>
      <c r="AP71" s="187"/>
      <c r="AQ71" s="187"/>
      <c r="AR71" s="187"/>
      <c r="AS71" s="187"/>
      <c r="AT71" s="187"/>
      <c r="AU71" s="187"/>
      <c r="AV71" s="187"/>
      <c r="AW71" s="187"/>
      <c r="AX71" s="187"/>
      <c r="AY71" s="187"/>
      <c r="AZ71" s="187"/>
      <c r="BA71" s="187"/>
    </row>
    <row r="72" spans="1:53" outlineLevel="1" x14ac:dyDescent="0.35">
      <c r="A72" s="6" t="s">
        <v>37</v>
      </c>
      <c r="Z72" s="6">
        <f>'Results - raw data ReCiPe (I)'!DA63</f>
        <v>14.40751346137335</v>
      </c>
      <c r="AB72" s="187"/>
      <c r="AC72" s="187"/>
      <c r="AD72" s="187"/>
      <c r="AE72" s="187"/>
      <c r="AF72" s="187"/>
      <c r="AG72" s="187"/>
      <c r="AH72" s="187"/>
      <c r="AI72" s="187"/>
      <c r="AJ72" s="187"/>
      <c r="AK72" s="187"/>
      <c r="AL72" s="187"/>
      <c r="AM72" s="187"/>
      <c r="AN72" s="187"/>
      <c r="AO72" s="187"/>
      <c r="AP72" s="187"/>
      <c r="AQ72" s="187"/>
      <c r="AR72" s="187"/>
      <c r="AS72" s="187"/>
      <c r="AT72" s="187"/>
      <c r="AU72" s="187"/>
      <c r="AV72" s="187"/>
      <c r="AW72" s="187"/>
      <c r="AX72" s="187"/>
      <c r="AY72" s="187"/>
      <c r="AZ72" s="187"/>
      <c r="BA72" s="187"/>
    </row>
    <row r="73" spans="1:53" outlineLevel="1" x14ac:dyDescent="0.35">
      <c r="A73" s="6" t="s">
        <v>40</v>
      </c>
      <c r="Z73" s="6">
        <f>'Results - raw data ReCiPe (I)'!DA64</f>
        <v>383.06727323534011</v>
      </c>
      <c r="AB73" s="187"/>
      <c r="AC73" s="187"/>
      <c r="AD73" s="187"/>
      <c r="AE73" s="187"/>
      <c r="AF73" s="187"/>
      <c r="AG73" s="187"/>
      <c r="AH73" s="187"/>
      <c r="AI73" s="187"/>
      <c r="AJ73" s="187"/>
      <c r="AK73" s="187"/>
      <c r="AL73" s="187"/>
      <c r="AM73" s="187"/>
      <c r="AN73" s="187"/>
      <c r="AO73" s="187"/>
      <c r="AP73" s="187"/>
      <c r="AQ73" s="187"/>
      <c r="AR73" s="187"/>
      <c r="AS73" s="187"/>
      <c r="AT73" s="187"/>
      <c r="AU73" s="187"/>
      <c r="AV73" s="187"/>
      <c r="AW73" s="187"/>
      <c r="AX73" s="187"/>
      <c r="AY73" s="187"/>
      <c r="AZ73" s="187"/>
      <c r="BA73" s="187"/>
    </row>
    <row r="74" spans="1:53" outlineLevel="1" x14ac:dyDescent="0.35">
      <c r="A74" s="6" t="s">
        <v>42</v>
      </c>
      <c r="Z74" s="6">
        <f>'Results - raw data ReCiPe (I)'!DA65</f>
        <v>40.166089744463918</v>
      </c>
      <c r="AB74" s="187"/>
      <c r="AC74" s="187"/>
      <c r="AD74" s="187"/>
      <c r="AE74" s="187"/>
      <c r="AF74" s="187"/>
      <c r="AG74" s="187"/>
      <c r="AH74" s="187"/>
      <c r="AI74" s="187"/>
      <c r="AJ74" s="187"/>
      <c r="AK74" s="187"/>
      <c r="AL74" s="187"/>
      <c r="AM74" s="187"/>
      <c r="AN74" s="187"/>
      <c r="AO74" s="187"/>
      <c r="AP74" s="187"/>
      <c r="AQ74" s="187"/>
      <c r="AR74" s="187"/>
      <c r="AS74" s="187"/>
      <c r="AT74" s="187"/>
      <c r="AU74" s="187"/>
      <c r="AV74" s="187"/>
      <c r="AW74" s="187"/>
      <c r="AX74" s="187"/>
      <c r="AY74" s="187"/>
      <c r="AZ74" s="187"/>
      <c r="BA74" s="187"/>
    </row>
    <row r="75" spans="1:53" outlineLevel="1" x14ac:dyDescent="0.35">
      <c r="A75" s="6" t="s">
        <v>115</v>
      </c>
      <c r="Z75" s="6">
        <f>'Results - raw data ReCiPe (I)'!DA66</f>
        <v>203.50102941255949</v>
      </c>
    </row>
    <row r="76" spans="1:53" outlineLevel="1" x14ac:dyDescent="0.35">
      <c r="A76" s="6" t="s">
        <v>45</v>
      </c>
      <c r="Z76" s="6">
        <f>'Results - raw data ReCiPe (I)'!DA67*AC47*AC48</f>
        <v>22.256211814560157</v>
      </c>
    </row>
    <row r="77" spans="1:53" outlineLevel="1" x14ac:dyDescent="0.35">
      <c r="A77" s="6" t="s">
        <v>116</v>
      </c>
      <c r="B77" s="6">
        <f>'Results - raw data ReCiPe (I)'!CC68</f>
        <v>1369.6249485785811</v>
      </c>
      <c r="C77" s="6">
        <f>'Results - raw data ReCiPe (I)'!CD68</f>
        <v>1358.4953790177631</v>
      </c>
      <c r="D77" s="6">
        <f>'Results - raw data ReCiPe (I)'!CE68</f>
        <v>1347.293398121084</v>
      </c>
      <c r="E77" s="6">
        <f>'Results - raw data ReCiPe (I)'!CF68</f>
        <v>1330.201743386594</v>
      </c>
      <c r="F77" s="6">
        <f>'Results - raw data ReCiPe (I)'!CG68</f>
        <v>1318.843860122046</v>
      </c>
      <c r="G77" s="6">
        <f>'Results - raw data ReCiPe (I)'!CH68</f>
        <v>1307.3896262955329</v>
      </c>
      <c r="H77" s="6">
        <f>'Results - raw data ReCiPe (I)'!CI68</f>
        <v>1291.6658561466461</v>
      </c>
      <c r="I77" s="6">
        <f>'Results - raw data ReCiPe (I)'!CJ68</f>
        <v>1275.985771522767</v>
      </c>
      <c r="J77" s="6">
        <f>'Results - raw data ReCiPe (I)'!CK68</f>
        <v>1256.7870217475061</v>
      </c>
      <c r="K77" s="6">
        <f>'Results - raw data ReCiPe (I)'!CL68</f>
        <v>1241.1161458074589</v>
      </c>
      <c r="L77" s="6">
        <f>'Results - raw data ReCiPe (I)'!CM68</f>
        <v>1225.395562882027</v>
      </c>
      <c r="M77" s="6">
        <f>'Results - raw data ReCiPe (I)'!CN68</f>
        <v>1201.689004072412</v>
      </c>
      <c r="N77" s="6">
        <f>'Results - raw data ReCiPe (I)'!CO68</f>
        <v>1178.1152807241949</v>
      </c>
      <c r="O77" s="6">
        <f>'Results - raw data ReCiPe (I)'!CP68</f>
        <v>1153.6678966954639</v>
      </c>
      <c r="P77" s="6">
        <f>'Results - raw data ReCiPe (I)'!CQ68</f>
        <v>1130.3739100911839</v>
      </c>
      <c r="Q77" s="6">
        <f>'Results - raw data ReCiPe (I)'!CR68</f>
        <v>1107.2050594847649</v>
      </c>
      <c r="R77" s="6">
        <f>'Results - raw data ReCiPe (I)'!CS68</f>
        <v>1090.707890935103</v>
      </c>
      <c r="S77" s="6">
        <f>'Results - raw data ReCiPe (I)'!CT68</f>
        <v>1074.307910020796</v>
      </c>
      <c r="T77" s="6">
        <f>'Results - raw data ReCiPe (I)'!CU68</f>
        <v>1057.185548264049</v>
      </c>
      <c r="U77" s="6">
        <f>'Results - raw data ReCiPe (I)'!CV68</f>
        <v>1040.9924904342349</v>
      </c>
      <c r="V77" s="6">
        <f>'Results - raw data ReCiPe (I)'!CW68</f>
        <v>1024.892072371603</v>
      </c>
      <c r="W77" s="6">
        <f>'Results - raw data ReCiPe (I)'!CX68</f>
        <v>1022.6160132821969</v>
      </c>
      <c r="X77" s="6">
        <f>'Results - raw data ReCiPe (I)'!CY68</f>
        <v>1019.941439388661</v>
      </c>
      <c r="Y77" s="6">
        <f>'Results - raw data ReCiPe (I)'!CZ68</f>
        <v>1017.287065892946</v>
      </c>
      <c r="Z77" s="6">
        <f>'Results - raw data ReCiPe (I)'!DA68</f>
        <v>1014.652642880409</v>
      </c>
    </row>
    <row r="78" spans="1:53" outlineLevel="1" x14ac:dyDescent="0.35">
      <c r="A78" s="6" t="s">
        <v>758</v>
      </c>
      <c r="B78" s="6">
        <f>'Results - raw data ReCiPe (I)'!CC69*$AC$47</f>
        <v>2816.490015727883</v>
      </c>
      <c r="C78" s="6">
        <f>'Results - raw data ReCiPe (I)'!CD69*$AC$47</f>
        <v>2643.1630151783997</v>
      </c>
      <c r="D78" s="6">
        <f>'Results - raw data ReCiPe (I)'!CE69*$AC$47</f>
        <v>2470.6554529119071</v>
      </c>
      <c r="E78" s="6">
        <f>'Results - raw data ReCiPe (I)'!CF69*$AC$47</f>
        <v>2295.6641346214378</v>
      </c>
      <c r="F78" s="6">
        <f>'Results - raw data ReCiPe (I)'!CG69*$AC$47</f>
        <v>2124.7498711288149</v>
      </c>
      <c r="G78" s="6">
        <f>'Results - raw data ReCiPe (I)'!CH69*$AC$47</f>
        <v>1954.6031179130839</v>
      </c>
      <c r="H78" s="6">
        <f>'Results - raw data ReCiPe (I)'!CI69*$AC$47</f>
        <v>1822.7260345807761</v>
      </c>
      <c r="I78" s="6">
        <f>'Results - raw data ReCiPe (I)'!CJ69*$AC$47</f>
        <v>1691.452781228018</v>
      </c>
      <c r="J78" s="6">
        <f>'Results - raw data ReCiPe (I)'!CK69*$AC$47</f>
        <v>1558.0543689634449</v>
      </c>
      <c r="K78" s="6">
        <f>'Results - raw data ReCiPe (I)'!CL69*$AC$47</f>
        <v>1427.5534970495339</v>
      </c>
      <c r="L78" s="6">
        <f>'Results - raw data ReCiPe (I)'!CM69*$AC$47</f>
        <v>1297.370820631347</v>
      </c>
      <c r="M78" s="6">
        <f>'Results - raw data ReCiPe (I)'!CN69*$AC$47</f>
        <v>1192.0280904561412</v>
      </c>
      <c r="N78" s="6">
        <f>'Results - raw data ReCiPe (I)'!CO69*$AC$47</f>
        <v>1086.3153844765</v>
      </c>
      <c r="O78" s="6">
        <f>'Results - raw data ReCiPe (I)'!CP69*$AC$47</f>
        <v>979.679313659066</v>
      </c>
      <c r="P78" s="6">
        <f>'Results - raw data ReCiPe (I)'!CQ69*$AC$47</f>
        <v>873.24358547651377</v>
      </c>
      <c r="Q78" s="6">
        <f>'Results - raw data ReCiPe (I)'!CR69*$AC$47</f>
        <v>766.45125956112827</v>
      </c>
      <c r="R78" s="6">
        <f>'Results - raw data ReCiPe (I)'!CS69*$AC$47</f>
        <v>710.64060120959937</v>
      </c>
      <c r="S78" s="6">
        <f>'Results - raw data ReCiPe (I)'!CT69*$AC$47</f>
        <v>654.65478553185676</v>
      </c>
      <c r="T78" s="6">
        <f>'Results - raw data ReCiPe (I)'!CU69*$AC$47</f>
        <v>598.01001692743648</v>
      </c>
      <c r="U78" s="6">
        <f>'Results - raw data ReCiPe (I)'!CV69*$AC$47</f>
        <v>541.67841816254531</v>
      </c>
      <c r="V78" s="6">
        <f>'Results - raw data ReCiPe (I)'!CW69*$AC$47</f>
        <v>485.18977986330407</v>
      </c>
      <c r="W78" s="6">
        <f>'Results - raw data ReCiPe (I)'!CX69*$AC$47</f>
        <v>464.83208119096309</v>
      </c>
      <c r="X78" s="6">
        <f>'Results - raw data ReCiPe (I)'!CY69*$AC$47</f>
        <v>440.5989318243453</v>
      </c>
      <c r="Y78" s="6">
        <f>'Results - raw data ReCiPe (I)'!CZ69*$AC$47</f>
        <v>416.35907723093732</v>
      </c>
      <c r="Z78" s="6">
        <f>'Results - raw data ReCiPe (I)'!DA69*$AC$47</f>
        <v>392.11018079298378</v>
      </c>
    </row>
    <row r="79" spans="1:53" outlineLevel="1" x14ac:dyDescent="0.35">
      <c r="A79" s="6" t="s">
        <v>759</v>
      </c>
      <c r="B79" s="6">
        <f>'Results - raw data ReCiPe (I)'!CC70</f>
        <v>0</v>
      </c>
      <c r="C79" s="6">
        <f>'Results - raw data ReCiPe (I)'!CD70</f>
        <v>0</v>
      </c>
      <c r="D79" s="6">
        <f>'Results - raw data ReCiPe (I)'!CE70</f>
        <v>0</v>
      </c>
      <c r="E79" s="6">
        <f>'Results - raw data ReCiPe (I)'!CF70</f>
        <v>0</v>
      </c>
      <c r="F79" s="6">
        <f>'Results - raw data ReCiPe (I)'!CG70</f>
        <v>0</v>
      </c>
      <c r="G79" s="6">
        <f>'Results - raw data ReCiPe (I)'!CH70</f>
        <v>0</v>
      </c>
      <c r="H79" s="6">
        <f>'Results - raw data ReCiPe (I)'!CI70</f>
        <v>0</v>
      </c>
      <c r="I79" s="6">
        <f>'Results - raw data ReCiPe (I)'!CJ70</f>
        <v>0</v>
      </c>
      <c r="J79" s="6">
        <f>'Results - raw data ReCiPe (I)'!CK70</f>
        <v>0</v>
      </c>
      <c r="K79" s="6">
        <f>'Results - raw data ReCiPe (I)'!CL70</f>
        <v>0</v>
      </c>
      <c r="L79" s="6">
        <f>'Results - raw data ReCiPe (I)'!CM70</f>
        <v>0</v>
      </c>
      <c r="M79" s="6">
        <f>'Results - raw data ReCiPe (I)'!CN70</f>
        <v>0</v>
      </c>
      <c r="N79" s="6">
        <f>'Results - raw data ReCiPe (I)'!CO70</f>
        <v>0</v>
      </c>
      <c r="O79" s="6">
        <f>'Results - raw data ReCiPe (I)'!CP70</f>
        <v>0</v>
      </c>
      <c r="P79" s="6">
        <f>'Results - raw data ReCiPe (I)'!CQ70</f>
        <v>0</v>
      </c>
      <c r="Q79" s="6">
        <f>'Results - raw data ReCiPe (I)'!CR70</f>
        <v>0</v>
      </c>
      <c r="R79" s="6">
        <f>'Results - raw data ReCiPe (I)'!CS70</f>
        <v>0</v>
      </c>
      <c r="S79" s="6">
        <f>'Results - raw data ReCiPe (I)'!CT70</f>
        <v>0</v>
      </c>
      <c r="T79" s="6">
        <f>'Results - raw data ReCiPe (I)'!CU70</f>
        <v>0</v>
      </c>
      <c r="U79" s="6">
        <f>'Results - raw data ReCiPe (I)'!CV70</f>
        <v>0</v>
      </c>
      <c r="V79" s="6">
        <f>'Results - raw data ReCiPe (I)'!CW70</f>
        <v>0</v>
      </c>
      <c r="W79" s="6">
        <f>'Results - raw data ReCiPe (I)'!CX70</f>
        <v>0</v>
      </c>
      <c r="X79" s="6">
        <f>'Results - raw data ReCiPe (I)'!CY70</f>
        <v>0</v>
      </c>
      <c r="Y79" s="6">
        <f>'Results - raw data ReCiPe (I)'!CZ70</f>
        <v>0</v>
      </c>
      <c r="Z79" s="6">
        <f>'Results - raw data ReCiPe (I)'!DA70</f>
        <v>0</v>
      </c>
    </row>
    <row r="80" spans="1:53" outlineLevel="1" x14ac:dyDescent="0.35">
      <c r="A80" s="6" t="s">
        <v>760</v>
      </c>
      <c r="B80" s="6">
        <f>'Results - raw data ReCiPe (I)'!CC71</f>
        <v>35137.912585031052</v>
      </c>
      <c r="C80" s="6">
        <f>'Results - raw data ReCiPe (I)'!CD71</f>
        <v>32955.608635970399</v>
      </c>
      <c r="D80" s="6">
        <f>'Results - raw data ReCiPe (I)'!CE71</f>
        <v>30774.206240875312</v>
      </c>
      <c r="E80" s="6">
        <f>'Results - raw data ReCiPe (I)'!CF71</f>
        <v>28556.69838655461</v>
      </c>
      <c r="F80" s="6">
        <f>'Results - raw data ReCiPe (I)'!CG71</f>
        <v>26376.533712289089</v>
      </c>
      <c r="G80" s="6">
        <f>'Results - raw data ReCiPe (I)'!CH71</f>
        <v>24196.677350939779</v>
      </c>
      <c r="H80" s="6">
        <f>'Results - raw data ReCiPe (I)'!CI71</f>
        <v>22496.69274953589</v>
      </c>
      <c r="I80" s="6">
        <f>'Results - raw data ReCiPe (I)'!CJ71</f>
        <v>20800.987314882339</v>
      </c>
      <c r="J80" s="6">
        <f>'Results - raw data ReCiPe (I)'!CK71</f>
        <v>19077.733178113311</v>
      </c>
      <c r="K80" s="6">
        <f>'Results - raw data ReCiPe (I)'!CL71</f>
        <v>17385.017301517611</v>
      </c>
      <c r="L80" s="6">
        <f>'Results - raw data ReCiPe (I)'!CM71</f>
        <v>15693.00812724036</v>
      </c>
      <c r="M80" s="6">
        <f>'Results - raw data ReCiPe (I)'!CN71</f>
        <v>14328.560135041969</v>
      </c>
      <c r="N80" s="6">
        <f>'Results - raw data ReCiPe (I)'!CO71</f>
        <v>12958.521106640081</v>
      </c>
      <c r="O80" s="6">
        <f>'Results - raw data ReCiPe (I)'!CP71</f>
        <v>11576.690666377919</v>
      </c>
      <c r="P80" s="6">
        <f>'Results - raw data ReCiPe (I)'!CQ71</f>
        <v>10195.76064630136</v>
      </c>
      <c r="Q80" s="6">
        <f>'Results - raw data ReCiPe (I)'!CR71</f>
        <v>8809.5027908814172</v>
      </c>
      <c r="R80" s="6">
        <f>'Results - raw data ReCiPe (I)'!CS71</f>
        <v>8086.6452877616366</v>
      </c>
      <c r="S80" s="6">
        <f>'Results - raw data ReCiPe (I)'!CT71</f>
        <v>7363.1972148878667</v>
      </c>
      <c r="T80" s="6">
        <f>'Results - raw data ReCiPe (I)'!CU71</f>
        <v>6633.6849264403409</v>
      </c>
      <c r="U80" s="6">
        <f>'Results - raw data ReCiPe (I)'!CV71</f>
        <v>5909.2251672782704</v>
      </c>
      <c r="V80" s="6">
        <f>'Results - raw data ReCiPe (I)'!CW71</f>
        <v>5184.5274816267993</v>
      </c>
      <c r="W80" s="6">
        <f>'Results - raw data ReCiPe (I)'!CX71</f>
        <v>4921.3552851747154</v>
      </c>
      <c r="X80" s="6">
        <f>'Results - raw data ReCiPe (I)'!CY71</f>
        <v>4607.1491399061242</v>
      </c>
      <c r="Y80" s="6">
        <f>'Results - raw data ReCiPe (I)'!CZ71</f>
        <v>4291.8716246713884</v>
      </c>
      <c r="Z80" s="6">
        <f>'Results - raw data ReCiPe (I)'!DA71</f>
        <v>3975.4949944578962</v>
      </c>
    </row>
    <row r="81" spans="1:53" outlineLevel="1" x14ac:dyDescent="0.35">
      <c r="A81" s="23" t="s">
        <v>125</v>
      </c>
      <c r="B81" s="17">
        <f t="shared" ref="B81:Z81" si="9">SUM(B50:B80)</f>
        <v>93006.385410549963</v>
      </c>
      <c r="C81" s="17">
        <f t="shared" si="9"/>
        <v>36957.267030166564</v>
      </c>
      <c r="D81" s="17">
        <f t="shared" si="9"/>
        <v>34592.155091908302</v>
      </c>
      <c r="E81" s="17">
        <f t="shared" si="9"/>
        <v>32182.564264562643</v>
      </c>
      <c r="F81" s="17">
        <f t="shared" si="9"/>
        <v>29820.12744353995</v>
      </c>
      <c r="G81" s="17">
        <f t="shared" si="9"/>
        <v>27458.670095148394</v>
      </c>
      <c r="H81" s="17">
        <f t="shared" si="9"/>
        <v>25611.084640263311</v>
      </c>
      <c r="I81" s="17">
        <f t="shared" si="9"/>
        <v>23768.425867633123</v>
      </c>
      <c r="J81" s="17">
        <f t="shared" si="9"/>
        <v>21892.57456882426</v>
      </c>
      <c r="K81" s="17">
        <f t="shared" si="9"/>
        <v>20053.686944374604</v>
      </c>
      <c r="L81" s="17">
        <f t="shared" si="9"/>
        <v>18215.774510753734</v>
      </c>
      <c r="M81" s="17">
        <f t="shared" si="9"/>
        <v>16722.277229570522</v>
      </c>
      <c r="N81" s="17">
        <f t="shared" si="9"/>
        <v>15222.951771840775</v>
      </c>
      <c r="O81" s="17">
        <f t="shared" si="9"/>
        <v>13710.037876732449</v>
      </c>
      <c r="P81" s="17">
        <f t="shared" si="9"/>
        <v>12199.378141869058</v>
      </c>
      <c r="Q81" s="17">
        <f t="shared" si="9"/>
        <v>10683.15910992731</v>
      </c>
      <c r="R81" s="17">
        <f t="shared" si="9"/>
        <v>9887.9937799063391</v>
      </c>
      <c r="S81" s="17">
        <f t="shared" si="9"/>
        <v>9092.1599104405195</v>
      </c>
      <c r="T81" s="17">
        <f t="shared" si="9"/>
        <v>8288.8804916318259</v>
      </c>
      <c r="U81" s="17">
        <f t="shared" si="9"/>
        <v>7491.8960758750509</v>
      </c>
      <c r="V81" s="17">
        <f t="shared" si="9"/>
        <v>6694.6093338617065</v>
      </c>
      <c r="W81" s="17">
        <f t="shared" si="9"/>
        <v>6408.8033796478758</v>
      </c>
      <c r="X81" s="17">
        <f t="shared" si="9"/>
        <v>6067.6895111191307</v>
      </c>
      <c r="Y81" s="17">
        <f t="shared" si="9"/>
        <v>5725.5177677952715</v>
      </c>
      <c r="Z81" s="17">
        <f t="shared" si="9"/>
        <v>6141.3581426375567</v>
      </c>
    </row>
    <row r="82" spans="1:53" outlineLevel="1" x14ac:dyDescent="0.35"/>
    <row r="83" spans="1:53" s="18" customFormat="1" ht="21" x14ac:dyDescent="0.5">
      <c r="A83" s="18" t="s">
        <v>94</v>
      </c>
    </row>
    <row r="84" spans="1:53" s="20" customFormat="1" outlineLevel="1" x14ac:dyDescent="0.35">
      <c r="A84" s="19" t="s">
        <v>767</v>
      </c>
    </row>
    <row r="85" spans="1:53" s="16" customFormat="1" outlineLevel="1" x14ac:dyDescent="0.35">
      <c r="A85" s="21"/>
      <c r="AB85" s="16" t="s">
        <v>47</v>
      </c>
      <c r="AC85" s="16">
        <v>1</v>
      </c>
      <c r="AD85" s="16" t="s">
        <v>146</v>
      </c>
    </row>
    <row r="86" spans="1:53" s="16" customFormat="1" outlineLevel="1" x14ac:dyDescent="0.35">
      <c r="A86" s="22" t="s">
        <v>566</v>
      </c>
      <c r="AC86" s="16">
        <f>AC85*1000</f>
        <v>1000</v>
      </c>
      <c r="AD86" s="16" t="s">
        <v>144</v>
      </c>
    </row>
    <row r="87" spans="1:53" s="16" customFormat="1" outlineLevel="1" x14ac:dyDescent="0.35">
      <c r="A87" s="22"/>
      <c r="AB87" s="16" t="s">
        <v>127</v>
      </c>
      <c r="AC87" s="16">
        <v>100</v>
      </c>
      <c r="AD87" s="16" t="s">
        <v>128</v>
      </c>
    </row>
    <row r="88" spans="1:53" s="16" customFormat="1" outlineLevel="1" x14ac:dyDescent="0.35">
      <c r="A88" s="22"/>
      <c r="AB88" s="16" t="s">
        <v>129</v>
      </c>
      <c r="AC88" s="16">
        <v>25</v>
      </c>
      <c r="AD88" s="16" t="s">
        <v>130</v>
      </c>
    </row>
    <row r="89" spans="1:53" outlineLevel="1" x14ac:dyDescent="0.35">
      <c r="B89" s="25">
        <v>2030</v>
      </c>
      <c r="C89" s="25">
        <v>2031</v>
      </c>
      <c r="D89" s="25">
        <v>2032</v>
      </c>
      <c r="E89" s="25">
        <v>2033</v>
      </c>
      <c r="F89" s="25">
        <v>2034</v>
      </c>
      <c r="G89" s="25">
        <v>2035</v>
      </c>
      <c r="H89" s="25">
        <v>2036</v>
      </c>
      <c r="I89" s="25">
        <v>2037</v>
      </c>
      <c r="J89" s="25">
        <v>2038</v>
      </c>
      <c r="K89" s="25">
        <v>2039</v>
      </c>
      <c r="L89" s="25">
        <v>2040</v>
      </c>
      <c r="M89" s="25">
        <v>2041</v>
      </c>
      <c r="N89" s="25">
        <v>2042</v>
      </c>
      <c r="O89" s="25">
        <v>2043</v>
      </c>
      <c r="P89" s="25">
        <v>2044</v>
      </c>
      <c r="Q89" s="25">
        <v>2045</v>
      </c>
      <c r="R89" s="25">
        <v>2046</v>
      </c>
      <c r="S89" s="25">
        <v>2047</v>
      </c>
      <c r="T89" s="25">
        <v>2048</v>
      </c>
      <c r="U89" s="25">
        <v>2049</v>
      </c>
      <c r="V89" s="25">
        <v>2050</v>
      </c>
      <c r="W89" s="25">
        <v>2051</v>
      </c>
      <c r="X89" s="25">
        <v>2052</v>
      </c>
      <c r="Y89" s="25">
        <v>2053</v>
      </c>
      <c r="Z89" s="25">
        <v>2054</v>
      </c>
      <c r="AC89" s="25">
        <v>2030</v>
      </c>
      <c r="AD89" s="25">
        <v>2031</v>
      </c>
      <c r="AE89" s="25">
        <v>2032</v>
      </c>
      <c r="AF89" s="25">
        <v>2033</v>
      </c>
      <c r="AG89" s="25">
        <v>2034</v>
      </c>
      <c r="AH89" s="25">
        <v>2035</v>
      </c>
      <c r="AI89" s="25">
        <v>2036</v>
      </c>
      <c r="AJ89" s="25">
        <v>2037</v>
      </c>
      <c r="AK89" s="25">
        <v>2038</v>
      </c>
      <c r="AL89" s="25">
        <v>2039</v>
      </c>
      <c r="AM89" s="25">
        <v>2040</v>
      </c>
      <c r="AN89" s="25">
        <v>2041</v>
      </c>
      <c r="AO89" s="25">
        <v>2042</v>
      </c>
      <c r="AP89" s="25">
        <v>2043</v>
      </c>
      <c r="AQ89" s="25">
        <v>2044</v>
      </c>
      <c r="AR89" s="25">
        <v>2045</v>
      </c>
      <c r="AS89" s="25">
        <v>2046</v>
      </c>
      <c r="AT89" s="25">
        <v>2047</v>
      </c>
      <c r="AU89" s="25">
        <v>2048</v>
      </c>
      <c r="AV89" s="25">
        <v>2049</v>
      </c>
      <c r="AW89" s="25">
        <v>2050</v>
      </c>
      <c r="AX89" s="25">
        <v>2051</v>
      </c>
      <c r="AY89" s="25">
        <v>2052</v>
      </c>
      <c r="AZ89" s="25">
        <v>2053</v>
      </c>
      <c r="BA89" s="25">
        <v>2054</v>
      </c>
    </row>
    <row r="90" spans="1:53" outlineLevel="1" x14ac:dyDescent="0.35">
      <c r="A90" s="6" t="s">
        <v>21</v>
      </c>
      <c r="B90" s="6">
        <f>'Results - raw data ReCiPe (I)'!CC77</f>
        <v>622.04666586627502</v>
      </c>
      <c r="AB90" s="6" t="s">
        <v>117</v>
      </c>
      <c r="AC90" s="6">
        <f>SUM(B90:B101)+B103</f>
        <v>42087.257169202174</v>
      </c>
    </row>
    <row r="91" spans="1:53" outlineLevel="1" x14ac:dyDescent="0.35">
      <c r="A91" s="6" t="s">
        <v>23</v>
      </c>
      <c r="B91" s="6">
        <f>'Results - raw data ReCiPe (I)'!CC78</f>
        <v>809.09786536614229</v>
      </c>
      <c r="AB91" s="6" t="s">
        <v>118</v>
      </c>
      <c r="AC91" s="6">
        <f>B102</f>
        <v>2363.2132293652407</v>
      </c>
    </row>
    <row r="92" spans="1:53" outlineLevel="1" x14ac:dyDescent="0.35">
      <c r="A92" s="6" t="s">
        <v>26</v>
      </c>
      <c r="B92" s="6">
        <f>'Results - raw data ReCiPe (I)'!CC79</f>
        <v>2739.0245613341399</v>
      </c>
      <c r="AB92" s="6" t="s">
        <v>119</v>
      </c>
      <c r="BA92" s="6">
        <f>SUM(Z104:Z115)</f>
        <v>661.35458655062052</v>
      </c>
    </row>
    <row r="93" spans="1:53" outlineLevel="1" x14ac:dyDescent="0.35">
      <c r="A93" s="6" t="s">
        <v>28</v>
      </c>
      <c r="B93" s="6">
        <f>'Results - raw data ReCiPe (I)'!CC80</f>
        <v>2408.0928807750579</v>
      </c>
      <c r="AB93" s="6" t="s">
        <v>120</v>
      </c>
      <c r="BA93" s="6">
        <f>Z116</f>
        <v>20.943027296122771</v>
      </c>
    </row>
    <row r="94" spans="1:53" outlineLevel="1" x14ac:dyDescent="0.35">
      <c r="A94" s="6" t="s">
        <v>29</v>
      </c>
      <c r="B94" s="6">
        <f>'Results - raw data ReCiPe (I)'!CC81</f>
        <v>1310.346894422896</v>
      </c>
      <c r="AB94" s="6" t="s">
        <v>121</v>
      </c>
      <c r="AC94" s="6">
        <f>B117</f>
        <v>1147.562206560159</v>
      </c>
      <c r="AF94" s="6">
        <f>E117</f>
        <v>1074.05698885017</v>
      </c>
      <c r="AI94" s="6">
        <f>H117</f>
        <v>1022.1502722838831</v>
      </c>
      <c r="AL94" s="6">
        <f>K117</f>
        <v>1005.159492641253</v>
      </c>
      <c r="AO94" s="6">
        <f>N117</f>
        <v>997.28372106165648</v>
      </c>
      <c r="AR94" s="6">
        <f>Q117</f>
        <v>991.48221426531472</v>
      </c>
      <c r="AU94" s="6">
        <f>T117</f>
        <v>983.20946828966578</v>
      </c>
      <c r="AX94" s="6">
        <f>W117</f>
        <v>977.06180922356634</v>
      </c>
      <c r="BA94" s="6">
        <f>Z117</f>
        <v>972.2449306465038</v>
      </c>
    </row>
    <row r="95" spans="1:53" outlineLevel="1" x14ac:dyDescent="0.35">
      <c r="A95" s="6" t="s">
        <v>31</v>
      </c>
      <c r="B95" s="6">
        <f>'Results - raw data ReCiPe (I)'!CC82</f>
        <v>1052.6891503673089</v>
      </c>
      <c r="AB95" s="6" t="s">
        <v>122</v>
      </c>
      <c r="AC95" s="6">
        <f>B120+B119</f>
        <v>15948.669016755241</v>
      </c>
      <c r="AD95" s="6">
        <f t="shared" ref="AD95:BA95" si="10">C120+C119</f>
        <v>13389.99569189397</v>
      </c>
      <c r="AE95" s="6">
        <f t="shared" si="10"/>
        <v>10827.23891267645</v>
      </c>
      <c r="AF95" s="6">
        <f t="shared" si="10"/>
        <v>8218.8257945370024</v>
      </c>
      <c r="AG95" s="6">
        <f t="shared" si="10"/>
        <v>5644.4276850735196</v>
      </c>
      <c r="AH95" s="6">
        <f t="shared" si="10"/>
        <v>3064.6241783682672</v>
      </c>
      <c r="AI95" s="6">
        <f t="shared" si="10"/>
        <v>2687.516964717885</v>
      </c>
      <c r="AJ95" s="6">
        <f t="shared" si="10"/>
        <v>2307.006974906456</v>
      </c>
      <c r="AK95" s="6">
        <f t="shared" si="10"/>
        <v>1885.7732388850741</v>
      </c>
      <c r="AL95" s="6">
        <f t="shared" si="10"/>
        <v>1497.1340636467201</v>
      </c>
      <c r="AM95" s="6">
        <f t="shared" si="10"/>
        <v>1105.0556163287481</v>
      </c>
      <c r="AN95" s="6">
        <f t="shared" si="10"/>
        <v>1051.914731776312</v>
      </c>
      <c r="AO95" s="6">
        <f t="shared" si="10"/>
        <v>998.84648515212825</v>
      </c>
      <c r="AP95" s="6">
        <f t="shared" si="10"/>
        <v>938.79875757163541</v>
      </c>
      <c r="AQ95" s="6">
        <f t="shared" si="10"/>
        <v>885.91279505141324</v>
      </c>
      <c r="AR95" s="6">
        <f t="shared" si="10"/>
        <v>832.92922605449894</v>
      </c>
      <c r="AS95" s="6">
        <f t="shared" si="10"/>
        <v>177.72745792503221</v>
      </c>
      <c r="AT95" s="6">
        <f t="shared" si="10"/>
        <v>-472.6222411397714</v>
      </c>
      <c r="AU95" s="6">
        <f t="shared" si="10"/>
        <v>-1123.210931339017</v>
      </c>
      <c r="AV95" s="6">
        <f t="shared" si="10"/>
        <v>-1763.602138605705</v>
      </c>
      <c r="AW95" s="6">
        <f t="shared" si="10"/>
        <v>-2398.407205524295</v>
      </c>
      <c r="AX95" s="6">
        <f t="shared" si="10"/>
        <v>-2902.0155866216869</v>
      </c>
      <c r="AY95" s="6">
        <f t="shared" si="10"/>
        <v>-3436.9407115683739</v>
      </c>
      <c r="AZ95" s="6">
        <f t="shared" si="10"/>
        <v>-3973.344632822595</v>
      </c>
      <c r="BA95" s="6">
        <f t="shared" si="10"/>
        <v>-4511.2514825700318</v>
      </c>
    </row>
    <row r="96" spans="1:53" outlineLevel="1" x14ac:dyDescent="0.35">
      <c r="A96" s="6" t="s">
        <v>34</v>
      </c>
      <c r="B96" s="6">
        <f>'Results - raw data ReCiPe (I)'!CC83</f>
        <v>623.89139287870285</v>
      </c>
      <c r="AB96" s="6" t="s">
        <v>123</v>
      </c>
      <c r="AC96" s="6">
        <f t="shared" ref="AC96:BA96" si="11">B118</f>
        <v>1324.993105402586</v>
      </c>
      <c r="AD96" s="6">
        <f t="shared" si="11"/>
        <v>1124.6592286793289</v>
      </c>
      <c r="AE96" s="6">
        <f t="shared" si="11"/>
        <v>925.32419922424913</v>
      </c>
      <c r="AF96" s="6">
        <f t="shared" si="11"/>
        <v>723.38991438420589</v>
      </c>
      <c r="AG96" s="6">
        <f t="shared" si="11"/>
        <v>525.78184053756183</v>
      </c>
      <c r="AH96" s="6">
        <f t="shared" si="11"/>
        <v>329.05630824955551</v>
      </c>
      <c r="AI96" s="6">
        <f t="shared" si="11"/>
        <v>300.02227837139071</v>
      </c>
      <c r="AJ96" s="6">
        <f t="shared" si="11"/>
        <v>270.85305737830294</v>
      </c>
      <c r="AK96" s="6">
        <f t="shared" si="11"/>
        <v>238.49241055585631</v>
      </c>
      <c r="AL96" s="6">
        <f t="shared" si="11"/>
        <v>208.97102057087639</v>
      </c>
      <c r="AM96" s="6">
        <f t="shared" si="11"/>
        <v>179.31619921447572</v>
      </c>
      <c r="AN96" s="6">
        <f t="shared" si="11"/>
        <v>174.74546078951869</v>
      </c>
      <c r="AO96" s="6">
        <f t="shared" si="11"/>
        <v>170.1833141315044</v>
      </c>
      <c r="AP96" s="6">
        <f t="shared" si="11"/>
        <v>165.03314483909071</v>
      </c>
      <c r="AQ96" s="6">
        <f t="shared" si="11"/>
        <v>160.49156426611091</v>
      </c>
      <c r="AR96" s="6">
        <f t="shared" si="11"/>
        <v>155.9445728050664</v>
      </c>
      <c r="AS96" s="6">
        <f t="shared" si="11"/>
        <v>105.80468796266101</v>
      </c>
      <c r="AT96" s="6">
        <f t="shared" si="11"/>
        <v>55.583752553111765</v>
      </c>
      <c r="AU96" s="6">
        <f t="shared" si="11"/>
        <v>4.8511905974471752</v>
      </c>
      <c r="AV96" s="6">
        <f t="shared" si="11"/>
        <v>-45.498866994982166</v>
      </c>
      <c r="AW96" s="6">
        <f t="shared" si="11"/>
        <v>-95.858698461078703</v>
      </c>
      <c r="AX96" s="6">
        <f t="shared" si="11"/>
        <v>-133.54200193557298</v>
      </c>
      <c r="AY96" s="6">
        <f t="shared" si="11"/>
        <v>-173.575212324517</v>
      </c>
      <c r="AZ96" s="6">
        <f t="shared" si="11"/>
        <v>-213.59915552673741</v>
      </c>
      <c r="BA96" s="6">
        <f t="shared" si="11"/>
        <v>-253.6156822613541</v>
      </c>
    </row>
    <row r="97" spans="1:53" outlineLevel="1" x14ac:dyDescent="0.35">
      <c r="A97" s="6" t="s">
        <v>36</v>
      </c>
      <c r="B97" s="6">
        <f>'Results - raw data ReCiPe (I)'!CC84</f>
        <v>496.13377585473251</v>
      </c>
      <c r="AB97" s="6" t="s">
        <v>124</v>
      </c>
      <c r="AC97" s="6">
        <f>-$AC$7*$AC$6</f>
        <v>-100000</v>
      </c>
      <c r="AD97" s="6">
        <f t="shared" ref="AD97:BA97" si="12">-$AC$7*$AC$6</f>
        <v>-100000</v>
      </c>
      <c r="AE97" s="6">
        <f t="shared" si="12"/>
        <v>-100000</v>
      </c>
      <c r="AF97" s="6">
        <f t="shared" si="12"/>
        <v>-100000</v>
      </c>
      <c r="AG97" s="6">
        <f t="shared" si="12"/>
        <v>-100000</v>
      </c>
      <c r="AH97" s="6">
        <f t="shared" si="12"/>
        <v>-100000</v>
      </c>
      <c r="AI97" s="6">
        <f t="shared" si="12"/>
        <v>-100000</v>
      </c>
      <c r="AJ97" s="6">
        <f t="shared" si="12"/>
        <v>-100000</v>
      </c>
      <c r="AK97" s="6">
        <f t="shared" si="12"/>
        <v>-100000</v>
      </c>
      <c r="AL97" s="6">
        <f t="shared" si="12"/>
        <v>-100000</v>
      </c>
      <c r="AM97" s="6">
        <f t="shared" si="12"/>
        <v>-100000</v>
      </c>
      <c r="AN97" s="6">
        <f t="shared" si="12"/>
        <v>-100000</v>
      </c>
      <c r="AO97" s="6">
        <f t="shared" si="12"/>
        <v>-100000</v>
      </c>
      <c r="AP97" s="6">
        <f t="shared" si="12"/>
        <v>-100000</v>
      </c>
      <c r="AQ97" s="6">
        <f t="shared" si="12"/>
        <v>-100000</v>
      </c>
      <c r="AR97" s="6">
        <f t="shared" si="12"/>
        <v>-100000</v>
      </c>
      <c r="AS97" s="6">
        <f t="shared" si="12"/>
        <v>-100000</v>
      </c>
      <c r="AT97" s="6">
        <f t="shared" si="12"/>
        <v>-100000</v>
      </c>
      <c r="AU97" s="6">
        <f t="shared" si="12"/>
        <v>-100000</v>
      </c>
      <c r="AV97" s="6">
        <f t="shared" si="12"/>
        <v>-100000</v>
      </c>
      <c r="AW97" s="6">
        <f t="shared" si="12"/>
        <v>-100000</v>
      </c>
      <c r="AX97" s="6">
        <f t="shared" si="12"/>
        <v>-100000</v>
      </c>
      <c r="AY97" s="6">
        <f t="shared" si="12"/>
        <v>-100000</v>
      </c>
      <c r="AZ97" s="6">
        <f t="shared" si="12"/>
        <v>-100000</v>
      </c>
      <c r="BA97" s="6">
        <f t="shared" si="12"/>
        <v>-100000</v>
      </c>
    </row>
    <row r="98" spans="1:53" outlineLevel="1" x14ac:dyDescent="0.35">
      <c r="A98" s="6" t="s">
        <v>38</v>
      </c>
      <c r="B98" s="6">
        <f>'Results - raw data ReCiPe (I)'!CC85</f>
        <v>5516.3930537099995</v>
      </c>
      <c r="AB98" s="23" t="s">
        <v>125</v>
      </c>
      <c r="AC98" s="17">
        <f t="shared" ref="AC98:BA98" si="13">SUM(AC90:AC97)</f>
        <v>-37128.305272714606</v>
      </c>
      <c r="AD98" s="17">
        <f t="shared" si="13"/>
        <v>-85485.345079426697</v>
      </c>
      <c r="AE98" s="17">
        <f t="shared" si="13"/>
        <v>-88247.436888099299</v>
      </c>
      <c r="AF98" s="17">
        <f t="shared" si="13"/>
        <v>-89983.727302228624</v>
      </c>
      <c r="AG98" s="17">
        <f t="shared" si="13"/>
        <v>-93829.790474388923</v>
      </c>
      <c r="AH98" s="17">
        <f t="shared" si="13"/>
        <v>-96606.319513382172</v>
      </c>
      <c r="AI98" s="17">
        <f t="shared" si="13"/>
        <v>-95990.31048462684</v>
      </c>
      <c r="AJ98" s="17">
        <f t="shared" si="13"/>
        <v>-97422.139967715237</v>
      </c>
      <c r="AK98" s="17">
        <f t="shared" si="13"/>
        <v>-97875.734350559069</v>
      </c>
      <c r="AL98" s="17">
        <f t="shared" si="13"/>
        <v>-97288.735423141145</v>
      </c>
      <c r="AM98" s="17">
        <f t="shared" si="13"/>
        <v>-98715.628184456771</v>
      </c>
      <c r="AN98" s="17">
        <f t="shared" si="13"/>
        <v>-98773.339807434168</v>
      </c>
      <c r="AO98" s="17">
        <f t="shared" si="13"/>
        <v>-97833.686479654716</v>
      </c>
      <c r="AP98" s="17">
        <f t="shared" si="13"/>
        <v>-98896.168097589267</v>
      </c>
      <c r="AQ98" s="17">
        <f t="shared" si="13"/>
        <v>-98953.59564068247</v>
      </c>
      <c r="AR98" s="17">
        <f t="shared" si="13"/>
        <v>-98019.643986875119</v>
      </c>
      <c r="AS98" s="17">
        <f t="shared" si="13"/>
        <v>-99716.467854112314</v>
      </c>
      <c r="AT98" s="17">
        <f t="shared" si="13"/>
        <v>-100417.03848858667</v>
      </c>
      <c r="AU98" s="17">
        <f t="shared" si="13"/>
        <v>-100135.15027245191</v>
      </c>
      <c r="AV98" s="17">
        <f t="shared" si="13"/>
        <v>-101809.10100560069</v>
      </c>
      <c r="AW98" s="17">
        <f t="shared" si="13"/>
        <v>-102494.26590398538</v>
      </c>
      <c r="AX98" s="17">
        <f t="shared" si="13"/>
        <v>-102058.49577933369</v>
      </c>
      <c r="AY98" s="17">
        <f t="shared" si="13"/>
        <v>-103610.51592389289</v>
      </c>
      <c r="AZ98" s="17">
        <f t="shared" si="13"/>
        <v>-104186.94378834934</v>
      </c>
      <c r="BA98" s="17">
        <f t="shared" si="13"/>
        <v>-103110.32462033814</v>
      </c>
    </row>
    <row r="99" spans="1:53" outlineLevel="1" x14ac:dyDescent="0.35">
      <c r="A99" s="6" t="s">
        <v>39</v>
      </c>
      <c r="B99" s="6">
        <f>'Results - raw data ReCiPe (I)'!CC86</f>
        <v>6649.8572656671213</v>
      </c>
    </row>
    <row r="100" spans="1:53" outlineLevel="1" x14ac:dyDescent="0.35">
      <c r="A100" s="6" t="s">
        <v>41</v>
      </c>
      <c r="B100" s="6">
        <f>'Results - raw data ReCiPe (I)'!CC87</f>
        <v>233.70847524466791</v>
      </c>
    </row>
    <row r="101" spans="1:53" outlineLevel="1" x14ac:dyDescent="0.35">
      <c r="A101" s="6" t="s">
        <v>43</v>
      </c>
      <c r="B101" s="6">
        <f>'Results - raw data ReCiPe (I)'!CC88</f>
        <v>570.12191504656437</v>
      </c>
      <c r="AB101" s="187"/>
      <c r="AC101" s="187"/>
      <c r="AD101" s="187"/>
      <c r="AE101" s="187"/>
      <c r="AF101" s="187"/>
      <c r="AG101" s="187"/>
      <c r="AH101" s="187"/>
      <c r="AI101" s="187"/>
      <c r="AJ101" s="187"/>
      <c r="AK101" s="187"/>
      <c r="AL101" s="187"/>
      <c r="AM101" s="187"/>
      <c r="AN101" s="187"/>
      <c r="AO101" s="187"/>
      <c r="AP101" s="187"/>
      <c r="AQ101" s="187"/>
      <c r="AR101" s="187"/>
      <c r="AS101" s="187"/>
      <c r="AT101" s="187"/>
      <c r="AU101" s="187"/>
      <c r="AV101" s="187"/>
      <c r="AW101" s="187"/>
      <c r="AX101" s="187"/>
      <c r="AY101" s="187"/>
      <c r="AZ101" s="187"/>
      <c r="BA101" s="187"/>
    </row>
    <row r="102" spans="1:53" outlineLevel="1" x14ac:dyDescent="0.35">
      <c r="A102" s="6" t="s">
        <v>44</v>
      </c>
      <c r="B102" s="6">
        <f>'Results - raw data ReCiPe (I)'!CC89*AC87*AC88</f>
        <v>2363.2132293652407</v>
      </c>
      <c r="AB102" s="187"/>
      <c r="AC102" s="187"/>
      <c r="AD102" s="187"/>
      <c r="AE102" s="187"/>
      <c r="AF102" s="187"/>
      <c r="AG102" s="187"/>
      <c r="AH102" s="187"/>
      <c r="AI102" s="187"/>
      <c r="AJ102" s="187"/>
      <c r="AK102" s="187"/>
      <c r="AL102" s="187"/>
      <c r="AM102" s="187"/>
      <c r="AN102" s="187"/>
      <c r="AO102" s="187"/>
      <c r="AP102" s="187"/>
      <c r="AQ102" s="187"/>
      <c r="AR102" s="187"/>
      <c r="AS102" s="187"/>
      <c r="AT102" s="187"/>
      <c r="AU102" s="187"/>
      <c r="AV102" s="187"/>
      <c r="AW102" s="187"/>
      <c r="AX102" s="187"/>
      <c r="AY102" s="187"/>
      <c r="AZ102" s="187"/>
      <c r="BA102" s="187"/>
    </row>
    <row r="103" spans="1:53" outlineLevel="1" x14ac:dyDescent="0.35">
      <c r="A103" s="6" t="s">
        <v>757</v>
      </c>
      <c r="B103" s="6">
        <f>'Results - raw data ReCiPe (I)'!CC90*AC88*AC87</f>
        <v>19055.853272668563</v>
      </c>
      <c r="AB103" s="187"/>
      <c r="AC103" s="187"/>
      <c r="AD103" s="187"/>
      <c r="AE103" s="187"/>
      <c r="AF103" s="187"/>
      <c r="AG103" s="187"/>
      <c r="AH103" s="187"/>
      <c r="AI103" s="187"/>
      <c r="AJ103" s="187"/>
      <c r="AK103" s="187"/>
      <c r="AL103" s="187"/>
      <c r="AM103" s="187"/>
      <c r="AN103" s="187"/>
      <c r="AO103" s="187"/>
      <c r="AP103" s="187"/>
      <c r="AQ103" s="187"/>
      <c r="AR103" s="187"/>
      <c r="AS103" s="187"/>
      <c r="AT103" s="187"/>
      <c r="AU103" s="187"/>
      <c r="AV103" s="187"/>
      <c r="AW103" s="187"/>
      <c r="AX103" s="187"/>
      <c r="AY103" s="187"/>
      <c r="AZ103" s="187"/>
      <c r="BA103" s="187"/>
    </row>
    <row r="104" spans="1:53" outlineLevel="1" x14ac:dyDescent="0.35">
      <c r="A104" s="6" t="s">
        <v>22</v>
      </c>
      <c r="Z104" s="6">
        <f>'Results - raw data ReCiPe (I)'!DA91</f>
        <v>17.821220357395891</v>
      </c>
      <c r="AB104" s="187"/>
      <c r="AC104" s="187"/>
      <c r="AD104" s="187"/>
      <c r="AE104" s="187"/>
      <c r="AF104" s="187"/>
      <c r="AG104" s="187"/>
      <c r="AH104" s="187"/>
      <c r="AI104" s="187"/>
      <c r="AJ104" s="187"/>
      <c r="AK104" s="187"/>
      <c r="AL104" s="187"/>
      <c r="AM104" s="187"/>
      <c r="AN104" s="187"/>
      <c r="AO104" s="187"/>
      <c r="AP104" s="187"/>
      <c r="AQ104" s="187"/>
      <c r="AR104" s="187"/>
      <c r="AS104" s="187"/>
      <c r="AT104" s="187"/>
      <c r="AU104" s="187"/>
      <c r="AV104" s="187"/>
      <c r="AW104" s="187"/>
      <c r="AX104" s="187"/>
      <c r="AY104" s="187"/>
      <c r="AZ104" s="187"/>
      <c r="BA104" s="187"/>
    </row>
    <row r="105" spans="1:53" outlineLevel="1" x14ac:dyDescent="0.35">
      <c r="A105" s="6" t="s">
        <v>24</v>
      </c>
      <c r="Z105" s="6">
        <f>'Results - raw data ReCiPe (I)'!DA92</f>
        <v>6.4634265630162107</v>
      </c>
      <c r="AB105" s="187"/>
      <c r="AC105" s="187"/>
      <c r="AD105" s="187"/>
      <c r="AE105" s="187"/>
      <c r="AF105" s="187"/>
      <c r="AG105" s="187"/>
      <c r="AH105" s="187"/>
      <c r="AI105" s="187"/>
      <c r="AJ105" s="187"/>
      <c r="AK105" s="187"/>
      <c r="AL105" s="187"/>
      <c r="AM105" s="187"/>
      <c r="AN105" s="187"/>
      <c r="AO105" s="187"/>
      <c r="AP105" s="187"/>
      <c r="AQ105" s="187"/>
      <c r="AR105" s="187"/>
      <c r="AS105" s="187"/>
      <c r="AT105" s="187"/>
      <c r="AU105" s="187"/>
      <c r="AV105" s="187"/>
      <c r="AW105" s="187"/>
      <c r="AX105" s="187"/>
      <c r="AY105" s="187"/>
      <c r="AZ105" s="187"/>
      <c r="BA105" s="187"/>
    </row>
    <row r="106" spans="1:53" outlineLevel="1" x14ac:dyDescent="0.35">
      <c r="A106" s="6" t="s">
        <v>25</v>
      </c>
      <c r="Z106" s="6">
        <f>'Results - raw data ReCiPe (I)'!DA93</f>
        <v>20.280198113628099</v>
      </c>
      <c r="AB106" s="187"/>
      <c r="AC106" s="187"/>
      <c r="AD106" s="187"/>
      <c r="AE106" s="187"/>
      <c r="AF106" s="187"/>
      <c r="AG106" s="187"/>
      <c r="AH106" s="187"/>
      <c r="AI106" s="187"/>
      <c r="AJ106" s="187"/>
      <c r="AK106" s="187"/>
      <c r="AL106" s="187"/>
      <c r="AM106" s="187"/>
      <c r="AN106" s="187"/>
      <c r="AO106" s="187"/>
      <c r="AP106" s="187"/>
      <c r="AQ106" s="187"/>
      <c r="AR106" s="187"/>
      <c r="AS106" s="187"/>
      <c r="AT106" s="187"/>
      <c r="AU106" s="187"/>
      <c r="AV106" s="187"/>
      <c r="AW106" s="187"/>
      <c r="AX106" s="187"/>
      <c r="AY106" s="187"/>
      <c r="AZ106" s="187"/>
      <c r="BA106" s="187"/>
    </row>
    <row r="107" spans="1:53" outlineLevel="1" x14ac:dyDescent="0.35">
      <c r="A107" s="6" t="s">
        <v>27</v>
      </c>
      <c r="Z107" s="6">
        <f>'Results - raw data ReCiPe (I)'!DA94</f>
        <v>6.3916111349605176</v>
      </c>
      <c r="AB107" s="187"/>
      <c r="AC107" s="187"/>
      <c r="AD107" s="187"/>
      <c r="AE107" s="187"/>
      <c r="AF107" s="187"/>
      <c r="AG107" s="187"/>
      <c r="AH107" s="187"/>
      <c r="AI107" s="187"/>
      <c r="AJ107" s="187"/>
      <c r="AK107" s="187"/>
      <c r="AL107" s="187"/>
      <c r="AM107" s="187"/>
      <c r="AN107" s="187"/>
      <c r="AO107" s="187"/>
      <c r="AP107" s="187"/>
      <c r="AQ107" s="187"/>
      <c r="AR107" s="187"/>
      <c r="AS107" s="187"/>
      <c r="AT107" s="187"/>
      <c r="AU107" s="187"/>
      <c r="AV107" s="187"/>
      <c r="AW107" s="187"/>
      <c r="AX107" s="187"/>
      <c r="AY107" s="187"/>
      <c r="AZ107" s="187"/>
      <c r="BA107" s="187"/>
    </row>
    <row r="108" spans="1:53" outlineLevel="1" x14ac:dyDescent="0.35">
      <c r="A108" s="6" t="s">
        <v>30</v>
      </c>
      <c r="Z108" s="6">
        <f>'Results - raw data ReCiPe (I)'!DA95</f>
        <v>23.216223495032828</v>
      </c>
      <c r="AB108" s="187"/>
      <c r="AC108" s="187"/>
      <c r="AD108" s="187"/>
      <c r="AE108" s="187"/>
      <c r="AF108" s="187"/>
      <c r="AG108" s="187"/>
      <c r="AH108" s="187"/>
      <c r="AI108" s="187"/>
      <c r="AJ108" s="187"/>
      <c r="AK108" s="187"/>
      <c r="AL108" s="187"/>
      <c r="AM108" s="187"/>
      <c r="AN108" s="187"/>
      <c r="AO108" s="187"/>
      <c r="AP108" s="187"/>
      <c r="AQ108" s="187"/>
      <c r="AR108" s="187"/>
      <c r="AS108" s="187"/>
      <c r="AT108" s="187"/>
      <c r="AU108" s="187"/>
      <c r="AV108" s="187"/>
      <c r="AW108" s="187"/>
      <c r="AX108" s="187"/>
      <c r="AY108" s="187"/>
      <c r="AZ108" s="187"/>
      <c r="BA108" s="187"/>
    </row>
    <row r="109" spans="1:53" outlineLevel="1" x14ac:dyDescent="0.35">
      <c r="A109" s="6" t="s">
        <v>32</v>
      </c>
      <c r="Z109" s="6">
        <f>'Results - raw data ReCiPe (I)'!DA96</f>
        <v>0.70673634699717713</v>
      </c>
      <c r="AB109" s="187"/>
      <c r="AC109" s="187"/>
      <c r="AD109" s="187"/>
      <c r="AE109" s="187"/>
      <c r="AF109" s="187"/>
      <c r="AG109" s="187"/>
      <c r="AH109" s="187"/>
      <c r="AI109" s="187"/>
      <c r="AJ109" s="187"/>
      <c r="AK109" s="187"/>
      <c r="AL109" s="187"/>
      <c r="AM109" s="187"/>
      <c r="AN109" s="187"/>
      <c r="AO109" s="187"/>
      <c r="AP109" s="187"/>
      <c r="AQ109" s="187"/>
      <c r="AR109" s="187"/>
      <c r="AS109" s="187"/>
      <c r="AT109" s="187"/>
      <c r="AU109" s="187"/>
      <c r="AV109" s="187"/>
      <c r="AW109" s="187"/>
      <c r="AX109" s="187"/>
      <c r="AY109" s="187"/>
      <c r="AZ109" s="187"/>
      <c r="BA109" s="187"/>
    </row>
    <row r="110" spans="1:53" outlineLevel="1" x14ac:dyDescent="0.35">
      <c r="A110" s="6" t="s">
        <v>33</v>
      </c>
      <c r="Z110" s="6">
        <f>'Results - raw data ReCiPe (I)'!DA97</f>
        <v>5.5037648036935831</v>
      </c>
      <c r="AB110" s="187"/>
      <c r="AC110" s="187"/>
      <c r="AD110" s="187"/>
      <c r="AE110" s="187"/>
      <c r="AF110" s="187"/>
      <c r="AG110" s="187"/>
      <c r="AH110" s="187"/>
      <c r="AI110" s="187"/>
      <c r="AJ110" s="187"/>
      <c r="AK110" s="187"/>
      <c r="AL110" s="187"/>
      <c r="AM110" s="187"/>
      <c r="AN110" s="187"/>
      <c r="AO110" s="187"/>
      <c r="AP110" s="187"/>
      <c r="AQ110" s="187"/>
      <c r="AR110" s="187"/>
      <c r="AS110" s="187"/>
      <c r="AT110" s="187"/>
      <c r="AU110" s="187"/>
      <c r="AV110" s="187"/>
      <c r="AW110" s="187"/>
      <c r="AX110" s="187"/>
      <c r="AY110" s="187"/>
      <c r="AZ110" s="187"/>
      <c r="BA110" s="187"/>
    </row>
    <row r="111" spans="1:53" outlineLevel="1" x14ac:dyDescent="0.35">
      <c r="A111" s="6" t="s">
        <v>35</v>
      </c>
      <c r="Z111" s="6">
        <f>'Results - raw data ReCiPe (I)'!DA98</f>
        <v>11.00752960738717</v>
      </c>
      <c r="AB111" s="187"/>
      <c r="AC111" s="187"/>
      <c r="AD111" s="187"/>
      <c r="AE111" s="187"/>
      <c r="AF111" s="187"/>
      <c r="AG111" s="187"/>
      <c r="AH111" s="187"/>
      <c r="AI111" s="187"/>
      <c r="AJ111" s="187"/>
      <c r="AK111" s="187"/>
      <c r="AL111" s="187"/>
      <c r="AM111" s="187"/>
      <c r="AN111" s="187"/>
      <c r="AO111" s="187"/>
      <c r="AP111" s="187"/>
      <c r="AQ111" s="187"/>
      <c r="AR111" s="187"/>
      <c r="AS111" s="187"/>
      <c r="AT111" s="187"/>
      <c r="AU111" s="187"/>
      <c r="AV111" s="187"/>
      <c r="AW111" s="187"/>
      <c r="AX111" s="187"/>
      <c r="AY111" s="187"/>
      <c r="AZ111" s="187"/>
      <c r="BA111" s="187"/>
    </row>
    <row r="112" spans="1:53" outlineLevel="1" x14ac:dyDescent="0.35">
      <c r="A112" s="6" t="s">
        <v>37</v>
      </c>
      <c r="Z112" s="6">
        <f>'Results - raw data ReCiPe (I)'!DA99</f>
        <v>11.324008760006899</v>
      </c>
      <c r="AB112" s="187"/>
      <c r="AC112" s="187"/>
      <c r="AD112" s="187"/>
      <c r="AE112" s="187"/>
      <c r="AF112" s="187"/>
      <c r="AG112" s="187"/>
      <c r="AH112" s="187"/>
      <c r="AI112" s="187"/>
      <c r="AJ112" s="187"/>
      <c r="AK112" s="187"/>
      <c r="AL112" s="187"/>
      <c r="AM112" s="187"/>
      <c r="AN112" s="187"/>
      <c r="AO112" s="187"/>
      <c r="AP112" s="187"/>
      <c r="AQ112" s="187"/>
      <c r="AR112" s="187"/>
      <c r="AS112" s="187"/>
      <c r="AT112" s="187"/>
      <c r="AU112" s="187"/>
      <c r="AV112" s="187"/>
      <c r="AW112" s="187"/>
      <c r="AX112" s="187"/>
      <c r="AY112" s="187"/>
      <c r="AZ112" s="187"/>
      <c r="BA112" s="187"/>
    </row>
    <row r="113" spans="1:53" outlineLevel="1" x14ac:dyDescent="0.35">
      <c r="A113" s="6" t="s">
        <v>40</v>
      </c>
      <c r="Z113" s="6">
        <f>'Results - raw data ReCiPe (I)'!DA100</f>
        <v>381.52418728298579</v>
      </c>
      <c r="AB113" s="187"/>
      <c r="AC113" s="187"/>
      <c r="AD113" s="187"/>
      <c r="AE113" s="187"/>
      <c r="AF113" s="187"/>
      <c r="AG113" s="187"/>
      <c r="AH113" s="187"/>
      <c r="AI113" s="187"/>
      <c r="AJ113" s="187"/>
      <c r="AK113" s="187"/>
      <c r="AL113" s="187"/>
      <c r="AM113" s="187"/>
      <c r="AN113" s="187"/>
      <c r="AO113" s="187"/>
      <c r="AP113" s="187"/>
      <c r="AQ113" s="187"/>
      <c r="AR113" s="187"/>
      <c r="AS113" s="187"/>
      <c r="AT113" s="187"/>
      <c r="AU113" s="187"/>
      <c r="AV113" s="187"/>
      <c r="AW113" s="187"/>
      <c r="AX113" s="187"/>
      <c r="AY113" s="187"/>
      <c r="AZ113" s="187"/>
      <c r="BA113" s="187"/>
    </row>
    <row r="114" spans="1:53" outlineLevel="1" x14ac:dyDescent="0.35">
      <c r="A114" s="6" t="s">
        <v>42</v>
      </c>
      <c r="Z114" s="6">
        <f>'Results - raw data ReCiPe (I)'!DA101</f>
        <v>36.656260408763671</v>
      </c>
      <c r="AB114" s="187"/>
      <c r="AC114" s="187"/>
      <c r="AD114" s="187"/>
      <c r="AE114" s="187"/>
      <c r="AF114" s="187"/>
      <c r="AG114" s="187"/>
      <c r="AH114" s="187"/>
      <c r="AI114" s="187"/>
      <c r="AJ114" s="187"/>
      <c r="AK114" s="187"/>
      <c r="AL114" s="187"/>
      <c r="AM114" s="187"/>
      <c r="AN114" s="187"/>
      <c r="AO114" s="187"/>
      <c r="AP114" s="187"/>
      <c r="AQ114" s="187"/>
      <c r="AR114" s="187"/>
      <c r="AS114" s="187"/>
      <c r="AT114" s="187"/>
      <c r="AU114" s="187"/>
      <c r="AV114" s="187"/>
      <c r="AW114" s="187"/>
      <c r="AX114" s="187"/>
      <c r="AY114" s="187"/>
      <c r="AZ114" s="187"/>
      <c r="BA114" s="187"/>
    </row>
    <row r="115" spans="1:53" outlineLevel="1" x14ac:dyDescent="0.35">
      <c r="A115" s="6" t="s">
        <v>115</v>
      </c>
      <c r="Z115" s="6">
        <f>'Results - raw data ReCiPe (I)'!DA102</f>
        <v>140.4594196767527</v>
      </c>
    </row>
    <row r="116" spans="1:53" outlineLevel="1" x14ac:dyDescent="0.35">
      <c r="A116" s="6" t="s">
        <v>45</v>
      </c>
      <c r="Z116" s="6">
        <f>'Results - raw data ReCiPe (I)'!DA103*AC87*AC88</f>
        <v>20.943027296122771</v>
      </c>
    </row>
    <row r="117" spans="1:53" outlineLevel="1" x14ac:dyDescent="0.35">
      <c r="A117" s="6" t="s">
        <v>116</v>
      </c>
      <c r="B117" s="6">
        <f>'Results - raw data ReCiPe (I)'!CC104</f>
        <v>1147.562206560159</v>
      </c>
      <c r="C117" s="6">
        <f>'Results - raw data ReCiPe (I)'!CD104</f>
        <v>1125.1249973421859</v>
      </c>
      <c r="D117" s="6">
        <f>'Results - raw data ReCiPe (I)'!CE104</f>
        <v>1102.390129792987</v>
      </c>
      <c r="E117" s="6">
        <f>'Results - raw data ReCiPe (I)'!CF104</f>
        <v>1074.05698885017</v>
      </c>
      <c r="F117" s="6">
        <f>'Results - raw data ReCiPe (I)'!CG104</f>
        <v>1050.700118245117</v>
      </c>
      <c r="G117" s="6">
        <f>'Results - raw data ReCiPe (I)'!CH104</f>
        <v>1026.9326265409311</v>
      </c>
      <c r="H117" s="6">
        <f>'Results - raw data ReCiPe (I)'!CI104</f>
        <v>1022.1502722838831</v>
      </c>
      <c r="I117" s="6">
        <f>'Results - raw data ReCiPe (I)'!CJ104</f>
        <v>1017.416703156621</v>
      </c>
      <c r="J117" s="6">
        <f>'Results - raw data ReCiPe (I)'!CK104</f>
        <v>1009.734768627844</v>
      </c>
      <c r="K117" s="6">
        <f>'Results - raw data ReCiPe (I)'!CL104</f>
        <v>1005.159492641253</v>
      </c>
      <c r="L117" s="6">
        <f>'Results - raw data ReCiPe (I)'!CM104</f>
        <v>1000.620015965834</v>
      </c>
      <c r="M117" s="6">
        <f>'Results - raw data ReCiPe (I)'!CN104</f>
        <v>998.95187229128283</v>
      </c>
      <c r="N117" s="6">
        <f>'Results - raw data ReCiPe (I)'!CO104</f>
        <v>997.28372106165648</v>
      </c>
      <c r="O117" s="6">
        <f>'Results - raw data ReCiPe (I)'!CP104</f>
        <v>994.77306971592111</v>
      </c>
      <c r="P117" s="6">
        <f>'Results - raw data ReCiPe (I)'!CQ104</f>
        <v>993.12995785135388</v>
      </c>
      <c r="Q117" s="6">
        <f>'Results - raw data ReCiPe (I)'!CR104</f>
        <v>991.48221426531472</v>
      </c>
      <c r="R117" s="6">
        <f>'Results - raw data ReCiPe (I)'!CS104</f>
        <v>988.90837256292889</v>
      </c>
      <c r="S117" s="6">
        <f>'Results - raw data ReCiPe (I)'!CT104</f>
        <v>986.35767014988733</v>
      </c>
      <c r="T117" s="6">
        <f>'Results - raw data ReCiPe (I)'!CU104</f>
        <v>983.20946828966578</v>
      </c>
      <c r="U117" s="6">
        <f>'Results - raw data ReCiPe (I)'!CV104</f>
        <v>980.73110590596389</v>
      </c>
      <c r="V117" s="6">
        <f>'Results - raw data ReCiPe (I)'!CW104</f>
        <v>978.28941439365826</v>
      </c>
      <c r="W117" s="6">
        <f>'Results - raw data ReCiPe (I)'!CX104</f>
        <v>977.06180922356634</v>
      </c>
      <c r="X117" s="6">
        <f>'Results - raw data ReCiPe (I)'!CY104</f>
        <v>975.44876067821781</v>
      </c>
      <c r="Y117" s="6">
        <f>'Results - raw data ReCiPe (I)'!CZ104</f>
        <v>973.84316883401459</v>
      </c>
      <c r="Z117" s="6">
        <f>'Results - raw data ReCiPe (I)'!DA104</f>
        <v>972.2449306465038</v>
      </c>
    </row>
    <row r="118" spans="1:53" outlineLevel="1" x14ac:dyDescent="0.35">
      <c r="A118" s="6" t="s">
        <v>758</v>
      </c>
      <c r="B118" s="6">
        <f>'Results - raw data ReCiPe (I)'!CC105*$AC$87</f>
        <v>1324.993105402586</v>
      </c>
      <c r="C118" s="6">
        <f>'Results - raw data ReCiPe (I)'!CD105*$AC$87</f>
        <v>1124.6592286793289</v>
      </c>
      <c r="D118" s="6">
        <f>'Results - raw data ReCiPe (I)'!CE105*$AC$87</f>
        <v>925.32419922424913</v>
      </c>
      <c r="E118" s="6">
        <f>'Results - raw data ReCiPe (I)'!CF105*$AC$87</f>
        <v>723.38991438420589</v>
      </c>
      <c r="F118" s="6">
        <f>'Results - raw data ReCiPe (I)'!CG105*$AC$87</f>
        <v>525.78184053756183</v>
      </c>
      <c r="G118" s="6">
        <f>'Results - raw data ReCiPe (I)'!CH105*$AC$87</f>
        <v>329.05630824955551</v>
      </c>
      <c r="H118" s="6">
        <f>'Results - raw data ReCiPe (I)'!CI105*$AC$87</f>
        <v>300.02227837139071</v>
      </c>
      <c r="I118" s="6">
        <f>'Results - raw data ReCiPe (I)'!CJ105*$AC$87</f>
        <v>270.85305737830294</v>
      </c>
      <c r="J118" s="6">
        <f>'Results - raw data ReCiPe (I)'!CK105*$AC$87</f>
        <v>238.49241055585631</v>
      </c>
      <c r="K118" s="6">
        <f>'Results - raw data ReCiPe (I)'!CL105*$AC$87</f>
        <v>208.97102057087639</v>
      </c>
      <c r="L118" s="6">
        <f>'Results - raw data ReCiPe (I)'!CM105*$AC$87</f>
        <v>179.31619921447572</v>
      </c>
      <c r="M118" s="6">
        <f>'Results - raw data ReCiPe (I)'!CN105*$AC$87</f>
        <v>174.74546078951869</v>
      </c>
      <c r="N118" s="6">
        <f>'Results - raw data ReCiPe (I)'!CO105*$AC$87</f>
        <v>170.1833141315044</v>
      </c>
      <c r="O118" s="6">
        <f>'Results - raw data ReCiPe (I)'!CP105*$AC$87</f>
        <v>165.03314483909071</v>
      </c>
      <c r="P118" s="6">
        <f>'Results - raw data ReCiPe (I)'!CQ105*$AC$87</f>
        <v>160.49156426611091</v>
      </c>
      <c r="Q118" s="6">
        <f>'Results - raw data ReCiPe (I)'!CR105*$AC$87</f>
        <v>155.9445728050664</v>
      </c>
      <c r="R118" s="6">
        <f>'Results - raw data ReCiPe (I)'!CS105*$AC$87</f>
        <v>105.80468796266101</v>
      </c>
      <c r="S118" s="6">
        <f>'Results - raw data ReCiPe (I)'!CT105*$AC$87</f>
        <v>55.583752553111765</v>
      </c>
      <c r="T118" s="6">
        <f>'Results - raw data ReCiPe (I)'!CU105*$AC$87</f>
        <v>4.8511905974471752</v>
      </c>
      <c r="U118" s="6">
        <f>'Results - raw data ReCiPe (I)'!CV105*$AC$87</f>
        <v>-45.498866994982166</v>
      </c>
      <c r="V118" s="6">
        <f>'Results - raw data ReCiPe (I)'!CW105*$AC$87</f>
        <v>-95.858698461078703</v>
      </c>
      <c r="W118" s="6">
        <f>'Results - raw data ReCiPe (I)'!CX105*$AC$87</f>
        <v>-133.54200193557298</v>
      </c>
      <c r="X118" s="6">
        <f>'Results - raw data ReCiPe (I)'!CY105*$AC$87</f>
        <v>-173.575212324517</v>
      </c>
      <c r="Y118" s="6">
        <f>'Results - raw data ReCiPe (I)'!CZ105*$AC$87</f>
        <v>-213.59915552673741</v>
      </c>
      <c r="Z118" s="6">
        <f>'Results - raw data ReCiPe (I)'!DA105*$AC$87</f>
        <v>-253.6156822613541</v>
      </c>
    </row>
    <row r="119" spans="1:53" outlineLevel="1" x14ac:dyDescent="0.35">
      <c r="A119" s="6" t="s">
        <v>759</v>
      </c>
      <c r="B119" s="6">
        <f>'Results - raw data ReCiPe (I)'!CC106</f>
        <v>0</v>
      </c>
      <c r="C119" s="6">
        <f>'Results - raw data ReCiPe (I)'!CD106</f>
        <v>0</v>
      </c>
      <c r="D119" s="6">
        <f>'Results - raw data ReCiPe (I)'!CE106</f>
        <v>0</v>
      </c>
      <c r="E119" s="6">
        <f>'Results - raw data ReCiPe (I)'!CF106</f>
        <v>0</v>
      </c>
      <c r="F119" s="6">
        <f>'Results - raw data ReCiPe (I)'!CG106</f>
        <v>0</v>
      </c>
      <c r="G119" s="6">
        <f>'Results - raw data ReCiPe (I)'!CH106</f>
        <v>0</v>
      </c>
      <c r="H119" s="6">
        <f>'Results - raw data ReCiPe (I)'!CI106</f>
        <v>0</v>
      </c>
      <c r="I119" s="6">
        <f>'Results - raw data ReCiPe (I)'!CJ106</f>
        <v>0</v>
      </c>
      <c r="J119" s="6">
        <f>'Results - raw data ReCiPe (I)'!CK106</f>
        <v>0</v>
      </c>
      <c r="K119" s="6">
        <f>'Results - raw data ReCiPe (I)'!CL106</f>
        <v>0</v>
      </c>
      <c r="L119" s="6">
        <f>'Results - raw data ReCiPe (I)'!CM106</f>
        <v>0</v>
      </c>
      <c r="M119" s="6">
        <f>'Results - raw data ReCiPe (I)'!CN106</f>
        <v>0</v>
      </c>
      <c r="N119" s="6">
        <f>'Results - raw data ReCiPe (I)'!CO106</f>
        <v>0</v>
      </c>
      <c r="O119" s="6">
        <f>'Results - raw data ReCiPe (I)'!CP106</f>
        <v>0</v>
      </c>
      <c r="P119" s="6">
        <f>'Results - raw data ReCiPe (I)'!CQ106</f>
        <v>0</v>
      </c>
      <c r="Q119" s="6">
        <f>'Results - raw data ReCiPe (I)'!CR106</f>
        <v>0</v>
      </c>
      <c r="R119" s="6">
        <f>'Results - raw data ReCiPe (I)'!CS106</f>
        <v>0</v>
      </c>
      <c r="S119" s="6">
        <f>'Results - raw data ReCiPe (I)'!CT106</f>
        <v>0</v>
      </c>
      <c r="T119" s="6">
        <f>'Results - raw data ReCiPe (I)'!CU106</f>
        <v>0</v>
      </c>
      <c r="U119" s="6">
        <f>'Results - raw data ReCiPe (I)'!CV106</f>
        <v>0</v>
      </c>
      <c r="V119" s="6">
        <f>'Results - raw data ReCiPe (I)'!CW106</f>
        <v>0</v>
      </c>
      <c r="W119" s="6">
        <f>'Results - raw data ReCiPe (I)'!CX106</f>
        <v>0</v>
      </c>
      <c r="X119" s="6">
        <f>'Results - raw data ReCiPe (I)'!CY106</f>
        <v>0</v>
      </c>
      <c r="Y119" s="6">
        <f>'Results - raw data ReCiPe (I)'!CZ106</f>
        <v>0</v>
      </c>
      <c r="Z119" s="6">
        <f>'Results - raw data ReCiPe (I)'!DA106</f>
        <v>0</v>
      </c>
    </row>
    <row r="120" spans="1:53" outlineLevel="1" x14ac:dyDescent="0.35">
      <c r="A120" s="6" t="s">
        <v>760</v>
      </c>
      <c r="B120" s="6">
        <f>'Results - raw data ReCiPe (I)'!CC107</f>
        <v>15948.669016755241</v>
      </c>
      <c r="C120" s="6">
        <f>'Results - raw data ReCiPe (I)'!CD107</f>
        <v>13389.99569189397</v>
      </c>
      <c r="D120" s="6">
        <f>'Results - raw data ReCiPe (I)'!CE107</f>
        <v>10827.23891267645</v>
      </c>
      <c r="E120" s="6">
        <f>'Results - raw data ReCiPe (I)'!CF107</f>
        <v>8218.8257945370024</v>
      </c>
      <c r="F120" s="6">
        <f>'Results - raw data ReCiPe (I)'!CG107</f>
        <v>5644.4276850735196</v>
      </c>
      <c r="G120" s="6">
        <f>'Results - raw data ReCiPe (I)'!CH107</f>
        <v>3064.6241783682672</v>
      </c>
      <c r="H120" s="6">
        <f>'Results - raw data ReCiPe (I)'!CI107</f>
        <v>2687.516964717885</v>
      </c>
      <c r="I120" s="6">
        <f>'Results - raw data ReCiPe (I)'!CJ107</f>
        <v>2307.006974906456</v>
      </c>
      <c r="J120" s="6">
        <f>'Results - raw data ReCiPe (I)'!CK107</f>
        <v>1885.7732388850741</v>
      </c>
      <c r="K120" s="6">
        <f>'Results - raw data ReCiPe (I)'!CL107</f>
        <v>1497.1340636467201</v>
      </c>
      <c r="L120" s="6">
        <f>'Results - raw data ReCiPe (I)'!CM107</f>
        <v>1105.0556163287481</v>
      </c>
      <c r="M120" s="6">
        <f>'Results - raw data ReCiPe (I)'!CN107</f>
        <v>1051.914731776312</v>
      </c>
      <c r="N120" s="6">
        <f>'Results - raw data ReCiPe (I)'!CO107</f>
        <v>998.84648515212825</v>
      </c>
      <c r="O120" s="6">
        <f>'Results - raw data ReCiPe (I)'!CP107</f>
        <v>938.79875757163541</v>
      </c>
      <c r="P120" s="6">
        <f>'Results - raw data ReCiPe (I)'!CQ107</f>
        <v>885.91279505141324</v>
      </c>
      <c r="Q120" s="6">
        <f>'Results - raw data ReCiPe (I)'!CR107</f>
        <v>832.92922605449894</v>
      </c>
      <c r="R120" s="6">
        <f>'Results - raw data ReCiPe (I)'!CS107</f>
        <v>177.72745792503221</v>
      </c>
      <c r="S120" s="6">
        <f>'Results - raw data ReCiPe (I)'!CT107</f>
        <v>-472.6222411397714</v>
      </c>
      <c r="T120" s="6">
        <f>'Results - raw data ReCiPe (I)'!CU107</f>
        <v>-1123.210931339017</v>
      </c>
      <c r="U120" s="6">
        <f>'Results - raw data ReCiPe (I)'!CV107</f>
        <v>-1763.602138605705</v>
      </c>
      <c r="V120" s="6">
        <f>'Results - raw data ReCiPe (I)'!CW107</f>
        <v>-2398.407205524295</v>
      </c>
      <c r="W120" s="6">
        <f>'Results - raw data ReCiPe (I)'!CX107</f>
        <v>-2902.0155866216869</v>
      </c>
      <c r="X120" s="6">
        <f>'Results - raw data ReCiPe (I)'!CY107</f>
        <v>-3436.9407115683739</v>
      </c>
      <c r="Y120" s="6">
        <f>'Results - raw data ReCiPe (I)'!CZ107</f>
        <v>-3973.344632822595</v>
      </c>
      <c r="Z120" s="6">
        <f>'Results - raw data ReCiPe (I)'!DA107</f>
        <v>-4511.2514825700318</v>
      </c>
    </row>
    <row r="121" spans="1:53" outlineLevel="1" x14ac:dyDescent="0.35">
      <c r="A121" s="23" t="s">
        <v>125</v>
      </c>
      <c r="B121" s="17">
        <f t="shared" ref="B121:Z121" si="14">SUM(B90:B120)</f>
        <v>62871.694727285401</v>
      </c>
      <c r="C121" s="17">
        <f t="shared" si="14"/>
        <v>15639.779917915484</v>
      </c>
      <c r="D121" s="17">
        <f t="shared" si="14"/>
        <v>12854.953241693685</v>
      </c>
      <c r="E121" s="17">
        <f t="shared" si="14"/>
        <v>10016.272697771379</v>
      </c>
      <c r="F121" s="17">
        <f t="shared" si="14"/>
        <v>7220.9096438561983</v>
      </c>
      <c r="G121" s="17">
        <f t="shared" si="14"/>
        <v>4420.6131131587535</v>
      </c>
      <c r="H121" s="17">
        <f t="shared" si="14"/>
        <v>4009.6895153731589</v>
      </c>
      <c r="I121" s="17">
        <f t="shared" si="14"/>
        <v>3595.27673544138</v>
      </c>
      <c r="J121" s="17">
        <f t="shared" si="14"/>
        <v>3134.0004180687747</v>
      </c>
      <c r="K121" s="17">
        <f t="shared" si="14"/>
        <v>2711.2645768588495</v>
      </c>
      <c r="L121" s="17">
        <f t="shared" si="14"/>
        <v>2284.9918315090581</v>
      </c>
      <c r="M121" s="17">
        <f t="shared" si="14"/>
        <v>2225.6120648571132</v>
      </c>
      <c r="N121" s="17">
        <f t="shared" si="14"/>
        <v>2166.3135203452894</v>
      </c>
      <c r="O121" s="17">
        <f t="shared" si="14"/>
        <v>2098.6049721266472</v>
      </c>
      <c r="P121" s="17">
        <f t="shared" si="14"/>
        <v>2039.534317168878</v>
      </c>
      <c r="Q121" s="17">
        <f t="shared" si="14"/>
        <v>1980.3560131248801</v>
      </c>
      <c r="R121" s="17">
        <f t="shared" si="14"/>
        <v>1272.4405184506222</v>
      </c>
      <c r="S121" s="17">
        <f t="shared" si="14"/>
        <v>569.31918156322763</v>
      </c>
      <c r="T121" s="17">
        <f t="shared" si="14"/>
        <v>-135.15027245190402</v>
      </c>
      <c r="U121" s="17">
        <f t="shared" si="14"/>
        <v>-828.36989969472324</v>
      </c>
      <c r="V121" s="17">
        <f t="shared" si="14"/>
        <v>-1515.9764895917156</v>
      </c>
      <c r="W121" s="17">
        <f t="shared" si="14"/>
        <v>-2058.4957793336935</v>
      </c>
      <c r="X121" s="17">
        <f t="shared" si="14"/>
        <v>-2635.0671632146732</v>
      </c>
      <c r="Y121" s="17">
        <f t="shared" si="14"/>
        <v>-3213.1006195153177</v>
      </c>
      <c r="Z121" s="17">
        <f t="shared" si="14"/>
        <v>-3110.3246203381386</v>
      </c>
    </row>
    <row r="122" spans="1:53" outlineLevel="1" x14ac:dyDescent="0.35"/>
    <row r="123" spans="1:53" s="221" customFormat="1" ht="21" x14ac:dyDescent="0.5">
      <c r="A123" s="229" t="s">
        <v>850</v>
      </c>
    </row>
    <row r="124" spans="1:53" s="18" customFormat="1" ht="21" x14ac:dyDescent="0.5">
      <c r="A124" s="18" t="s">
        <v>72</v>
      </c>
    </row>
    <row r="125" spans="1:53" s="20" customFormat="1" outlineLevel="1" x14ac:dyDescent="0.35">
      <c r="A125" s="19" t="s">
        <v>766</v>
      </c>
    </row>
    <row r="126" spans="1:53" s="16" customFormat="1" outlineLevel="1" x14ac:dyDescent="0.35">
      <c r="A126" s="21"/>
      <c r="AB126" s="16" t="s">
        <v>47</v>
      </c>
      <c r="AC126" s="16">
        <v>1</v>
      </c>
      <c r="AD126" s="16" t="s">
        <v>146</v>
      </c>
      <c r="AE126" s="15"/>
    </row>
    <row r="127" spans="1:53" s="16" customFormat="1" outlineLevel="1" x14ac:dyDescent="0.35">
      <c r="A127" s="22" t="s">
        <v>566</v>
      </c>
      <c r="AC127" s="16">
        <f>AC126*1000</f>
        <v>1000</v>
      </c>
      <c r="AD127" s="16" t="s">
        <v>144</v>
      </c>
    </row>
    <row r="128" spans="1:53" s="16" customFormat="1" outlineLevel="1" x14ac:dyDescent="0.35">
      <c r="A128" s="22"/>
      <c r="AB128" s="16" t="s">
        <v>127</v>
      </c>
      <c r="AC128" s="16">
        <v>100</v>
      </c>
      <c r="AD128" s="16" t="s">
        <v>128</v>
      </c>
    </row>
    <row r="129" spans="1:53" s="16" customFormat="1" outlineLevel="1" x14ac:dyDescent="0.35">
      <c r="A129" s="230" t="s">
        <v>768</v>
      </c>
      <c r="AB129" s="16" t="s">
        <v>20</v>
      </c>
      <c r="AC129" s="16">
        <v>0.23</v>
      </c>
      <c r="AD129" s="16" t="s">
        <v>715</v>
      </c>
    </row>
    <row r="130" spans="1:53" s="16" customFormat="1" outlineLevel="1" x14ac:dyDescent="0.35">
      <c r="A130" s="22"/>
      <c r="AB130" s="16" t="s">
        <v>129</v>
      </c>
      <c r="AC130" s="16">
        <v>25</v>
      </c>
      <c r="AD130" s="16" t="s">
        <v>130</v>
      </c>
    </row>
    <row r="131" spans="1:53" outlineLevel="1" x14ac:dyDescent="0.35">
      <c r="B131" s="25">
        <v>2030</v>
      </c>
      <c r="C131" s="25">
        <v>2031</v>
      </c>
      <c r="D131" s="25">
        <v>2032</v>
      </c>
      <c r="E131" s="25">
        <v>2033</v>
      </c>
      <c r="F131" s="25">
        <v>2034</v>
      </c>
      <c r="G131" s="25">
        <v>2035</v>
      </c>
      <c r="H131" s="25">
        <v>2036</v>
      </c>
      <c r="I131" s="25">
        <v>2037</v>
      </c>
      <c r="J131" s="25">
        <v>2038</v>
      </c>
      <c r="K131" s="25">
        <v>2039</v>
      </c>
      <c r="L131" s="25">
        <v>2040</v>
      </c>
      <c r="M131" s="25">
        <v>2041</v>
      </c>
      <c r="N131" s="25">
        <v>2042</v>
      </c>
      <c r="O131" s="25">
        <v>2043</v>
      </c>
      <c r="P131" s="25">
        <v>2044</v>
      </c>
      <c r="Q131" s="25">
        <v>2045</v>
      </c>
      <c r="R131" s="25">
        <v>2046</v>
      </c>
      <c r="S131" s="25">
        <v>2047</v>
      </c>
      <c r="T131" s="25">
        <v>2048</v>
      </c>
      <c r="U131" s="25">
        <v>2049</v>
      </c>
      <c r="V131" s="25">
        <v>2050</v>
      </c>
      <c r="W131" s="25">
        <v>2051</v>
      </c>
      <c r="X131" s="25">
        <v>2052</v>
      </c>
      <c r="Y131" s="25">
        <v>2053</v>
      </c>
      <c r="Z131" s="25">
        <v>2054</v>
      </c>
      <c r="AC131" s="25">
        <v>2030</v>
      </c>
      <c r="AD131" s="25">
        <v>2031</v>
      </c>
      <c r="AE131" s="25">
        <v>2032</v>
      </c>
      <c r="AF131" s="25">
        <v>2033</v>
      </c>
      <c r="AG131" s="25">
        <v>2034</v>
      </c>
      <c r="AH131" s="25">
        <v>2035</v>
      </c>
      <c r="AI131" s="25">
        <v>2036</v>
      </c>
      <c r="AJ131" s="25">
        <v>2037</v>
      </c>
      <c r="AK131" s="25">
        <v>2038</v>
      </c>
      <c r="AL131" s="25">
        <v>2039</v>
      </c>
      <c r="AM131" s="25">
        <v>2040</v>
      </c>
      <c r="AN131" s="25">
        <v>2041</v>
      </c>
      <c r="AO131" s="25">
        <v>2042</v>
      </c>
      <c r="AP131" s="25">
        <v>2043</v>
      </c>
      <c r="AQ131" s="25">
        <v>2044</v>
      </c>
      <c r="AR131" s="25">
        <v>2045</v>
      </c>
      <c r="AS131" s="25">
        <v>2046</v>
      </c>
      <c r="AT131" s="25">
        <v>2047</v>
      </c>
      <c r="AU131" s="25">
        <v>2048</v>
      </c>
      <c r="AV131" s="25">
        <v>2049</v>
      </c>
      <c r="AW131" s="25">
        <v>2050</v>
      </c>
      <c r="AX131" s="25">
        <v>2051</v>
      </c>
      <c r="AY131" s="25">
        <v>2052</v>
      </c>
      <c r="AZ131" s="25">
        <v>2053</v>
      </c>
      <c r="BA131" s="25">
        <v>2054</v>
      </c>
    </row>
    <row r="132" spans="1:53" outlineLevel="1" x14ac:dyDescent="0.35">
      <c r="A132" s="6" t="s">
        <v>21</v>
      </c>
      <c r="B132" s="6">
        <f>'Results - raw data ReCiPe (I)'!CC5</f>
        <v>866.78624642607451</v>
      </c>
      <c r="AB132" s="6" t="s">
        <v>117</v>
      </c>
      <c r="AC132" s="6">
        <f>SUM(B132:B143)+B145</f>
        <v>54120.743519027485</v>
      </c>
    </row>
    <row r="133" spans="1:53" outlineLevel="1" x14ac:dyDescent="0.35">
      <c r="A133" s="6" t="s">
        <v>23</v>
      </c>
      <c r="B133" s="6">
        <f>'Results - raw data ReCiPe (I)'!CC6</f>
        <v>1120.538598725911</v>
      </c>
      <c r="AB133" s="6" t="s">
        <v>118</v>
      </c>
      <c r="AC133" s="6">
        <f>B144</f>
        <v>2871.9230330962901</v>
      </c>
    </row>
    <row r="134" spans="1:53" outlineLevel="1" x14ac:dyDescent="0.35">
      <c r="A134" s="6" t="s">
        <v>26</v>
      </c>
      <c r="B134" s="6">
        <f>'Results - raw data ReCiPe (I)'!CC7</f>
        <v>3554.1174127380332</v>
      </c>
      <c r="AB134" s="6" t="s">
        <v>119</v>
      </c>
      <c r="BA134" s="6">
        <f>SUM(Z146:Z157)</f>
        <v>856.68574124441147</v>
      </c>
    </row>
    <row r="135" spans="1:53" outlineLevel="1" x14ac:dyDescent="0.35">
      <c r="A135" s="6" t="s">
        <v>28</v>
      </c>
      <c r="B135" s="6">
        <f>'Results - raw data ReCiPe (I)'!CC8</f>
        <v>3199.1456136315001</v>
      </c>
      <c r="AB135" s="6" t="s">
        <v>120</v>
      </c>
      <c r="BA135" s="6">
        <f>Z158</f>
        <v>23.905501404359882</v>
      </c>
    </row>
    <row r="136" spans="1:53" outlineLevel="1" x14ac:dyDescent="0.35">
      <c r="A136" s="6" t="s">
        <v>29</v>
      </c>
      <c r="B136" s="6">
        <f>'Results - raw data ReCiPe (I)'!CC9</f>
        <v>1874.359915502863</v>
      </c>
      <c r="AB136" s="6" t="s">
        <v>121</v>
      </c>
      <c r="AC136" s="6">
        <f>B159</f>
        <v>1412.262440014819</v>
      </c>
      <c r="AF136" s="6">
        <f>E159</f>
        <v>1398.947377491419</v>
      </c>
      <c r="AI136" s="6">
        <f>H159</f>
        <v>1394.6883638131801</v>
      </c>
      <c r="AL136" s="6">
        <f>K159</f>
        <v>1393.1438101355629</v>
      </c>
      <c r="AO136" s="6">
        <f>N159</f>
        <v>1396.982775239785</v>
      </c>
      <c r="AR136" s="6">
        <f>Q159</f>
        <v>1400.903339877279</v>
      </c>
      <c r="AU136" s="6">
        <f>T159</f>
        <v>1382.1741284587449</v>
      </c>
      <c r="AX136" s="6">
        <f>W159</f>
        <v>1363.5449444910939</v>
      </c>
      <c r="BA136" s="6">
        <f>Z159</f>
        <v>1336.5991252427</v>
      </c>
    </row>
    <row r="137" spans="1:53" outlineLevel="1" x14ac:dyDescent="0.35">
      <c r="A137" s="6" t="s">
        <v>31</v>
      </c>
      <c r="B137" s="6">
        <f>'Results - raw data ReCiPe (I)'!CC10</f>
        <v>1323.441437842409</v>
      </c>
      <c r="AB137" s="6" t="s">
        <v>122</v>
      </c>
      <c r="AC137" s="6">
        <f>B162+B161</f>
        <v>31380.366551448449</v>
      </c>
      <c r="AD137" s="6">
        <f t="shared" ref="AD137:BA137" si="15">C162+C161</f>
        <v>31361.018213787313</v>
      </c>
      <c r="AE137" s="6">
        <f t="shared" si="15"/>
        <v>31342.025173146783</v>
      </c>
      <c r="AF137" s="6">
        <f t="shared" si="15"/>
        <v>31291.092656866786</v>
      </c>
      <c r="AG137" s="6">
        <f t="shared" si="15"/>
        <v>31272.958034656098</v>
      </c>
      <c r="AH137" s="6">
        <f t="shared" si="15"/>
        <v>31254.983620264975</v>
      </c>
      <c r="AI137" s="6">
        <f t="shared" si="15"/>
        <v>33387.11948259452</v>
      </c>
      <c r="AJ137" s="6">
        <f t="shared" si="15"/>
        <v>35512.554931951418</v>
      </c>
      <c r="AK137" s="6">
        <f t="shared" si="15"/>
        <v>37610.40214074697</v>
      </c>
      <c r="AL137" s="6">
        <f t="shared" si="15"/>
        <v>39725.072110097906</v>
      </c>
      <c r="AM137" s="6">
        <f t="shared" si="15"/>
        <v>41831.285555140814</v>
      </c>
      <c r="AN137" s="6">
        <f t="shared" si="15"/>
        <v>45490.927528182016</v>
      </c>
      <c r="AO137" s="6">
        <f t="shared" si="15"/>
        <v>49142.630883419144</v>
      </c>
      <c r="AP137" s="6">
        <f t="shared" si="15"/>
        <v>52782.316886334913</v>
      </c>
      <c r="AQ137" s="6">
        <f t="shared" si="15"/>
        <v>56417.726327048942</v>
      </c>
      <c r="AR137" s="6">
        <f t="shared" si="15"/>
        <v>60045.108147931809</v>
      </c>
      <c r="AS137" s="6">
        <f t="shared" si="15"/>
        <v>60732.194100342786</v>
      </c>
      <c r="AT137" s="6">
        <f t="shared" si="15"/>
        <v>61418.639247693522</v>
      </c>
      <c r="AU137" s="6">
        <f t="shared" si="15"/>
        <v>62100.881364284411</v>
      </c>
      <c r="AV137" s="6">
        <f t="shared" si="15"/>
        <v>62786.362160543758</v>
      </c>
      <c r="AW137" s="6">
        <f t="shared" si="15"/>
        <v>63471.408968277603</v>
      </c>
      <c r="AX137" s="6">
        <f t="shared" si="15"/>
        <v>64377.134287732253</v>
      </c>
      <c r="AY137" s="6">
        <f t="shared" si="15"/>
        <v>62873.398309675053</v>
      </c>
      <c r="AZ137" s="6">
        <f t="shared" si="15"/>
        <v>61364.848824108471</v>
      </c>
      <c r="BA137" s="6">
        <f t="shared" si="15"/>
        <v>59851.433911525099</v>
      </c>
    </row>
    <row r="138" spans="1:53" outlineLevel="1" x14ac:dyDescent="0.35">
      <c r="A138" s="6" t="s">
        <v>34</v>
      </c>
      <c r="B138" s="6">
        <f>'Results - raw data ReCiPe (I)'!CC11</f>
        <v>891.197409038155</v>
      </c>
      <c r="AB138" s="6" t="s">
        <v>123</v>
      </c>
      <c r="AC138" s="6">
        <f t="shared" ref="AC138:BA138" si="16">B160</f>
        <v>3227.0642832009357</v>
      </c>
      <c r="AD138" s="6">
        <f t="shared" si="16"/>
        <v>3220.4820064807036</v>
      </c>
      <c r="AE138" s="6">
        <f t="shared" si="16"/>
        <v>3213.9266122107406</v>
      </c>
      <c r="AF138" s="6">
        <f t="shared" si="16"/>
        <v>3204.2755103925961</v>
      </c>
      <c r="AG138" s="6">
        <f t="shared" si="16"/>
        <v>3197.7810533311199</v>
      </c>
      <c r="AH138" s="6">
        <f t="shared" si="16"/>
        <v>3191.293200538933</v>
      </c>
      <c r="AI138" s="6">
        <f t="shared" si="16"/>
        <v>3399.2495320576586</v>
      </c>
      <c r="AJ138" s="6">
        <f t="shared" si="16"/>
        <v>3605.9224350802679</v>
      </c>
      <c r="AK138" s="6">
        <f t="shared" si="16"/>
        <v>3809.2824940686</v>
      </c>
      <c r="AL138" s="6">
        <f t="shared" si="16"/>
        <v>4013.6674699518253</v>
      </c>
      <c r="AM138" s="6">
        <f t="shared" si="16"/>
        <v>4216.6109873621208</v>
      </c>
      <c r="AN138" s="6">
        <f t="shared" si="16"/>
        <v>4573.1821165020474</v>
      </c>
      <c r="AO138" s="6">
        <f t="shared" si="16"/>
        <v>4928.1398139239072</v>
      </c>
      <c r="AP138" s="6">
        <f t="shared" si="16"/>
        <v>5281.0862802050106</v>
      </c>
      <c r="AQ138" s="6">
        <f t="shared" si="16"/>
        <v>5632.7886890896625</v>
      </c>
      <c r="AR138" s="6">
        <f t="shared" si="16"/>
        <v>5982.8683766559761</v>
      </c>
      <c r="AS138" s="6">
        <f t="shared" si="16"/>
        <v>6044.359882748231</v>
      </c>
      <c r="AT138" s="6">
        <f t="shared" si="16"/>
        <v>6105.6533151232761</v>
      </c>
      <c r="AU138" s="6">
        <f t="shared" si="16"/>
        <v>6166.3996216888518</v>
      </c>
      <c r="AV138" s="6">
        <f t="shared" si="16"/>
        <v>6227.3279291410563</v>
      </c>
      <c r="AW138" s="6">
        <f t="shared" si="16"/>
        <v>6288.0783984268437</v>
      </c>
      <c r="AX138" s="6">
        <f t="shared" si="16"/>
        <v>6363.945726929911</v>
      </c>
      <c r="AY138" s="6">
        <f t="shared" si="16"/>
        <v>6205.170908935509</v>
      </c>
      <c r="AZ138" s="6">
        <f t="shared" si="16"/>
        <v>6046.505138354566</v>
      </c>
      <c r="BA138" s="6">
        <f t="shared" si="16"/>
        <v>5887.9443547387564</v>
      </c>
    </row>
    <row r="139" spans="1:53" outlineLevel="1" x14ac:dyDescent="0.35">
      <c r="A139" s="6" t="s">
        <v>36</v>
      </c>
      <c r="B139" s="6">
        <f>'Results - raw data ReCiPe (I)'!CC12</f>
        <v>769.01432974159798</v>
      </c>
      <c r="AB139" s="6" t="s">
        <v>124</v>
      </c>
      <c r="AC139" s="6">
        <f>-$AC$7*$AC$6</f>
        <v>-100000</v>
      </c>
      <c r="AD139" s="6">
        <f t="shared" ref="AD139:BA139" si="17">-$AC$7*$AC$6</f>
        <v>-100000</v>
      </c>
      <c r="AE139" s="6">
        <f t="shared" si="17"/>
        <v>-100000</v>
      </c>
      <c r="AF139" s="6">
        <f t="shared" si="17"/>
        <v>-100000</v>
      </c>
      <c r="AG139" s="6">
        <f t="shared" si="17"/>
        <v>-100000</v>
      </c>
      <c r="AH139" s="6">
        <f t="shared" si="17"/>
        <v>-100000</v>
      </c>
      <c r="AI139" s="6">
        <f t="shared" si="17"/>
        <v>-100000</v>
      </c>
      <c r="AJ139" s="6">
        <f t="shared" si="17"/>
        <v>-100000</v>
      </c>
      <c r="AK139" s="6">
        <f t="shared" si="17"/>
        <v>-100000</v>
      </c>
      <c r="AL139" s="6">
        <f t="shared" si="17"/>
        <v>-100000</v>
      </c>
      <c r="AM139" s="6">
        <f t="shared" si="17"/>
        <v>-100000</v>
      </c>
      <c r="AN139" s="6">
        <f t="shared" si="17"/>
        <v>-100000</v>
      </c>
      <c r="AO139" s="6">
        <f t="shared" si="17"/>
        <v>-100000</v>
      </c>
      <c r="AP139" s="6">
        <f t="shared" si="17"/>
        <v>-100000</v>
      </c>
      <c r="AQ139" s="6">
        <f t="shared" si="17"/>
        <v>-100000</v>
      </c>
      <c r="AR139" s="6">
        <f t="shared" si="17"/>
        <v>-100000</v>
      </c>
      <c r="AS139" s="6">
        <f t="shared" si="17"/>
        <v>-100000</v>
      </c>
      <c r="AT139" s="6">
        <f t="shared" si="17"/>
        <v>-100000</v>
      </c>
      <c r="AU139" s="6">
        <f t="shared" si="17"/>
        <v>-100000</v>
      </c>
      <c r="AV139" s="6">
        <f t="shared" si="17"/>
        <v>-100000</v>
      </c>
      <c r="AW139" s="6">
        <f t="shared" si="17"/>
        <v>-100000</v>
      </c>
      <c r="AX139" s="6">
        <f t="shared" si="17"/>
        <v>-100000</v>
      </c>
      <c r="AY139" s="6">
        <f t="shared" si="17"/>
        <v>-100000</v>
      </c>
      <c r="AZ139" s="6">
        <f t="shared" si="17"/>
        <v>-100000</v>
      </c>
      <c r="BA139" s="6">
        <f t="shared" si="17"/>
        <v>-100000</v>
      </c>
    </row>
    <row r="140" spans="1:53" outlineLevel="1" x14ac:dyDescent="0.35">
      <c r="A140" s="6" t="s">
        <v>38</v>
      </c>
      <c r="B140" s="6">
        <f>'Results - raw data ReCiPe (I)'!CC13</f>
        <v>7173.8295208590289</v>
      </c>
      <c r="AB140" s="23" t="s">
        <v>125</v>
      </c>
      <c r="AC140" s="17">
        <f t="shared" ref="AC140:BA140" si="18">SUM(AC132:AC139)</f>
        <v>-6987.6401732120285</v>
      </c>
      <c r="AD140" s="17">
        <f t="shared" si="18"/>
        <v>-65418.499779731981</v>
      </c>
      <c r="AE140" s="17">
        <f t="shared" si="18"/>
        <v>-65444.048214642477</v>
      </c>
      <c r="AF140" s="17">
        <f t="shared" si="18"/>
        <v>-64105.684455249197</v>
      </c>
      <c r="AG140" s="17">
        <f t="shared" si="18"/>
        <v>-65529.260912012782</v>
      </c>
      <c r="AH140" s="17">
        <f t="shared" si="18"/>
        <v>-65553.723179196095</v>
      </c>
      <c r="AI140" s="17">
        <f t="shared" si="18"/>
        <v>-61818.942621534647</v>
      </c>
      <c r="AJ140" s="17">
        <f t="shared" si="18"/>
        <v>-60881.522632968314</v>
      </c>
      <c r="AK140" s="17">
        <f t="shared" si="18"/>
        <v>-58580.315365184433</v>
      </c>
      <c r="AL140" s="17">
        <f t="shared" si="18"/>
        <v>-54868.116609814708</v>
      </c>
      <c r="AM140" s="17">
        <f t="shared" si="18"/>
        <v>-53952.103457497069</v>
      </c>
      <c r="AN140" s="17">
        <f t="shared" si="18"/>
        <v>-49935.89035531594</v>
      </c>
      <c r="AO140" s="17">
        <f t="shared" si="18"/>
        <v>-44532.246527417163</v>
      </c>
      <c r="AP140" s="17">
        <f t="shared" si="18"/>
        <v>-41936.596833460077</v>
      </c>
      <c r="AQ140" s="17">
        <f t="shared" si="18"/>
        <v>-37949.484983861395</v>
      </c>
      <c r="AR140" s="17">
        <f t="shared" si="18"/>
        <v>-32571.120135534933</v>
      </c>
      <c r="AS140" s="17">
        <f t="shared" si="18"/>
        <v>-33223.446016908987</v>
      </c>
      <c r="AT140" s="17">
        <f t="shared" si="18"/>
        <v>-32475.707437183199</v>
      </c>
      <c r="AU140" s="17">
        <f t="shared" si="18"/>
        <v>-30350.544885567986</v>
      </c>
      <c r="AV140" s="17">
        <f t="shared" si="18"/>
        <v>-30986.309910315191</v>
      </c>
      <c r="AW140" s="17">
        <f t="shared" si="18"/>
        <v>-30240.512633295555</v>
      </c>
      <c r="AX140" s="17">
        <f t="shared" si="18"/>
        <v>-27895.375040846731</v>
      </c>
      <c r="AY140" s="17">
        <f t="shared" si="18"/>
        <v>-30921.430781389441</v>
      </c>
      <c r="AZ140" s="17">
        <f t="shared" si="18"/>
        <v>-32588.646037536964</v>
      </c>
      <c r="BA140" s="17">
        <f t="shared" si="18"/>
        <v>-32043.431365844677</v>
      </c>
    </row>
    <row r="141" spans="1:53" outlineLevel="1" x14ac:dyDescent="0.35">
      <c r="A141" s="6" t="s">
        <v>39</v>
      </c>
      <c r="B141" s="6">
        <f>'Results - raw data ReCiPe (I)'!CC14</f>
        <v>13142.75284581364</v>
      </c>
    </row>
    <row r="142" spans="1:53" outlineLevel="1" x14ac:dyDescent="0.35">
      <c r="A142" s="6" t="s">
        <v>41</v>
      </c>
      <c r="B142" s="6">
        <f>'Results - raw data ReCiPe (I)'!CC15</f>
        <v>259.19425167474537</v>
      </c>
    </row>
    <row r="143" spans="1:53" outlineLevel="1" x14ac:dyDescent="0.35">
      <c r="A143" s="6" t="s">
        <v>43</v>
      </c>
      <c r="B143" s="6">
        <f>'Results - raw data ReCiPe (I)'!CC16</f>
        <v>632.55655211301337</v>
      </c>
      <c r="AB143" s="219"/>
      <c r="AC143" s="219"/>
      <c r="AD143" s="219"/>
      <c r="AE143" s="219"/>
      <c r="AF143" s="219"/>
      <c r="AG143" s="219"/>
      <c r="AH143" s="219"/>
      <c r="AI143" s="219"/>
      <c r="AJ143" s="219"/>
      <c r="AK143" s="219"/>
      <c r="AL143" s="219"/>
      <c r="AM143" s="219"/>
      <c r="AN143" s="219"/>
      <c r="AO143" s="219"/>
      <c r="AP143" s="219"/>
      <c r="AQ143" s="219"/>
      <c r="AR143" s="219"/>
      <c r="AS143" s="219"/>
      <c r="AT143" s="219"/>
      <c r="AU143" s="219"/>
      <c r="AV143" s="219"/>
      <c r="AW143" s="219"/>
      <c r="AX143" s="219"/>
      <c r="AY143" s="219"/>
      <c r="AZ143" s="219"/>
      <c r="BA143" s="219"/>
    </row>
    <row r="144" spans="1:53" outlineLevel="1" x14ac:dyDescent="0.35">
      <c r="A144" s="6" t="s">
        <v>44</v>
      </c>
      <c r="B144" s="6">
        <f>'Results - raw data ReCiPe (I)'!CC17*AC128*AC130</f>
        <v>2871.9230330962901</v>
      </c>
      <c r="AB144" s="219"/>
      <c r="AC144" s="219"/>
      <c r="AD144" s="219"/>
      <c r="AE144" s="219"/>
      <c r="AF144" s="219"/>
      <c r="AG144" s="219"/>
      <c r="AH144" s="219"/>
      <c r="AI144" s="219"/>
      <c r="AJ144" s="219"/>
      <c r="AK144" s="219"/>
      <c r="AL144" s="219"/>
      <c r="AM144" s="219"/>
      <c r="AN144" s="219"/>
      <c r="AO144" s="219"/>
      <c r="AP144" s="219"/>
      <c r="AQ144" s="219"/>
      <c r="AR144" s="219"/>
      <c r="AS144" s="219"/>
      <c r="AT144" s="219"/>
      <c r="AU144" s="219"/>
      <c r="AV144" s="219"/>
      <c r="AW144" s="219"/>
      <c r="AX144" s="219"/>
      <c r="AY144" s="219"/>
      <c r="AZ144" s="219"/>
      <c r="BA144" s="219"/>
    </row>
    <row r="145" spans="1:53" outlineLevel="1" x14ac:dyDescent="0.35">
      <c r="A145" s="6" t="s">
        <v>757</v>
      </c>
      <c r="B145" s="6">
        <f>'Results - raw data ReCiPe (I)'!CC18*AC128*AC130</f>
        <v>19313.809384920522</v>
      </c>
      <c r="AB145" s="219"/>
      <c r="AC145" s="219"/>
      <c r="AD145" s="219"/>
      <c r="AE145" s="219"/>
      <c r="AF145" s="219"/>
      <c r="AG145" s="219"/>
      <c r="AH145" s="219"/>
      <c r="AI145" s="219"/>
      <c r="AJ145" s="219"/>
      <c r="AK145" s="219"/>
      <c r="AL145" s="219"/>
      <c r="AM145" s="219"/>
      <c r="AN145" s="219"/>
      <c r="AO145" s="219"/>
      <c r="AP145" s="219"/>
      <c r="AQ145" s="219"/>
      <c r="AR145" s="219"/>
      <c r="AS145" s="219"/>
      <c r="AT145" s="219"/>
      <c r="AU145" s="219"/>
      <c r="AV145" s="219"/>
      <c r="AW145" s="219"/>
      <c r="AX145" s="219"/>
      <c r="AY145" s="219"/>
      <c r="AZ145" s="219"/>
      <c r="BA145" s="219"/>
    </row>
    <row r="146" spans="1:53" outlineLevel="1" x14ac:dyDescent="0.35">
      <c r="A146" s="6" t="s">
        <v>22</v>
      </c>
      <c r="Z146" s="6">
        <f>'Results - raw data ReCiPe (I)'!DA19</f>
        <v>18.639704862851399</v>
      </c>
      <c r="AB146" s="219"/>
      <c r="AC146" s="219"/>
      <c r="AD146" s="219"/>
      <c r="AE146" s="219"/>
      <c r="AF146" s="219"/>
      <c r="AG146" s="219"/>
      <c r="AH146" s="219"/>
      <c r="AI146" s="219"/>
      <c r="AJ146" s="219"/>
      <c r="AK146" s="219"/>
      <c r="AL146" s="219"/>
      <c r="AM146" s="219"/>
      <c r="AN146" s="219"/>
      <c r="AO146" s="219"/>
      <c r="AP146" s="219"/>
      <c r="AQ146" s="219"/>
      <c r="AR146" s="219"/>
      <c r="AS146" s="219"/>
      <c r="AT146" s="219"/>
      <c r="AU146" s="219"/>
      <c r="AV146" s="219"/>
      <c r="AW146" s="219"/>
      <c r="AX146" s="219"/>
      <c r="AY146" s="219"/>
      <c r="AZ146" s="219"/>
      <c r="BA146" s="219"/>
    </row>
    <row r="147" spans="1:53" outlineLevel="1" x14ac:dyDescent="0.35">
      <c r="A147" s="6" t="s">
        <v>24</v>
      </c>
      <c r="Z147" s="6">
        <f>'Results - raw data ReCiPe (I)'!DA20</f>
        <v>7.340680538911645</v>
      </c>
      <c r="AB147" s="219"/>
      <c r="AC147" s="219"/>
      <c r="AD147" s="219"/>
      <c r="AE147" s="219"/>
      <c r="AF147" s="219"/>
      <c r="AG147" s="219"/>
      <c r="AH147" s="219"/>
      <c r="AI147" s="219"/>
      <c r="AJ147" s="219"/>
      <c r="AK147" s="219"/>
      <c r="AL147" s="219"/>
      <c r="AM147" s="219"/>
      <c r="AN147" s="219"/>
      <c r="AO147" s="219"/>
      <c r="AP147" s="219"/>
      <c r="AQ147" s="219"/>
      <c r="AR147" s="219"/>
      <c r="AS147" s="219"/>
      <c r="AT147" s="219"/>
      <c r="AU147" s="219"/>
      <c r="AV147" s="219"/>
      <c r="AW147" s="219"/>
      <c r="AX147" s="219"/>
      <c r="AY147" s="219"/>
      <c r="AZ147" s="219"/>
      <c r="BA147" s="219"/>
    </row>
    <row r="148" spans="1:53" outlineLevel="1" x14ac:dyDescent="0.35">
      <c r="A148" s="6" t="s">
        <v>25</v>
      </c>
      <c r="Z148" s="6">
        <f>'Results - raw data ReCiPe (I)'!DA21</f>
        <v>26.617285771445509</v>
      </c>
      <c r="AB148" s="219"/>
      <c r="AC148" s="219"/>
      <c r="AD148" s="219"/>
      <c r="AE148" s="219"/>
      <c r="AF148" s="219"/>
      <c r="AG148" s="219"/>
      <c r="AH148" s="219"/>
      <c r="AI148" s="219"/>
      <c r="AJ148" s="219"/>
      <c r="AK148" s="219"/>
      <c r="AL148" s="219"/>
      <c r="AM148" s="219"/>
      <c r="AN148" s="219"/>
      <c r="AO148" s="219"/>
      <c r="AP148" s="219"/>
      <c r="AQ148" s="219"/>
      <c r="AR148" s="219"/>
      <c r="AS148" s="219"/>
      <c r="AT148" s="219"/>
      <c r="AU148" s="219"/>
      <c r="AV148" s="219"/>
      <c r="AW148" s="219"/>
      <c r="AX148" s="219"/>
      <c r="AY148" s="219"/>
      <c r="AZ148" s="219"/>
      <c r="BA148" s="219"/>
    </row>
    <row r="149" spans="1:53" outlineLevel="1" x14ac:dyDescent="0.35">
      <c r="A149" s="6" t="s">
        <v>27</v>
      </c>
      <c r="Z149" s="6">
        <f>'Results - raw data ReCiPe (I)'!DA22</f>
        <v>8.6307208439382688</v>
      </c>
      <c r="AB149" s="219"/>
      <c r="AC149" s="219"/>
      <c r="AD149" s="219"/>
      <c r="AE149" s="219"/>
      <c r="AF149" s="219"/>
      <c r="AG149" s="219"/>
      <c r="AH149" s="219"/>
      <c r="AI149" s="219"/>
      <c r="AJ149" s="219"/>
      <c r="AK149" s="219"/>
      <c r="AL149" s="219"/>
      <c r="AM149" s="219"/>
      <c r="AN149" s="219"/>
      <c r="AO149" s="219"/>
      <c r="AP149" s="219"/>
      <c r="AQ149" s="219"/>
      <c r="AR149" s="219"/>
      <c r="AS149" s="219"/>
      <c r="AT149" s="219"/>
      <c r="AU149" s="219"/>
      <c r="AV149" s="219"/>
      <c r="AW149" s="219"/>
      <c r="AX149" s="219"/>
      <c r="AY149" s="219"/>
      <c r="AZ149" s="219"/>
      <c r="BA149" s="219"/>
    </row>
    <row r="150" spans="1:53" outlineLevel="1" x14ac:dyDescent="0.35">
      <c r="A150" s="6" t="s">
        <v>30</v>
      </c>
      <c r="Z150" s="6">
        <f>'Results - raw data ReCiPe (I)'!DA23</f>
        <v>24.266342345257758</v>
      </c>
      <c r="AB150" s="219"/>
      <c r="AC150" s="219"/>
      <c r="AD150" s="219"/>
      <c r="AE150" s="219"/>
      <c r="AF150" s="219"/>
      <c r="AG150" s="219"/>
      <c r="AH150" s="219"/>
      <c r="AI150" s="219"/>
      <c r="AJ150" s="219"/>
      <c r="AK150" s="219"/>
      <c r="AL150" s="219"/>
      <c r="AM150" s="219"/>
      <c r="AN150" s="219"/>
      <c r="AO150" s="219"/>
      <c r="AP150" s="219"/>
      <c r="AQ150" s="219"/>
      <c r="AR150" s="219"/>
      <c r="AS150" s="219"/>
      <c r="AT150" s="219"/>
      <c r="AU150" s="219"/>
      <c r="AV150" s="219"/>
      <c r="AW150" s="219"/>
      <c r="AX150" s="219"/>
      <c r="AY150" s="219"/>
      <c r="AZ150" s="219"/>
      <c r="BA150" s="219"/>
    </row>
    <row r="151" spans="1:53" outlineLevel="1" x14ac:dyDescent="0.35">
      <c r="A151" s="6" t="s">
        <v>32</v>
      </c>
      <c r="Z151" s="6">
        <f>'Results - raw data ReCiPe (I)'!DA24</f>
        <v>1.1728228925437281</v>
      </c>
      <c r="AB151" s="219"/>
      <c r="AC151" s="219"/>
      <c r="AD151" s="219"/>
      <c r="AE151" s="219"/>
      <c r="AF151" s="219"/>
      <c r="AG151" s="219"/>
      <c r="AH151" s="219"/>
      <c r="AI151" s="219"/>
      <c r="AJ151" s="219"/>
      <c r="AK151" s="219"/>
      <c r="AL151" s="219"/>
      <c r="AM151" s="219"/>
      <c r="AN151" s="219"/>
      <c r="AO151" s="219"/>
      <c r="AP151" s="219"/>
      <c r="AQ151" s="219"/>
      <c r="AR151" s="219"/>
      <c r="AS151" s="219"/>
      <c r="AT151" s="219"/>
      <c r="AU151" s="219"/>
      <c r="AV151" s="219"/>
      <c r="AW151" s="219"/>
      <c r="AX151" s="219"/>
      <c r="AY151" s="219"/>
      <c r="AZ151" s="219"/>
      <c r="BA151" s="219"/>
    </row>
    <row r="152" spans="1:53" outlineLevel="1" x14ac:dyDescent="0.35">
      <c r="A152" s="6" t="s">
        <v>33</v>
      </c>
      <c r="Z152" s="6">
        <f>'Results - raw data ReCiPe (I)'!DA25</f>
        <v>5.8011209073200991</v>
      </c>
      <c r="AB152" s="219"/>
      <c r="AC152" s="219"/>
      <c r="AD152" s="219"/>
      <c r="AE152" s="219"/>
      <c r="AF152" s="219"/>
      <c r="AG152" s="219"/>
      <c r="AH152" s="219"/>
      <c r="AI152" s="219"/>
      <c r="AJ152" s="219"/>
      <c r="AK152" s="219"/>
      <c r="AL152" s="219"/>
      <c r="AM152" s="219"/>
      <c r="AN152" s="219"/>
      <c r="AO152" s="219"/>
      <c r="AP152" s="219"/>
      <c r="AQ152" s="219"/>
      <c r="AR152" s="219"/>
      <c r="AS152" s="219"/>
      <c r="AT152" s="219"/>
      <c r="AU152" s="219"/>
      <c r="AV152" s="219"/>
      <c r="AW152" s="219"/>
      <c r="AX152" s="219"/>
      <c r="AY152" s="219"/>
      <c r="AZ152" s="219"/>
      <c r="BA152" s="219"/>
    </row>
    <row r="153" spans="1:53" outlineLevel="1" x14ac:dyDescent="0.35">
      <c r="A153" s="6" t="s">
        <v>35</v>
      </c>
      <c r="Z153" s="6">
        <f>'Results - raw data ReCiPe (I)'!DA26</f>
        <v>11.6022418146402</v>
      </c>
      <c r="AB153" s="219"/>
      <c r="AC153" s="219"/>
      <c r="AD153" s="219"/>
      <c r="AE153" s="219"/>
      <c r="AF153" s="219"/>
      <c r="AG153" s="219"/>
      <c r="AH153" s="219"/>
      <c r="AI153" s="219"/>
      <c r="AJ153" s="219"/>
      <c r="AK153" s="219"/>
      <c r="AL153" s="219"/>
      <c r="AM153" s="219"/>
      <c r="AN153" s="219"/>
      <c r="AO153" s="219"/>
      <c r="AP153" s="219"/>
      <c r="AQ153" s="219"/>
      <c r="AR153" s="219"/>
      <c r="AS153" s="219"/>
      <c r="AT153" s="219"/>
      <c r="AU153" s="219"/>
      <c r="AV153" s="219"/>
      <c r="AW153" s="219"/>
      <c r="AX153" s="219"/>
      <c r="AY153" s="219"/>
      <c r="AZ153" s="219"/>
      <c r="BA153" s="219"/>
    </row>
    <row r="154" spans="1:53" outlineLevel="1" x14ac:dyDescent="0.35">
      <c r="A154" s="6" t="s">
        <v>37</v>
      </c>
      <c r="Z154" s="6">
        <f>'Results - raw data ReCiPe (I)'!DA27</f>
        <v>18.16680365278004</v>
      </c>
      <c r="AB154" s="219"/>
      <c r="AC154" s="219"/>
      <c r="AD154" s="219"/>
      <c r="AE154" s="219"/>
      <c r="AF154" s="219"/>
      <c r="AG154" s="219"/>
      <c r="AH154" s="219"/>
      <c r="AI154" s="219"/>
      <c r="AJ154" s="219"/>
      <c r="AK154" s="219"/>
      <c r="AL154" s="219"/>
      <c r="AM154" s="219"/>
      <c r="AN154" s="219"/>
      <c r="AO154" s="219"/>
      <c r="AP154" s="219"/>
      <c r="AQ154" s="219"/>
      <c r="AR154" s="219"/>
      <c r="AS154" s="219"/>
      <c r="AT154" s="219"/>
      <c r="AU154" s="219"/>
      <c r="AV154" s="219"/>
      <c r="AW154" s="219"/>
      <c r="AX154" s="219"/>
      <c r="AY154" s="219"/>
      <c r="AZ154" s="219"/>
      <c r="BA154" s="219"/>
    </row>
    <row r="155" spans="1:53" outlineLevel="1" x14ac:dyDescent="0.35">
      <c r="A155" s="6" t="s">
        <v>40</v>
      </c>
      <c r="Z155" s="6">
        <f>'Results - raw data ReCiPe (I)'!DA28</f>
        <v>390.41739046178918</v>
      </c>
    </row>
    <row r="156" spans="1:53" outlineLevel="1" x14ac:dyDescent="0.35">
      <c r="A156" s="6" t="s">
        <v>42</v>
      </c>
      <c r="Z156" s="6">
        <f>'Results - raw data ReCiPe (I)'!DA29</f>
        <v>46.649022568589473</v>
      </c>
    </row>
    <row r="157" spans="1:53" outlineLevel="1" x14ac:dyDescent="0.35">
      <c r="A157" s="6" t="s">
        <v>115</v>
      </c>
      <c r="Z157" s="6">
        <f>'Results - raw data ReCiPe (I)'!DA30</f>
        <v>297.38160458434419</v>
      </c>
    </row>
    <row r="158" spans="1:53" outlineLevel="1" x14ac:dyDescent="0.35">
      <c r="A158" s="6" t="s">
        <v>45</v>
      </c>
      <c r="Z158" s="6">
        <f>'Results - raw data ReCiPe (I)'!DA31*AC128*AC130</f>
        <v>23.905501404359882</v>
      </c>
    </row>
    <row r="159" spans="1:53" outlineLevel="1" x14ac:dyDescent="0.35">
      <c r="A159" s="6" t="s">
        <v>116</v>
      </c>
      <c r="B159" s="6">
        <f>'Results - raw data ReCiPe (I)'!CC32</f>
        <v>1412.262440014819</v>
      </c>
      <c r="C159" s="6">
        <f>'Results - raw data ReCiPe (I)'!CD32</f>
        <v>1409.7537543248011</v>
      </c>
      <c r="D159" s="6">
        <f>'Results - raw data ReCiPe (I)'!CE32</f>
        <v>1407.270973602039</v>
      </c>
      <c r="E159" s="6">
        <f>'Results - raw data ReCiPe (I)'!CF32</f>
        <v>1398.947377491419</v>
      </c>
      <c r="F159" s="6">
        <f>'Results - raw data ReCiPe (I)'!CG32</f>
        <v>1396.503154004482</v>
      </c>
      <c r="G159" s="6">
        <f>'Results - raw data ReCiPe (I)'!CH32</f>
        <v>1394.0699687116521</v>
      </c>
      <c r="H159" s="6">
        <f>'Results - raw data ReCiPe (I)'!CI32</f>
        <v>1394.6883638131801</v>
      </c>
      <c r="I159" s="6">
        <f>'Results - raw data ReCiPe (I)'!CJ32</f>
        <v>1395.3251464654811</v>
      </c>
      <c r="J159" s="6">
        <f>'Results - raw data ReCiPe (I)'!CK32</f>
        <v>1392.429080046333</v>
      </c>
      <c r="K159" s="6">
        <f>'Results - raw data ReCiPe (I)'!CL32</f>
        <v>1393.1438101355629</v>
      </c>
      <c r="L159" s="6">
        <f>'Results - raw data ReCiPe (I)'!CM32</f>
        <v>1393.8696800420209</v>
      </c>
      <c r="M159" s="6">
        <f>'Results - raw data ReCiPe (I)'!CN32</f>
        <v>1395.423573271461</v>
      </c>
      <c r="N159" s="6">
        <f>'Results - raw data ReCiPe (I)'!CO32</f>
        <v>1396.982775239785</v>
      </c>
      <c r="O159" s="6">
        <f>'Results - raw data ReCiPe (I)'!CP32</f>
        <v>1397.710564548009</v>
      </c>
      <c r="P159" s="6">
        <f>'Results - raw data ReCiPe (I)'!CQ32</f>
        <v>1399.3055922191111</v>
      </c>
      <c r="Q159" s="6">
        <f>'Results - raw data ReCiPe (I)'!CR32</f>
        <v>1400.903339877279</v>
      </c>
      <c r="R159" s="6">
        <f>'Results - raw data ReCiPe (I)'!CS32</f>
        <v>1394.961644306168</v>
      </c>
      <c r="S159" s="6">
        <f>'Results - raw data ReCiPe (I)'!CT32</f>
        <v>1388.9989568984579</v>
      </c>
      <c r="T159" s="6">
        <f>'Results - raw data ReCiPe (I)'!CU32</f>
        <v>1382.1741284587449</v>
      </c>
      <c r="U159" s="6">
        <f>'Results - raw data ReCiPe (I)'!CV32</f>
        <v>1376.158478571163</v>
      </c>
      <c r="V159" s="6">
        <f>'Results - raw data ReCiPe (I)'!CW32</f>
        <v>1370.107237608559</v>
      </c>
      <c r="W159" s="6">
        <f>'Results - raw data ReCiPe (I)'!CX32</f>
        <v>1363.5449444910939</v>
      </c>
      <c r="X159" s="6">
        <f>'Results - raw data ReCiPe (I)'!CY32</f>
        <v>1354.6024742797381</v>
      </c>
      <c r="Y159" s="6">
        <f>'Results - raw data ReCiPe (I)'!CZ32</f>
        <v>1345.620807514438</v>
      </c>
      <c r="Z159" s="6">
        <f>'Results - raw data ReCiPe (I)'!DA32</f>
        <v>1336.5991252427</v>
      </c>
    </row>
    <row r="160" spans="1:53" outlineLevel="1" x14ac:dyDescent="0.35">
      <c r="A160" s="6" t="s">
        <v>758</v>
      </c>
      <c r="B160" s="6">
        <f>'Results - raw data ReCiPe (I)'!CC33*$AC$128</f>
        <v>3227.0642832009357</v>
      </c>
      <c r="C160" s="6">
        <f>'Results - raw data ReCiPe (I)'!CD33*$AC$128</f>
        <v>3220.4820064807036</v>
      </c>
      <c r="D160" s="6">
        <f>'Results - raw data ReCiPe (I)'!CE33*$AC$128</f>
        <v>3213.9266122107406</v>
      </c>
      <c r="E160" s="6">
        <f>'Results - raw data ReCiPe (I)'!CF33*$AC$128</f>
        <v>3204.2755103925961</v>
      </c>
      <c r="F160" s="6">
        <f>'Results - raw data ReCiPe (I)'!CG33*$AC$128</f>
        <v>3197.7810533311199</v>
      </c>
      <c r="G160" s="6">
        <f>'Results - raw data ReCiPe (I)'!CH33*$AC$128</f>
        <v>3191.293200538933</v>
      </c>
      <c r="H160" s="6">
        <f>'Results - raw data ReCiPe (I)'!CI33*$AC$128</f>
        <v>3399.2495320576586</v>
      </c>
      <c r="I160" s="6">
        <f>'Results - raw data ReCiPe (I)'!CJ33*$AC$128</f>
        <v>3605.9224350802679</v>
      </c>
      <c r="J160" s="6">
        <f>'Results - raw data ReCiPe (I)'!CK33*$AC$128</f>
        <v>3809.2824940686</v>
      </c>
      <c r="K160" s="6">
        <f>'Results - raw data ReCiPe (I)'!CL33*$AC$128</f>
        <v>4013.6674699518253</v>
      </c>
      <c r="L160" s="6">
        <f>'Results - raw data ReCiPe (I)'!CM33*$AC$128</f>
        <v>4216.6109873621208</v>
      </c>
      <c r="M160" s="6">
        <f>'Results - raw data ReCiPe (I)'!CN33*$AC$128</f>
        <v>4573.1821165020474</v>
      </c>
      <c r="N160" s="6">
        <f>'Results - raw data ReCiPe (I)'!CO33*$AC$128</f>
        <v>4928.1398139239072</v>
      </c>
      <c r="O160" s="6">
        <f>'Results - raw data ReCiPe (I)'!CP33*$AC$128</f>
        <v>5281.0862802050106</v>
      </c>
      <c r="P160" s="6">
        <f>'Results - raw data ReCiPe (I)'!CQ33*$AC$128</f>
        <v>5632.7886890896625</v>
      </c>
      <c r="Q160" s="6">
        <f>'Results - raw data ReCiPe (I)'!CR33*$AC$128</f>
        <v>5982.8683766559761</v>
      </c>
      <c r="R160" s="6">
        <f>'Results - raw data ReCiPe (I)'!CS33*$AC$128</f>
        <v>6044.359882748231</v>
      </c>
      <c r="S160" s="6">
        <f>'Results - raw data ReCiPe (I)'!CT33*$AC$128</f>
        <v>6105.6533151232761</v>
      </c>
      <c r="T160" s="6">
        <f>'Results - raw data ReCiPe (I)'!CU33*$AC$128</f>
        <v>6166.3996216888518</v>
      </c>
      <c r="U160" s="6">
        <f>'Results - raw data ReCiPe (I)'!CV33*$AC$128</f>
        <v>6227.3279291410563</v>
      </c>
      <c r="V160" s="6">
        <f>'Results - raw data ReCiPe (I)'!CW33*$AC$128</f>
        <v>6288.0783984268437</v>
      </c>
      <c r="W160" s="6">
        <f>'Results - raw data ReCiPe (I)'!CX33*$AC$128</f>
        <v>6363.945726929911</v>
      </c>
      <c r="X160" s="6">
        <f>'Results - raw data ReCiPe (I)'!CY33*$AC$128</f>
        <v>6205.170908935509</v>
      </c>
      <c r="Y160" s="6">
        <f>'Results - raw data ReCiPe (I)'!CZ33*$AC$128</f>
        <v>6046.505138354566</v>
      </c>
      <c r="Z160" s="6">
        <f>'Results - raw data ReCiPe (I)'!DA33*$AC$128</f>
        <v>5887.9443547387564</v>
      </c>
    </row>
    <row r="161" spans="1:53" outlineLevel="1" x14ac:dyDescent="0.35">
      <c r="A161" s="6" t="s">
        <v>759</v>
      </c>
      <c r="B161" s="6">
        <f>'Results - raw data ReCiPe (I)'!CC34</f>
        <v>0</v>
      </c>
      <c r="C161" s="6">
        <f>'Results - raw data ReCiPe (I)'!CD34</f>
        <v>0</v>
      </c>
      <c r="D161" s="6">
        <f>'Results - raw data ReCiPe (I)'!CE34</f>
        <v>0</v>
      </c>
      <c r="E161" s="6">
        <f>'Results - raw data ReCiPe (I)'!CF34</f>
        <v>0</v>
      </c>
      <c r="F161" s="6">
        <f>'Results - raw data ReCiPe (I)'!CG34</f>
        <v>0</v>
      </c>
      <c r="G161" s="6">
        <f>'Results - raw data ReCiPe (I)'!CH34</f>
        <v>0</v>
      </c>
      <c r="H161" s="6">
        <f>'Results - raw data ReCiPe (I)'!CI34</f>
        <v>0</v>
      </c>
      <c r="I161" s="6">
        <f>'Results - raw data ReCiPe (I)'!CJ34</f>
        <v>0</v>
      </c>
      <c r="J161" s="6">
        <f>'Results - raw data ReCiPe (I)'!CK34</f>
        <v>0</v>
      </c>
      <c r="K161" s="6">
        <f>'Results - raw data ReCiPe (I)'!CL34</f>
        <v>0</v>
      </c>
      <c r="L161" s="6">
        <f>'Results - raw data ReCiPe (I)'!CM34</f>
        <v>0</v>
      </c>
      <c r="M161" s="6">
        <f>'Results - raw data ReCiPe (I)'!CN34</f>
        <v>0</v>
      </c>
      <c r="N161" s="6">
        <f>'Results - raw data ReCiPe (I)'!CO34</f>
        <v>0</v>
      </c>
      <c r="O161" s="6">
        <f>'Results - raw data ReCiPe (I)'!CP34</f>
        <v>0</v>
      </c>
      <c r="P161" s="6">
        <f>'Results - raw data ReCiPe (I)'!CQ34</f>
        <v>0</v>
      </c>
      <c r="Q161" s="6">
        <f>'Results - raw data ReCiPe (I)'!CR34</f>
        <v>0</v>
      </c>
      <c r="R161" s="6">
        <f>'Results - raw data ReCiPe (I)'!CS34</f>
        <v>0</v>
      </c>
      <c r="S161" s="6">
        <f>'Results - raw data ReCiPe (I)'!CT34</f>
        <v>0</v>
      </c>
      <c r="T161" s="6">
        <f>'Results - raw data ReCiPe (I)'!CU34</f>
        <v>0</v>
      </c>
      <c r="U161" s="6">
        <f>'Results - raw data ReCiPe (I)'!CV34</f>
        <v>0</v>
      </c>
      <c r="V161" s="6">
        <f>'Results - raw data ReCiPe (I)'!CW34</f>
        <v>0</v>
      </c>
      <c r="W161" s="6">
        <f>'Results - raw data ReCiPe (I)'!CX34</f>
        <v>0</v>
      </c>
      <c r="X161" s="6">
        <f>'Results - raw data ReCiPe (I)'!CY34</f>
        <v>0</v>
      </c>
      <c r="Y161" s="6">
        <f>'Results - raw data ReCiPe (I)'!CZ34</f>
        <v>0</v>
      </c>
      <c r="Z161" s="6">
        <f>'Results - raw data ReCiPe (I)'!DA34</f>
        <v>0</v>
      </c>
    </row>
    <row r="162" spans="1:53" outlineLevel="1" x14ac:dyDescent="0.35">
      <c r="A162" s="6" t="s">
        <v>760</v>
      </c>
      <c r="B162" s="6">
        <f>150000*($AC$129*'Results - raw data ReCiPe (I)'!CC114+(1-'Results ReCiPe (I) - HHD'!$AC$129)*'Results - raw data ReCiPe (I)'!CC115)</f>
        <v>31380.366551448449</v>
      </c>
      <c r="C162" s="6">
        <f>150000*($AC$129*'Results - raw data ReCiPe (I)'!CD114+(1-'Results ReCiPe (I) - HHD'!$AC$129)*'Results - raw data ReCiPe (I)'!CD115)</f>
        <v>31361.018213787313</v>
      </c>
      <c r="D162" s="6">
        <f>150000*($AC$129*'Results - raw data ReCiPe (I)'!CE114+(1-'Results ReCiPe (I) - HHD'!$AC$129)*'Results - raw data ReCiPe (I)'!CE115)</f>
        <v>31342.025173146783</v>
      </c>
      <c r="E162" s="6">
        <f>150000*($AC$129*'Results - raw data ReCiPe (I)'!CF114+(1-'Results ReCiPe (I) - HHD'!$AC$129)*'Results - raw data ReCiPe (I)'!CF115)</f>
        <v>31291.092656866786</v>
      </c>
      <c r="F162" s="6">
        <f>150000*($AC$129*'Results - raw data ReCiPe (I)'!CG114+(1-'Results ReCiPe (I) - HHD'!$AC$129)*'Results - raw data ReCiPe (I)'!CG115)</f>
        <v>31272.958034656098</v>
      </c>
      <c r="G162" s="6">
        <f>150000*($AC$129*'Results - raw data ReCiPe (I)'!CH114+(1-'Results ReCiPe (I) - HHD'!$AC$129)*'Results - raw data ReCiPe (I)'!CH115)</f>
        <v>31254.983620264975</v>
      </c>
      <c r="H162" s="6">
        <f>150000*($AC$129*'Results - raw data ReCiPe (I)'!CI114+(1-'Results ReCiPe (I) - HHD'!$AC$129)*'Results - raw data ReCiPe (I)'!CI115)</f>
        <v>33387.11948259452</v>
      </c>
      <c r="I162" s="6">
        <f>150000*($AC$129*'Results - raw data ReCiPe (I)'!CJ114+(1-'Results ReCiPe (I) - HHD'!$AC$129)*'Results - raw data ReCiPe (I)'!CJ115)</f>
        <v>35512.554931951418</v>
      </c>
      <c r="J162" s="6">
        <f>150000*($AC$129*'Results - raw data ReCiPe (I)'!CK114+(1-'Results ReCiPe (I) - HHD'!$AC$129)*'Results - raw data ReCiPe (I)'!CK115)</f>
        <v>37610.40214074697</v>
      </c>
      <c r="K162" s="6">
        <f>150000*($AC$129*'Results - raw data ReCiPe (I)'!CL114+(1-'Results ReCiPe (I) - HHD'!$AC$129)*'Results - raw data ReCiPe (I)'!CL115)</f>
        <v>39725.072110097906</v>
      </c>
      <c r="L162" s="6">
        <f>150000*($AC$129*'Results - raw data ReCiPe (I)'!CM114+(1-'Results ReCiPe (I) - HHD'!$AC$129)*'Results - raw data ReCiPe (I)'!CM115)</f>
        <v>41831.285555140814</v>
      </c>
      <c r="M162" s="6">
        <f>150000*($AC$129*'Results - raw data ReCiPe (I)'!CN114+(1-'Results ReCiPe (I) - HHD'!$AC$129)*'Results - raw data ReCiPe (I)'!CN115)</f>
        <v>45490.927528182016</v>
      </c>
      <c r="N162" s="6">
        <f>150000*($AC$129*'Results - raw data ReCiPe (I)'!CO114+(1-'Results ReCiPe (I) - HHD'!$AC$129)*'Results - raw data ReCiPe (I)'!CO115)</f>
        <v>49142.630883419144</v>
      </c>
      <c r="O162" s="6">
        <f>150000*($AC$129*'Results - raw data ReCiPe (I)'!CP114+(1-'Results ReCiPe (I) - HHD'!$AC$129)*'Results - raw data ReCiPe (I)'!CP115)</f>
        <v>52782.316886334913</v>
      </c>
      <c r="P162" s="6">
        <f>150000*($AC$129*'Results - raw data ReCiPe (I)'!CQ114+(1-'Results ReCiPe (I) - HHD'!$AC$129)*'Results - raw data ReCiPe (I)'!CQ115)</f>
        <v>56417.726327048942</v>
      </c>
      <c r="Q162" s="6">
        <f>150000*($AC$129*'Results - raw data ReCiPe (I)'!CR114+(1-'Results ReCiPe (I) - HHD'!$AC$129)*'Results - raw data ReCiPe (I)'!CR115)</f>
        <v>60045.108147931809</v>
      </c>
      <c r="R162" s="6">
        <f>150000*($AC$129*'Results - raw data ReCiPe (I)'!CS114+(1-'Results ReCiPe (I) - HHD'!$AC$129)*'Results - raw data ReCiPe (I)'!CS115)</f>
        <v>60732.194100342786</v>
      </c>
      <c r="S162" s="6">
        <f>150000*($AC$129*'Results - raw data ReCiPe (I)'!CT114+(1-'Results ReCiPe (I) - HHD'!$AC$129)*'Results - raw data ReCiPe (I)'!CT115)</f>
        <v>61418.639247693522</v>
      </c>
      <c r="T162" s="6">
        <f>150000*($AC$129*'Results - raw data ReCiPe (I)'!CU114+(1-'Results ReCiPe (I) - HHD'!$AC$129)*'Results - raw data ReCiPe (I)'!CU115)</f>
        <v>62100.881364284411</v>
      </c>
      <c r="U162" s="6">
        <f>150000*($AC$129*'Results - raw data ReCiPe (I)'!CV114+(1-'Results ReCiPe (I) - HHD'!$AC$129)*'Results - raw data ReCiPe (I)'!CV115)</f>
        <v>62786.362160543758</v>
      </c>
      <c r="V162" s="6">
        <f>150000*($AC$129*'Results - raw data ReCiPe (I)'!CW114+(1-'Results ReCiPe (I) - HHD'!$AC$129)*'Results - raw data ReCiPe (I)'!CW115)</f>
        <v>63471.408968277603</v>
      </c>
      <c r="W162" s="6">
        <f>150000*($AC$129*'Results - raw data ReCiPe (I)'!CX114+(1-'Results ReCiPe (I) - HHD'!$AC$129)*'Results - raw data ReCiPe (I)'!CX115)</f>
        <v>64377.134287732253</v>
      </c>
      <c r="X162" s="6">
        <f>150000*($AC$129*'Results - raw data ReCiPe (I)'!CY114+(1-'Results ReCiPe (I) - HHD'!$AC$129)*'Results - raw data ReCiPe (I)'!CY115)</f>
        <v>62873.398309675053</v>
      </c>
      <c r="Y162" s="6">
        <f>150000*($AC$129*'Results - raw data ReCiPe (I)'!CZ114+(1-'Results ReCiPe (I) - HHD'!$AC$129)*'Results - raw data ReCiPe (I)'!CZ115)</f>
        <v>61364.848824108471</v>
      </c>
      <c r="Z162" s="6">
        <f>150000*($AC$129*'Results - raw data ReCiPe (I)'!DA114+(1-'Results ReCiPe (I) - HHD'!$AC$129)*'Results - raw data ReCiPe (I)'!DA115)</f>
        <v>59851.433911525099</v>
      </c>
    </row>
    <row r="163" spans="1:53" outlineLevel="1" x14ac:dyDescent="0.35">
      <c r="A163" s="23" t="s">
        <v>125</v>
      </c>
      <c r="B163" s="17">
        <f t="shared" ref="B163:Z163" si="19">SUM(B132:B162)</f>
        <v>93012.359826787972</v>
      </c>
      <c r="C163" s="17">
        <f t="shared" si="19"/>
        <v>35991.253974592815</v>
      </c>
      <c r="D163" s="17">
        <f t="shared" si="19"/>
        <v>35963.222758959564</v>
      </c>
      <c r="E163" s="17">
        <f t="shared" si="19"/>
        <v>35894.315544750803</v>
      </c>
      <c r="F163" s="17">
        <f t="shared" si="19"/>
        <v>35867.242241991698</v>
      </c>
      <c r="G163" s="17">
        <f t="shared" si="19"/>
        <v>35840.346789515563</v>
      </c>
      <c r="H163" s="17">
        <f t="shared" si="19"/>
        <v>38181.057378465361</v>
      </c>
      <c r="I163" s="17">
        <f t="shared" si="19"/>
        <v>40513.802513497169</v>
      </c>
      <c r="J163" s="17">
        <f t="shared" si="19"/>
        <v>42812.113714861902</v>
      </c>
      <c r="K163" s="17">
        <f t="shared" si="19"/>
        <v>45131.883390185292</v>
      </c>
      <c r="L163" s="17">
        <f t="shared" si="19"/>
        <v>47441.766222544953</v>
      </c>
      <c r="M163" s="17">
        <f t="shared" si="19"/>
        <v>51459.533217955526</v>
      </c>
      <c r="N163" s="17">
        <f t="shared" si="19"/>
        <v>55467.753472582837</v>
      </c>
      <c r="O163" s="17">
        <f t="shared" si="19"/>
        <v>59461.113731087935</v>
      </c>
      <c r="P163" s="17">
        <f t="shared" si="19"/>
        <v>63449.820608357717</v>
      </c>
      <c r="Q163" s="17">
        <f t="shared" si="19"/>
        <v>67428.879864465067</v>
      </c>
      <c r="R163" s="17">
        <f t="shared" si="19"/>
        <v>68171.515627397181</v>
      </c>
      <c r="S163" s="17">
        <f t="shared" si="19"/>
        <v>68913.291519715262</v>
      </c>
      <c r="T163" s="17">
        <f t="shared" si="19"/>
        <v>69649.455114432014</v>
      </c>
      <c r="U163" s="17">
        <f t="shared" si="19"/>
        <v>70389.848568255984</v>
      </c>
      <c r="V163" s="17">
        <f t="shared" si="19"/>
        <v>71129.59460431301</v>
      </c>
      <c r="W163" s="17">
        <f t="shared" si="19"/>
        <v>72104.624959153254</v>
      </c>
      <c r="X163" s="17">
        <f t="shared" si="19"/>
        <v>70433.171692890304</v>
      </c>
      <c r="Y163" s="17">
        <f t="shared" si="19"/>
        <v>68756.974769977474</v>
      </c>
      <c r="Z163" s="17">
        <f t="shared" si="19"/>
        <v>67956.568634155323</v>
      </c>
    </row>
    <row r="164" spans="1:53" outlineLevel="1" x14ac:dyDescent="0.35"/>
    <row r="165" spans="1:53" s="18" customFormat="1" ht="21" x14ac:dyDescent="0.5">
      <c r="A165" s="18" t="s">
        <v>73</v>
      </c>
    </row>
    <row r="166" spans="1:53" s="20" customFormat="1" outlineLevel="1" x14ac:dyDescent="0.35">
      <c r="A166" s="19" t="s">
        <v>766</v>
      </c>
    </row>
    <row r="167" spans="1:53" s="16" customFormat="1" outlineLevel="1" x14ac:dyDescent="0.35">
      <c r="A167" s="21"/>
      <c r="AB167" s="16" t="s">
        <v>47</v>
      </c>
      <c r="AC167" s="16">
        <v>1</v>
      </c>
      <c r="AD167" s="16" t="s">
        <v>146</v>
      </c>
      <c r="AE167" s="15"/>
    </row>
    <row r="168" spans="1:53" s="16" customFormat="1" outlineLevel="1" x14ac:dyDescent="0.35">
      <c r="A168" s="22" t="s">
        <v>566</v>
      </c>
      <c r="AC168" s="16">
        <f>AC167*1000</f>
        <v>1000</v>
      </c>
      <c r="AD168" s="16" t="s">
        <v>144</v>
      </c>
    </row>
    <row r="169" spans="1:53" s="16" customFormat="1" outlineLevel="1" x14ac:dyDescent="0.35">
      <c r="A169" s="22"/>
      <c r="AB169" s="16" t="s">
        <v>127</v>
      </c>
      <c r="AC169" s="16">
        <v>100</v>
      </c>
      <c r="AD169" s="16" t="s">
        <v>128</v>
      </c>
    </row>
    <row r="170" spans="1:53" s="16" customFormat="1" outlineLevel="1" x14ac:dyDescent="0.35">
      <c r="A170" s="230" t="s">
        <v>768</v>
      </c>
      <c r="AB170" s="16" t="s">
        <v>20</v>
      </c>
      <c r="AC170" s="16">
        <v>0.23</v>
      </c>
      <c r="AD170" s="16" t="s">
        <v>715</v>
      </c>
    </row>
    <row r="171" spans="1:53" s="16" customFormat="1" outlineLevel="1" x14ac:dyDescent="0.35">
      <c r="A171" s="22"/>
      <c r="AB171" s="16" t="s">
        <v>129</v>
      </c>
      <c r="AC171" s="16">
        <v>25</v>
      </c>
      <c r="AD171" s="16" t="s">
        <v>130</v>
      </c>
    </row>
    <row r="172" spans="1:53" outlineLevel="1" x14ac:dyDescent="0.35">
      <c r="B172" s="25">
        <v>2030</v>
      </c>
      <c r="C172" s="25">
        <v>2031</v>
      </c>
      <c r="D172" s="25">
        <v>2032</v>
      </c>
      <c r="E172" s="25">
        <v>2033</v>
      </c>
      <c r="F172" s="25">
        <v>2034</v>
      </c>
      <c r="G172" s="25">
        <v>2035</v>
      </c>
      <c r="H172" s="25">
        <v>2036</v>
      </c>
      <c r="I172" s="25">
        <v>2037</v>
      </c>
      <c r="J172" s="25">
        <v>2038</v>
      </c>
      <c r="K172" s="25">
        <v>2039</v>
      </c>
      <c r="L172" s="25">
        <v>2040</v>
      </c>
      <c r="M172" s="25">
        <v>2041</v>
      </c>
      <c r="N172" s="25">
        <v>2042</v>
      </c>
      <c r="O172" s="25">
        <v>2043</v>
      </c>
      <c r="P172" s="25">
        <v>2044</v>
      </c>
      <c r="Q172" s="25">
        <v>2045</v>
      </c>
      <c r="R172" s="25">
        <v>2046</v>
      </c>
      <c r="S172" s="25">
        <v>2047</v>
      </c>
      <c r="T172" s="25">
        <v>2048</v>
      </c>
      <c r="U172" s="25">
        <v>2049</v>
      </c>
      <c r="V172" s="25">
        <v>2050</v>
      </c>
      <c r="W172" s="25">
        <v>2051</v>
      </c>
      <c r="X172" s="25">
        <v>2052</v>
      </c>
      <c r="Y172" s="25">
        <v>2053</v>
      </c>
      <c r="Z172" s="25">
        <v>2054</v>
      </c>
      <c r="AC172" s="25">
        <v>2030</v>
      </c>
      <c r="AD172" s="25">
        <v>2031</v>
      </c>
      <c r="AE172" s="25">
        <v>2032</v>
      </c>
      <c r="AF172" s="25">
        <v>2033</v>
      </c>
      <c r="AG172" s="25">
        <v>2034</v>
      </c>
      <c r="AH172" s="25">
        <v>2035</v>
      </c>
      <c r="AI172" s="25">
        <v>2036</v>
      </c>
      <c r="AJ172" s="25">
        <v>2037</v>
      </c>
      <c r="AK172" s="25">
        <v>2038</v>
      </c>
      <c r="AL172" s="25">
        <v>2039</v>
      </c>
      <c r="AM172" s="25">
        <v>2040</v>
      </c>
      <c r="AN172" s="25">
        <v>2041</v>
      </c>
      <c r="AO172" s="25">
        <v>2042</v>
      </c>
      <c r="AP172" s="25">
        <v>2043</v>
      </c>
      <c r="AQ172" s="25">
        <v>2044</v>
      </c>
      <c r="AR172" s="25">
        <v>2045</v>
      </c>
      <c r="AS172" s="25">
        <v>2046</v>
      </c>
      <c r="AT172" s="25">
        <v>2047</v>
      </c>
      <c r="AU172" s="25">
        <v>2048</v>
      </c>
      <c r="AV172" s="25">
        <v>2049</v>
      </c>
      <c r="AW172" s="25">
        <v>2050</v>
      </c>
      <c r="AX172" s="25">
        <v>2051</v>
      </c>
      <c r="AY172" s="25">
        <v>2052</v>
      </c>
      <c r="AZ172" s="25">
        <v>2053</v>
      </c>
      <c r="BA172" s="25">
        <v>2054</v>
      </c>
    </row>
    <row r="173" spans="1:53" outlineLevel="1" x14ac:dyDescent="0.35">
      <c r="A173" s="6" t="s">
        <v>21</v>
      </c>
      <c r="B173" s="6">
        <f>'Results - raw data ReCiPe (I)'!CC41</f>
        <v>783.40535284478449</v>
      </c>
      <c r="AB173" s="6" t="s">
        <v>117</v>
      </c>
      <c r="AC173" s="6">
        <f>SUM(B173:B184)+B186</f>
        <v>50992.896958343765</v>
      </c>
    </row>
    <row r="174" spans="1:53" outlineLevel="1" x14ac:dyDescent="0.35">
      <c r="A174" s="6" t="s">
        <v>23</v>
      </c>
      <c r="B174" s="6">
        <f>'Results - raw data ReCiPe (I)'!CC42</f>
        <v>1025.57883289906</v>
      </c>
      <c r="AB174" s="6" t="s">
        <v>118</v>
      </c>
      <c r="AC174" s="6">
        <f>B185</f>
        <v>2689.460902868675</v>
      </c>
    </row>
    <row r="175" spans="1:53" outlineLevel="1" x14ac:dyDescent="0.35">
      <c r="A175" s="6" t="s">
        <v>26</v>
      </c>
      <c r="B175" s="6">
        <f>'Results - raw data ReCiPe (I)'!CC43</f>
        <v>3221.4583525363928</v>
      </c>
      <c r="AB175" s="6" t="s">
        <v>119</v>
      </c>
      <c r="BA175" s="6">
        <f>SUM(Z187:Z198)</f>
        <v>736.84411269170732</v>
      </c>
    </row>
    <row r="176" spans="1:53" outlineLevel="1" x14ac:dyDescent="0.35">
      <c r="A176" s="6" t="s">
        <v>28</v>
      </c>
      <c r="B176" s="6">
        <f>'Results - raw data ReCiPe (I)'!CC44</f>
        <v>2960.5265782802999</v>
      </c>
      <c r="AB176" s="6" t="s">
        <v>120</v>
      </c>
      <c r="BA176" s="6">
        <f>Z199</f>
        <v>22.256211814560157</v>
      </c>
    </row>
    <row r="177" spans="1:53" outlineLevel="1" x14ac:dyDescent="0.35">
      <c r="A177" s="6" t="s">
        <v>29</v>
      </c>
      <c r="B177" s="6">
        <f>'Results - raw data ReCiPe (I)'!CC45</f>
        <v>1754.810343624591</v>
      </c>
      <c r="AB177" s="6" t="s">
        <v>121</v>
      </c>
      <c r="AC177" s="6">
        <f>B200</f>
        <v>1369.6249485785811</v>
      </c>
      <c r="AF177" s="6">
        <f>E200</f>
        <v>1330.201743386594</v>
      </c>
      <c r="AI177" s="6">
        <f>H200</f>
        <v>1291.6658561466461</v>
      </c>
      <c r="AL177" s="6">
        <f>K200</f>
        <v>1241.1161458074589</v>
      </c>
      <c r="AO177" s="6">
        <f>N200</f>
        <v>1178.1152807241949</v>
      </c>
      <c r="AR177" s="6">
        <f>Q200</f>
        <v>1107.2050594847649</v>
      </c>
      <c r="AU177" s="6">
        <f>T200</f>
        <v>1057.185548264049</v>
      </c>
      <c r="AX177" s="6">
        <f>W200</f>
        <v>1022.6160132821969</v>
      </c>
      <c r="BA177" s="6">
        <f>Z200</f>
        <v>1014.652642880409</v>
      </c>
    </row>
    <row r="178" spans="1:53" outlineLevel="1" x14ac:dyDescent="0.35">
      <c r="A178" s="6" t="s">
        <v>31</v>
      </c>
      <c r="B178" s="6">
        <f>'Results - raw data ReCiPe (I)'!CC46</f>
        <v>1257.0760627810021</v>
      </c>
      <c r="AB178" s="6" t="s">
        <v>122</v>
      </c>
      <c r="AC178" s="6">
        <f>B203+B202</f>
        <v>27388.004921466745</v>
      </c>
      <c r="AD178" s="6">
        <f t="shared" ref="AD178:AV178" si="20">C203+C202</f>
        <v>25707.797607716468</v>
      </c>
      <c r="AE178" s="6">
        <f t="shared" si="20"/>
        <v>24028.136659797732</v>
      </c>
      <c r="AF178" s="6">
        <f t="shared" si="20"/>
        <v>22314.98010007825</v>
      </c>
      <c r="AG178" s="6">
        <f t="shared" si="20"/>
        <v>20636.055158576437</v>
      </c>
      <c r="AH178" s="6">
        <f t="shared" si="20"/>
        <v>18957.22290291333</v>
      </c>
      <c r="AI178" s="6">
        <f t="shared" si="20"/>
        <v>17644.897602144451</v>
      </c>
      <c r="AJ178" s="6">
        <f t="shared" si="20"/>
        <v>16337.3833989088</v>
      </c>
      <c r="AK178" s="6">
        <f t="shared" si="20"/>
        <v>15006.017932212002</v>
      </c>
      <c r="AL178" s="6">
        <f t="shared" si="20"/>
        <v>13701.565403671537</v>
      </c>
      <c r="AM178" s="6">
        <f t="shared" si="20"/>
        <v>12397.568625250038</v>
      </c>
      <c r="AN178" s="6">
        <f t="shared" si="20"/>
        <v>11342.301779750504</v>
      </c>
      <c r="AO178" s="6">
        <f t="shared" si="20"/>
        <v>10282.953643234141</v>
      </c>
      <c r="AP178" s="6">
        <f t="shared" si="20"/>
        <v>9213.8513093940601</v>
      </c>
      <c r="AQ178" s="6">
        <f t="shared" si="20"/>
        <v>8146.5675299804561</v>
      </c>
      <c r="AR178" s="6">
        <f t="shared" si="20"/>
        <v>7075.4045946271726</v>
      </c>
      <c r="AS178" s="6">
        <f t="shared" si="20"/>
        <v>6514.2849379421041</v>
      </c>
      <c r="AT178" s="6">
        <f t="shared" si="20"/>
        <v>5952.9305461214881</v>
      </c>
      <c r="AU178" s="6">
        <f t="shared" si="20"/>
        <v>5386.357764428134</v>
      </c>
      <c r="AV178" s="6">
        <f t="shared" si="20"/>
        <v>4824.6893955820615</v>
      </c>
      <c r="AW178" s="6">
        <f>V203</f>
        <v>4263.1825190077943</v>
      </c>
      <c r="AX178" s="6">
        <f>W203</f>
        <v>4061.3132485067558</v>
      </c>
      <c r="AY178" s="6">
        <f>X203</f>
        <v>3819.492152968613</v>
      </c>
      <c r="AZ178" s="6">
        <f>Y203</f>
        <v>3576.876604392558</v>
      </c>
      <c r="BA178" s="6">
        <f>Z203</f>
        <v>3333.4471336763186</v>
      </c>
    </row>
    <row r="179" spans="1:53" outlineLevel="1" x14ac:dyDescent="0.35">
      <c r="A179" s="6" t="s">
        <v>34</v>
      </c>
      <c r="B179" s="6">
        <f>'Results - raw data ReCiPe (I)'!CC47</f>
        <v>834.04174256004239</v>
      </c>
      <c r="AB179" s="6" t="s">
        <v>123</v>
      </c>
      <c r="AC179" s="6">
        <f t="shared" ref="AC179:BA179" si="21">B201</f>
        <v>2816.490015727883</v>
      </c>
      <c r="AD179" s="6">
        <f t="shared" si="21"/>
        <v>2643.1630151783997</v>
      </c>
      <c r="AE179" s="6">
        <f t="shared" si="21"/>
        <v>2470.6554529119071</v>
      </c>
      <c r="AF179" s="6">
        <f t="shared" si="21"/>
        <v>2295.6641346214378</v>
      </c>
      <c r="AG179" s="6">
        <f t="shared" si="21"/>
        <v>2124.7498711288149</v>
      </c>
      <c r="AH179" s="6">
        <f t="shared" si="21"/>
        <v>1954.6031179130839</v>
      </c>
      <c r="AI179" s="6">
        <f t="shared" si="21"/>
        <v>1822.7260345807761</v>
      </c>
      <c r="AJ179" s="6">
        <f t="shared" si="21"/>
        <v>1691.452781228018</v>
      </c>
      <c r="AK179" s="6">
        <f t="shared" si="21"/>
        <v>1558.0543689634449</v>
      </c>
      <c r="AL179" s="6">
        <f t="shared" si="21"/>
        <v>1427.5534970495339</v>
      </c>
      <c r="AM179" s="6">
        <f t="shared" si="21"/>
        <v>1297.370820631347</v>
      </c>
      <c r="AN179" s="6">
        <f t="shared" si="21"/>
        <v>1192.0280904561412</v>
      </c>
      <c r="AO179" s="6">
        <f t="shared" si="21"/>
        <v>1086.3153844765</v>
      </c>
      <c r="AP179" s="6">
        <f t="shared" si="21"/>
        <v>979.679313659066</v>
      </c>
      <c r="AQ179" s="6">
        <f t="shared" si="21"/>
        <v>873.24358547651377</v>
      </c>
      <c r="AR179" s="6">
        <f t="shared" si="21"/>
        <v>766.45125956112827</v>
      </c>
      <c r="AS179" s="6">
        <f t="shared" si="21"/>
        <v>710.64060120959937</v>
      </c>
      <c r="AT179" s="6">
        <f t="shared" si="21"/>
        <v>654.65478553185676</v>
      </c>
      <c r="AU179" s="6">
        <f t="shared" si="21"/>
        <v>598.01001692743648</v>
      </c>
      <c r="AV179" s="6">
        <f t="shared" si="21"/>
        <v>541.67841816254531</v>
      </c>
      <c r="AW179" s="6">
        <f t="shared" si="21"/>
        <v>485.18977986330407</v>
      </c>
      <c r="AX179" s="6">
        <f t="shared" si="21"/>
        <v>464.83208119096309</v>
      </c>
      <c r="AY179" s="6">
        <f t="shared" si="21"/>
        <v>440.5989318243453</v>
      </c>
      <c r="AZ179" s="6">
        <f t="shared" si="21"/>
        <v>416.35907723093732</v>
      </c>
      <c r="BA179" s="6">
        <f t="shared" si="21"/>
        <v>392.11018079298378</v>
      </c>
    </row>
    <row r="180" spans="1:53" outlineLevel="1" x14ac:dyDescent="0.35">
      <c r="A180" s="6" t="s">
        <v>36</v>
      </c>
      <c r="B180" s="6">
        <f>'Results - raw data ReCiPe (I)'!CC48</f>
        <v>697.10387954951784</v>
      </c>
      <c r="AB180" s="6" t="s">
        <v>124</v>
      </c>
      <c r="AC180" s="6">
        <f>-$AC$7*$AC$6</f>
        <v>-100000</v>
      </c>
      <c r="AD180" s="6">
        <f t="shared" ref="AD180:BA180" si="22">-$AC$7*$AC$6</f>
        <v>-100000</v>
      </c>
      <c r="AE180" s="6">
        <f t="shared" si="22"/>
        <v>-100000</v>
      </c>
      <c r="AF180" s="6">
        <f t="shared" si="22"/>
        <v>-100000</v>
      </c>
      <c r="AG180" s="6">
        <f t="shared" si="22"/>
        <v>-100000</v>
      </c>
      <c r="AH180" s="6">
        <f t="shared" si="22"/>
        <v>-100000</v>
      </c>
      <c r="AI180" s="6">
        <f t="shared" si="22"/>
        <v>-100000</v>
      </c>
      <c r="AJ180" s="6">
        <f t="shared" si="22"/>
        <v>-100000</v>
      </c>
      <c r="AK180" s="6">
        <f t="shared" si="22"/>
        <v>-100000</v>
      </c>
      <c r="AL180" s="6">
        <f t="shared" si="22"/>
        <v>-100000</v>
      </c>
      <c r="AM180" s="6">
        <f t="shared" si="22"/>
        <v>-100000</v>
      </c>
      <c r="AN180" s="6">
        <f t="shared" si="22"/>
        <v>-100000</v>
      </c>
      <c r="AO180" s="6">
        <f t="shared" si="22"/>
        <v>-100000</v>
      </c>
      <c r="AP180" s="6">
        <f t="shared" si="22"/>
        <v>-100000</v>
      </c>
      <c r="AQ180" s="6">
        <f t="shared" si="22"/>
        <v>-100000</v>
      </c>
      <c r="AR180" s="6">
        <f t="shared" si="22"/>
        <v>-100000</v>
      </c>
      <c r="AS180" s="6">
        <f t="shared" si="22"/>
        <v>-100000</v>
      </c>
      <c r="AT180" s="6">
        <f t="shared" si="22"/>
        <v>-100000</v>
      </c>
      <c r="AU180" s="6">
        <f t="shared" si="22"/>
        <v>-100000</v>
      </c>
      <c r="AV180" s="6">
        <f t="shared" si="22"/>
        <v>-100000</v>
      </c>
      <c r="AW180" s="6">
        <f t="shared" si="22"/>
        <v>-100000</v>
      </c>
      <c r="AX180" s="6">
        <f t="shared" si="22"/>
        <v>-100000</v>
      </c>
      <c r="AY180" s="6">
        <f t="shared" si="22"/>
        <v>-100000</v>
      </c>
      <c r="AZ180" s="6">
        <f t="shared" si="22"/>
        <v>-100000</v>
      </c>
      <c r="BA180" s="6">
        <f t="shared" si="22"/>
        <v>-100000</v>
      </c>
    </row>
    <row r="181" spans="1:53" outlineLevel="1" x14ac:dyDescent="0.35">
      <c r="A181" s="6" t="s">
        <v>38</v>
      </c>
      <c r="B181" s="6">
        <f>'Results - raw data ReCiPe (I)'!CC49</f>
        <v>6478.0424981536307</v>
      </c>
      <c r="AB181" s="23" t="s">
        <v>125</v>
      </c>
      <c r="AC181" s="17">
        <f>SUM(AC173:AC180)</f>
        <v>-14743.522253014336</v>
      </c>
      <c r="AD181" s="17">
        <f t="shared" ref="AD181:BA181" si="23">SUM(AD173:AD180)</f>
        <v>-71649.039377105131</v>
      </c>
      <c r="AE181" s="17">
        <f t="shared" si="23"/>
        <v>-73501.207887290366</v>
      </c>
      <c r="AF181" s="17">
        <f t="shared" si="23"/>
        <v>-74059.15402191371</v>
      </c>
      <c r="AG181" s="17">
        <f t="shared" si="23"/>
        <v>-77239.194970294746</v>
      </c>
      <c r="AH181" s="17">
        <f t="shared" si="23"/>
        <v>-79088.173979173589</v>
      </c>
      <c r="AI181" s="17">
        <f t="shared" si="23"/>
        <v>-79240.710507128126</v>
      </c>
      <c r="AJ181" s="17">
        <f t="shared" si="23"/>
        <v>-81971.163819863184</v>
      </c>
      <c r="AK181" s="17">
        <f t="shared" si="23"/>
        <v>-83435.927698824555</v>
      </c>
      <c r="AL181" s="17">
        <f t="shared" si="23"/>
        <v>-83629.764953471473</v>
      </c>
      <c r="AM181" s="17">
        <f t="shared" si="23"/>
        <v>-86305.060554118609</v>
      </c>
      <c r="AN181" s="17">
        <f t="shared" si="23"/>
        <v>-87465.670129793361</v>
      </c>
      <c r="AO181" s="17">
        <f t="shared" si="23"/>
        <v>-87452.615691565166</v>
      </c>
      <c r="AP181" s="17">
        <f t="shared" si="23"/>
        <v>-89806.469376946872</v>
      </c>
      <c r="AQ181" s="17">
        <f t="shared" si="23"/>
        <v>-90980.188884543022</v>
      </c>
      <c r="AR181" s="17">
        <f t="shared" si="23"/>
        <v>-91050.939086326936</v>
      </c>
      <c r="AS181" s="17">
        <f t="shared" si="23"/>
        <v>-92775.074460848293</v>
      </c>
      <c r="AT181" s="17">
        <f t="shared" si="23"/>
        <v>-93392.414668346653</v>
      </c>
      <c r="AU181" s="17">
        <f t="shared" si="23"/>
        <v>-92958.446670380377</v>
      </c>
      <c r="AV181" s="17">
        <f t="shared" si="23"/>
        <v>-94633.632186255389</v>
      </c>
      <c r="AW181" s="17">
        <f t="shared" si="23"/>
        <v>-95251.627701128906</v>
      </c>
      <c r="AX181" s="17">
        <f t="shared" si="23"/>
        <v>-94451.238657020091</v>
      </c>
      <c r="AY181" s="17">
        <f t="shared" si="23"/>
        <v>-95739.908915207037</v>
      </c>
      <c r="AZ181" s="17">
        <f t="shared" si="23"/>
        <v>-96006.764318376503</v>
      </c>
      <c r="BA181" s="17">
        <f t="shared" si="23"/>
        <v>-94500.689718144014</v>
      </c>
    </row>
    <row r="182" spans="1:53" outlineLevel="1" x14ac:dyDescent="0.35">
      <c r="A182" s="6" t="s">
        <v>39</v>
      </c>
      <c r="B182" s="6">
        <f>'Results - raw data ReCiPe (I)'!CC50</f>
        <v>11863.13931563111</v>
      </c>
    </row>
    <row r="183" spans="1:53" outlineLevel="1" x14ac:dyDescent="0.35">
      <c r="A183" s="6" t="s">
        <v>41</v>
      </c>
      <c r="B183" s="6">
        <f>'Results - raw data ReCiPe (I)'!CC51</f>
        <v>248.08396652691221</v>
      </c>
    </row>
    <row r="184" spans="1:53" outlineLevel="1" x14ac:dyDescent="0.35">
      <c r="A184" s="6" t="s">
        <v>43</v>
      </c>
      <c r="B184" s="6">
        <f>'Results - raw data ReCiPe (I)'!CC52</f>
        <v>619.51156124386785</v>
      </c>
      <c r="AB184" s="219"/>
      <c r="AC184" s="219"/>
      <c r="AD184" s="219"/>
      <c r="AE184" s="219"/>
      <c r="AF184" s="219"/>
      <c r="AG184" s="219"/>
      <c r="AH184" s="219"/>
      <c r="AI184" s="219"/>
      <c r="AJ184" s="219"/>
      <c r="AK184" s="219"/>
      <c r="AL184" s="219"/>
      <c r="AM184" s="219"/>
      <c r="AN184" s="219"/>
      <c r="AO184" s="219"/>
      <c r="AP184" s="219"/>
      <c r="AQ184" s="219"/>
      <c r="AR184" s="219"/>
      <c r="AS184" s="219"/>
      <c r="AT184" s="219"/>
      <c r="AU184" s="219"/>
      <c r="AV184" s="219"/>
      <c r="AW184" s="219"/>
      <c r="AX184" s="219"/>
      <c r="AY184" s="219"/>
      <c r="AZ184" s="219"/>
      <c r="BA184" s="219"/>
    </row>
    <row r="185" spans="1:53" outlineLevel="1" x14ac:dyDescent="0.35">
      <c r="A185" s="6" t="s">
        <v>44</v>
      </c>
      <c r="B185" s="6">
        <f>'Results - raw data ReCiPe (I)'!CC53*AC169*AC171</f>
        <v>2689.460902868675</v>
      </c>
      <c r="AB185" s="219"/>
      <c r="AC185" s="219"/>
      <c r="AD185" s="219"/>
      <c r="AE185" s="219"/>
      <c r="AF185" s="219"/>
      <c r="AG185" s="219"/>
      <c r="AH185" s="219"/>
      <c r="AI185" s="219"/>
      <c r="AJ185" s="219"/>
      <c r="AK185" s="219"/>
      <c r="AL185" s="219"/>
      <c r="AM185" s="219"/>
      <c r="AN185" s="219"/>
      <c r="AO185" s="219"/>
      <c r="AP185" s="219"/>
      <c r="AQ185" s="219"/>
      <c r="AR185" s="219"/>
      <c r="AS185" s="219"/>
      <c r="AT185" s="219"/>
      <c r="AU185" s="219"/>
      <c r="AV185" s="219"/>
      <c r="AW185" s="219"/>
      <c r="AX185" s="219"/>
      <c r="AY185" s="219"/>
      <c r="AZ185" s="219"/>
      <c r="BA185" s="219"/>
    </row>
    <row r="186" spans="1:53" outlineLevel="1" x14ac:dyDescent="0.35">
      <c r="A186" s="6" t="s">
        <v>757</v>
      </c>
      <c r="B186" s="6">
        <f>'Results - raw data ReCiPe (I)'!CC54*AC169*AC171</f>
        <v>19250.118471712554</v>
      </c>
      <c r="AB186" s="219"/>
      <c r="AC186" s="219"/>
      <c r="AD186" s="219"/>
      <c r="AE186" s="219"/>
      <c r="AF186" s="219"/>
      <c r="AG186" s="219"/>
      <c r="AH186" s="219"/>
      <c r="AI186" s="219"/>
      <c r="AJ186" s="219"/>
      <c r="AK186" s="219"/>
      <c r="AL186" s="219"/>
      <c r="AM186" s="219"/>
      <c r="AN186" s="219"/>
      <c r="AO186" s="219"/>
      <c r="AP186" s="219"/>
      <c r="AQ186" s="219"/>
      <c r="AR186" s="219"/>
      <c r="AS186" s="219"/>
      <c r="AT186" s="219"/>
      <c r="AU186" s="219"/>
      <c r="AV186" s="219"/>
      <c r="AW186" s="219"/>
      <c r="AX186" s="219"/>
      <c r="AY186" s="219"/>
      <c r="AZ186" s="219"/>
      <c r="BA186" s="219"/>
    </row>
    <row r="187" spans="1:53" outlineLevel="1" x14ac:dyDescent="0.35">
      <c r="A187" s="6" t="s">
        <v>22</v>
      </c>
      <c r="Z187" s="6">
        <f>'Results - raw data ReCiPe (I)'!DA55</f>
        <v>18.14077077211557</v>
      </c>
      <c r="AB187" s="219"/>
      <c r="AC187" s="219"/>
      <c r="AD187" s="219"/>
      <c r="AE187" s="219"/>
      <c r="AF187" s="219"/>
      <c r="AG187" s="219"/>
      <c r="AH187" s="219"/>
      <c r="AI187" s="219"/>
      <c r="AJ187" s="219"/>
      <c r="AK187" s="219"/>
      <c r="AL187" s="219"/>
      <c r="AM187" s="219"/>
      <c r="AN187" s="219"/>
      <c r="AO187" s="219"/>
      <c r="AP187" s="219"/>
      <c r="AQ187" s="219"/>
      <c r="AR187" s="219"/>
      <c r="AS187" s="219"/>
      <c r="AT187" s="219"/>
      <c r="AU187" s="219"/>
      <c r="AV187" s="219"/>
      <c r="AW187" s="219"/>
      <c r="AX187" s="219"/>
      <c r="AY187" s="219"/>
      <c r="AZ187" s="219"/>
      <c r="BA187" s="219"/>
    </row>
    <row r="188" spans="1:53" outlineLevel="1" x14ac:dyDescent="0.35">
      <c r="A188" s="6" t="s">
        <v>24</v>
      </c>
      <c r="Z188" s="6">
        <f>'Results - raw data ReCiPe (I)'!DA56</f>
        <v>6.8259991520238597</v>
      </c>
      <c r="AB188" s="219"/>
      <c r="AC188" s="219"/>
      <c r="AD188" s="219"/>
      <c r="AE188" s="219"/>
      <c r="AF188" s="219"/>
      <c r="AG188" s="219"/>
      <c r="AH188" s="219"/>
      <c r="AI188" s="219"/>
      <c r="AJ188" s="219"/>
      <c r="AK188" s="219"/>
      <c r="AL188" s="219"/>
      <c r="AM188" s="219"/>
      <c r="AN188" s="219"/>
      <c r="AO188" s="219"/>
      <c r="AP188" s="219"/>
      <c r="AQ188" s="219"/>
      <c r="AR188" s="219"/>
      <c r="AS188" s="219"/>
      <c r="AT188" s="219"/>
      <c r="AU188" s="219"/>
      <c r="AV188" s="219"/>
      <c r="AW188" s="219"/>
      <c r="AX188" s="219"/>
      <c r="AY188" s="219"/>
      <c r="AZ188" s="219"/>
      <c r="BA188" s="219"/>
    </row>
    <row r="189" spans="1:53" outlineLevel="1" x14ac:dyDescent="0.35">
      <c r="A189" s="6" t="s">
        <v>25</v>
      </c>
      <c r="Z189" s="6">
        <f>'Results - raw data ReCiPe (I)'!DA57</f>
        <v>22.025810344976279</v>
      </c>
      <c r="AB189" s="219"/>
      <c r="AC189" s="219"/>
      <c r="AD189" s="219"/>
      <c r="AE189" s="219"/>
      <c r="AF189" s="219"/>
      <c r="AG189" s="219"/>
      <c r="AH189" s="219"/>
      <c r="AI189" s="219"/>
      <c r="AJ189" s="219"/>
      <c r="AK189" s="219"/>
      <c r="AL189" s="219"/>
      <c r="AM189" s="219"/>
      <c r="AN189" s="219"/>
      <c r="AO189" s="219"/>
      <c r="AP189" s="219"/>
      <c r="AQ189" s="219"/>
      <c r="AR189" s="219"/>
      <c r="AS189" s="219"/>
      <c r="AT189" s="219"/>
      <c r="AU189" s="219"/>
      <c r="AV189" s="219"/>
      <c r="AW189" s="219"/>
      <c r="AX189" s="219"/>
      <c r="AY189" s="219"/>
      <c r="AZ189" s="219"/>
      <c r="BA189" s="219"/>
    </row>
    <row r="190" spans="1:53" outlineLevel="1" x14ac:dyDescent="0.35">
      <c r="A190" s="6" t="s">
        <v>27</v>
      </c>
      <c r="Z190" s="6">
        <f>'Results - raw data ReCiPe (I)'!DA58</f>
        <v>7.3969005273690289</v>
      </c>
      <c r="AB190" s="219"/>
      <c r="AC190" s="219"/>
      <c r="AD190" s="219"/>
      <c r="AE190" s="219"/>
      <c r="AF190" s="219"/>
      <c r="AG190" s="219"/>
      <c r="AH190" s="219"/>
      <c r="AI190" s="219"/>
      <c r="AJ190" s="219"/>
      <c r="AK190" s="219"/>
      <c r="AL190" s="219"/>
      <c r="AM190" s="219"/>
      <c r="AN190" s="219"/>
      <c r="AO190" s="219"/>
      <c r="AP190" s="219"/>
      <c r="AQ190" s="219"/>
      <c r="AR190" s="219"/>
      <c r="AS190" s="219"/>
      <c r="AT190" s="219"/>
      <c r="AU190" s="219"/>
      <c r="AV190" s="219"/>
      <c r="AW190" s="219"/>
      <c r="AX190" s="219"/>
      <c r="AY190" s="219"/>
      <c r="AZ190" s="219"/>
      <c r="BA190" s="219"/>
    </row>
    <row r="191" spans="1:53" outlineLevel="1" x14ac:dyDescent="0.35">
      <c r="A191" s="6" t="s">
        <v>30</v>
      </c>
      <c r="Z191" s="6">
        <f>'Results - raw data ReCiPe (I)'!DA59</f>
        <v>23.607416959139901</v>
      </c>
      <c r="AB191" s="219"/>
      <c r="AC191" s="219"/>
      <c r="AD191" s="219"/>
      <c r="AE191" s="219"/>
      <c r="AF191" s="219"/>
      <c r="AG191" s="219"/>
      <c r="AH191" s="219"/>
      <c r="AI191" s="219"/>
      <c r="AJ191" s="219"/>
      <c r="AK191" s="219"/>
      <c r="AL191" s="219"/>
      <c r="AM191" s="219"/>
      <c r="AN191" s="219"/>
      <c r="AO191" s="219"/>
      <c r="AP191" s="219"/>
      <c r="AQ191" s="219"/>
      <c r="AR191" s="219"/>
      <c r="AS191" s="219"/>
      <c r="AT191" s="219"/>
      <c r="AU191" s="219"/>
      <c r="AV191" s="219"/>
      <c r="AW191" s="219"/>
      <c r="AX191" s="219"/>
      <c r="AY191" s="219"/>
      <c r="AZ191" s="219"/>
      <c r="BA191" s="219"/>
    </row>
    <row r="192" spans="1:53" outlineLevel="1" x14ac:dyDescent="0.35">
      <c r="A192" s="6" t="s">
        <v>32</v>
      </c>
      <c r="Z192" s="6">
        <f>'Results - raw data ReCiPe (I)'!DA60</f>
        <v>0.89023877747084434</v>
      </c>
      <c r="AB192" s="219"/>
      <c r="AC192" s="219"/>
      <c r="AD192" s="219"/>
      <c r="AE192" s="219"/>
      <c r="AF192" s="219"/>
      <c r="AG192" s="219"/>
      <c r="AH192" s="219"/>
      <c r="AI192" s="219"/>
      <c r="AJ192" s="219"/>
      <c r="AK192" s="219"/>
      <c r="AL192" s="219"/>
      <c r="AM192" s="219"/>
      <c r="AN192" s="219"/>
      <c r="AO192" s="219"/>
      <c r="AP192" s="219"/>
      <c r="AQ192" s="219"/>
      <c r="AR192" s="219"/>
      <c r="AS192" s="219"/>
      <c r="AT192" s="219"/>
      <c r="AU192" s="219"/>
      <c r="AV192" s="219"/>
      <c r="AW192" s="219"/>
      <c r="AX192" s="219"/>
      <c r="AY192" s="219"/>
      <c r="AZ192" s="219"/>
      <c r="BA192" s="219"/>
    </row>
    <row r="193" spans="1:53" outlineLevel="1" x14ac:dyDescent="0.35">
      <c r="A193" s="6" t="s">
        <v>33</v>
      </c>
      <c r="Z193" s="6">
        <f>'Results - raw data ReCiPe (I)'!DA61</f>
        <v>5.605023434958313</v>
      </c>
      <c r="AB193" s="219"/>
      <c r="AC193" s="219"/>
      <c r="AD193" s="219"/>
      <c r="AE193" s="219"/>
      <c r="AF193" s="219"/>
      <c r="AG193" s="219"/>
      <c r="AH193" s="219"/>
      <c r="AI193" s="219"/>
      <c r="AJ193" s="219"/>
      <c r="AK193" s="219"/>
      <c r="AL193" s="219"/>
      <c r="AM193" s="219"/>
      <c r="AN193" s="219"/>
      <c r="AO193" s="219"/>
      <c r="AP193" s="219"/>
      <c r="AQ193" s="219"/>
      <c r="AR193" s="219"/>
      <c r="AS193" s="219"/>
      <c r="AT193" s="219"/>
      <c r="AU193" s="219"/>
      <c r="AV193" s="219"/>
      <c r="AW193" s="219"/>
      <c r="AX193" s="219"/>
      <c r="AY193" s="219"/>
      <c r="AZ193" s="219"/>
      <c r="BA193" s="219"/>
    </row>
    <row r="194" spans="1:53" outlineLevel="1" x14ac:dyDescent="0.35">
      <c r="A194" s="6" t="s">
        <v>35</v>
      </c>
      <c r="Z194" s="6">
        <f>'Results - raw data ReCiPe (I)'!DA62</f>
        <v>11.21004686991663</v>
      </c>
      <c r="AB194" s="219"/>
      <c r="AC194" s="219"/>
      <c r="AD194" s="219"/>
      <c r="AE194" s="219"/>
      <c r="AF194" s="219"/>
      <c r="AG194" s="219"/>
      <c r="AH194" s="219"/>
      <c r="AI194" s="219"/>
      <c r="AJ194" s="219"/>
      <c r="AK194" s="219"/>
      <c r="AL194" s="219"/>
      <c r="AM194" s="219"/>
      <c r="AN194" s="219"/>
      <c r="AO194" s="219"/>
      <c r="AP194" s="219"/>
      <c r="AQ194" s="219"/>
      <c r="AR194" s="219"/>
      <c r="AS194" s="219"/>
      <c r="AT194" s="219"/>
      <c r="AU194" s="219"/>
      <c r="AV194" s="219"/>
      <c r="AW194" s="219"/>
      <c r="AX194" s="219"/>
      <c r="AY194" s="219"/>
      <c r="AZ194" s="219"/>
      <c r="BA194" s="219"/>
    </row>
    <row r="195" spans="1:53" outlineLevel="1" x14ac:dyDescent="0.35">
      <c r="A195" s="6" t="s">
        <v>37</v>
      </c>
      <c r="Z195" s="6">
        <f>'Results - raw data ReCiPe (I)'!DA63</f>
        <v>14.40751346137335</v>
      </c>
      <c r="AB195" s="219"/>
      <c r="AC195" s="219"/>
      <c r="AD195" s="219"/>
      <c r="AE195" s="219"/>
      <c r="AF195" s="219"/>
      <c r="AG195" s="219"/>
      <c r="AH195" s="219"/>
      <c r="AI195" s="219"/>
      <c r="AJ195" s="219"/>
      <c r="AK195" s="219"/>
      <c r="AL195" s="219"/>
      <c r="AM195" s="219"/>
      <c r="AN195" s="219"/>
      <c r="AO195" s="219"/>
      <c r="AP195" s="219"/>
      <c r="AQ195" s="219"/>
      <c r="AR195" s="219"/>
      <c r="AS195" s="219"/>
      <c r="AT195" s="219"/>
      <c r="AU195" s="219"/>
      <c r="AV195" s="219"/>
      <c r="AW195" s="219"/>
      <c r="AX195" s="219"/>
      <c r="AY195" s="219"/>
      <c r="AZ195" s="219"/>
      <c r="BA195" s="219"/>
    </row>
    <row r="196" spans="1:53" outlineLevel="1" x14ac:dyDescent="0.35">
      <c r="A196" s="6" t="s">
        <v>40</v>
      </c>
      <c r="Z196" s="6">
        <f>'Results - raw data ReCiPe (I)'!DA64</f>
        <v>383.06727323534011</v>
      </c>
    </row>
    <row r="197" spans="1:53" outlineLevel="1" x14ac:dyDescent="0.35">
      <c r="A197" s="6" t="s">
        <v>42</v>
      </c>
      <c r="Z197" s="6">
        <f>'Results - raw data ReCiPe (I)'!DA65</f>
        <v>40.166089744463918</v>
      </c>
    </row>
    <row r="198" spans="1:53" outlineLevel="1" x14ac:dyDescent="0.35">
      <c r="A198" s="6" t="s">
        <v>115</v>
      </c>
      <c r="Z198" s="6">
        <f>'Results - raw data ReCiPe (I)'!DA66</f>
        <v>203.50102941255949</v>
      </c>
    </row>
    <row r="199" spans="1:53" outlineLevel="1" x14ac:dyDescent="0.35">
      <c r="A199" s="6" t="s">
        <v>45</v>
      </c>
      <c r="Z199" s="6">
        <f>'Results - raw data ReCiPe (I)'!DA67*AC169*AC171</f>
        <v>22.256211814560157</v>
      </c>
    </row>
    <row r="200" spans="1:53" outlineLevel="1" x14ac:dyDescent="0.35">
      <c r="A200" s="6" t="s">
        <v>116</v>
      </c>
      <c r="B200" s="6">
        <f>'Results - raw data ReCiPe (I)'!CC68</f>
        <v>1369.6249485785811</v>
      </c>
      <c r="C200" s="6">
        <f>'Results - raw data ReCiPe (I)'!CD68</f>
        <v>1358.4953790177631</v>
      </c>
      <c r="D200" s="6">
        <f>'Results - raw data ReCiPe (I)'!CE68</f>
        <v>1347.293398121084</v>
      </c>
      <c r="E200" s="6">
        <f>'Results - raw data ReCiPe (I)'!CF68</f>
        <v>1330.201743386594</v>
      </c>
      <c r="F200" s="6">
        <f>'Results - raw data ReCiPe (I)'!CG68</f>
        <v>1318.843860122046</v>
      </c>
      <c r="G200" s="6">
        <f>'Results - raw data ReCiPe (I)'!CH68</f>
        <v>1307.3896262955329</v>
      </c>
      <c r="H200" s="6">
        <f>'Results - raw data ReCiPe (I)'!CI68</f>
        <v>1291.6658561466461</v>
      </c>
      <c r="I200" s="6">
        <f>'Results - raw data ReCiPe (I)'!CJ68</f>
        <v>1275.985771522767</v>
      </c>
      <c r="J200" s="6">
        <f>'Results - raw data ReCiPe (I)'!CK68</f>
        <v>1256.7870217475061</v>
      </c>
      <c r="K200" s="6">
        <f>'Results - raw data ReCiPe (I)'!CL68</f>
        <v>1241.1161458074589</v>
      </c>
      <c r="L200" s="6">
        <f>'Results - raw data ReCiPe (I)'!CM68</f>
        <v>1225.395562882027</v>
      </c>
      <c r="M200" s="6">
        <f>'Results - raw data ReCiPe (I)'!CN68</f>
        <v>1201.689004072412</v>
      </c>
      <c r="N200" s="6">
        <f>'Results - raw data ReCiPe (I)'!CO68</f>
        <v>1178.1152807241949</v>
      </c>
      <c r="O200" s="6">
        <f>'Results - raw data ReCiPe (I)'!CP68</f>
        <v>1153.6678966954639</v>
      </c>
      <c r="P200" s="6">
        <f>'Results - raw data ReCiPe (I)'!CQ68</f>
        <v>1130.3739100911839</v>
      </c>
      <c r="Q200" s="6">
        <f>'Results - raw data ReCiPe (I)'!CR68</f>
        <v>1107.2050594847649</v>
      </c>
      <c r="R200" s="6">
        <f>'Results - raw data ReCiPe (I)'!CS68</f>
        <v>1090.707890935103</v>
      </c>
      <c r="S200" s="6">
        <f>'Results - raw data ReCiPe (I)'!CT68</f>
        <v>1074.307910020796</v>
      </c>
      <c r="T200" s="6">
        <f>'Results - raw data ReCiPe (I)'!CU68</f>
        <v>1057.185548264049</v>
      </c>
      <c r="U200" s="6">
        <f>'Results - raw data ReCiPe (I)'!CV68</f>
        <v>1040.9924904342349</v>
      </c>
      <c r="V200" s="6">
        <f>'Results - raw data ReCiPe (I)'!CW68</f>
        <v>1024.892072371603</v>
      </c>
      <c r="W200" s="6">
        <f>'Results - raw data ReCiPe (I)'!CX68</f>
        <v>1022.6160132821969</v>
      </c>
      <c r="X200" s="6">
        <f>'Results - raw data ReCiPe (I)'!CY68</f>
        <v>1019.941439388661</v>
      </c>
      <c r="Y200" s="6">
        <f>'Results - raw data ReCiPe (I)'!CZ68</f>
        <v>1017.287065892946</v>
      </c>
      <c r="Z200" s="6">
        <f>'Results - raw data ReCiPe (I)'!DA68</f>
        <v>1014.652642880409</v>
      </c>
    </row>
    <row r="201" spans="1:53" outlineLevel="1" x14ac:dyDescent="0.35">
      <c r="A201" s="6" t="s">
        <v>758</v>
      </c>
      <c r="B201" s="6">
        <f>'Results - raw data ReCiPe (I)'!CC69*$AC$169</f>
        <v>2816.490015727883</v>
      </c>
      <c r="C201" s="6">
        <f>'Results - raw data ReCiPe (I)'!CD69*$AC$169</f>
        <v>2643.1630151783997</v>
      </c>
      <c r="D201" s="6">
        <f>'Results - raw data ReCiPe (I)'!CE69*$AC$169</f>
        <v>2470.6554529119071</v>
      </c>
      <c r="E201" s="6">
        <f>'Results - raw data ReCiPe (I)'!CF69*$AC$169</f>
        <v>2295.6641346214378</v>
      </c>
      <c r="F201" s="6">
        <f>'Results - raw data ReCiPe (I)'!CG69*$AC$169</f>
        <v>2124.7498711288149</v>
      </c>
      <c r="G201" s="6">
        <f>'Results - raw data ReCiPe (I)'!CH69*$AC$169</f>
        <v>1954.6031179130839</v>
      </c>
      <c r="H201" s="6">
        <f>'Results - raw data ReCiPe (I)'!CI69*$AC$169</f>
        <v>1822.7260345807761</v>
      </c>
      <c r="I201" s="6">
        <f>'Results - raw data ReCiPe (I)'!CJ69*$AC$169</f>
        <v>1691.452781228018</v>
      </c>
      <c r="J201" s="6">
        <f>'Results - raw data ReCiPe (I)'!CK69*$AC$169</f>
        <v>1558.0543689634449</v>
      </c>
      <c r="K201" s="6">
        <f>'Results - raw data ReCiPe (I)'!CL69*$AC$169</f>
        <v>1427.5534970495339</v>
      </c>
      <c r="L201" s="6">
        <f>'Results - raw data ReCiPe (I)'!CM69*$AC$169</f>
        <v>1297.370820631347</v>
      </c>
      <c r="M201" s="6">
        <f>'Results - raw data ReCiPe (I)'!CN69*$AC$169</f>
        <v>1192.0280904561412</v>
      </c>
      <c r="N201" s="6">
        <f>'Results - raw data ReCiPe (I)'!CO69*$AC$169</f>
        <v>1086.3153844765</v>
      </c>
      <c r="O201" s="6">
        <f>'Results - raw data ReCiPe (I)'!CP69*$AC$169</f>
        <v>979.679313659066</v>
      </c>
      <c r="P201" s="6">
        <f>'Results - raw data ReCiPe (I)'!CQ69*$AC$169</f>
        <v>873.24358547651377</v>
      </c>
      <c r="Q201" s="6">
        <f>'Results - raw data ReCiPe (I)'!CR69*$AC$169</f>
        <v>766.45125956112827</v>
      </c>
      <c r="R201" s="6">
        <f>'Results - raw data ReCiPe (I)'!CS69*$AC$169</f>
        <v>710.64060120959937</v>
      </c>
      <c r="S201" s="6">
        <f>'Results - raw data ReCiPe (I)'!CT69*$AC$169</f>
        <v>654.65478553185676</v>
      </c>
      <c r="T201" s="6">
        <f>'Results - raw data ReCiPe (I)'!CU69*$AC$169</f>
        <v>598.01001692743648</v>
      </c>
      <c r="U201" s="6">
        <f>'Results - raw data ReCiPe (I)'!CV69*$AC$169</f>
        <v>541.67841816254531</v>
      </c>
      <c r="V201" s="6">
        <f>'Results - raw data ReCiPe (I)'!CW69*$AC$169</f>
        <v>485.18977986330407</v>
      </c>
      <c r="W201" s="6">
        <f>'Results - raw data ReCiPe (I)'!CX69*$AC$169</f>
        <v>464.83208119096309</v>
      </c>
      <c r="X201" s="6">
        <f>'Results - raw data ReCiPe (I)'!CY69*$AC$169</f>
        <v>440.5989318243453</v>
      </c>
      <c r="Y201" s="6">
        <f>'Results - raw data ReCiPe (I)'!CZ69*$AC$169</f>
        <v>416.35907723093732</v>
      </c>
      <c r="Z201" s="6">
        <f>'Results - raw data ReCiPe (I)'!DA69*$AC$169</f>
        <v>392.11018079298378</v>
      </c>
    </row>
    <row r="202" spans="1:53" outlineLevel="1" x14ac:dyDescent="0.35">
      <c r="A202" s="6" t="s">
        <v>759</v>
      </c>
      <c r="B202" s="6">
        <f>'Results - raw data ReCiPe (I)'!CC70</f>
        <v>0</v>
      </c>
      <c r="C202" s="6">
        <f>'Results - raw data ReCiPe (I)'!CD70</f>
        <v>0</v>
      </c>
      <c r="D202" s="6">
        <f>'Results - raw data ReCiPe (I)'!CE70</f>
        <v>0</v>
      </c>
      <c r="E202" s="6">
        <f>'Results - raw data ReCiPe (I)'!CF70</f>
        <v>0</v>
      </c>
      <c r="F202" s="6">
        <f>'Results - raw data ReCiPe (I)'!CG70</f>
        <v>0</v>
      </c>
      <c r="G202" s="6">
        <f>'Results - raw data ReCiPe (I)'!CH70</f>
        <v>0</v>
      </c>
      <c r="H202" s="6">
        <f>'Results - raw data ReCiPe (I)'!CI70</f>
        <v>0</v>
      </c>
      <c r="I202" s="6">
        <f>'Results - raw data ReCiPe (I)'!CJ70</f>
        <v>0</v>
      </c>
      <c r="J202" s="6">
        <f>'Results - raw data ReCiPe (I)'!CK70</f>
        <v>0</v>
      </c>
      <c r="K202" s="6">
        <f>'Results - raw data ReCiPe (I)'!CL70</f>
        <v>0</v>
      </c>
      <c r="L202" s="6">
        <f>'Results - raw data ReCiPe (I)'!CM70</f>
        <v>0</v>
      </c>
      <c r="M202" s="6">
        <f>'Results - raw data ReCiPe (I)'!CN70</f>
        <v>0</v>
      </c>
      <c r="N202" s="6">
        <f>'Results - raw data ReCiPe (I)'!CO70</f>
        <v>0</v>
      </c>
      <c r="O202" s="6">
        <f>'Results - raw data ReCiPe (I)'!CP70</f>
        <v>0</v>
      </c>
      <c r="P202" s="6">
        <f>'Results - raw data ReCiPe (I)'!CQ70</f>
        <v>0</v>
      </c>
      <c r="Q202" s="6">
        <f>'Results - raw data ReCiPe (I)'!CR70</f>
        <v>0</v>
      </c>
      <c r="R202" s="6">
        <f>'Results - raw data ReCiPe (I)'!CS70</f>
        <v>0</v>
      </c>
      <c r="S202" s="6">
        <f>'Results - raw data ReCiPe (I)'!CT70</f>
        <v>0</v>
      </c>
      <c r="T202" s="6">
        <f>'Results - raw data ReCiPe (I)'!CU70</f>
        <v>0</v>
      </c>
      <c r="U202" s="6">
        <f>'Results - raw data ReCiPe (I)'!CV70</f>
        <v>0</v>
      </c>
      <c r="V202" s="6">
        <f>'Results - raw data ReCiPe (I)'!CW70</f>
        <v>0</v>
      </c>
      <c r="W202" s="6">
        <f>'Results - raw data ReCiPe (I)'!CX70</f>
        <v>0</v>
      </c>
      <c r="X202" s="6">
        <f>'Results - raw data ReCiPe (I)'!CY70</f>
        <v>0</v>
      </c>
      <c r="Y202" s="6">
        <f>'Results - raw data ReCiPe (I)'!CZ70</f>
        <v>0</v>
      </c>
      <c r="Z202" s="6">
        <f>'Results - raw data ReCiPe (I)'!DA70</f>
        <v>0</v>
      </c>
    </row>
    <row r="203" spans="1:53" outlineLevel="1" x14ac:dyDescent="0.35">
      <c r="A203" s="6" t="s">
        <v>760</v>
      </c>
      <c r="B203" s="6">
        <f>150000*($AC$170*'Results - raw data ReCiPe (I)'!CC121+(1-'Results ReCiPe (I) - HHD'!$AC$170)*'Results - raw data ReCiPe (I)'!CC122)</f>
        <v>27388.004921466745</v>
      </c>
      <c r="C203" s="6">
        <f>150000*($AC$170*'Results - raw data ReCiPe (I)'!CD121+(1-'Results ReCiPe (I) - HHD'!$AC$170)*'Results - raw data ReCiPe (I)'!CD122)</f>
        <v>25707.797607716468</v>
      </c>
      <c r="D203" s="6">
        <f>150000*($AC$170*'Results - raw data ReCiPe (I)'!CE121+(1-'Results ReCiPe (I) - HHD'!$AC$170)*'Results - raw data ReCiPe (I)'!CE122)</f>
        <v>24028.136659797732</v>
      </c>
      <c r="E203" s="6">
        <f>150000*($AC$170*'Results - raw data ReCiPe (I)'!CF121+(1-'Results ReCiPe (I) - HHD'!$AC$170)*'Results - raw data ReCiPe (I)'!CF122)</f>
        <v>22314.98010007825</v>
      </c>
      <c r="F203" s="6">
        <f>150000*($AC$170*'Results - raw data ReCiPe (I)'!CG121+(1-'Results ReCiPe (I) - HHD'!$AC$170)*'Results - raw data ReCiPe (I)'!CG122)</f>
        <v>20636.055158576437</v>
      </c>
      <c r="G203" s="6">
        <f>150000*($AC$170*'Results - raw data ReCiPe (I)'!CH121+(1-'Results ReCiPe (I) - HHD'!$AC$170)*'Results - raw data ReCiPe (I)'!CH122)</f>
        <v>18957.22290291333</v>
      </c>
      <c r="H203" s="6">
        <f>150000*($AC$170*'Results - raw data ReCiPe (I)'!CI121+(1-'Results ReCiPe (I) - HHD'!$AC$170)*'Results - raw data ReCiPe (I)'!CI122)</f>
        <v>17644.897602144451</v>
      </c>
      <c r="I203" s="6">
        <f>150000*($AC$170*'Results - raw data ReCiPe (I)'!CJ121+(1-'Results ReCiPe (I) - HHD'!$AC$170)*'Results - raw data ReCiPe (I)'!CJ122)</f>
        <v>16337.3833989088</v>
      </c>
      <c r="J203" s="6">
        <f>150000*($AC$170*'Results - raw data ReCiPe (I)'!CK121+(1-'Results ReCiPe (I) - HHD'!$AC$170)*'Results - raw data ReCiPe (I)'!CK122)</f>
        <v>15006.017932212002</v>
      </c>
      <c r="K203" s="6">
        <f>150000*($AC$170*'Results - raw data ReCiPe (I)'!CL121+(1-'Results ReCiPe (I) - HHD'!$AC$170)*'Results - raw data ReCiPe (I)'!CL122)</f>
        <v>13701.565403671537</v>
      </c>
      <c r="L203" s="6">
        <f>150000*($AC$170*'Results - raw data ReCiPe (I)'!CM121+(1-'Results ReCiPe (I) - HHD'!$AC$170)*'Results - raw data ReCiPe (I)'!CM122)</f>
        <v>12397.568625250038</v>
      </c>
      <c r="M203" s="6">
        <f>150000*($AC$170*'Results - raw data ReCiPe (I)'!CN121+(1-'Results ReCiPe (I) - HHD'!$AC$170)*'Results - raw data ReCiPe (I)'!CN122)</f>
        <v>11342.301779750504</v>
      </c>
      <c r="N203" s="6">
        <f>150000*($AC$170*'Results - raw data ReCiPe (I)'!CO121+(1-'Results ReCiPe (I) - HHD'!$AC$170)*'Results - raw data ReCiPe (I)'!CO122)</f>
        <v>10282.953643234141</v>
      </c>
      <c r="O203" s="6">
        <f>150000*($AC$170*'Results - raw data ReCiPe (I)'!CP121+(1-'Results ReCiPe (I) - HHD'!$AC$170)*'Results - raw data ReCiPe (I)'!CP122)</f>
        <v>9213.8513093940601</v>
      </c>
      <c r="P203" s="6">
        <f>150000*($AC$170*'Results - raw data ReCiPe (I)'!CQ121+(1-'Results ReCiPe (I) - HHD'!$AC$170)*'Results - raw data ReCiPe (I)'!CQ122)</f>
        <v>8146.5675299804561</v>
      </c>
      <c r="Q203" s="6">
        <f>150000*($AC$170*'Results - raw data ReCiPe (I)'!CR121+(1-'Results ReCiPe (I) - HHD'!$AC$170)*'Results - raw data ReCiPe (I)'!CR122)</f>
        <v>7075.4045946271726</v>
      </c>
      <c r="R203" s="6">
        <f>150000*($AC$170*'Results - raw data ReCiPe (I)'!CS121+(1-'Results ReCiPe (I) - HHD'!$AC$170)*'Results - raw data ReCiPe (I)'!CS122)</f>
        <v>6514.2849379421041</v>
      </c>
      <c r="S203" s="6">
        <f>150000*($AC$170*'Results - raw data ReCiPe (I)'!CT121+(1-'Results ReCiPe (I) - HHD'!$AC$170)*'Results - raw data ReCiPe (I)'!CT122)</f>
        <v>5952.9305461214881</v>
      </c>
      <c r="T203" s="6">
        <f>150000*($AC$170*'Results - raw data ReCiPe (I)'!CU121+(1-'Results ReCiPe (I) - HHD'!$AC$170)*'Results - raw data ReCiPe (I)'!CU122)</f>
        <v>5386.357764428134</v>
      </c>
      <c r="U203" s="6">
        <f>150000*($AC$170*'Results - raw data ReCiPe (I)'!CV121+(1-'Results ReCiPe (I) - HHD'!$AC$170)*'Results - raw data ReCiPe (I)'!CV122)</f>
        <v>4824.6893955820615</v>
      </c>
      <c r="V203" s="6">
        <f>150000*($AC$170*'Results - raw data ReCiPe (I)'!CW121+(1-'Results ReCiPe (I) - HHD'!$AC$170)*'Results - raw data ReCiPe (I)'!CW122)</f>
        <v>4263.1825190077943</v>
      </c>
      <c r="W203" s="6">
        <f>150000*($AC$170*'Results - raw data ReCiPe (I)'!CX121+(1-'Results ReCiPe (I) - HHD'!$AC$170)*'Results - raw data ReCiPe (I)'!CX122)</f>
        <v>4061.3132485067558</v>
      </c>
      <c r="X203" s="6">
        <f>150000*($AC$170*'Results - raw data ReCiPe (I)'!CY121+(1-'Results ReCiPe (I) - HHD'!$AC$170)*'Results - raw data ReCiPe (I)'!CY122)</f>
        <v>3819.492152968613</v>
      </c>
      <c r="Y203" s="6">
        <f>150000*($AC$170*'Results - raw data ReCiPe (I)'!CZ121+(1-'Results ReCiPe (I) - HHD'!$AC$170)*'Results - raw data ReCiPe (I)'!CZ122)</f>
        <v>3576.876604392558</v>
      </c>
      <c r="Z203" s="6">
        <f>150000*($AC$170*'Results - raw data ReCiPe (I)'!DA121+(1-'Results ReCiPe (I) - HHD'!$AC$170)*'Results - raw data ReCiPe (I)'!DA122)</f>
        <v>3333.4471336763186</v>
      </c>
    </row>
    <row r="204" spans="1:53" outlineLevel="1" x14ac:dyDescent="0.35">
      <c r="A204" s="23" t="s">
        <v>125</v>
      </c>
      <c r="B204" s="17">
        <f>SUM(B173:B203)</f>
        <v>85256.477746985649</v>
      </c>
      <c r="C204" s="17">
        <f t="shared" ref="C204:Z204" si="24">SUM(C173:C203)</f>
        <v>29709.456001912629</v>
      </c>
      <c r="D204" s="17">
        <f t="shared" si="24"/>
        <v>27846.085510830722</v>
      </c>
      <c r="E204" s="17">
        <f t="shared" si="24"/>
        <v>25940.845978086283</v>
      </c>
      <c r="F204" s="17">
        <f t="shared" si="24"/>
        <v>24079.648889827298</v>
      </c>
      <c r="G204" s="17">
        <f t="shared" si="24"/>
        <v>22219.215647121946</v>
      </c>
      <c r="H204" s="17">
        <f t="shared" si="24"/>
        <v>20759.289492871874</v>
      </c>
      <c r="I204" s="17">
        <f t="shared" si="24"/>
        <v>19304.821951659585</v>
      </c>
      <c r="J204" s="17">
        <f t="shared" si="24"/>
        <v>17820.859322922952</v>
      </c>
      <c r="K204" s="17">
        <f t="shared" si="24"/>
        <v>16370.235046528531</v>
      </c>
      <c r="L204" s="17">
        <f t="shared" si="24"/>
        <v>14920.335008763412</v>
      </c>
      <c r="M204" s="17">
        <f t="shared" si="24"/>
        <v>13736.018874279056</v>
      </c>
      <c r="N204" s="17">
        <f t="shared" si="24"/>
        <v>12547.384308434835</v>
      </c>
      <c r="O204" s="17">
        <f t="shared" si="24"/>
        <v>11347.19851974859</v>
      </c>
      <c r="P204" s="17">
        <f t="shared" si="24"/>
        <v>10150.185025548153</v>
      </c>
      <c r="Q204" s="17">
        <f t="shared" si="24"/>
        <v>8949.0609136730654</v>
      </c>
      <c r="R204" s="17">
        <f t="shared" si="24"/>
        <v>8315.6334300868075</v>
      </c>
      <c r="S204" s="17">
        <f t="shared" si="24"/>
        <v>7681.8932416741409</v>
      </c>
      <c r="T204" s="17">
        <f t="shared" si="24"/>
        <v>7041.553329619619</v>
      </c>
      <c r="U204" s="17">
        <f t="shared" si="24"/>
        <v>6407.3603041788419</v>
      </c>
      <c r="V204" s="17">
        <f t="shared" si="24"/>
        <v>5773.2643712427016</v>
      </c>
      <c r="W204" s="17">
        <f t="shared" si="24"/>
        <v>5548.7613429799158</v>
      </c>
      <c r="X204" s="17">
        <f t="shared" si="24"/>
        <v>5280.032524181619</v>
      </c>
      <c r="Y204" s="17">
        <f t="shared" si="24"/>
        <v>5010.5227475164411</v>
      </c>
      <c r="Z204" s="17">
        <f t="shared" si="24"/>
        <v>5499.3102818559782</v>
      </c>
    </row>
    <row r="205" spans="1:53" outlineLevel="1" x14ac:dyDescent="0.35"/>
    <row r="206" spans="1:53" s="18" customFormat="1" ht="21" x14ac:dyDescent="0.5">
      <c r="A206" s="18" t="s">
        <v>94</v>
      </c>
    </row>
    <row r="207" spans="1:53" s="20" customFormat="1" outlineLevel="1" x14ac:dyDescent="0.35">
      <c r="A207" s="19" t="s">
        <v>766</v>
      </c>
    </row>
    <row r="208" spans="1:53" s="16" customFormat="1" outlineLevel="1" x14ac:dyDescent="0.35">
      <c r="A208" s="21"/>
      <c r="AB208" s="16" t="s">
        <v>47</v>
      </c>
      <c r="AC208" s="16">
        <v>1</v>
      </c>
      <c r="AD208" s="16" t="s">
        <v>146</v>
      </c>
      <c r="AE208" s="15"/>
    </row>
    <row r="209" spans="1:53" s="16" customFormat="1" outlineLevel="1" x14ac:dyDescent="0.35">
      <c r="A209" s="22" t="s">
        <v>566</v>
      </c>
      <c r="AC209" s="16">
        <f>AC208*1000</f>
        <v>1000</v>
      </c>
      <c r="AD209" s="16" t="s">
        <v>144</v>
      </c>
    </row>
    <row r="210" spans="1:53" s="16" customFormat="1" outlineLevel="1" x14ac:dyDescent="0.35">
      <c r="A210" s="22"/>
      <c r="AB210" s="16" t="s">
        <v>127</v>
      </c>
      <c r="AC210" s="16">
        <v>100</v>
      </c>
      <c r="AD210" s="16" t="s">
        <v>128</v>
      </c>
    </row>
    <row r="211" spans="1:53" s="16" customFormat="1" outlineLevel="1" x14ac:dyDescent="0.35">
      <c r="A211" s="230" t="s">
        <v>768</v>
      </c>
      <c r="AB211" s="16" t="s">
        <v>20</v>
      </c>
      <c r="AC211" s="16">
        <v>0.23</v>
      </c>
      <c r="AD211" s="16" t="s">
        <v>715</v>
      </c>
    </row>
    <row r="212" spans="1:53" s="16" customFormat="1" outlineLevel="1" x14ac:dyDescent="0.35">
      <c r="A212" s="22"/>
      <c r="AB212" s="16" t="s">
        <v>129</v>
      </c>
      <c r="AC212" s="16">
        <v>25</v>
      </c>
      <c r="AD212" s="16" t="s">
        <v>130</v>
      </c>
    </row>
    <row r="213" spans="1:53" outlineLevel="1" x14ac:dyDescent="0.35">
      <c r="B213" s="25">
        <v>2030</v>
      </c>
      <c r="C213" s="25">
        <v>2031</v>
      </c>
      <c r="D213" s="25">
        <v>2032</v>
      </c>
      <c r="E213" s="25">
        <v>2033</v>
      </c>
      <c r="F213" s="25">
        <v>2034</v>
      </c>
      <c r="G213" s="25">
        <v>2035</v>
      </c>
      <c r="H213" s="25">
        <v>2036</v>
      </c>
      <c r="I213" s="25">
        <v>2037</v>
      </c>
      <c r="J213" s="25">
        <v>2038</v>
      </c>
      <c r="K213" s="25">
        <v>2039</v>
      </c>
      <c r="L213" s="25">
        <v>2040</v>
      </c>
      <c r="M213" s="25">
        <v>2041</v>
      </c>
      <c r="N213" s="25">
        <v>2042</v>
      </c>
      <c r="O213" s="25">
        <v>2043</v>
      </c>
      <c r="P213" s="25">
        <v>2044</v>
      </c>
      <c r="Q213" s="25">
        <v>2045</v>
      </c>
      <c r="R213" s="25">
        <v>2046</v>
      </c>
      <c r="S213" s="25">
        <v>2047</v>
      </c>
      <c r="T213" s="25">
        <v>2048</v>
      </c>
      <c r="U213" s="25">
        <v>2049</v>
      </c>
      <c r="V213" s="25">
        <v>2050</v>
      </c>
      <c r="W213" s="25">
        <v>2051</v>
      </c>
      <c r="X213" s="25">
        <v>2052</v>
      </c>
      <c r="Y213" s="25">
        <v>2053</v>
      </c>
      <c r="Z213" s="25">
        <v>2054</v>
      </c>
      <c r="AC213" s="25">
        <v>2030</v>
      </c>
      <c r="AD213" s="25">
        <v>2031</v>
      </c>
      <c r="AE213" s="25">
        <v>2032</v>
      </c>
      <c r="AF213" s="25">
        <v>2033</v>
      </c>
      <c r="AG213" s="25">
        <v>2034</v>
      </c>
      <c r="AH213" s="25">
        <v>2035</v>
      </c>
      <c r="AI213" s="25">
        <v>2036</v>
      </c>
      <c r="AJ213" s="25">
        <v>2037</v>
      </c>
      <c r="AK213" s="25">
        <v>2038</v>
      </c>
      <c r="AL213" s="25">
        <v>2039</v>
      </c>
      <c r="AM213" s="25">
        <v>2040</v>
      </c>
      <c r="AN213" s="25">
        <v>2041</v>
      </c>
      <c r="AO213" s="25">
        <v>2042</v>
      </c>
      <c r="AP213" s="25">
        <v>2043</v>
      </c>
      <c r="AQ213" s="25">
        <v>2044</v>
      </c>
      <c r="AR213" s="25">
        <v>2045</v>
      </c>
      <c r="AS213" s="25">
        <v>2046</v>
      </c>
      <c r="AT213" s="25">
        <v>2047</v>
      </c>
      <c r="AU213" s="25">
        <v>2048</v>
      </c>
      <c r="AV213" s="25">
        <v>2049</v>
      </c>
      <c r="AW213" s="25">
        <v>2050</v>
      </c>
      <c r="AX213" s="25">
        <v>2051</v>
      </c>
      <c r="AY213" s="25">
        <v>2052</v>
      </c>
      <c r="AZ213" s="25">
        <v>2053</v>
      </c>
      <c r="BA213" s="25">
        <v>2054</v>
      </c>
    </row>
    <row r="214" spans="1:53" outlineLevel="1" x14ac:dyDescent="0.35">
      <c r="A214" s="6" t="s">
        <v>21</v>
      </c>
      <c r="B214" s="6">
        <f>'Results - raw data ReCiPe (I)'!CC77</f>
        <v>622.04666586627502</v>
      </c>
      <c r="AB214" s="6" t="s">
        <v>117</v>
      </c>
      <c r="AC214" s="6">
        <f>SUM(B214:B225)+B227</f>
        <v>42087.257169202174</v>
      </c>
    </row>
    <row r="215" spans="1:53" outlineLevel="1" x14ac:dyDescent="0.35">
      <c r="A215" s="6" t="s">
        <v>23</v>
      </c>
      <c r="B215" s="6">
        <f>'Results - raw data ReCiPe (I)'!CC78</f>
        <v>809.09786536614229</v>
      </c>
      <c r="AB215" s="6" t="s">
        <v>118</v>
      </c>
      <c r="AC215" s="6">
        <f>B226</f>
        <v>2363.2132293652407</v>
      </c>
    </row>
    <row r="216" spans="1:53" outlineLevel="1" x14ac:dyDescent="0.35">
      <c r="A216" s="6" t="s">
        <v>26</v>
      </c>
      <c r="B216" s="6">
        <f>'Results - raw data ReCiPe (I)'!CC79</f>
        <v>2739.0245613341399</v>
      </c>
      <c r="AB216" s="6" t="s">
        <v>119</v>
      </c>
      <c r="BA216" s="6">
        <f>SUM(Z228:Z239)</f>
        <v>661.35458655062052</v>
      </c>
    </row>
    <row r="217" spans="1:53" outlineLevel="1" x14ac:dyDescent="0.35">
      <c r="A217" s="6" t="s">
        <v>28</v>
      </c>
      <c r="B217" s="6">
        <f>'Results - raw data ReCiPe (I)'!CC80</f>
        <v>2408.0928807750579</v>
      </c>
      <c r="AB217" s="6" t="s">
        <v>120</v>
      </c>
      <c r="BA217" s="6">
        <f>Z240</f>
        <v>20.943027296122771</v>
      </c>
    </row>
    <row r="218" spans="1:53" outlineLevel="1" x14ac:dyDescent="0.35">
      <c r="A218" s="6" t="s">
        <v>29</v>
      </c>
      <c r="B218" s="6">
        <f>'Results - raw data ReCiPe (I)'!CC81</f>
        <v>1310.346894422896</v>
      </c>
      <c r="AB218" s="6" t="s">
        <v>121</v>
      </c>
      <c r="AC218" s="6">
        <f>B241</f>
        <v>1147.562206560159</v>
      </c>
      <c r="AF218" s="6">
        <f>E241</f>
        <v>1074.05698885017</v>
      </c>
      <c r="AI218" s="6">
        <f>H241</f>
        <v>1022.1502722838831</v>
      </c>
      <c r="AL218" s="6">
        <f>K241</f>
        <v>1005.159492641253</v>
      </c>
      <c r="AO218" s="6">
        <f>N241</f>
        <v>997.28372106165648</v>
      </c>
      <c r="AR218" s="6">
        <f>Q241</f>
        <v>991.48221426531472</v>
      </c>
      <c r="AU218" s="6">
        <f>T241</f>
        <v>983.20946828966578</v>
      </c>
      <c r="AX218" s="6">
        <f>W241</f>
        <v>977.06180922356634</v>
      </c>
      <c r="BA218" s="6">
        <f>Z241</f>
        <v>972.2449306465038</v>
      </c>
    </row>
    <row r="219" spans="1:53" outlineLevel="1" x14ac:dyDescent="0.35">
      <c r="A219" s="6" t="s">
        <v>31</v>
      </c>
      <c r="B219" s="6">
        <f>'Results - raw data ReCiPe (I)'!CC82</f>
        <v>1052.6891503673089</v>
      </c>
      <c r="AB219" s="6" t="s">
        <v>122</v>
      </c>
      <c r="AC219" s="6">
        <f>B244+B243</f>
        <v>12600.313573621774</v>
      </c>
      <c r="AD219" s="6">
        <f t="shared" ref="AD219:BA219" si="25">C244+C243</f>
        <v>10625.014116033764</v>
      </c>
      <c r="AE219" s="6">
        <f t="shared" si="25"/>
        <v>8646.6132713818733</v>
      </c>
      <c r="AF219" s="6">
        <f t="shared" si="25"/>
        <v>6627.806190941471</v>
      </c>
      <c r="AG219" s="6">
        <f t="shared" si="25"/>
        <v>4640.158831214505</v>
      </c>
      <c r="AH219" s="6">
        <f t="shared" si="25"/>
        <v>2648.4047687525217</v>
      </c>
      <c r="AI219" s="6">
        <f t="shared" si="25"/>
        <v>2352.8911620223316</v>
      </c>
      <c r="AJ219" s="6">
        <f t="shared" si="25"/>
        <v>2054.8622629858401</v>
      </c>
      <c r="AK219" s="6">
        <f t="shared" si="25"/>
        <v>1722.7615247725807</v>
      </c>
      <c r="AL219" s="6">
        <f t="shared" si="25"/>
        <v>1418.7366115840668</v>
      </c>
      <c r="AM219" s="6">
        <f t="shared" si="25"/>
        <v>1112.2132697731754</v>
      </c>
      <c r="AN219" s="6">
        <f t="shared" si="25"/>
        <v>1067.5961811414722</v>
      </c>
      <c r="AO219" s="6">
        <f t="shared" si="25"/>
        <v>1023.1579802935194</v>
      </c>
      <c r="AP219" s="6">
        <f t="shared" si="25"/>
        <v>972.67364629483563</v>
      </c>
      <c r="AQ219" s="6">
        <f t="shared" si="25"/>
        <v>928.5199710803555</v>
      </c>
      <c r="AR219" s="6">
        <f t="shared" si="25"/>
        <v>884.35797009937198</v>
      </c>
      <c r="AS219" s="6">
        <f t="shared" si="25"/>
        <v>381.04919703273379</v>
      </c>
      <c r="AT219" s="6">
        <f t="shared" si="25"/>
        <v>-118.48886810507291</v>
      </c>
      <c r="AU219" s="6">
        <f t="shared" si="25"/>
        <v>-618.74716408245513</v>
      </c>
      <c r="AV219" s="6">
        <f t="shared" si="25"/>
        <v>-1110.5462228630645</v>
      </c>
      <c r="AW219" s="6">
        <f t="shared" si="25"/>
        <v>-1597.5906336574985</v>
      </c>
      <c r="AX219" s="6">
        <f t="shared" si="25"/>
        <v>-1982.6229572562256</v>
      </c>
      <c r="AY219" s="6">
        <f t="shared" si="25"/>
        <v>-2392.31411866502</v>
      </c>
      <c r="AZ219" s="6">
        <f t="shared" si="25"/>
        <v>-2803.1112163353891</v>
      </c>
      <c r="BA219" s="6">
        <f t="shared" si="25"/>
        <v>-3215.0330015603463</v>
      </c>
    </row>
    <row r="220" spans="1:53" outlineLevel="1" x14ac:dyDescent="0.35">
      <c r="A220" s="6" t="s">
        <v>34</v>
      </c>
      <c r="B220" s="6">
        <f>'Results - raw data ReCiPe (I)'!CC83</f>
        <v>623.89139287870285</v>
      </c>
      <c r="AB220" s="6" t="s">
        <v>123</v>
      </c>
      <c r="AC220" s="6">
        <f>B242</f>
        <v>1324.993105402586</v>
      </c>
      <c r="AD220" s="6">
        <f t="shared" ref="AD220:BA220" si="26">C242</f>
        <v>1124.6592286793289</v>
      </c>
      <c r="AE220" s="6">
        <f t="shared" si="26"/>
        <v>925.32419922424913</v>
      </c>
      <c r="AF220" s="6">
        <f t="shared" si="26"/>
        <v>723.38991438420589</v>
      </c>
      <c r="AG220" s="6">
        <f t="shared" si="26"/>
        <v>525.78184053756183</v>
      </c>
      <c r="AH220" s="6">
        <f t="shared" si="26"/>
        <v>329.05630824955551</v>
      </c>
      <c r="AI220" s="6">
        <f t="shared" si="26"/>
        <v>300.02227837139071</v>
      </c>
      <c r="AJ220" s="6">
        <f t="shared" si="26"/>
        <v>270.85305737830294</v>
      </c>
      <c r="AK220" s="6">
        <f t="shared" si="26"/>
        <v>238.49241055585631</v>
      </c>
      <c r="AL220" s="6">
        <f t="shared" si="26"/>
        <v>208.97102057087639</v>
      </c>
      <c r="AM220" s="6">
        <f t="shared" si="26"/>
        <v>179.31619921447572</v>
      </c>
      <c r="AN220" s="6">
        <f t="shared" si="26"/>
        <v>174.74546078951869</v>
      </c>
      <c r="AO220" s="6">
        <f t="shared" si="26"/>
        <v>170.1833141315044</v>
      </c>
      <c r="AP220" s="6">
        <f t="shared" si="26"/>
        <v>165.03314483909071</v>
      </c>
      <c r="AQ220" s="6">
        <f t="shared" si="26"/>
        <v>160.49156426611091</v>
      </c>
      <c r="AR220" s="6">
        <f t="shared" si="26"/>
        <v>155.9445728050664</v>
      </c>
      <c r="AS220" s="6">
        <f t="shared" si="26"/>
        <v>105.80468796266101</v>
      </c>
      <c r="AT220" s="6">
        <f t="shared" si="26"/>
        <v>55.583752553111765</v>
      </c>
      <c r="AU220" s="6">
        <f t="shared" si="26"/>
        <v>4.8511905974471752</v>
      </c>
      <c r="AV220" s="6">
        <f t="shared" si="26"/>
        <v>-45.498866994982166</v>
      </c>
      <c r="AW220" s="6">
        <f t="shared" si="26"/>
        <v>-95.858698461078703</v>
      </c>
      <c r="AX220" s="6">
        <f t="shared" si="26"/>
        <v>-133.54200193557298</v>
      </c>
      <c r="AY220" s="6">
        <f t="shared" si="26"/>
        <v>-173.575212324517</v>
      </c>
      <c r="AZ220" s="6">
        <f t="shared" si="26"/>
        <v>-213.59915552673741</v>
      </c>
      <c r="BA220" s="6">
        <f t="shared" si="26"/>
        <v>-253.6156822613541</v>
      </c>
    </row>
    <row r="221" spans="1:53" outlineLevel="1" x14ac:dyDescent="0.35">
      <c r="A221" s="6" t="s">
        <v>36</v>
      </c>
      <c r="B221" s="6">
        <f>'Results - raw data ReCiPe (I)'!CC84</f>
        <v>496.13377585473251</v>
      </c>
      <c r="AB221" s="6" t="s">
        <v>124</v>
      </c>
      <c r="AC221" s="6">
        <f>-$AC$7*$AC$6</f>
        <v>-100000</v>
      </c>
      <c r="AD221" s="6">
        <f t="shared" ref="AD221:BA221" si="27">-$AC$7*$AC$6</f>
        <v>-100000</v>
      </c>
      <c r="AE221" s="6">
        <f t="shared" si="27"/>
        <v>-100000</v>
      </c>
      <c r="AF221" s="6">
        <f t="shared" si="27"/>
        <v>-100000</v>
      </c>
      <c r="AG221" s="6">
        <f t="shared" si="27"/>
        <v>-100000</v>
      </c>
      <c r="AH221" s="6">
        <f t="shared" si="27"/>
        <v>-100000</v>
      </c>
      <c r="AI221" s="6">
        <f t="shared" si="27"/>
        <v>-100000</v>
      </c>
      <c r="AJ221" s="6">
        <f t="shared" si="27"/>
        <v>-100000</v>
      </c>
      <c r="AK221" s="6">
        <f t="shared" si="27"/>
        <v>-100000</v>
      </c>
      <c r="AL221" s="6">
        <f t="shared" si="27"/>
        <v>-100000</v>
      </c>
      <c r="AM221" s="6">
        <f t="shared" si="27"/>
        <v>-100000</v>
      </c>
      <c r="AN221" s="6">
        <f t="shared" si="27"/>
        <v>-100000</v>
      </c>
      <c r="AO221" s="6">
        <f t="shared" si="27"/>
        <v>-100000</v>
      </c>
      <c r="AP221" s="6">
        <f t="shared" si="27"/>
        <v>-100000</v>
      </c>
      <c r="AQ221" s="6">
        <f t="shared" si="27"/>
        <v>-100000</v>
      </c>
      <c r="AR221" s="6">
        <f t="shared" si="27"/>
        <v>-100000</v>
      </c>
      <c r="AS221" s="6">
        <f t="shared" si="27"/>
        <v>-100000</v>
      </c>
      <c r="AT221" s="6">
        <f t="shared" si="27"/>
        <v>-100000</v>
      </c>
      <c r="AU221" s="6">
        <f t="shared" si="27"/>
        <v>-100000</v>
      </c>
      <c r="AV221" s="6">
        <f t="shared" si="27"/>
        <v>-100000</v>
      </c>
      <c r="AW221" s="6">
        <f t="shared" si="27"/>
        <v>-100000</v>
      </c>
      <c r="AX221" s="6">
        <f t="shared" si="27"/>
        <v>-100000</v>
      </c>
      <c r="AY221" s="6">
        <f t="shared" si="27"/>
        <v>-100000</v>
      </c>
      <c r="AZ221" s="6">
        <f t="shared" si="27"/>
        <v>-100000</v>
      </c>
      <c r="BA221" s="6">
        <f t="shared" si="27"/>
        <v>-100000</v>
      </c>
    </row>
    <row r="222" spans="1:53" outlineLevel="1" x14ac:dyDescent="0.35">
      <c r="A222" s="6" t="s">
        <v>38</v>
      </c>
      <c r="B222" s="6">
        <f>'Results - raw data ReCiPe (I)'!CC85</f>
        <v>5516.3930537099995</v>
      </c>
      <c r="AB222" s="23" t="s">
        <v>125</v>
      </c>
      <c r="AC222" s="17">
        <f>SUM(AC214:AC221)</f>
        <v>-40476.660715848069</v>
      </c>
      <c r="AD222" s="17">
        <f t="shared" ref="AD222:BA222" si="28">SUM(AD214:AD221)</f>
        <v>-88250.326655286903</v>
      </c>
      <c r="AE222" s="17">
        <f t="shared" si="28"/>
        <v>-90428.062529393879</v>
      </c>
      <c r="AF222" s="17">
        <f t="shared" si="28"/>
        <v>-91574.746905824155</v>
      </c>
      <c r="AG222" s="17">
        <f t="shared" si="28"/>
        <v>-94834.059328247939</v>
      </c>
      <c r="AH222" s="17">
        <f t="shared" si="28"/>
        <v>-97022.538922997919</v>
      </c>
      <c r="AI222" s="17">
        <f t="shared" si="28"/>
        <v>-96324.936287322402</v>
      </c>
      <c r="AJ222" s="17">
        <f t="shared" si="28"/>
        <v>-97674.284679635864</v>
      </c>
      <c r="AK222" s="17">
        <f t="shared" si="28"/>
        <v>-98038.746064671563</v>
      </c>
      <c r="AL222" s="17">
        <f t="shared" si="28"/>
        <v>-97367.13287520381</v>
      </c>
      <c r="AM222" s="17">
        <f t="shared" si="28"/>
        <v>-98708.470531012354</v>
      </c>
      <c r="AN222" s="17">
        <f t="shared" si="28"/>
        <v>-98757.658358069006</v>
      </c>
      <c r="AO222" s="17">
        <f t="shared" si="28"/>
        <v>-97809.374984513313</v>
      </c>
      <c r="AP222" s="17">
        <f t="shared" si="28"/>
        <v>-98862.293208866075</v>
      </c>
      <c r="AQ222" s="17">
        <f t="shared" si="28"/>
        <v>-98910.988464653536</v>
      </c>
      <c r="AR222" s="17">
        <f t="shared" si="28"/>
        <v>-97968.215242830251</v>
      </c>
      <c r="AS222" s="17">
        <f t="shared" si="28"/>
        <v>-99513.146115004609</v>
      </c>
      <c r="AT222" s="17">
        <f t="shared" si="28"/>
        <v>-100062.90511555196</v>
      </c>
      <c r="AU222" s="17">
        <f t="shared" si="28"/>
        <v>-99630.686505195335</v>
      </c>
      <c r="AV222" s="17">
        <f t="shared" si="28"/>
        <v>-101156.04508985805</v>
      </c>
      <c r="AW222" s="17">
        <f t="shared" si="28"/>
        <v>-101693.44933211857</v>
      </c>
      <c r="AX222" s="17">
        <f t="shared" si="28"/>
        <v>-101139.10314996823</v>
      </c>
      <c r="AY222" s="17">
        <f t="shared" si="28"/>
        <v>-102565.88933098954</v>
      </c>
      <c r="AZ222" s="17">
        <f t="shared" si="28"/>
        <v>-103016.71037186212</v>
      </c>
      <c r="BA222" s="17">
        <f t="shared" si="28"/>
        <v>-101814.10613932845</v>
      </c>
    </row>
    <row r="223" spans="1:53" outlineLevel="1" x14ac:dyDescent="0.35">
      <c r="A223" s="6" t="s">
        <v>39</v>
      </c>
      <c r="B223" s="6">
        <f>'Results - raw data ReCiPe (I)'!CC86</f>
        <v>6649.8572656671213</v>
      </c>
    </row>
    <row r="224" spans="1:53" outlineLevel="1" x14ac:dyDescent="0.35">
      <c r="A224" s="6" t="s">
        <v>41</v>
      </c>
      <c r="B224" s="6">
        <f>'Results - raw data ReCiPe (I)'!CC87</f>
        <v>233.70847524466791</v>
      </c>
    </row>
    <row r="225" spans="1:53" outlineLevel="1" x14ac:dyDescent="0.35">
      <c r="A225" s="6" t="s">
        <v>43</v>
      </c>
      <c r="B225" s="6">
        <f>'Results - raw data ReCiPe (I)'!CC88</f>
        <v>570.12191504656437</v>
      </c>
      <c r="AB225" s="219"/>
      <c r="AC225" s="219"/>
      <c r="AD225" s="219"/>
      <c r="AE225" s="219"/>
      <c r="AF225" s="219"/>
      <c r="AG225" s="219"/>
      <c r="AH225" s="219"/>
      <c r="AI225" s="219"/>
      <c r="AJ225" s="219"/>
      <c r="AK225" s="219"/>
      <c r="AL225" s="219"/>
      <c r="AM225" s="219"/>
      <c r="AN225" s="219"/>
      <c r="AO225" s="219"/>
      <c r="AP225" s="219"/>
      <c r="AQ225" s="219"/>
      <c r="AR225" s="219"/>
      <c r="AS225" s="219"/>
      <c r="AT225" s="219"/>
      <c r="AU225" s="219"/>
      <c r="AV225" s="219"/>
      <c r="AW225" s="219"/>
      <c r="AX225" s="219"/>
      <c r="AY225" s="219"/>
      <c r="AZ225" s="219"/>
      <c r="BA225" s="219"/>
    </row>
    <row r="226" spans="1:53" outlineLevel="1" x14ac:dyDescent="0.35">
      <c r="A226" s="6" t="s">
        <v>44</v>
      </c>
      <c r="B226" s="6">
        <f>'Results - raw data ReCiPe (I)'!CC89*AC210*AC212</f>
        <v>2363.2132293652407</v>
      </c>
      <c r="AB226" s="219"/>
      <c r="AC226" s="219"/>
      <c r="AD226" s="219"/>
      <c r="AE226" s="219"/>
      <c r="AF226" s="219"/>
      <c r="AG226" s="219"/>
      <c r="AH226" s="219"/>
      <c r="AI226" s="219"/>
      <c r="AJ226" s="219"/>
      <c r="AK226" s="219"/>
      <c r="AL226" s="219"/>
      <c r="AM226" s="219"/>
      <c r="AN226" s="219"/>
      <c r="AO226" s="219"/>
      <c r="AP226" s="219"/>
      <c r="AQ226" s="219"/>
      <c r="AR226" s="219"/>
      <c r="AS226" s="219"/>
      <c r="AT226" s="219"/>
      <c r="AU226" s="219"/>
      <c r="AV226" s="219"/>
      <c r="AW226" s="219"/>
      <c r="AX226" s="219"/>
      <c r="AY226" s="219"/>
      <c r="AZ226" s="219"/>
      <c r="BA226" s="219"/>
    </row>
    <row r="227" spans="1:53" outlineLevel="1" x14ac:dyDescent="0.35">
      <c r="A227" s="6" t="s">
        <v>757</v>
      </c>
      <c r="B227" s="6">
        <f>'Results - raw data ReCiPe (I)'!CC90*AC210*AC212</f>
        <v>19055.853272668563</v>
      </c>
      <c r="AB227" s="219"/>
      <c r="AC227" s="219"/>
      <c r="AD227" s="219"/>
      <c r="AE227" s="219"/>
      <c r="AF227" s="219"/>
      <c r="AG227" s="219"/>
      <c r="AH227" s="219"/>
      <c r="AI227" s="219"/>
      <c r="AJ227" s="219"/>
      <c r="AK227" s="219"/>
      <c r="AL227" s="219"/>
      <c r="AM227" s="219"/>
      <c r="AN227" s="219"/>
      <c r="AO227" s="219"/>
      <c r="AP227" s="219"/>
      <c r="AQ227" s="219"/>
      <c r="AR227" s="219"/>
      <c r="AS227" s="219"/>
      <c r="AT227" s="219"/>
      <c r="AU227" s="219"/>
      <c r="AV227" s="219"/>
      <c r="AW227" s="219"/>
      <c r="AX227" s="219"/>
      <c r="AY227" s="219"/>
      <c r="AZ227" s="219"/>
      <c r="BA227" s="219"/>
    </row>
    <row r="228" spans="1:53" outlineLevel="1" x14ac:dyDescent="0.35">
      <c r="A228" s="6" t="s">
        <v>22</v>
      </c>
      <c r="Z228" s="6">
        <f>'Results - raw data ReCiPe (I)'!DA91</f>
        <v>17.821220357395891</v>
      </c>
      <c r="AB228" s="219"/>
      <c r="AC228" s="219"/>
      <c r="AD228" s="219"/>
      <c r="AE228" s="219"/>
      <c r="AF228" s="219"/>
      <c r="AG228" s="219"/>
      <c r="AH228" s="219"/>
      <c r="AI228" s="219"/>
      <c r="AJ228" s="219"/>
      <c r="AK228" s="219"/>
      <c r="AL228" s="219"/>
      <c r="AM228" s="219"/>
      <c r="AN228" s="219"/>
      <c r="AO228" s="219"/>
      <c r="AP228" s="219"/>
      <c r="AQ228" s="219"/>
      <c r="AR228" s="219"/>
      <c r="AS228" s="219"/>
      <c r="AT228" s="219"/>
      <c r="AU228" s="219"/>
      <c r="AV228" s="219"/>
      <c r="AW228" s="219"/>
      <c r="AX228" s="219"/>
      <c r="AY228" s="219"/>
      <c r="AZ228" s="219"/>
      <c r="BA228" s="219"/>
    </row>
    <row r="229" spans="1:53" outlineLevel="1" x14ac:dyDescent="0.35">
      <c r="A229" s="6" t="s">
        <v>24</v>
      </c>
      <c r="Z229" s="6">
        <f>'Results - raw data ReCiPe (I)'!DA92</f>
        <v>6.4634265630162107</v>
      </c>
      <c r="AB229" s="219"/>
      <c r="AC229" s="219"/>
      <c r="AD229" s="219"/>
      <c r="AE229" s="219"/>
      <c r="AF229" s="219"/>
      <c r="AG229" s="219"/>
      <c r="AH229" s="219"/>
      <c r="AI229" s="219"/>
      <c r="AJ229" s="219"/>
      <c r="AK229" s="219"/>
      <c r="AL229" s="219"/>
      <c r="AM229" s="219"/>
      <c r="AN229" s="219"/>
      <c r="AO229" s="219"/>
      <c r="AP229" s="219"/>
      <c r="AQ229" s="219"/>
      <c r="AR229" s="219"/>
      <c r="AS229" s="219"/>
      <c r="AT229" s="219"/>
      <c r="AU229" s="219"/>
      <c r="AV229" s="219"/>
      <c r="AW229" s="219"/>
      <c r="AX229" s="219"/>
      <c r="AY229" s="219"/>
      <c r="AZ229" s="219"/>
      <c r="BA229" s="219"/>
    </row>
    <row r="230" spans="1:53" outlineLevel="1" x14ac:dyDescent="0.35">
      <c r="A230" s="6" t="s">
        <v>25</v>
      </c>
      <c r="Z230" s="6">
        <f>'Results - raw data ReCiPe (I)'!DA93</f>
        <v>20.280198113628099</v>
      </c>
      <c r="AB230" s="219"/>
      <c r="AC230" s="219"/>
      <c r="AD230" s="219"/>
      <c r="AE230" s="219"/>
      <c r="AF230" s="219"/>
      <c r="AG230" s="219"/>
      <c r="AH230" s="219"/>
      <c r="AI230" s="219"/>
      <c r="AJ230" s="219"/>
      <c r="AK230" s="219"/>
      <c r="AL230" s="219"/>
      <c r="AM230" s="219"/>
      <c r="AN230" s="219"/>
      <c r="AO230" s="219"/>
      <c r="AP230" s="219"/>
      <c r="AQ230" s="219"/>
      <c r="AR230" s="219"/>
      <c r="AS230" s="219"/>
      <c r="AT230" s="219"/>
      <c r="AU230" s="219"/>
      <c r="AV230" s="219"/>
      <c r="AW230" s="219"/>
      <c r="AX230" s="219"/>
      <c r="AY230" s="219"/>
      <c r="AZ230" s="219"/>
      <c r="BA230" s="219"/>
    </row>
    <row r="231" spans="1:53" outlineLevel="1" x14ac:dyDescent="0.35">
      <c r="A231" s="6" t="s">
        <v>27</v>
      </c>
      <c r="Z231" s="6">
        <f>'Results - raw data ReCiPe (I)'!DA94</f>
        <v>6.3916111349605176</v>
      </c>
      <c r="AB231" s="219"/>
      <c r="AC231" s="219"/>
      <c r="AD231" s="219"/>
      <c r="AE231" s="219"/>
      <c r="AF231" s="219"/>
      <c r="AG231" s="219"/>
      <c r="AH231" s="219"/>
      <c r="AI231" s="219"/>
      <c r="AJ231" s="219"/>
      <c r="AK231" s="219"/>
      <c r="AL231" s="219"/>
      <c r="AM231" s="219"/>
      <c r="AN231" s="219"/>
      <c r="AO231" s="219"/>
      <c r="AP231" s="219"/>
      <c r="AQ231" s="219"/>
      <c r="AR231" s="219"/>
      <c r="AS231" s="219"/>
      <c r="AT231" s="219"/>
      <c r="AU231" s="219"/>
      <c r="AV231" s="219"/>
      <c r="AW231" s="219"/>
      <c r="AX231" s="219"/>
      <c r="AY231" s="219"/>
      <c r="AZ231" s="219"/>
      <c r="BA231" s="219"/>
    </row>
    <row r="232" spans="1:53" outlineLevel="1" x14ac:dyDescent="0.35">
      <c r="A232" s="6" t="s">
        <v>30</v>
      </c>
      <c r="Z232" s="6">
        <f>'Results - raw data ReCiPe (I)'!DA95</f>
        <v>23.216223495032828</v>
      </c>
      <c r="AB232" s="219"/>
      <c r="AC232" s="219"/>
      <c r="AD232" s="219"/>
      <c r="AE232" s="219"/>
      <c r="AF232" s="219"/>
      <c r="AG232" s="219"/>
      <c r="AH232" s="219"/>
      <c r="AI232" s="219"/>
      <c r="AJ232" s="219"/>
      <c r="AK232" s="219"/>
      <c r="AL232" s="219"/>
      <c r="AM232" s="219"/>
      <c r="AN232" s="219"/>
      <c r="AO232" s="219"/>
      <c r="AP232" s="219"/>
      <c r="AQ232" s="219"/>
      <c r="AR232" s="219"/>
      <c r="AS232" s="219"/>
      <c r="AT232" s="219"/>
      <c r="AU232" s="219"/>
      <c r="AV232" s="219"/>
      <c r="AW232" s="219"/>
      <c r="AX232" s="219"/>
      <c r="AY232" s="219"/>
      <c r="AZ232" s="219"/>
      <c r="BA232" s="219"/>
    </row>
    <row r="233" spans="1:53" outlineLevel="1" x14ac:dyDescent="0.35">
      <c r="A233" s="6" t="s">
        <v>32</v>
      </c>
      <c r="Z233" s="6">
        <f>'Results - raw data ReCiPe (I)'!DA96</f>
        <v>0.70673634699717713</v>
      </c>
      <c r="AB233" s="219"/>
      <c r="AC233" s="219"/>
      <c r="AD233" s="219"/>
      <c r="AE233" s="219"/>
      <c r="AF233" s="219"/>
      <c r="AG233" s="219"/>
      <c r="AH233" s="219"/>
      <c r="AI233" s="219"/>
      <c r="AJ233" s="219"/>
      <c r="AK233" s="219"/>
      <c r="AL233" s="219"/>
      <c r="AM233" s="219"/>
      <c r="AN233" s="219"/>
      <c r="AO233" s="219"/>
      <c r="AP233" s="219"/>
      <c r="AQ233" s="219"/>
      <c r="AR233" s="219"/>
      <c r="AS233" s="219"/>
      <c r="AT233" s="219"/>
      <c r="AU233" s="219"/>
      <c r="AV233" s="219"/>
      <c r="AW233" s="219"/>
      <c r="AX233" s="219"/>
      <c r="AY233" s="219"/>
      <c r="AZ233" s="219"/>
      <c r="BA233" s="219"/>
    </row>
    <row r="234" spans="1:53" outlineLevel="1" x14ac:dyDescent="0.35">
      <c r="A234" s="6" t="s">
        <v>33</v>
      </c>
      <c r="Z234" s="6">
        <f>'Results - raw data ReCiPe (I)'!DA97</f>
        <v>5.5037648036935831</v>
      </c>
      <c r="AB234" s="219"/>
      <c r="AC234" s="219"/>
      <c r="AD234" s="219"/>
      <c r="AE234" s="219"/>
      <c r="AF234" s="219"/>
      <c r="AG234" s="219"/>
      <c r="AH234" s="219"/>
      <c r="AI234" s="219"/>
      <c r="AJ234" s="219"/>
      <c r="AK234" s="219"/>
      <c r="AL234" s="219"/>
      <c r="AM234" s="219"/>
      <c r="AN234" s="219"/>
      <c r="AO234" s="219"/>
      <c r="AP234" s="219"/>
      <c r="AQ234" s="219"/>
      <c r="AR234" s="219"/>
      <c r="AS234" s="219"/>
      <c r="AT234" s="219"/>
      <c r="AU234" s="219"/>
      <c r="AV234" s="219"/>
      <c r="AW234" s="219"/>
      <c r="AX234" s="219"/>
      <c r="AY234" s="219"/>
      <c r="AZ234" s="219"/>
      <c r="BA234" s="219"/>
    </row>
    <row r="235" spans="1:53" outlineLevel="1" x14ac:dyDescent="0.35">
      <c r="A235" s="6" t="s">
        <v>35</v>
      </c>
      <c r="Z235" s="6">
        <f>'Results - raw data ReCiPe (I)'!DA98</f>
        <v>11.00752960738717</v>
      </c>
      <c r="AB235" s="219"/>
      <c r="AC235" s="219"/>
      <c r="AD235" s="219"/>
      <c r="AE235" s="219"/>
      <c r="AF235" s="219"/>
      <c r="AG235" s="219"/>
      <c r="AH235" s="219"/>
      <c r="AI235" s="219"/>
      <c r="AJ235" s="219"/>
      <c r="AK235" s="219"/>
      <c r="AL235" s="219"/>
      <c r="AM235" s="219"/>
      <c r="AN235" s="219"/>
      <c r="AO235" s="219"/>
      <c r="AP235" s="219"/>
      <c r="AQ235" s="219"/>
      <c r="AR235" s="219"/>
      <c r="AS235" s="219"/>
      <c r="AT235" s="219"/>
      <c r="AU235" s="219"/>
      <c r="AV235" s="219"/>
      <c r="AW235" s="219"/>
      <c r="AX235" s="219"/>
      <c r="AY235" s="219"/>
      <c r="AZ235" s="219"/>
      <c r="BA235" s="219"/>
    </row>
    <row r="236" spans="1:53" outlineLevel="1" x14ac:dyDescent="0.35">
      <c r="A236" s="6" t="s">
        <v>37</v>
      </c>
      <c r="Z236" s="6">
        <f>'Results - raw data ReCiPe (I)'!DA99</f>
        <v>11.324008760006899</v>
      </c>
      <c r="AB236" s="219"/>
      <c r="AC236" s="219"/>
      <c r="AD236" s="219"/>
      <c r="AE236" s="219"/>
      <c r="AF236" s="219"/>
      <c r="AG236" s="219"/>
      <c r="AH236" s="219"/>
      <c r="AI236" s="219"/>
      <c r="AJ236" s="219"/>
      <c r="AK236" s="219"/>
      <c r="AL236" s="219"/>
      <c r="AM236" s="219"/>
      <c r="AN236" s="219"/>
      <c r="AO236" s="219"/>
      <c r="AP236" s="219"/>
      <c r="AQ236" s="219"/>
      <c r="AR236" s="219"/>
      <c r="AS236" s="219"/>
      <c r="AT236" s="219"/>
      <c r="AU236" s="219"/>
      <c r="AV236" s="219"/>
      <c r="AW236" s="219"/>
      <c r="AX236" s="219"/>
      <c r="AY236" s="219"/>
      <c r="AZ236" s="219"/>
      <c r="BA236" s="219"/>
    </row>
    <row r="237" spans="1:53" outlineLevel="1" x14ac:dyDescent="0.35">
      <c r="A237" s="6" t="s">
        <v>40</v>
      </c>
      <c r="Z237" s="6">
        <f>'Results - raw data ReCiPe (I)'!DA100</f>
        <v>381.52418728298579</v>
      </c>
    </row>
    <row r="238" spans="1:53" outlineLevel="1" x14ac:dyDescent="0.35">
      <c r="A238" s="6" t="s">
        <v>42</v>
      </c>
      <c r="Z238" s="6">
        <f>'Results - raw data ReCiPe (I)'!DA101</f>
        <v>36.656260408763671</v>
      </c>
    </row>
    <row r="239" spans="1:53" outlineLevel="1" x14ac:dyDescent="0.35">
      <c r="A239" s="6" t="s">
        <v>115</v>
      </c>
      <c r="Z239" s="6">
        <f>'Results - raw data ReCiPe (I)'!DA102</f>
        <v>140.4594196767527</v>
      </c>
    </row>
    <row r="240" spans="1:53" outlineLevel="1" x14ac:dyDescent="0.35">
      <c r="A240" s="6" t="s">
        <v>45</v>
      </c>
      <c r="Z240" s="6">
        <f>'Results - raw data ReCiPe (I)'!DA103*AC210*AC212</f>
        <v>20.943027296122771</v>
      </c>
    </row>
    <row r="241" spans="1:26" outlineLevel="1" x14ac:dyDescent="0.35">
      <c r="A241" s="6" t="s">
        <v>116</v>
      </c>
      <c r="B241" s="6">
        <f>'Results - raw data ReCiPe (I)'!CC104</f>
        <v>1147.562206560159</v>
      </c>
      <c r="C241" s="6">
        <f>'Results - raw data ReCiPe (I)'!CD104</f>
        <v>1125.1249973421859</v>
      </c>
      <c r="D241" s="6">
        <f>'Results - raw data ReCiPe (I)'!CE104</f>
        <v>1102.390129792987</v>
      </c>
      <c r="E241" s="6">
        <f>'Results - raw data ReCiPe (I)'!CF104</f>
        <v>1074.05698885017</v>
      </c>
      <c r="F241" s="6">
        <f>'Results - raw data ReCiPe (I)'!CG104</f>
        <v>1050.700118245117</v>
      </c>
      <c r="G241" s="6">
        <f>'Results - raw data ReCiPe (I)'!CH104</f>
        <v>1026.9326265409311</v>
      </c>
      <c r="H241" s="6">
        <f>'Results - raw data ReCiPe (I)'!CI104</f>
        <v>1022.1502722838831</v>
      </c>
      <c r="I241" s="6">
        <f>'Results - raw data ReCiPe (I)'!CJ104</f>
        <v>1017.416703156621</v>
      </c>
      <c r="J241" s="6">
        <f>'Results - raw data ReCiPe (I)'!CK104</f>
        <v>1009.734768627844</v>
      </c>
      <c r="K241" s="6">
        <f>'Results - raw data ReCiPe (I)'!CL104</f>
        <v>1005.159492641253</v>
      </c>
      <c r="L241" s="6">
        <f>'Results - raw data ReCiPe (I)'!CM104</f>
        <v>1000.620015965834</v>
      </c>
      <c r="M241" s="6">
        <f>'Results - raw data ReCiPe (I)'!CN104</f>
        <v>998.95187229128283</v>
      </c>
      <c r="N241" s="6">
        <f>'Results - raw data ReCiPe (I)'!CO104</f>
        <v>997.28372106165648</v>
      </c>
      <c r="O241" s="6">
        <f>'Results - raw data ReCiPe (I)'!CP104</f>
        <v>994.77306971592111</v>
      </c>
      <c r="P241" s="6">
        <f>'Results - raw data ReCiPe (I)'!CQ104</f>
        <v>993.12995785135388</v>
      </c>
      <c r="Q241" s="6">
        <f>'Results - raw data ReCiPe (I)'!CR104</f>
        <v>991.48221426531472</v>
      </c>
      <c r="R241" s="6">
        <f>'Results - raw data ReCiPe (I)'!CS104</f>
        <v>988.90837256292889</v>
      </c>
      <c r="S241" s="6">
        <f>'Results - raw data ReCiPe (I)'!CT104</f>
        <v>986.35767014988733</v>
      </c>
      <c r="T241" s="6">
        <f>'Results - raw data ReCiPe (I)'!CU104</f>
        <v>983.20946828966578</v>
      </c>
      <c r="U241" s="6">
        <f>'Results - raw data ReCiPe (I)'!CV104</f>
        <v>980.73110590596389</v>
      </c>
      <c r="V241" s="6">
        <f>'Results - raw data ReCiPe (I)'!CW104</f>
        <v>978.28941439365826</v>
      </c>
      <c r="W241" s="6">
        <f>'Results - raw data ReCiPe (I)'!CX104</f>
        <v>977.06180922356634</v>
      </c>
      <c r="X241" s="6">
        <f>'Results - raw data ReCiPe (I)'!CY104</f>
        <v>975.44876067821781</v>
      </c>
      <c r="Y241" s="6">
        <f>'Results - raw data ReCiPe (I)'!CZ104</f>
        <v>973.84316883401459</v>
      </c>
      <c r="Z241" s="6">
        <f>'Results - raw data ReCiPe (I)'!DA104</f>
        <v>972.2449306465038</v>
      </c>
    </row>
    <row r="242" spans="1:26" outlineLevel="1" x14ac:dyDescent="0.35">
      <c r="A242" s="6" t="s">
        <v>758</v>
      </c>
      <c r="B242" s="6">
        <f>'Results - raw data ReCiPe (I)'!CC105*$AC$210</f>
        <v>1324.993105402586</v>
      </c>
      <c r="C242" s="6">
        <f>'Results - raw data ReCiPe (I)'!CD105*$AC$210</f>
        <v>1124.6592286793289</v>
      </c>
      <c r="D242" s="6">
        <f>'Results - raw data ReCiPe (I)'!CE105*$AC$210</f>
        <v>925.32419922424913</v>
      </c>
      <c r="E242" s="6">
        <f>'Results - raw data ReCiPe (I)'!CF105*$AC$210</f>
        <v>723.38991438420589</v>
      </c>
      <c r="F242" s="6">
        <f>'Results - raw data ReCiPe (I)'!CG105*$AC$210</f>
        <v>525.78184053756183</v>
      </c>
      <c r="G242" s="6">
        <f>'Results - raw data ReCiPe (I)'!CH105*$AC$210</f>
        <v>329.05630824955551</v>
      </c>
      <c r="H242" s="6">
        <f>'Results - raw data ReCiPe (I)'!CI105*$AC$210</f>
        <v>300.02227837139071</v>
      </c>
      <c r="I242" s="6">
        <f>'Results - raw data ReCiPe (I)'!CJ105*$AC$210</f>
        <v>270.85305737830294</v>
      </c>
      <c r="J242" s="6">
        <f>'Results - raw data ReCiPe (I)'!CK105*$AC$210</f>
        <v>238.49241055585631</v>
      </c>
      <c r="K242" s="6">
        <f>'Results - raw data ReCiPe (I)'!CL105*$AC$210</f>
        <v>208.97102057087639</v>
      </c>
      <c r="L242" s="6">
        <f>'Results - raw data ReCiPe (I)'!CM105*$AC$210</f>
        <v>179.31619921447572</v>
      </c>
      <c r="M242" s="6">
        <f>'Results - raw data ReCiPe (I)'!CN105*$AC$210</f>
        <v>174.74546078951869</v>
      </c>
      <c r="N242" s="6">
        <f>'Results - raw data ReCiPe (I)'!CO105*$AC$210</f>
        <v>170.1833141315044</v>
      </c>
      <c r="O242" s="6">
        <f>'Results - raw data ReCiPe (I)'!CP105*$AC$210</f>
        <v>165.03314483909071</v>
      </c>
      <c r="P242" s="6">
        <f>'Results - raw data ReCiPe (I)'!CQ105*$AC$210</f>
        <v>160.49156426611091</v>
      </c>
      <c r="Q242" s="6">
        <f>'Results - raw data ReCiPe (I)'!CR105*$AC$210</f>
        <v>155.9445728050664</v>
      </c>
      <c r="R242" s="6">
        <f>'Results - raw data ReCiPe (I)'!CS105*$AC$210</f>
        <v>105.80468796266101</v>
      </c>
      <c r="S242" s="6">
        <f>'Results - raw data ReCiPe (I)'!CT105*$AC$210</f>
        <v>55.583752553111765</v>
      </c>
      <c r="T242" s="6">
        <f>'Results - raw data ReCiPe (I)'!CU105*$AC$210</f>
        <v>4.8511905974471752</v>
      </c>
      <c r="U242" s="6">
        <f>'Results - raw data ReCiPe (I)'!CV105*$AC$210</f>
        <v>-45.498866994982166</v>
      </c>
      <c r="V242" s="6">
        <f>'Results - raw data ReCiPe (I)'!CW105*$AC$210</f>
        <v>-95.858698461078703</v>
      </c>
      <c r="W242" s="6">
        <f>'Results - raw data ReCiPe (I)'!CX105*$AC$210</f>
        <v>-133.54200193557298</v>
      </c>
      <c r="X242" s="6">
        <f>'Results - raw data ReCiPe (I)'!CY105*$AC$210</f>
        <v>-173.575212324517</v>
      </c>
      <c r="Y242" s="6">
        <f>'Results - raw data ReCiPe (I)'!CZ105*$AC$210</f>
        <v>-213.59915552673741</v>
      </c>
      <c r="Z242" s="6">
        <f>'Results - raw data ReCiPe (I)'!DA105*$AC$210</f>
        <v>-253.6156822613541</v>
      </c>
    </row>
    <row r="243" spans="1:26" outlineLevel="1" x14ac:dyDescent="0.35">
      <c r="A243" s="6" t="s">
        <v>759</v>
      </c>
      <c r="B243" s="6">
        <f>'Results - raw data ReCiPe (I)'!CC106</f>
        <v>0</v>
      </c>
      <c r="C243" s="6">
        <f>'Results - raw data ReCiPe (I)'!CD106</f>
        <v>0</v>
      </c>
      <c r="D243" s="6">
        <f>'Results - raw data ReCiPe (I)'!CE106</f>
        <v>0</v>
      </c>
      <c r="E243" s="6">
        <f>'Results - raw data ReCiPe (I)'!CF106</f>
        <v>0</v>
      </c>
      <c r="F243" s="6">
        <f>'Results - raw data ReCiPe (I)'!CG106</f>
        <v>0</v>
      </c>
      <c r="G243" s="6">
        <f>'Results - raw data ReCiPe (I)'!CH106</f>
        <v>0</v>
      </c>
      <c r="H243" s="6">
        <f>'Results - raw data ReCiPe (I)'!CI106</f>
        <v>0</v>
      </c>
      <c r="I243" s="6">
        <f>'Results - raw data ReCiPe (I)'!CJ106</f>
        <v>0</v>
      </c>
      <c r="J243" s="6">
        <f>'Results - raw data ReCiPe (I)'!CK106</f>
        <v>0</v>
      </c>
      <c r="K243" s="6">
        <f>'Results - raw data ReCiPe (I)'!CL106</f>
        <v>0</v>
      </c>
      <c r="L243" s="6">
        <f>'Results - raw data ReCiPe (I)'!CM106</f>
        <v>0</v>
      </c>
      <c r="M243" s="6">
        <f>'Results - raw data ReCiPe (I)'!CN106</f>
        <v>0</v>
      </c>
      <c r="N243" s="6">
        <f>'Results - raw data ReCiPe (I)'!CO106</f>
        <v>0</v>
      </c>
      <c r="O243" s="6">
        <f>'Results - raw data ReCiPe (I)'!CP106</f>
        <v>0</v>
      </c>
      <c r="P243" s="6">
        <f>'Results - raw data ReCiPe (I)'!CQ106</f>
        <v>0</v>
      </c>
      <c r="Q243" s="6">
        <f>'Results - raw data ReCiPe (I)'!CR106</f>
        <v>0</v>
      </c>
      <c r="R243" s="6">
        <f>'Results - raw data ReCiPe (I)'!CS106</f>
        <v>0</v>
      </c>
      <c r="S243" s="6">
        <f>'Results - raw data ReCiPe (I)'!CT106</f>
        <v>0</v>
      </c>
      <c r="T243" s="6">
        <f>'Results - raw data ReCiPe (I)'!CU106</f>
        <v>0</v>
      </c>
      <c r="U243" s="6">
        <f>'Results - raw data ReCiPe (I)'!CV106</f>
        <v>0</v>
      </c>
      <c r="V243" s="6">
        <f>'Results - raw data ReCiPe (I)'!CW106</f>
        <v>0</v>
      </c>
      <c r="W243" s="6">
        <f>'Results - raw data ReCiPe (I)'!CX106</f>
        <v>0</v>
      </c>
      <c r="X243" s="6">
        <f>'Results - raw data ReCiPe (I)'!CY106</f>
        <v>0</v>
      </c>
      <c r="Y243" s="6">
        <f>'Results - raw data ReCiPe (I)'!CZ106</f>
        <v>0</v>
      </c>
      <c r="Z243" s="6">
        <f>'Results - raw data ReCiPe (I)'!DA106</f>
        <v>0</v>
      </c>
    </row>
    <row r="244" spans="1:26" outlineLevel="1" x14ac:dyDescent="0.35">
      <c r="A244" s="6" t="s">
        <v>760</v>
      </c>
      <c r="B244" s="6">
        <f>150000*($AC$211*'Results - raw data ReCiPe (I)'!CC128+(1-$AC$211)*'Results - raw data ReCiPe (I)'!CC129)</f>
        <v>12600.313573621774</v>
      </c>
      <c r="C244" s="6">
        <f>150000*($AC$211*'Results - raw data ReCiPe (I)'!CD128+(1-$AC$211)*'Results - raw data ReCiPe (I)'!CD129)</f>
        <v>10625.014116033764</v>
      </c>
      <c r="D244" s="6">
        <f>150000*($AC$211*'Results - raw data ReCiPe (I)'!CE128+(1-$AC$211)*'Results - raw data ReCiPe (I)'!CE129)</f>
        <v>8646.6132713818733</v>
      </c>
      <c r="E244" s="6">
        <f>150000*($AC$211*'Results - raw data ReCiPe (I)'!CF128+(1-$AC$211)*'Results - raw data ReCiPe (I)'!CF129)</f>
        <v>6627.806190941471</v>
      </c>
      <c r="F244" s="6">
        <f>150000*($AC$211*'Results - raw data ReCiPe (I)'!CG128+(1-$AC$211)*'Results - raw data ReCiPe (I)'!CG129)</f>
        <v>4640.158831214505</v>
      </c>
      <c r="G244" s="6">
        <f>150000*($AC$211*'Results - raw data ReCiPe (I)'!CH128+(1-$AC$211)*'Results - raw data ReCiPe (I)'!CH129)</f>
        <v>2648.4047687525217</v>
      </c>
      <c r="H244" s="6">
        <f>150000*($AC$211*'Results - raw data ReCiPe (I)'!CI128+(1-$AC$211)*'Results - raw data ReCiPe (I)'!CI129)</f>
        <v>2352.8911620223316</v>
      </c>
      <c r="I244" s="6">
        <f>150000*($AC$211*'Results - raw data ReCiPe (I)'!CJ128+(1-$AC$211)*'Results - raw data ReCiPe (I)'!CJ129)</f>
        <v>2054.8622629858401</v>
      </c>
      <c r="J244" s="6">
        <f>150000*($AC$211*'Results - raw data ReCiPe (I)'!CK128+(1-$AC$211)*'Results - raw data ReCiPe (I)'!CK129)</f>
        <v>1722.7615247725807</v>
      </c>
      <c r="K244" s="6">
        <f>150000*($AC$211*'Results - raw data ReCiPe (I)'!CL128+(1-$AC$211)*'Results - raw data ReCiPe (I)'!CL129)</f>
        <v>1418.7366115840668</v>
      </c>
      <c r="L244" s="6">
        <f>150000*($AC$211*'Results - raw data ReCiPe (I)'!CM128+(1-$AC$211)*'Results - raw data ReCiPe (I)'!CM129)</f>
        <v>1112.2132697731754</v>
      </c>
      <c r="M244" s="6">
        <f>150000*($AC$211*'Results - raw data ReCiPe (I)'!CN128+(1-$AC$211)*'Results - raw data ReCiPe (I)'!CN129)</f>
        <v>1067.5961811414722</v>
      </c>
      <c r="N244" s="6">
        <f>150000*($AC$211*'Results - raw data ReCiPe (I)'!CO128+(1-$AC$211)*'Results - raw data ReCiPe (I)'!CO129)</f>
        <v>1023.1579802935194</v>
      </c>
      <c r="O244" s="6">
        <f>150000*($AC$211*'Results - raw data ReCiPe (I)'!CP128+(1-$AC$211)*'Results - raw data ReCiPe (I)'!CP129)</f>
        <v>972.67364629483563</v>
      </c>
      <c r="P244" s="6">
        <f>150000*($AC$211*'Results - raw data ReCiPe (I)'!CQ128+(1-$AC$211)*'Results - raw data ReCiPe (I)'!CQ129)</f>
        <v>928.5199710803555</v>
      </c>
      <c r="Q244" s="6">
        <f>150000*($AC$211*'Results - raw data ReCiPe (I)'!CR128+(1-$AC$211)*'Results - raw data ReCiPe (I)'!CR129)</f>
        <v>884.35797009937198</v>
      </c>
      <c r="R244" s="6">
        <f>150000*($AC$211*'Results - raw data ReCiPe (I)'!CS128+(1-$AC$211)*'Results - raw data ReCiPe (I)'!CS129)</f>
        <v>381.04919703273379</v>
      </c>
      <c r="S244" s="6">
        <f>150000*($AC$211*'Results - raw data ReCiPe (I)'!CT128+(1-$AC$211)*'Results - raw data ReCiPe (I)'!CT129)</f>
        <v>-118.48886810507291</v>
      </c>
      <c r="T244" s="6">
        <f>150000*($AC$211*'Results - raw data ReCiPe (I)'!CU128+(1-$AC$211)*'Results - raw data ReCiPe (I)'!CU129)</f>
        <v>-618.74716408245513</v>
      </c>
      <c r="U244" s="6">
        <f>150000*($AC$211*'Results - raw data ReCiPe (I)'!CV128+(1-$AC$211)*'Results - raw data ReCiPe (I)'!CV129)</f>
        <v>-1110.5462228630645</v>
      </c>
      <c r="V244" s="6">
        <f>150000*($AC$211*'Results - raw data ReCiPe (I)'!CW128+(1-$AC$211)*'Results - raw data ReCiPe (I)'!CW129)</f>
        <v>-1597.5906336574985</v>
      </c>
      <c r="W244" s="6">
        <f>150000*($AC$211*'Results - raw data ReCiPe (I)'!CX128+(1-$AC$211)*'Results - raw data ReCiPe (I)'!CX129)</f>
        <v>-1982.6229572562256</v>
      </c>
      <c r="X244" s="6">
        <f>150000*($AC$211*'Results - raw data ReCiPe (I)'!CY128+(1-$AC$211)*'Results - raw data ReCiPe (I)'!CY129)</f>
        <v>-2392.31411866502</v>
      </c>
      <c r="Y244" s="6">
        <f>150000*($AC$211*'Results - raw data ReCiPe (I)'!CZ128+(1-$AC$211)*'Results - raw data ReCiPe (I)'!CZ129)</f>
        <v>-2803.1112163353891</v>
      </c>
      <c r="Z244" s="6">
        <f>150000*($AC$211*'Results - raw data ReCiPe (I)'!DA128+(1-$AC$211)*'Results - raw data ReCiPe (I)'!DA129)</f>
        <v>-3215.0330015603463</v>
      </c>
    </row>
    <row r="245" spans="1:26" outlineLevel="1" x14ac:dyDescent="0.35">
      <c r="A245" s="23" t="s">
        <v>125</v>
      </c>
      <c r="B245" s="17">
        <f>SUM(B214:B244)</f>
        <v>59523.339284151931</v>
      </c>
      <c r="C245" s="17">
        <f t="shared" ref="C245:Z245" si="29">SUM(C214:C244)</f>
        <v>12874.798342055279</v>
      </c>
      <c r="D245" s="17">
        <f t="shared" si="29"/>
        <v>10674.327600399109</v>
      </c>
      <c r="E245" s="17">
        <f t="shared" si="29"/>
        <v>8425.2530941758469</v>
      </c>
      <c r="F245" s="17">
        <f t="shared" si="29"/>
        <v>6216.6407899971837</v>
      </c>
      <c r="G245" s="17">
        <f t="shared" si="29"/>
        <v>4004.3937035430081</v>
      </c>
      <c r="H245" s="17">
        <f t="shared" si="29"/>
        <v>3675.0637126776055</v>
      </c>
      <c r="I245" s="17">
        <f t="shared" si="29"/>
        <v>3343.1320235207641</v>
      </c>
      <c r="J245" s="17">
        <f t="shared" si="29"/>
        <v>2970.9887039562809</v>
      </c>
      <c r="K245" s="17">
        <f t="shared" si="29"/>
        <v>2632.8671247961965</v>
      </c>
      <c r="L245" s="17">
        <f t="shared" si="29"/>
        <v>2292.1494849534852</v>
      </c>
      <c r="M245" s="17">
        <f t="shared" si="29"/>
        <v>2241.2935142222736</v>
      </c>
      <c r="N245" s="17">
        <f t="shared" si="29"/>
        <v>2190.6250154866802</v>
      </c>
      <c r="O245" s="17">
        <f t="shared" si="29"/>
        <v>2132.4798608498477</v>
      </c>
      <c r="P245" s="17">
        <f t="shared" si="29"/>
        <v>2082.1414931978202</v>
      </c>
      <c r="Q245" s="17">
        <f t="shared" si="29"/>
        <v>2031.784757169753</v>
      </c>
      <c r="R245" s="17">
        <f t="shared" si="29"/>
        <v>1475.7622575583237</v>
      </c>
      <c r="S245" s="17">
        <f t="shared" si="29"/>
        <v>923.45255459792611</v>
      </c>
      <c r="T245" s="17">
        <f t="shared" si="29"/>
        <v>369.31349480465781</v>
      </c>
      <c r="U245" s="17">
        <f t="shared" si="29"/>
        <v>-175.31398395208271</v>
      </c>
      <c r="V245" s="17">
        <f t="shared" si="29"/>
        <v>-715.15991772491896</v>
      </c>
      <c r="W245" s="17">
        <f t="shared" si="29"/>
        <v>-1139.1031499682322</v>
      </c>
      <c r="X245" s="17">
        <f t="shared" si="29"/>
        <v>-1590.4405703113193</v>
      </c>
      <c r="Y245" s="17">
        <f t="shared" si="29"/>
        <v>-2042.8672030281118</v>
      </c>
      <c r="Z245" s="17">
        <f t="shared" si="29"/>
        <v>-1814.1061393284533</v>
      </c>
    </row>
    <row r="246" spans="1:26" s="26" customFormat="1" outlineLevel="1" x14ac:dyDescent="0.35"/>
    <row r="247" spans="1:26" s="221" customFormat="1" ht="21" x14ac:dyDescent="0.5">
      <c r="A247" s="229" t="s">
        <v>851</v>
      </c>
    </row>
    <row r="248" spans="1:26" s="18" customFormat="1" ht="21" x14ac:dyDescent="0.5">
      <c r="A248" s="18" t="s">
        <v>72</v>
      </c>
    </row>
    <row r="249" spans="1:26" s="20" customFormat="1" outlineLevel="1" x14ac:dyDescent="0.35">
      <c r="A249" s="19" t="s">
        <v>788</v>
      </c>
    </row>
    <row r="250" spans="1:26" s="20" customFormat="1" outlineLevel="1" x14ac:dyDescent="0.35">
      <c r="A250" s="273" t="s">
        <v>775</v>
      </c>
      <c r="B250" s="20">
        <v>1</v>
      </c>
      <c r="C250" s="274" t="s">
        <v>787</v>
      </c>
    </row>
    <row r="251" spans="1:26" s="20" customFormat="1" outlineLevel="1" x14ac:dyDescent="0.35">
      <c r="A251" s="273" t="s">
        <v>781</v>
      </c>
      <c r="B251" s="20">
        <v>100000</v>
      </c>
      <c r="C251" s="20" t="s">
        <v>782</v>
      </c>
      <c r="E251" s="274"/>
    </row>
    <row r="252" spans="1:26" s="20" customFormat="1" outlineLevel="1" x14ac:dyDescent="0.35">
      <c r="A252" s="273" t="s">
        <v>783</v>
      </c>
      <c r="B252" s="20">
        <v>1500</v>
      </c>
      <c r="C252" s="20" t="s">
        <v>592</v>
      </c>
    </row>
    <row r="253" spans="1:26" s="20" customFormat="1" outlineLevel="1" x14ac:dyDescent="0.35">
      <c r="A253" s="273" t="s">
        <v>784</v>
      </c>
      <c r="B253" s="20">
        <v>8760</v>
      </c>
      <c r="C253" s="20" t="s">
        <v>785</v>
      </c>
    </row>
    <row r="254" spans="1:26" s="20" customFormat="1" outlineLevel="1" x14ac:dyDescent="0.35">
      <c r="A254" s="273"/>
    </row>
    <row r="255" spans="1:26" s="20" customFormat="1" outlineLevel="1" x14ac:dyDescent="0.35">
      <c r="A255" s="275" t="s">
        <v>786</v>
      </c>
      <c r="B255" s="275">
        <f>(B251*B252)/(B253*B250)</f>
        <v>17123.287671232876</v>
      </c>
      <c r="C255" s="275" t="s">
        <v>749</v>
      </c>
    </row>
    <row r="256" spans="1:26" s="20" customFormat="1" outlineLevel="1" x14ac:dyDescent="0.35">
      <c r="A256" s="19"/>
    </row>
    <row r="257" spans="1:31" s="20" customFormat="1" outlineLevel="1" x14ac:dyDescent="0.35">
      <c r="A257" s="19" t="s">
        <v>793</v>
      </c>
    </row>
    <row r="258" spans="1:31" s="20" customFormat="1" outlineLevel="1" x14ac:dyDescent="0.35">
      <c r="A258" s="273" t="s">
        <v>789</v>
      </c>
      <c r="B258" s="20">
        <f>SUM('Results - raw data ReCiPe (I)'!CC136:CC137)+'Results - raw data ReCiPe (I)'!CC140+SUM('Results - raw data ReCiPe (I)'!CC138:CC139)*AC267</f>
        <v>1010.213058790424</v>
      </c>
      <c r="C258" s="20" t="s">
        <v>873</v>
      </c>
    </row>
    <row r="259" spans="1:31" s="20" customFormat="1" outlineLevel="1" x14ac:dyDescent="0.35">
      <c r="A259" s="20" t="s">
        <v>792</v>
      </c>
      <c r="B259" s="20">
        <f>B251*AC265</f>
        <v>50000</v>
      </c>
      <c r="C259" s="274" t="s">
        <v>795</v>
      </c>
    </row>
    <row r="260" spans="1:31" s="20" customFormat="1" outlineLevel="1" x14ac:dyDescent="0.35">
      <c r="A260" s="20" t="s">
        <v>791</v>
      </c>
      <c r="B260" s="20">
        <f>(B258*AC267*B255)/(B259*AC266)*(AC266/AC268)</f>
        <v>103.78901288942713</v>
      </c>
      <c r="C260" s="20" t="s">
        <v>874</v>
      </c>
      <c r="E260" s="274" t="s">
        <v>796</v>
      </c>
    </row>
    <row r="261" spans="1:31" s="20" customFormat="1" outlineLevel="1" x14ac:dyDescent="0.35">
      <c r="A261" s="19"/>
    </row>
    <row r="262" spans="1:31" s="16" customFormat="1" outlineLevel="1" x14ac:dyDescent="0.35">
      <c r="A262" s="21"/>
      <c r="AB262" s="16" t="s">
        <v>801</v>
      </c>
      <c r="AC262" s="16">
        <v>1</v>
      </c>
      <c r="AD262" s="16" t="s">
        <v>146</v>
      </c>
      <c r="AE262" s="15" t="s">
        <v>714</v>
      </c>
    </row>
    <row r="263" spans="1:31" s="16" customFormat="1" outlineLevel="1" x14ac:dyDescent="0.35">
      <c r="A263" s="22" t="s">
        <v>566</v>
      </c>
      <c r="AC263" s="16">
        <f>AC262*1000</f>
        <v>1000</v>
      </c>
      <c r="AD263" s="16" t="s">
        <v>144</v>
      </c>
    </row>
    <row r="264" spans="1:31" s="16" customFormat="1" outlineLevel="1" x14ac:dyDescent="0.35">
      <c r="A264" s="22"/>
      <c r="AB264" s="16" t="s">
        <v>127</v>
      </c>
      <c r="AC264" s="276">
        <f>100*AC265</f>
        <v>50</v>
      </c>
      <c r="AD264" s="16" t="s">
        <v>128</v>
      </c>
    </row>
    <row r="265" spans="1:31" s="16" customFormat="1" outlineLevel="1" x14ac:dyDescent="0.35">
      <c r="A265" s="230"/>
      <c r="AB265" s="16" t="s">
        <v>776</v>
      </c>
      <c r="AC265" s="276">
        <v>0.5</v>
      </c>
    </row>
    <row r="266" spans="1:31" s="16" customFormat="1" outlineLevel="1" x14ac:dyDescent="0.35">
      <c r="A266" s="230"/>
      <c r="AB266" s="16" t="s">
        <v>129</v>
      </c>
      <c r="AC266" s="276">
        <v>25</v>
      </c>
      <c r="AD266" s="16" t="s">
        <v>130</v>
      </c>
    </row>
    <row r="267" spans="1:31" s="16" customFormat="1" outlineLevel="1" x14ac:dyDescent="0.35">
      <c r="A267" s="230"/>
      <c r="AB267" s="16" t="s">
        <v>777</v>
      </c>
      <c r="AC267" s="276">
        <v>6</v>
      </c>
      <c r="AD267" s="16" t="s">
        <v>779</v>
      </c>
    </row>
    <row r="268" spans="1:31" s="16" customFormat="1" outlineLevel="1" x14ac:dyDescent="0.35">
      <c r="A268" s="22"/>
      <c r="AB268" s="16" t="s">
        <v>778</v>
      </c>
      <c r="AC268" s="276">
        <v>20</v>
      </c>
      <c r="AD268" s="16" t="s">
        <v>130</v>
      </c>
    </row>
    <row r="269" spans="1:31" s="16" customFormat="1" outlineLevel="1" x14ac:dyDescent="0.35">
      <c r="A269" s="22"/>
      <c r="AB269" s="16" t="s">
        <v>780</v>
      </c>
      <c r="AC269" s="276">
        <f>B255</f>
        <v>17123.287671232876</v>
      </c>
      <c r="AD269" s="16" t="s">
        <v>749</v>
      </c>
    </row>
    <row r="270" spans="1:31" s="16" customFormat="1" outlineLevel="1" x14ac:dyDescent="0.35">
      <c r="A270" s="22"/>
    </row>
    <row r="271" spans="1:31" s="16" customFormat="1" outlineLevel="1" x14ac:dyDescent="0.35">
      <c r="A271" s="22"/>
      <c r="AB271" s="16" t="s">
        <v>798</v>
      </c>
      <c r="AC271" s="16">
        <v>0.25</v>
      </c>
    </row>
    <row r="272" spans="1:31" s="16" customFormat="1" outlineLevel="1" x14ac:dyDescent="0.35">
      <c r="A272" s="22"/>
      <c r="AB272" s="16" t="s">
        <v>799</v>
      </c>
      <c r="AC272" s="16">
        <v>0.9</v>
      </c>
    </row>
    <row r="273" spans="1:53" outlineLevel="1" x14ac:dyDescent="0.35">
      <c r="B273" s="25">
        <v>2030</v>
      </c>
      <c r="C273" s="25">
        <v>2031</v>
      </c>
      <c r="D273" s="25">
        <v>2032</v>
      </c>
      <c r="E273" s="25">
        <v>2033</v>
      </c>
      <c r="F273" s="25">
        <v>2034</v>
      </c>
      <c r="G273" s="25">
        <v>2035</v>
      </c>
      <c r="H273" s="25">
        <v>2036</v>
      </c>
      <c r="I273" s="25">
        <v>2037</v>
      </c>
      <c r="J273" s="25">
        <v>2038</v>
      </c>
      <c r="K273" s="25">
        <v>2039</v>
      </c>
      <c r="L273" s="25">
        <v>2040</v>
      </c>
      <c r="M273" s="25">
        <v>2041</v>
      </c>
      <c r="N273" s="25">
        <v>2042</v>
      </c>
      <c r="O273" s="25">
        <v>2043</v>
      </c>
      <c r="P273" s="25">
        <v>2044</v>
      </c>
      <c r="Q273" s="25">
        <v>2045</v>
      </c>
      <c r="R273" s="25">
        <v>2046</v>
      </c>
      <c r="S273" s="25">
        <v>2047</v>
      </c>
      <c r="T273" s="25">
        <v>2048</v>
      </c>
      <c r="U273" s="25">
        <v>2049</v>
      </c>
      <c r="V273" s="25">
        <v>2050</v>
      </c>
      <c r="W273" s="25">
        <v>2051</v>
      </c>
      <c r="X273" s="25">
        <v>2052</v>
      </c>
      <c r="Y273" s="25">
        <v>2053</v>
      </c>
      <c r="Z273" s="25">
        <v>2054</v>
      </c>
      <c r="AC273" s="25">
        <v>2030</v>
      </c>
      <c r="AD273" s="25">
        <v>2031</v>
      </c>
      <c r="AE273" s="25">
        <v>2032</v>
      </c>
      <c r="AF273" s="25">
        <v>2033</v>
      </c>
      <c r="AG273" s="25">
        <v>2034</v>
      </c>
      <c r="AH273" s="25">
        <v>2035</v>
      </c>
      <c r="AI273" s="25">
        <v>2036</v>
      </c>
      <c r="AJ273" s="25">
        <v>2037</v>
      </c>
      <c r="AK273" s="25">
        <v>2038</v>
      </c>
      <c r="AL273" s="25">
        <v>2039</v>
      </c>
      <c r="AM273" s="25">
        <v>2040</v>
      </c>
      <c r="AN273" s="25">
        <v>2041</v>
      </c>
      <c r="AO273" s="25">
        <v>2042</v>
      </c>
      <c r="AP273" s="25">
        <v>2043</v>
      </c>
      <c r="AQ273" s="25">
        <v>2044</v>
      </c>
      <c r="AR273" s="25">
        <v>2045</v>
      </c>
      <c r="AS273" s="25">
        <v>2046</v>
      </c>
      <c r="AT273" s="25">
        <v>2047</v>
      </c>
      <c r="AU273" s="25">
        <v>2048</v>
      </c>
      <c r="AV273" s="25">
        <v>2049</v>
      </c>
      <c r="AW273" s="25">
        <v>2050</v>
      </c>
      <c r="AX273" s="25">
        <v>2051</v>
      </c>
      <c r="AY273" s="25">
        <v>2052</v>
      </c>
      <c r="AZ273" s="25">
        <v>2053</v>
      </c>
      <c r="BA273" s="25">
        <v>2054</v>
      </c>
    </row>
    <row r="274" spans="1:53" outlineLevel="1" x14ac:dyDescent="0.35">
      <c r="A274" s="6" t="s">
        <v>21</v>
      </c>
      <c r="B274" s="6">
        <f t="shared" ref="B274:B285" si="30">B10</f>
        <v>866.78624642607451</v>
      </c>
      <c r="AB274" s="6" t="s">
        <v>117</v>
      </c>
      <c r="AC274" s="6">
        <f>SUM(B274:B285)+B287</f>
        <v>44463.838826567226</v>
      </c>
    </row>
    <row r="275" spans="1:53" outlineLevel="1" x14ac:dyDescent="0.35">
      <c r="A275" s="6" t="s">
        <v>23</v>
      </c>
      <c r="B275" s="6">
        <f t="shared" si="30"/>
        <v>1120.538598725911</v>
      </c>
      <c r="AB275" s="6" t="s">
        <v>118</v>
      </c>
      <c r="AC275" s="6">
        <f>B286</f>
        <v>1435.961516548145</v>
      </c>
    </row>
    <row r="276" spans="1:53" outlineLevel="1" x14ac:dyDescent="0.35">
      <c r="A276" s="6" t="s">
        <v>26</v>
      </c>
      <c r="B276" s="6">
        <f t="shared" si="30"/>
        <v>3554.1174127380332</v>
      </c>
      <c r="AB276" s="6" t="s">
        <v>119</v>
      </c>
      <c r="BA276" s="6">
        <f>SUM(Z288:Z299)</f>
        <v>856.68574124441147</v>
      </c>
    </row>
    <row r="277" spans="1:53" outlineLevel="1" x14ac:dyDescent="0.35">
      <c r="A277" s="6" t="s">
        <v>28</v>
      </c>
      <c r="B277" s="6">
        <f t="shared" si="30"/>
        <v>3199.1456136315001</v>
      </c>
      <c r="AB277" s="6" t="s">
        <v>120</v>
      </c>
      <c r="BA277" s="6">
        <f>Z300</f>
        <v>11.952750702179941</v>
      </c>
    </row>
    <row r="278" spans="1:53" outlineLevel="1" x14ac:dyDescent="0.35">
      <c r="A278" s="6" t="s">
        <v>29</v>
      </c>
      <c r="B278" s="6">
        <f t="shared" si="30"/>
        <v>1874.359915502863</v>
      </c>
      <c r="AB278" s="6" t="s">
        <v>121</v>
      </c>
      <c r="AC278" s="6">
        <f>B301</f>
        <v>1412.262440014819</v>
      </c>
      <c r="AF278" s="6">
        <f>E301</f>
        <v>1398.947377491419</v>
      </c>
      <c r="AI278" s="6">
        <f>H301</f>
        <v>1394.6883638131801</v>
      </c>
      <c r="AL278" s="6">
        <f>K301</f>
        <v>1393.1438101355629</v>
      </c>
      <c r="AO278" s="6">
        <f>N301</f>
        <v>1396.982775239785</v>
      </c>
      <c r="AR278" s="6">
        <f>Q301</f>
        <v>1400.903339877279</v>
      </c>
      <c r="AU278" s="6">
        <f>T301</f>
        <v>1382.1741284587449</v>
      </c>
      <c r="AX278" s="6">
        <f>W301</f>
        <v>1363.5449444910939</v>
      </c>
      <c r="BA278" s="6">
        <f>Z301</f>
        <v>1336.5991252427</v>
      </c>
    </row>
    <row r="279" spans="1:53" outlineLevel="1" x14ac:dyDescent="0.35">
      <c r="A279" s="6" t="s">
        <v>31</v>
      </c>
      <c r="B279" s="6">
        <f t="shared" si="30"/>
        <v>1323.441437842409</v>
      </c>
      <c r="AB279" s="6" t="s">
        <v>797</v>
      </c>
      <c r="AC279" s="6">
        <f>B305</f>
        <v>5189.4506444713561</v>
      </c>
      <c r="AD279" s="6">
        <f t="shared" ref="AD279:BA279" si="31">C305</f>
        <v>5189.4506444713561</v>
      </c>
      <c r="AE279" s="6">
        <f t="shared" si="31"/>
        <v>5189.4506444713561</v>
      </c>
      <c r="AF279" s="6">
        <f t="shared" si="31"/>
        <v>5189.4506444713561</v>
      </c>
      <c r="AG279" s="6">
        <f t="shared" si="31"/>
        <v>5189.4506444713561</v>
      </c>
      <c r="AH279" s="6">
        <f t="shared" si="31"/>
        <v>5189.4506444713561</v>
      </c>
      <c r="AI279" s="6">
        <f t="shared" si="31"/>
        <v>5189.4506444713561</v>
      </c>
      <c r="AJ279" s="6">
        <f t="shared" si="31"/>
        <v>5189.4506444713561</v>
      </c>
      <c r="AK279" s="6">
        <f t="shared" si="31"/>
        <v>5189.4506444713561</v>
      </c>
      <c r="AL279" s="6">
        <f t="shared" si="31"/>
        <v>5189.4506444713561</v>
      </c>
      <c r="AM279" s="6">
        <f t="shared" si="31"/>
        <v>5189.4506444713561</v>
      </c>
      <c r="AN279" s="6">
        <f t="shared" si="31"/>
        <v>5189.4506444713561</v>
      </c>
      <c r="AO279" s="6">
        <f t="shared" si="31"/>
        <v>5189.4506444713561</v>
      </c>
      <c r="AP279" s="6">
        <f t="shared" si="31"/>
        <v>5189.4506444713561</v>
      </c>
      <c r="AQ279" s="6">
        <f t="shared" si="31"/>
        <v>5189.4506444713561</v>
      </c>
      <c r="AR279" s="6">
        <f t="shared" si="31"/>
        <v>5189.4506444713561</v>
      </c>
      <c r="AS279" s="6">
        <f t="shared" si="31"/>
        <v>5189.4506444713561</v>
      </c>
      <c r="AT279" s="6">
        <f t="shared" si="31"/>
        <v>5189.4506444713561</v>
      </c>
      <c r="AU279" s="6">
        <f t="shared" si="31"/>
        <v>5189.4506444713561</v>
      </c>
      <c r="AV279" s="6">
        <f t="shared" si="31"/>
        <v>5189.4506444713561</v>
      </c>
      <c r="AW279" s="6">
        <f t="shared" si="31"/>
        <v>5189.4506444713561</v>
      </c>
      <c r="AX279" s="6">
        <f t="shared" si="31"/>
        <v>5189.4506444713561</v>
      </c>
      <c r="AY279" s="6">
        <f t="shared" si="31"/>
        <v>5189.4506444713561</v>
      </c>
      <c r="AZ279" s="6">
        <f t="shared" si="31"/>
        <v>5189.4506444713561</v>
      </c>
      <c r="BA279" s="6">
        <f t="shared" si="31"/>
        <v>5189.4506444713561</v>
      </c>
    </row>
    <row r="280" spans="1:53" outlineLevel="1" x14ac:dyDescent="0.35">
      <c r="A280" s="6" t="s">
        <v>34</v>
      </c>
      <c r="B280" s="6">
        <f t="shared" si="30"/>
        <v>891.197409038155</v>
      </c>
      <c r="AB280" s="6" t="s">
        <v>122</v>
      </c>
      <c r="AC280" s="6">
        <f t="shared" ref="AC280:BA280" si="32">B304+B303</f>
        <v>4244.5331060978733</v>
      </c>
      <c r="AD280" s="6">
        <f t="shared" si="32"/>
        <v>4229.3927379675879</v>
      </c>
      <c r="AE280" s="6">
        <f t="shared" si="32"/>
        <v>4214.7713893195614</v>
      </c>
      <c r="AF280" s="6">
        <f t="shared" si="32"/>
        <v>4171.2530635825487</v>
      </c>
      <c r="AG280" s="6">
        <f t="shared" si="32"/>
        <v>4157.6743804619819</v>
      </c>
      <c r="AH280" s="6">
        <f t="shared" si="32"/>
        <v>4144.3904246089678</v>
      </c>
      <c r="AI280" s="6">
        <f t="shared" si="32"/>
        <v>4131.0473390971711</v>
      </c>
      <c r="AJ280" s="6">
        <f t="shared" si="32"/>
        <v>4119.0060395002793</v>
      </c>
      <c r="AK280" s="6">
        <f t="shared" si="32"/>
        <v>4090.0476453670153</v>
      </c>
      <c r="AL280" s="6">
        <f t="shared" si="32"/>
        <v>4080.3749892793389</v>
      </c>
      <c r="AM280" s="6">
        <f t="shared" si="32"/>
        <v>4071.6046769258764</v>
      </c>
      <c r="AN280" s="6">
        <f t="shared" si="32"/>
        <v>4068.0607251164961</v>
      </c>
      <c r="AO280" s="6">
        <f t="shared" si="32"/>
        <v>4065.4995959387952</v>
      </c>
      <c r="AP280" s="6">
        <f t="shared" si="32"/>
        <v>4060.0572512754056</v>
      </c>
      <c r="AQ280" s="6">
        <f t="shared" si="32"/>
        <v>4059.2839538929938</v>
      </c>
      <c r="AR280" s="6">
        <f t="shared" si="32"/>
        <v>4059.8559651210817</v>
      </c>
      <c r="AS280" s="6">
        <f t="shared" si="32"/>
        <v>4039.8521662669809</v>
      </c>
      <c r="AT280" s="6">
        <f t="shared" si="32"/>
        <v>4019.9239417808017</v>
      </c>
      <c r="AU280" s="6">
        <f t="shared" si="32"/>
        <v>3996.2228768042128</v>
      </c>
      <c r="AV280" s="6">
        <f t="shared" si="32"/>
        <v>3976.3653610239312</v>
      </c>
      <c r="AW280" s="6">
        <f t="shared" si="32"/>
        <v>3956.4947950562532</v>
      </c>
      <c r="AX280" s="6">
        <f t="shared" si="32"/>
        <v>3941.3360684246945</v>
      </c>
      <c r="AY280" s="6">
        <f t="shared" si="32"/>
        <v>3913.5386851230901</v>
      </c>
      <c r="AZ280" s="6">
        <f t="shared" si="32"/>
        <v>3885.7496845051705</v>
      </c>
      <c r="BA280" s="6">
        <f t="shared" si="32"/>
        <v>3857.9605991564572</v>
      </c>
    </row>
    <row r="281" spans="1:53" outlineLevel="1" x14ac:dyDescent="0.35">
      <c r="A281" s="6" t="s">
        <v>36</v>
      </c>
      <c r="B281" s="6">
        <f t="shared" si="30"/>
        <v>769.01432974159798</v>
      </c>
      <c r="AB281" s="6" t="s">
        <v>123</v>
      </c>
      <c r="AC281" s="6">
        <f t="shared" ref="AC281:BA281" si="33">B302</f>
        <v>1613.5321416004679</v>
      </c>
      <c r="AD281" s="6">
        <f t="shared" si="33"/>
        <v>1610.2410032403518</v>
      </c>
      <c r="AE281" s="6">
        <f t="shared" si="33"/>
        <v>1606.9633061053703</v>
      </c>
      <c r="AF281" s="6">
        <f t="shared" si="33"/>
        <v>1602.137755196298</v>
      </c>
      <c r="AG281" s="6">
        <f t="shared" si="33"/>
        <v>1598.8905266655599</v>
      </c>
      <c r="AH281" s="6">
        <f t="shared" si="33"/>
        <v>1595.6466002694665</v>
      </c>
      <c r="AI281" s="6">
        <f t="shared" si="33"/>
        <v>1699.6247660288293</v>
      </c>
      <c r="AJ281" s="6">
        <f t="shared" si="33"/>
        <v>1802.9612175401339</v>
      </c>
      <c r="AK281" s="6">
        <f t="shared" si="33"/>
        <v>1904.6412470343</v>
      </c>
      <c r="AL281" s="6">
        <f t="shared" si="33"/>
        <v>2006.8337349759126</v>
      </c>
      <c r="AM281" s="6">
        <f t="shared" si="33"/>
        <v>2108.3054936810604</v>
      </c>
      <c r="AN281" s="6">
        <f t="shared" si="33"/>
        <v>2286.5910582510237</v>
      </c>
      <c r="AO281" s="6">
        <f t="shared" si="33"/>
        <v>2464.0699069619536</v>
      </c>
      <c r="AP281" s="6">
        <f t="shared" si="33"/>
        <v>2640.5431401025053</v>
      </c>
      <c r="AQ281" s="6">
        <f t="shared" si="33"/>
        <v>2816.3943445448313</v>
      </c>
      <c r="AR281" s="6">
        <f t="shared" si="33"/>
        <v>2991.4341883279881</v>
      </c>
      <c r="AS281" s="6">
        <f t="shared" si="33"/>
        <v>3022.1799413741155</v>
      </c>
      <c r="AT281" s="6">
        <f t="shared" si="33"/>
        <v>3052.8266575616381</v>
      </c>
      <c r="AU281" s="6">
        <f t="shared" si="33"/>
        <v>3083.1998108444259</v>
      </c>
      <c r="AV281" s="6">
        <f t="shared" si="33"/>
        <v>3113.6639645705282</v>
      </c>
      <c r="AW281" s="6">
        <f t="shared" si="33"/>
        <v>3144.0391992134219</v>
      </c>
      <c r="AX281" s="6">
        <f t="shared" si="33"/>
        <v>3181.9728634649555</v>
      </c>
      <c r="AY281" s="6">
        <f t="shared" si="33"/>
        <v>3102.5854544677545</v>
      </c>
      <c r="AZ281" s="6">
        <f t="shared" si="33"/>
        <v>3023.252569177283</v>
      </c>
      <c r="BA281" s="6">
        <f t="shared" si="33"/>
        <v>2943.9721773693782</v>
      </c>
    </row>
    <row r="282" spans="1:53" outlineLevel="1" x14ac:dyDescent="0.35">
      <c r="A282" s="6" t="s">
        <v>38</v>
      </c>
      <c r="B282" s="6">
        <f t="shared" si="30"/>
        <v>7173.8295208590289</v>
      </c>
      <c r="AB282" s="6" t="s">
        <v>124</v>
      </c>
      <c r="AC282" s="6">
        <f>-$AC$264*$AC$263</f>
        <v>-50000</v>
      </c>
      <c r="AD282" s="6">
        <f t="shared" ref="AD282:BA282" si="34">-$AC$264*$AC$263</f>
        <v>-50000</v>
      </c>
      <c r="AE282" s="6">
        <f t="shared" si="34"/>
        <v>-50000</v>
      </c>
      <c r="AF282" s="6">
        <f t="shared" si="34"/>
        <v>-50000</v>
      </c>
      <c r="AG282" s="6">
        <f t="shared" si="34"/>
        <v>-50000</v>
      </c>
      <c r="AH282" s="6">
        <f t="shared" si="34"/>
        <v>-50000</v>
      </c>
      <c r="AI282" s="6">
        <f t="shared" si="34"/>
        <v>-50000</v>
      </c>
      <c r="AJ282" s="6">
        <f t="shared" si="34"/>
        <v>-50000</v>
      </c>
      <c r="AK282" s="6">
        <f t="shared" si="34"/>
        <v>-50000</v>
      </c>
      <c r="AL282" s="6">
        <f t="shared" si="34"/>
        <v>-50000</v>
      </c>
      <c r="AM282" s="6">
        <f t="shared" si="34"/>
        <v>-50000</v>
      </c>
      <c r="AN282" s="6">
        <f t="shared" si="34"/>
        <v>-50000</v>
      </c>
      <c r="AO282" s="6">
        <f t="shared" si="34"/>
        <v>-50000</v>
      </c>
      <c r="AP282" s="6">
        <f t="shared" si="34"/>
        <v>-50000</v>
      </c>
      <c r="AQ282" s="6">
        <f t="shared" si="34"/>
        <v>-50000</v>
      </c>
      <c r="AR282" s="6">
        <f t="shared" si="34"/>
        <v>-50000</v>
      </c>
      <c r="AS282" s="6">
        <f t="shared" si="34"/>
        <v>-50000</v>
      </c>
      <c r="AT282" s="6">
        <f t="shared" si="34"/>
        <v>-50000</v>
      </c>
      <c r="AU282" s="6">
        <f t="shared" si="34"/>
        <v>-50000</v>
      </c>
      <c r="AV282" s="6">
        <f t="shared" si="34"/>
        <v>-50000</v>
      </c>
      <c r="AW282" s="6">
        <f t="shared" si="34"/>
        <v>-50000</v>
      </c>
      <c r="AX282" s="6">
        <f t="shared" si="34"/>
        <v>-50000</v>
      </c>
      <c r="AY282" s="6">
        <f t="shared" si="34"/>
        <v>-50000</v>
      </c>
      <c r="AZ282" s="6">
        <f t="shared" si="34"/>
        <v>-50000</v>
      </c>
      <c r="BA282" s="6">
        <f t="shared" si="34"/>
        <v>-50000</v>
      </c>
    </row>
    <row r="283" spans="1:53" outlineLevel="1" x14ac:dyDescent="0.35">
      <c r="A283" s="6" t="s">
        <v>39</v>
      </c>
      <c r="B283" s="6">
        <f t="shared" si="30"/>
        <v>13142.75284581364</v>
      </c>
      <c r="AB283" s="23" t="s">
        <v>125</v>
      </c>
      <c r="AC283" s="17">
        <f t="shared" ref="AC283:BA283" si="35">SUM(AC274:AC282)</f>
        <v>8359.5786752998829</v>
      </c>
      <c r="AD283" s="17">
        <f t="shared" si="35"/>
        <v>-38970.915614320707</v>
      </c>
      <c r="AE283" s="17">
        <f t="shared" si="35"/>
        <v>-38988.814660103715</v>
      </c>
      <c r="AF283" s="17">
        <f t="shared" si="35"/>
        <v>-37638.211159258382</v>
      </c>
      <c r="AG283" s="17">
        <f t="shared" si="35"/>
        <v>-39053.984448401097</v>
      </c>
      <c r="AH283" s="17">
        <f t="shared" si="35"/>
        <v>-39070.512330650206</v>
      </c>
      <c r="AI283" s="17">
        <f t="shared" si="35"/>
        <v>-37585.188886589465</v>
      </c>
      <c r="AJ283" s="17">
        <f t="shared" si="35"/>
        <v>-38888.58209848823</v>
      </c>
      <c r="AK283" s="17">
        <f t="shared" si="35"/>
        <v>-38815.860463127327</v>
      </c>
      <c r="AL283" s="17">
        <f t="shared" si="35"/>
        <v>-37330.196821137826</v>
      </c>
      <c r="AM283" s="17">
        <f t="shared" si="35"/>
        <v>-38630.639184921703</v>
      </c>
      <c r="AN283" s="17">
        <f t="shared" si="35"/>
        <v>-38455.89757216112</v>
      </c>
      <c r="AO283" s="17">
        <f t="shared" si="35"/>
        <v>-36883.997077388107</v>
      </c>
      <c r="AP283" s="17">
        <f t="shared" si="35"/>
        <v>-38109.948964150732</v>
      </c>
      <c r="AQ283" s="17">
        <f t="shared" si="35"/>
        <v>-37934.871057090815</v>
      </c>
      <c r="AR283" s="17">
        <f t="shared" si="35"/>
        <v>-36358.355862202297</v>
      </c>
      <c r="AS283" s="17">
        <f t="shared" si="35"/>
        <v>-37748.517247887547</v>
      </c>
      <c r="AT283" s="17">
        <f t="shared" si="35"/>
        <v>-37737.798756186203</v>
      </c>
      <c r="AU283" s="17">
        <f t="shared" si="35"/>
        <v>-36348.952539421261</v>
      </c>
      <c r="AV283" s="17">
        <f t="shared" si="35"/>
        <v>-37720.520029934181</v>
      </c>
      <c r="AW283" s="17">
        <f t="shared" si="35"/>
        <v>-37710.015361258964</v>
      </c>
      <c r="AX283" s="17">
        <f t="shared" si="35"/>
        <v>-36323.6954791479</v>
      </c>
      <c r="AY283" s="17">
        <f t="shared" si="35"/>
        <v>-37794.425215937801</v>
      </c>
      <c r="AZ283" s="17">
        <f t="shared" si="35"/>
        <v>-37901.54710184619</v>
      </c>
      <c r="BA283" s="17">
        <f t="shared" si="35"/>
        <v>-35803.37896181352</v>
      </c>
    </row>
    <row r="284" spans="1:53" outlineLevel="1" x14ac:dyDescent="0.35">
      <c r="A284" s="6" t="s">
        <v>41</v>
      </c>
      <c r="B284" s="6">
        <f t="shared" si="30"/>
        <v>259.19425167474537</v>
      </c>
    </row>
    <row r="285" spans="1:53" outlineLevel="1" x14ac:dyDescent="0.35">
      <c r="A285" s="6" t="s">
        <v>43</v>
      </c>
      <c r="B285" s="6">
        <f t="shared" si="30"/>
        <v>632.55655211301337</v>
      </c>
      <c r="AB285" s="272"/>
      <c r="AC285" s="272"/>
      <c r="AD285" s="272"/>
      <c r="AE285" s="272"/>
      <c r="AF285" s="272"/>
      <c r="AG285" s="272"/>
      <c r="AH285" s="272"/>
      <c r="AI285" s="272"/>
      <c r="AJ285" s="272"/>
      <c r="AK285" s="272"/>
      <c r="AL285" s="272"/>
      <c r="AM285" s="272"/>
      <c r="AN285" s="272"/>
      <c r="AO285" s="272"/>
      <c r="AP285" s="272"/>
      <c r="AQ285" s="272"/>
      <c r="AR285" s="272"/>
      <c r="AS285" s="272"/>
      <c r="AT285" s="272"/>
      <c r="AU285" s="272"/>
      <c r="AV285" s="272"/>
      <c r="AW285" s="272"/>
      <c r="AX285" s="272"/>
      <c r="AY285" s="272"/>
      <c r="AZ285" s="272"/>
      <c r="BA285" s="272"/>
    </row>
    <row r="286" spans="1:53" outlineLevel="1" x14ac:dyDescent="0.35">
      <c r="A286" s="6" t="s">
        <v>44</v>
      </c>
      <c r="B286" s="6">
        <f>B22*AC265</f>
        <v>1435.961516548145</v>
      </c>
      <c r="AB286" s="272"/>
      <c r="AC286" s="272"/>
      <c r="AD286" s="272"/>
      <c r="AE286" s="272"/>
      <c r="AF286" s="272"/>
      <c r="AG286" s="272"/>
      <c r="AH286" s="272"/>
      <c r="AI286" s="272"/>
      <c r="AJ286" s="272"/>
      <c r="AK286" s="272"/>
      <c r="AL286" s="272"/>
      <c r="AM286" s="272"/>
      <c r="AN286" s="272"/>
      <c r="AO286" s="272"/>
      <c r="AP286" s="272"/>
      <c r="AQ286" s="272"/>
      <c r="AR286" s="272"/>
      <c r="AS286" s="272"/>
      <c r="AT286" s="272"/>
      <c r="AU286" s="272"/>
      <c r="AV286" s="272"/>
      <c r="AW286" s="272"/>
      <c r="AX286" s="272"/>
      <c r="AY286" s="272"/>
      <c r="AZ286" s="272"/>
      <c r="BA286" s="272"/>
    </row>
    <row r="287" spans="1:53" outlineLevel="1" x14ac:dyDescent="0.35">
      <c r="A287" s="6" t="s">
        <v>757</v>
      </c>
      <c r="B287" s="6">
        <f>B23*AC265</f>
        <v>9656.9046924602608</v>
      </c>
      <c r="AB287" s="272"/>
      <c r="AC287" s="272"/>
      <c r="AD287" s="272"/>
      <c r="AE287" s="272"/>
      <c r="AF287" s="272"/>
      <c r="AG287" s="272"/>
      <c r="AH287" s="272"/>
      <c r="AI287" s="272"/>
      <c r="AJ287" s="272"/>
      <c r="AK287" s="272"/>
      <c r="AL287" s="272"/>
      <c r="AM287" s="272"/>
      <c r="AN287" s="272"/>
      <c r="AO287" s="272"/>
      <c r="AP287" s="272"/>
      <c r="AQ287" s="272"/>
      <c r="AR287" s="272"/>
      <c r="AS287" s="272"/>
      <c r="AT287" s="272"/>
      <c r="AU287" s="272"/>
      <c r="AV287" s="272"/>
      <c r="AW287" s="272"/>
      <c r="AX287" s="272"/>
      <c r="AY287" s="272"/>
      <c r="AZ287" s="272"/>
      <c r="BA287" s="272"/>
    </row>
    <row r="288" spans="1:53" outlineLevel="1" x14ac:dyDescent="0.35">
      <c r="A288" s="6" t="s">
        <v>22</v>
      </c>
      <c r="Z288" s="6">
        <f t="shared" ref="Z288:Z299" si="36">Z24</f>
        <v>18.639704862851399</v>
      </c>
      <c r="AB288" s="272"/>
      <c r="AC288" s="272"/>
      <c r="AD288" s="272"/>
      <c r="AE288" s="272"/>
      <c r="AF288" s="272"/>
      <c r="AG288" s="272"/>
      <c r="AH288" s="272"/>
      <c r="AI288" s="272"/>
      <c r="AJ288" s="272"/>
      <c r="AK288" s="272"/>
      <c r="AL288" s="272"/>
      <c r="AM288" s="272"/>
      <c r="AN288" s="272"/>
      <c r="AO288" s="272"/>
      <c r="AP288" s="272"/>
      <c r="AQ288" s="272"/>
      <c r="AR288" s="272"/>
      <c r="AS288" s="272"/>
      <c r="AT288" s="272"/>
      <c r="AU288" s="272"/>
      <c r="AV288" s="272"/>
      <c r="AW288" s="272"/>
      <c r="AX288" s="272"/>
      <c r="AY288" s="272"/>
      <c r="AZ288" s="272"/>
      <c r="BA288" s="272"/>
    </row>
    <row r="289" spans="1:53" outlineLevel="1" x14ac:dyDescent="0.35">
      <c r="A289" s="6" t="s">
        <v>24</v>
      </c>
      <c r="Z289" s="6">
        <f t="shared" si="36"/>
        <v>7.340680538911645</v>
      </c>
      <c r="AB289" s="272"/>
      <c r="AC289" s="272"/>
      <c r="AD289" s="272"/>
      <c r="AE289" s="272"/>
      <c r="AF289" s="272"/>
      <c r="AG289" s="272"/>
      <c r="AH289" s="272"/>
      <c r="AI289" s="272"/>
      <c r="AJ289" s="272"/>
      <c r="AK289" s="272"/>
      <c r="AL289" s="272"/>
      <c r="AM289" s="272"/>
      <c r="AN289" s="272"/>
      <c r="AO289" s="272"/>
      <c r="AP289" s="272"/>
      <c r="AQ289" s="272"/>
      <c r="AR289" s="272"/>
      <c r="AS289" s="272"/>
      <c r="AT289" s="272"/>
      <c r="AU289" s="272"/>
      <c r="AV289" s="272"/>
      <c r="AW289" s="272"/>
      <c r="AX289" s="272"/>
      <c r="AY289" s="272"/>
      <c r="AZ289" s="272"/>
      <c r="BA289" s="272"/>
    </row>
    <row r="290" spans="1:53" outlineLevel="1" x14ac:dyDescent="0.35">
      <c r="A290" s="6" t="s">
        <v>25</v>
      </c>
      <c r="Z290" s="6">
        <f t="shared" si="36"/>
        <v>26.617285771445509</v>
      </c>
      <c r="AB290" s="272"/>
      <c r="AC290" s="272"/>
      <c r="AD290" s="272"/>
      <c r="AE290" s="272"/>
      <c r="AF290" s="272"/>
      <c r="AG290" s="272"/>
      <c r="AH290" s="272"/>
      <c r="AI290" s="272"/>
      <c r="AJ290" s="272"/>
      <c r="AK290" s="272"/>
      <c r="AL290" s="272"/>
      <c r="AM290" s="272"/>
      <c r="AN290" s="272"/>
      <c r="AO290" s="272"/>
      <c r="AP290" s="272"/>
      <c r="AQ290" s="272"/>
      <c r="AR290" s="272"/>
      <c r="AS290" s="272"/>
      <c r="AT290" s="272"/>
      <c r="AU290" s="272"/>
      <c r="AV290" s="272"/>
      <c r="AW290" s="272"/>
      <c r="AX290" s="272"/>
      <c r="AY290" s="272"/>
      <c r="AZ290" s="272"/>
      <c r="BA290" s="272"/>
    </row>
    <row r="291" spans="1:53" outlineLevel="1" x14ac:dyDescent="0.35">
      <c r="A291" s="6" t="s">
        <v>27</v>
      </c>
      <c r="Z291" s="6">
        <f t="shared" si="36"/>
        <v>8.6307208439382688</v>
      </c>
      <c r="AB291" s="272"/>
      <c r="AC291" s="272"/>
      <c r="AD291" s="272"/>
      <c r="AE291" s="272"/>
      <c r="AF291" s="272"/>
      <c r="AG291" s="272"/>
      <c r="AH291" s="272"/>
      <c r="AI291" s="272"/>
      <c r="AJ291" s="272"/>
      <c r="AK291" s="272"/>
      <c r="AL291" s="272"/>
      <c r="AM291" s="272"/>
      <c r="AN291" s="272"/>
      <c r="AO291" s="272"/>
      <c r="AP291" s="272"/>
      <c r="AQ291" s="272"/>
      <c r="AR291" s="272"/>
      <c r="AS291" s="272"/>
      <c r="AT291" s="272"/>
      <c r="AU291" s="272"/>
      <c r="AV291" s="272"/>
      <c r="AW291" s="272"/>
      <c r="AX291" s="272"/>
      <c r="AY291" s="272"/>
      <c r="AZ291" s="272"/>
      <c r="BA291" s="272"/>
    </row>
    <row r="292" spans="1:53" outlineLevel="1" x14ac:dyDescent="0.35">
      <c r="A292" s="6" t="s">
        <v>30</v>
      </c>
      <c r="Z292" s="6">
        <f t="shared" si="36"/>
        <v>24.266342345257758</v>
      </c>
      <c r="AB292" s="272"/>
      <c r="AC292" s="272"/>
      <c r="AD292" s="272"/>
      <c r="AE292" s="272"/>
      <c r="AF292" s="272"/>
      <c r="AG292" s="272"/>
      <c r="AH292" s="272"/>
      <c r="AI292" s="272"/>
      <c r="AJ292" s="272"/>
      <c r="AK292" s="272"/>
      <c r="AL292" s="272"/>
      <c r="AM292" s="272"/>
      <c r="AN292" s="272"/>
      <c r="AO292" s="272"/>
      <c r="AP292" s="272"/>
      <c r="AQ292" s="272"/>
      <c r="AR292" s="272"/>
      <c r="AS292" s="272"/>
      <c r="AT292" s="272"/>
      <c r="AU292" s="272"/>
      <c r="AV292" s="272"/>
      <c r="AW292" s="272"/>
      <c r="AX292" s="272"/>
      <c r="AY292" s="272"/>
      <c r="AZ292" s="272"/>
      <c r="BA292" s="272"/>
    </row>
    <row r="293" spans="1:53" outlineLevel="1" x14ac:dyDescent="0.35">
      <c r="A293" s="6" t="s">
        <v>32</v>
      </c>
      <c r="Z293" s="6">
        <f t="shared" si="36"/>
        <v>1.1728228925437281</v>
      </c>
      <c r="AB293" s="272"/>
      <c r="AC293" s="272"/>
      <c r="AD293" s="272"/>
      <c r="AE293" s="272"/>
      <c r="AF293" s="272"/>
      <c r="AG293" s="272"/>
      <c r="AH293" s="272"/>
      <c r="AI293" s="272"/>
      <c r="AJ293" s="272"/>
      <c r="AK293" s="272"/>
      <c r="AL293" s="272"/>
      <c r="AM293" s="272"/>
      <c r="AN293" s="272"/>
      <c r="AO293" s="272"/>
      <c r="AP293" s="272"/>
      <c r="AQ293" s="272"/>
      <c r="AR293" s="272"/>
      <c r="AS293" s="272"/>
      <c r="AT293" s="272"/>
      <c r="AU293" s="272"/>
      <c r="AV293" s="272"/>
      <c r="AW293" s="272"/>
      <c r="AX293" s="272"/>
      <c r="AY293" s="272"/>
      <c r="AZ293" s="272"/>
      <c r="BA293" s="272"/>
    </row>
    <row r="294" spans="1:53" outlineLevel="1" x14ac:dyDescent="0.35">
      <c r="A294" s="6" t="s">
        <v>33</v>
      </c>
      <c r="Z294" s="6">
        <f t="shared" si="36"/>
        <v>5.8011209073200991</v>
      </c>
      <c r="AB294" s="272"/>
      <c r="AC294" s="272"/>
      <c r="AD294" s="272"/>
      <c r="AE294" s="272"/>
      <c r="AF294" s="272"/>
      <c r="AG294" s="272"/>
      <c r="AH294" s="272"/>
      <c r="AI294" s="272"/>
      <c r="AJ294" s="272"/>
      <c r="AK294" s="272"/>
      <c r="AL294" s="272"/>
      <c r="AM294" s="272"/>
      <c r="AN294" s="272"/>
      <c r="AO294" s="272"/>
      <c r="AP294" s="272"/>
      <c r="AQ294" s="272"/>
      <c r="AR294" s="272"/>
      <c r="AS294" s="272"/>
      <c r="AT294" s="272"/>
      <c r="AU294" s="272"/>
      <c r="AV294" s="272"/>
      <c r="AW294" s="272"/>
      <c r="AX294" s="272"/>
      <c r="AY294" s="272"/>
      <c r="AZ294" s="272"/>
      <c r="BA294" s="272"/>
    </row>
    <row r="295" spans="1:53" outlineLevel="1" x14ac:dyDescent="0.35">
      <c r="A295" s="6" t="s">
        <v>35</v>
      </c>
      <c r="Z295" s="6">
        <f t="shared" si="36"/>
        <v>11.6022418146402</v>
      </c>
      <c r="AB295" s="272"/>
      <c r="AC295" s="272"/>
      <c r="AD295" s="272"/>
      <c r="AE295" s="272"/>
      <c r="AF295" s="272"/>
      <c r="AG295" s="272"/>
      <c r="AH295" s="272"/>
      <c r="AI295" s="272"/>
      <c r="AJ295" s="272"/>
      <c r="AK295" s="272"/>
      <c r="AL295" s="272"/>
      <c r="AM295" s="272"/>
      <c r="AN295" s="272"/>
      <c r="AO295" s="272"/>
      <c r="AP295" s="272"/>
      <c r="AQ295" s="272"/>
      <c r="AR295" s="272"/>
      <c r="AS295" s="272"/>
      <c r="AT295" s="272"/>
      <c r="AU295" s="272"/>
      <c r="AV295" s="272"/>
      <c r="AW295" s="272"/>
      <c r="AX295" s="272"/>
      <c r="AY295" s="272"/>
      <c r="AZ295" s="272"/>
      <c r="BA295" s="272"/>
    </row>
    <row r="296" spans="1:53" outlineLevel="1" x14ac:dyDescent="0.35">
      <c r="A296" s="6" t="s">
        <v>37</v>
      </c>
      <c r="Z296" s="6">
        <f t="shared" si="36"/>
        <v>18.16680365278004</v>
      </c>
      <c r="AB296" s="272"/>
      <c r="AC296" s="272"/>
      <c r="AD296" s="272"/>
      <c r="AE296" s="272"/>
      <c r="AF296" s="272"/>
      <c r="AG296" s="272"/>
      <c r="AH296" s="272"/>
      <c r="AI296" s="272"/>
      <c r="AJ296" s="272"/>
      <c r="AK296" s="272"/>
      <c r="AL296" s="272"/>
      <c r="AM296" s="272"/>
      <c r="AN296" s="272"/>
      <c r="AO296" s="272"/>
      <c r="AP296" s="272"/>
      <c r="AQ296" s="272"/>
      <c r="AR296" s="272"/>
      <c r="AS296" s="272"/>
      <c r="AT296" s="272"/>
      <c r="AU296" s="272"/>
      <c r="AV296" s="272"/>
      <c r="AW296" s="272"/>
      <c r="AX296" s="272"/>
      <c r="AY296" s="272"/>
      <c r="AZ296" s="272"/>
      <c r="BA296" s="272"/>
    </row>
    <row r="297" spans="1:53" outlineLevel="1" x14ac:dyDescent="0.35">
      <c r="A297" s="6" t="s">
        <v>40</v>
      </c>
      <c r="Z297" s="6">
        <f t="shared" si="36"/>
        <v>390.41739046178918</v>
      </c>
    </row>
    <row r="298" spans="1:53" outlineLevel="1" x14ac:dyDescent="0.35">
      <c r="A298" s="6" t="s">
        <v>42</v>
      </c>
      <c r="Z298" s="6">
        <f t="shared" si="36"/>
        <v>46.649022568589473</v>
      </c>
    </row>
    <row r="299" spans="1:53" outlineLevel="1" x14ac:dyDescent="0.35">
      <c r="A299" s="6" t="s">
        <v>115</v>
      </c>
      <c r="Z299" s="6">
        <f t="shared" si="36"/>
        <v>297.38160458434419</v>
      </c>
    </row>
    <row r="300" spans="1:53" outlineLevel="1" x14ac:dyDescent="0.35">
      <c r="A300" s="6" t="s">
        <v>45</v>
      </c>
      <c r="Z300" s="6">
        <f>Z36*AC265</f>
        <v>11.952750702179941</v>
      </c>
    </row>
    <row r="301" spans="1:53" outlineLevel="1" x14ac:dyDescent="0.35">
      <c r="A301" s="6" t="s">
        <v>116</v>
      </c>
      <c r="B301" s="6">
        <f>B37</f>
        <v>1412.262440014819</v>
      </c>
      <c r="C301" s="6">
        <f t="shared" ref="C301:Z301" si="37">C37</f>
        <v>1409.7537543248011</v>
      </c>
      <c r="D301" s="6">
        <f t="shared" si="37"/>
        <v>1407.270973602039</v>
      </c>
      <c r="E301" s="6">
        <f t="shared" si="37"/>
        <v>1398.947377491419</v>
      </c>
      <c r="F301" s="6">
        <f t="shared" si="37"/>
        <v>1396.503154004482</v>
      </c>
      <c r="G301" s="6">
        <f t="shared" si="37"/>
        <v>1394.0699687116521</v>
      </c>
      <c r="H301" s="6">
        <f t="shared" si="37"/>
        <v>1394.6883638131801</v>
      </c>
      <c r="I301" s="6">
        <f t="shared" si="37"/>
        <v>1395.3251464654811</v>
      </c>
      <c r="J301" s="6">
        <f t="shared" si="37"/>
        <v>1392.429080046333</v>
      </c>
      <c r="K301" s="6">
        <f t="shared" si="37"/>
        <v>1393.1438101355629</v>
      </c>
      <c r="L301" s="6">
        <f t="shared" si="37"/>
        <v>1393.8696800420209</v>
      </c>
      <c r="M301" s="6">
        <f t="shared" si="37"/>
        <v>1395.423573271461</v>
      </c>
      <c r="N301" s="6">
        <f t="shared" si="37"/>
        <v>1396.982775239785</v>
      </c>
      <c r="O301" s="6">
        <f t="shared" si="37"/>
        <v>1397.710564548009</v>
      </c>
      <c r="P301" s="6">
        <f t="shared" si="37"/>
        <v>1399.3055922191111</v>
      </c>
      <c r="Q301" s="6">
        <f t="shared" si="37"/>
        <v>1400.903339877279</v>
      </c>
      <c r="R301" s="6">
        <f t="shared" si="37"/>
        <v>1394.961644306168</v>
      </c>
      <c r="S301" s="6">
        <f t="shared" si="37"/>
        <v>1388.9989568984579</v>
      </c>
      <c r="T301" s="6">
        <f t="shared" si="37"/>
        <v>1382.1741284587449</v>
      </c>
      <c r="U301" s="6">
        <f t="shared" si="37"/>
        <v>1376.158478571163</v>
      </c>
      <c r="V301" s="6">
        <f t="shared" si="37"/>
        <v>1370.107237608559</v>
      </c>
      <c r="W301" s="6">
        <f t="shared" si="37"/>
        <v>1363.5449444910939</v>
      </c>
      <c r="X301" s="6">
        <f t="shared" si="37"/>
        <v>1354.6024742797381</v>
      </c>
      <c r="Y301" s="6">
        <f t="shared" si="37"/>
        <v>1345.620807514438</v>
      </c>
      <c r="Z301" s="6">
        <f t="shared" si="37"/>
        <v>1336.5991252427</v>
      </c>
    </row>
    <row r="302" spans="1:53" outlineLevel="1" x14ac:dyDescent="0.35">
      <c r="A302" s="6" t="s">
        <v>758</v>
      </c>
      <c r="B302" s="6">
        <f>B38*$AC$265</f>
        <v>1613.5321416004679</v>
      </c>
      <c r="C302" s="6">
        <f t="shared" ref="C302:Z303" si="38">C38*$AC$265</f>
        <v>1610.2410032403518</v>
      </c>
      <c r="D302" s="6">
        <f t="shared" si="38"/>
        <v>1606.9633061053703</v>
      </c>
      <c r="E302" s="6">
        <f t="shared" si="38"/>
        <v>1602.137755196298</v>
      </c>
      <c r="F302" s="6">
        <f t="shared" si="38"/>
        <v>1598.8905266655599</v>
      </c>
      <c r="G302" s="6">
        <f t="shared" si="38"/>
        <v>1595.6466002694665</v>
      </c>
      <c r="H302" s="6">
        <f t="shared" si="38"/>
        <v>1699.6247660288293</v>
      </c>
      <c r="I302" s="6">
        <f t="shared" si="38"/>
        <v>1802.9612175401339</v>
      </c>
      <c r="J302" s="6">
        <f t="shared" si="38"/>
        <v>1904.6412470343</v>
      </c>
      <c r="K302" s="6">
        <f t="shared" si="38"/>
        <v>2006.8337349759126</v>
      </c>
      <c r="L302" s="6">
        <f t="shared" si="38"/>
        <v>2108.3054936810604</v>
      </c>
      <c r="M302" s="6">
        <f t="shared" si="38"/>
        <v>2286.5910582510237</v>
      </c>
      <c r="N302" s="6">
        <f t="shared" si="38"/>
        <v>2464.0699069619536</v>
      </c>
      <c r="O302" s="6">
        <f t="shared" si="38"/>
        <v>2640.5431401025053</v>
      </c>
      <c r="P302" s="6">
        <f t="shared" si="38"/>
        <v>2816.3943445448313</v>
      </c>
      <c r="Q302" s="6">
        <f t="shared" si="38"/>
        <v>2991.4341883279881</v>
      </c>
      <c r="R302" s="6">
        <f t="shared" si="38"/>
        <v>3022.1799413741155</v>
      </c>
      <c r="S302" s="6">
        <f t="shared" si="38"/>
        <v>3052.8266575616381</v>
      </c>
      <c r="T302" s="6">
        <f t="shared" si="38"/>
        <v>3083.1998108444259</v>
      </c>
      <c r="U302" s="6">
        <f t="shared" si="38"/>
        <v>3113.6639645705282</v>
      </c>
      <c r="V302" s="6">
        <f t="shared" si="38"/>
        <v>3144.0391992134219</v>
      </c>
      <c r="W302" s="6">
        <f t="shared" si="38"/>
        <v>3181.9728634649555</v>
      </c>
      <c r="X302" s="6">
        <f t="shared" si="38"/>
        <v>3102.5854544677545</v>
      </c>
      <c r="Y302" s="6">
        <f t="shared" si="38"/>
        <v>3023.252569177283</v>
      </c>
      <c r="Z302" s="6">
        <f t="shared" si="38"/>
        <v>2943.9721773693782</v>
      </c>
    </row>
    <row r="303" spans="1:53" outlineLevel="1" x14ac:dyDescent="0.35">
      <c r="A303" s="6" t="s">
        <v>759</v>
      </c>
      <c r="B303" s="6">
        <f>B39*$AC$265</f>
        <v>0</v>
      </c>
      <c r="C303" s="6">
        <f t="shared" si="38"/>
        <v>0</v>
      </c>
      <c r="D303" s="6">
        <f t="shared" si="38"/>
        <v>0</v>
      </c>
      <c r="E303" s="6">
        <f t="shared" si="38"/>
        <v>0</v>
      </c>
      <c r="F303" s="6">
        <f t="shared" si="38"/>
        <v>0</v>
      </c>
      <c r="G303" s="6">
        <f t="shared" si="38"/>
        <v>0</v>
      </c>
      <c r="H303" s="6">
        <f t="shared" si="38"/>
        <v>0</v>
      </c>
      <c r="I303" s="6">
        <f t="shared" si="38"/>
        <v>0</v>
      </c>
      <c r="J303" s="6">
        <f t="shared" si="38"/>
        <v>0</v>
      </c>
      <c r="K303" s="6">
        <f t="shared" si="38"/>
        <v>0</v>
      </c>
      <c r="L303" s="6">
        <f t="shared" si="38"/>
        <v>0</v>
      </c>
      <c r="M303" s="6">
        <f t="shared" si="38"/>
        <v>0</v>
      </c>
      <c r="N303" s="6">
        <f t="shared" si="38"/>
        <v>0</v>
      </c>
      <c r="O303" s="6">
        <f t="shared" si="38"/>
        <v>0</v>
      </c>
      <c r="P303" s="6">
        <f t="shared" si="38"/>
        <v>0</v>
      </c>
      <c r="Q303" s="6">
        <f t="shared" si="38"/>
        <v>0</v>
      </c>
      <c r="R303" s="6">
        <f t="shared" si="38"/>
        <v>0</v>
      </c>
      <c r="S303" s="6">
        <f t="shared" si="38"/>
        <v>0</v>
      </c>
      <c r="T303" s="6">
        <f t="shared" si="38"/>
        <v>0</v>
      </c>
      <c r="U303" s="6">
        <f t="shared" si="38"/>
        <v>0</v>
      </c>
      <c r="V303" s="6">
        <f t="shared" si="38"/>
        <v>0</v>
      </c>
      <c r="W303" s="6">
        <f t="shared" si="38"/>
        <v>0</v>
      </c>
      <c r="X303" s="6">
        <f t="shared" si="38"/>
        <v>0</v>
      </c>
      <c r="Y303" s="6">
        <f t="shared" si="38"/>
        <v>0</v>
      </c>
      <c r="Z303" s="6">
        <f t="shared" si="38"/>
        <v>0</v>
      </c>
    </row>
    <row r="304" spans="1:53" outlineLevel="1" x14ac:dyDescent="0.35">
      <c r="A304" s="6" t="s">
        <v>760</v>
      </c>
      <c r="B304" s="6">
        <f>150000*$AC$265*'Results - raw data ReCiPe (I)'!CC114/(1-0.5)*(1+'Results ReCiPe (I) - HHD'!$AC$271/'Results ReCiPe (I) - HHD'!$AC$272-'Results ReCiPe (I) - HHD'!$AC$271)</f>
        <v>4244.5331060978733</v>
      </c>
      <c r="C304" s="6">
        <f>150000*$AC$265*'Results - raw data ReCiPe (I)'!CD114/(1-0.5)*(1+'Results ReCiPe (I) - HHD'!$AC$271/'Results ReCiPe (I) - HHD'!$AC$272-'Results ReCiPe (I) - HHD'!$AC$271)</f>
        <v>4229.3927379675879</v>
      </c>
      <c r="D304" s="6">
        <f>150000*$AC$265*'Results - raw data ReCiPe (I)'!CE114/(1-0.5)*(1+'Results ReCiPe (I) - HHD'!$AC$271/'Results ReCiPe (I) - HHD'!$AC$272-'Results ReCiPe (I) - HHD'!$AC$271)</f>
        <v>4214.7713893195614</v>
      </c>
      <c r="E304" s="6">
        <f>150000*$AC$265*'Results - raw data ReCiPe (I)'!CF114/(1-0.5)*(1+'Results ReCiPe (I) - HHD'!$AC$271/'Results ReCiPe (I) - HHD'!$AC$272-'Results ReCiPe (I) - HHD'!$AC$271)</f>
        <v>4171.2530635825487</v>
      </c>
      <c r="F304" s="6">
        <f>150000*$AC$265*'Results - raw data ReCiPe (I)'!CG114/(1-0.5)*(1+'Results ReCiPe (I) - HHD'!$AC$271/'Results ReCiPe (I) - HHD'!$AC$272-'Results ReCiPe (I) - HHD'!$AC$271)</f>
        <v>4157.6743804619819</v>
      </c>
      <c r="G304" s="6">
        <f>150000*$AC$265*'Results - raw data ReCiPe (I)'!CH114/(1-0.5)*(1+'Results ReCiPe (I) - HHD'!$AC$271/'Results ReCiPe (I) - HHD'!$AC$272-'Results ReCiPe (I) - HHD'!$AC$271)</f>
        <v>4144.3904246089678</v>
      </c>
      <c r="H304" s="6">
        <f>150000*$AC$265*'Results - raw data ReCiPe (I)'!CI114/(1-0.5)*(1+'Results ReCiPe (I) - HHD'!$AC$271/'Results ReCiPe (I) - HHD'!$AC$272-'Results ReCiPe (I) - HHD'!$AC$271)</f>
        <v>4131.0473390971711</v>
      </c>
      <c r="I304" s="6">
        <f>150000*$AC$265*'Results - raw data ReCiPe (I)'!CJ114/(1-0.5)*(1+'Results ReCiPe (I) - HHD'!$AC$271/'Results ReCiPe (I) - HHD'!$AC$272-'Results ReCiPe (I) - HHD'!$AC$271)</f>
        <v>4119.0060395002793</v>
      </c>
      <c r="J304" s="6">
        <f>150000*$AC$265*'Results - raw data ReCiPe (I)'!CK114/(1-0.5)*(1+'Results ReCiPe (I) - HHD'!$AC$271/'Results ReCiPe (I) - HHD'!$AC$272-'Results ReCiPe (I) - HHD'!$AC$271)</f>
        <v>4090.0476453670153</v>
      </c>
      <c r="K304" s="6">
        <f>150000*$AC$265*'Results - raw data ReCiPe (I)'!CL114/(1-0.5)*(1+'Results ReCiPe (I) - HHD'!$AC$271/'Results ReCiPe (I) - HHD'!$AC$272-'Results ReCiPe (I) - HHD'!$AC$271)</f>
        <v>4080.3749892793389</v>
      </c>
      <c r="L304" s="6">
        <f>150000*$AC$265*'Results - raw data ReCiPe (I)'!CM114/(1-0.5)*(1+'Results ReCiPe (I) - HHD'!$AC$271/'Results ReCiPe (I) - HHD'!$AC$272-'Results ReCiPe (I) - HHD'!$AC$271)</f>
        <v>4071.6046769258764</v>
      </c>
      <c r="M304" s="6">
        <f>150000*$AC$265*'Results - raw data ReCiPe (I)'!CN114/(1-0.5)*(1+'Results ReCiPe (I) - HHD'!$AC$271/'Results ReCiPe (I) - HHD'!$AC$272-'Results ReCiPe (I) - HHD'!$AC$271)</f>
        <v>4068.0607251164961</v>
      </c>
      <c r="N304" s="6">
        <f>150000*$AC$265*'Results - raw data ReCiPe (I)'!CO114/(1-0.5)*(1+'Results ReCiPe (I) - HHD'!$AC$271/'Results ReCiPe (I) - HHD'!$AC$272-'Results ReCiPe (I) - HHD'!$AC$271)</f>
        <v>4065.4995959387952</v>
      </c>
      <c r="O304" s="6">
        <f>150000*$AC$265*'Results - raw data ReCiPe (I)'!CP114/(1-0.5)*(1+'Results ReCiPe (I) - HHD'!$AC$271/'Results ReCiPe (I) - HHD'!$AC$272-'Results ReCiPe (I) - HHD'!$AC$271)</f>
        <v>4060.0572512754056</v>
      </c>
      <c r="P304" s="6">
        <f>150000*$AC$265*'Results - raw data ReCiPe (I)'!CQ114/(1-0.5)*(1+'Results ReCiPe (I) - HHD'!$AC$271/'Results ReCiPe (I) - HHD'!$AC$272-'Results ReCiPe (I) - HHD'!$AC$271)</f>
        <v>4059.2839538929938</v>
      </c>
      <c r="Q304" s="6">
        <f>150000*$AC$265*'Results - raw data ReCiPe (I)'!CR114/(1-0.5)*(1+'Results ReCiPe (I) - HHD'!$AC$271/'Results ReCiPe (I) - HHD'!$AC$272-'Results ReCiPe (I) - HHD'!$AC$271)</f>
        <v>4059.8559651210817</v>
      </c>
      <c r="R304" s="6">
        <f>150000*$AC$265*'Results - raw data ReCiPe (I)'!CS114/(1-0.5)*(1+'Results ReCiPe (I) - HHD'!$AC$271/'Results ReCiPe (I) - HHD'!$AC$272-'Results ReCiPe (I) - HHD'!$AC$271)</f>
        <v>4039.8521662669809</v>
      </c>
      <c r="S304" s="6">
        <f>150000*$AC$265*'Results - raw data ReCiPe (I)'!CT114/(1-0.5)*(1+'Results ReCiPe (I) - HHD'!$AC$271/'Results ReCiPe (I) - HHD'!$AC$272-'Results ReCiPe (I) - HHD'!$AC$271)</f>
        <v>4019.9239417808017</v>
      </c>
      <c r="T304" s="6">
        <f>150000*$AC$265*'Results - raw data ReCiPe (I)'!CU114/(1-0.5)*(1+'Results ReCiPe (I) - HHD'!$AC$271/'Results ReCiPe (I) - HHD'!$AC$272-'Results ReCiPe (I) - HHD'!$AC$271)</f>
        <v>3996.2228768042128</v>
      </c>
      <c r="U304" s="6">
        <f>150000*$AC$265*'Results - raw data ReCiPe (I)'!CV114/(1-0.5)*(1+'Results ReCiPe (I) - HHD'!$AC$271/'Results ReCiPe (I) - HHD'!$AC$272-'Results ReCiPe (I) - HHD'!$AC$271)</f>
        <v>3976.3653610239312</v>
      </c>
      <c r="V304" s="6">
        <f>150000*$AC$265*'Results - raw data ReCiPe (I)'!CW114/(1-0.5)*(1+'Results ReCiPe (I) - HHD'!$AC$271/'Results ReCiPe (I) - HHD'!$AC$272-'Results ReCiPe (I) - HHD'!$AC$271)</f>
        <v>3956.4947950562532</v>
      </c>
      <c r="W304" s="6">
        <f>150000*$AC$265*'Results - raw data ReCiPe (I)'!CX114/(1-0.5)*(1+'Results ReCiPe (I) - HHD'!$AC$271/'Results ReCiPe (I) - HHD'!$AC$272-'Results ReCiPe (I) - HHD'!$AC$271)</f>
        <v>3941.3360684246945</v>
      </c>
      <c r="X304" s="6">
        <f>150000*$AC$265*'Results - raw data ReCiPe (I)'!CY114/(1-0.5)*(1+'Results ReCiPe (I) - HHD'!$AC$271/'Results ReCiPe (I) - HHD'!$AC$272-'Results ReCiPe (I) - HHD'!$AC$271)</f>
        <v>3913.5386851230901</v>
      </c>
      <c r="Y304" s="6">
        <f>150000*$AC$265*'Results - raw data ReCiPe (I)'!CZ114/(1-0.5)*(1+'Results ReCiPe (I) - HHD'!$AC$271/'Results ReCiPe (I) - HHD'!$AC$272-'Results ReCiPe (I) - HHD'!$AC$271)</f>
        <v>3885.7496845051705</v>
      </c>
      <c r="Z304" s="6">
        <f>150000*$AC$265*'Results - raw data ReCiPe (I)'!DA114/(1-0.5)*(1+'Results ReCiPe (I) - HHD'!$AC$271/'Results ReCiPe (I) - HHD'!$AC$272-'Results ReCiPe (I) - HHD'!$AC$271)</f>
        <v>3857.9605991564572</v>
      </c>
    </row>
    <row r="305" spans="1:26" outlineLevel="1" x14ac:dyDescent="0.35">
      <c r="A305" s="6" t="s">
        <v>797</v>
      </c>
      <c r="B305" s="6">
        <f>$B$260*$AC$264</f>
        <v>5189.4506444713561</v>
      </c>
      <c r="C305" s="6">
        <f t="shared" ref="C305:Z305" si="39">$B$260*$AC$264</f>
        <v>5189.4506444713561</v>
      </c>
      <c r="D305" s="6">
        <f t="shared" si="39"/>
        <v>5189.4506444713561</v>
      </c>
      <c r="E305" s="6">
        <f t="shared" si="39"/>
        <v>5189.4506444713561</v>
      </c>
      <c r="F305" s="6">
        <f t="shared" si="39"/>
        <v>5189.4506444713561</v>
      </c>
      <c r="G305" s="6">
        <f t="shared" si="39"/>
        <v>5189.4506444713561</v>
      </c>
      <c r="H305" s="6">
        <f t="shared" si="39"/>
        <v>5189.4506444713561</v>
      </c>
      <c r="I305" s="6">
        <f t="shared" si="39"/>
        <v>5189.4506444713561</v>
      </c>
      <c r="J305" s="6">
        <f t="shared" si="39"/>
        <v>5189.4506444713561</v>
      </c>
      <c r="K305" s="6">
        <f t="shared" si="39"/>
        <v>5189.4506444713561</v>
      </c>
      <c r="L305" s="6">
        <f t="shared" si="39"/>
        <v>5189.4506444713561</v>
      </c>
      <c r="M305" s="6">
        <f t="shared" si="39"/>
        <v>5189.4506444713561</v>
      </c>
      <c r="N305" s="6">
        <f t="shared" si="39"/>
        <v>5189.4506444713561</v>
      </c>
      <c r="O305" s="6">
        <f t="shared" si="39"/>
        <v>5189.4506444713561</v>
      </c>
      <c r="P305" s="6">
        <f t="shared" si="39"/>
        <v>5189.4506444713561</v>
      </c>
      <c r="Q305" s="6">
        <f t="shared" si="39"/>
        <v>5189.4506444713561</v>
      </c>
      <c r="R305" s="6">
        <f t="shared" si="39"/>
        <v>5189.4506444713561</v>
      </c>
      <c r="S305" s="6">
        <f t="shared" si="39"/>
        <v>5189.4506444713561</v>
      </c>
      <c r="T305" s="6">
        <f t="shared" si="39"/>
        <v>5189.4506444713561</v>
      </c>
      <c r="U305" s="6">
        <f t="shared" si="39"/>
        <v>5189.4506444713561</v>
      </c>
      <c r="V305" s="6">
        <f t="shared" si="39"/>
        <v>5189.4506444713561</v>
      </c>
      <c r="W305" s="6">
        <f t="shared" si="39"/>
        <v>5189.4506444713561</v>
      </c>
      <c r="X305" s="6">
        <f t="shared" si="39"/>
        <v>5189.4506444713561</v>
      </c>
      <c r="Y305" s="6">
        <f t="shared" si="39"/>
        <v>5189.4506444713561</v>
      </c>
      <c r="Z305" s="6">
        <f t="shared" si="39"/>
        <v>5189.4506444713561</v>
      </c>
    </row>
    <row r="306" spans="1:26" outlineLevel="1" x14ac:dyDescent="0.35">
      <c r="A306" s="23" t="s">
        <v>125</v>
      </c>
      <c r="B306" s="17">
        <f t="shared" ref="B306:Z306" si="40">SUM(B274:B304)</f>
        <v>53170.128030828528</v>
      </c>
      <c r="C306" s="17">
        <f t="shared" si="40"/>
        <v>7249.387495532741</v>
      </c>
      <c r="D306" s="17">
        <f t="shared" si="40"/>
        <v>7229.0056690269703</v>
      </c>
      <c r="E306" s="17">
        <f t="shared" si="40"/>
        <v>7172.3381962702661</v>
      </c>
      <c r="F306" s="17">
        <f t="shared" si="40"/>
        <v>7153.068061132024</v>
      </c>
      <c r="G306" s="17">
        <f t="shared" si="40"/>
        <v>7134.1069935900869</v>
      </c>
      <c r="H306" s="17">
        <f t="shared" si="40"/>
        <v>7225.3604689391805</v>
      </c>
      <c r="I306" s="17">
        <f t="shared" si="40"/>
        <v>7317.2924035058941</v>
      </c>
      <c r="J306" s="17">
        <f t="shared" si="40"/>
        <v>7387.1179724476478</v>
      </c>
      <c r="K306" s="17">
        <f t="shared" si="40"/>
        <v>7480.352534390815</v>
      </c>
      <c r="L306" s="17">
        <f t="shared" si="40"/>
        <v>7573.779850648958</v>
      </c>
      <c r="M306" s="17">
        <f t="shared" si="40"/>
        <v>7750.0753566389812</v>
      </c>
      <c r="N306" s="17">
        <f t="shared" si="40"/>
        <v>7926.5522781405343</v>
      </c>
      <c r="O306" s="17">
        <f t="shared" si="40"/>
        <v>8098.3109559259192</v>
      </c>
      <c r="P306" s="17">
        <f t="shared" si="40"/>
        <v>8274.9838906569348</v>
      </c>
      <c r="Q306" s="17">
        <f t="shared" si="40"/>
        <v>8452.1934933263492</v>
      </c>
      <c r="R306" s="17">
        <f t="shared" si="40"/>
        <v>8456.9937519472642</v>
      </c>
      <c r="S306" s="17">
        <f t="shared" si="40"/>
        <v>8461.7495562408985</v>
      </c>
      <c r="T306" s="17">
        <f t="shared" si="40"/>
        <v>8461.5968161073833</v>
      </c>
      <c r="U306" s="17">
        <f t="shared" si="40"/>
        <v>8466.1878041656219</v>
      </c>
      <c r="V306" s="17">
        <f t="shared" si="40"/>
        <v>8470.6412318782332</v>
      </c>
      <c r="W306" s="17">
        <f t="shared" si="40"/>
        <v>8486.8538763807446</v>
      </c>
      <c r="X306" s="17">
        <f t="shared" si="40"/>
        <v>8370.7266138705836</v>
      </c>
      <c r="Y306" s="17">
        <f t="shared" si="40"/>
        <v>8254.6230611968913</v>
      </c>
      <c r="Z306" s="17">
        <f t="shared" si="40"/>
        <v>9007.1703937151269</v>
      </c>
    </row>
    <row r="307" spans="1:26" outlineLevel="1" x14ac:dyDescent="0.35"/>
    <row r="308" spans="1:26" s="18" customFormat="1" ht="21" x14ac:dyDescent="0.5">
      <c r="A308" s="18" t="s">
        <v>73</v>
      </c>
    </row>
    <row r="309" spans="1:26" s="20" customFormat="1" outlineLevel="1" x14ac:dyDescent="0.35">
      <c r="A309" s="19" t="s">
        <v>788</v>
      </c>
    </row>
    <row r="310" spans="1:26" s="20" customFormat="1" outlineLevel="1" x14ac:dyDescent="0.35">
      <c r="A310" s="273" t="s">
        <v>775</v>
      </c>
      <c r="B310" s="20">
        <v>1</v>
      </c>
      <c r="C310" s="274" t="s">
        <v>787</v>
      </c>
    </row>
    <row r="311" spans="1:26" s="20" customFormat="1" outlineLevel="1" x14ac:dyDescent="0.35">
      <c r="A311" s="273" t="s">
        <v>781</v>
      </c>
      <c r="B311" s="20">
        <v>100000</v>
      </c>
      <c r="C311" s="20" t="s">
        <v>782</v>
      </c>
      <c r="E311" s="274"/>
    </row>
    <row r="312" spans="1:26" s="20" customFormat="1" outlineLevel="1" x14ac:dyDescent="0.35">
      <c r="A312" s="273" t="s">
        <v>783</v>
      </c>
      <c r="B312" s="20">
        <v>1500</v>
      </c>
      <c r="C312" s="20" t="s">
        <v>592</v>
      </c>
    </row>
    <row r="313" spans="1:26" s="20" customFormat="1" outlineLevel="1" x14ac:dyDescent="0.35">
      <c r="A313" s="273" t="s">
        <v>784</v>
      </c>
      <c r="B313" s="20">
        <v>8760</v>
      </c>
      <c r="C313" s="20" t="s">
        <v>785</v>
      </c>
    </row>
    <row r="314" spans="1:26" s="20" customFormat="1" outlineLevel="1" x14ac:dyDescent="0.35">
      <c r="A314" s="273"/>
    </row>
    <row r="315" spans="1:26" s="20" customFormat="1" outlineLevel="1" x14ac:dyDescent="0.35">
      <c r="A315" s="275" t="s">
        <v>786</v>
      </c>
      <c r="B315" s="275">
        <f>(B311*B312)/(B313*B310)</f>
        <v>17123.287671232876</v>
      </c>
      <c r="C315" s="275" t="s">
        <v>749</v>
      </c>
    </row>
    <row r="316" spans="1:26" s="20" customFormat="1" outlineLevel="1" x14ac:dyDescent="0.35">
      <c r="A316" s="19"/>
    </row>
    <row r="317" spans="1:26" s="20" customFormat="1" outlineLevel="1" x14ac:dyDescent="0.35">
      <c r="A317" s="19" t="s">
        <v>793</v>
      </c>
    </row>
    <row r="318" spans="1:26" s="20" customFormat="1" outlineLevel="1" x14ac:dyDescent="0.35">
      <c r="A318" s="273" t="s">
        <v>789</v>
      </c>
      <c r="B318" s="20">
        <f>SUM('Results - raw data ReCiPe (I)'!CC146:CC147)+'Results - raw data ReCiPe (I)'!CC150+SUM('Results - raw data ReCiPe (I)'!CC148:CC149)*AC267</f>
        <v>923.95521136867308</v>
      </c>
      <c r="C318" s="20" t="s">
        <v>873</v>
      </c>
    </row>
    <row r="319" spans="1:26" s="20" customFormat="1" outlineLevel="1" x14ac:dyDescent="0.35">
      <c r="A319" s="20" t="s">
        <v>792</v>
      </c>
      <c r="B319" s="20">
        <f>B311*AC325</f>
        <v>50000</v>
      </c>
      <c r="C319" s="274" t="s">
        <v>795</v>
      </c>
    </row>
    <row r="320" spans="1:26" s="20" customFormat="1" outlineLevel="1" x14ac:dyDescent="0.35">
      <c r="A320" s="20" t="s">
        <v>791</v>
      </c>
      <c r="B320" s="20">
        <f>(B318*AC327*B315)/(B319*AC326)*(AC326/AC328)</f>
        <v>94.926905277603382</v>
      </c>
      <c r="C320" s="20" t="s">
        <v>874</v>
      </c>
      <c r="E320" s="274" t="s">
        <v>796</v>
      </c>
    </row>
    <row r="321" spans="1:53" s="20" customFormat="1" outlineLevel="1" x14ac:dyDescent="0.35">
      <c r="A321" s="19"/>
    </row>
    <row r="322" spans="1:53" s="16" customFormat="1" outlineLevel="1" x14ac:dyDescent="0.35">
      <c r="A322" s="21"/>
      <c r="AB322" s="16" t="s">
        <v>801</v>
      </c>
      <c r="AC322" s="16">
        <v>1</v>
      </c>
      <c r="AD322" s="16" t="s">
        <v>146</v>
      </c>
      <c r="AE322" s="15" t="s">
        <v>714</v>
      </c>
    </row>
    <row r="323" spans="1:53" s="16" customFormat="1" outlineLevel="1" x14ac:dyDescent="0.35">
      <c r="A323" s="22" t="s">
        <v>566</v>
      </c>
      <c r="AC323" s="16">
        <f>AC322*1000</f>
        <v>1000</v>
      </c>
      <c r="AD323" s="16" t="s">
        <v>144</v>
      </c>
    </row>
    <row r="324" spans="1:53" s="16" customFormat="1" outlineLevel="1" x14ac:dyDescent="0.35">
      <c r="A324" s="22"/>
      <c r="AB324" s="16" t="s">
        <v>127</v>
      </c>
      <c r="AC324" s="16">
        <f>100*AC325</f>
        <v>50</v>
      </c>
      <c r="AD324" s="16" t="s">
        <v>128</v>
      </c>
    </row>
    <row r="325" spans="1:53" s="16" customFormat="1" outlineLevel="1" x14ac:dyDescent="0.35">
      <c r="A325" s="230"/>
      <c r="AB325" s="16" t="s">
        <v>776</v>
      </c>
      <c r="AC325" s="16">
        <v>0.5</v>
      </c>
    </row>
    <row r="326" spans="1:53" s="16" customFormat="1" outlineLevel="1" x14ac:dyDescent="0.35">
      <c r="A326" s="21"/>
      <c r="AB326" s="16" t="s">
        <v>129</v>
      </c>
      <c r="AC326" s="16">
        <v>25</v>
      </c>
      <c r="AD326" s="16" t="s">
        <v>130</v>
      </c>
    </row>
    <row r="327" spans="1:53" s="16" customFormat="1" outlineLevel="1" x14ac:dyDescent="0.35">
      <c r="A327" s="21"/>
      <c r="AB327" s="16" t="s">
        <v>777</v>
      </c>
      <c r="AC327" s="16">
        <v>6</v>
      </c>
      <c r="AD327" s="16" t="s">
        <v>779</v>
      </c>
    </row>
    <row r="328" spans="1:53" s="16" customFormat="1" outlineLevel="1" x14ac:dyDescent="0.35">
      <c r="A328" s="21"/>
      <c r="AB328" s="16" t="s">
        <v>778</v>
      </c>
      <c r="AC328" s="16">
        <v>20</v>
      </c>
      <c r="AD328" s="16" t="s">
        <v>130</v>
      </c>
    </row>
    <row r="329" spans="1:53" s="16" customFormat="1" outlineLevel="1" x14ac:dyDescent="0.35">
      <c r="AB329" s="16" t="s">
        <v>780</v>
      </c>
      <c r="AC329" s="16">
        <f>B315</f>
        <v>17123.287671232876</v>
      </c>
      <c r="AD329" s="16" t="s">
        <v>749</v>
      </c>
    </row>
    <row r="330" spans="1:53" s="16" customFormat="1" outlineLevel="1" x14ac:dyDescent="0.35"/>
    <row r="331" spans="1:53" s="16" customFormat="1" outlineLevel="1" x14ac:dyDescent="0.35">
      <c r="AB331" s="16" t="s">
        <v>798</v>
      </c>
      <c r="AC331" s="16">
        <v>0.25</v>
      </c>
    </row>
    <row r="332" spans="1:53" s="16" customFormat="1" outlineLevel="1" x14ac:dyDescent="0.35">
      <c r="A332" s="22"/>
      <c r="AB332" s="16" t="s">
        <v>799</v>
      </c>
      <c r="AC332" s="16">
        <v>0.9</v>
      </c>
    </row>
    <row r="333" spans="1:53" outlineLevel="1" x14ac:dyDescent="0.35">
      <c r="B333" s="25">
        <v>2030</v>
      </c>
      <c r="C333" s="25">
        <v>2031</v>
      </c>
      <c r="D333" s="25">
        <v>2032</v>
      </c>
      <c r="E333" s="25">
        <v>2033</v>
      </c>
      <c r="F333" s="25">
        <v>2034</v>
      </c>
      <c r="G333" s="25">
        <v>2035</v>
      </c>
      <c r="H333" s="25">
        <v>2036</v>
      </c>
      <c r="I333" s="25">
        <v>2037</v>
      </c>
      <c r="J333" s="25">
        <v>2038</v>
      </c>
      <c r="K333" s="25">
        <v>2039</v>
      </c>
      <c r="L333" s="25">
        <v>2040</v>
      </c>
      <c r="M333" s="25">
        <v>2041</v>
      </c>
      <c r="N333" s="25">
        <v>2042</v>
      </c>
      <c r="O333" s="25">
        <v>2043</v>
      </c>
      <c r="P333" s="25">
        <v>2044</v>
      </c>
      <c r="Q333" s="25">
        <v>2045</v>
      </c>
      <c r="R333" s="25">
        <v>2046</v>
      </c>
      <c r="S333" s="25">
        <v>2047</v>
      </c>
      <c r="T333" s="25">
        <v>2048</v>
      </c>
      <c r="U333" s="25">
        <v>2049</v>
      </c>
      <c r="V333" s="25">
        <v>2050</v>
      </c>
      <c r="W333" s="25">
        <v>2051</v>
      </c>
      <c r="X333" s="25">
        <v>2052</v>
      </c>
      <c r="Y333" s="25">
        <v>2053</v>
      </c>
      <c r="Z333" s="25">
        <v>2054</v>
      </c>
      <c r="AC333" s="25">
        <v>2030</v>
      </c>
      <c r="AD333" s="25">
        <v>2031</v>
      </c>
      <c r="AE333" s="25">
        <v>2032</v>
      </c>
      <c r="AF333" s="25">
        <v>2033</v>
      </c>
      <c r="AG333" s="25">
        <v>2034</v>
      </c>
      <c r="AH333" s="25">
        <v>2035</v>
      </c>
      <c r="AI333" s="25">
        <v>2036</v>
      </c>
      <c r="AJ333" s="25">
        <v>2037</v>
      </c>
      <c r="AK333" s="25">
        <v>2038</v>
      </c>
      <c r="AL333" s="25">
        <v>2039</v>
      </c>
      <c r="AM333" s="25">
        <v>2040</v>
      </c>
      <c r="AN333" s="25">
        <v>2041</v>
      </c>
      <c r="AO333" s="25">
        <v>2042</v>
      </c>
      <c r="AP333" s="25">
        <v>2043</v>
      </c>
      <c r="AQ333" s="25">
        <v>2044</v>
      </c>
      <c r="AR333" s="25">
        <v>2045</v>
      </c>
      <c r="AS333" s="25">
        <v>2046</v>
      </c>
      <c r="AT333" s="25">
        <v>2047</v>
      </c>
      <c r="AU333" s="25">
        <v>2048</v>
      </c>
      <c r="AV333" s="25">
        <v>2049</v>
      </c>
      <c r="AW333" s="25">
        <v>2050</v>
      </c>
      <c r="AX333" s="25">
        <v>2051</v>
      </c>
      <c r="AY333" s="25">
        <v>2052</v>
      </c>
      <c r="AZ333" s="25">
        <v>2053</v>
      </c>
      <c r="BA333" s="25">
        <v>2054</v>
      </c>
    </row>
    <row r="334" spans="1:53" outlineLevel="1" x14ac:dyDescent="0.35">
      <c r="A334" s="6" t="s">
        <v>21</v>
      </c>
      <c r="B334" s="6">
        <f>B50</f>
        <v>783.40535284478449</v>
      </c>
      <c r="AB334" s="6" t="s">
        <v>117</v>
      </c>
      <c r="AC334" s="6">
        <f>SUM(B334:B345)+B347</f>
        <v>41367.837722487486</v>
      </c>
    </row>
    <row r="335" spans="1:53" outlineLevel="1" x14ac:dyDescent="0.35">
      <c r="A335" s="6" t="s">
        <v>23</v>
      </c>
      <c r="B335" s="6">
        <f t="shared" ref="B335:B345" si="41">B51</f>
        <v>1025.57883289906</v>
      </c>
      <c r="AB335" s="6" t="s">
        <v>118</v>
      </c>
      <c r="AC335" s="6">
        <f>B346</f>
        <v>1344.7304514343375</v>
      </c>
    </row>
    <row r="336" spans="1:53" outlineLevel="1" x14ac:dyDescent="0.35">
      <c r="A336" s="6" t="s">
        <v>26</v>
      </c>
      <c r="B336" s="6">
        <f t="shared" si="41"/>
        <v>3221.4583525363928</v>
      </c>
      <c r="AB336" s="6" t="s">
        <v>119</v>
      </c>
      <c r="BA336" s="6">
        <f>SUM(Z348:Z359)</f>
        <v>736.84411269170732</v>
      </c>
    </row>
    <row r="337" spans="1:53" outlineLevel="1" x14ac:dyDescent="0.35">
      <c r="A337" s="6" t="s">
        <v>28</v>
      </c>
      <c r="B337" s="6">
        <f t="shared" si="41"/>
        <v>2960.5265782802999</v>
      </c>
      <c r="AB337" s="6" t="s">
        <v>120</v>
      </c>
      <c r="BA337" s="6">
        <f>Z360</f>
        <v>11.128105907280078</v>
      </c>
    </row>
    <row r="338" spans="1:53" outlineLevel="1" x14ac:dyDescent="0.35">
      <c r="A338" s="6" t="s">
        <v>29</v>
      </c>
      <c r="B338" s="6">
        <f t="shared" si="41"/>
        <v>1754.810343624591</v>
      </c>
      <c r="AB338" s="6" t="s">
        <v>121</v>
      </c>
      <c r="AC338" s="6">
        <f>B361</f>
        <v>1369.6249485785811</v>
      </c>
      <c r="AF338" s="6">
        <f>E361</f>
        <v>1330.201743386594</v>
      </c>
      <c r="AI338" s="6">
        <f>H361</f>
        <v>1291.6658561466461</v>
      </c>
      <c r="AL338" s="6">
        <f>K361</f>
        <v>1241.1161458074589</v>
      </c>
      <c r="AO338" s="6">
        <f>N361</f>
        <v>1178.1152807241949</v>
      </c>
      <c r="AR338" s="6">
        <f>Q361</f>
        <v>1107.2050594847649</v>
      </c>
      <c r="AU338" s="6">
        <f>T361</f>
        <v>1057.185548264049</v>
      </c>
      <c r="AX338" s="6">
        <f>W361</f>
        <v>1022.6160132821969</v>
      </c>
      <c r="BA338" s="6">
        <f>Z361</f>
        <v>1014.652642880409</v>
      </c>
    </row>
    <row r="339" spans="1:53" outlineLevel="1" x14ac:dyDescent="0.35">
      <c r="A339" s="6" t="s">
        <v>31</v>
      </c>
      <c r="B339" s="6">
        <f t="shared" si="41"/>
        <v>1257.0760627810021</v>
      </c>
      <c r="AB339" s="6" t="s">
        <v>797</v>
      </c>
      <c r="AC339" s="6">
        <f>B365</f>
        <v>4746.3452638801691</v>
      </c>
      <c r="AD339" s="6">
        <f t="shared" ref="AD339:BA339" si="42">C365</f>
        <v>4746.3452638801691</v>
      </c>
      <c r="AE339" s="6">
        <f t="shared" si="42"/>
        <v>4746.3452638801691</v>
      </c>
      <c r="AF339" s="6">
        <f t="shared" si="42"/>
        <v>4746.3452638801691</v>
      </c>
      <c r="AG339" s="6">
        <f t="shared" si="42"/>
        <v>4746.3452638801691</v>
      </c>
      <c r="AH339" s="6">
        <f t="shared" si="42"/>
        <v>4746.3452638801691</v>
      </c>
      <c r="AI339" s="6">
        <f t="shared" si="42"/>
        <v>4746.3452638801691</v>
      </c>
      <c r="AJ339" s="6">
        <f t="shared" si="42"/>
        <v>4746.3452638801691</v>
      </c>
      <c r="AK339" s="6">
        <f t="shared" si="42"/>
        <v>4746.3452638801691</v>
      </c>
      <c r="AL339" s="6">
        <f t="shared" si="42"/>
        <v>4746.3452638801691</v>
      </c>
      <c r="AM339" s="6">
        <f t="shared" si="42"/>
        <v>4746.3452638801691</v>
      </c>
      <c r="AN339" s="6">
        <f t="shared" si="42"/>
        <v>4746.3452638801691</v>
      </c>
      <c r="AO339" s="6">
        <f t="shared" si="42"/>
        <v>4746.3452638801691</v>
      </c>
      <c r="AP339" s="6">
        <f t="shared" si="42"/>
        <v>4746.3452638801691</v>
      </c>
      <c r="AQ339" s="6">
        <f t="shared" si="42"/>
        <v>4746.3452638801691</v>
      </c>
      <c r="AR339" s="6">
        <f t="shared" si="42"/>
        <v>4746.3452638801691</v>
      </c>
      <c r="AS339" s="6">
        <f t="shared" si="42"/>
        <v>4746.3452638801691</v>
      </c>
      <c r="AT339" s="6">
        <f t="shared" si="42"/>
        <v>4746.3452638801691</v>
      </c>
      <c r="AU339" s="6">
        <f t="shared" si="42"/>
        <v>4746.3452638801691</v>
      </c>
      <c r="AV339" s="6">
        <f t="shared" si="42"/>
        <v>4746.3452638801691</v>
      </c>
      <c r="AW339" s="6">
        <f t="shared" si="42"/>
        <v>4746.3452638801691</v>
      </c>
      <c r="AX339" s="6">
        <f t="shared" si="42"/>
        <v>4746.3452638801691</v>
      </c>
      <c r="AY339" s="6">
        <f t="shared" si="42"/>
        <v>4746.3452638801691</v>
      </c>
      <c r="AZ339" s="6">
        <f t="shared" si="42"/>
        <v>4746.3452638801691</v>
      </c>
      <c r="BA339" s="6">
        <f t="shared" si="42"/>
        <v>4746.3452638801691</v>
      </c>
    </row>
    <row r="340" spans="1:53" outlineLevel="1" x14ac:dyDescent="0.35">
      <c r="A340" s="6" t="s">
        <v>34</v>
      </c>
      <c r="B340" s="6">
        <f t="shared" si="41"/>
        <v>834.04174256004239</v>
      </c>
      <c r="AB340" s="6" t="s">
        <v>122</v>
      </c>
      <c r="AC340" s="6">
        <f t="shared" ref="AC340:AV340" si="43">B364+B363</f>
        <v>3841.7763339966455</v>
      </c>
      <c r="AD340" s="6">
        <f t="shared" si="43"/>
        <v>3764.9631472678157</v>
      </c>
      <c r="AE340" s="6">
        <f t="shared" si="43"/>
        <v>3687.457017269719</v>
      </c>
      <c r="AF340" s="6">
        <f t="shared" si="43"/>
        <v>3580.7789108668862</v>
      </c>
      <c r="AG340" s="6">
        <f t="shared" si="43"/>
        <v>3502.2014670682802</v>
      </c>
      <c r="AH340" s="6">
        <f t="shared" si="43"/>
        <v>3422.9046628068627</v>
      </c>
      <c r="AI340" s="6">
        <f t="shared" si="43"/>
        <v>3345.597270706402</v>
      </c>
      <c r="AJ340" s="6">
        <f t="shared" si="43"/>
        <v>3275.2485840409495</v>
      </c>
      <c r="AK340" s="6">
        <f t="shared" si="43"/>
        <v>3190.6588143492413</v>
      </c>
      <c r="AL340" s="6">
        <f t="shared" si="43"/>
        <v>3123.8248889619222</v>
      </c>
      <c r="AM340" s="6">
        <f t="shared" si="43"/>
        <v>3056.5992693884436</v>
      </c>
      <c r="AN340" s="6">
        <f t="shared" si="43"/>
        <v>2983.4641823414868</v>
      </c>
      <c r="AO340" s="6">
        <f t="shared" si="43"/>
        <v>2911.2211639831908</v>
      </c>
      <c r="AP340" s="6">
        <f t="shared" si="43"/>
        <v>2835.231116150027</v>
      </c>
      <c r="AQ340" s="6">
        <f t="shared" si="43"/>
        <v>2764.7993848799979</v>
      </c>
      <c r="AR340" s="6">
        <f t="shared" si="43"/>
        <v>2695.2620531225584</v>
      </c>
      <c r="AS340" s="6">
        <f t="shared" si="43"/>
        <v>2645.6593239095728</v>
      </c>
      <c r="AT340" s="6">
        <f t="shared" si="43"/>
        <v>2597.0707734289326</v>
      </c>
      <c r="AU340" s="6">
        <f t="shared" si="43"/>
        <v>2545.5406383026152</v>
      </c>
      <c r="AV340" s="6">
        <f t="shared" si="43"/>
        <v>2499.1035227577117</v>
      </c>
      <c r="AW340" s="6">
        <f>V364</f>
        <v>2454.249759533101</v>
      </c>
      <c r="AX340" s="6">
        <f>W364</f>
        <v>2448.7684096896573</v>
      </c>
      <c r="AY340" s="6">
        <f>X364</f>
        <v>2438.0619376134805</v>
      </c>
      <c r="AZ340" s="6">
        <f>Y364</f>
        <v>2427.4676493286934</v>
      </c>
      <c r="BA340" s="6">
        <f>Z364</f>
        <v>2416.9929341227371</v>
      </c>
    </row>
    <row r="341" spans="1:53" outlineLevel="1" x14ac:dyDescent="0.35">
      <c r="A341" s="6" t="s">
        <v>36</v>
      </c>
      <c r="B341" s="6">
        <f t="shared" si="41"/>
        <v>697.10387954951784</v>
      </c>
      <c r="AB341" s="6" t="s">
        <v>123</v>
      </c>
      <c r="AC341" s="6">
        <f t="shared" ref="AC341:BA341" si="44">B362</f>
        <v>1408.2450078639415</v>
      </c>
      <c r="AD341" s="6">
        <f t="shared" si="44"/>
        <v>1321.5815075891999</v>
      </c>
      <c r="AE341" s="6">
        <f t="shared" si="44"/>
        <v>1235.3277264559536</v>
      </c>
      <c r="AF341" s="6">
        <f t="shared" si="44"/>
        <v>1147.8320673107189</v>
      </c>
      <c r="AG341" s="6">
        <f t="shared" si="44"/>
        <v>1062.3749355644075</v>
      </c>
      <c r="AH341" s="6">
        <f t="shared" si="44"/>
        <v>977.30155895654195</v>
      </c>
      <c r="AI341" s="6">
        <f t="shared" si="44"/>
        <v>911.36301729038803</v>
      </c>
      <c r="AJ341" s="6">
        <f t="shared" si="44"/>
        <v>845.72639061400901</v>
      </c>
      <c r="AK341" s="6">
        <f t="shared" si="44"/>
        <v>779.02718448172243</v>
      </c>
      <c r="AL341" s="6">
        <f t="shared" si="44"/>
        <v>713.77674852476696</v>
      </c>
      <c r="AM341" s="6">
        <f t="shared" si="44"/>
        <v>648.68541031567349</v>
      </c>
      <c r="AN341" s="6">
        <f t="shared" si="44"/>
        <v>596.01404522807059</v>
      </c>
      <c r="AO341" s="6">
        <f t="shared" si="44"/>
        <v>543.15769223824998</v>
      </c>
      <c r="AP341" s="6">
        <f t="shared" si="44"/>
        <v>489.839656829533</v>
      </c>
      <c r="AQ341" s="6">
        <f t="shared" si="44"/>
        <v>436.62179273825689</v>
      </c>
      <c r="AR341" s="6">
        <f t="shared" si="44"/>
        <v>383.22562978056413</v>
      </c>
      <c r="AS341" s="6">
        <f t="shared" si="44"/>
        <v>355.32030060479968</v>
      </c>
      <c r="AT341" s="6">
        <f t="shared" si="44"/>
        <v>327.32739276592838</v>
      </c>
      <c r="AU341" s="6">
        <f t="shared" si="44"/>
        <v>299.00500846371824</v>
      </c>
      <c r="AV341" s="6">
        <f t="shared" si="44"/>
        <v>270.83920908127266</v>
      </c>
      <c r="AW341" s="6">
        <f t="shared" si="44"/>
        <v>242.59488993165203</v>
      </c>
      <c r="AX341" s="6">
        <f t="shared" si="44"/>
        <v>232.41604059548155</v>
      </c>
      <c r="AY341" s="6">
        <f t="shared" si="44"/>
        <v>220.29946591217265</v>
      </c>
      <c r="AZ341" s="6">
        <f t="shared" si="44"/>
        <v>208.17953861546866</v>
      </c>
      <c r="BA341" s="6">
        <f t="shared" si="44"/>
        <v>196.05509039649189</v>
      </c>
    </row>
    <row r="342" spans="1:53" outlineLevel="1" x14ac:dyDescent="0.35">
      <c r="A342" s="6" t="s">
        <v>38</v>
      </c>
      <c r="B342" s="6">
        <f t="shared" si="41"/>
        <v>6478.0424981536307</v>
      </c>
      <c r="AB342" s="6" t="s">
        <v>124</v>
      </c>
      <c r="AC342" s="6">
        <f>-$AC$323*$AC$324</f>
        <v>-50000</v>
      </c>
      <c r="AD342" s="6">
        <f t="shared" ref="AD342:BA342" si="45">-$AC$323*$AC$324</f>
        <v>-50000</v>
      </c>
      <c r="AE342" s="6">
        <f t="shared" si="45"/>
        <v>-50000</v>
      </c>
      <c r="AF342" s="6">
        <f t="shared" si="45"/>
        <v>-50000</v>
      </c>
      <c r="AG342" s="6">
        <f t="shared" si="45"/>
        <v>-50000</v>
      </c>
      <c r="AH342" s="6">
        <f t="shared" si="45"/>
        <v>-50000</v>
      </c>
      <c r="AI342" s="6">
        <f t="shared" si="45"/>
        <v>-50000</v>
      </c>
      <c r="AJ342" s="6">
        <f t="shared" si="45"/>
        <v>-50000</v>
      </c>
      <c r="AK342" s="6">
        <f t="shared" si="45"/>
        <v>-50000</v>
      </c>
      <c r="AL342" s="6">
        <f t="shared" si="45"/>
        <v>-50000</v>
      </c>
      <c r="AM342" s="6">
        <f t="shared" si="45"/>
        <v>-50000</v>
      </c>
      <c r="AN342" s="6">
        <f t="shared" si="45"/>
        <v>-50000</v>
      </c>
      <c r="AO342" s="6">
        <f t="shared" si="45"/>
        <v>-50000</v>
      </c>
      <c r="AP342" s="6">
        <f t="shared" si="45"/>
        <v>-50000</v>
      </c>
      <c r="AQ342" s="6">
        <f t="shared" si="45"/>
        <v>-50000</v>
      </c>
      <c r="AR342" s="6">
        <f t="shared" si="45"/>
        <v>-50000</v>
      </c>
      <c r="AS342" s="6">
        <f t="shared" si="45"/>
        <v>-50000</v>
      </c>
      <c r="AT342" s="6">
        <f t="shared" si="45"/>
        <v>-50000</v>
      </c>
      <c r="AU342" s="6">
        <f t="shared" si="45"/>
        <v>-50000</v>
      </c>
      <c r="AV342" s="6">
        <f t="shared" si="45"/>
        <v>-50000</v>
      </c>
      <c r="AW342" s="6">
        <f t="shared" si="45"/>
        <v>-50000</v>
      </c>
      <c r="AX342" s="6">
        <f t="shared" si="45"/>
        <v>-50000</v>
      </c>
      <c r="AY342" s="6">
        <f t="shared" si="45"/>
        <v>-50000</v>
      </c>
      <c r="AZ342" s="6">
        <f t="shared" si="45"/>
        <v>-50000</v>
      </c>
      <c r="BA342" s="6">
        <f t="shared" si="45"/>
        <v>-50000</v>
      </c>
    </row>
    <row r="343" spans="1:53" outlineLevel="1" x14ac:dyDescent="0.35">
      <c r="A343" s="6" t="s">
        <v>39</v>
      </c>
      <c r="B343" s="6">
        <f t="shared" si="41"/>
        <v>11863.13931563111</v>
      </c>
      <c r="AB343" s="23" t="s">
        <v>125</v>
      </c>
      <c r="AC343" s="17">
        <f t="shared" ref="AC343:BA343" si="46">SUM(AC334:AC342)</f>
        <v>4078.5597282411618</v>
      </c>
      <c r="AD343" s="17">
        <f t="shared" si="46"/>
        <v>-40167.110081262814</v>
      </c>
      <c r="AE343" s="17">
        <f t="shared" si="46"/>
        <v>-40330.86999239416</v>
      </c>
      <c r="AF343" s="17">
        <f t="shared" si="46"/>
        <v>-39194.84201455563</v>
      </c>
      <c r="AG343" s="17">
        <f t="shared" si="46"/>
        <v>-40689.078333487145</v>
      </c>
      <c r="AH343" s="17">
        <f t="shared" si="46"/>
        <v>-40853.448514356423</v>
      </c>
      <c r="AI343" s="17">
        <f t="shared" si="46"/>
        <v>-39705.028591976392</v>
      </c>
      <c r="AJ343" s="17">
        <f t="shared" si="46"/>
        <v>-41132.679761464875</v>
      </c>
      <c r="AK343" s="17">
        <f t="shared" si="46"/>
        <v>-41283.968737288866</v>
      </c>
      <c r="AL343" s="17">
        <f t="shared" si="46"/>
        <v>-40174.936952825679</v>
      </c>
      <c r="AM343" s="17">
        <f t="shared" si="46"/>
        <v>-41548.370056415712</v>
      </c>
      <c r="AN343" s="17">
        <f t="shared" si="46"/>
        <v>-41674.17650855027</v>
      </c>
      <c r="AO343" s="17">
        <f t="shared" si="46"/>
        <v>-40621.160599174196</v>
      </c>
      <c r="AP343" s="17">
        <f t="shared" si="46"/>
        <v>-41928.58396314027</v>
      </c>
      <c r="AQ343" s="17">
        <f t="shared" si="46"/>
        <v>-42052.233558501575</v>
      </c>
      <c r="AR343" s="17">
        <f t="shared" si="46"/>
        <v>-41067.961993731944</v>
      </c>
      <c r="AS343" s="17">
        <f t="shared" si="46"/>
        <v>-42252.675111605458</v>
      </c>
      <c r="AT343" s="17">
        <f t="shared" si="46"/>
        <v>-42329.256569924968</v>
      </c>
      <c r="AU343" s="17">
        <f t="shared" si="46"/>
        <v>-41351.923541089447</v>
      </c>
      <c r="AV343" s="17">
        <f t="shared" si="46"/>
        <v>-42483.712004280846</v>
      </c>
      <c r="AW343" s="17">
        <f t="shared" si="46"/>
        <v>-42556.810086655081</v>
      </c>
      <c r="AX343" s="17">
        <f t="shared" si="46"/>
        <v>-41549.854272552497</v>
      </c>
      <c r="AY343" s="17">
        <f t="shared" si="46"/>
        <v>-42595.293332594178</v>
      </c>
      <c r="AZ343" s="17">
        <f t="shared" si="46"/>
        <v>-42618.007548175665</v>
      </c>
      <c r="BA343" s="17">
        <f t="shared" si="46"/>
        <v>-40877.981850121207</v>
      </c>
    </row>
    <row r="344" spans="1:53" outlineLevel="1" x14ac:dyDescent="0.35">
      <c r="A344" s="6" t="s">
        <v>41</v>
      </c>
      <c r="B344" s="6">
        <f t="shared" si="41"/>
        <v>248.08396652691221</v>
      </c>
    </row>
    <row r="345" spans="1:53" outlineLevel="1" x14ac:dyDescent="0.35">
      <c r="A345" s="6" t="s">
        <v>43</v>
      </c>
      <c r="B345" s="6">
        <f t="shared" si="41"/>
        <v>619.51156124386785</v>
      </c>
      <c r="AB345" s="272"/>
      <c r="AC345" s="272"/>
      <c r="AD345" s="272"/>
      <c r="AE345" s="272"/>
      <c r="AF345" s="272"/>
      <c r="AG345" s="272"/>
      <c r="AH345" s="272"/>
      <c r="AI345" s="272"/>
      <c r="AJ345" s="272"/>
      <c r="AK345" s="272"/>
      <c r="AL345" s="272"/>
      <c r="AM345" s="272"/>
      <c r="AN345" s="272"/>
      <c r="AO345" s="272"/>
      <c r="AP345" s="272"/>
      <c r="AQ345" s="272"/>
      <c r="AR345" s="272"/>
      <c r="AS345" s="272"/>
      <c r="AT345" s="272"/>
      <c r="AU345" s="272"/>
      <c r="AV345" s="272"/>
      <c r="AW345" s="272"/>
      <c r="AX345" s="272"/>
      <c r="AY345" s="272"/>
      <c r="AZ345" s="272"/>
      <c r="BA345" s="272"/>
    </row>
    <row r="346" spans="1:53" outlineLevel="1" x14ac:dyDescent="0.35">
      <c r="A346" s="6" t="s">
        <v>44</v>
      </c>
      <c r="B346" s="6">
        <f>B62*AC325</f>
        <v>1344.7304514343375</v>
      </c>
      <c r="AB346" s="272"/>
      <c r="AC346" s="272"/>
      <c r="AD346" s="272"/>
      <c r="AE346" s="272"/>
      <c r="AF346" s="272"/>
      <c r="AG346" s="272"/>
      <c r="AH346" s="272"/>
      <c r="AI346" s="272"/>
      <c r="AJ346" s="272"/>
      <c r="AK346" s="272"/>
      <c r="AL346" s="272"/>
      <c r="AM346" s="272"/>
      <c r="AN346" s="272"/>
      <c r="AO346" s="272"/>
      <c r="AP346" s="272"/>
      <c r="AQ346" s="272"/>
      <c r="AR346" s="272"/>
      <c r="AS346" s="272"/>
      <c r="AT346" s="272"/>
      <c r="AU346" s="272"/>
      <c r="AV346" s="272"/>
      <c r="AW346" s="272"/>
      <c r="AX346" s="272"/>
      <c r="AY346" s="272"/>
      <c r="AZ346" s="272"/>
      <c r="BA346" s="272"/>
    </row>
    <row r="347" spans="1:53" outlineLevel="1" x14ac:dyDescent="0.35">
      <c r="A347" s="6" t="s">
        <v>757</v>
      </c>
      <c r="B347" s="6">
        <f>B63*AC325</f>
        <v>9625.0592358562772</v>
      </c>
      <c r="AB347" s="272"/>
      <c r="AC347" s="272"/>
      <c r="AD347" s="272"/>
      <c r="AE347" s="272"/>
      <c r="AF347" s="272"/>
      <c r="AG347" s="272"/>
      <c r="AH347" s="272"/>
      <c r="AI347" s="272"/>
      <c r="AJ347" s="272"/>
      <c r="AK347" s="272"/>
      <c r="AL347" s="272"/>
      <c r="AM347" s="272"/>
      <c r="AN347" s="272"/>
      <c r="AO347" s="272"/>
      <c r="AP347" s="272"/>
      <c r="AQ347" s="272"/>
      <c r="AR347" s="272"/>
      <c r="AS347" s="272"/>
      <c r="AT347" s="272"/>
      <c r="AU347" s="272"/>
      <c r="AV347" s="272"/>
      <c r="AW347" s="272"/>
      <c r="AX347" s="272"/>
      <c r="AY347" s="272"/>
      <c r="AZ347" s="272"/>
      <c r="BA347" s="272"/>
    </row>
    <row r="348" spans="1:53" outlineLevel="1" x14ac:dyDescent="0.35">
      <c r="A348" s="6" t="s">
        <v>22</v>
      </c>
      <c r="Z348" s="6">
        <f>Z64</f>
        <v>18.14077077211557</v>
      </c>
      <c r="AB348" s="272"/>
      <c r="AC348" s="272"/>
      <c r="AD348" s="272"/>
      <c r="AE348" s="272"/>
      <c r="AF348" s="272"/>
      <c r="AG348" s="272"/>
      <c r="AH348" s="272"/>
      <c r="AI348" s="272"/>
      <c r="AJ348" s="272"/>
      <c r="AK348" s="272"/>
      <c r="AL348" s="272"/>
      <c r="AM348" s="272"/>
      <c r="AN348" s="272"/>
      <c r="AO348" s="272"/>
      <c r="AP348" s="272"/>
      <c r="AQ348" s="272"/>
      <c r="AR348" s="272"/>
      <c r="AS348" s="272"/>
      <c r="AT348" s="272"/>
      <c r="AU348" s="272"/>
      <c r="AV348" s="272"/>
      <c r="AW348" s="272"/>
      <c r="AX348" s="272"/>
      <c r="AY348" s="272"/>
      <c r="AZ348" s="272"/>
      <c r="BA348" s="272"/>
    </row>
    <row r="349" spans="1:53" outlineLevel="1" x14ac:dyDescent="0.35">
      <c r="A349" s="6" t="s">
        <v>24</v>
      </c>
      <c r="Z349" s="6">
        <f t="shared" ref="Z349:Z359" si="47">Z65</f>
        <v>6.8259991520238597</v>
      </c>
      <c r="AB349" s="272"/>
      <c r="AC349" s="272"/>
      <c r="AD349" s="272"/>
      <c r="AE349" s="272"/>
      <c r="AF349" s="272"/>
      <c r="AG349" s="272"/>
      <c r="AH349" s="272"/>
      <c r="AI349" s="272"/>
      <c r="AJ349" s="272"/>
      <c r="AK349" s="272"/>
      <c r="AL349" s="272"/>
      <c r="AM349" s="272"/>
      <c r="AN349" s="272"/>
      <c r="AO349" s="272"/>
      <c r="AP349" s="272"/>
      <c r="AQ349" s="272"/>
      <c r="AR349" s="272"/>
      <c r="AS349" s="272"/>
      <c r="AT349" s="272"/>
      <c r="AU349" s="272"/>
      <c r="AV349" s="272"/>
      <c r="AW349" s="272"/>
      <c r="AX349" s="272"/>
      <c r="AY349" s="272"/>
      <c r="AZ349" s="272"/>
      <c r="BA349" s="272"/>
    </row>
    <row r="350" spans="1:53" outlineLevel="1" x14ac:dyDescent="0.35">
      <c r="A350" s="6" t="s">
        <v>25</v>
      </c>
      <c r="Z350" s="6">
        <f t="shared" si="47"/>
        <v>22.025810344976279</v>
      </c>
      <c r="AB350" s="272"/>
      <c r="AC350" s="272"/>
      <c r="AD350" s="272"/>
      <c r="AE350" s="272"/>
      <c r="AF350" s="272"/>
      <c r="AG350" s="272"/>
      <c r="AH350" s="272"/>
      <c r="AI350" s="272"/>
      <c r="AJ350" s="272"/>
      <c r="AK350" s="272"/>
      <c r="AL350" s="272"/>
      <c r="AM350" s="272"/>
      <c r="AN350" s="272"/>
      <c r="AO350" s="272"/>
      <c r="AP350" s="272"/>
      <c r="AQ350" s="272"/>
      <c r="AR350" s="272"/>
      <c r="AS350" s="272"/>
      <c r="AT350" s="272"/>
      <c r="AU350" s="272"/>
      <c r="AV350" s="272"/>
      <c r="AW350" s="272"/>
      <c r="AX350" s="272"/>
      <c r="AY350" s="272"/>
      <c r="AZ350" s="272"/>
      <c r="BA350" s="272"/>
    </row>
    <row r="351" spans="1:53" outlineLevel="1" x14ac:dyDescent="0.35">
      <c r="A351" s="6" t="s">
        <v>27</v>
      </c>
      <c r="Z351" s="6">
        <f t="shared" si="47"/>
        <v>7.3969005273690289</v>
      </c>
      <c r="AB351" s="272"/>
      <c r="AC351" s="272"/>
      <c r="AD351" s="272"/>
      <c r="AE351" s="272"/>
      <c r="AF351" s="272"/>
      <c r="AG351" s="272"/>
      <c r="AH351" s="272"/>
      <c r="AI351" s="272"/>
      <c r="AJ351" s="272"/>
      <c r="AK351" s="272"/>
      <c r="AL351" s="272"/>
      <c r="AM351" s="272"/>
      <c r="AN351" s="272"/>
      <c r="AO351" s="272"/>
      <c r="AP351" s="272"/>
      <c r="AQ351" s="272"/>
      <c r="AR351" s="272"/>
      <c r="AS351" s="272"/>
      <c r="AT351" s="272"/>
      <c r="AU351" s="272"/>
      <c r="AV351" s="272"/>
      <c r="AW351" s="272"/>
      <c r="AX351" s="272"/>
      <c r="AY351" s="272"/>
      <c r="AZ351" s="272"/>
      <c r="BA351" s="272"/>
    </row>
    <row r="352" spans="1:53" outlineLevel="1" x14ac:dyDescent="0.35">
      <c r="A352" s="6" t="s">
        <v>30</v>
      </c>
      <c r="Z352" s="6">
        <f t="shared" si="47"/>
        <v>23.607416959139901</v>
      </c>
      <c r="AB352" s="272"/>
      <c r="AC352" s="272"/>
      <c r="AD352" s="272"/>
      <c r="AE352" s="272"/>
      <c r="AF352" s="272"/>
      <c r="AG352" s="272"/>
      <c r="AH352" s="272"/>
      <c r="AI352" s="272"/>
      <c r="AJ352" s="272"/>
      <c r="AK352" s="272"/>
      <c r="AL352" s="272"/>
      <c r="AM352" s="272"/>
      <c r="AN352" s="272"/>
      <c r="AO352" s="272"/>
      <c r="AP352" s="272"/>
      <c r="AQ352" s="272"/>
      <c r="AR352" s="272"/>
      <c r="AS352" s="272"/>
      <c r="AT352" s="272"/>
      <c r="AU352" s="272"/>
      <c r="AV352" s="272"/>
      <c r="AW352" s="272"/>
      <c r="AX352" s="272"/>
      <c r="AY352" s="272"/>
      <c r="AZ352" s="272"/>
      <c r="BA352" s="272"/>
    </row>
    <row r="353" spans="1:53" outlineLevel="1" x14ac:dyDescent="0.35">
      <c r="A353" s="6" t="s">
        <v>32</v>
      </c>
      <c r="Z353" s="6">
        <f t="shared" si="47"/>
        <v>0.89023877747084434</v>
      </c>
      <c r="AB353" s="272"/>
      <c r="AC353" s="272"/>
      <c r="AD353" s="272"/>
      <c r="AE353" s="272"/>
      <c r="AF353" s="272"/>
      <c r="AG353" s="272"/>
      <c r="AH353" s="272"/>
      <c r="AI353" s="272"/>
      <c r="AJ353" s="272"/>
      <c r="AK353" s="272"/>
      <c r="AL353" s="272"/>
      <c r="AM353" s="272"/>
      <c r="AN353" s="272"/>
      <c r="AO353" s="272"/>
      <c r="AP353" s="272"/>
      <c r="AQ353" s="272"/>
      <c r="AR353" s="272"/>
      <c r="AS353" s="272"/>
      <c r="AT353" s="272"/>
      <c r="AU353" s="272"/>
      <c r="AV353" s="272"/>
      <c r="AW353" s="272"/>
      <c r="AX353" s="272"/>
      <c r="AY353" s="272"/>
      <c r="AZ353" s="272"/>
      <c r="BA353" s="272"/>
    </row>
    <row r="354" spans="1:53" outlineLevel="1" x14ac:dyDescent="0.35">
      <c r="A354" s="6" t="s">
        <v>33</v>
      </c>
      <c r="Z354" s="6">
        <f t="shared" si="47"/>
        <v>5.605023434958313</v>
      </c>
      <c r="AB354" s="272"/>
      <c r="AC354" s="272"/>
      <c r="AD354" s="272"/>
      <c r="AE354" s="272"/>
      <c r="AF354" s="272"/>
      <c r="AG354" s="272"/>
      <c r="AH354" s="272"/>
      <c r="AI354" s="272"/>
      <c r="AJ354" s="272"/>
      <c r="AK354" s="272"/>
      <c r="AL354" s="272"/>
      <c r="AM354" s="272"/>
      <c r="AN354" s="272"/>
      <c r="AO354" s="272"/>
      <c r="AP354" s="272"/>
      <c r="AQ354" s="272"/>
      <c r="AR354" s="272"/>
      <c r="AS354" s="272"/>
      <c r="AT354" s="272"/>
      <c r="AU354" s="272"/>
      <c r="AV354" s="272"/>
      <c r="AW354" s="272"/>
      <c r="AX354" s="272"/>
      <c r="AY354" s="272"/>
      <c r="AZ354" s="272"/>
      <c r="BA354" s="272"/>
    </row>
    <row r="355" spans="1:53" outlineLevel="1" x14ac:dyDescent="0.35">
      <c r="A355" s="6" t="s">
        <v>35</v>
      </c>
      <c r="Z355" s="6">
        <f t="shared" si="47"/>
        <v>11.21004686991663</v>
      </c>
      <c r="AB355" s="272"/>
      <c r="AC355" s="272"/>
      <c r="AD355" s="272"/>
      <c r="AE355" s="272"/>
      <c r="AF355" s="272"/>
      <c r="AG355" s="272"/>
      <c r="AH355" s="272"/>
      <c r="AI355" s="272"/>
      <c r="AJ355" s="272"/>
      <c r="AK355" s="272"/>
      <c r="AL355" s="272"/>
      <c r="AM355" s="272"/>
      <c r="AN355" s="272"/>
      <c r="AO355" s="272"/>
      <c r="AP355" s="272"/>
      <c r="AQ355" s="272"/>
      <c r="AR355" s="272"/>
      <c r="AS355" s="272"/>
      <c r="AT355" s="272"/>
      <c r="AU355" s="272"/>
      <c r="AV355" s="272"/>
      <c r="AW355" s="272"/>
      <c r="AX355" s="272"/>
      <c r="AY355" s="272"/>
      <c r="AZ355" s="272"/>
      <c r="BA355" s="272"/>
    </row>
    <row r="356" spans="1:53" outlineLevel="1" x14ac:dyDescent="0.35">
      <c r="A356" s="6" t="s">
        <v>37</v>
      </c>
      <c r="Z356" s="6">
        <f t="shared" si="47"/>
        <v>14.40751346137335</v>
      </c>
      <c r="AB356" s="272"/>
      <c r="AC356" s="272"/>
      <c r="AD356" s="272"/>
      <c r="AE356" s="272"/>
      <c r="AF356" s="272"/>
      <c r="AG356" s="272"/>
      <c r="AH356" s="272"/>
      <c r="AI356" s="272"/>
      <c r="AJ356" s="272"/>
      <c r="AK356" s="272"/>
      <c r="AL356" s="272"/>
      <c r="AM356" s="272"/>
      <c r="AN356" s="272"/>
      <c r="AO356" s="272"/>
      <c r="AP356" s="272"/>
      <c r="AQ356" s="272"/>
      <c r="AR356" s="272"/>
      <c r="AS356" s="272"/>
      <c r="AT356" s="272"/>
      <c r="AU356" s="272"/>
      <c r="AV356" s="272"/>
      <c r="AW356" s="272"/>
      <c r="AX356" s="272"/>
      <c r="AY356" s="272"/>
      <c r="AZ356" s="272"/>
      <c r="BA356" s="272"/>
    </row>
    <row r="357" spans="1:53" outlineLevel="1" x14ac:dyDescent="0.35">
      <c r="A357" s="6" t="s">
        <v>40</v>
      </c>
      <c r="Z357" s="6">
        <f t="shared" si="47"/>
        <v>383.06727323534011</v>
      </c>
    </row>
    <row r="358" spans="1:53" outlineLevel="1" x14ac:dyDescent="0.35">
      <c r="A358" s="6" t="s">
        <v>42</v>
      </c>
      <c r="Z358" s="6">
        <f t="shared" si="47"/>
        <v>40.166089744463918</v>
      </c>
    </row>
    <row r="359" spans="1:53" outlineLevel="1" x14ac:dyDescent="0.35">
      <c r="A359" s="6" t="s">
        <v>115</v>
      </c>
      <c r="Z359" s="6">
        <f t="shared" si="47"/>
        <v>203.50102941255949</v>
      </c>
    </row>
    <row r="360" spans="1:53" outlineLevel="1" x14ac:dyDescent="0.35">
      <c r="A360" s="6" t="s">
        <v>45</v>
      </c>
      <c r="Z360" s="6">
        <f>Z76*AC325</f>
        <v>11.128105907280078</v>
      </c>
    </row>
    <row r="361" spans="1:53" outlineLevel="1" x14ac:dyDescent="0.35">
      <c r="A361" s="6" t="s">
        <v>116</v>
      </c>
      <c r="B361" s="6">
        <f>B77</f>
        <v>1369.6249485785811</v>
      </c>
      <c r="C361" s="6">
        <f t="shared" ref="C361:Z361" si="48">C77</f>
        <v>1358.4953790177631</v>
      </c>
      <c r="D361" s="6">
        <f t="shared" si="48"/>
        <v>1347.293398121084</v>
      </c>
      <c r="E361" s="6">
        <f t="shared" si="48"/>
        <v>1330.201743386594</v>
      </c>
      <c r="F361" s="6">
        <f t="shared" si="48"/>
        <v>1318.843860122046</v>
      </c>
      <c r="G361" s="6">
        <f t="shared" si="48"/>
        <v>1307.3896262955329</v>
      </c>
      <c r="H361" s="6">
        <f t="shared" si="48"/>
        <v>1291.6658561466461</v>
      </c>
      <c r="I361" s="6">
        <f t="shared" si="48"/>
        <v>1275.985771522767</v>
      </c>
      <c r="J361" s="6">
        <f t="shared" si="48"/>
        <v>1256.7870217475061</v>
      </c>
      <c r="K361" s="6">
        <f t="shared" si="48"/>
        <v>1241.1161458074589</v>
      </c>
      <c r="L361" s="6">
        <f t="shared" si="48"/>
        <v>1225.395562882027</v>
      </c>
      <c r="M361" s="6">
        <f t="shared" si="48"/>
        <v>1201.689004072412</v>
      </c>
      <c r="N361" s="6">
        <f t="shared" si="48"/>
        <v>1178.1152807241949</v>
      </c>
      <c r="O361" s="6">
        <f t="shared" si="48"/>
        <v>1153.6678966954639</v>
      </c>
      <c r="P361" s="6">
        <f t="shared" si="48"/>
        <v>1130.3739100911839</v>
      </c>
      <c r="Q361" s="6">
        <f t="shared" si="48"/>
        <v>1107.2050594847649</v>
      </c>
      <c r="R361" s="6">
        <f t="shared" si="48"/>
        <v>1090.707890935103</v>
      </c>
      <c r="S361" s="6">
        <f t="shared" si="48"/>
        <v>1074.307910020796</v>
      </c>
      <c r="T361" s="6">
        <f t="shared" si="48"/>
        <v>1057.185548264049</v>
      </c>
      <c r="U361" s="6">
        <f t="shared" si="48"/>
        <v>1040.9924904342349</v>
      </c>
      <c r="V361" s="6">
        <f t="shared" si="48"/>
        <v>1024.892072371603</v>
      </c>
      <c r="W361" s="6">
        <f t="shared" si="48"/>
        <v>1022.6160132821969</v>
      </c>
      <c r="X361" s="6">
        <f t="shared" si="48"/>
        <v>1019.941439388661</v>
      </c>
      <c r="Y361" s="6">
        <f t="shared" si="48"/>
        <v>1017.287065892946</v>
      </c>
      <c r="Z361" s="6">
        <f t="shared" si="48"/>
        <v>1014.652642880409</v>
      </c>
    </row>
    <row r="362" spans="1:53" outlineLevel="1" x14ac:dyDescent="0.35">
      <c r="A362" s="6" t="s">
        <v>758</v>
      </c>
      <c r="B362" s="6">
        <f>B78*$AC$325</f>
        <v>1408.2450078639415</v>
      </c>
      <c r="C362" s="6">
        <f t="shared" ref="C362:Z363" si="49">C78*$AC$325</f>
        <v>1321.5815075891999</v>
      </c>
      <c r="D362" s="6">
        <f t="shared" si="49"/>
        <v>1235.3277264559536</v>
      </c>
      <c r="E362" s="6">
        <f t="shared" si="49"/>
        <v>1147.8320673107189</v>
      </c>
      <c r="F362" s="6">
        <f t="shared" si="49"/>
        <v>1062.3749355644075</v>
      </c>
      <c r="G362" s="6">
        <f t="shared" si="49"/>
        <v>977.30155895654195</v>
      </c>
      <c r="H362" s="6">
        <f t="shared" si="49"/>
        <v>911.36301729038803</v>
      </c>
      <c r="I362" s="6">
        <f t="shared" si="49"/>
        <v>845.72639061400901</v>
      </c>
      <c r="J362" s="6">
        <f t="shared" si="49"/>
        <v>779.02718448172243</v>
      </c>
      <c r="K362" s="6">
        <f t="shared" si="49"/>
        <v>713.77674852476696</v>
      </c>
      <c r="L362" s="6">
        <f t="shared" si="49"/>
        <v>648.68541031567349</v>
      </c>
      <c r="M362" s="6">
        <f t="shared" si="49"/>
        <v>596.01404522807059</v>
      </c>
      <c r="N362" s="6">
        <f t="shared" si="49"/>
        <v>543.15769223824998</v>
      </c>
      <c r="O362" s="6">
        <f t="shared" si="49"/>
        <v>489.839656829533</v>
      </c>
      <c r="P362" s="6">
        <f t="shared" si="49"/>
        <v>436.62179273825689</v>
      </c>
      <c r="Q362" s="6">
        <f t="shared" si="49"/>
        <v>383.22562978056413</v>
      </c>
      <c r="R362" s="6">
        <f t="shared" si="49"/>
        <v>355.32030060479968</v>
      </c>
      <c r="S362" s="6">
        <f t="shared" si="49"/>
        <v>327.32739276592838</v>
      </c>
      <c r="T362" s="6">
        <f t="shared" si="49"/>
        <v>299.00500846371824</v>
      </c>
      <c r="U362" s="6">
        <f t="shared" si="49"/>
        <v>270.83920908127266</v>
      </c>
      <c r="V362" s="6">
        <f t="shared" si="49"/>
        <v>242.59488993165203</v>
      </c>
      <c r="W362" s="6">
        <f t="shared" si="49"/>
        <v>232.41604059548155</v>
      </c>
      <c r="X362" s="6">
        <f t="shared" si="49"/>
        <v>220.29946591217265</v>
      </c>
      <c r="Y362" s="6">
        <f t="shared" si="49"/>
        <v>208.17953861546866</v>
      </c>
      <c r="Z362" s="6">
        <f t="shared" si="49"/>
        <v>196.05509039649189</v>
      </c>
    </row>
    <row r="363" spans="1:53" outlineLevel="1" x14ac:dyDescent="0.35">
      <c r="A363" s="6" t="s">
        <v>759</v>
      </c>
      <c r="B363" s="6">
        <f>B79*$AC$325</f>
        <v>0</v>
      </c>
      <c r="C363" s="6">
        <f t="shared" si="49"/>
        <v>0</v>
      </c>
      <c r="D363" s="6">
        <f t="shared" si="49"/>
        <v>0</v>
      </c>
      <c r="E363" s="6">
        <f t="shared" si="49"/>
        <v>0</v>
      </c>
      <c r="F363" s="6">
        <f t="shared" si="49"/>
        <v>0</v>
      </c>
      <c r="G363" s="6">
        <f t="shared" si="49"/>
        <v>0</v>
      </c>
      <c r="H363" s="6">
        <f t="shared" si="49"/>
        <v>0</v>
      </c>
      <c r="I363" s="6">
        <f t="shared" si="49"/>
        <v>0</v>
      </c>
      <c r="J363" s="6">
        <f t="shared" si="49"/>
        <v>0</v>
      </c>
      <c r="K363" s="6">
        <f t="shared" si="49"/>
        <v>0</v>
      </c>
      <c r="L363" s="6">
        <f t="shared" si="49"/>
        <v>0</v>
      </c>
      <c r="M363" s="6">
        <f t="shared" si="49"/>
        <v>0</v>
      </c>
      <c r="N363" s="6">
        <f t="shared" si="49"/>
        <v>0</v>
      </c>
      <c r="O363" s="6">
        <f t="shared" si="49"/>
        <v>0</v>
      </c>
      <c r="P363" s="6">
        <f t="shared" si="49"/>
        <v>0</v>
      </c>
      <c r="Q363" s="6">
        <f t="shared" si="49"/>
        <v>0</v>
      </c>
      <c r="R363" s="6">
        <f t="shared" si="49"/>
        <v>0</v>
      </c>
      <c r="S363" s="6">
        <f t="shared" si="49"/>
        <v>0</v>
      </c>
      <c r="T363" s="6">
        <f t="shared" si="49"/>
        <v>0</v>
      </c>
      <c r="U363" s="6">
        <f t="shared" si="49"/>
        <v>0</v>
      </c>
      <c r="V363" s="6">
        <f t="shared" si="49"/>
        <v>0</v>
      </c>
      <c r="W363" s="6">
        <f t="shared" si="49"/>
        <v>0</v>
      </c>
      <c r="X363" s="6">
        <f t="shared" si="49"/>
        <v>0</v>
      </c>
      <c r="Y363" s="6">
        <f t="shared" si="49"/>
        <v>0</v>
      </c>
      <c r="Z363" s="6">
        <f t="shared" si="49"/>
        <v>0</v>
      </c>
    </row>
    <row r="364" spans="1:53" outlineLevel="1" x14ac:dyDescent="0.35">
      <c r="A364" s="6" t="s">
        <v>760</v>
      </c>
      <c r="B364" s="6">
        <f>$B$252*50*'Results - raw data ReCiPe (I)'!CC121/(1-0.5)*(1+'Results ReCiPe (I) - HHD'!$AC$271/'Results ReCiPe (I) - HHD'!$AC$272-'Results ReCiPe (I) - HHD'!$AC$271)</f>
        <v>3841.7763339966455</v>
      </c>
      <c r="C364" s="6">
        <f>$B$252*50*'Results - raw data ReCiPe (I)'!CD121/(1-0.5)*(1+'Results ReCiPe (I) - HHD'!$AC$271/'Results ReCiPe (I) - HHD'!$AC$272-'Results ReCiPe (I) - HHD'!$AC$271)</f>
        <v>3764.9631472678157</v>
      </c>
      <c r="D364" s="6">
        <f>$B$252*50*'Results - raw data ReCiPe (I)'!CE121/(1-0.5)*(1+'Results ReCiPe (I) - HHD'!$AC$271/'Results ReCiPe (I) - HHD'!$AC$272-'Results ReCiPe (I) - HHD'!$AC$271)</f>
        <v>3687.457017269719</v>
      </c>
      <c r="E364" s="6">
        <f>$B$252*50*'Results - raw data ReCiPe (I)'!CF121/(1-0.5)*(1+'Results ReCiPe (I) - HHD'!$AC$271/'Results ReCiPe (I) - HHD'!$AC$272-'Results ReCiPe (I) - HHD'!$AC$271)</f>
        <v>3580.7789108668862</v>
      </c>
      <c r="F364" s="6">
        <f>$B$252*50*'Results - raw data ReCiPe (I)'!CG121/(1-0.5)*(1+'Results ReCiPe (I) - HHD'!$AC$271/'Results ReCiPe (I) - HHD'!$AC$272-'Results ReCiPe (I) - HHD'!$AC$271)</f>
        <v>3502.2014670682802</v>
      </c>
      <c r="G364" s="6">
        <f>$B$252*50*'Results - raw data ReCiPe (I)'!CH121/(1-0.5)*(1+'Results ReCiPe (I) - HHD'!$AC$271/'Results ReCiPe (I) - HHD'!$AC$272-'Results ReCiPe (I) - HHD'!$AC$271)</f>
        <v>3422.9046628068627</v>
      </c>
      <c r="H364" s="6">
        <f>$B$252*50*'Results - raw data ReCiPe (I)'!CI121/(1-0.5)*(1+'Results ReCiPe (I) - HHD'!$AC$271/'Results ReCiPe (I) - HHD'!$AC$272-'Results ReCiPe (I) - HHD'!$AC$271)</f>
        <v>3345.597270706402</v>
      </c>
      <c r="I364" s="6">
        <f>$B$252*50*'Results - raw data ReCiPe (I)'!CJ121/(1-0.5)*(1+'Results ReCiPe (I) - HHD'!$AC$271/'Results ReCiPe (I) - HHD'!$AC$272-'Results ReCiPe (I) - HHD'!$AC$271)</f>
        <v>3275.2485840409495</v>
      </c>
      <c r="J364" s="6">
        <f>$B$252*50*'Results - raw data ReCiPe (I)'!CK121/(1-0.5)*(1+'Results ReCiPe (I) - HHD'!$AC$271/'Results ReCiPe (I) - HHD'!$AC$272-'Results ReCiPe (I) - HHD'!$AC$271)</f>
        <v>3190.6588143492413</v>
      </c>
      <c r="K364" s="6">
        <f>$B$252*50*'Results - raw data ReCiPe (I)'!CL121/(1-0.5)*(1+'Results ReCiPe (I) - HHD'!$AC$271/'Results ReCiPe (I) - HHD'!$AC$272-'Results ReCiPe (I) - HHD'!$AC$271)</f>
        <v>3123.8248889619222</v>
      </c>
      <c r="L364" s="6">
        <f>$B$252*50*'Results - raw data ReCiPe (I)'!CM121/(1-0.5)*(1+'Results ReCiPe (I) - HHD'!$AC$271/'Results ReCiPe (I) - HHD'!$AC$272-'Results ReCiPe (I) - HHD'!$AC$271)</f>
        <v>3056.5992693884436</v>
      </c>
      <c r="M364" s="6">
        <f>$B$252*50*'Results - raw data ReCiPe (I)'!CN121/(1-0.5)*(1+'Results ReCiPe (I) - HHD'!$AC$271/'Results ReCiPe (I) - HHD'!$AC$272-'Results ReCiPe (I) - HHD'!$AC$271)</f>
        <v>2983.4641823414868</v>
      </c>
      <c r="N364" s="6">
        <f>$B$252*50*'Results - raw data ReCiPe (I)'!CO121/(1-0.5)*(1+'Results ReCiPe (I) - HHD'!$AC$271/'Results ReCiPe (I) - HHD'!$AC$272-'Results ReCiPe (I) - HHD'!$AC$271)</f>
        <v>2911.2211639831908</v>
      </c>
      <c r="O364" s="6">
        <f>$B$252*50*'Results - raw data ReCiPe (I)'!CP121/(1-0.5)*(1+'Results ReCiPe (I) - HHD'!$AC$271/'Results ReCiPe (I) - HHD'!$AC$272-'Results ReCiPe (I) - HHD'!$AC$271)</f>
        <v>2835.231116150027</v>
      </c>
      <c r="P364" s="6">
        <f>$B$252*50*'Results - raw data ReCiPe (I)'!CQ121/(1-0.5)*(1+'Results ReCiPe (I) - HHD'!$AC$271/'Results ReCiPe (I) - HHD'!$AC$272-'Results ReCiPe (I) - HHD'!$AC$271)</f>
        <v>2764.7993848799979</v>
      </c>
      <c r="Q364" s="6">
        <f>$B$252*50*'Results - raw data ReCiPe (I)'!CR121/(1-0.5)*(1+'Results ReCiPe (I) - HHD'!$AC$271/'Results ReCiPe (I) - HHD'!$AC$272-'Results ReCiPe (I) - HHD'!$AC$271)</f>
        <v>2695.2620531225584</v>
      </c>
      <c r="R364" s="6">
        <f>$B$252*50*'Results - raw data ReCiPe (I)'!CS121/(1-0.5)*(1+'Results ReCiPe (I) - HHD'!$AC$271/'Results ReCiPe (I) - HHD'!$AC$272-'Results ReCiPe (I) - HHD'!$AC$271)</f>
        <v>2645.6593239095728</v>
      </c>
      <c r="S364" s="6">
        <f>$B$252*50*'Results - raw data ReCiPe (I)'!CT121/(1-0.5)*(1+'Results ReCiPe (I) - HHD'!$AC$271/'Results ReCiPe (I) - HHD'!$AC$272-'Results ReCiPe (I) - HHD'!$AC$271)</f>
        <v>2597.0707734289326</v>
      </c>
      <c r="T364" s="6">
        <f>$B$252*50*'Results - raw data ReCiPe (I)'!CU121/(1-0.5)*(1+'Results ReCiPe (I) - HHD'!$AC$271/'Results ReCiPe (I) - HHD'!$AC$272-'Results ReCiPe (I) - HHD'!$AC$271)</f>
        <v>2545.5406383026152</v>
      </c>
      <c r="U364" s="6">
        <f>$B$252*50*'Results - raw data ReCiPe (I)'!CV121/(1-0.5)*(1+'Results ReCiPe (I) - HHD'!$AC$271/'Results ReCiPe (I) - HHD'!$AC$272-'Results ReCiPe (I) - HHD'!$AC$271)</f>
        <v>2499.1035227577117</v>
      </c>
      <c r="V364" s="6">
        <f>$B$252*50*'Results - raw data ReCiPe (I)'!CW121/(1-0.5)*(1+'Results ReCiPe (I) - HHD'!$AC$271/'Results ReCiPe (I) - HHD'!$AC$272-'Results ReCiPe (I) - HHD'!$AC$271)</f>
        <v>2454.249759533101</v>
      </c>
      <c r="W364" s="6">
        <f>$B$252*50*'Results - raw data ReCiPe (I)'!CX121/(1-0.5)*(1+'Results ReCiPe (I) - HHD'!$AC$271/'Results ReCiPe (I) - HHD'!$AC$272-'Results ReCiPe (I) - HHD'!$AC$271)</f>
        <v>2448.7684096896573</v>
      </c>
      <c r="X364" s="6">
        <f>$B$252*50*'Results - raw data ReCiPe (I)'!CY121/(1-0.5)*(1+'Results ReCiPe (I) - HHD'!$AC$271/'Results ReCiPe (I) - HHD'!$AC$272-'Results ReCiPe (I) - HHD'!$AC$271)</f>
        <v>2438.0619376134805</v>
      </c>
      <c r="Y364" s="6">
        <f>$B$252*50*'Results - raw data ReCiPe (I)'!CZ121/(1-0.5)*(1+'Results ReCiPe (I) - HHD'!$AC$271/'Results ReCiPe (I) - HHD'!$AC$272-'Results ReCiPe (I) - HHD'!$AC$271)</f>
        <v>2427.4676493286934</v>
      </c>
      <c r="Z364" s="6">
        <f>$B$252*50*'Results - raw data ReCiPe (I)'!DA121/(1-0.5)*(1+'Results ReCiPe (I) - HHD'!$AC$271/'Results ReCiPe (I) - HHD'!$AC$272-'Results ReCiPe (I) - HHD'!$AC$271)</f>
        <v>2416.9929341227371</v>
      </c>
    </row>
    <row r="365" spans="1:53" outlineLevel="1" x14ac:dyDescent="0.35">
      <c r="A365" s="6" t="s">
        <v>797</v>
      </c>
      <c r="B365" s="6">
        <f>$B$320*$AC$324</f>
        <v>4746.3452638801691</v>
      </c>
      <c r="C365" s="6">
        <f t="shared" ref="C365:Z365" si="50">$B$320*$AC$324</f>
        <v>4746.3452638801691</v>
      </c>
      <c r="D365" s="6">
        <f t="shared" si="50"/>
        <v>4746.3452638801691</v>
      </c>
      <c r="E365" s="6">
        <f t="shared" si="50"/>
        <v>4746.3452638801691</v>
      </c>
      <c r="F365" s="6">
        <f t="shared" si="50"/>
        <v>4746.3452638801691</v>
      </c>
      <c r="G365" s="6">
        <f t="shared" si="50"/>
        <v>4746.3452638801691</v>
      </c>
      <c r="H365" s="6">
        <f t="shared" si="50"/>
        <v>4746.3452638801691</v>
      </c>
      <c r="I365" s="6">
        <f t="shared" si="50"/>
        <v>4746.3452638801691</v>
      </c>
      <c r="J365" s="6">
        <f t="shared" si="50"/>
        <v>4746.3452638801691</v>
      </c>
      <c r="K365" s="6">
        <f t="shared" si="50"/>
        <v>4746.3452638801691</v>
      </c>
      <c r="L365" s="6">
        <f t="shared" si="50"/>
        <v>4746.3452638801691</v>
      </c>
      <c r="M365" s="6">
        <f t="shared" si="50"/>
        <v>4746.3452638801691</v>
      </c>
      <c r="N365" s="6">
        <f t="shared" si="50"/>
        <v>4746.3452638801691</v>
      </c>
      <c r="O365" s="6">
        <f t="shared" si="50"/>
        <v>4746.3452638801691</v>
      </c>
      <c r="P365" s="6">
        <f t="shared" si="50"/>
        <v>4746.3452638801691</v>
      </c>
      <c r="Q365" s="6">
        <f t="shared" si="50"/>
        <v>4746.3452638801691</v>
      </c>
      <c r="R365" s="6">
        <f t="shared" si="50"/>
        <v>4746.3452638801691</v>
      </c>
      <c r="S365" s="6">
        <f t="shared" si="50"/>
        <v>4746.3452638801691</v>
      </c>
      <c r="T365" s="6">
        <f t="shared" si="50"/>
        <v>4746.3452638801691</v>
      </c>
      <c r="U365" s="6">
        <f t="shared" si="50"/>
        <v>4746.3452638801691</v>
      </c>
      <c r="V365" s="6">
        <f t="shared" si="50"/>
        <v>4746.3452638801691</v>
      </c>
      <c r="W365" s="6">
        <f t="shared" si="50"/>
        <v>4746.3452638801691</v>
      </c>
      <c r="X365" s="6">
        <f t="shared" si="50"/>
        <v>4746.3452638801691</v>
      </c>
      <c r="Y365" s="6">
        <f t="shared" si="50"/>
        <v>4746.3452638801691</v>
      </c>
      <c r="Z365" s="6">
        <f t="shared" si="50"/>
        <v>4746.3452638801691</v>
      </c>
    </row>
    <row r="366" spans="1:53" outlineLevel="1" x14ac:dyDescent="0.35">
      <c r="A366" s="23" t="s">
        <v>125</v>
      </c>
      <c r="B366" s="17">
        <f>SUM(B334:B364)</f>
        <v>49332.214464361001</v>
      </c>
      <c r="C366" s="17">
        <f t="shared" ref="C366:Z366" si="51">SUM(C334:C364)</f>
        <v>6445.0400338747786</v>
      </c>
      <c r="D366" s="17">
        <f t="shared" si="51"/>
        <v>6270.0781418467559</v>
      </c>
      <c r="E366" s="17">
        <f t="shared" si="51"/>
        <v>6058.8127215641998</v>
      </c>
      <c r="F366" s="17">
        <f t="shared" si="51"/>
        <v>5883.4202627547338</v>
      </c>
      <c r="G366" s="17">
        <f t="shared" si="51"/>
        <v>5707.5958480589379</v>
      </c>
      <c r="H366" s="17">
        <f t="shared" si="51"/>
        <v>5548.6261441434362</v>
      </c>
      <c r="I366" s="17">
        <f t="shared" si="51"/>
        <v>5396.960746177725</v>
      </c>
      <c r="J366" s="17">
        <f t="shared" si="51"/>
        <v>5226.4730205784699</v>
      </c>
      <c r="K366" s="17">
        <f t="shared" si="51"/>
        <v>5078.7177832941479</v>
      </c>
      <c r="L366" s="17">
        <f t="shared" si="51"/>
        <v>4930.6802425861442</v>
      </c>
      <c r="M366" s="17">
        <f t="shared" si="51"/>
        <v>4781.1672316419699</v>
      </c>
      <c r="N366" s="17">
        <f t="shared" si="51"/>
        <v>4632.4941369456355</v>
      </c>
      <c r="O366" s="17">
        <f t="shared" si="51"/>
        <v>4478.7386696750236</v>
      </c>
      <c r="P366" s="17">
        <f t="shared" si="51"/>
        <v>4331.795087709439</v>
      </c>
      <c r="Q366" s="17">
        <f t="shared" si="51"/>
        <v>4185.6927423878878</v>
      </c>
      <c r="R366" s="17">
        <f t="shared" si="51"/>
        <v>4091.6875154494755</v>
      </c>
      <c r="S366" s="17">
        <f t="shared" si="51"/>
        <v>3998.706076215657</v>
      </c>
      <c r="T366" s="17">
        <f t="shared" si="51"/>
        <v>3901.7311950303824</v>
      </c>
      <c r="U366" s="17">
        <f t="shared" si="51"/>
        <v>3810.9352222732196</v>
      </c>
      <c r="V366" s="17">
        <f t="shared" si="51"/>
        <v>3721.7367218363561</v>
      </c>
      <c r="W366" s="17">
        <f t="shared" si="51"/>
        <v>3703.800463567336</v>
      </c>
      <c r="X366" s="17">
        <f t="shared" si="51"/>
        <v>3678.3028429143142</v>
      </c>
      <c r="Y366" s="17">
        <f t="shared" si="51"/>
        <v>3652.9342538371079</v>
      </c>
      <c r="Z366" s="17">
        <f t="shared" si="51"/>
        <v>4375.6728859986251</v>
      </c>
    </row>
    <row r="367" spans="1:53" outlineLevel="1" x14ac:dyDescent="0.35"/>
    <row r="368" spans="1:53" s="18" customFormat="1" ht="21" x14ac:dyDescent="0.5">
      <c r="A368" s="18" t="s">
        <v>94</v>
      </c>
    </row>
    <row r="369" spans="1:31" s="20" customFormat="1" outlineLevel="1" x14ac:dyDescent="0.35">
      <c r="A369" s="19" t="s">
        <v>788</v>
      </c>
    </row>
    <row r="370" spans="1:31" s="20" customFormat="1" outlineLevel="1" x14ac:dyDescent="0.35">
      <c r="A370" s="273" t="s">
        <v>775</v>
      </c>
      <c r="B370" s="20">
        <v>1</v>
      </c>
      <c r="C370" s="274" t="s">
        <v>787</v>
      </c>
    </row>
    <row r="371" spans="1:31" s="20" customFormat="1" outlineLevel="1" x14ac:dyDescent="0.35">
      <c r="A371" s="273" t="s">
        <v>781</v>
      </c>
      <c r="B371" s="20">
        <v>100000</v>
      </c>
      <c r="C371" s="20" t="s">
        <v>782</v>
      </c>
      <c r="E371" s="274"/>
    </row>
    <row r="372" spans="1:31" s="20" customFormat="1" outlineLevel="1" x14ac:dyDescent="0.35">
      <c r="A372" s="273" t="s">
        <v>783</v>
      </c>
      <c r="B372" s="20">
        <v>1500</v>
      </c>
      <c r="C372" s="20" t="s">
        <v>592</v>
      </c>
    </row>
    <row r="373" spans="1:31" s="20" customFormat="1" outlineLevel="1" x14ac:dyDescent="0.35">
      <c r="A373" s="273" t="s">
        <v>784</v>
      </c>
      <c r="B373" s="20">
        <v>8760</v>
      </c>
      <c r="C373" s="20" t="s">
        <v>785</v>
      </c>
    </row>
    <row r="374" spans="1:31" s="20" customFormat="1" outlineLevel="1" x14ac:dyDescent="0.35">
      <c r="A374" s="273"/>
    </row>
    <row r="375" spans="1:31" s="20" customFormat="1" outlineLevel="1" x14ac:dyDescent="0.35">
      <c r="A375" s="275" t="s">
        <v>786</v>
      </c>
      <c r="B375" s="275">
        <f>(B371*B372)/(B373*B370)</f>
        <v>17123.287671232876</v>
      </c>
      <c r="C375" s="275" t="s">
        <v>749</v>
      </c>
    </row>
    <row r="376" spans="1:31" s="20" customFormat="1" outlineLevel="1" x14ac:dyDescent="0.35">
      <c r="A376" s="19"/>
    </row>
    <row r="377" spans="1:31" s="20" customFormat="1" outlineLevel="1" x14ac:dyDescent="0.35">
      <c r="A377" s="19" t="s">
        <v>793</v>
      </c>
    </row>
    <row r="378" spans="1:31" s="20" customFormat="1" outlineLevel="1" x14ac:dyDescent="0.35">
      <c r="A378" s="273" t="s">
        <v>789</v>
      </c>
      <c r="B378" s="20">
        <v>68</v>
      </c>
      <c r="C378" s="20" t="s">
        <v>873</v>
      </c>
      <c r="D378" s="20">
        <f>SUM('Results - raw data ReCiPe (I)'!CC156:CC157)+'Results - raw data ReCiPe (I)'!CC160+SUM('Results - raw data ReCiPe (I)'!CC158:CC159)*AC387</f>
        <v>619.16779373677264</v>
      </c>
    </row>
    <row r="379" spans="1:31" s="20" customFormat="1" outlineLevel="1" x14ac:dyDescent="0.35">
      <c r="A379" s="20" t="s">
        <v>792</v>
      </c>
      <c r="B379" s="20">
        <f>B371*AC385</f>
        <v>50000</v>
      </c>
      <c r="C379" s="274" t="s">
        <v>795</v>
      </c>
    </row>
    <row r="380" spans="1:31" s="20" customFormat="1" outlineLevel="1" x14ac:dyDescent="0.35">
      <c r="A380" s="20" t="s">
        <v>791</v>
      </c>
      <c r="B380" s="20">
        <f>(B378*AC387*B375)/(B379*AC386)*(AC386/AC388)</f>
        <v>6.9863013698630141</v>
      </c>
      <c r="C380" s="20" t="s">
        <v>874</v>
      </c>
      <c r="E380" s="274" t="s">
        <v>796</v>
      </c>
    </row>
    <row r="381" spans="1:31" s="20" customFormat="1" outlineLevel="1" x14ac:dyDescent="0.35">
      <c r="A381" s="19"/>
    </row>
    <row r="382" spans="1:31" s="16" customFormat="1" outlineLevel="1" x14ac:dyDescent="0.35">
      <c r="A382" s="21"/>
      <c r="AB382" s="16" t="s">
        <v>801</v>
      </c>
      <c r="AC382" s="16">
        <v>1</v>
      </c>
      <c r="AD382" s="16" t="s">
        <v>146</v>
      </c>
      <c r="AE382" s="15" t="s">
        <v>714</v>
      </c>
    </row>
    <row r="383" spans="1:31" s="16" customFormat="1" outlineLevel="1" x14ac:dyDescent="0.35">
      <c r="A383" s="22" t="s">
        <v>566</v>
      </c>
      <c r="AC383" s="16">
        <f>AC382*1000</f>
        <v>1000</v>
      </c>
      <c r="AD383" s="16" t="s">
        <v>144</v>
      </c>
    </row>
    <row r="384" spans="1:31" s="16" customFormat="1" outlineLevel="1" x14ac:dyDescent="0.35">
      <c r="A384" s="22"/>
      <c r="AB384" s="16" t="s">
        <v>127</v>
      </c>
      <c r="AC384" s="16">
        <f>100*AC385</f>
        <v>50</v>
      </c>
      <c r="AD384" s="16" t="s">
        <v>128</v>
      </c>
    </row>
    <row r="385" spans="1:53" s="16" customFormat="1" outlineLevel="1" x14ac:dyDescent="0.35">
      <c r="A385" s="230"/>
      <c r="AB385" s="16" t="s">
        <v>776</v>
      </c>
      <c r="AC385" s="16">
        <v>0.5</v>
      </c>
    </row>
    <row r="386" spans="1:53" s="16" customFormat="1" outlineLevel="1" x14ac:dyDescent="0.35">
      <c r="A386" s="21"/>
      <c r="AB386" s="16" t="s">
        <v>129</v>
      </c>
      <c r="AC386" s="16">
        <v>25</v>
      </c>
      <c r="AD386" s="16" t="s">
        <v>130</v>
      </c>
    </row>
    <row r="387" spans="1:53" s="16" customFormat="1" outlineLevel="1" x14ac:dyDescent="0.35">
      <c r="A387" s="21"/>
      <c r="AB387" s="16" t="s">
        <v>777</v>
      </c>
      <c r="AC387" s="16">
        <v>6</v>
      </c>
      <c r="AD387" s="16" t="s">
        <v>779</v>
      </c>
    </row>
    <row r="388" spans="1:53" s="16" customFormat="1" outlineLevel="1" x14ac:dyDescent="0.35">
      <c r="A388" s="21"/>
      <c r="AB388" s="16" t="s">
        <v>778</v>
      </c>
      <c r="AC388" s="16">
        <v>20</v>
      </c>
      <c r="AD388" s="16" t="s">
        <v>130</v>
      </c>
    </row>
    <row r="389" spans="1:53" s="16" customFormat="1" outlineLevel="1" x14ac:dyDescent="0.35">
      <c r="AB389" s="16" t="s">
        <v>780</v>
      </c>
      <c r="AC389" s="16">
        <f>B375</f>
        <v>17123.287671232876</v>
      </c>
      <c r="AD389" s="16" t="s">
        <v>749</v>
      </c>
    </row>
    <row r="390" spans="1:53" s="16" customFormat="1" outlineLevel="1" x14ac:dyDescent="0.35"/>
    <row r="391" spans="1:53" s="16" customFormat="1" outlineLevel="1" x14ac:dyDescent="0.35">
      <c r="AB391" s="16" t="s">
        <v>798</v>
      </c>
      <c r="AC391" s="16">
        <v>0.25</v>
      </c>
    </row>
    <row r="392" spans="1:53" s="16" customFormat="1" outlineLevel="1" x14ac:dyDescent="0.35">
      <c r="A392" s="22"/>
      <c r="AB392" s="16" t="s">
        <v>799</v>
      </c>
      <c r="AC392" s="16">
        <v>0.9</v>
      </c>
    </row>
    <row r="393" spans="1:53" s="16" customFormat="1" outlineLevel="1" x14ac:dyDescent="0.35">
      <c r="A393" s="22"/>
    </row>
    <row r="394" spans="1:53" outlineLevel="1" x14ac:dyDescent="0.35">
      <c r="B394" s="25">
        <v>2030</v>
      </c>
      <c r="C394" s="25">
        <v>2031</v>
      </c>
      <c r="D394" s="25">
        <v>2032</v>
      </c>
      <c r="E394" s="25">
        <v>2033</v>
      </c>
      <c r="F394" s="25">
        <v>2034</v>
      </c>
      <c r="G394" s="25">
        <v>2035</v>
      </c>
      <c r="H394" s="25">
        <v>2036</v>
      </c>
      <c r="I394" s="25">
        <v>2037</v>
      </c>
      <c r="J394" s="25">
        <v>2038</v>
      </c>
      <c r="K394" s="25">
        <v>2039</v>
      </c>
      <c r="L394" s="25">
        <v>2040</v>
      </c>
      <c r="M394" s="25">
        <v>2041</v>
      </c>
      <c r="N394" s="25">
        <v>2042</v>
      </c>
      <c r="O394" s="25">
        <v>2043</v>
      </c>
      <c r="P394" s="25">
        <v>2044</v>
      </c>
      <c r="Q394" s="25">
        <v>2045</v>
      </c>
      <c r="R394" s="25">
        <v>2046</v>
      </c>
      <c r="S394" s="25">
        <v>2047</v>
      </c>
      <c r="T394" s="25">
        <v>2048</v>
      </c>
      <c r="U394" s="25">
        <v>2049</v>
      </c>
      <c r="V394" s="25">
        <v>2050</v>
      </c>
      <c r="W394" s="25">
        <v>2051</v>
      </c>
      <c r="X394" s="25">
        <v>2052</v>
      </c>
      <c r="Y394" s="25">
        <v>2053</v>
      </c>
      <c r="Z394" s="25">
        <v>2054</v>
      </c>
      <c r="AC394" s="25">
        <v>2030</v>
      </c>
      <c r="AD394" s="25">
        <v>2031</v>
      </c>
      <c r="AE394" s="25">
        <v>2032</v>
      </c>
      <c r="AF394" s="25">
        <v>2033</v>
      </c>
      <c r="AG394" s="25">
        <v>2034</v>
      </c>
      <c r="AH394" s="25">
        <v>2035</v>
      </c>
      <c r="AI394" s="25">
        <v>2036</v>
      </c>
      <c r="AJ394" s="25">
        <v>2037</v>
      </c>
      <c r="AK394" s="25">
        <v>2038</v>
      </c>
      <c r="AL394" s="25">
        <v>2039</v>
      </c>
      <c r="AM394" s="25">
        <v>2040</v>
      </c>
      <c r="AN394" s="25">
        <v>2041</v>
      </c>
      <c r="AO394" s="25">
        <v>2042</v>
      </c>
      <c r="AP394" s="25">
        <v>2043</v>
      </c>
      <c r="AQ394" s="25">
        <v>2044</v>
      </c>
      <c r="AR394" s="25">
        <v>2045</v>
      </c>
      <c r="AS394" s="25">
        <v>2046</v>
      </c>
      <c r="AT394" s="25">
        <v>2047</v>
      </c>
      <c r="AU394" s="25">
        <v>2048</v>
      </c>
      <c r="AV394" s="25">
        <v>2049</v>
      </c>
      <c r="AW394" s="25">
        <v>2050</v>
      </c>
      <c r="AX394" s="25">
        <v>2051</v>
      </c>
      <c r="AY394" s="25">
        <v>2052</v>
      </c>
      <c r="AZ394" s="25">
        <v>2053</v>
      </c>
      <c r="BA394" s="25">
        <v>2054</v>
      </c>
    </row>
    <row r="395" spans="1:53" outlineLevel="1" x14ac:dyDescent="0.35">
      <c r="A395" s="6" t="s">
        <v>21</v>
      </c>
      <c r="B395" s="6">
        <f>B90</f>
        <v>622.04666586627502</v>
      </c>
      <c r="AB395" s="6" t="s">
        <v>117</v>
      </c>
      <c r="AC395" s="6">
        <f>SUM(B395:B406)+B408</f>
        <v>32559.330532867891</v>
      </c>
    </row>
    <row r="396" spans="1:53" outlineLevel="1" x14ac:dyDescent="0.35">
      <c r="A396" s="6" t="s">
        <v>23</v>
      </c>
      <c r="B396" s="6">
        <f t="shared" ref="B396:B406" si="52">B91</f>
        <v>809.09786536614229</v>
      </c>
      <c r="AB396" s="6" t="s">
        <v>118</v>
      </c>
      <c r="AC396" s="6">
        <f>B407</f>
        <v>1181.6066146826204</v>
      </c>
    </row>
    <row r="397" spans="1:53" outlineLevel="1" x14ac:dyDescent="0.35">
      <c r="A397" s="6" t="s">
        <v>26</v>
      </c>
      <c r="B397" s="6">
        <f t="shared" si="52"/>
        <v>2739.0245613341399</v>
      </c>
      <c r="AB397" s="6" t="s">
        <v>119</v>
      </c>
      <c r="BA397" s="6">
        <f>SUM(Z409:Z420)</f>
        <v>661.35458655062052</v>
      </c>
    </row>
    <row r="398" spans="1:53" outlineLevel="1" x14ac:dyDescent="0.35">
      <c r="A398" s="6" t="s">
        <v>28</v>
      </c>
      <c r="B398" s="6">
        <f t="shared" si="52"/>
        <v>2408.0928807750579</v>
      </c>
      <c r="AB398" s="6" t="s">
        <v>120</v>
      </c>
      <c r="BA398" s="6">
        <f>Z421</f>
        <v>10.471513648061386</v>
      </c>
    </row>
    <row r="399" spans="1:53" outlineLevel="1" x14ac:dyDescent="0.35">
      <c r="A399" s="6" t="s">
        <v>29</v>
      </c>
      <c r="B399" s="6">
        <f t="shared" si="52"/>
        <v>1310.346894422896</v>
      </c>
      <c r="AB399" s="6" t="s">
        <v>121</v>
      </c>
      <c r="AC399" s="6">
        <f>B422</f>
        <v>1147.562206560159</v>
      </c>
      <c r="AF399" s="6">
        <f>E422</f>
        <v>1074.05698885017</v>
      </c>
      <c r="AI399" s="6">
        <f>H422</f>
        <v>1022.1502722838831</v>
      </c>
      <c r="AL399" s="6">
        <f>K422</f>
        <v>1005.159492641253</v>
      </c>
      <c r="AO399" s="6">
        <f>N422</f>
        <v>997.28372106165648</v>
      </c>
      <c r="AR399" s="6">
        <f>Q422</f>
        <v>991.48221426531472</v>
      </c>
      <c r="AU399" s="6">
        <f>T422</f>
        <v>983.20946828966578</v>
      </c>
      <c r="AX399" s="6">
        <f>W422</f>
        <v>977.06180922356634</v>
      </c>
      <c r="BA399" s="6">
        <f>Z422</f>
        <v>972.2449306465038</v>
      </c>
    </row>
    <row r="400" spans="1:53" outlineLevel="1" x14ac:dyDescent="0.35">
      <c r="A400" s="6" t="s">
        <v>31</v>
      </c>
      <c r="B400" s="6">
        <f t="shared" si="52"/>
        <v>1052.6891503673089</v>
      </c>
      <c r="AB400" s="6" t="s">
        <v>797</v>
      </c>
      <c r="AC400" s="6">
        <f>B426</f>
        <v>349.3150684931507</v>
      </c>
      <c r="AD400" s="6">
        <f t="shared" ref="AD400:BA400" si="53">C426</f>
        <v>349.3150684931507</v>
      </c>
      <c r="AE400" s="6">
        <f t="shared" si="53"/>
        <v>349.3150684931507</v>
      </c>
      <c r="AF400" s="6">
        <f t="shared" si="53"/>
        <v>349.3150684931507</v>
      </c>
      <c r="AG400" s="6">
        <f t="shared" si="53"/>
        <v>349.3150684931507</v>
      </c>
      <c r="AH400" s="6">
        <f t="shared" si="53"/>
        <v>349.3150684931507</v>
      </c>
      <c r="AI400" s="6">
        <f t="shared" si="53"/>
        <v>349.3150684931507</v>
      </c>
      <c r="AJ400" s="6">
        <f t="shared" si="53"/>
        <v>349.3150684931507</v>
      </c>
      <c r="AK400" s="6">
        <f t="shared" si="53"/>
        <v>349.3150684931507</v>
      </c>
      <c r="AL400" s="6">
        <f t="shared" si="53"/>
        <v>349.3150684931507</v>
      </c>
      <c r="AM400" s="6">
        <f t="shared" si="53"/>
        <v>349.3150684931507</v>
      </c>
      <c r="AN400" s="6">
        <f t="shared" si="53"/>
        <v>349.3150684931507</v>
      </c>
      <c r="AO400" s="6">
        <f t="shared" si="53"/>
        <v>349.3150684931507</v>
      </c>
      <c r="AP400" s="6">
        <f t="shared" si="53"/>
        <v>349.3150684931507</v>
      </c>
      <c r="AQ400" s="6">
        <f t="shared" si="53"/>
        <v>349.3150684931507</v>
      </c>
      <c r="AR400" s="6">
        <f t="shared" si="53"/>
        <v>349.3150684931507</v>
      </c>
      <c r="AS400" s="6">
        <f t="shared" si="53"/>
        <v>349.3150684931507</v>
      </c>
      <c r="AT400" s="6">
        <f t="shared" si="53"/>
        <v>349.3150684931507</v>
      </c>
      <c r="AU400" s="6">
        <f t="shared" si="53"/>
        <v>349.3150684931507</v>
      </c>
      <c r="AV400" s="6">
        <f t="shared" si="53"/>
        <v>349.3150684931507</v>
      </c>
      <c r="AW400" s="6">
        <f t="shared" si="53"/>
        <v>349.3150684931507</v>
      </c>
      <c r="AX400" s="6">
        <f t="shared" si="53"/>
        <v>349.3150684931507</v>
      </c>
      <c r="AY400" s="6">
        <f t="shared" si="53"/>
        <v>349.3150684931507</v>
      </c>
      <c r="AZ400" s="6">
        <f t="shared" si="53"/>
        <v>349.3150684931507</v>
      </c>
      <c r="BA400" s="6">
        <f t="shared" si="53"/>
        <v>349.3150684931507</v>
      </c>
    </row>
    <row r="401" spans="1:53" outlineLevel="1" x14ac:dyDescent="0.35">
      <c r="A401" s="6" t="s">
        <v>34</v>
      </c>
      <c r="B401" s="6">
        <f t="shared" si="52"/>
        <v>623.89139287870285</v>
      </c>
      <c r="AB401" s="6" t="s">
        <v>122</v>
      </c>
      <c r="AC401" s="6">
        <f t="shared" ref="AC401:BA401" si="54">B425+B424</f>
        <v>3081.9014589229741</v>
      </c>
      <c r="AD401" s="6">
        <f t="shared" si="54"/>
        <v>2966.2884553296285</v>
      </c>
      <c r="AE401" s="6">
        <f t="shared" si="54"/>
        <v>2850.6156152843396</v>
      </c>
      <c r="AF401" s="6">
        <f t="shared" si="54"/>
        <v>2707.583414646082</v>
      </c>
      <c r="AG401" s="6">
        <f t="shared" si="54"/>
        <v>2589.9499331626484</v>
      </c>
      <c r="AH401" s="6">
        <f t="shared" si="54"/>
        <v>2472.2532400544419</v>
      </c>
      <c r="AI401" s="6">
        <f t="shared" si="54"/>
        <v>2433.4675850565609</v>
      </c>
      <c r="AJ401" s="6">
        <f t="shared" si="54"/>
        <v>2395.0698092667067</v>
      </c>
      <c r="AK401" s="6">
        <f t="shared" si="54"/>
        <v>2341.9200148464979</v>
      </c>
      <c r="AL401" s="6">
        <f t="shared" si="54"/>
        <v>2304.5227831035563</v>
      </c>
      <c r="AM401" s="6">
        <f t="shared" si="54"/>
        <v>2267.7086653341762</v>
      </c>
      <c r="AN401" s="6">
        <f t="shared" si="54"/>
        <v>2247.865746414112</v>
      </c>
      <c r="AO401" s="6">
        <f t="shared" si="54"/>
        <v>2228.5838643819575</v>
      </c>
      <c r="AP401" s="6">
        <f t="shared" si="54"/>
        <v>2205.7296031327046</v>
      </c>
      <c r="AQ401" s="6">
        <f t="shared" si="54"/>
        <v>2187.1245376203028</v>
      </c>
      <c r="AR401" s="6">
        <f t="shared" si="54"/>
        <v>2168.8213798107258</v>
      </c>
      <c r="AS401" s="6">
        <f t="shared" si="54"/>
        <v>2151.7153772273559</v>
      </c>
      <c r="AT401" s="6">
        <f t="shared" si="54"/>
        <v>2134.9357697519808</v>
      </c>
      <c r="AU401" s="6">
        <f t="shared" si="54"/>
        <v>2115.5084578535038</v>
      </c>
      <c r="AV401" s="6">
        <f t="shared" si="54"/>
        <v>2099.4082271600396</v>
      </c>
      <c r="AW401" s="6">
        <f t="shared" si="54"/>
        <v>2085.5419811475899</v>
      </c>
      <c r="AX401" s="6">
        <f t="shared" si="54"/>
        <v>2081.4566044505113</v>
      </c>
      <c r="AY401" s="6">
        <f t="shared" si="54"/>
        <v>2073.3249014505486</v>
      </c>
      <c r="AZ401" s="6">
        <f t="shared" si="54"/>
        <v>2065.2998337073709</v>
      </c>
      <c r="BA401" s="6">
        <f t="shared" si="54"/>
        <v>2057.3798160176079</v>
      </c>
    </row>
    <row r="402" spans="1:53" outlineLevel="1" x14ac:dyDescent="0.35">
      <c r="A402" s="6" t="s">
        <v>36</v>
      </c>
      <c r="B402" s="6">
        <f t="shared" si="52"/>
        <v>496.13377585473251</v>
      </c>
      <c r="AB402" s="6" t="s">
        <v>123</v>
      </c>
      <c r="AC402" s="6">
        <f t="shared" ref="AC402:BA402" si="55">B423</f>
        <v>662.49655270129301</v>
      </c>
      <c r="AD402" s="6">
        <f t="shared" si="55"/>
        <v>562.32961433966443</v>
      </c>
      <c r="AE402" s="6">
        <f t="shared" si="55"/>
        <v>462.66209961212456</v>
      </c>
      <c r="AF402" s="6">
        <f t="shared" si="55"/>
        <v>361.69495719210295</v>
      </c>
      <c r="AG402" s="6">
        <f t="shared" si="55"/>
        <v>262.89092026878092</v>
      </c>
      <c r="AH402" s="6">
        <f t="shared" si="55"/>
        <v>164.52815412477776</v>
      </c>
      <c r="AI402" s="6">
        <f t="shared" si="55"/>
        <v>150.01113918569536</v>
      </c>
      <c r="AJ402" s="6">
        <f t="shared" si="55"/>
        <v>135.42652868915147</v>
      </c>
      <c r="AK402" s="6">
        <f t="shared" si="55"/>
        <v>119.24620527792815</v>
      </c>
      <c r="AL402" s="6">
        <f t="shared" si="55"/>
        <v>104.4855102854382</v>
      </c>
      <c r="AM402" s="6">
        <f t="shared" si="55"/>
        <v>89.658099607237858</v>
      </c>
      <c r="AN402" s="6">
        <f t="shared" si="55"/>
        <v>87.372730394759344</v>
      </c>
      <c r="AO402" s="6">
        <f t="shared" si="55"/>
        <v>85.091657065752202</v>
      </c>
      <c r="AP402" s="6">
        <f t="shared" si="55"/>
        <v>82.516572419545355</v>
      </c>
      <c r="AQ402" s="6">
        <f t="shared" si="55"/>
        <v>80.245782133055457</v>
      </c>
      <c r="AR402" s="6">
        <f t="shared" si="55"/>
        <v>77.9722864025332</v>
      </c>
      <c r="AS402" s="6">
        <f t="shared" si="55"/>
        <v>52.902343981330503</v>
      </c>
      <c r="AT402" s="6">
        <f t="shared" si="55"/>
        <v>27.791876276555882</v>
      </c>
      <c r="AU402" s="6">
        <f t="shared" si="55"/>
        <v>2.4255952987235876</v>
      </c>
      <c r="AV402" s="6">
        <f t="shared" si="55"/>
        <v>-22.749433497491083</v>
      </c>
      <c r="AW402" s="6">
        <f t="shared" si="55"/>
        <v>-47.929349230539351</v>
      </c>
      <c r="AX402" s="6">
        <f t="shared" si="55"/>
        <v>-66.771000967786492</v>
      </c>
      <c r="AY402" s="6">
        <f t="shared" si="55"/>
        <v>-86.787606162258498</v>
      </c>
      <c r="AZ402" s="6">
        <f t="shared" si="55"/>
        <v>-106.7995777633687</v>
      </c>
      <c r="BA402" s="6">
        <f t="shared" si="55"/>
        <v>-126.80784113067705</v>
      </c>
    </row>
    <row r="403" spans="1:53" outlineLevel="1" x14ac:dyDescent="0.35">
      <c r="A403" s="6" t="s">
        <v>38</v>
      </c>
      <c r="B403" s="6">
        <f t="shared" si="52"/>
        <v>5516.3930537099995</v>
      </c>
      <c r="AB403" s="6" t="s">
        <v>124</v>
      </c>
      <c r="AC403" s="6">
        <f>-$AC$384*$AC$383</f>
        <v>-50000</v>
      </c>
      <c r="AD403" s="6">
        <f t="shared" ref="AD403:BA403" si="56">-$AC$384*$AC$383</f>
        <v>-50000</v>
      </c>
      <c r="AE403" s="6">
        <f t="shared" si="56"/>
        <v>-50000</v>
      </c>
      <c r="AF403" s="6">
        <f t="shared" si="56"/>
        <v>-50000</v>
      </c>
      <c r="AG403" s="6">
        <f t="shared" si="56"/>
        <v>-50000</v>
      </c>
      <c r="AH403" s="6">
        <f t="shared" si="56"/>
        <v>-50000</v>
      </c>
      <c r="AI403" s="6">
        <f t="shared" si="56"/>
        <v>-50000</v>
      </c>
      <c r="AJ403" s="6">
        <f t="shared" si="56"/>
        <v>-50000</v>
      </c>
      <c r="AK403" s="6">
        <f t="shared" si="56"/>
        <v>-50000</v>
      </c>
      <c r="AL403" s="6">
        <f t="shared" si="56"/>
        <v>-50000</v>
      </c>
      <c r="AM403" s="6">
        <f t="shared" si="56"/>
        <v>-50000</v>
      </c>
      <c r="AN403" s="6">
        <f t="shared" si="56"/>
        <v>-50000</v>
      </c>
      <c r="AO403" s="6">
        <f t="shared" si="56"/>
        <v>-50000</v>
      </c>
      <c r="AP403" s="6">
        <f t="shared" si="56"/>
        <v>-50000</v>
      </c>
      <c r="AQ403" s="6">
        <f t="shared" si="56"/>
        <v>-50000</v>
      </c>
      <c r="AR403" s="6">
        <f t="shared" si="56"/>
        <v>-50000</v>
      </c>
      <c r="AS403" s="6">
        <f t="shared" si="56"/>
        <v>-50000</v>
      </c>
      <c r="AT403" s="6">
        <f t="shared" si="56"/>
        <v>-50000</v>
      </c>
      <c r="AU403" s="6">
        <f t="shared" si="56"/>
        <v>-50000</v>
      </c>
      <c r="AV403" s="6">
        <f t="shared" si="56"/>
        <v>-50000</v>
      </c>
      <c r="AW403" s="6">
        <f t="shared" si="56"/>
        <v>-50000</v>
      </c>
      <c r="AX403" s="6">
        <f t="shared" si="56"/>
        <v>-50000</v>
      </c>
      <c r="AY403" s="6">
        <f t="shared" si="56"/>
        <v>-50000</v>
      </c>
      <c r="AZ403" s="6">
        <f t="shared" si="56"/>
        <v>-50000</v>
      </c>
      <c r="BA403" s="6">
        <f t="shared" si="56"/>
        <v>-50000</v>
      </c>
    </row>
    <row r="404" spans="1:53" outlineLevel="1" x14ac:dyDescent="0.35">
      <c r="A404" s="6" t="s">
        <v>39</v>
      </c>
      <c r="B404" s="6">
        <f t="shared" si="52"/>
        <v>6649.8572656671213</v>
      </c>
      <c r="AB404" s="23" t="s">
        <v>125</v>
      </c>
      <c r="AC404" s="17">
        <f t="shared" ref="AC404:BA404" si="57">SUM(AC395:AC403)</f>
        <v>-11017.787565771912</v>
      </c>
      <c r="AD404" s="17">
        <f t="shared" si="57"/>
        <v>-46122.066861837557</v>
      </c>
      <c r="AE404" s="17">
        <f t="shared" si="57"/>
        <v>-46337.407216610387</v>
      </c>
      <c r="AF404" s="17">
        <f t="shared" si="57"/>
        <v>-45507.349570818493</v>
      </c>
      <c r="AG404" s="17">
        <f t="shared" si="57"/>
        <v>-46797.844078075417</v>
      </c>
      <c r="AH404" s="17">
        <f t="shared" si="57"/>
        <v>-47013.903537327627</v>
      </c>
      <c r="AI404" s="17">
        <f t="shared" si="57"/>
        <v>-46045.055934980708</v>
      </c>
      <c r="AJ404" s="17">
        <f t="shared" si="57"/>
        <v>-47120.188593550993</v>
      </c>
      <c r="AK404" s="17">
        <f t="shared" si="57"/>
        <v>-47189.518711382421</v>
      </c>
      <c r="AL404" s="17">
        <f t="shared" si="57"/>
        <v>-46236.517145476602</v>
      </c>
      <c r="AM404" s="17">
        <f t="shared" si="57"/>
        <v>-47293.318166565434</v>
      </c>
      <c r="AN404" s="17">
        <f t="shared" si="57"/>
        <v>-47315.44645469798</v>
      </c>
      <c r="AO404" s="17">
        <f t="shared" si="57"/>
        <v>-46339.725688997481</v>
      </c>
      <c r="AP404" s="17">
        <f t="shared" si="57"/>
        <v>-47362.438755954601</v>
      </c>
      <c r="AQ404" s="17">
        <f t="shared" si="57"/>
        <v>-47383.314611753492</v>
      </c>
      <c r="AR404" s="17">
        <f t="shared" si="57"/>
        <v>-46412.409051028277</v>
      </c>
      <c r="AS404" s="17">
        <f t="shared" si="57"/>
        <v>-47446.067210298163</v>
      </c>
      <c r="AT404" s="17">
        <f t="shared" si="57"/>
        <v>-47487.957285478311</v>
      </c>
      <c r="AU404" s="17">
        <f t="shared" si="57"/>
        <v>-46549.541410064958</v>
      </c>
      <c r="AV404" s="17">
        <f t="shared" si="57"/>
        <v>-47574.026137844303</v>
      </c>
      <c r="AW404" s="17">
        <f t="shared" si="57"/>
        <v>-47613.072299589796</v>
      </c>
      <c r="AX404" s="17">
        <f t="shared" si="57"/>
        <v>-46658.937518800558</v>
      </c>
      <c r="AY404" s="17">
        <f t="shared" si="57"/>
        <v>-47664.147636218557</v>
      </c>
      <c r="AZ404" s="17">
        <f t="shared" si="57"/>
        <v>-47692.18467556285</v>
      </c>
      <c r="BA404" s="17">
        <f t="shared" si="57"/>
        <v>-46076.041925774734</v>
      </c>
    </row>
    <row r="405" spans="1:53" outlineLevel="1" x14ac:dyDescent="0.35">
      <c r="A405" s="6" t="s">
        <v>41</v>
      </c>
      <c r="B405" s="6">
        <f t="shared" si="52"/>
        <v>233.70847524466791</v>
      </c>
    </row>
    <row r="406" spans="1:53" outlineLevel="1" x14ac:dyDescent="0.35">
      <c r="A406" s="6" t="s">
        <v>43</v>
      </c>
      <c r="B406" s="6">
        <f t="shared" si="52"/>
        <v>570.12191504656437</v>
      </c>
      <c r="AB406" s="272"/>
      <c r="AC406" s="272"/>
      <c r="AD406" s="272"/>
      <c r="AE406" s="272"/>
      <c r="AF406" s="272"/>
      <c r="AG406" s="272"/>
      <c r="AH406" s="272"/>
      <c r="AI406" s="272"/>
      <c r="AJ406" s="272"/>
      <c r="AK406" s="272"/>
      <c r="AL406" s="272"/>
      <c r="AM406" s="272"/>
      <c r="AN406" s="272"/>
      <c r="AO406" s="272"/>
      <c r="AP406" s="272"/>
      <c r="AQ406" s="272"/>
      <c r="AR406" s="272"/>
      <c r="AS406" s="272"/>
      <c r="AT406" s="272"/>
      <c r="AU406" s="272"/>
      <c r="AV406" s="272"/>
      <c r="AW406" s="272"/>
      <c r="AX406" s="272"/>
      <c r="AY406" s="272"/>
      <c r="AZ406" s="272"/>
      <c r="BA406" s="272"/>
    </row>
    <row r="407" spans="1:53" outlineLevel="1" x14ac:dyDescent="0.35">
      <c r="A407" s="6" t="s">
        <v>44</v>
      </c>
      <c r="B407" s="6">
        <f>B102*AC385</f>
        <v>1181.6066146826204</v>
      </c>
      <c r="AB407" s="272"/>
      <c r="AC407" s="272"/>
      <c r="AD407" s="272"/>
      <c r="AE407" s="272"/>
      <c r="AF407" s="272"/>
      <c r="AG407" s="272"/>
      <c r="AH407" s="272"/>
      <c r="AI407" s="272"/>
      <c r="AJ407" s="272"/>
      <c r="AK407" s="272"/>
      <c r="AL407" s="272"/>
      <c r="AM407" s="272"/>
      <c r="AN407" s="272"/>
      <c r="AO407" s="272"/>
      <c r="AP407" s="272"/>
      <c r="AQ407" s="272"/>
      <c r="AR407" s="272"/>
      <c r="AS407" s="272"/>
      <c r="AT407" s="272"/>
      <c r="AU407" s="272"/>
      <c r="AV407" s="272"/>
      <c r="AW407" s="272"/>
      <c r="AX407" s="272"/>
      <c r="AY407" s="272"/>
      <c r="AZ407" s="272"/>
      <c r="BA407" s="272"/>
    </row>
    <row r="408" spans="1:53" outlineLevel="1" x14ac:dyDescent="0.35">
      <c r="A408" s="6" t="s">
        <v>757</v>
      </c>
      <c r="B408" s="6">
        <f>B103*AC385</f>
        <v>9527.9266363342813</v>
      </c>
      <c r="AB408" s="272"/>
      <c r="AC408" s="272"/>
      <c r="AD408" s="272"/>
      <c r="AE408" s="272"/>
      <c r="AF408" s="272"/>
      <c r="AG408" s="272"/>
      <c r="AH408" s="272"/>
      <c r="AI408" s="272"/>
      <c r="AJ408" s="272"/>
      <c r="AK408" s="272"/>
      <c r="AL408" s="272"/>
      <c r="AM408" s="272"/>
      <c r="AN408" s="272"/>
      <c r="AO408" s="272"/>
      <c r="AP408" s="272"/>
      <c r="AQ408" s="272"/>
      <c r="AR408" s="272"/>
      <c r="AS408" s="272"/>
      <c r="AT408" s="272"/>
      <c r="AU408" s="272"/>
      <c r="AV408" s="272"/>
      <c r="AW408" s="272"/>
      <c r="AX408" s="272"/>
      <c r="AY408" s="272"/>
      <c r="AZ408" s="272"/>
      <c r="BA408" s="272"/>
    </row>
    <row r="409" spans="1:53" outlineLevel="1" x14ac:dyDescent="0.35">
      <c r="A409" s="6" t="s">
        <v>22</v>
      </c>
      <c r="Z409" s="6">
        <f>Z104</f>
        <v>17.821220357395891</v>
      </c>
      <c r="AB409" s="272"/>
      <c r="AC409" s="272"/>
      <c r="AD409" s="272"/>
      <c r="AE409" s="272"/>
      <c r="AF409" s="272"/>
      <c r="AG409" s="272"/>
      <c r="AH409" s="272"/>
      <c r="AI409" s="272"/>
      <c r="AJ409" s="272"/>
      <c r="AK409" s="272"/>
      <c r="AL409" s="272"/>
      <c r="AM409" s="272"/>
      <c r="AN409" s="272"/>
      <c r="AO409" s="272"/>
      <c r="AP409" s="272"/>
      <c r="AQ409" s="272"/>
      <c r="AR409" s="272"/>
      <c r="AS409" s="272"/>
      <c r="AT409" s="272"/>
      <c r="AU409" s="272"/>
      <c r="AV409" s="272"/>
      <c r="AW409" s="272"/>
      <c r="AX409" s="272"/>
      <c r="AY409" s="272"/>
      <c r="AZ409" s="272"/>
      <c r="BA409" s="272"/>
    </row>
    <row r="410" spans="1:53" outlineLevel="1" x14ac:dyDescent="0.35">
      <c r="A410" s="6" t="s">
        <v>24</v>
      </c>
      <c r="Z410" s="6">
        <f t="shared" ref="Z410:Z420" si="58">Z105</f>
        <v>6.4634265630162107</v>
      </c>
      <c r="AB410" s="272"/>
      <c r="AC410" s="272"/>
      <c r="AD410" s="272"/>
      <c r="AE410" s="272"/>
      <c r="AF410" s="272"/>
      <c r="AG410" s="272"/>
      <c r="AH410" s="272"/>
      <c r="AI410" s="272"/>
      <c r="AJ410" s="272"/>
      <c r="AK410" s="272"/>
      <c r="AL410" s="272"/>
      <c r="AM410" s="272"/>
      <c r="AN410" s="272"/>
      <c r="AO410" s="272"/>
      <c r="AP410" s="272"/>
      <c r="AQ410" s="272"/>
      <c r="AR410" s="272"/>
      <c r="AS410" s="272"/>
      <c r="AT410" s="272"/>
      <c r="AU410" s="272"/>
      <c r="AV410" s="272"/>
      <c r="AW410" s="272"/>
      <c r="AX410" s="272"/>
      <c r="AY410" s="272"/>
      <c r="AZ410" s="272"/>
      <c r="BA410" s="272"/>
    </row>
    <row r="411" spans="1:53" outlineLevel="1" x14ac:dyDescent="0.35">
      <c r="A411" s="6" t="s">
        <v>25</v>
      </c>
      <c r="Z411" s="6">
        <f t="shared" si="58"/>
        <v>20.280198113628099</v>
      </c>
      <c r="AB411" s="272"/>
      <c r="AC411" s="272"/>
      <c r="AD411" s="272"/>
      <c r="AE411" s="272"/>
      <c r="AF411" s="272"/>
      <c r="AG411" s="272"/>
      <c r="AH411" s="272"/>
      <c r="AI411" s="272"/>
      <c r="AJ411" s="272"/>
      <c r="AK411" s="272"/>
      <c r="AL411" s="272"/>
      <c r="AM411" s="272"/>
      <c r="AN411" s="272"/>
      <c r="AO411" s="272"/>
      <c r="AP411" s="272"/>
      <c r="AQ411" s="272"/>
      <c r="AR411" s="272"/>
      <c r="AS411" s="272"/>
      <c r="AT411" s="272"/>
      <c r="AU411" s="272"/>
      <c r="AV411" s="272"/>
      <c r="AW411" s="272"/>
      <c r="AX411" s="272"/>
      <c r="AY411" s="272"/>
      <c r="AZ411" s="272"/>
      <c r="BA411" s="272"/>
    </row>
    <row r="412" spans="1:53" outlineLevel="1" x14ac:dyDescent="0.35">
      <c r="A412" s="6" t="s">
        <v>27</v>
      </c>
      <c r="Z412" s="6">
        <f t="shared" si="58"/>
        <v>6.3916111349605176</v>
      </c>
      <c r="AB412" s="272"/>
      <c r="AC412" s="272"/>
      <c r="AD412" s="272"/>
      <c r="AE412" s="272"/>
      <c r="AF412" s="272"/>
      <c r="AG412" s="272"/>
      <c r="AH412" s="272"/>
      <c r="AI412" s="272"/>
      <c r="AJ412" s="272"/>
      <c r="AK412" s="272"/>
      <c r="AL412" s="272"/>
      <c r="AM412" s="272"/>
      <c r="AN412" s="272"/>
      <c r="AO412" s="272"/>
      <c r="AP412" s="272"/>
      <c r="AQ412" s="272"/>
      <c r="AR412" s="272"/>
      <c r="AS412" s="272"/>
      <c r="AT412" s="272"/>
      <c r="AU412" s="272"/>
      <c r="AV412" s="272"/>
      <c r="AW412" s="272"/>
      <c r="AX412" s="272"/>
      <c r="AY412" s="272"/>
      <c r="AZ412" s="272"/>
      <c r="BA412" s="272"/>
    </row>
    <row r="413" spans="1:53" outlineLevel="1" x14ac:dyDescent="0.35">
      <c r="A413" s="6" t="s">
        <v>30</v>
      </c>
      <c r="Z413" s="6">
        <f t="shared" si="58"/>
        <v>23.216223495032828</v>
      </c>
      <c r="AB413" s="272"/>
      <c r="AC413" s="272"/>
      <c r="AD413" s="272"/>
      <c r="AE413" s="272"/>
      <c r="AF413" s="272"/>
      <c r="AG413" s="272"/>
      <c r="AH413" s="272"/>
      <c r="AI413" s="272"/>
      <c r="AJ413" s="272"/>
      <c r="AK413" s="272"/>
      <c r="AL413" s="272"/>
      <c r="AM413" s="272"/>
      <c r="AN413" s="272"/>
      <c r="AO413" s="272"/>
      <c r="AP413" s="272"/>
      <c r="AQ413" s="272"/>
      <c r="AR413" s="272"/>
      <c r="AS413" s="272"/>
      <c r="AT413" s="272"/>
      <c r="AU413" s="272"/>
      <c r="AV413" s="272"/>
      <c r="AW413" s="272"/>
      <c r="AX413" s="272"/>
      <c r="AY413" s="272"/>
      <c r="AZ413" s="272"/>
      <c r="BA413" s="272"/>
    </row>
    <row r="414" spans="1:53" outlineLevel="1" x14ac:dyDescent="0.35">
      <c r="A414" s="6" t="s">
        <v>32</v>
      </c>
      <c r="Z414" s="6">
        <f t="shared" si="58"/>
        <v>0.70673634699717713</v>
      </c>
      <c r="AB414" s="272"/>
      <c r="AC414" s="272"/>
      <c r="AD414" s="272"/>
      <c r="AE414" s="272"/>
      <c r="AF414" s="272"/>
      <c r="AG414" s="272"/>
      <c r="AH414" s="272"/>
      <c r="AI414" s="272"/>
      <c r="AJ414" s="272"/>
      <c r="AK414" s="272"/>
      <c r="AL414" s="272"/>
      <c r="AM414" s="272"/>
      <c r="AN414" s="272"/>
      <c r="AO414" s="272"/>
      <c r="AP414" s="272"/>
      <c r="AQ414" s="272"/>
      <c r="AR414" s="272"/>
      <c r="AS414" s="272"/>
      <c r="AT414" s="272"/>
      <c r="AU414" s="272"/>
      <c r="AV414" s="272"/>
      <c r="AW414" s="272"/>
      <c r="AX414" s="272"/>
      <c r="AY414" s="272"/>
      <c r="AZ414" s="272"/>
      <c r="BA414" s="272"/>
    </row>
    <row r="415" spans="1:53" outlineLevel="1" x14ac:dyDescent="0.35">
      <c r="A415" s="6" t="s">
        <v>33</v>
      </c>
      <c r="Z415" s="6">
        <f t="shared" si="58"/>
        <v>5.5037648036935831</v>
      </c>
      <c r="AB415" s="272"/>
      <c r="AC415" s="272"/>
      <c r="AD415" s="272"/>
      <c r="AE415" s="272"/>
      <c r="AF415" s="272"/>
      <c r="AG415" s="272"/>
      <c r="AH415" s="272"/>
      <c r="AI415" s="272"/>
      <c r="AJ415" s="272"/>
      <c r="AK415" s="272"/>
      <c r="AL415" s="272"/>
      <c r="AM415" s="272"/>
      <c r="AN415" s="272"/>
      <c r="AO415" s="272"/>
      <c r="AP415" s="272"/>
      <c r="AQ415" s="272"/>
      <c r="AR415" s="272"/>
      <c r="AS415" s="272"/>
      <c r="AT415" s="272"/>
      <c r="AU415" s="272"/>
      <c r="AV415" s="272"/>
      <c r="AW415" s="272"/>
      <c r="AX415" s="272"/>
      <c r="AY415" s="272"/>
      <c r="AZ415" s="272"/>
      <c r="BA415" s="272"/>
    </row>
    <row r="416" spans="1:53" outlineLevel="1" x14ac:dyDescent="0.35">
      <c r="A416" s="6" t="s">
        <v>35</v>
      </c>
      <c r="Z416" s="6">
        <f t="shared" si="58"/>
        <v>11.00752960738717</v>
      </c>
      <c r="AB416" s="272"/>
      <c r="AC416" s="272"/>
      <c r="AD416" s="272"/>
      <c r="AE416" s="272"/>
      <c r="AF416" s="272"/>
      <c r="AG416" s="272"/>
      <c r="AH416" s="272"/>
      <c r="AI416" s="272"/>
      <c r="AJ416" s="272"/>
      <c r="AK416" s="272"/>
      <c r="AL416" s="272"/>
      <c r="AM416" s="272"/>
      <c r="AN416" s="272"/>
      <c r="AO416" s="272"/>
      <c r="AP416" s="272"/>
      <c r="AQ416" s="272"/>
      <c r="AR416" s="272"/>
      <c r="AS416" s="272"/>
      <c r="AT416" s="272"/>
      <c r="AU416" s="272"/>
      <c r="AV416" s="272"/>
      <c r="AW416" s="272"/>
      <c r="AX416" s="272"/>
      <c r="AY416" s="272"/>
      <c r="AZ416" s="272"/>
      <c r="BA416" s="272"/>
    </row>
    <row r="417" spans="1:53" outlineLevel="1" x14ac:dyDescent="0.35">
      <c r="A417" s="6" t="s">
        <v>37</v>
      </c>
      <c r="Z417" s="6">
        <f t="shared" si="58"/>
        <v>11.324008760006899</v>
      </c>
      <c r="AB417" s="272"/>
      <c r="AC417" s="272"/>
      <c r="AD417" s="272"/>
      <c r="AE417" s="272"/>
      <c r="AF417" s="272"/>
      <c r="AG417" s="272"/>
      <c r="AH417" s="272"/>
      <c r="AI417" s="272"/>
      <c r="AJ417" s="272"/>
      <c r="AK417" s="272"/>
      <c r="AL417" s="272"/>
      <c r="AM417" s="272"/>
      <c r="AN417" s="272"/>
      <c r="AO417" s="272"/>
      <c r="AP417" s="272"/>
      <c r="AQ417" s="272"/>
      <c r="AR417" s="272"/>
      <c r="AS417" s="272"/>
      <c r="AT417" s="272"/>
      <c r="AU417" s="272"/>
      <c r="AV417" s="272"/>
      <c r="AW417" s="272"/>
      <c r="AX417" s="272"/>
      <c r="AY417" s="272"/>
      <c r="AZ417" s="272"/>
      <c r="BA417" s="272"/>
    </row>
    <row r="418" spans="1:53" outlineLevel="1" x14ac:dyDescent="0.35">
      <c r="A418" s="6" t="s">
        <v>40</v>
      </c>
      <c r="Z418" s="6">
        <f t="shared" si="58"/>
        <v>381.52418728298579</v>
      </c>
    </row>
    <row r="419" spans="1:53" outlineLevel="1" x14ac:dyDescent="0.35">
      <c r="A419" s="6" t="s">
        <v>42</v>
      </c>
      <c r="Z419" s="6">
        <f t="shared" si="58"/>
        <v>36.656260408763671</v>
      </c>
    </row>
    <row r="420" spans="1:53" outlineLevel="1" x14ac:dyDescent="0.35">
      <c r="A420" s="6" t="s">
        <v>115</v>
      </c>
      <c r="Z420" s="6">
        <f t="shared" si="58"/>
        <v>140.4594196767527</v>
      </c>
    </row>
    <row r="421" spans="1:53" outlineLevel="1" x14ac:dyDescent="0.35">
      <c r="A421" s="6" t="s">
        <v>45</v>
      </c>
      <c r="Z421" s="6">
        <f>Z116*AC385</f>
        <v>10.471513648061386</v>
      </c>
    </row>
    <row r="422" spans="1:53" outlineLevel="1" x14ac:dyDescent="0.35">
      <c r="A422" s="6" t="s">
        <v>116</v>
      </c>
      <c r="B422" s="6">
        <f>B117</f>
        <v>1147.562206560159</v>
      </c>
      <c r="C422" s="6">
        <f t="shared" ref="C422:Z422" si="59">C117</f>
        <v>1125.1249973421859</v>
      </c>
      <c r="D422" s="6">
        <f t="shared" si="59"/>
        <v>1102.390129792987</v>
      </c>
      <c r="E422" s="6">
        <f t="shared" si="59"/>
        <v>1074.05698885017</v>
      </c>
      <c r="F422" s="6">
        <f t="shared" si="59"/>
        <v>1050.700118245117</v>
      </c>
      <c r="G422" s="6">
        <f t="shared" si="59"/>
        <v>1026.9326265409311</v>
      </c>
      <c r="H422" s="6">
        <f t="shared" si="59"/>
        <v>1022.1502722838831</v>
      </c>
      <c r="I422" s="6">
        <f t="shared" si="59"/>
        <v>1017.416703156621</v>
      </c>
      <c r="J422" s="6">
        <f t="shared" si="59"/>
        <v>1009.734768627844</v>
      </c>
      <c r="K422" s="6">
        <f t="shared" si="59"/>
        <v>1005.159492641253</v>
      </c>
      <c r="L422" s="6">
        <f t="shared" si="59"/>
        <v>1000.620015965834</v>
      </c>
      <c r="M422" s="6">
        <f t="shared" si="59"/>
        <v>998.95187229128283</v>
      </c>
      <c r="N422" s="6">
        <f t="shared" si="59"/>
        <v>997.28372106165648</v>
      </c>
      <c r="O422" s="6">
        <f t="shared" si="59"/>
        <v>994.77306971592111</v>
      </c>
      <c r="P422" s="6">
        <f t="shared" si="59"/>
        <v>993.12995785135388</v>
      </c>
      <c r="Q422" s="6">
        <f t="shared" si="59"/>
        <v>991.48221426531472</v>
      </c>
      <c r="R422" s="6">
        <f t="shared" si="59"/>
        <v>988.90837256292889</v>
      </c>
      <c r="S422" s="6">
        <f t="shared" si="59"/>
        <v>986.35767014988733</v>
      </c>
      <c r="T422" s="6">
        <f t="shared" si="59"/>
        <v>983.20946828966578</v>
      </c>
      <c r="U422" s="6">
        <f t="shared" si="59"/>
        <v>980.73110590596389</v>
      </c>
      <c r="V422" s="6">
        <f t="shared" si="59"/>
        <v>978.28941439365826</v>
      </c>
      <c r="W422" s="6">
        <f t="shared" si="59"/>
        <v>977.06180922356634</v>
      </c>
      <c r="X422" s="6">
        <f t="shared" si="59"/>
        <v>975.44876067821781</v>
      </c>
      <c r="Y422" s="6">
        <f t="shared" si="59"/>
        <v>973.84316883401459</v>
      </c>
      <c r="Z422" s="6">
        <f t="shared" si="59"/>
        <v>972.2449306465038</v>
      </c>
    </row>
    <row r="423" spans="1:53" outlineLevel="1" x14ac:dyDescent="0.35">
      <c r="A423" s="6" t="s">
        <v>758</v>
      </c>
      <c r="B423" s="6">
        <f>B118*$AC$385</f>
        <v>662.49655270129301</v>
      </c>
      <c r="C423" s="6">
        <f t="shared" ref="C423:Z424" si="60">C118*$AC$385</f>
        <v>562.32961433966443</v>
      </c>
      <c r="D423" s="6">
        <f t="shared" si="60"/>
        <v>462.66209961212456</v>
      </c>
      <c r="E423" s="6">
        <f t="shared" si="60"/>
        <v>361.69495719210295</v>
      </c>
      <c r="F423" s="6">
        <f t="shared" si="60"/>
        <v>262.89092026878092</v>
      </c>
      <c r="G423" s="6">
        <f t="shared" si="60"/>
        <v>164.52815412477776</v>
      </c>
      <c r="H423" s="6">
        <f t="shared" si="60"/>
        <v>150.01113918569536</v>
      </c>
      <c r="I423" s="6">
        <f t="shared" si="60"/>
        <v>135.42652868915147</v>
      </c>
      <c r="J423" s="6">
        <f t="shared" si="60"/>
        <v>119.24620527792815</v>
      </c>
      <c r="K423" s="6">
        <f t="shared" si="60"/>
        <v>104.4855102854382</v>
      </c>
      <c r="L423" s="6">
        <f t="shared" si="60"/>
        <v>89.658099607237858</v>
      </c>
      <c r="M423" s="6">
        <f t="shared" si="60"/>
        <v>87.372730394759344</v>
      </c>
      <c r="N423" s="6">
        <f t="shared" si="60"/>
        <v>85.091657065752202</v>
      </c>
      <c r="O423" s="6">
        <f t="shared" si="60"/>
        <v>82.516572419545355</v>
      </c>
      <c r="P423" s="6">
        <f t="shared" si="60"/>
        <v>80.245782133055457</v>
      </c>
      <c r="Q423" s="6">
        <f t="shared" si="60"/>
        <v>77.9722864025332</v>
      </c>
      <c r="R423" s="6">
        <f t="shared" si="60"/>
        <v>52.902343981330503</v>
      </c>
      <c r="S423" s="6">
        <f t="shared" si="60"/>
        <v>27.791876276555882</v>
      </c>
      <c r="T423" s="6">
        <f t="shared" si="60"/>
        <v>2.4255952987235876</v>
      </c>
      <c r="U423" s="6">
        <f t="shared" si="60"/>
        <v>-22.749433497491083</v>
      </c>
      <c r="V423" s="6">
        <f t="shared" si="60"/>
        <v>-47.929349230539351</v>
      </c>
      <c r="W423" s="6">
        <f t="shared" si="60"/>
        <v>-66.771000967786492</v>
      </c>
      <c r="X423" s="6">
        <f t="shared" si="60"/>
        <v>-86.787606162258498</v>
      </c>
      <c r="Y423" s="6">
        <f t="shared" si="60"/>
        <v>-106.7995777633687</v>
      </c>
      <c r="Z423" s="6">
        <f t="shared" si="60"/>
        <v>-126.80784113067705</v>
      </c>
    </row>
    <row r="424" spans="1:53" outlineLevel="1" x14ac:dyDescent="0.35">
      <c r="A424" s="6" t="s">
        <v>759</v>
      </c>
      <c r="B424" s="6">
        <f>B119*$AC$385</f>
        <v>0</v>
      </c>
      <c r="C424" s="6">
        <f t="shared" si="60"/>
        <v>0</v>
      </c>
      <c r="D424" s="6">
        <f t="shared" si="60"/>
        <v>0</v>
      </c>
      <c r="E424" s="6">
        <f t="shared" si="60"/>
        <v>0</v>
      </c>
      <c r="F424" s="6">
        <f t="shared" si="60"/>
        <v>0</v>
      </c>
      <c r="G424" s="6">
        <f t="shared" si="60"/>
        <v>0</v>
      </c>
      <c r="H424" s="6">
        <f t="shared" si="60"/>
        <v>0</v>
      </c>
      <c r="I424" s="6">
        <f t="shared" si="60"/>
        <v>0</v>
      </c>
      <c r="J424" s="6">
        <f t="shared" si="60"/>
        <v>0</v>
      </c>
      <c r="K424" s="6">
        <f t="shared" si="60"/>
        <v>0</v>
      </c>
      <c r="L424" s="6">
        <f t="shared" si="60"/>
        <v>0</v>
      </c>
      <c r="M424" s="6">
        <f t="shared" si="60"/>
        <v>0</v>
      </c>
      <c r="N424" s="6">
        <f t="shared" si="60"/>
        <v>0</v>
      </c>
      <c r="O424" s="6">
        <f t="shared" si="60"/>
        <v>0</v>
      </c>
      <c r="P424" s="6">
        <f t="shared" si="60"/>
        <v>0</v>
      </c>
      <c r="Q424" s="6">
        <f t="shared" si="60"/>
        <v>0</v>
      </c>
      <c r="R424" s="6">
        <f t="shared" si="60"/>
        <v>0</v>
      </c>
      <c r="S424" s="6">
        <f t="shared" si="60"/>
        <v>0</v>
      </c>
      <c r="T424" s="6">
        <f t="shared" si="60"/>
        <v>0</v>
      </c>
      <c r="U424" s="6">
        <f t="shared" si="60"/>
        <v>0</v>
      </c>
      <c r="V424" s="6">
        <f t="shared" si="60"/>
        <v>0</v>
      </c>
      <c r="W424" s="6">
        <f t="shared" si="60"/>
        <v>0</v>
      </c>
      <c r="X424" s="6">
        <f t="shared" si="60"/>
        <v>0</v>
      </c>
      <c r="Y424" s="6">
        <f t="shared" si="60"/>
        <v>0</v>
      </c>
      <c r="Z424" s="6">
        <f t="shared" si="60"/>
        <v>0</v>
      </c>
    </row>
    <row r="425" spans="1:53" outlineLevel="1" x14ac:dyDescent="0.35">
      <c r="A425" s="6" t="s">
        <v>760</v>
      </c>
      <c r="B425" s="6">
        <f>$B$252*50*'Results - raw data ReCiPe (I)'!CC128/(1-0.5)*(1+'Results ReCiPe (I) - HHD'!$AC$271/'Results ReCiPe (I) - HHD'!$AC$272-'Results ReCiPe (I) - HHD'!$AC$271)</f>
        <v>3081.9014589229741</v>
      </c>
      <c r="C425" s="6">
        <f>$B$252*50*'Results - raw data ReCiPe (I)'!CD128/(1-0.5)*(1+'Results ReCiPe (I) - HHD'!$AC$271/'Results ReCiPe (I) - HHD'!$AC$272-'Results ReCiPe (I) - HHD'!$AC$271)</f>
        <v>2966.2884553296285</v>
      </c>
      <c r="D425" s="6">
        <f>$B$252*50*'Results - raw data ReCiPe (I)'!CE128/(1-0.5)*(1+'Results ReCiPe (I) - HHD'!$AC$271/'Results ReCiPe (I) - HHD'!$AC$272-'Results ReCiPe (I) - HHD'!$AC$271)</f>
        <v>2850.6156152843396</v>
      </c>
      <c r="E425" s="6">
        <f>$B$252*50*'Results - raw data ReCiPe (I)'!CF128/(1-0.5)*(1+'Results ReCiPe (I) - HHD'!$AC$271/'Results ReCiPe (I) - HHD'!$AC$272-'Results ReCiPe (I) - HHD'!$AC$271)</f>
        <v>2707.583414646082</v>
      </c>
      <c r="F425" s="6">
        <f>$B$252*50*'Results - raw data ReCiPe (I)'!CG128/(1-0.5)*(1+'Results ReCiPe (I) - HHD'!$AC$271/'Results ReCiPe (I) - HHD'!$AC$272-'Results ReCiPe (I) - HHD'!$AC$271)</f>
        <v>2589.9499331626484</v>
      </c>
      <c r="G425" s="6">
        <f>$B$252*50*'Results - raw data ReCiPe (I)'!CH128/(1-0.5)*(1+'Results ReCiPe (I) - HHD'!$AC$271/'Results ReCiPe (I) - HHD'!$AC$272-'Results ReCiPe (I) - HHD'!$AC$271)</f>
        <v>2472.2532400544419</v>
      </c>
      <c r="H425" s="6">
        <f>$B$252*50*'Results - raw data ReCiPe (I)'!CI128/(1-0.5)*(1+'Results ReCiPe (I) - HHD'!$AC$271/'Results ReCiPe (I) - HHD'!$AC$272-'Results ReCiPe (I) - HHD'!$AC$271)</f>
        <v>2433.4675850565609</v>
      </c>
      <c r="I425" s="6">
        <f>$B$252*50*'Results - raw data ReCiPe (I)'!CJ128/(1-0.5)*(1+'Results ReCiPe (I) - HHD'!$AC$271/'Results ReCiPe (I) - HHD'!$AC$272-'Results ReCiPe (I) - HHD'!$AC$271)</f>
        <v>2395.0698092667067</v>
      </c>
      <c r="J425" s="6">
        <f>$B$252*50*'Results - raw data ReCiPe (I)'!CK128/(1-0.5)*(1+'Results ReCiPe (I) - HHD'!$AC$271/'Results ReCiPe (I) - HHD'!$AC$272-'Results ReCiPe (I) - HHD'!$AC$271)</f>
        <v>2341.9200148464979</v>
      </c>
      <c r="K425" s="6">
        <f>$B$252*50*'Results - raw data ReCiPe (I)'!CL128/(1-0.5)*(1+'Results ReCiPe (I) - HHD'!$AC$271/'Results ReCiPe (I) - HHD'!$AC$272-'Results ReCiPe (I) - HHD'!$AC$271)</f>
        <v>2304.5227831035563</v>
      </c>
      <c r="L425" s="6">
        <f>$B$252*50*'Results - raw data ReCiPe (I)'!CM128/(1-0.5)*(1+'Results ReCiPe (I) - HHD'!$AC$271/'Results ReCiPe (I) - HHD'!$AC$272-'Results ReCiPe (I) - HHD'!$AC$271)</f>
        <v>2267.7086653341762</v>
      </c>
      <c r="M425" s="6">
        <f>$B$252*50*'Results - raw data ReCiPe (I)'!CN128/(1-0.5)*(1+'Results ReCiPe (I) - HHD'!$AC$271/'Results ReCiPe (I) - HHD'!$AC$272-'Results ReCiPe (I) - HHD'!$AC$271)</f>
        <v>2247.865746414112</v>
      </c>
      <c r="N425" s="6">
        <f>$B$252*50*'Results - raw data ReCiPe (I)'!CO128/(1-0.5)*(1+'Results ReCiPe (I) - HHD'!$AC$271/'Results ReCiPe (I) - HHD'!$AC$272-'Results ReCiPe (I) - HHD'!$AC$271)</f>
        <v>2228.5838643819575</v>
      </c>
      <c r="O425" s="6">
        <f>$B$252*50*'Results - raw data ReCiPe (I)'!CP128/(1-0.5)*(1+'Results ReCiPe (I) - HHD'!$AC$271/'Results ReCiPe (I) - HHD'!$AC$272-'Results ReCiPe (I) - HHD'!$AC$271)</f>
        <v>2205.7296031327046</v>
      </c>
      <c r="P425" s="6">
        <f>$B$252*50*'Results - raw data ReCiPe (I)'!CQ128/(1-0.5)*(1+'Results ReCiPe (I) - HHD'!$AC$271/'Results ReCiPe (I) - HHD'!$AC$272-'Results ReCiPe (I) - HHD'!$AC$271)</f>
        <v>2187.1245376203028</v>
      </c>
      <c r="Q425" s="6">
        <f>$B$252*50*'Results - raw data ReCiPe (I)'!CR128/(1-0.5)*(1+'Results ReCiPe (I) - HHD'!$AC$271/'Results ReCiPe (I) - HHD'!$AC$272-'Results ReCiPe (I) - HHD'!$AC$271)</f>
        <v>2168.8213798107258</v>
      </c>
      <c r="R425" s="6">
        <f>$B$252*50*'Results - raw data ReCiPe (I)'!CS128/(1-0.5)*(1+'Results ReCiPe (I) - HHD'!$AC$271/'Results ReCiPe (I) - HHD'!$AC$272-'Results ReCiPe (I) - HHD'!$AC$271)</f>
        <v>2151.7153772273559</v>
      </c>
      <c r="S425" s="6">
        <f>$B$252*50*'Results - raw data ReCiPe (I)'!CT128/(1-0.5)*(1+'Results ReCiPe (I) - HHD'!$AC$271/'Results ReCiPe (I) - HHD'!$AC$272-'Results ReCiPe (I) - HHD'!$AC$271)</f>
        <v>2134.9357697519808</v>
      </c>
      <c r="T425" s="6">
        <f>$B$252*50*'Results - raw data ReCiPe (I)'!CU128/(1-0.5)*(1+'Results ReCiPe (I) - HHD'!$AC$271/'Results ReCiPe (I) - HHD'!$AC$272-'Results ReCiPe (I) - HHD'!$AC$271)</f>
        <v>2115.5084578535038</v>
      </c>
      <c r="U425" s="6">
        <f>$B$252*50*'Results - raw data ReCiPe (I)'!CV128/(1-0.5)*(1+'Results ReCiPe (I) - HHD'!$AC$271/'Results ReCiPe (I) - HHD'!$AC$272-'Results ReCiPe (I) - HHD'!$AC$271)</f>
        <v>2099.4082271600396</v>
      </c>
      <c r="V425" s="6">
        <f>$B$252*50*'Results - raw data ReCiPe (I)'!CW128/(1-0.5)*(1+'Results ReCiPe (I) - HHD'!$AC$271/'Results ReCiPe (I) - HHD'!$AC$272-'Results ReCiPe (I) - HHD'!$AC$271)</f>
        <v>2085.5419811475899</v>
      </c>
      <c r="W425" s="6">
        <f>$B$252*50*'Results - raw data ReCiPe (I)'!CX128/(1-0.5)*(1+'Results ReCiPe (I) - HHD'!$AC$271/'Results ReCiPe (I) - HHD'!$AC$272-'Results ReCiPe (I) - HHD'!$AC$271)</f>
        <v>2081.4566044505113</v>
      </c>
      <c r="X425" s="6">
        <f>$B$252*50*'Results - raw data ReCiPe (I)'!CY128/(1-0.5)*(1+'Results ReCiPe (I) - HHD'!$AC$271/'Results ReCiPe (I) - HHD'!$AC$272-'Results ReCiPe (I) - HHD'!$AC$271)</f>
        <v>2073.3249014505486</v>
      </c>
      <c r="Y425" s="6">
        <f>$B$252*50*'Results - raw data ReCiPe (I)'!CZ128/(1-0.5)*(1+'Results ReCiPe (I) - HHD'!$AC$271/'Results ReCiPe (I) - HHD'!$AC$272-'Results ReCiPe (I) - HHD'!$AC$271)</f>
        <v>2065.2998337073709</v>
      </c>
      <c r="Z425" s="6">
        <f>$B$252*50*'Results - raw data ReCiPe (I)'!DA128/(1-0.5)*(1+'Results ReCiPe (I) - HHD'!$AC$271/'Results ReCiPe (I) - HHD'!$AC$272-'Results ReCiPe (I) - HHD'!$AC$271)</f>
        <v>2057.3798160176079</v>
      </c>
    </row>
    <row r="426" spans="1:53" outlineLevel="1" x14ac:dyDescent="0.35">
      <c r="A426" s="6" t="s">
        <v>797</v>
      </c>
      <c r="B426" s="6">
        <f>$B$380*$AC$384</f>
        <v>349.3150684931507</v>
      </c>
      <c r="C426" s="6">
        <f t="shared" ref="C426:Z426" si="61">$B$380*$AC$384</f>
        <v>349.3150684931507</v>
      </c>
      <c r="D426" s="6">
        <f t="shared" si="61"/>
        <v>349.3150684931507</v>
      </c>
      <c r="E426" s="6">
        <f t="shared" si="61"/>
        <v>349.3150684931507</v>
      </c>
      <c r="F426" s="6">
        <f t="shared" si="61"/>
        <v>349.3150684931507</v>
      </c>
      <c r="G426" s="6">
        <f t="shared" si="61"/>
        <v>349.3150684931507</v>
      </c>
      <c r="H426" s="6">
        <f t="shared" si="61"/>
        <v>349.3150684931507</v>
      </c>
      <c r="I426" s="6">
        <f t="shared" si="61"/>
        <v>349.3150684931507</v>
      </c>
      <c r="J426" s="6">
        <f t="shared" si="61"/>
        <v>349.3150684931507</v>
      </c>
      <c r="K426" s="6">
        <f t="shared" si="61"/>
        <v>349.3150684931507</v>
      </c>
      <c r="L426" s="6">
        <f t="shared" si="61"/>
        <v>349.3150684931507</v>
      </c>
      <c r="M426" s="6">
        <f t="shared" si="61"/>
        <v>349.3150684931507</v>
      </c>
      <c r="N426" s="6">
        <f t="shared" si="61"/>
        <v>349.3150684931507</v>
      </c>
      <c r="O426" s="6">
        <f t="shared" si="61"/>
        <v>349.3150684931507</v>
      </c>
      <c r="P426" s="6">
        <f t="shared" si="61"/>
        <v>349.3150684931507</v>
      </c>
      <c r="Q426" s="6">
        <f t="shared" si="61"/>
        <v>349.3150684931507</v>
      </c>
      <c r="R426" s="6">
        <f t="shared" si="61"/>
        <v>349.3150684931507</v>
      </c>
      <c r="S426" s="6">
        <f t="shared" si="61"/>
        <v>349.3150684931507</v>
      </c>
      <c r="T426" s="6">
        <f t="shared" si="61"/>
        <v>349.3150684931507</v>
      </c>
      <c r="U426" s="6">
        <f t="shared" si="61"/>
        <v>349.3150684931507</v>
      </c>
      <c r="V426" s="6">
        <f t="shared" si="61"/>
        <v>349.3150684931507</v>
      </c>
      <c r="W426" s="6">
        <f t="shared" si="61"/>
        <v>349.3150684931507</v>
      </c>
      <c r="X426" s="6">
        <f t="shared" si="61"/>
        <v>349.3150684931507</v>
      </c>
      <c r="Y426" s="6">
        <f t="shared" si="61"/>
        <v>349.3150684931507</v>
      </c>
      <c r="Z426" s="6">
        <f t="shared" si="61"/>
        <v>349.3150684931507</v>
      </c>
    </row>
    <row r="427" spans="1:53" outlineLevel="1" x14ac:dyDescent="0.35">
      <c r="A427" s="23" t="s">
        <v>125</v>
      </c>
      <c r="B427" s="17">
        <f>SUM(B395:B425)</f>
        <v>38632.897365734934</v>
      </c>
      <c r="C427" s="17">
        <f t="shared" ref="C427:Z427" si="62">SUM(C395:C425)</f>
        <v>4653.7430670114791</v>
      </c>
      <c r="D427" s="17">
        <f t="shared" si="62"/>
        <v>4415.6678446894512</v>
      </c>
      <c r="E427" s="17">
        <f t="shared" si="62"/>
        <v>4143.3353606883547</v>
      </c>
      <c r="F427" s="17">
        <f t="shared" si="62"/>
        <v>3903.5409716765462</v>
      </c>
      <c r="G427" s="17">
        <f t="shared" si="62"/>
        <v>3663.714020720151</v>
      </c>
      <c r="H427" s="17">
        <f t="shared" si="62"/>
        <v>3605.6289965261394</v>
      </c>
      <c r="I427" s="17">
        <f t="shared" si="62"/>
        <v>3547.9130411124788</v>
      </c>
      <c r="J427" s="17">
        <f t="shared" si="62"/>
        <v>3470.9009887522698</v>
      </c>
      <c r="K427" s="17">
        <f t="shared" si="62"/>
        <v>3414.1677860302475</v>
      </c>
      <c r="L427" s="17">
        <f t="shared" si="62"/>
        <v>3357.986780907248</v>
      </c>
      <c r="M427" s="17">
        <f t="shared" si="62"/>
        <v>3334.190349100154</v>
      </c>
      <c r="N427" s="17">
        <f t="shared" si="62"/>
        <v>3310.959242509366</v>
      </c>
      <c r="O427" s="17">
        <f t="shared" si="62"/>
        <v>3283.0192452681713</v>
      </c>
      <c r="P427" s="17">
        <f t="shared" si="62"/>
        <v>3260.5002776047122</v>
      </c>
      <c r="Q427" s="17">
        <f t="shared" si="62"/>
        <v>3238.2758804785735</v>
      </c>
      <c r="R427" s="17">
        <f t="shared" si="62"/>
        <v>3193.5260937716153</v>
      </c>
      <c r="S427" s="17">
        <f t="shared" si="62"/>
        <v>3149.0853161784239</v>
      </c>
      <c r="T427" s="17">
        <f t="shared" si="62"/>
        <v>3101.1435214418934</v>
      </c>
      <c r="U427" s="17">
        <f t="shared" si="62"/>
        <v>3057.3898995685122</v>
      </c>
      <c r="V427" s="17">
        <f t="shared" si="62"/>
        <v>3015.902046310709</v>
      </c>
      <c r="W427" s="17">
        <f t="shared" si="62"/>
        <v>2991.7474127062915</v>
      </c>
      <c r="X427" s="17">
        <f t="shared" si="62"/>
        <v>2961.986055966508</v>
      </c>
      <c r="Y427" s="17">
        <f t="shared" si="62"/>
        <v>2932.3434247780169</v>
      </c>
      <c r="Z427" s="17">
        <f t="shared" si="62"/>
        <v>3574.6430057321168</v>
      </c>
    </row>
    <row r="428" spans="1:53" s="26" customFormat="1" outlineLevel="1" x14ac:dyDescent="0.35"/>
    <row r="429" spans="1:53" s="236" customFormat="1" ht="21" x14ac:dyDescent="0.5">
      <c r="A429" s="236" t="s">
        <v>136</v>
      </c>
    </row>
    <row r="432" spans="1:53" x14ac:dyDescent="0.35">
      <c r="A432" s="331" t="s">
        <v>131</v>
      </c>
      <c r="B432" s="331"/>
      <c r="C432" s="331"/>
      <c r="D432" s="331"/>
      <c r="E432" s="331"/>
      <c r="F432" s="331"/>
      <c r="G432" s="331"/>
      <c r="H432" s="331"/>
      <c r="I432" s="331"/>
      <c r="J432" s="331"/>
      <c r="K432" s="331"/>
    </row>
    <row r="433" spans="1:11" x14ac:dyDescent="0.35">
      <c r="A433" s="6" t="s">
        <v>875</v>
      </c>
    </row>
    <row r="434" spans="1:11" x14ac:dyDescent="0.35">
      <c r="B434" s="6" t="s">
        <v>889</v>
      </c>
      <c r="C434" s="6" t="s">
        <v>891</v>
      </c>
      <c r="D434" s="6" t="s">
        <v>890</v>
      </c>
      <c r="E434" s="6" t="s">
        <v>892</v>
      </c>
      <c r="F434" s="6" t="s">
        <v>893</v>
      </c>
      <c r="G434" s="6" t="s">
        <v>894</v>
      </c>
      <c r="H434" s="6" t="s">
        <v>896</v>
      </c>
      <c r="I434" s="6" t="s">
        <v>897</v>
      </c>
      <c r="J434" s="6" t="s">
        <v>895</v>
      </c>
    </row>
    <row r="435" spans="1:11" x14ac:dyDescent="0.35">
      <c r="A435" s="6" t="s">
        <v>117</v>
      </c>
      <c r="B435" s="6">
        <f>SUM(AC10:BA10)</f>
        <v>54120.743519027485</v>
      </c>
      <c r="C435" s="6">
        <f>SUM(AC50:BA50)</f>
        <v>50992.896958343765</v>
      </c>
      <c r="D435" s="6">
        <f>SUM(AC90:BA90)</f>
        <v>42087.257169202174</v>
      </c>
      <c r="E435" s="6">
        <f>SUM(AC132:BA132)</f>
        <v>54120.743519027485</v>
      </c>
      <c r="F435" s="6">
        <f>SUM(AC173:BA173)</f>
        <v>50992.896958343765</v>
      </c>
      <c r="G435" s="6">
        <f>SUM(AC214:BA214)</f>
        <v>42087.257169202174</v>
      </c>
      <c r="H435" s="6">
        <f>SUM(AC274:BA274)</f>
        <v>44463.838826567226</v>
      </c>
      <c r="I435" s="6">
        <f>SUM(AC334:BA334)</f>
        <v>41367.837722487486</v>
      </c>
      <c r="J435" s="6">
        <f>SUM(AC395:BA395)</f>
        <v>32559.330532867891</v>
      </c>
    </row>
    <row r="436" spans="1:11" x14ac:dyDescent="0.35">
      <c r="A436" s="6" t="s">
        <v>118</v>
      </c>
      <c r="B436" s="6">
        <f>SUM(AC11:BA11)</f>
        <v>2871.9230330962901</v>
      </c>
      <c r="C436" s="6">
        <f>SUM(AC51:BA51)</f>
        <v>2689.460902868675</v>
      </c>
      <c r="D436" s="6">
        <f>SUM(AC91:BA91)</f>
        <v>2363.2132293652407</v>
      </c>
      <c r="E436" s="6">
        <f>SUM(AC133:BA133)</f>
        <v>2871.9230330962901</v>
      </c>
      <c r="F436" s="6">
        <f>SUM(AC174:BA174)</f>
        <v>2689.460902868675</v>
      </c>
      <c r="G436" s="6">
        <f>SUM(AC215:BA215)</f>
        <v>2363.2132293652407</v>
      </c>
      <c r="H436" s="6">
        <f t="shared" ref="H436:H444" si="63">SUM(AC275:BA275)</f>
        <v>1435.961516548145</v>
      </c>
      <c r="I436" s="6">
        <f t="shared" ref="I436:I444" si="64">SUM(AC335:BA335)</f>
        <v>1344.7304514343375</v>
      </c>
      <c r="J436" s="6">
        <f t="shared" ref="J436:J444" si="65">SUM(AC396:BA396)</f>
        <v>1181.6066146826204</v>
      </c>
    </row>
    <row r="437" spans="1:11" x14ac:dyDescent="0.35">
      <c r="A437" s="6" t="s">
        <v>119</v>
      </c>
      <c r="B437" s="6">
        <f>SUM(AC12:BA12)</f>
        <v>856.68574124441147</v>
      </c>
      <c r="C437" s="6">
        <f>SUM(AC52:BA52)</f>
        <v>736.84411269170732</v>
      </c>
      <c r="D437" s="6">
        <f>SUM(AC92:BA92)</f>
        <v>661.35458655062052</v>
      </c>
      <c r="E437" s="6">
        <f>SUM(AC134:BA134)</f>
        <v>856.68574124441147</v>
      </c>
      <c r="F437" s="6">
        <f>SUM(AC175:BA175)</f>
        <v>736.84411269170732</v>
      </c>
      <c r="G437" s="6">
        <f>SUM(AC216:BA216)</f>
        <v>661.35458655062052</v>
      </c>
      <c r="H437" s="6">
        <f t="shared" si="63"/>
        <v>856.68574124441147</v>
      </c>
      <c r="I437" s="6">
        <f t="shared" si="64"/>
        <v>736.84411269170732</v>
      </c>
      <c r="J437" s="6">
        <f t="shared" si="65"/>
        <v>661.35458655062052</v>
      </c>
    </row>
    <row r="438" spans="1:11" x14ac:dyDescent="0.35">
      <c r="A438" s="6" t="s">
        <v>120</v>
      </c>
      <c r="B438" s="6">
        <f>SUM(AC13:BA13)</f>
        <v>23.905501404359882</v>
      </c>
      <c r="C438" s="6">
        <f>SUM(AC53:BA53)</f>
        <v>22.256211814560157</v>
      </c>
      <c r="D438" s="6">
        <f>SUM(AC93:BA93)</f>
        <v>20.943027296122771</v>
      </c>
      <c r="E438" s="6">
        <f>SUM(AC135:BA135)</f>
        <v>23.905501404359882</v>
      </c>
      <c r="F438" s="6">
        <f>SUM(AC176:BA176)</f>
        <v>22.256211814560157</v>
      </c>
      <c r="G438" s="6">
        <f>SUM(AC217:BA217)</f>
        <v>20.943027296122771</v>
      </c>
      <c r="H438" s="6">
        <f t="shared" si="63"/>
        <v>11.952750702179941</v>
      </c>
      <c r="I438" s="6">
        <f t="shared" si="64"/>
        <v>11.128105907280078</v>
      </c>
      <c r="J438" s="6">
        <f t="shared" si="65"/>
        <v>10.471513648061386</v>
      </c>
    </row>
    <row r="439" spans="1:11" x14ac:dyDescent="0.35">
      <c r="A439" s="6" t="s">
        <v>121</v>
      </c>
      <c r="B439" s="6">
        <f>SUM(AC14:BA14)</f>
        <v>12479.246304764583</v>
      </c>
      <c r="C439" s="6">
        <f>SUM(AC54:BA54)</f>
        <v>10612.383238554894</v>
      </c>
      <c r="D439" s="6">
        <f>SUM(AC94:BA94)</f>
        <v>9170.2111038221719</v>
      </c>
      <c r="E439" s="6">
        <f>SUM(AC136:BA136)</f>
        <v>12479.246304764583</v>
      </c>
      <c r="F439" s="6">
        <f>SUM(AC177:BA177)</f>
        <v>10612.383238554894</v>
      </c>
      <c r="G439" s="6">
        <f>SUM(AC218:BA218)</f>
        <v>9170.2111038221719</v>
      </c>
      <c r="H439" s="6">
        <f t="shared" si="63"/>
        <v>12479.246304764583</v>
      </c>
      <c r="I439" s="6">
        <f t="shared" si="64"/>
        <v>10612.383238554894</v>
      </c>
      <c r="J439" s="6">
        <f t="shared" si="65"/>
        <v>9170.2111038221719</v>
      </c>
    </row>
    <row r="440" spans="1:11" x14ac:dyDescent="0.35">
      <c r="A440" s="6" t="s">
        <v>800</v>
      </c>
      <c r="H440" s="6">
        <f t="shared" si="63"/>
        <v>129736.26611178397</v>
      </c>
      <c r="I440" s="6">
        <f t="shared" si="64"/>
        <v>118658.63159700422</v>
      </c>
      <c r="J440" s="6">
        <f t="shared" si="65"/>
        <v>8732.8767123287689</v>
      </c>
    </row>
    <row r="441" spans="1:11" x14ac:dyDescent="0.35">
      <c r="A441" s="6" t="s">
        <v>122</v>
      </c>
      <c r="B441" s="6">
        <f>SUM(AC15:BA15)</f>
        <v>1550866.8232869823</v>
      </c>
      <c r="C441" s="6">
        <f>SUM(AC55:BA55)</f>
        <v>382293.26205039746</v>
      </c>
      <c r="D441" s="6">
        <f>SUM(AC95:BA95)</f>
        <v>50881.00266112887</v>
      </c>
      <c r="E441" s="6">
        <f>SUM(AC137:BA137)</f>
        <v>1198823.889417802</v>
      </c>
      <c r="F441" s="6">
        <f>SUM(AC178:BA178)</f>
        <v>301913.28347234789</v>
      </c>
      <c r="G441" s="6">
        <f>SUM(AC219:BA219)</f>
        <v>45868.676346501124</v>
      </c>
      <c r="H441" s="6">
        <f t="shared" si="63"/>
        <v>101554.29746169456</v>
      </c>
      <c r="I441" s="6">
        <f t="shared" si="64"/>
        <v>74454.903215886938</v>
      </c>
      <c r="J441" s="6">
        <f t="shared" si="65"/>
        <v>58313.977075133917</v>
      </c>
    </row>
    <row r="442" spans="1:11" x14ac:dyDescent="0.35">
      <c r="A442" s="6" t="s">
        <v>123</v>
      </c>
      <c r="B442" s="6">
        <f>SUM(AC16:BA16)</f>
        <v>120033.00613713911</v>
      </c>
      <c r="C442" s="6">
        <f>SUM(AC56:BA56)</f>
        <v>31704.27461629796</v>
      </c>
      <c r="D442" s="6">
        <f>SUM(AC96:BA96)</f>
        <v>6227.8076330086587</v>
      </c>
      <c r="E442" s="6">
        <f>SUM(AC138:BA138)</f>
        <v>120033.00613713911</v>
      </c>
      <c r="F442" s="6">
        <f>SUM(AC179:BA179)</f>
        <v>31704.27461629796</v>
      </c>
      <c r="G442" s="6">
        <f>SUM(AC220:BA220)</f>
        <v>6227.8076330086587</v>
      </c>
      <c r="H442" s="6">
        <f t="shared" si="63"/>
        <v>60016.503068569553</v>
      </c>
      <c r="I442" s="6">
        <f t="shared" si="64"/>
        <v>15852.13730814898</v>
      </c>
      <c r="J442" s="6">
        <f t="shared" si="65"/>
        <v>3113.9038165043294</v>
      </c>
    </row>
    <row r="443" spans="1:11" x14ac:dyDescent="0.35">
      <c r="A443" s="6" t="s">
        <v>124</v>
      </c>
      <c r="B443" s="6">
        <f>SUM(AC17:BA17)</f>
        <v>-2500000</v>
      </c>
      <c r="C443" s="6">
        <f>SUM(AC57:BA57)</f>
        <v>-2500000</v>
      </c>
      <c r="D443" s="6">
        <f>SUM(AC97:BA97)</f>
        <v>-2500000</v>
      </c>
      <c r="E443" s="6">
        <f>SUM(AC139:BA139)</f>
        <v>-2500000</v>
      </c>
      <c r="F443" s="6">
        <f>SUM(AC180:BA180)</f>
        <v>-2500000</v>
      </c>
      <c r="G443" s="6">
        <f>SUM(AC221:BA221)</f>
        <v>-2500000</v>
      </c>
      <c r="H443" s="6">
        <f t="shared" si="63"/>
        <v>-1250000</v>
      </c>
      <c r="I443" s="6">
        <f t="shared" si="64"/>
        <v>-1250000</v>
      </c>
      <c r="J443" s="6">
        <f t="shared" si="65"/>
        <v>-1250000</v>
      </c>
    </row>
    <row r="444" spans="1:11" x14ac:dyDescent="0.35">
      <c r="A444" s="6" t="s">
        <v>137</v>
      </c>
      <c r="B444" s="6">
        <f>SUM(AC18:BA18)</f>
        <v>-758747.6664763419</v>
      </c>
      <c r="C444" s="6">
        <f>SUM(AC58:BA58)</f>
        <v>-2020948.6219090307</v>
      </c>
      <c r="D444" s="6">
        <f>SUM(AC98:BA98)</f>
        <v>-2388588.2105896259</v>
      </c>
      <c r="E444" s="6">
        <f>SUM(AC140:BA140)</f>
        <v>-1110790.6003455222</v>
      </c>
      <c r="F444" s="6">
        <f>SUM(AC181:BA181)</f>
        <v>-2101328.6004870804</v>
      </c>
      <c r="G444" s="6">
        <f>SUM(AC222:BA222)</f>
        <v>-2393600.536904254</v>
      </c>
      <c r="H444" s="6">
        <f t="shared" si="63"/>
        <v>-899445.24821812555</v>
      </c>
      <c r="I444" s="6">
        <f t="shared" si="64"/>
        <v>-986961.40424788417</v>
      </c>
      <c r="J444" s="6">
        <f t="shared" si="65"/>
        <v>-1136256.2680444615</v>
      </c>
    </row>
    <row r="446" spans="1:11" x14ac:dyDescent="0.35">
      <c r="A446" s="331" t="s">
        <v>133</v>
      </c>
      <c r="B446" s="331"/>
      <c r="C446" s="331"/>
      <c r="D446" s="331"/>
      <c r="E446" s="331"/>
      <c r="F446" s="331"/>
      <c r="G446" s="331"/>
      <c r="H446" s="331"/>
      <c r="I446" s="331"/>
      <c r="J446" s="331"/>
      <c r="K446" s="331"/>
    </row>
    <row r="447" spans="1:11" x14ac:dyDescent="0.35">
      <c r="A447" s="6" t="s">
        <v>876</v>
      </c>
    </row>
    <row r="448" spans="1:11" x14ac:dyDescent="0.35">
      <c r="B448" s="6" t="s">
        <v>889</v>
      </c>
      <c r="C448" s="6" t="s">
        <v>891</v>
      </c>
      <c r="D448" s="6" t="s">
        <v>890</v>
      </c>
      <c r="E448" s="6" t="s">
        <v>892</v>
      </c>
      <c r="F448" s="6" t="s">
        <v>893</v>
      </c>
      <c r="G448" s="6" t="s">
        <v>894</v>
      </c>
      <c r="H448" s="6" t="s">
        <v>896</v>
      </c>
      <c r="I448" s="6" t="s">
        <v>897</v>
      </c>
      <c r="J448" s="6" t="s">
        <v>895</v>
      </c>
    </row>
    <row r="449" spans="1:11" x14ac:dyDescent="0.35">
      <c r="A449" s="6" t="s">
        <v>117</v>
      </c>
      <c r="B449" s="6">
        <f>B435/25</f>
        <v>2164.8297407610994</v>
      </c>
      <c r="C449" s="6">
        <f t="shared" ref="C449:J449" si="66">C435/25</f>
        <v>2039.7158783337507</v>
      </c>
      <c r="D449" s="6">
        <f t="shared" si="66"/>
        <v>1683.4902867680869</v>
      </c>
      <c r="E449" s="6">
        <f t="shared" si="66"/>
        <v>2164.8297407610994</v>
      </c>
      <c r="F449" s="6">
        <f t="shared" si="66"/>
        <v>2039.7158783337507</v>
      </c>
      <c r="G449" s="6">
        <f t="shared" si="66"/>
        <v>1683.4902867680869</v>
      </c>
      <c r="H449" s="6">
        <f t="shared" si="66"/>
        <v>1778.5535530626889</v>
      </c>
      <c r="I449" s="6">
        <f t="shared" si="66"/>
        <v>1654.7135088994994</v>
      </c>
      <c r="J449" s="6">
        <f t="shared" si="66"/>
        <v>1302.3732213147157</v>
      </c>
    </row>
    <row r="450" spans="1:11" x14ac:dyDescent="0.35">
      <c r="A450" s="6" t="s">
        <v>118</v>
      </c>
      <c r="B450" s="6">
        <f t="shared" ref="B450:J458" si="67">B436/25</f>
        <v>114.8769213238516</v>
      </c>
      <c r="C450" s="6">
        <f t="shared" si="67"/>
        <v>107.57843611474701</v>
      </c>
      <c r="D450" s="6">
        <f t="shared" si="67"/>
        <v>94.528529174609631</v>
      </c>
      <c r="E450" s="6">
        <f t="shared" si="67"/>
        <v>114.8769213238516</v>
      </c>
      <c r="F450" s="6">
        <f t="shared" si="67"/>
        <v>107.57843611474701</v>
      </c>
      <c r="G450" s="6">
        <f t="shared" si="67"/>
        <v>94.528529174609631</v>
      </c>
      <c r="H450" s="6">
        <f t="shared" si="67"/>
        <v>57.438460661925802</v>
      </c>
      <c r="I450" s="6">
        <f t="shared" si="67"/>
        <v>53.789218057373503</v>
      </c>
      <c r="J450" s="6">
        <f t="shared" si="67"/>
        <v>47.264264587304815</v>
      </c>
    </row>
    <row r="451" spans="1:11" x14ac:dyDescent="0.35">
      <c r="A451" s="6" t="s">
        <v>119</v>
      </c>
      <c r="B451" s="6">
        <f t="shared" si="67"/>
        <v>34.26742964977646</v>
      </c>
      <c r="C451" s="6">
        <f t="shared" si="67"/>
        <v>29.473764507668292</v>
      </c>
      <c r="D451" s="6">
        <f t="shared" si="67"/>
        <v>26.454183462024822</v>
      </c>
      <c r="E451" s="6">
        <f t="shared" si="67"/>
        <v>34.26742964977646</v>
      </c>
      <c r="F451" s="6">
        <f t="shared" si="67"/>
        <v>29.473764507668292</v>
      </c>
      <c r="G451" s="6">
        <f t="shared" si="67"/>
        <v>26.454183462024822</v>
      </c>
      <c r="H451" s="6">
        <f t="shared" si="67"/>
        <v>34.26742964977646</v>
      </c>
      <c r="I451" s="6">
        <f t="shared" si="67"/>
        <v>29.473764507668292</v>
      </c>
      <c r="J451" s="6">
        <f t="shared" si="67"/>
        <v>26.454183462024822</v>
      </c>
    </row>
    <row r="452" spans="1:11" x14ac:dyDescent="0.35">
      <c r="A452" s="6" t="s">
        <v>120</v>
      </c>
      <c r="B452" s="6">
        <f t="shared" si="67"/>
        <v>0.95622005617439532</v>
      </c>
      <c r="C452" s="6">
        <f t="shared" si="67"/>
        <v>0.89024847258240625</v>
      </c>
      <c r="D452" s="6">
        <f t="shared" si="67"/>
        <v>0.83772109184491084</v>
      </c>
      <c r="E452" s="6">
        <f t="shared" si="67"/>
        <v>0.95622005617439532</v>
      </c>
      <c r="F452" s="6">
        <f t="shared" si="67"/>
        <v>0.89024847258240625</v>
      </c>
      <c r="G452" s="6">
        <f t="shared" si="67"/>
        <v>0.83772109184491084</v>
      </c>
      <c r="H452" s="6">
        <f t="shared" si="67"/>
        <v>0.47811002808719766</v>
      </c>
      <c r="I452" s="6">
        <f t="shared" si="67"/>
        <v>0.44512423629120312</v>
      </c>
      <c r="J452" s="6">
        <f t="shared" si="67"/>
        <v>0.41886054592245542</v>
      </c>
    </row>
    <row r="453" spans="1:11" x14ac:dyDescent="0.35">
      <c r="A453" s="6" t="s">
        <v>121</v>
      </c>
      <c r="B453" s="6">
        <f t="shared" si="67"/>
        <v>499.16985219058336</v>
      </c>
      <c r="C453" s="6">
        <f t="shared" si="67"/>
        <v>424.49532954219575</v>
      </c>
      <c r="D453" s="6">
        <f t="shared" si="67"/>
        <v>366.80844415288686</v>
      </c>
      <c r="E453" s="6">
        <f t="shared" si="67"/>
        <v>499.16985219058336</v>
      </c>
      <c r="F453" s="6">
        <f t="shared" si="67"/>
        <v>424.49532954219575</v>
      </c>
      <c r="G453" s="6">
        <f t="shared" si="67"/>
        <v>366.80844415288686</v>
      </c>
      <c r="H453" s="6">
        <f t="shared" si="67"/>
        <v>499.16985219058336</v>
      </c>
      <c r="I453" s="6">
        <f t="shared" si="67"/>
        <v>424.49532954219575</v>
      </c>
      <c r="J453" s="6">
        <f t="shared" si="67"/>
        <v>366.80844415288686</v>
      </c>
    </row>
    <row r="454" spans="1:11" x14ac:dyDescent="0.35">
      <c r="A454" s="6" t="s">
        <v>800</v>
      </c>
      <c r="B454" s="6">
        <f t="shared" si="67"/>
        <v>0</v>
      </c>
      <c r="C454" s="6">
        <f t="shared" si="67"/>
        <v>0</v>
      </c>
      <c r="D454" s="6">
        <f t="shared" si="67"/>
        <v>0</v>
      </c>
      <c r="E454" s="6">
        <f t="shared" si="67"/>
        <v>0</v>
      </c>
      <c r="F454" s="6">
        <f t="shared" si="67"/>
        <v>0</v>
      </c>
      <c r="G454" s="6">
        <f t="shared" si="67"/>
        <v>0</v>
      </c>
      <c r="H454" s="6">
        <f t="shared" si="67"/>
        <v>5189.4506444713588</v>
      </c>
      <c r="I454" s="6">
        <f t="shared" si="67"/>
        <v>4746.3452638801691</v>
      </c>
      <c r="J454" s="6">
        <f t="shared" si="67"/>
        <v>349.31506849315076</v>
      </c>
    </row>
    <row r="455" spans="1:11" x14ac:dyDescent="0.35">
      <c r="A455" s="6" t="s">
        <v>122</v>
      </c>
      <c r="B455" s="6">
        <f t="shared" si="67"/>
        <v>62034.67293147929</v>
      </c>
      <c r="C455" s="6">
        <f t="shared" si="67"/>
        <v>15291.730482015899</v>
      </c>
      <c r="D455" s="6">
        <f t="shared" si="67"/>
        <v>2035.2401064451549</v>
      </c>
      <c r="E455" s="6">
        <f t="shared" si="67"/>
        <v>47952.955576712076</v>
      </c>
      <c r="F455" s="6">
        <f t="shared" si="67"/>
        <v>12076.531338893916</v>
      </c>
      <c r="G455" s="6">
        <f t="shared" si="67"/>
        <v>1834.7470538600451</v>
      </c>
      <c r="H455" s="6">
        <f t="shared" si="67"/>
        <v>4062.1718984677823</v>
      </c>
      <c r="I455" s="6">
        <f t="shared" si="67"/>
        <v>2978.1961286354776</v>
      </c>
      <c r="J455" s="6">
        <f t="shared" si="67"/>
        <v>2332.5590830053566</v>
      </c>
    </row>
    <row r="456" spans="1:11" x14ac:dyDescent="0.35">
      <c r="A456" s="6" t="s">
        <v>123</v>
      </c>
      <c r="B456" s="6">
        <f t="shared" si="67"/>
        <v>4801.3202454855646</v>
      </c>
      <c r="C456" s="6">
        <f t="shared" si="67"/>
        <v>1268.1709846519184</v>
      </c>
      <c r="D456" s="6">
        <f t="shared" si="67"/>
        <v>249.11230532034634</v>
      </c>
      <c r="E456" s="6">
        <f t="shared" si="67"/>
        <v>4801.3202454855646</v>
      </c>
      <c r="F456" s="6">
        <f t="shared" si="67"/>
        <v>1268.1709846519184</v>
      </c>
      <c r="G456" s="6">
        <f t="shared" si="67"/>
        <v>249.11230532034634</v>
      </c>
      <c r="H456" s="6">
        <f t="shared" si="67"/>
        <v>2400.6601227427823</v>
      </c>
      <c r="I456" s="6">
        <f t="shared" si="67"/>
        <v>634.08549232595919</v>
      </c>
      <c r="J456" s="6">
        <f t="shared" si="67"/>
        <v>124.55615266017317</v>
      </c>
    </row>
    <row r="457" spans="1:11" x14ac:dyDescent="0.35">
      <c r="A457" s="6" t="s">
        <v>124</v>
      </c>
      <c r="B457" s="6">
        <f t="shared" si="67"/>
        <v>-100000</v>
      </c>
      <c r="C457" s="6">
        <f t="shared" si="67"/>
        <v>-100000</v>
      </c>
      <c r="D457" s="6">
        <f t="shared" si="67"/>
        <v>-100000</v>
      </c>
      <c r="E457" s="6">
        <f t="shared" si="67"/>
        <v>-100000</v>
      </c>
      <c r="F457" s="6">
        <f t="shared" si="67"/>
        <v>-100000</v>
      </c>
      <c r="G457" s="6">
        <f t="shared" si="67"/>
        <v>-100000</v>
      </c>
      <c r="H457" s="6">
        <f t="shared" si="67"/>
        <v>-50000</v>
      </c>
      <c r="I457" s="6">
        <f t="shared" si="67"/>
        <v>-50000</v>
      </c>
      <c r="J457" s="6">
        <f t="shared" si="67"/>
        <v>-50000</v>
      </c>
    </row>
    <row r="458" spans="1:11" x14ac:dyDescent="0.35">
      <c r="A458" s="6" t="s">
        <v>137</v>
      </c>
      <c r="B458" s="6">
        <f t="shared" si="67"/>
        <v>-30349.906659053675</v>
      </c>
      <c r="C458" s="6">
        <f t="shared" si="67"/>
        <v>-80837.944876361231</v>
      </c>
      <c r="D458" s="6">
        <f t="shared" si="67"/>
        <v>-95543.528423585041</v>
      </c>
      <c r="E458" s="6">
        <f t="shared" si="67"/>
        <v>-44431.624013820889</v>
      </c>
      <c r="F458" s="6">
        <f t="shared" si="67"/>
        <v>-84053.14401948321</v>
      </c>
      <c r="G458" s="6">
        <f t="shared" si="67"/>
        <v>-95744.021476170165</v>
      </c>
      <c r="H458" s="6">
        <f t="shared" si="67"/>
        <v>-35977.809928725022</v>
      </c>
      <c r="I458" s="6">
        <f t="shared" si="67"/>
        <v>-39478.456169915364</v>
      </c>
      <c r="J458" s="6">
        <f t="shared" si="67"/>
        <v>-45450.250721778459</v>
      </c>
    </row>
    <row r="461" spans="1:11" x14ac:dyDescent="0.35">
      <c r="A461" s="331" t="s">
        <v>135</v>
      </c>
      <c r="B461" s="331"/>
      <c r="C461" s="331"/>
      <c r="D461" s="331"/>
      <c r="E461" s="331"/>
      <c r="F461" s="331"/>
      <c r="G461" s="331"/>
      <c r="H461" s="331"/>
      <c r="I461" s="331"/>
      <c r="J461" s="331"/>
      <c r="K461" s="331"/>
    </row>
    <row r="462" spans="1:11" x14ac:dyDescent="0.35">
      <c r="A462" s="6" t="s">
        <v>877</v>
      </c>
    </row>
    <row r="463" spans="1:11" x14ac:dyDescent="0.35">
      <c r="A463" s="6" t="s">
        <v>139</v>
      </c>
      <c r="B463" s="6">
        <v>100</v>
      </c>
      <c r="C463" s="6" t="s">
        <v>128</v>
      </c>
    </row>
    <row r="464" spans="1:11" x14ac:dyDescent="0.35">
      <c r="A464" s="6" t="s">
        <v>140</v>
      </c>
      <c r="B464" s="6">
        <v>50</v>
      </c>
      <c r="C464" s="6" t="s">
        <v>128</v>
      </c>
    </row>
    <row r="466" spans="1:12" x14ac:dyDescent="0.35">
      <c r="B466" s="6" t="s">
        <v>889</v>
      </c>
      <c r="C466" s="6" t="s">
        <v>891</v>
      </c>
      <c r="D466" s="6" t="s">
        <v>890</v>
      </c>
      <c r="E466" s="6" t="s">
        <v>892</v>
      </c>
      <c r="F466" s="6" t="s">
        <v>893</v>
      </c>
      <c r="G466" s="6" t="s">
        <v>894</v>
      </c>
      <c r="H466" s="6" t="s">
        <v>896</v>
      </c>
      <c r="I466" s="6" t="s">
        <v>897</v>
      </c>
      <c r="J466" s="6" t="s">
        <v>895</v>
      </c>
    </row>
    <row r="467" spans="1:12" x14ac:dyDescent="0.35">
      <c r="A467" s="6" t="s">
        <v>117</v>
      </c>
      <c r="B467" s="6">
        <f t="shared" ref="B467:G467" si="68">B449/$B$463</f>
        <v>21.648297407610993</v>
      </c>
      <c r="C467" s="6">
        <f t="shared" si="68"/>
        <v>20.397158783337506</v>
      </c>
      <c r="D467" s="6">
        <f t="shared" si="68"/>
        <v>16.834902867680867</v>
      </c>
      <c r="E467" s="6">
        <f t="shared" si="68"/>
        <v>21.648297407610993</v>
      </c>
      <c r="F467" s="6">
        <f t="shared" si="68"/>
        <v>20.397158783337506</v>
      </c>
      <c r="G467" s="6">
        <f t="shared" si="68"/>
        <v>16.834902867680867</v>
      </c>
      <c r="H467" s="6">
        <f>H449/$B$464</f>
        <v>35.571071061253775</v>
      </c>
      <c r="I467" s="6">
        <f>I449/$B$464</f>
        <v>33.094270177989991</v>
      </c>
      <c r="J467" s="6">
        <f>J449/$B$464</f>
        <v>26.047464426294315</v>
      </c>
    </row>
    <row r="468" spans="1:12" x14ac:dyDescent="0.35">
      <c r="A468" s="6" t="s">
        <v>118</v>
      </c>
      <c r="B468" s="6">
        <f t="shared" ref="B468:G476" si="69">B450/$B$463</f>
        <v>1.1487692132385161</v>
      </c>
      <c r="C468" s="6">
        <f t="shared" si="69"/>
        <v>1.07578436114747</v>
      </c>
      <c r="D468" s="6">
        <f t="shared" si="69"/>
        <v>0.94528529174609632</v>
      </c>
      <c r="E468" s="6">
        <f t="shared" si="69"/>
        <v>1.1487692132385161</v>
      </c>
      <c r="F468" s="6">
        <f t="shared" si="69"/>
        <v>1.07578436114747</v>
      </c>
      <c r="G468" s="6">
        <f t="shared" si="69"/>
        <v>0.94528529174609632</v>
      </c>
      <c r="H468" s="6">
        <f t="shared" ref="H468:J476" si="70">H450/$B$464</f>
        <v>1.1487692132385161</v>
      </c>
      <c r="I468" s="6">
        <f t="shared" si="70"/>
        <v>1.07578436114747</v>
      </c>
      <c r="J468" s="6">
        <f t="shared" si="70"/>
        <v>0.94528529174609632</v>
      </c>
    </row>
    <row r="469" spans="1:12" x14ac:dyDescent="0.35">
      <c r="A469" s="6" t="s">
        <v>119</v>
      </c>
      <c r="B469" s="6">
        <f t="shared" si="69"/>
        <v>0.3426742964977646</v>
      </c>
      <c r="C469" s="6">
        <f t="shared" si="69"/>
        <v>0.29473764507668293</v>
      </c>
      <c r="D469" s="6">
        <f t="shared" si="69"/>
        <v>0.26454183462024822</v>
      </c>
      <c r="E469" s="6">
        <f t="shared" si="69"/>
        <v>0.3426742964977646</v>
      </c>
      <c r="F469" s="6">
        <f t="shared" si="69"/>
        <v>0.29473764507668293</v>
      </c>
      <c r="G469" s="6">
        <f t="shared" si="69"/>
        <v>0.26454183462024822</v>
      </c>
      <c r="H469" s="6">
        <f t="shared" si="70"/>
        <v>0.68534859299552919</v>
      </c>
      <c r="I469" s="6">
        <f t="shared" si="70"/>
        <v>0.58947529015336586</v>
      </c>
      <c r="J469" s="6">
        <f t="shared" si="70"/>
        <v>0.52908366924049643</v>
      </c>
    </row>
    <row r="470" spans="1:12" x14ac:dyDescent="0.35">
      <c r="A470" s="6" t="s">
        <v>120</v>
      </c>
      <c r="B470" s="6">
        <f t="shared" si="69"/>
        <v>9.5622005617439533E-3</v>
      </c>
      <c r="C470" s="6">
        <f t="shared" si="69"/>
        <v>8.9024847258240628E-3</v>
      </c>
      <c r="D470" s="6">
        <f t="shared" si="69"/>
        <v>8.377210918449108E-3</v>
      </c>
      <c r="E470" s="6">
        <f t="shared" si="69"/>
        <v>9.5622005617439533E-3</v>
      </c>
      <c r="F470" s="6">
        <f t="shared" si="69"/>
        <v>8.9024847258240628E-3</v>
      </c>
      <c r="G470" s="6">
        <f t="shared" si="69"/>
        <v>8.377210918449108E-3</v>
      </c>
      <c r="H470" s="6">
        <f t="shared" si="70"/>
        <v>9.5622005617439533E-3</v>
      </c>
      <c r="I470" s="6">
        <f t="shared" si="70"/>
        <v>8.9024847258240628E-3</v>
      </c>
      <c r="J470" s="6">
        <f t="shared" si="70"/>
        <v>8.377210918449108E-3</v>
      </c>
    </row>
    <row r="471" spans="1:12" x14ac:dyDescent="0.35">
      <c r="A471" s="6" t="s">
        <v>121</v>
      </c>
      <c r="B471" s="6">
        <f t="shared" si="69"/>
        <v>4.9916985219058336</v>
      </c>
      <c r="C471" s="6">
        <f t="shared" si="69"/>
        <v>4.2449532954219578</v>
      </c>
      <c r="D471" s="6">
        <f t="shared" si="69"/>
        <v>3.6680844415288685</v>
      </c>
      <c r="E471" s="6">
        <f t="shared" si="69"/>
        <v>4.9916985219058336</v>
      </c>
      <c r="F471" s="6">
        <f t="shared" si="69"/>
        <v>4.2449532954219578</v>
      </c>
      <c r="G471" s="6">
        <f t="shared" si="69"/>
        <v>3.6680844415288685</v>
      </c>
      <c r="H471" s="6">
        <f t="shared" si="70"/>
        <v>9.9833970438116673</v>
      </c>
      <c r="I471" s="6">
        <f t="shared" si="70"/>
        <v>8.4899065908439155</v>
      </c>
      <c r="J471" s="6">
        <f t="shared" si="70"/>
        <v>7.336168883057737</v>
      </c>
    </row>
    <row r="472" spans="1:12" x14ac:dyDescent="0.35">
      <c r="A472" s="6" t="s">
        <v>800</v>
      </c>
      <c r="B472" s="6">
        <f t="shared" si="69"/>
        <v>0</v>
      </c>
      <c r="C472" s="6">
        <f t="shared" si="69"/>
        <v>0</v>
      </c>
      <c r="D472" s="6">
        <f t="shared" si="69"/>
        <v>0</v>
      </c>
      <c r="E472" s="6">
        <f t="shared" si="69"/>
        <v>0</v>
      </c>
      <c r="F472" s="6">
        <f t="shared" si="69"/>
        <v>0</v>
      </c>
      <c r="G472" s="6">
        <f t="shared" si="69"/>
        <v>0</v>
      </c>
      <c r="H472" s="6">
        <f t="shared" si="70"/>
        <v>103.78901288942717</v>
      </c>
      <c r="I472" s="6">
        <f t="shared" si="70"/>
        <v>94.926905277603382</v>
      </c>
      <c r="J472" s="6">
        <f t="shared" si="70"/>
        <v>6.986301369863015</v>
      </c>
    </row>
    <row r="473" spans="1:12" x14ac:dyDescent="0.35">
      <c r="A473" s="6" t="s">
        <v>122</v>
      </c>
      <c r="B473" s="6">
        <f t="shared" si="69"/>
        <v>620.34672931479292</v>
      </c>
      <c r="C473" s="6">
        <f t="shared" si="69"/>
        <v>152.91730482015899</v>
      </c>
      <c r="D473" s="6">
        <f t="shared" si="69"/>
        <v>20.352401064451549</v>
      </c>
      <c r="E473" s="6">
        <f t="shared" si="69"/>
        <v>479.52955576712077</v>
      </c>
      <c r="F473" s="6">
        <f t="shared" si="69"/>
        <v>120.76531338893916</v>
      </c>
      <c r="G473" s="6">
        <f t="shared" si="69"/>
        <v>18.347470538600451</v>
      </c>
      <c r="H473" s="6">
        <f t="shared" si="70"/>
        <v>81.243437969355639</v>
      </c>
      <c r="I473" s="6">
        <f t="shared" si="70"/>
        <v>59.563922572709551</v>
      </c>
      <c r="J473" s="6">
        <f t="shared" si="70"/>
        <v>46.651181660107135</v>
      </c>
      <c r="L473" s="1"/>
    </row>
    <row r="474" spans="1:12" x14ac:dyDescent="0.35">
      <c r="A474" s="6" t="s">
        <v>123</v>
      </c>
      <c r="B474" s="6">
        <f t="shared" si="69"/>
        <v>48.013202454855644</v>
      </c>
      <c r="C474" s="6">
        <f t="shared" si="69"/>
        <v>12.681709846519183</v>
      </c>
      <c r="D474" s="6">
        <f t="shared" si="69"/>
        <v>2.4911230532034634</v>
      </c>
      <c r="E474" s="6">
        <f t="shared" si="69"/>
        <v>48.013202454855644</v>
      </c>
      <c r="F474" s="6">
        <f t="shared" si="69"/>
        <v>12.681709846519183</v>
      </c>
      <c r="G474" s="6">
        <f t="shared" si="69"/>
        <v>2.4911230532034634</v>
      </c>
      <c r="H474" s="6">
        <f t="shared" si="70"/>
        <v>48.013202454855644</v>
      </c>
      <c r="I474" s="6">
        <f t="shared" si="70"/>
        <v>12.681709846519183</v>
      </c>
      <c r="J474" s="6">
        <f t="shared" si="70"/>
        <v>2.4911230532034634</v>
      </c>
    </row>
    <row r="475" spans="1:12" x14ac:dyDescent="0.35">
      <c r="A475" s="6" t="s">
        <v>124</v>
      </c>
      <c r="B475" s="6">
        <f t="shared" si="69"/>
        <v>-1000</v>
      </c>
      <c r="C475" s="6">
        <f t="shared" si="69"/>
        <v>-1000</v>
      </c>
      <c r="D475" s="6">
        <f t="shared" si="69"/>
        <v>-1000</v>
      </c>
      <c r="E475" s="6">
        <f t="shared" si="69"/>
        <v>-1000</v>
      </c>
      <c r="F475" s="6">
        <f t="shared" si="69"/>
        <v>-1000</v>
      </c>
      <c r="G475" s="6">
        <f t="shared" si="69"/>
        <v>-1000</v>
      </c>
      <c r="H475" s="6">
        <f t="shared" si="70"/>
        <v>-1000</v>
      </c>
      <c r="I475" s="6">
        <f t="shared" si="70"/>
        <v>-1000</v>
      </c>
      <c r="J475" s="6">
        <f t="shared" si="70"/>
        <v>-1000</v>
      </c>
    </row>
    <row r="476" spans="1:12" x14ac:dyDescent="0.35">
      <c r="A476" s="6" t="s">
        <v>137</v>
      </c>
      <c r="B476" s="6">
        <f t="shared" si="69"/>
        <v>-303.49906659053676</v>
      </c>
      <c r="C476" s="6">
        <f t="shared" si="69"/>
        <v>-808.37944876361234</v>
      </c>
      <c r="D476" s="6">
        <f t="shared" si="69"/>
        <v>-955.43528423585042</v>
      </c>
      <c r="E476" s="6">
        <f t="shared" si="69"/>
        <v>-444.31624013820891</v>
      </c>
      <c r="F476" s="6">
        <f t="shared" si="69"/>
        <v>-840.53144019483216</v>
      </c>
      <c r="G476" s="6">
        <f t="shared" si="69"/>
        <v>-957.44021476170167</v>
      </c>
      <c r="H476" s="6">
        <f t="shared" si="70"/>
        <v>-719.5561985745004</v>
      </c>
      <c r="I476" s="6">
        <f t="shared" si="70"/>
        <v>-789.56912339830728</v>
      </c>
      <c r="J476" s="6">
        <f t="shared" si="70"/>
        <v>-909.00501443556914</v>
      </c>
    </row>
  </sheetData>
  <mergeCells count="3">
    <mergeCell ref="A461:K461"/>
    <mergeCell ref="A432:K432"/>
    <mergeCell ref="A446:K446"/>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C1BFD-20B6-48BA-AD69-816EBA19C0B1}">
  <sheetPr>
    <tabColor theme="6" tint="0.79998168889431442"/>
  </sheetPr>
  <dimension ref="A1:BB478"/>
  <sheetViews>
    <sheetView topLeftCell="A451" zoomScale="90" zoomScaleNormal="90" workbookViewId="0">
      <selection activeCell="A476" sqref="A476:XFD476"/>
    </sheetView>
  </sheetViews>
  <sheetFormatPr defaultColWidth="8.54296875" defaultRowHeight="14.5" outlineLevelRow="1" x14ac:dyDescent="0.35"/>
  <cols>
    <col min="1" max="1" width="45.08984375" style="6" customWidth="1"/>
    <col min="2" max="2" width="16.453125" style="6" bestFit="1" customWidth="1"/>
    <col min="3" max="14" width="10.54296875" style="6" bestFit="1" customWidth="1"/>
    <col min="15" max="16" width="10.1796875" style="6" bestFit="1" customWidth="1"/>
    <col min="17" max="24" width="10.54296875" style="6" bestFit="1" customWidth="1"/>
    <col min="25" max="25" width="10.1796875" style="6" bestFit="1" customWidth="1"/>
    <col min="26" max="26" width="16.453125" style="6" bestFit="1" customWidth="1"/>
    <col min="27" max="27" width="8.54296875" style="6"/>
    <col min="28" max="28" width="35" style="6" bestFit="1" customWidth="1"/>
    <col min="29" max="29" width="16.453125" style="6" bestFit="1" customWidth="1"/>
    <col min="30" max="30" width="16.54296875" style="6" customWidth="1"/>
    <col min="31" max="53" width="12.81640625" style="6" bestFit="1" customWidth="1"/>
    <col min="54" max="16384" width="8.54296875" style="6"/>
  </cols>
  <sheetData>
    <row r="1" spans="1:53" s="139" customFormat="1" ht="21" x14ac:dyDescent="0.5">
      <c r="A1" s="138" t="s">
        <v>924</v>
      </c>
    </row>
    <row r="2" spans="1:53" s="221" customFormat="1" ht="21" x14ac:dyDescent="0.5">
      <c r="A2" s="229" t="s">
        <v>849</v>
      </c>
    </row>
    <row r="3" spans="1:53" s="18" customFormat="1" ht="21" x14ac:dyDescent="0.5">
      <c r="A3" s="18" t="s">
        <v>72</v>
      </c>
    </row>
    <row r="4" spans="1:53" s="20" customFormat="1" outlineLevel="1" x14ac:dyDescent="0.35">
      <c r="A4" s="19" t="s">
        <v>767</v>
      </c>
    </row>
    <row r="5" spans="1:53" s="16" customFormat="1" outlineLevel="1" x14ac:dyDescent="0.35">
      <c r="A5" s="21"/>
      <c r="AB5" s="16" t="s">
        <v>47</v>
      </c>
      <c r="AC5" s="16">
        <v>9.2800000000000005E-7</v>
      </c>
      <c r="AD5" s="16" t="s">
        <v>48</v>
      </c>
      <c r="AE5" s="15" t="s">
        <v>714</v>
      </c>
    </row>
    <row r="6" spans="1:53" s="16" customFormat="1" outlineLevel="1" x14ac:dyDescent="0.35">
      <c r="A6" s="22" t="s">
        <v>564</v>
      </c>
      <c r="AC6" s="16">
        <f>AC5*1000</f>
        <v>9.2800000000000001E-4</v>
      </c>
      <c r="AD6" s="16" t="s">
        <v>126</v>
      </c>
    </row>
    <row r="7" spans="1:53" s="16" customFormat="1" outlineLevel="1" x14ac:dyDescent="0.35">
      <c r="A7" s="22"/>
      <c r="AB7" s="16" t="s">
        <v>127</v>
      </c>
      <c r="AC7" s="16">
        <v>100</v>
      </c>
      <c r="AD7" s="16" t="s">
        <v>128</v>
      </c>
    </row>
    <row r="8" spans="1:53" s="16" customFormat="1" outlineLevel="1" x14ac:dyDescent="0.35">
      <c r="A8" s="22"/>
      <c r="AB8" s="16" t="s">
        <v>129</v>
      </c>
      <c r="AC8" s="16">
        <v>25</v>
      </c>
      <c r="AD8" s="16" t="s">
        <v>130</v>
      </c>
    </row>
    <row r="9" spans="1:53" outlineLevel="1" x14ac:dyDescent="0.35">
      <c r="B9" s="25">
        <v>2030</v>
      </c>
      <c r="C9" s="25">
        <v>2031</v>
      </c>
      <c r="D9" s="25">
        <v>2032</v>
      </c>
      <c r="E9" s="25">
        <v>2033</v>
      </c>
      <c r="F9" s="25">
        <v>2034</v>
      </c>
      <c r="G9" s="25">
        <v>2035</v>
      </c>
      <c r="H9" s="25">
        <v>2036</v>
      </c>
      <c r="I9" s="25">
        <v>2037</v>
      </c>
      <c r="J9" s="25">
        <v>2038</v>
      </c>
      <c r="K9" s="25">
        <v>2039</v>
      </c>
      <c r="L9" s="25">
        <v>2040</v>
      </c>
      <c r="M9" s="25">
        <v>2041</v>
      </c>
      <c r="N9" s="25">
        <v>2042</v>
      </c>
      <c r="O9" s="25">
        <v>2043</v>
      </c>
      <c r="P9" s="25">
        <v>2044</v>
      </c>
      <c r="Q9" s="25">
        <v>2045</v>
      </c>
      <c r="R9" s="25">
        <v>2046</v>
      </c>
      <c r="S9" s="25">
        <v>2047</v>
      </c>
      <c r="T9" s="25">
        <v>2048</v>
      </c>
      <c r="U9" s="25">
        <v>2049</v>
      </c>
      <c r="V9" s="25">
        <v>2050</v>
      </c>
      <c r="W9" s="25">
        <v>2051</v>
      </c>
      <c r="X9" s="25">
        <v>2052</v>
      </c>
      <c r="Y9" s="25">
        <v>2053</v>
      </c>
      <c r="Z9" s="25">
        <v>2054</v>
      </c>
      <c r="AC9" s="25">
        <v>2030</v>
      </c>
      <c r="AD9" s="25">
        <v>2031</v>
      </c>
      <c r="AE9" s="25">
        <v>2032</v>
      </c>
      <c r="AF9" s="25">
        <v>2033</v>
      </c>
      <c r="AG9" s="25">
        <v>2034</v>
      </c>
      <c r="AH9" s="25">
        <v>2035</v>
      </c>
      <c r="AI9" s="25">
        <v>2036</v>
      </c>
      <c r="AJ9" s="25">
        <v>2037</v>
      </c>
      <c r="AK9" s="25">
        <v>2038</v>
      </c>
      <c r="AL9" s="25">
        <v>2039</v>
      </c>
      <c r="AM9" s="25">
        <v>2040</v>
      </c>
      <c r="AN9" s="25">
        <v>2041</v>
      </c>
      <c r="AO9" s="25">
        <v>2042</v>
      </c>
      <c r="AP9" s="25">
        <v>2043</v>
      </c>
      <c r="AQ9" s="25">
        <v>2044</v>
      </c>
      <c r="AR9" s="25">
        <v>2045</v>
      </c>
      <c r="AS9" s="25">
        <v>2046</v>
      </c>
      <c r="AT9" s="25">
        <v>2047</v>
      </c>
      <c r="AU9" s="25">
        <v>2048</v>
      </c>
      <c r="AV9" s="25">
        <v>2049</v>
      </c>
      <c r="AW9" s="25">
        <v>2050</v>
      </c>
      <c r="AX9" s="25">
        <v>2051</v>
      </c>
      <c r="AY9" s="25">
        <v>2052</v>
      </c>
      <c r="AZ9" s="25">
        <v>2053</v>
      </c>
      <c r="BA9" s="25">
        <v>2054</v>
      </c>
    </row>
    <row r="10" spans="1:53" outlineLevel="1" x14ac:dyDescent="0.35">
      <c r="A10" s="6" t="s">
        <v>21</v>
      </c>
      <c r="B10" s="6">
        <f>'Results - raw data ReCiPe (H)'!C5</f>
        <v>2.894941084896093E-3</v>
      </c>
      <c r="AB10" s="6" t="s">
        <v>117</v>
      </c>
      <c r="AC10" s="6">
        <f>SUM(B10:B21)+B23</f>
        <v>0.16713320096113157</v>
      </c>
    </row>
    <row r="11" spans="1:53" outlineLevel="1" x14ac:dyDescent="0.35">
      <c r="A11" s="6" t="s">
        <v>23</v>
      </c>
      <c r="B11" s="6">
        <f>'Results - raw data ReCiPe (H)'!C6</f>
        <v>6.0231401899834662E-3</v>
      </c>
      <c r="AB11" s="6" t="s">
        <v>118</v>
      </c>
      <c r="AC11" s="6">
        <f>B22</f>
        <v>1.0010028574258376E-2</v>
      </c>
    </row>
    <row r="12" spans="1:53" outlineLevel="1" x14ac:dyDescent="0.35">
      <c r="A12" s="6" t="s">
        <v>26</v>
      </c>
      <c r="B12" s="6">
        <f>'Results - raw data ReCiPe (H)'!C7</f>
        <v>1.3717423440267161E-2</v>
      </c>
      <c r="AB12" s="6" t="s">
        <v>119</v>
      </c>
      <c r="BA12" s="6">
        <f>SUM(Z24:Z35)</f>
        <v>1.3460715242108881E-3</v>
      </c>
    </row>
    <row r="13" spans="1:53" outlineLevel="1" x14ac:dyDescent="0.35">
      <c r="A13" s="6" t="s">
        <v>28</v>
      </c>
      <c r="B13" s="6">
        <f>'Results - raw data ReCiPe (H)'!C8</f>
        <v>1.68268964507193E-2</v>
      </c>
      <c r="AB13" s="6" t="s">
        <v>120</v>
      </c>
      <c r="BA13" s="6">
        <f>Z36</f>
        <v>3.7268740247547826E-5</v>
      </c>
    </row>
    <row r="14" spans="1:53" outlineLevel="1" x14ac:dyDescent="0.35">
      <c r="A14" s="6" t="s">
        <v>29</v>
      </c>
      <c r="B14" s="6">
        <f>'Results - raw data ReCiPe (H)'!C9</f>
        <v>1.290728015734449E-2</v>
      </c>
      <c r="AB14" s="6" t="s">
        <v>121</v>
      </c>
      <c r="AC14" s="6">
        <f>B37</f>
        <v>2.357201361606037E-3</v>
      </c>
      <c r="AF14" s="6">
        <f>E37</f>
        <v>2.338551887019074E-3</v>
      </c>
      <c r="AI14" s="6">
        <f>H37</f>
        <v>2.3329664166207272E-3</v>
      </c>
      <c r="AL14" s="6">
        <f>K37</f>
        <v>2.334292606370443E-3</v>
      </c>
      <c r="AO14" s="6">
        <f>N37</f>
        <v>2.344407424713253E-3</v>
      </c>
      <c r="AR14" s="6">
        <f>Q37</f>
        <v>2.3564976098142901E-3</v>
      </c>
      <c r="AU14" s="6">
        <f>T37</f>
        <v>2.3307713043124539E-3</v>
      </c>
      <c r="AX14" s="6">
        <f>W37</f>
        <v>2.3230274489819871E-3</v>
      </c>
      <c r="BA14" s="6">
        <f>Z37</f>
        <v>2.2803262576522711E-3</v>
      </c>
    </row>
    <row r="15" spans="1:53" outlineLevel="1" x14ac:dyDescent="0.35">
      <c r="A15" s="6" t="s">
        <v>31</v>
      </c>
      <c r="B15" s="6">
        <f>'Results - raw data ReCiPe (H)'!C10</f>
        <v>8.2577490139394989E-3</v>
      </c>
      <c r="AB15" s="6" t="s">
        <v>122</v>
      </c>
      <c r="AC15" s="6">
        <f>B40+B39</f>
        <v>7.0909447305629536E-2</v>
      </c>
      <c r="AD15" s="6">
        <f t="shared" ref="AD15:BA15" si="0">C40+C39</f>
        <v>7.0729597576853487E-2</v>
      </c>
      <c r="AE15" s="6">
        <f t="shared" si="0"/>
        <v>7.0528013548315796E-2</v>
      </c>
      <c r="AF15" s="6">
        <f t="shared" si="0"/>
        <v>7.0277665591519128E-2</v>
      </c>
      <c r="AG15" s="6">
        <f t="shared" si="0"/>
        <v>7.0067641490333468E-2</v>
      </c>
      <c r="AH15" s="6">
        <f t="shared" si="0"/>
        <v>6.9856831166697067E-2</v>
      </c>
      <c r="AI15" s="6">
        <f t="shared" si="0"/>
        <v>7.4731708484015391E-2</v>
      </c>
      <c r="AJ15" s="6">
        <f t="shared" si="0"/>
        <v>7.95967100678793E-2</v>
      </c>
      <c r="AK15" s="6">
        <f t="shared" si="0"/>
        <v>8.4428256444418356E-2</v>
      </c>
      <c r="AL15" s="6">
        <f t="shared" si="0"/>
        <v>8.9277421687728051E-2</v>
      </c>
      <c r="AM15" s="6">
        <f t="shared" si="0"/>
        <v>9.4114118961245261E-2</v>
      </c>
      <c r="AN15" s="6">
        <f t="shared" si="0"/>
        <v>0.10344985773162441</v>
      </c>
      <c r="AO15" s="6">
        <f t="shared" si="0"/>
        <v>0.1127973450767826</v>
      </c>
      <c r="AP15" s="6">
        <f t="shared" si="0"/>
        <v>0.122153450710752</v>
      </c>
      <c r="AQ15" s="6">
        <f t="shared" si="0"/>
        <v>0.13152565619576609</v>
      </c>
      <c r="AR15" s="6">
        <f t="shared" si="0"/>
        <v>0.1409102799444979</v>
      </c>
      <c r="AS15" s="6">
        <f t="shared" si="0"/>
        <v>0.14167302400756779</v>
      </c>
      <c r="AT15" s="6">
        <f t="shared" si="0"/>
        <v>0.1424294071090331</v>
      </c>
      <c r="AU15" s="6">
        <f t="shared" si="0"/>
        <v>0.1431766533539571</v>
      </c>
      <c r="AV15" s="6">
        <f t="shared" si="0"/>
        <v>0.14392400712011769</v>
      </c>
      <c r="AW15" s="6">
        <f t="shared" si="0"/>
        <v>0.14466707061247311</v>
      </c>
      <c r="AX15" s="6">
        <f t="shared" si="0"/>
        <v>0.1424172327919703</v>
      </c>
      <c r="AY15" s="6">
        <f t="shared" si="0"/>
        <v>0.13830319413001299</v>
      </c>
      <c r="AZ15" s="6">
        <f t="shared" si="0"/>
        <v>0.13417541973035349</v>
      </c>
      <c r="BA15" s="6">
        <f t="shared" si="0"/>
        <v>0.13003377225450399</v>
      </c>
    </row>
    <row r="16" spans="1:53" outlineLevel="1" x14ac:dyDescent="0.35">
      <c r="A16" s="6" t="s">
        <v>34</v>
      </c>
      <c r="B16" s="6">
        <f>'Results - raw data ReCiPe (H)'!C11</f>
        <v>6.4251549853091127E-3</v>
      </c>
      <c r="AB16" s="6" t="s">
        <v>123</v>
      </c>
      <c r="AC16" s="6">
        <f>B38</f>
        <v>9.4509612337422E-3</v>
      </c>
      <c r="AD16" s="6">
        <f t="shared" ref="AD16:BA16" si="1">C38</f>
        <v>9.4300859449296531E-3</v>
      </c>
      <c r="AE16" s="6">
        <f t="shared" si="1"/>
        <v>9.4075908428544984E-3</v>
      </c>
      <c r="AF16" s="6">
        <f t="shared" si="1"/>
        <v>9.3807128369535597E-3</v>
      </c>
      <c r="AG16" s="6">
        <f t="shared" si="1"/>
        <v>9.3576402034245727E-3</v>
      </c>
      <c r="AH16" s="6">
        <f t="shared" si="1"/>
        <v>9.3345481417857444E-3</v>
      </c>
      <c r="AI16" s="6">
        <f t="shared" si="1"/>
        <v>9.6974695693430348E-3</v>
      </c>
      <c r="AJ16" s="6">
        <f t="shared" si="1"/>
        <v>1.005863086193929E-2</v>
      </c>
      <c r="AK16" s="6">
        <f t="shared" si="1"/>
        <v>1.0415868774464919E-2</v>
      </c>
      <c r="AL16" s="6">
        <f t="shared" si="1"/>
        <v>1.077380929272472E-2</v>
      </c>
      <c r="AM16" s="6">
        <f t="shared" si="1"/>
        <v>1.112979696433317E-2</v>
      </c>
      <c r="AN16" s="6">
        <f t="shared" si="1"/>
        <v>1.1824474038243949E-2</v>
      </c>
      <c r="AO16" s="6">
        <f t="shared" si="1"/>
        <v>1.2518462685333581E-2</v>
      </c>
      <c r="AP16" s="6">
        <f t="shared" si="1"/>
        <v>1.3211451215725391E-2</v>
      </c>
      <c r="AQ16" s="6">
        <f t="shared" si="1"/>
        <v>1.3904157911509731E-2</v>
      </c>
      <c r="AR16" s="6">
        <f t="shared" si="1"/>
        <v>1.4596222288785311E-2</v>
      </c>
      <c r="AS16" s="6">
        <f t="shared" si="1"/>
        <v>1.4642981122621862E-2</v>
      </c>
      <c r="AT16" s="6">
        <f t="shared" si="1"/>
        <v>1.468914070479437E-2</v>
      </c>
      <c r="AU16" s="6">
        <f t="shared" si="1"/>
        <v>1.473439348560146E-2</v>
      </c>
      <c r="AV16" s="6">
        <f t="shared" si="1"/>
        <v>1.4779630705440812E-2</v>
      </c>
      <c r="AW16" s="6">
        <f t="shared" si="1"/>
        <v>1.4824423246048289E-2</v>
      </c>
      <c r="AX16" s="6">
        <f t="shared" si="1"/>
        <v>1.4647710254092741E-2</v>
      </c>
      <c r="AY16" s="6">
        <f t="shared" si="1"/>
        <v>1.4322735027341018E-2</v>
      </c>
      <c r="AZ16" s="6">
        <f t="shared" si="1"/>
        <v>1.399794309042934E-2</v>
      </c>
      <c r="BA16" s="6">
        <f t="shared" si="1"/>
        <v>1.3673325875907229E-2</v>
      </c>
    </row>
    <row r="17" spans="1:53" outlineLevel="1" x14ac:dyDescent="0.35">
      <c r="A17" s="6" t="s">
        <v>36</v>
      </c>
      <c r="B17" s="6">
        <f>'Results - raw data ReCiPe (H)'!C12</f>
        <v>3.8313181865858421E-3</v>
      </c>
      <c r="AB17" s="6" t="s">
        <v>124</v>
      </c>
      <c r="AC17" s="6">
        <f>-$AC$7*$AC$6</f>
        <v>-9.2799999999999994E-2</v>
      </c>
      <c r="AD17" s="6">
        <f t="shared" ref="AD17:BA17" si="2">-$AC$7*$AC$6</f>
        <v>-9.2799999999999994E-2</v>
      </c>
      <c r="AE17" s="6">
        <f t="shared" si="2"/>
        <v>-9.2799999999999994E-2</v>
      </c>
      <c r="AF17" s="6">
        <f t="shared" si="2"/>
        <v>-9.2799999999999994E-2</v>
      </c>
      <c r="AG17" s="6">
        <f t="shared" si="2"/>
        <v>-9.2799999999999994E-2</v>
      </c>
      <c r="AH17" s="6">
        <f t="shared" si="2"/>
        <v>-9.2799999999999994E-2</v>
      </c>
      <c r="AI17" s="6">
        <f t="shared" si="2"/>
        <v>-9.2799999999999994E-2</v>
      </c>
      <c r="AJ17" s="6">
        <f t="shared" si="2"/>
        <v>-9.2799999999999994E-2</v>
      </c>
      <c r="AK17" s="6">
        <f t="shared" si="2"/>
        <v>-9.2799999999999994E-2</v>
      </c>
      <c r="AL17" s="6">
        <f t="shared" si="2"/>
        <v>-9.2799999999999994E-2</v>
      </c>
      <c r="AM17" s="6">
        <f t="shared" si="2"/>
        <v>-9.2799999999999994E-2</v>
      </c>
      <c r="AN17" s="6">
        <f t="shared" si="2"/>
        <v>-9.2799999999999994E-2</v>
      </c>
      <c r="AO17" s="6">
        <f t="shared" si="2"/>
        <v>-9.2799999999999994E-2</v>
      </c>
      <c r="AP17" s="6">
        <f t="shared" si="2"/>
        <v>-9.2799999999999994E-2</v>
      </c>
      <c r="AQ17" s="6">
        <f t="shared" si="2"/>
        <v>-9.2799999999999994E-2</v>
      </c>
      <c r="AR17" s="6">
        <f t="shared" si="2"/>
        <v>-9.2799999999999994E-2</v>
      </c>
      <c r="AS17" s="6">
        <f t="shared" si="2"/>
        <v>-9.2799999999999994E-2</v>
      </c>
      <c r="AT17" s="6">
        <f t="shared" si="2"/>
        <v>-9.2799999999999994E-2</v>
      </c>
      <c r="AU17" s="6">
        <f t="shared" si="2"/>
        <v>-9.2799999999999994E-2</v>
      </c>
      <c r="AV17" s="6">
        <f t="shared" si="2"/>
        <v>-9.2799999999999994E-2</v>
      </c>
      <c r="AW17" s="6">
        <f t="shared" si="2"/>
        <v>-9.2799999999999994E-2</v>
      </c>
      <c r="AX17" s="6">
        <f t="shared" si="2"/>
        <v>-9.2799999999999994E-2</v>
      </c>
      <c r="AY17" s="6">
        <f t="shared" si="2"/>
        <v>-9.2799999999999994E-2</v>
      </c>
      <c r="AZ17" s="6">
        <f t="shared" si="2"/>
        <v>-9.2799999999999994E-2</v>
      </c>
      <c r="BA17" s="6">
        <f t="shared" si="2"/>
        <v>-9.2799999999999994E-2</v>
      </c>
    </row>
    <row r="18" spans="1:53" outlineLevel="1" x14ac:dyDescent="0.35">
      <c r="A18" s="6" t="s">
        <v>38</v>
      </c>
      <c r="B18" s="6">
        <f>'Results - raw data ReCiPe (H)'!C13</f>
        <v>2.209496262897262E-2</v>
      </c>
      <c r="AB18" s="23" t="s">
        <v>125</v>
      </c>
      <c r="AC18" s="17">
        <f>SUM(AC10:AC17)</f>
        <v>0.16706083943636774</v>
      </c>
      <c r="AD18" s="17">
        <f t="shared" ref="AD18:BA18" si="3">SUM(AD10:AD17)</f>
        <v>-1.2640316478216854E-2</v>
      </c>
      <c r="AE18" s="17">
        <f t="shared" si="3"/>
        <v>-1.2864395608829696E-2</v>
      </c>
      <c r="AF18" s="17">
        <f t="shared" si="3"/>
        <v>-1.0803069684508226E-2</v>
      </c>
      <c r="AG18" s="17">
        <f t="shared" si="3"/>
        <v>-1.3374718306241956E-2</v>
      </c>
      <c r="AH18" s="17">
        <f t="shared" si="3"/>
        <v>-1.3608620691517179E-2</v>
      </c>
      <c r="AI18" s="17">
        <f t="shared" si="3"/>
        <v>-6.0378555300208414E-3</v>
      </c>
      <c r="AJ18" s="17">
        <f t="shared" si="3"/>
        <v>-3.1446590701814103E-3</v>
      </c>
      <c r="AK18" s="17">
        <f t="shared" si="3"/>
        <v>2.0441252188832804E-3</v>
      </c>
      <c r="AL18" s="17">
        <f t="shared" si="3"/>
        <v>9.5855235868232136E-3</v>
      </c>
      <c r="AM18" s="17">
        <f t="shared" si="3"/>
        <v>1.2443915925578433E-2</v>
      </c>
      <c r="AN18" s="17">
        <f t="shared" si="3"/>
        <v>2.2474331769868364E-2</v>
      </c>
      <c r="AO18" s="17">
        <f t="shared" si="3"/>
        <v>3.4860215186829441E-2</v>
      </c>
      <c r="AP18" s="17">
        <f t="shared" si="3"/>
        <v>4.2564901926477383E-2</v>
      </c>
      <c r="AQ18" s="17">
        <f t="shared" si="3"/>
        <v>5.2629814107275824E-2</v>
      </c>
      <c r="AR18" s="17">
        <f t="shared" si="3"/>
        <v>6.5062999843097519E-2</v>
      </c>
      <c r="AS18" s="17">
        <f t="shared" si="3"/>
        <v>6.3516005130189651E-2</v>
      </c>
      <c r="AT18" s="17">
        <f t="shared" si="3"/>
        <v>6.4318547813827481E-2</v>
      </c>
      <c r="AU18" s="17">
        <f t="shared" si="3"/>
        <v>6.7441818143871013E-2</v>
      </c>
      <c r="AV18" s="17">
        <f t="shared" si="3"/>
        <v>6.5903637825558498E-2</v>
      </c>
      <c r="AW18" s="17">
        <f t="shared" si="3"/>
        <v>6.6691493858521411E-2</v>
      </c>
      <c r="AX18" s="17">
        <f t="shared" si="3"/>
        <v>6.6587970495045057E-2</v>
      </c>
      <c r="AY18" s="17">
        <f t="shared" si="3"/>
        <v>5.9825929157354019E-2</v>
      </c>
      <c r="AZ18" s="17">
        <f t="shared" si="3"/>
        <v>5.537336282078284E-2</v>
      </c>
      <c r="BA18" s="17">
        <f t="shared" si="3"/>
        <v>5.4570764652521919E-2</v>
      </c>
    </row>
    <row r="19" spans="1:53" outlineLevel="1" x14ac:dyDescent="0.35">
      <c r="A19" s="6" t="s">
        <v>39</v>
      </c>
      <c r="B19" s="6">
        <f>'Results - raw data ReCiPe (H)'!C14</f>
        <v>5.8245388563263008E-2</v>
      </c>
    </row>
    <row r="20" spans="1:53" outlineLevel="1" x14ac:dyDescent="0.35">
      <c r="A20" s="6" t="s">
        <v>41</v>
      </c>
      <c r="B20" s="6">
        <f>'Results - raw data ReCiPe (H)'!C15</f>
        <v>3.0224220416950572E-4</v>
      </c>
    </row>
    <row r="21" spans="1:53" outlineLevel="1" x14ac:dyDescent="0.35">
      <c r="A21" s="6" t="s">
        <v>43</v>
      </c>
      <c r="B21" s="6">
        <f>'Results - raw data ReCiPe (H)'!C16</f>
        <v>9.3081040387393941E-4</v>
      </c>
      <c r="AB21" s="282"/>
      <c r="AC21" s="282"/>
      <c r="AD21" s="282"/>
      <c r="AE21" s="282"/>
      <c r="AF21" s="282"/>
      <c r="AG21" s="282"/>
      <c r="AH21" s="282"/>
      <c r="AI21" s="282"/>
      <c r="AJ21" s="282"/>
      <c r="AK21" s="282"/>
      <c r="AL21" s="282"/>
      <c r="AM21" s="282"/>
      <c r="AN21" s="282"/>
      <c r="AO21" s="282"/>
      <c r="AP21" s="282"/>
      <c r="AQ21" s="282"/>
      <c r="AR21" s="282"/>
      <c r="AS21" s="282"/>
      <c r="AT21" s="282"/>
      <c r="AU21" s="282"/>
      <c r="AV21" s="282"/>
      <c r="AW21" s="282"/>
      <c r="AX21" s="282"/>
      <c r="AY21" s="282"/>
      <c r="AZ21" s="282"/>
      <c r="BA21" s="282"/>
    </row>
    <row r="22" spans="1:53" outlineLevel="1" x14ac:dyDescent="0.35">
      <c r="A22" s="6" t="s">
        <v>44</v>
      </c>
      <c r="B22" s="6">
        <f>'Results - raw data ReCiPe (H)'!C17*AC7*AC8</f>
        <v>1.0010028574258376E-2</v>
      </c>
      <c r="AB22" s="282"/>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row>
    <row r="23" spans="1:53" outlineLevel="1" x14ac:dyDescent="0.35">
      <c r="A23" s="6" t="s">
        <v>757</v>
      </c>
      <c r="B23" s="6">
        <f>'Results - raw data ReCiPe (H)'!C18*AC7*AC8</f>
        <v>1.4675893651807536E-2</v>
      </c>
      <c r="AB23" s="282"/>
      <c r="AC23" s="282"/>
      <c r="AD23" s="282"/>
      <c r="AE23" s="282"/>
      <c r="AF23" s="282"/>
      <c r="AG23" s="282"/>
      <c r="AH23" s="282"/>
      <c r="AI23" s="282"/>
      <c r="AJ23" s="282"/>
      <c r="AK23" s="282"/>
      <c r="AL23" s="282"/>
      <c r="AM23" s="282"/>
      <c r="AN23" s="282"/>
      <c r="AO23" s="282"/>
      <c r="AP23" s="282"/>
      <c r="AQ23" s="282"/>
      <c r="AR23" s="282"/>
      <c r="AS23" s="282"/>
      <c r="AT23" s="282"/>
      <c r="AU23" s="282"/>
      <c r="AV23" s="282"/>
      <c r="AW23" s="282"/>
      <c r="AX23" s="282"/>
      <c r="AY23" s="282"/>
      <c r="AZ23" s="282"/>
      <c r="BA23" s="282"/>
    </row>
    <row r="24" spans="1:53" outlineLevel="1" x14ac:dyDescent="0.35">
      <c r="A24" s="6" t="s">
        <v>22</v>
      </c>
      <c r="Z24" s="6">
        <f>'Results - raw data ReCiPe (H)'!AA19</f>
        <v>2.5411777990047328E-5</v>
      </c>
      <c r="AB24" s="282"/>
      <c r="AC24" s="282"/>
      <c r="AD24" s="282"/>
      <c r="AE24" s="282"/>
      <c r="AF24" s="282"/>
      <c r="AG24" s="282"/>
      <c r="AH24" s="282"/>
      <c r="AI24" s="282"/>
      <c r="AJ24" s="282"/>
      <c r="AK24" s="282"/>
      <c r="AL24" s="282"/>
      <c r="AM24" s="282"/>
      <c r="AN24" s="282"/>
      <c r="AO24" s="282"/>
      <c r="AP24" s="282"/>
      <c r="AQ24" s="282"/>
      <c r="AR24" s="282"/>
      <c r="AS24" s="282"/>
      <c r="AT24" s="282"/>
      <c r="AU24" s="282"/>
      <c r="AV24" s="282"/>
      <c r="AW24" s="282"/>
      <c r="AX24" s="282"/>
      <c r="AY24" s="282"/>
      <c r="AZ24" s="282"/>
      <c r="BA24" s="282"/>
    </row>
    <row r="25" spans="1:53" outlineLevel="1" x14ac:dyDescent="0.35">
      <c r="A25" s="6" t="s">
        <v>24</v>
      </c>
      <c r="Z25" s="6">
        <f>'Results - raw data ReCiPe (H)'!AA20</f>
        <v>1.2429945039727371E-5</v>
      </c>
      <c r="AB25" s="282"/>
      <c r="AC25" s="282"/>
      <c r="AD25" s="282"/>
      <c r="AE25" s="282"/>
      <c r="AF25" s="282"/>
      <c r="AG25" s="282"/>
      <c r="AH25" s="282"/>
      <c r="AI25" s="282"/>
      <c r="AJ25" s="282"/>
      <c r="AK25" s="282"/>
      <c r="AL25" s="282"/>
      <c r="AM25" s="282"/>
      <c r="AN25" s="282"/>
      <c r="AO25" s="282"/>
      <c r="AP25" s="282"/>
      <c r="AQ25" s="282"/>
      <c r="AR25" s="282"/>
      <c r="AS25" s="282"/>
      <c r="AT25" s="282"/>
      <c r="AU25" s="282"/>
      <c r="AV25" s="282"/>
      <c r="AW25" s="282"/>
      <c r="AX25" s="282"/>
      <c r="AY25" s="282"/>
      <c r="AZ25" s="282"/>
      <c r="BA25" s="282"/>
    </row>
    <row r="26" spans="1:53" outlineLevel="1" x14ac:dyDescent="0.35">
      <c r="A26" s="6" t="s">
        <v>25</v>
      </c>
      <c r="Z26" s="6">
        <f>'Results - raw data ReCiPe (H)'!AA21</f>
        <v>4.6226838946619207E-5</v>
      </c>
      <c r="AB26" s="282"/>
      <c r="AC26" s="282"/>
      <c r="AD26" s="282"/>
      <c r="AE26" s="282"/>
      <c r="AF26" s="282"/>
      <c r="AG26" s="282"/>
      <c r="AH26" s="282"/>
      <c r="AI26" s="282"/>
      <c r="AJ26" s="282"/>
      <c r="AK26" s="282"/>
      <c r="AL26" s="282"/>
      <c r="AM26" s="282"/>
      <c r="AN26" s="282"/>
      <c r="AO26" s="282"/>
      <c r="AP26" s="282"/>
      <c r="AQ26" s="282"/>
      <c r="AR26" s="282"/>
      <c r="AS26" s="282"/>
      <c r="AT26" s="282"/>
      <c r="AU26" s="282"/>
      <c r="AV26" s="282"/>
      <c r="AW26" s="282"/>
      <c r="AX26" s="282"/>
      <c r="AY26" s="282"/>
      <c r="AZ26" s="282"/>
      <c r="BA26" s="282"/>
    </row>
    <row r="27" spans="1:53" outlineLevel="1" x14ac:dyDescent="0.35">
      <c r="A27" s="6" t="s">
        <v>27</v>
      </c>
      <c r="Z27" s="6">
        <f>'Results - raw data ReCiPe (H)'!AA22</f>
        <v>1.8368986682832292E-5</v>
      </c>
      <c r="AB27" s="282"/>
      <c r="AC27" s="282"/>
      <c r="AD27" s="282"/>
      <c r="AE27" s="282"/>
      <c r="AF27" s="282"/>
      <c r="AG27" s="282"/>
      <c r="AH27" s="282"/>
      <c r="AI27" s="282"/>
      <c r="AJ27" s="282"/>
      <c r="AK27" s="282"/>
      <c r="AL27" s="282"/>
      <c r="AM27" s="282"/>
      <c r="AN27" s="282"/>
      <c r="AO27" s="282"/>
      <c r="AP27" s="282"/>
      <c r="AQ27" s="282"/>
      <c r="AR27" s="282"/>
      <c r="AS27" s="282"/>
      <c r="AT27" s="282"/>
      <c r="AU27" s="282"/>
      <c r="AV27" s="282"/>
      <c r="AW27" s="282"/>
      <c r="AX27" s="282"/>
      <c r="AY27" s="282"/>
      <c r="AZ27" s="282"/>
      <c r="BA27" s="282"/>
    </row>
    <row r="28" spans="1:53" outlineLevel="1" x14ac:dyDescent="0.35">
      <c r="A28" s="6" t="s">
        <v>30</v>
      </c>
      <c r="Z28" s="6">
        <f>'Results - raw data ReCiPe (H)'!AA23</f>
        <v>3.3517962022619069E-5</v>
      </c>
      <c r="AB28" s="282"/>
      <c r="AC28" s="282"/>
      <c r="AD28" s="282"/>
      <c r="AE28" s="282"/>
      <c r="AF28" s="282"/>
      <c r="AG28" s="282"/>
      <c r="AH28" s="282"/>
      <c r="AI28" s="282"/>
      <c r="AJ28" s="282"/>
      <c r="AK28" s="282"/>
      <c r="AL28" s="282"/>
      <c r="AM28" s="282"/>
      <c r="AN28" s="282"/>
      <c r="AO28" s="282"/>
      <c r="AP28" s="282"/>
      <c r="AQ28" s="282"/>
      <c r="AR28" s="282"/>
      <c r="AS28" s="282"/>
      <c r="AT28" s="282"/>
      <c r="AU28" s="282"/>
      <c r="AV28" s="282"/>
      <c r="AW28" s="282"/>
      <c r="AX28" s="282"/>
      <c r="AY28" s="282"/>
      <c r="AZ28" s="282"/>
      <c r="BA28" s="282"/>
    </row>
    <row r="29" spans="1:53" outlineLevel="1" x14ac:dyDescent="0.35">
      <c r="A29" s="6" t="s">
        <v>32</v>
      </c>
      <c r="Z29" s="6">
        <f>'Results - raw data ReCiPe (H)'!AA24</f>
        <v>4.8143000851052693E-6</v>
      </c>
      <c r="AB29" s="282"/>
      <c r="AC29" s="282"/>
      <c r="AD29" s="282"/>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row>
    <row r="30" spans="1:53" outlineLevel="1" x14ac:dyDescent="0.35">
      <c r="A30" s="6" t="s">
        <v>33</v>
      </c>
      <c r="Z30" s="6">
        <f>'Results - raw data ReCiPe (H)'!AA25</f>
        <v>8.5463273686294895E-6</v>
      </c>
      <c r="AB30" s="282"/>
      <c r="AC30" s="282"/>
      <c r="AD30" s="282"/>
      <c r="AE30" s="282"/>
      <c r="AF30" s="282"/>
      <c r="AG30" s="282"/>
      <c r="AH30" s="282"/>
      <c r="AI30" s="282"/>
      <c r="AJ30" s="282"/>
      <c r="AK30" s="282"/>
      <c r="AL30" s="282"/>
      <c r="AM30" s="282"/>
      <c r="AN30" s="282"/>
      <c r="AO30" s="282"/>
      <c r="AP30" s="282"/>
      <c r="AQ30" s="282"/>
      <c r="AR30" s="282"/>
      <c r="AS30" s="282"/>
      <c r="AT30" s="282"/>
      <c r="AU30" s="282"/>
      <c r="AV30" s="282"/>
      <c r="AW30" s="282"/>
      <c r="AX30" s="282"/>
      <c r="AY30" s="282"/>
      <c r="AZ30" s="282"/>
      <c r="BA30" s="282"/>
    </row>
    <row r="31" spans="1:53" outlineLevel="1" x14ac:dyDescent="0.35">
      <c r="A31" s="6" t="s">
        <v>35</v>
      </c>
      <c r="Z31" s="6">
        <f>'Results - raw data ReCiPe (H)'!AA26</f>
        <v>1.7092654737258979E-5</v>
      </c>
      <c r="AB31" s="282"/>
      <c r="AC31" s="282"/>
      <c r="AD31" s="282"/>
      <c r="AE31" s="282"/>
      <c r="AF31" s="282"/>
      <c r="AG31" s="282"/>
      <c r="AH31" s="282"/>
      <c r="AI31" s="282"/>
      <c r="AJ31" s="282"/>
      <c r="AK31" s="282"/>
      <c r="AL31" s="282"/>
      <c r="AM31" s="282"/>
      <c r="AN31" s="282"/>
      <c r="AO31" s="282"/>
      <c r="AP31" s="282"/>
      <c r="AQ31" s="282"/>
      <c r="AR31" s="282"/>
      <c r="AS31" s="282"/>
      <c r="AT31" s="282"/>
      <c r="AU31" s="282"/>
      <c r="AV31" s="282"/>
      <c r="AW31" s="282"/>
      <c r="AX31" s="282"/>
      <c r="AY31" s="282"/>
      <c r="AZ31" s="282"/>
      <c r="BA31" s="282"/>
    </row>
    <row r="32" spans="1:53" outlineLevel="1" x14ac:dyDescent="0.35">
      <c r="A32" s="6" t="s">
        <v>37</v>
      </c>
      <c r="Z32" s="6">
        <f>'Results - raw data ReCiPe (H)'!AA27</f>
        <v>4.5826688518955138E-5</v>
      </c>
      <c r="AB32" s="282"/>
      <c r="AC32" s="282"/>
      <c r="AD32" s="282"/>
      <c r="AE32" s="282"/>
      <c r="AF32" s="282"/>
      <c r="AG32" s="282"/>
      <c r="AH32" s="282"/>
      <c r="AI32" s="282"/>
      <c r="AJ32" s="282"/>
      <c r="AK32" s="282"/>
      <c r="AL32" s="282"/>
      <c r="AM32" s="282"/>
      <c r="AN32" s="282"/>
      <c r="AO32" s="282"/>
      <c r="AP32" s="282"/>
      <c r="AQ32" s="282"/>
      <c r="AR32" s="282"/>
      <c r="AS32" s="282"/>
      <c r="AT32" s="282"/>
      <c r="AU32" s="282"/>
      <c r="AV32" s="282"/>
      <c r="AW32" s="282"/>
      <c r="AX32" s="282"/>
      <c r="AY32" s="282"/>
      <c r="AZ32" s="282"/>
      <c r="BA32" s="282"/>
    </row>
    <row r="33" spans="1:53" outlineLevel="1" x14ac:dyDescent="0.35">
      <c r="A33" s="6" t="s">
        <v>40</v>
      </c>
      <c r="Z33" s="6">
        <f>'Results - raw data ReCiPe (H)'!AA28</f>
        <v>6.0617175315794527E-4</v>
      </c>
      <c r="AB33" s="282"/>
      <c r="AC33" s="282"/>
      <c r="AD33" s="282"/>
      <c r="AE33" s="282"/>
      <c r="AF33" s="282"/>
      <c r="AG33" s="282"/>
      <c r="AH33" s="282"/>
      <c r="AI33" s="282"/>
      <c r="AJ33" s="282"/>
      <c r="AK33" s="282"/>
      <c r="AL33" s="282"/>
      <c r="AM33" s="282"/>
      <c r="AN33" s="282"/>
      <c r="AO33" s="282"/>
      <c r="AP33" s="282"/>
      <c r="AQ33" s="282"/>
      <c r="AR33" s="282"/>
      <c r="AS33" s="282"/>
      <c r="AT33" s="282"/>
      <c r="AU33" s="282"/>
      <c r="AV33" s="282"/>
      <c r="AW33" s="282"/>
      <c r="AX33" s="282"/>
      <c r="AY33" s="282"/>
      <c r="AZ33" s="282"/>
      <c r="BA33" s="282"/>
    </row>
    <row r="34" spans="1:53" outlineLevel="1" x14ac:dyDescent="0.35">
      <c r="A34" s="6" t="s">
        <v>42</v>
      </c>
      <c r="Z34" s="6">
        <f>'Results - raw data ReCiPe (H)'!AA29</f>
        <v>6.2586007271436383E-5</v>
      </c>
      <c r="AB34" s="282"/>
      <c r="AC34" s="282"/>
      <c r="AD34" s="282"/>
      <c r="AE34" s="282"/>
      <c r="AF34" s="282"/>
      <c r="AG34" s="282"/>
      <c r="AH34" s="282"/>
      <c r="AI34" s="282"/>
      <c r="AJ34" s="282"/>
      <c r="AK34" s="282"/>
      <c r="AL34" s="282"/>
      <c r="AM34" s="282"/>
      <c r="AN34" s="282"/>
      <c r="AO34" s="282"/>
      <c r="AP34" s="282"/>
      <c r="AQ34" s="282"/>
      <c r="AR34" s="282"/>
      <c r="AS34" s="282"/>
      <c r="AT34" s="282"/>
      <c r="AU34" s="282"/>
      <c r="AV34" s="282"/>
      <c r="AW34" s="282"/>
      <c r="AX34" s="282"/>
      <c r="AY34" s="282"/>
      <c r="AZ34" s="282"/>
      <c r="BA34" s="282"/>
    </row>
    <row r="35" spans="1:53" outlineLevel="1" x14ac:dyDescent="0.35">
      <c r="A35" s="6" t="s">
        <v>115</v>
      </c>
      <c r="Z35" s="6">
        <f>'Results - raw data ReCiPe (H)'!AA30</f>
        <v>4.6507828238971232E-4</v>
      </c>
      <c r="AB35" s="282"/>
      <c r="AC35" s="282"/>
      <c r="AD35" s="282"/>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row>
    <row r="36" spans="1:53" outlineLevel="1" x14ac:dyDescent="0.35">
      <c r="A36" s="6" t="s">
        <v>45</v>
      </c>
      <c r="Z36" s="6">
        <f>'Results - raw data ReCiPe (H)'!AA31*AC7*AC8</f>
        <v>3.7268740247547826E-5</v>
      </c>
    </row>
    <row r="37" spans="1:53" outlineLevel="1" x14ac:dyDescent="0.35">
      <c r="A37" s="6" t="s">
        <v>116</v>
      </c>
      <c r="B37" s="6">
        <f>'Results - raw data ReCiPe (H)'!C32</f>
        <v>2.357201361606037E-3</v>
      </c>
      <c r="C37" s="6">
        <f>'Results - raw data ReCiPe (H)'!D32</f>
        <v>2.353600688123866E-3</v>
      </c>
      <c r="D37" s="6">
        <f>'Results - raw data ReCiPe (H)'!E32</f>
        <v>2.3500071116123412E-3</v>
      </c>
      <c r="E37" s="6">
        <f>'Results - raw data ReCiPe (H)'!F32</f>
        <v>2.338551887019074E-3</v>
      </c>
      <c r="F37" s="6">
        <f>'Results - raw data ReCiPe (H)'!G32</f>
        <v>2.334948183247444E-3</v>
      </c>
      <c r="G37" s="6">
        <f>'Results - raw data ReCiPe (H)'!H32</f>
        <v>2.331359143562522E-3</v>
      </c>
      <c r="H37" s="6">
        <f>'Results - raw data ReCiPe (H)'!I32</f>
        <v>2.3329664166207272E-3</v>
      </c>
      <c r="I37" s="6">
        <f>'Results - raw data ReCiPe (H)'!J32</f>
        <v>2.334616646953573E-3</v>
      </c>
      <c r="J37" s="6">
        <f>'Results - raw data ReCiPe (H)'!K32</f>
        <v>2.3325229805307031E-3</v>
      </c>
      <c r="K37" s="6">
        <f>'Results - raw data ReCiPe (H)'!L32</f>
        <v>2.334292606370443E-3</v>
      </c>
      <c r="L37" s="6">
        <f>'Results - raw data ReCiPe (H)'!M32</f>
        <v>2.336092196522456E-3</v>
      </c>
      <c r="M37" s="6">
        <f>'Results - raw data ReCiPe (H)'!N32</f>
        <v>2.3402354271006591E-3</v>
      </c>
      <c r="N37" s="6">
        <f>'Results - raw data ReCiPe (H)'!O32</f>
        <v>2.344407424713253E-3</v>
      </c>
      <c r="O37" s="6">
        <f>'Results - raw data ReCiPe (H)'!P32</f>
        <v>2.3478787798235871E-3</v>
      </c>
      <c r="P37" s="6">
        <f>'Results - raw data ReCiPe (H)'!Q32</f>
        <v>2.3521715641440159E-3</v>
      </c>
      <c r="Q37" s="6">
        <f>'Results - raw data ReCiPe (H)'!R32</f>
        <v>2.3564976098142901E-3</v>
      </c>
      <c r="R37" s="6">
        <f>'Results - raw data ReCiPe (H)'!S32</f>
        <v>2.348309135255047E-3</v>
      </c>
      <c r="S37" s="6">
        <f>'Results - raw data ReCiPe (H)'!T32</f>
        <v>2.3400539690804929E-3</v>
      </c>
      <c r="T37" s="6">
        <f>'Results - raw data ReCiPe (H)'!U32</f>
        <v>2.3307713043124539E-3</v>
      </c>
      <c r="U37" s="6">
        <f>'Results - raw data ReCiPe (H)'!V32</f>
        <v>2.322378092485674E-3</v>
      </c>
      <c r="V37" s="6">
        <f>'Results - raw data ReCiPe (H)'!W32</f>
        <v>2.3139082606342351E-3</v>
      </c>
      <c r="W37" s="6">
        <f>'Results - raw data ReCiPe (H)'!X32</f>
        <v>2.3230274489819871E-3</v>
      </c>
      <c r="X37" s="6">
        <f>'Results - raw data ReCiPe (H)'!Y32</f>
        <v>2.308890132934231E-3</v>
      </c>
      <c r="Y37" s="6">
        <f>'Results - raw data ReCiPe (H)'!Z32</f>
        <v>2.2946569016000559E-3</v>
      </c>
      <c r="Z37" s="6">
        <f>'Results - raw data ReCiPe (H)'!AA32</f>
        <v>2.2803262576522711E-3</v>
      </c>
    </row>
    <row r="38" spans="1:53" outlineLevel="1" x14ac:dyDescent="0.35">
      <c r="A38" s="6" t="s">
        <v>758</v>
      </c>
      <c r="B38" s="6">
        <f>'Results - raw data ReCiPe (H)'!C167*$AC$7</f>
        <v>9.4509612337422E-3</v>
      </c>
      <c r="C38" s="6">
        <f>'Results - raw data ReCiPe (H)'!D167*$AC$7</f>
        <v>9.4300859449296531E-3</v>
      </c>
      <c r="D38" s="6">
        <f>'Results - raw data ReCiPe (H)'!E167*$AC$7</f>
        <v>9.4075908428544984E-3</v>
      </c>
      <c r="E38" s="6">
        <f>'Results - raw data ReCiPe (H)'!F167*$AC$7</f>
        <v>9.3807128369535597E-3</v>
      </c>
      <c r="F38" s="6">
        <f>'Results - raw data ReCiPe (H)'!G167*$AC$7</f>
        <v>9.3576402034245727E-3</v>
      </c>
      <c r="G38" s="6">
        <f>'Results - raw data ReCiPe (H)'!H167*$AC$7</f>
        <v>9.3345481417857444E-3</v>
      </c>
      <c r="H38" s="6">
        <f>'Results - raw data ReCiPe (H)'!I167*$AC$7</f>
        <v>9.6974695693430348E-3</v>
      </c>
      <c r="I38" s="6">
        <f>'Results - raw data ReCiPe (H)'!J167*$AC$7</f>
        <v>1.005863086193929E-2</v>
      </c>
      <c r="J38" s="6">
        <f>'Results - raw data ReCiPe (H)'!K167*$AC$7</f>
        <v>1.0415868774464919E-2</v>
      </c>
      <c r="K38" s="6">
        <f>'Results - raw data ReCiPe (H)'!L167*$AC$7</f>
        <v>1.077380929272472E-2</v>
      </c>
      <c r="L38" s="6">
        <f>'Results - raw data ReCiPe (H)'!M167*$AC$7</f>
        <v>1.112979696433317E-2</v>
      </c>
      <c r="M38" s="6">
        <f>'Results - raw data ReCiPe (H)'!N167*$AC$7</f>
        <v>1.1824474038243949E-2</v>
      </c>
      <c r="N38" s="6">
        <f>'Results - raw data ReCiPe (H)'!O167*$AC$7</f>
        <v>1.2518462685333581E-2</v>
      </c>
      <c r="O38" s="6">
        <f>'Results - raw data ReCiPe (H)'!P167*$AC$7</f>
        <v>1.3211451215725391E-2</v>
      </c>
      <c r="P38" s="6">
        <f>'Results - raw data ReCiPe (H)'!Q167*$AC$7</f>
        <v>1.3904157911509731E-2</v>
      </c>
      <c r="Q38" s="6">
        <f>'Results - raw data ReCiPe (H)'!R167*$AC$7</f>
        <v>1.4596222288785311E-2</v>
      </c>
      <c r="R38" s="6">
        <f>'Results - raw data ReCiPe (H)'!S167*$AC$7</f>
        <v>1.4642981122621862E-2</v>
      </c>
      <c r="S38" s="6">
        <f>'Results - raw data ReCiPe (H)'!T167*$AC$7</f>
        <v>1.468914070479437E-2</v>
      </c>
      <c r="T38" s="6">
        <f>'Results - raw data ReCiPe (H)'!U167*$AC$7</f>
        <v>1.473439348560146E-2</v>
      </c>
      <c r="U38" s="6">
        <f>'Results - raw data ReCiPe (H)'!V167*$AC$7</f>
        <v>1.4779630705440812E-2</v>
      </c>
      <c r="V38" s="6">
        <f>'Results - raw data ReCiPe (H)'!W167*$AC$7</f>
        <v>1.4824423246048289E-2</v>
      </c>
      <c r="W38" s="6">
        <f>'Results - raw data ReCiPe (H)'!X167*$AC$7</f>
        <v>1.4647710254092741E-2</v>
      </c>
      <c r="X38" s="6">
        <f>'Results - raw data ReCiPe (H)'!Y167*$AC$7</f>
        <v>1.4322735027341018E-2</v>
      </c>
      <c r="Y38" s="6">
        <f>'Results - raw data ReCiPe (H)'!Z167*$AC$7</f>
        <v>1.399794309042934E-2</v>
      </c>
      <c r="Z38" s="6">
        <f>'Results - raw data ReCiPe (H)'!AA167*$AC$7</f>
        <v>1.3673325875907229E-2</v>
      </c>
    </row>
    <row r="39" spans="1:53" outlineLevel="1" x14ac:dyDescent="0.35">
      <c r="A39" s="6" t="s">
        <v>759</v>
      </c>
      <c r="B39" s="6">
        <f>'Results - raw data ReCiPe (H)'!C34</f>
        <v>0</v>
      </c>
      <c r="C39" s="6">
        <f>'Results - raw data ReCiPe (H)'!D34</f>
        <v>0</v>
      </c>
      <c r="D39" s="6">
        <f>'Results - raw data ReCiPe (H)'!E34</f>
        <v>0</v>
      </c>
      <c r="E39" s="6">
        <f>'Results - raw data ReCiPe (H)'!F34</f>
        <v>0</v>
      </c>
      <c r="F39" s="6">
        <f>'Results - raw data ReCiPe (H)'!G34</f>
        <v>0</v>
      </c>
      <c r="G39" s="6">
        <f>'Results - raw data ReCiPe (H)'!H34</f>
        <v>0</v>
      </c>
      <c r="H39" s="6">
        <f>'Results - raw data ReCiPe (H)'!I34</f>
        <v>0</v>
      </c>
      <c r="I39" s="6">
        <f>'Results - raw data ReCiPe (H)'!J34</f>
        <v>0</v>
      </c>
      <c r="J39" s="6">
        <f>'Results - raw data ReCiPe (H)'!K34</f>
        <v>0</v>
      </c>
      <c r="K39" s="6">
        <f>'Results - raw data ReCiPe (H)'!L34</f>
        <v>0</v>
      </c>
      <c r="L39" s="6">
        <f>'Results - raw data ReCiPe (H)'!M34</f>
        <v>0</v>
      </c>
      <c r="M39" s="6">
        <f>'Results - raw data ReCiPe (H)'!N34</f>
        <v>0</v>
      </c>
      <c r="N39" s="6">
        <f>'Results - raw data ReCiPe (H)'!O34</f>
        <v>0</v>
      </c>
      <c r="O39" s="6">
        <f>'Results - raw data ReCiPe (H)'!P34</f>
        <v>0</v>
      </c>
      <c r="P39" s="6">
        <f>'Results - raw data ReCiPe (H)'!Q34</f>
        <v>0</v>
      </c>
      <c r="Q39" s="6">
        <f>'Results - raw data ReCiPe (H)'!R34</f>
        <v>0</v>
      </c>
      <c r="R39" s="6">
        <f>'Results - raw data ReCiPe (H)'!S34</f>
        <v>0</v>
      </c>
      <c r="S39" s="6">
        <f>'Results - raw data ReCiPe (H)'!T34</f>
        <v>0</v>
      </c>
      <c r="T39" s="6">
        <f>'Results - raw data ReCiPe (H)'!U34</f>
        <v>0</v>
      </c>
      <c r="U39" s="6">
        <f>'Results - raw data ReCiPe (H)'!V34</f>
        <v>0</v>
      </c>
      <c r="V39" s="6">
        <f>'Results - raw data ReCiPe (H)'!W34</f>
        <v>0</v>
      </c>
      <c r="W39" s="6">
        <f>'Results - raw data ReCiPe (H)'!X34</f>
        <v>0</v>
      </c>
      <c r="X39" s="6">
        <f>'Results - raw data ReCiPe (H)'!Y34</f>
        <v>0</v>
      </c>
      <c r="Y39" s="6">
        <f>'Results - raw data ReCiPe (H)'!Z34</f>
        <v>0</v>
      </c>
      <c r="Z39" s="6">
        <f>'Results - raw data ReCiPe (H)'!AA34</f>
        <v>0</v>
      </c>
    </row>
    <row r="40" spans="1:53" outlineLevel="1" x14ac:dyDescent="0.35">
      <c r="A40" s="6" t="s">
        <v>760</v>
      </c>
      <c r="B40" s="6">
        <f>'Results - raw data ReCiPe (H)'!C35</f>
        <v>7.0909447305629536E-2</v>
      </c>
      <c r="C40" s="6">
        <f>'Results - raw data ReCiPe (H)'!D35</f>
        <v>7.0729597576853487E-2</v>
      </c>
      <c r="D40" s="6">
        <f>'Results - raw data ReCiPe (H)'!E35</f>
        <v>7.0528013548315796E-2</v>
      </c>
      <c r="E40" s="6">
        <f>'Results - raw data ReCiPe (H)'!F35</f>
        <v>7.0277665591519128E-2</v>
      </c>
      <c r="F40" s="6">
        <f>'Results - raw data ReCiPe (H)'!G35</f>
        <v>7.0067641490333468E-2</v>
      </c>
      <c r="G40" s="6">
        <f>'Results - raw data ReCiPe (H)'!H35</f>
        <v>6.9856831166697067E-2</v>
      </c>
      <c r="H40" s="6">
        <f>'Results - raw data ReCiPe (H)'!I35</f>
        <v>7.4731708484015391E-2</v>
      </c>
      <c r="I40" s="6">
        <f>'Results - raw data ReCiPe (H)'!J35</f>
        <v>7.95967100678793E-2</v>
      </c>
      <c r="J40" s="6">
        <f>'Results - raw data ReCiPe (H)'!K35</f>
        <v>8.4428256444418356E-2</v>
      </c>
      <c r="K40" s="6">
        <f>'Results - raw data ReCiPe (H)'!L35</f>
        <v>8.9277421687728051E-2</v>
      </c>
      <c r="L40" s="6">
        <f>'Results - raw data ReCiPe (H)'!M35</f>
        <v>9.4114118961245261E-2</v>
      </c>
      <c r="M40" s="6">
        <f>'Results - raw data ReCiPe (H)'!N35</f>
        <v>0.10344985773162441</v>
      </c>
      <c r="N40" s="6">
        <f>'Results - raw data ReCiPe (H)'!O35</f>
        <v>0.1127973450767826</v>
      </c>
      <c r="O40" s="6">
        <f>'Results - raw data ReCiPe (H)'!P35</f>
        <v>0.122153450710752</v>
      </c>
      <c r="P40" s="6">
        <f>'Results - raw data ReCiPe (H)'!Q35</f>
        <v>0.13152565619576609</v>
      </c>
      <c r="Q40" s="6">
        <f>'Results - raw data ReCiPe (H)'!R35</f>
        <v>0.1409102799444979</v>
      </c>
      <c r="R40" s="6">
        <f>'Results - raw data ReCiPe (H)'!S35</f>
        <v>0.14167302400756779</v>
      </c>
      <c r="S40" s="6">
        <f>'Results - raw data ReCiPe (H)'!T35</f>
        <v>0.1424294071090331</v>
      </c>
      <c r="T40" s="6">
        <f>'Results - raw data ReCiPe (H)'!U35</f>
        <v>0.1431766533539571</v>
      </c>
      <c r="U40" s="6">
        <f>'Results - raw data ReCiPe (H)'!V35</f>
        <v>0.14392400712011769</v>
      </c>
      <c r="V40" s="6">
        <f>'Results - raw data ReCiPe (H)'!W35</f>
        <v>0.14466707061247311</v>
      </c>
      <c r="W40" s="6">
        <f>'Results - raw data ReCiPe (H)'!X35</f>
        <v>0.1424172327919703</v>
      </c>
      <c r="X40" s="6">
        <f>'Results - raw data ReCiPe (H)'!Y35</f>
        <v>0.13830319413001299</v>
      </c>
      <c r="Y40" s="6">
        <f>'Results - raw data ReCiPe (H)'!Z35</f>
        <v>0.13417541973035349</v>
      </c>
      <c r="Z40" s="6">
        <f>'Results - raw data ReCiPe (H)'!AA35</f>
        <v>0.13003377225450399</v>
      </c>
    </row>
    <row r="41" spans="1:53" outlineLevel="1" x14ac:dyDescent="0.35">
      <c r="A41" s="23" t="s">
        <v>125</v>
      </c>
      <c r="B41" s="17">
        <f>SUM(B10:B40)</f>
        <v>0.25986083943636773</v>
      </c>
      <c r="C41" s="17">
        <f>SUM(C10:C40)</f>
        <v>8.2513284209907001E-2</v>
      </c>
      <c r="D41" s="17">
        <f>SUM(D10:D40)</f>
        <v>8.228561150278263E-2</v>
      </c>
      <c r="E41" s="17">
        <f>SUM(E10:E40)</f>
        <v>8.1996930315491767E-2</v>
      </c>
      <c r="F41" s="17">
        <f>SUM(F10:F40)</f>
        <v>8.1760229877005486E-2</v>
      </c>
      <c r="G41" s="17">
        <f t="shared" ref="G41:Z41" si="4">SUM(G10:G40)</f>
        <v>8.1522738452045329E-2</v>
      </c>
      <c r="H41" s="17">
        <f t="shared" si="4"/>
        <v>8.6762144469979152E-2</v>
      </c>
      <c r="I41" s="17">
        <f t="shared" si="4"/>
        <v>9.1989957576772169E-2</v>
      </c>
      <c r="J41" s="17">
        <f t="shared" si="4"/>
        <v>9.7176648199413976E-2</v>
      </c>
      <c r="K41" s="17">
        <f t="shared" si="4"/>
        <v>0.10238552358682321</v>
      </c>
      <c r="L41" s="17">
        <f t="shared" si="4"/>
        <v>0.10758000812210089</v>
      </c>
      <c r="M41" s="17">
        <f t="shared" si="4"/>
        <v>0.11761456719696901</v>
      </c>
      <c r="N41" s="17">
        <f t="shared" si="4"/>
        <v>0.12766021518682943</v>
      </c>
      <c r="O41" s="17">
        <f t="shared" si="4"/>
        <v>0.13771278070630097</v>
      </c>
      <c r="P41" s="17">
        <f t="shared" si="4"/>
        <v>0.14778198567141984</v>
      </c>
      <c r="Q41" s="17">
        <f t="shared" si="4"/>
        <v>0.15786299984309748</v>
      </c>
      <c r="R41" s="17">
        <f t="shared" si="4"/>
        <v>0.15866431426544469</v>
      </c>
      <c r="S41" s="17">
        <f t="shared" si="4"/>
        <v>0.15945860178290797</v>
      </c>
      <c r="T41" s="17">
        <f t="shared" si="4"/>
        <v>0.16024181814387101</v>
      </c>
      <c r="U41" s="17">
        <f t="shared" si="4"/>
        <v>0.16102601591804416</v>
      </c>
      <c r="V41" s="17">
        <f t="shared" si="4"/>
        <v>0.16180540211915564</v>
      </c>
      <c r="W41" s="17">
        <f t="shared" si="4"/>
        <v>0.15938797049504502</v>
      </c>
      <c r="X41" s="17">
        <f t="shared" si="4"/>
        <v>0.15493481929028824</v>
      </c>
      <c r="Y41" s="17">
        <f t="shared" si="4"/>
        <v>0.15046801972238288</v>
      </c>
      <c r="Z41" s="17">
        <f t="shared" si="4"/>
        <v>0.14737076465252194</v>
      </c>
    </row>
    <row r="42" spans="1:53" outlineLevel="1" x14ac:dyDescent="0.35"/>
    <row r="43" spans="1:53" s="18" customFormat="1" ht="21" x14ac:dyDescent="0.5">
      <c r="A43" s="18" t="s">
        <v>73</v>
      </c>
    </row>
    <row r="44" spans="1:53" s="20" customFormat="1" outlineLevel="1" x14ac:dyDescent="0.35">
      <c r="A44" s="19" t="s">
        <v>767</v>
      </c>
    </row>
    <row r="45" spans="1:53" s="16" customFormat="1" outlineLevel="1" x14ac:dyDescent="0.35">
      <c r="A45" s="21"/>
      <c r="AB45" s="16" t="s">
        <v>47</v>
      </c>
      <c r="AC45" s="16">
        <v>9.2800000000000005E-7</v>
      </c>
      <c r="AD45" s="16" t="s">
        <v>48</v>
      </c>
      <c r="AE45" s="15" t="s">
        <v>714</v>
      </c>
    </row>
    <row r="46" spans="1:53" s="16" customFormat="1" outlineLevel="1" x14ac:dyDescent="0.35">
      <c r="A46" s="22" t="s">
        <v>564</v>
      </c>
      <c r="AC46" s="16">
        <f>AC45*1000</f>
        <v>9.2800000000000001E-4</v>
      </c>
      <c r="AD46" s="16" t="s">
        <v>126</v>
      </c>
    </row>
    <row r="47" spans="1:53" s="16" customFormat="1" outlineLevel="1" x14ac:dyDescent="0.35">
      <c r="A47" s="22"/>
      <c r="AB47" s="16" t="s">
        <v>127</v>
      </c>
      <c r="AC47" s="16">
        <v>100</v>
      </c>
      <c r="AD47" s="16" t="s">
        <v>128</v>
      </c>
    </row>
    <row r="48" spans="1:53" s="16" customFormat="1" outlineLevel="1" x14ac:dyDescent="0.35">
      <c r="A48" s="22"/>
      <c r="AB48" s="16" t="s">
        <v>129</v>
      </c>
      <c r="AC48" s="16">
        <v>25</v>
      </c>
      <c r="AD48" s="16" t="s">
        <v>130</v>
      </c>
    </row>
    <row r="49" spans="1:54" outlineLevel="1" x14ac:dyDescent="0.35">
      <c r="B49" s="25">
        <v>2030</v>
      </c>
      <c r="C49" s="25">
        <v>2031</v>
      </c>
      <c r="D49" s="25">
        <v>2032</v>
      </c>
      <c r="E49" s="25">
        <v>2033</v>
      </c>
      <c r="F49" s="25">
        <v>2034</v>
      </c>
      <c r="G49" s="25">
        <v>2035</v>
      </c>
      <c r="H49" s="25">
        <v>2036</v>
      </c>
      <c r="I49" s="25">
        <v>2037</v>
      </c>
      <c r="J49" s="25">
        <v>2038</v>
      </c>
      <c r="K49" s="25">
        <v>2039</v>
      </c>
      <c r="L49" s="25">
        <v>2040</v>
      </c>
      <c r="M49" s="25">
        <v>2041</v>
      </c>
      <c r="N49" s="25">
        <v>2042</v>
      </c>
      <c r="O49" s="25">
        <v>2043</v>
      </c>
      <c r="P49" s="25">
        <v>2044</v>
      </c>
      <c r="Q49" s="25">
        <v>2045</v>
      </c>
      <c r="R49" s="25">
        <v>2046</v>
      </c>
      <c r="S49" s="25">
        <v>2047</v>
      </c>
      <c r="T49" s="25">
        <v>2048</v>
      </c>
      <c r="U49" s="25">
        <v>2049</v>
      </c>
      <c r="V49" s="25">
        <v>2050</v>
      </c>
      <c r="W49" s="25">
        <v>2051</v>
      </c>
      <c r="X49" s="25">
        <v>2052</v>
      </c>
      <c r="Y49" s="25">
        <v>2053</v>
      </c>
      <c r="Z49" s="25">
        <v>2054</v>
      </c>
      <c r="AC49" s="25">
        <v>2030</v>
      </c>
      <c r="AD49" s="25">
        <v>2031</v>
      </c>
      <c r="AE49" s="25">
        <v>2032</v>
      </c>
      <c r="AF49" s="25">
        <v>2033</v>
      </c>
      <c r="AG49" s="25">
        <v>2034</v>
      </c>
      <c r="AH49" s="25">
        <v>2035</v>
      </c>
      <c r="AI49" s="25">
        <v>2036</v>
      </c>
      <c r="AJ49" s="25">
        <v>2037</v>
      </c>
      <c r="AK49" s="25">
        <v>2038</v>
      </c>
      <c r="AL49" s="25">
        <v>2039</v>
      </c>
      <c r="AM49" s="25">
        <v>2040</v>
      </c>
      <c r="AN49" s="25">
        <v>2041</v>
      </c>
      <c r="AO49" s="25">
        <v>2042</v>
      </c>
      <c r="AP49" s="25">
        <v>2043</v>
      </c>
      <c r="AQ49" s="25">
        <v>2044</v>
      </c>
      <c r="AR49" s="25">
        <v>2045</v>
      </c>
      <c r="AS49" s="25">
        <v>2046</v>
      </c>
      <c r="AT49" s="25">
        <v>2047</v>
      </c>
      <c r="AU49" s="25">
        <v>2048</v>
      </c>
      <c r="AV49" s="25">
        <v>2049</v>
      </c>
      <c r="AW49" s="25">
        <v>2050</v>
      </c>
      <c r="AX49" s="25">
        <v>2051</v>
      </c>
      <c r="AY49" s="25">
        <v>2052</v>
      </c>
      <c r="AZ49" s="25">
        <v>2053</v>
      </c>
      <c r="BA49" s="25">
        <v>2054</v>
      </c>
    </row>
    <row r="50" spans="1:54" outlineLevel="1" x14ac:dyDescent="0.35">
      <c r="A50" s="6" t="s">
        <v>21</v>
      </c>
      <c r="B50" s="6">
        <f>'Results - raw data ReCiPe (H)'!C41</f>
        <v>2.686627601232994E-3</v>
      </c>
      <c r="AB50" s="6" t="s">
        <v>117</v>
      </c>
      <c r="AC50" s="6">
        <f>SUM(B50:B61)+B63</f>
        <v>0.16006814629521346</v>
      </c>
    </row>
    <row r="51" spans="1:54" outlineLevel="1" x14ac:dyDescent="0.35">
      <c r="A51" s="6" t="s">
        <v>23</v>
      </c>
      <c r="B51" s="6">
        <f>'Results - raw data ReCiPe (H)'!C42</f>
        <v>5.7475279188938643E-3</v>
      </c>
      <c r="AB51" s="6" t="s">
        <v>118</v>
      </c>
      <c r="AC51" s="6">
        <f>B62</f>
        <v>9.5063834765982819E-3</v>
      </c>
    </row>
    <row r="52" spans="1:54" outlineLevel="1" x14ac:dyDescent="0.35">
      <c r="A52" s="6" t="s">
        <v>26</v>
      </c>
      <c r="B52" s="6">
        <f>'Results - raw data ReCiPe (H)'!C43</f>
        <v>1.2845382150857119E-2</v>
      </c>
      <c r="AB52" s="6" t="s">
        <v>119</v>
      </c>
      <c r="BA52" s="6">
        <f>SUM(Z64:Z75)</f>
        <v>1.2038817746522666E-3</v>
      </c>
    </row>
    <row r="53" spans="1:54" outlineLevel="1" x14ac:dyDescent="0.35">
      <c r="A53" s="6" t="s">
        <v>28</v>
      </c>
      <c r="B53" s="6">
        <f>'Results - raw data ReCiPe (H)'!C44</f>
        <v>1.6265845410914071E-2</v>
      </c>
      <c r="AB53" s="6" t="s">
        <v>120</v>
      </c>
      <c r="BA53" s="6">
        <f>Z76</f>
        <v>3.5227143847144076E-5</v>
      </c>
    </row>
    <row r="54" spans="1:54" outlineLevel="1" x14ac:dyDescent="0.35">
      <c r="A54" s="6" t="s">
        <v>29</v>
      </c>
      <c r="B54" s="6">
        <f>'Results - raw data ReCiPe (H)'!C45</f>
        <v>1.267220629476748E-2</v>
      </c>
      <c r="AB54" s="6" t="s">
        <v>121</v>
      </c>
      <c r="AC54" s="6">
        <f>B77</f>
        <v>2.2868444478900299E-3</v>
      </c>
      <c r="AF54" s="6">
        <f>E77</f>
        <v>2.2242630345716192E-3</v>
      </c>
      <c r="AI54" s="6">
        <f>H77</f>
        <v>2.1636441841529248E-3</v>
      </c>
      <c r="AL54" s="6">
        <f>K77</f>
        <v>2.0913940629818349E-3</v>
      </c>
      <c r="AO54" s="6">
        <f>N77</f>
        <v>2.0111593851075741E-3</v>
      </c>
      <c r="AR54" s="6">
        <f>Q77</f>
        <v>1.925325558619934E-3</v>
      </c>
      <c r="AU54" s="6">
        <f>T77</f>
        <v>1.868103373074346E-3</v>
      </c>
      <c r="AX54" s="6">
        <f>W77</f>
        <v>1.839484702599319E-3</v>
      </c>
      <c r="BA54" s="6">
        <f>Z77</f>
        <v>1.8308470230828889E-3</v>
      </c>
    </row>
    <row r="55" spans="1:54" outlineLevel="1" x14ac:dyDescent="0.35">
      <c r="A55" s="6" t="s">
        <v>31</v>
      </c>
      <c r="B55" s="6">
        <f>'Results - raw data ReCiPe (H)'!C46</f>
        <v>8.1155683691255427E-3</v>
      </c>
      <c r="AB55" s="6" t="s">
        <v>122</v>
      </c>
      <c r="AC55" s="6">
        <f>B80+B79</f>
        <v>6.0037117955109028E-2</v>
      </c>
      <c r="AD55" s="6">
        <f t="shared" ref="AD55:BA55" si="5">C80+C79</f>
        <v>5.6191867505510959E-2</v>
      </c>
      <c r="AE55" s="6">
        <f t="shared" si="5"/>
        <v>5.2329272684781568E-2</v>
      </c>
      <c r="AF55" s="6">
        <f t="shared" si="5"/>
        <v>4.841413521773321E-2</v>
      </c>
      <c r="AG55" s="6">
        <f t="shared" si="5"/>
        <v>4.4539809777472107E-2</v>
      </c>
      <c r="AH55" s="6">
        <f t="shared" si="5"/>
        <v>4.0662830543897487E-2</v>
      </c>
      <c r="AI55" s="6">
        <f t="shared" si="5"/>
        <v>3.84101452645636E-2</v>
      </c>
      <c r="AJ55" s="6">
        <f t="shared" si="5"/>
        <v>3.616214979454152E-2</v>
      </c>
      <c r="AK55" s="6">
        <f t="shared" si="5"/>
        <v>3.388387353827356E-2</v>
      </c>
      <c r="AL55" s="6">
        <f t="shared" si="5"/>
        <v>3.1636813899357991E-2</v>
      </c>
      <c r="AM55" s="6">
        <f t="shared" si="5"/>
        <v>2.9388776392389161E-2</v>
      </c>
      <c r="AN55" s="6">
        <f t="shared" si="5"/>
        <v>2.7945528803582399E-2</v>
      </c>
      <c r="AO55" s="6">
        <f t="shared" si="5"/>
        <v>2.6495555969194919E-2</v>
      </c>
      <c r="AP55" s="6">
        <f t="shared" si="5"/>
        <v>2.5029611937261359E-2</v>
      </c>
      <c r="AQ55" s="6">
        <f t="shared" si="5"/>
        <v>2.3563053513519231E-2</v>
      </c>
      <c r="AR55" s="6">
        <f t="shared" si="5"/>
        <v>2.2089192003759049E-2</v>
      </c>
      <c r="AS55" s="6">
        <f t="shared" si="5"/>
        <v>2.1568773856969221E-2</v>
      </c>
      <c r="AT55" s="6">
        <f t="shared" si="5"/>
        <v>2.1044854656145601E-2</v>
      </c>
      <c r="AU55" s="6">
        <f t="shared" si="5"/>
        <v>2.0511477278365761E-2</v>
      </c>
      <c r="AV55" s="6">
        <f t="shared" si="5"/>
        <v>1.9983955595474681E-2</v>
      </c>
      <c r="AW55" s="6">
        <f t="shared" si="5"/>
        <v>1.9455066361617632E-2</v>
      </c>
      <c r="AX55" s="6">
        <f t="shared" si="5"/>
        <v>1.964140297480697E-2</v>
      </c>
      <c r="AY55" s="6">
        <f t="shared" si="5"/>
        <v>1.9407556618260911E-2</v>
      </c>
      <c r="AZ55" s="6">
        <f t="shared" si="5"/>
        <v>1.9173059591223431E-2</v>
      </c>
      <c r="BA55" s="6">
        <f t="shared" si="5"/>
        <v>1.893784819983222E-2</v>
      </c>
    </row>
    <row r="56" spans="1:54" outlineLevel="1" x14ac:dyDescent="0.35">
      <c r="A56" s="6" t="s">
        <v>34</v>
      </c>
      <c r="B56" s="6">
        <f>'Results - raw data ReCiPe (H)'!C47</f>
        <v>6.3101752981999824E-3</v>
      </c>
      <c r="AB56" s="6" t="s">
        <v>123</v>
      </c>
      <c r="AC56" s="6">
        <f t="shared" ref="AC56:BA56" si="6">B78</f>
        <v>8.5933149816682687E-3</v>
      </c>
      <c r="AD56" s="6">
        <f t="shared" si="6"/>
        <v>8.2908592660289031E-3</v>
      </c>
      <c r="AE56" s="6">
        <f t="shared" si="6"/>
        <v>7.9883594686031723E-3</v>
      </c>
      <c r="AF56" s="6">
        <f t="shared" si="6"/>
        <v>7.6824428526027699E-3</v>
      </c>
      <c r="AG56" s="6">
        <f t="shared" si="6"/>
        <v>7.3815896913372861E-3</v>
      </c>
      <c r="AH56" s="6">
        <f t="shared" si="6"/>
        <v>7.0818035588348371E-3</v>
      </c>
      <c r="AI56" s="6">
        <f t="shared" si="6"/>
        <v>6.9065674968874242E-3</v>
      </c>
      <c r="AJ56" s="6">
        <f t="shared" si="6"/>
        <v>6.7320552022219326E-3</v>
      </c>
      <c r="AK56" s="6">
        <f t="shared" si="6"/>
        <v>6.5552231612474613E-3</v>
      </c>
      <c r="AL56" s="6">
        <f t="shared" si="6"/>
        <v>6.3814500845837899E-3</v>
      </c>
      <c r="AM56" s="6">
        <f t="shared" si="6"/>
        <v>6.2079211584379103E-3</v>
      </c>
      <c r="AN56" s="6">
        <f t="shared" si="6"/>
        <v>6.0954708685004551E-3</v>
      </c>
      <c r="AO56" s="6">
        <f t="shared" si="6"/>
        <v>5.9825885760334385E-3</v>
      </c>
      <c r="AP56" s="6">
        <f t="shared" si="6"/>
        <v>5.8684657507291106E-3</v>
      </c>
      <c r="AQ56" s="6">
        <f t="shared" si="6"/>
        <v>5.754469652475792E-3</v>
      </c>
      <c r="AR56" s="6">
        <f t="shared" si="6"/>
        <v>5.6399811118439044E-3</v>
      </c>
      <c r="AS56" s="6">
        <f t="shared" si="6"/>
        <v>5.5980827164439223E-3</v>
      </c>
      <c r="AT56" s="6">
        <f t="shared" si="6"/>
        <v>5.5558844982483112E-3</v>
      </c>
      <c r="AU56" s="6">
        <f t="shared" si="6"/>
        <v>5.5128289027284328E-3</v>
      </c>
      <c r="AV56" s="6">
        <f t="shared" si="6"/>
        <v>5.4702708622407937E-3</v>
      </c>
      <c r="AW56" s="6">
        <f t="shared" si="6"/>
        <v>5.427559757803185E-3</v>
      </c>
      <c r="AX56" s="6">
        <f t="shared" si="6"/>
        <v>5.4501119918836331E-3</v>
      </c>
      <c r="AY56" s="6">
        <f t="shared" si="6"/>
        <v>5.4320501046926078E-3</v>
      </c>
      <c r="AZ56" s="6">
        <f t="shared" si="6"/>
        <v>5.4139935919568661E-3</v>
      </c>
      <c r="BA56" s="6">
        <f t="shared" si="6"/>
        <v>5.395935830577011E-3</v>
      </c>
    </row>
    <row r="57" spans="1:54" outlineLevel="1" x14ac:dyDescent="0.35">
      <c r="A57" s="6" t="s">
        <v>36</v>
      </c>
      <c r="B57" s="6">
        <f>'Results - raw data ReCiPe (H)'!C48</f>
        <v>3.6673559301182651E-3</v>
      </c>
      <c r="AB57" s="6" t="s">
        <v>124</v>
      </c>
      <c r="AC57" s="6">
        <f>-$AC$7*$AC$6</f>
        <v>-9.2799999999999994E-2</v>
      </c>
      <c r="AD57" s="6">
        <f t="shared" ref="AD57:BA57" si="7">-$AC$7*$AC$6</f>
        <v>-9.2799999999999994E-2</v>
      </c>
      <c r="AE57" s="6">
        <f t="shared" si="7"/>
        <v>-9.2799999999999994E-2</v>
      </c>
      <c r="AF57" s="6">
        <f t="shared" si="7"/>
        <v>-9.2799999999999994E-2</v>
      </c>
      <c r="AG57" s="6">
        <f t="shared" si="7"/>
        <v>-9.2799999999999994E-2</v>
      </c>
      <c r="AH57" s="6">
        <f t="shared" si="7"/>
        <v>-9.2799999999999994E-2</v>
      </c>
      <c r="AI57" s="6">
        <f t="shared" si="7"/>
        <v>-9.2799999999999994E-2</v>
      </c>
      <c r="AJ57" s="6">
        <f t="shared" si="7"/>
        <v>-9.2799999999999994E-2</v>
      </c>
      <c r="AK57" s="6">
        <f t="shared" si="7"/>
        <v>-9.2799999999999994E-2</v>
      </c>
      <c r="AL57" s="6">
        <f t="shared" si="7"/>
        <v>-9.2799999999999994E-2</v>
      </c>
      <c r="AM57" s="6">
        <f t="shared" si="7"/>
        <v>-9.2799999999999994E-2</v>
      </c>
      <c r="AN57" s="6">
        <f t="shared" si="7"/>
        <v>-9.2799999999999994E-2</v>
      </c>
      <c r="AO57" s="6">
        <f t="shared" si="7"/>
        <v>-9.2799999999999994E-2</v>
      </c>
      <c r="AP57" s="6">
        <f t="shared" si="7"/>
        <v>-9.2799999999999994E-2</v>
      </c>
      <c r="AQ57" s="6">
        <f t="shared" si="7"/>
        <v>-9.2799999999999994E-2</v>
      </c>
      <c r="AR57" s="6">
        <f t="shared" si="7"/>
        <v>-9.2799999999999994E-2</v>
      </c>
      <c r="AS57" s="6">
        <f t="shared" si="7"/>
        <v>-9.2799999999999994E-2</v>
      </c>
      <c r="AT57" s="6">
        <f t="shared" si="7"/>
        <v>-9.2799999999999994E-2</v>
      </c>
      <c r="AU57" s="6">
        <f t="shared" si="7"/>
        <v>-9.2799999999999994E-2</v>
      </c>
      <c r="AV57" s="6">
        <f t="shared" si="7"/>
        <v>-9.2799999999999994E-2</v>
      </c>
      <c r="AW57" s="6">
        <f t="shared" si="7"/>
        <v>-9.2799999999999994E-2</v>
      </c>
      <c r="AX57" s="6">
        <f t="shared" si="7"/>
        <v>-9.2799999999999994E-2</v>
      </c>
      <c r="AY57" s="6">
        <f t="shared" si="7"/>
        <v>-9.2799999999999994E-2</v>
      </c>
      <c r="AZ57" s="6">
        <f t="shared" si="7"/>
        <v>-9.2799999999999994E-2</v>
      </c>
      <c r="BA57" s="6">
        <f t="shared" si="7"/>
        <v>-9.2799999999999994E-2</v>
      </c>
    </row>
    <row r="58" spans="1:54" outlineLevel="1" x14ac:dyDescent="0.35">
      <c r="A58" s="6" t="s">
        <v>38</v>
      </c>
      <c r="B58" s="6">
        <f>'Results - raw data ReCiPe (H)'!C49</f>
        <v>2.0251561932952661E-2</v>
      </c>
      <c r="AB58" s="23" t="s">
        <v>125</v>
      </c>
      <c r="AC58" s="17">
        <f t="shared" ref="AC58:BA58" si="8">SUM(AC50:AC57)</f>
        <v>0.14769180715647909</v>
      </c>
      <c r="AD58" s="17">
        <f t="shared" si="8"/>
        <v>-2.831727322846013E-2</v>
      </c>
      <c r="AE58" s="17">
        <f t="shared" si="8"/>
        <v>-3.2482367846615255E-2</v>
      </c>
      <c r="AF58" s="17">
        <f t="shared" si="8"/>
        <v>-3.4479158895092392E-2</v>
      </c>
      <c r="AG58" s="17">
        <f t="shared" si="8"/>
        <v>-4.0878600531190599E-2</v>
      </c>
      <c r="AH58" s="17">
        <f t="shared" si="8"/>
        <v>-4.505536589726767E-2</v>
      </c>
      <c r="AI58" s="17">
        <f t="shared" si="8"/>
        <v>-4.531964305439605E-2</v>
      </c>
      <c r="AJ58" s="17">
        <f t="shared" si="8"/>
        <v>-4.9905795003236539E-2</v>
      </c>
      <c r="AK58" s="17">
        <f t="shared" si="8"/>
        <v>-5.2360903300478975E-2</v>
      </c>
      <c r="AL58" s="17">
        <f t="shared" si="8"/>
        <v>-5.2690341953076376E-2</v>
      </c>
      <c r="AM58" s="17">
        <f t="shared" si="8"/>
        <v>-5.7203302449172919E-2</v>
      </c>
      <c r="AN58" s="17">
        <f t="shared" si="8"/>
        <v>-5.8759000327917137E-2</v>
      </c>
      <c r="AO58" s="17">
        <f t="shared" si="8"/>
        <v>-5.8310696069664061E-2</v>
      </c>
      <c r="AP58" s="17">
        <f t="shared" si="8"/>
        <v>-6.1901922312009527E-2</v>
      </c>
      <c r="AQ58" s="17">
        <f t="shared" si="8"/>
        <v>-6.3482476834004972E-2</v>
      </c>
      <c r="AR58" s="17">
        <f t="shared" si="8"/>
        <v>-6.3145501325777106E-2</v>
      </c>
      <c r="AS58" s="17">
        <f t="shared" si="8"/>
        <v>-6.5633143426586854E-2</v>
      </c>
      <c r="AT58" s="17">
        <f t="shared" si="8"/>
        <v>-6.6199260845606081E-2</v>
      </c>
      <c r="AU58" s="17">
        <f t="shared" si="8"/>
        <v>-6.4907590445831456E-2</v>
      </c>
      <c r="AV58" s="17">
        <f t="shared" si="8"/>
        <v>-6.7345773542284521E-2</v>
      </c>
      <c r="AW58" s="17">
        <f t="shared" si="8"/>
        <v>-6.7917373880579168E-2</v>
      </c>
      <c r="AX58" s="17">
        <f t="shared" si="8"/>
        <v>-6.5869000330710081E-2</v>
      </c>
      <c r="AY58" s="17">
        <f t="shared" si="8"/>
        <v>-6.7960393277046477E-2</v>
      </c>
      <c r="AZ58" s="17">
        <f t="shared" si="8"/>
        <v>-6.8212946816819692E-2</v>
      </c>
      <c r="BA58" s="17">
        <f t="shared" si="8"/>
        <v>-6.5396260028008468E-2</v>
      </c>
    </row>
    <row r="59" spans="1:54" outlineLevel="1" x14ac:dyDescent="0.35">
      <c r="A59" s="6" t="s">
        <v>39</v>
      </c>
      <c r="B59" s="6">
        <f>'Results - raw data ReCiPe (H)'!C50</f>
        <v>5.5780352999011518E-2</v>
      </c>
    </row>
    <row r="60" spans="1:54" outlineLevel="1" x14ac:dyDescent="0.35">
      <c r="A60" s="6" t="s">
        <v>41</v>
      </c>
      <c r="B60" s="6">
        <f>'Results - raw data ReCiPe (H)'!C51</f>
        <v>2.8664307292717168E-4</v>
      </c>
    </row>
    <row r="61" spans="1:54" outlineLevel="1" x14ac:dyDescent="0.35">
      <c r="A61" s="6" t="s">
        <v>43</v>
      </c>
      <c r="B61" s="6">
        <f>'Results - raw data ReCiPe (H)'!C52</f>
        <v>9.0979496556399054E-4</v>
      </c>
      <c r="AB61" s="282"/>
      <c r="AC61" s="282"/>
      <c r="AD61" s="282"/>
      <c r="AE61" s="282"/>
      <c r="AF61" s="282"/>
      <c r="AG61" s="282"/>
      <c r="AH61" s="282"/>
      <c r="AI61" s="282"/>
      <c r="AJ61" s="282"/>
      <c r="AK61" s="282"/>
      <c r="AL61" s="282"/>
      <c r="AM61" s="282"/>
      <c r="AN61" s="282"/>
      <c r="AO61" s="282"/>
      <c r="AP61" s="282"/>
      <c r="AQ61" s="282"/>
      <c r="AR61" s="282"/>
      <c r="AS61" s="282"/>
      <c r="AT61" s="282"/>
      <c r="AU61" s="282"/>
      <c r="AV61" s="282"/>
      <c r="AW61" s="282"/>
      <c r="AX61" s="282"/>
      <c r="AY61" s="282"/>
      <c r="AZ61" s="282"/>
      <c r="BA61" s="282"/>
      <c r="BB61" s="282"/>
    </row>
    <row r="62" spans="1:54" outlineLevel="1" x14ac:dyDescent="0.35">
      <c r="A62" s="6" t="s">
        <v>44</v>
      </c>
      <c r="B62" s="6">
        <f>'Results - raw data ReCiPe (H)'!C53*AC47*AC48</f>
        <v>9.5063834765982819E-3</v>
      </c>
      <c r="AB62" s="282"/>
      <c r="AC62" s="282"/>
      <c r="AD62" s="282"/>
      <c r="AE62" s="282"/>
      <c r="AF62" s="282"/>
      <c r="AG62" s="282"/>
      <c r="AH62" s="282"/>
      <c r="AI62" s="282"/>
      <c r="AJ62" s="282"/>
      <c r="AK62" s="282"/>
      <c r="AL62" s="282"/>
      <c r="AM62" s="282"/>
      <c r="AN62" s="282"/>
      <c r="AO62" s="282"/>
      <c r="AP62" s="282"/>
      <c r="AQ62" s="282"/>
      <c r="AR62" s="282"/>
      <c r="AS62" s="282"/>
      <c r="AT62" s="282"/>
      <c r="AU62" s="282"/>
      <c r="AV62" s="282"/>
      <c r="AW62" s="282"/>
      <c r="AX62" s="282"/>
      <c r="AY62" s="282"/>
      <c r="AZ62" s="282"/>
      <c r="BA62" s="282"/>
      <c r="BB62" s="282"/>
    </row>
    <row r="63" spans="1:54" outlineLevel="1" x14ac:dyDescent="0.35">
      <c r="A63" s="6" t="s">
        <v>757</v>
      </c>
      <c r="B63" s="6">
        <f>'Results - raw data ReCiPe (H)'!C54*AC47*AC48</f>
        <v>1.4529104350648813E-2</v>
      </c>
      <c r="AB63" s="282"/>
      <c r="AC63" s="282"/>
      <c r="AD63" s="282"/>
      <c r="AE63" s="282"/>
      <c r="AF63" s="282"/>
      <c r="AG63" s="282"/>
      <c r="AH63" s="282"/>
      <c r="AI63" s="282"/>
      <c r="AJ63" s="282"/>
      <c r="AK63" s="282"/>
      <c r="AL63" s="282"/>
      <c r="AM63" s="282"/>
      <c r="AN63" s="282"/>
      <c r="AO63" s="282"/>
      <c r="AP63" s="282"/>
      <c r="AQ63" s="282"/>
      <c r="AR63" s="282"/>
      <c r="AS63" s="282"/>
      <c r="AT63" s="282"/>
      <c r="AU63" s="282"/>
      <c r="AV63" s="282"/>
      <c r="AW63" s="282"/>
      <c r="AX63" s="282"/>
      <c r="AY63" s="282"/>
      <c r="AZ63" s="282"/>
      <c r="BA63" s="282"/>
      <c r="BB63" s="282"/>
    </row>
    <row r="64" spans="1:54" outlineLevel="1" x14ac:dyDescent="0.35">
      <c r="A64" s="6" t="s">
        <v>22</v>
      </c>
      <c r="Z64" s="6">
        <f>'Results - raw data ReCiPe (H)'!AA55</f>
        <v>2.4762670432088011E-5</v>
      </c>
      <c r="AB64" s="282"/>
      <c r="AC64" s="282"/>
      <c r="AD64" s="282"/>
      <c r="AE64" s="282"/>
      <c r="AF64" s="282"/>
      <c r="AG64" s="282"/>
      <c r="AH64" s="282"/>
      <c r="AI64" s="282"/>
      <c r="AJ64" s="282"/>
      <c r="AK64" s="282"/>
      <c r="AL64" s="282"/>
      <c r="AM64" s="282"/>
      <c r="AN64" s="282"/>
      <c r="AO64" s="282"/>
      <c r="AP64" s="282"/>
      <c r="AQ64" s="282"/>
      <c r="AR64" s="282"/>
      <c r="AS64" s="282"/>
      <c r="AT64" s="282"/>
      <c r="AU64" s="282"/>
      <c r="AV64" s="282"/>
      <c r="AW64" s="282"/>
      <c r="AX64" s="282"/>
      <c r="AY64" s="282"/>
      <c r="AZ64" s="282"/>
      <c r="BA64" s="282"/>
      <c r="BB64" s="282"/>
    </row>
    <row r="65" spans="1:54" outlineLevel="1" x14ac:dyDescent="0.35">
      <c r="A65" s="6" t="s">
        <v>24</v>
      </c>
      <c r="Z65" s="6">
        <f>'Results - raw data ReCiPe (H)'!AA56</f>
        <v>1.176118094708814E-5</v>
      </c>
      <c r="AB65" s="282"/>
      <c r="AC65" s="282"/>
      <c r="AD65" s="282"/>
      <c r="AE65" s="282"/>
      <c r="AF65" s="282"/>
      <c r="AG65" s="282"/>
      <c r="AH65" s="282"/>
      <c r="AI65" s="282"/>
      <c r="AJ65" s="282"/>
      <c r="AK65" s="282"/>
      <c r="AL65" s="282"/>
      <c r="AM65" s="282"/>
      <c r="AN65" s="282"/>
      <c r="AO65" s="282"/>
      <c r="AP65" s="282"/>
      <c r="AQ65" s="282"/>
      <c r="AR65" s="282"/>
      <c r="AS65" s="282"/>
      <c r="AT65" s="282"/>
      <c r="AU65" s="282"/>
      <c r="AV65" s="282"/>
      <c r="AW65" s="282"/>
      <c r="AX65" s="282"/>
      <c r="AY65" s="282"/>
      <c r="AZ65" s="282"/>
      <c r="BA65" s="282"/>
      <c r="BB65" s="282"/>
    </row>
    <row r="66" spans="1:54" outlineLevel="1" x14ac:dyDescent="0.35">
      <c r="A66" s="6" t="s">
        <v>25</v>
      </c>
      <c r="Z66" s="6">
        <f>'Results - raw data ReCiPe (H)'!AA57</f>
        <v>3.9046886024631158E-5</v>
      </c>
      <c r="AB66" s="282"/>
      <c r="AC66" s="282"/>
      <c r="AD66" s="282"/>
      <c r="AE66" s="282"/>
      <c r="AF66" s="282"/>
      <c r="AG66" s="282"/>
      <c r="AH66" s="282"/>
      <c r="AI66" s="282"/>
      <c r="AJ66" s="282"/>
      <c r="AK66" s="282"/>
      <c r="AL66" s="282"/>
      <c r="AM66" s="282"/>
      <c r="AN66" s="282"/>
      <c r="AO66" s="282"/>
      <c r="AP66" s="282"/>
      <c r="AQ66" s="282"/>
      <c r="AR66" s="282"/>
      <c r="AS66" s="282"/>
      <c r="AT66" s="282"/>
      <c r="AU66" s="282"/>
      <c r="AV66" s="282"/>
      <c r="AW66" s="282"/>
      <c r="AX66" s="282"/>
      <c r="AY66" s="282"/>
      <c r="AZ66" s="282"/>
      <c r="BA66" s="282"/>
      <c r="BB66" s="282"/>
    </row>
    <row r="67" spans="1:54" outlineLevel="1" x14ac:dyDescent="0.35">
      <c r="A67" s="6" t="s">
        <v>27</v>
      </c>
      <c r="Z67" s="6">
        <f>'Results - raw data ReCiPe (H)'!AA58</f>
        <v>1.6840076209704161E-5</v>
      </c>
      <c r="AB67" s="282"/>
      <c r="AC67" s="282"/>
      <c r="AD67" s="282"/>
      <c r="AE67" s="282"/>
      <c r="AF67" s="282"/>
      <c r="AG67" s="282"/>
      <c r="AH67" s="282"/>
      <c r="AI67" s="282"/>
      <c r="AJ67" s="282"/>
      <c r="AK67" s="282"/>
      <c r="AL67" s="282"/>
      <c r="AM67" s="282"/>
      <c r="AN67" s="282"/>
      <c r="AO67" s="282"/>
      <c r="AP67" s="282"/>
      <c r="AQ67" s="282"/>
      <c r="AR67" s="282"/>
      <c r="AS67" s="282"/>
      <c r="AT67" s="282"/>
      <c r="AU67" s="282"/>
      <c r="AV67" s="282"/>
      <c r="AW67" s="282"/>
      <c r="AX67" s="282"/>
      <c r="AY67" s="282"/>
      <c r="AZ67" s="282"/>
      <c r="BA67" s="282"/>
      <c r="BB67" s="282"/>
    </row>
    <row r="68" spans="1:54" outlineLevel="1" x14ac:dyDescent="0.35">
      <c r="A68" s="6" t="s">
        <v>30</v>
      </c>
      <c r="Z68" s="6">
        <f>'Results - raw data ReCiPe (H)'!AA59</f>
        <v>3.2639269159817092E-5</v>
      </c>
      <c r="AB68" s="282"/>
      <c r="AC68" s="282"/>
      <c r="AD68" s="282"/>
      <c r="AE68" s="282"/>
      <c r="AF68" s="282"/>
      <c r="AG68" s="282"/>
      <c r="AH68" s="282"/>
      <c r="AI68" s="282"/>
      <c r="AJ68" s="282"/>
      <c r="AK68" s="282"/>
      <c r="AL68" s="282"/>
      <c r="AM68" s="282"/>
      <c r="AN68" s="282"/>
      <c r="AO68" s="282"/>
      <c r="AP68" s="282"/>
      <c r="AQ68" s="282"/>
      <c r="AR68" s="282"/>
      <c r="AS68" s="282"/>
      <c r="AT68" s="282"/>
      <c r="AU68" s="282"/>
      <c r="AV68" s="282"/>
      <c r="AW68" s="282"/>
      <c r="AX68" s="282"/>
      <c r="AY68" s="282"/>
      <c r="AZ68" s="282"/>
      <c r="BA68" s="282"/>
      <c r="BB68" s="282"/>
    </row>
    <row r="69" spans="1:54" outlineLevel="1" x14ac:dyDescent="0.35">
      <c r="A69" s="6" t="s">
        <v>32</v>
      </c>
      <c r="Z69" s="6">
        <f>'Results - raw data ReCiPe (H)'!AA60</f>
        <v>4.4601367480851334E-6</v>
      </c>
      <c r="AB69" s="282"/>
      <c r="AC69" s="282"/>
      <c r="AD69" s="282"/>
      <c r="AE69" s="282"/>
      <c r="AF69" s="282"/>
      <c r="AG69" s="282"/>
      <c r="AH69" s="282"/>
      <c r="AI69" s="282"/>
      <c r="AJ69" s="282"/>
      <c r="AK69" s="282"/>
      <c r="AL69" s="282"/>
      <c r="AM69" s="282"/>
      <c r="AN69" s="282"/>
      <c r="AO69" s="282"/>
      <c r="AP69" s="282"/>
      <c r="AQ69" s="282"/>
      <c r="AR69" s="282"/>
      <c r="AS69" s="282"/>
      <c r="AT69" s="282"/>
      <c r="AU69" s="282"/>
      <c r="AV69" s="282"/>
      <c r="AW69" s="282"/>
      <c r="AX69" s="282"/>
      <c r="AY69" s="282"/>
      <c r="AZ69" s="282"/>
      <c r="BA69" s="282"/>
      <c r="BB69" s="282"/>
    </row>
    <row r="70" spans="1:54" outlineLevel="1" x14ac:dyDescent="0.35">
      <c r="A70" s="6" t="s">
        <v>33</v>
      </c>
      <c r="Z70" s="6">
        <f>'Results - raw data ReCiPe (H)'!AA61</f>
        <v>8.2720352410769784E-6</v>
      </c>
      <c r="AB70" s="282"/>
      <c r="AC70" s="282"/>
      <c r="AD70" s="282"/>
      <c r="AE70" s="282"/>
      <c r="AF70" s="282"/>
      <c r="AG70" s="282"/>
      <c r="AH70" s="282"/>
      <c r="AI70" s="282"/>
      <c r="AJ70" s="282"/>
      <c r="AK70" s="282"/>
      <c r="AL70" s="282"/>
      <c r="AM70" s="282"/>
      <c r="AN70" s="282"/>
      <c r="AO70" s="282"/>
      <c r="AP70" s="282"/>
      <c r="AQ70" s="282"/>
      <c r="AR70" s="282"/>
      <c r="AS70" s="282"/>
      <c r="AT70" s="282"/>
      <c r="AU70" s="282"/>
      <c r="AV70" s="282"/>
      <c r="AW70" s="282"/>
      <c r="AX70" s="282"/>
      <c r="AY70" s="282"/>
      <c r="AZ70" s="282"/>
      <c r="BA70" s="282"/>
      <c r="BB70" s="282"/>
    </row>
    <row r="71" spans="1:54" outlineLevel="1" x14ac:dyDescent="0.35">
      <c r="A71" s="6" t="s">
        <v>35</v>
      </c>
      <c r="Z71" s="6">
        <f>'Results - raw data ReCiPe (H)'!AA62</f>
        <v>1.654407048215396E-5</v>
      </c>
      <c r="AB71" s="282"/>
      <c r="AC71" s="282"/>
      <c r="AD71" s="282"/>
      <c r="AE71" s="282"/>
      <c r="AF71" s="282"/>
      <c r="AG71" s="282"/>
      <c r="AH71" s="282"/>
      <c r="AI71" s="282"/>
      <c r="AJ71" s="282"/>
      <c r="AK71" s="282"/>
      <c r="AL71" s="282"/>
      <c r="AM71" s="282"/>
      <c r="AN71" s="282"/>
      <c r="AO71" s="282"/>
      <c r="AP71" s="282"/>
      <c r="AQ71" s="282"/>
      <c r="AR71" s="282"/>
      <c r="AS71" s="282"/>
      <c r="AT71" s="282"/>
      <c r="AU71" s="282"/>
      <c r="AV71" s="282"/>
      <c r="AW71" s="282"/>
      <c r="AX71" s="282"/>
      <c r="AY71" s="282"/>
      <c r="AZ71" s="282"/>
      <c r="BA71" s="282"/>
      <c r="BB71" s="282"/>
    </row>
    <row r="72" spans="1:54" outlineLevel="1" x14ac:dyDescent="0.35">
      <c r="A72" s="6" t="s">
        <v>37</v>
      </c>
      <c r="Z72" s="6">
        <f>'Results - raw data ReCiPe (H)'!AA63</f>
        <v>4.1171919330931541E-5</v>
      </c>
      <c r="AB72" s="282"/>
      <c r="AC72" s="282"/>
      <c r="AD72" s="282"/>
      <c r="AE72" s="282"/>
      <c r="AF72" s="282"/>
      <c r="AG72" s="282"/>
      <c r="AH72" s="282"/>
      <c r="AI72" s="282"/>
      <c r="AJ72" s="282"/>
      <c r="AK72" s="282"/>
      <c r="AL72" s="282"/>
      <c r="AM72" s="282"/>
      <c r="AN72" s="282"/>
      <c r="AO72" s="282"/>
      <c r="AP72" s="282"/>
      <c r="AQ72" s="282"/>
      <c r="AR72" s="282"/>
      <c r="AS72" s="282"/>
      <c r="AT72" s="282"/>
      <c r="AU72" s="282"/>
      <c r="AV72" s="282"/>
      <c r="AW72" s="282"/>
      <c r="AX72" s="282"/>
      <c r="AY72" s="282"/>
      <c r="AZ72" s="282"/>
      <c r="BA72" s="282"/>
      <c r="BB72" s="282"/>
    </row>
    <row r="73" spans="1:54" outlineLevel="1" x14ac:dyDescent="0.35">
      <c r="A73" s="6" t="s">
        <v>40</v>
      </c>
      <c r="Z73" s="6">
        <f>'Results - raw data ReCiPe (H)'!AA64</f>
        <v>5.9448924584171799E-4</v>
      </c>
    </row>
    <row r="74" spans="1:54" outlineLevel="1" x14ac:dyDescent="0.35">
      <c r="A74" s="6" t="s">
        <v>42</v>
      </c>
      <c r="Z74" s="6">
        <f>'Results - raw data ReCiPe (H)'!AA65</f>
        <v>5.4539699490104918E-5</v>
      </c>
    </row>
    <row r="75" spans="1:54" outlineLevel="1" x14ac:dyDescent="0.35">
      <c r="A75" s="6" t="s">
        <v>115</v>
      </c>
      <c r="Z75" s="6">
        <f>'Results - raw data ReCiPe (H)'!AA66</f>
        <v>3.5935458474486748E-4</v>
      </c>
    </row>
    <row r="76" spans="1:54" outlineLevel="1" x14ac:dyDescent="0.35">
      <c r="A76" s="6" t="s">
        <v>45</v>
      </c>
      <c r="Z76" s="6">
        <f>'Results - raw data ReCiPe (H)'!AA67*AC47*AC48</f>
        <v>3.5227143847144076E-5</v>
      </c>
    </row>
    <row r="77" spans="1:54" outlineLevel="1" x14ac:dyDescent="0.35">
      <c r="A77" s="6" t="s">
        <v>116</v>
      </c>
      <c r="B77" s="6">
        <f>'Results - raw data ReCiPe (H)'!C68</f>
        <v>2.2868444478900299E-3</v>
      </c>
      <c r="C77" s="6">
        <f>'Results - raw data ReCiPe (H)'!D68</f>
        <v>2.2688618108593619E-3</v>
      </c>
      <c r="D77" s="6">
        <f>'Results - raw data ReCiPe (H)'!E68</f>
        <v>2.250613145045521E-3</v>
      </c>
      <c r="E77" s="6">
        <f>'Results - raw data ReCiPe (H)'!F68</f>
        <v>2.2242630345716192E-3</v>
      </c>
      <c r="F77" s="6">
        <f>'Results - raw data ReCiPe (H)'!G68</f>
        <v>2.205439178557477E-3</v>
      </c>
      <c r="G77" s="6">
        <f>'Results - raw data ReCiPe (H)'!H68</f>
        <v>2.1863319204748952E-3</v>
      </c>
      <c r="H77" s="6">
        <f>'Results - raw data ReCiPe (H)'!I68</f>
        <v>2.1636441841529248E-3</v>
      </c>
      <c r="I77" s="6">
        <f>'Results - raw data ReCiPe (H)'!J68</f>
        <v>2.140943809067155E-3</v>
      </c>
      <c r="J77" s="6">
        <f>'Results - raw data ReCiPe (H)'!K68</f>
        <v>2.1142905920493878E-3</v>
      </c>
      <c r="K77" s="6">
        <f>'Results - raw data ReCiPe (H)'!L68</f>
        <v>2.0913940629818349E-3</v>
      </c>
      <c r="L77" s="6">
        <f>'Results - raw data ReCiPe (H)'!M68</f>
        <v>2.068344889906047E-3</v>
      </c>
      <c r="M77" s="6">
        <f>'Results - raw data ReCiPe (H)'!N68</f>
        <v>2.0396732943811142E-3</v>
      </c>
      <c r="N77" s="6">
        <f>'Results - raw data ReCiPe (H)'!O68</f>
        <v>2.0111593851075741E-3</v>
      </c>
      <c r="O77" s="6">
        <f>'Results - raw data ReCiPe (H)'!P68</f>
        <v>1.9816419194333399E-3</v>
      </c>
      <c r="P77" s="6">
        <f>'Results - raw data ReCiPe (H)'!Q68</f>
        <v>1.9534224916984309E-3</v>
      </c>
      <c r="Q77" s="6">
        <f>'Results - raw data ReCiPe (H)'!R68</f>
        <v>1.925325558619934E-3</v>
      </c>
      <c r="R77" s="6">
        <f>'Results - raw data ReCiPe (H)'!S68</f>
        <v>1.90651589386873E-3</v>
      </c>
      <c r="S77" s="6">
        <f>'Results - raw data ReCiPe (H)'!T68</f>
        <v>1.887805505923892E-3</v>
      </c>
      <c r="T77" s="6">
        <f>'Results - raw data ReCiPe (H)'!U68</f>
        <v>1.868103373074346E-3</v>
      </c>
      <c r="U77" s="6">
        <f>'Results - raw data ReCiPe (H)'!V68</f>
        <v>1.8496113901087679E-3</v>
      </c>
      <c r="V77" s="6">
        <f>'Results - raw data ReCiPe (H)'!W68</f>
        <v>1.831221787405327E-3</v>
      </c>
      <c r="W77" s="6">
        <f>'Results - raw data ReCiPe (H)'!X68</f>
        <v>1.839484702599319E-3</v>
      </c>
      <c r="X77" s="6">
        <f>'Results - raw data ReCiPe (H)'!Y68</f>
        <v>1.836581954761485E-3</v>
      </c>
      <c r="Y77" s="6">
        <f>'Results - raw data ReCiPe (H)'!Z68</f>
        <v>1.8337028304043451E-3</v>
      </c>
      <c r="Z77" s="6">
        <f>'Results - raw data ReCiPe (H)'!AA68</f>
        <v>1.8308470230828889E-3</v>
      </c>
    </row>
    <row r="78" spans="1:54" outlineLevel="1" x14ac:dyDescent="0.35">
      <c r="A78" s="6" t="s">
        <v>758</v>
      </c>
      <c r="B78" s="6">
        <f>'Results - raw data ReCiPe (H)'!C173*$AC$47</f>
        <v>8.5933149816682687E-3</v>
      </c>
      <c r="C78" s="6">
        <f>'Results - raw data ReCiPe (H)'!D173*$AC$47</f>
        <v>8.2908592660289031E-3</v>
      </c>
      <c r="D78" s="6">
        <f>'Results - raw data ReCiPe (H)'!E173*$AC$47</f>
        <v>7.9883594686031723E-3</v>
      </c>
      <c r="E78" s="6">
        <f>'Results - raw data ReCiPe (H)'!F173*$AC$47</f>
        <v>7.6824428526027699E-3</v>
      </c>
      <c r="F78" s="6">
        <f>'Results - raw data ReCiPe (H)'!G173*$AC$47</f>
        <v>7.3815896913372861E-3</v>
      </c>
      <c r="G78" s="6">
        <f>'Results - raw data ReCiPe (H)'!H173*$AC$47</f>
        <v>7.0818035588348371E-3</v>
      </c>
      <c r="H78" s="6">
        <f>'Results - raw data ReCiPe (H)'!I173*$AC$47</f>
        <v>6.9065674968874242E-3</v>
      </c>
      <c r="I78" s="6">
        <f>'Results - raw data ReCiPe (H)'!J173*$AC$47</f>
        <v>6.7320552022219326E-3</v>
      </c>
      <c r="J78" s="6">
        <f>'Results - raw data ReCiPe (H)'!K173*$AC$47</f>
        <v>6.5552231612474613E-3</v>
      </c>
      <c r="K78" s="6">
        <f>'Results - raw data ReCiPe (H)'!L173*$AC$47</f>
        <v>6.3814500845837899E-3</v>
      </c>
      <c r="L78" s="6">
        <f>'Results - raw data ReCiPe (H)'!M173*$AC$47</f>
        <v>6.2079211584379103E-3</v>
      </c>
      <c r="M78" s="6">
        <f>'Results - raw data ReCiPe (H)'!N173*$AC$47</f>
        <v>6.0954708685004551E-3</v>
      </c>
      <c r="N78" s="6">
        <f>'Results - raw data ReCiPe (H)'!O173*$AC$47</f>
        <v>5.9825885760334385E-3</v>
      </c>
      <c r="O78" s="6">
        <f>'Results - raw data ReCiPe (H)'!P173*$AC$47</f>
        <v>5.8684657507291106E-3</v>
      </c>
      <c r="P78" s="6">
        <f>'Results - raw data ReCiPe (H)'!Q173*$AC$47</f>
        <v>5.754469652475792E-3</v>
      </c>
      <c r="Q78" s="6">
        <f>'Results - raw data ReCiPe (H)'!R173*$AC$47</f>
        <v>5.6399811118439044E-3</v>
      </c>
      <c r="R78" s="6">
        <f>'Results - raw data ReCiPe (H)'!S173*$AC$47</f>
        <v>5.5980827164439223E-3</v>
      </c>
      <c r="S78" s="6">
        <f>'Results - raw data ReCiPe (H)'!T173*$AC$47</f>
        <v>5.5558844982483112E-3</v>
      </c>
      <c r="T78" s="6">
        <f>'Results - raw data ReCiPe (H)'!U173*$AC$47</f>
        <v>5.5128289027284328E-3</v>
      </c>
      <c r="U78" s="6">
        <f>'Results - raw data ReCiPe (H)'!V173*$AC$47</f>
        <v>5.4702708622407937E-3</v>
      </c>
      <c r="V78" s="6">
        <f>'Results - raw data ReCiPe (H)'!W173*$AC$47</f>
        <v>5.427559757803185E-3</v>
      </c>
      <c r="W78" s="6">
        <f>'Results - raw data ReCiPe (H)'!X173*$AC$47</f>
        <v>5.4501119918836331E-3</v>
      </c>
      <c r="X78" s="6">
        <f>'Results - raw data ReCiPe (H)'!Y173*$AC$47</f>
        <v>5.4320501046926078E-3</v>
      </c>
      <c r="Y78" s="6">
        <f>'Results - raw data ReCiPe (H)'!Z173*$AC$47</f>
        <v>5.4139935919568661E-3</v>
      </c>
      <c r="Z78" s="6">
        <f>'Results - raw data ReCiPe (H)'!AA173*$AC$47</f>
        <v>5.395935830577011E-3</v>
      </c>
    </row>
    <row r="79" spans="1:54" outlineLevel="1" x14ac:dyDescent="0.35">
      <c r="A79" s="6" t="s">
        <v>759</v>
      </c>
      <c r="B79" s="6">
        <f>'Results - raw data ReCiPe (H)'!C70</f>
        <v>0</v>
      </c>
      <c r="C79" s="6">
        <f>'Results - raw data ReCiPe (H)'!D70</f>
        <v>0</v>
      </c>
      <c r="D79" s="6">
        <f>'Results - raw data ReCiPe (H)'!E70</f>
        <v>0</v>
      </c>
      <c r="E79" s="6">
        <f>'Results - raw data ReCiPe (H)'!F70</f>
        <v>0</v>
      </c>
      <c r="F79" s="6">
        <f>'Results - raw data ReCiPe (H)'!G70</f>
        <v>0</v>
      </c>
      <c r="G79" s="6">
        <f>'Results - raw data ReCiPe (H)'!H70</f>
        <v>0</v>
      </c>
      <c r="H79" s="6">
        <f>'Results - raw data ReCiPe (H)'!I70</f>
        <v>0</v>
      </c>
      <c r="I79" s="6">
        <f>'Results - raw data ReCiPe (H)'!J70</f>
        <v>0</v>
      </c>
      <c r="J79" s="6">
        <f>'Results - raw data ReCiPe (H)'!K70</f>
        <v>0</v>
      </c>
      <c r="K79" s="6">
        <f>'Results - raw data ReCiPe (H)'!L70</f>
        <v>0</v>
      </c>
      <c r="L79" s="6">
        <f>'Results - raw data ReCiPe (H)'!M70</f>
        <v>0</v>
      </c>
      <c r="M79" s="6">
        <f>'Results - raw data ReCiPe (H)'!N70</f>
        <v>0</v>
      </c>
      <c r="N79" s="6">
        <f>'Results - raw data ReCiPe (H)'!O70</f>
        <v>0</v>
      </c>
      <c r="O79" s="6">
        <f>'Results - raw data ReCiPe (H)'!P70</f>
        <v>0</v>
      </c>
      <c r="P79" s="6">
        <f>'Results - raw data ReCiPe (H)'!Q70</f>
        <v>0</v>
      </c>
      <c r="Q79" s="6">
        <f>'Results - raw data ReCiPe (H)'!R70</f>
        <v>0</v>
      </c>
      <c r="R79" s="6">
        <f>'Results - raw data ReCiPe (H)'!S70</f>
        <v>0</v>
      </c>
      <c r="S79" s="6">
        <f>'Results - raw data ReCiPe (H)'!T70</f>
        <v>0</v>
      </c>
      <c r="T79" s="6">
        <f>'Results - raw data ReCiPe (H)'!U70</f>
        <v>0</v>
      </c>
      <c r="U79" s="6">
        <f>'Results - raw data ReCiPe (H)'!V70</f>
        <v>0</v>
      </c>
      <c r="V79" s="6">
        <f>'Results - raw data ReCiPe (H)'!W70</f>
        <v>0</v>
      </c>
      <c r="W79" s="6">
        <f>'Results - raw data ReCiPe (H)'!X70</f>
        <v>0</v>
      </c>
      <c r="X79" s="6">
        <f>'Results - raw data ReCiPe (H)'!Y70</f>
        <v>0</v>
      </c>
      <c r="Y79" s="6">
        <f>'Results - raw data ReCiPe (H)'!Z70</f>
        <v>0</v>
      </c>
      <c r="Z79" s="6">
        <f>'Results - raw data ReCiPe (H)'!AA70</f>
        <v>0</v>
      </c>
    </row>
    <row r="80" spans="1:54" outlineLevel="1" x14ac:dyDescent="0.35">
      <c r="A80" s="6" t="s">
        <v>760</v>
      </c>
      <c r="B80" s="6">
        <f>'Results - raw data ReCiPe (H)'!C71</f>
        <v>6.0037117955109028E-2</v>
      </c>
      <c r="C80" s="6">
        <f>'Results - raw data ReCiPe (H)'!D71</f>
        <v>5.6191867505510959E-2</v>
      </c>
      <c r="D80" s="6">
        <f>'Results - raw data ReCiPe (H)'!E71</f>
        <v>5.2329272684781568E-2</v>
      </c>
      <c r="E80" s="6">
        <f>'Results - raw data ReCiPe (H)'!F71</f>
        <v>4.841413521773321E-2</v>
      </c>
      <c r="F80" s="6">
        <f>'Results - raw data ReCiPe (H)'!G71</f>
        <v>4.4539809777472107E-2</v>
      </c>
      <c r="G80" s="6">
        <f>'Results - raw data ReCiPe (H)'!H71</f>
        <v>4.0662830543897487E-2</v>
      </c>
      <c r="H80" s="6">
        <f>'Results - raw data ReCiPe (H)'!I71</f>
        <v>3.84101452645636E-2</v>
      </c>
      <c r="I80" s="6">
        <f>'Results - raw data ReCiPe (H)'!J71</f>
        <v>3.616214979454152E-2</v>
      </c>
      <c r="J80" s="6">
        <f>'Results - raw data ReCiPe (H)'!K71</f>
        <v>3.388387353827356E-2</v>
      </c>
      <c r="K80" s="6">
        <f>'Results - raw data ReCiPe (H)'!L71</f>
        <v>3.1636813899357991E-2</v>
      </c>
      <c r="L80" s="6">
        <f>'Results - raw data ReCiPe (H)'!M71</f>
        <v>2.9388776392389161E-2</v>
      </c>
      <c r="M80" s="6">
        <f>'Results - raw data ReCiPe (H)'!N71</f>
        <v>2.7945528803582399E-2</v>
      </c>
      <c r="N80" s="6">
        <f>'Results - raw data ReCiPe (H)'!O71</f>
        <v>2.6495555969194919E-2</v>
      </c>
      <c r="O80" s="6">
        <f>'Results - raw data ReCiPe (H)'!P71</f>
        <v>2.5029611937261359E-2</v>
      </c>
      <c r="P80" s="6">
        <f>'Results - raw data ReCiPe (H)'!Q71</f>
        <v>2.3563053513519231E-2</v>
      </c>
      <c r="Q80" s="6">
        <f>'Results - raw data ReCiPe (H)'!R71</f>
        <v>2.2089192003759049E-2</v>
      </c>
      <c r="R80" s="6">
        <f>'Results - raw data ReCiPe (H)'!S71</f>
        <v>2.1568773856969221E-2</v>
      </c>
      <c r="S80" s="6">
        <f>'Results - raw data ReCiPe (H)'!T71</f>
        <v>2.1044854656145601E-2</v>
      </c>
      <c r="T80" s="6">
        <f>'Results - raw data ReCiPe (H)'!U71</f>
        <v>2.0511477278365761E-2</v>
      </c>
      <c r="U80" s="6">
        <f>'Results - raw data ReCiPe (H)'!V71</f>
        <v>1.9983955595474681E-2</v>
      </c>
      <c r="V80" s="6">
        <f>'Results - raw data ReCiPe (H)'!W71</f>
        <v>1.9455066361617632E-2</v>
      </c>
      <c r="W80" s="6">
        <f>'Results - raw data ReCiPe (H)'!X71</f>
        <v>1.964140297480697E-2</v>
      </c>
      <c r="X80" s="6">
        <f>'Results - raw data ReCiPe (H)'!Y71</f>
        <v>1.9407556618260911E-2</v>
      </c>
      <c r="Y80" s="6">
        <f>'Results - raw data ReCiPe (H)'!Z71</f>
        <v>1.9173059591223431E-2</v>
      </c>
      <c r="Z80" s="6">
        <f>'Results - raw data ReCiPe (H)'!AA71</f>
        <v>1.893784819983222E-2</v>
      </c>
    </row>
    <row r="81" spans="1:53" outlineLevel="1" x14ac:dyDescent="0.35">
      <c r="A81" s="23" t="s">
        <v>125</v>
      </c>
      <c r="B81" s="17">
        <f t="shared" ref="B81:Z81" si="9">SUM(B50:B80)</f>
        <v>0.24049180715647908</v>
      </c>
      <c r="C81" s="17">
        <f t="shared" si="9"/>
        <v>6.6751588582399227E-2</v>
      </c>
      <c r="D81" s="17">
        <f t="shared" si="9"/>
        <v>6.2568245298430261E-2</v>
      </c>
      <c r="E81" s="17">
        <f t="shared" si="9"/>
        <v>5.8320841104907602E-2</v>
      </c>
      <c r="F81" s="17">
        <f t="shared" si="9"/>
        <v>5.4126838647366872E-2</v>
      </c>
      <c r="G81" s="17">
        <f t="shared" si="9"/>
        <v>4.9930966023207221E-2</v>
      </c>
      <c r="H81" s="17">
        <f t="shared" si="9"/>
        <v>4.7480356945603951E-2</v>
      </c>
      <c r="I81" s="17">
        <f t="shared" si="9"/>
        <v>4.5035148805830608E-2</v>
      </c>
      <c r="J81" s="17">
        <f t="shared" si="9"/>
        <v>4.2553387291570405E-2</v>
      </c>
      <c r="K81" s="17">
        <f t="shared" si="9"/>
        <v>4.0109658046923617E-2</v>
      </c>
      <c r="L81" s="17">
        <f t="shared" si="9"/>
        <v>3.7665042440733119E-2</v>
      </c>
      <c r="M81" s="17">
        <f t="shared" si="9"/>
        <v>3.6080672966463972E-2</v>
      </c>
      <c r="N81" s="17">
        <f t="shared" si="9"/>
        <v>3.4489303930335932E-2</v>
      </c>
      <c r="O81" s="17">
        <f t="shared" si="9"/>
        <v>3.2879719607423807E-2</v>
      </c>
      <c r="P81" s="17">
        <f t="shared" si="9"/>
        <v>3.1270945657693457E-2</v>
      </c>
      <c r="Q81" s="17">
        <f t="shared" si="9"/>
        <v>2.9654498674222887E-2</v>
      </c>
      <c r="R81" s="17">
        <f t="shared" si="9"/>
        <v>2.9073372467281873E-2</v>
      </c>
      <c r="S81" s="17">
        <f t="shared" si="9"/>
        <v>2.8488544660317805E-2</v>
      </c>
      <c r="T81" s="17">
        <f t="shared" si="9"/>
        <v>2.7892409554168541E-2</v>
      </c>
      <c r="U81" s="17">
        <f t="shared" si="9"/>
        <v>2.7303837847824242E-2</v>
      </c>
      <c r="V81" s="17">
        <f t="shared" si="9"/>
        <v>2.6713847906826144E-2</v>
      </c>
      <c r="W81" s="17">
        <f t="shared" si="9"/>
        <v>2.6930999669289923E-2</v>
      </c>
      <c r="X81" s="17">
        <f t="shared" si="9"/>
        <v>2.6676188677715006E-2</v>
      </c>
      <c r="Y81" s="17">
        <f t="shared" si="9"/>
        <v>2.6420756013584644E-2</v>
      </c>
      <c r="Z81" s="17">
        <f t="shared" si="9"/>
        <v>2.7403739971991532E-2</v>
      </c>
    </row>
    <row r="82" spans="1:53" outlineLevel="1" x14ac:dyDescent="0.35"/>
    <row r="83" spans="1:53" s="18" customFormat="1" ht="21" x14ac:dyDescent="0.5">
      <c r="A83" s="18" t="s">
        <v>94</v>
      </c>
    </row>
    <row r="84" spans="1:53" s="20" customFormat="1" outlineLevel="1" x14ac:dyDescent="0.35">
      <c r="A84" s="19" t="s">
        <v>767</v>
      </c>
    </row>
    <row r="85" spans="1:53" s="16" customFormat="1" outlineLevel="1" x14ac:dyDescent="0.35">
      <c r="A85" s="21"/>
      <c r="AB85" s="16" t="s">
        <v>47</v>
      </c>
      <c r="AC85" s="16">
        <v>9.2800000000000005E-7</v>
      </c>
      <c r="AD85" s="16" t="s">
        <v>48</v>
      </c>
      <c r="AE85" s="15" t="s">
        <v>714</v>
      </c>
    </row>
    <row r="86" spans="1:53" s="16" customFormat="1" outlineLevel="1" x14ac:dyDescent="0.35">
      <c r="A86" s="22" t="s">
        <v>564</v>
      </c>
      <c r="AC86" s="16">
        <f>AC85*1000</f>
        <v>9.2800000000000001E-4</v>
      </c>
      <c r="AD86" s="16" t="s">
        <v>126</v>
      </c>
    </row>
    <row r="87" spans="1:53" s="16" customFormat="1" outlineLevel="1" x14ac:dyDescent="0.35">
      <c r="A87" s="22"/>
      <c r="AB87" s="16" t="s">
        <v>127</v>
      </c>
      <c r="AC87" s="16">
        <v>100</v>
      </c>
      <c r="AD87" s="16" t="s">
        <v>128</v>
      </c>
    </row>
    <row r="88" spans="1:53" s="16" customFormat="1" outlineLevel="1" x14ac:dyDescent="0.35">
      <c r="A88" s="22"/>
      <c r="AB88" s="16" t="s">
        <v>129</v>
      </c>
      <c r="AC88" s="16">
        <v>25</v>
      </c>
      <c r="AD88" s="16" t="s">
        <v>130</v>
      </c>
    </row>
    <row r="89" spans="1:53" outlineLevel="1" x14ac:dyDescent="0.35">
      <c r="B89" s="25">
        <v>2030</v>
      </c>
      <c r="C89" s="25">
        <v>2031</v>
      </c>
      <c r="D89" s="25">
        <v>2032</v>
      </c>
      <c r="E89" s="25">
        <v>2033</v>
      </c>
      <c r="F89" s="25">
        <v>2034</v>
      </c>
      <c r="G89" s="25">
        <v>2035</v>
      </c>
      <c r="H89" s="25">
        <v>2036</v>
      </c>
      <c r="I89" s="25">
        <v>2037</v>
      </c>
      <c r="J89" s="25">
        <v>2038</v>
      </c>
      <c r="K89" s="25">
        <v>2039</v>
      </c>
      <c r="L89" s="25">
        <v>2040</v>
      </c>
      <c r="M89" s="25">
        <v>2041</v>
      </c>
      <c r="N89" s="25">
        <v>2042</v>
      </c>
      <c r="O89" s="25">
        <v>2043</v>
      </c>
      <c r="P89" s="25">
        <v>2044</v>
      </c>
      <c r="Q89" s="25">
        <v>2045</v>
      </c>
      <c r="R89" s="25">
        <v>2046</v>
      </c>
      <c r="S89" s="25">
        <v>2047</v>
      </c>
      <c r="T89" s="25">
        <v>2048</v>
      </c>
      <c r="U89" s="25">
        <v>2049</v>
      </c>
      <c r="V89" s="25">
        <v>2050</v>
      </c>
      <c r="W89" s="25">
        <v>2051</v>
      </c>
      <c r="X89" s="25">
        <v>2052</v>
      </c>
      <c r="Y89" s="25">
        <v>2053</v>
      </c>
      <c r="Z89" s="25">
        <v>2054</v>
      </c>
      <c r="AC89" s="25">
        <v>2030</v>
      </c>
      <c r="AD89" s="25">
        <v>2031</v>
      </c>
      <c r="AE89" s="25">
        <v>2032</v>
      </c>
      <c r="AF89" s="25">
        <v>2033</v>
      </c>
      <c r="AG89" s="25">
        <v>2034</v>
      </c>
      <c r="AH89" s="25">
        <v>2035</v>
      </c>
      <c r="AI89" s="25">
        <v>2036</v>
      </c>
      <c r="AJ89" s="25">
        <v>2037</v>
      </c>
      <c r="AK89" s="25">
        <v>2038</v>
      </c>
      <c r="AL89" s="25">
        <v>2039</v>
      </c>
      <c r="AM89" s="25">
        <v>2040</v>
      </c>
      <c r="AN89" s="25">
        <v>2041</v>
      </c>
      <c r="AO89" s="25">
        <v>2042</v>
      </c>
      <c r="AP89" s="25">
        <v>2043</v>
      </c>
      <c r="AQ89" s="25">
        <v>2044</v>
      </c>
      <c r="AR89" s="25">
        <v>2045</v>
      </c>
      <c r="AS89" s="25">
        <v>2046</v>
      </c>
      <c r="AT89" s="25">
        <v>2047</v>
      </c>
      <c r="AU89" s="25">
        <v>2048</v>
      </c>
      <c r="AV89" s="25">
        <v>2049</v>
      </c>
      <c r="AW89" s="25">
        <v>2050</v>
      </c>
      <c r="AX89" s="25">
        <v>2051</v>
      </c>
      <c r="AY89" s="25">
        <v>2052</v>
      </c>
      <c r="AZ89" s="25">
        <v>2053</v>
      </c>
      <c r="BA89" s="25">
        <v>2054</v>
      </c>
    </row>
    <row r="90" spans="1:53" outlineLevel="1" x14ac:dyDescent="0.35">
      <c r="A90" s="6" t="s">
        <v>21</v>
      </c>
      <c r="B90" s="6">
        <f>'Results - raw data ReCiPe (H)'!C77</f>
        <v>2.4100049612117481E-3</v>
      </c>
      <c r="AB90" s="6" t="s">
        <v>117</v>
      </c>
      <c r="AC90" s="6">
        <f>SUM(B90:B101)+B103</f>
        <v>0.14486428170139623</v>
      </c>
    </row>
    <row r="91" spans="1:53" outlineLevel="1" x14ac:dyDescent="0.35">
      <c r="A91" s="6" t="s">
        <v>23</v>
      </c>
      <c r="B91" s="6">
        <f>'Results - raw data ReCiPe (H)'!C78</f>
        <v>5.3713425904224309E-3</v>
      </c>
      <c r="AB91" s="6" t="s">
        <v>118</v>
      </c>
      <c r="AC91" s="6">
        <f>B102</f>
        <v>8.977436741851275E-3</v>
      </c>
    </row>
    <row r="92" spans="1:53" outlineLevel="1" x14ac:dyDescent="0.35">
      <c r="A92" s="6" t="s">
        <v>26</v>
      </c>
      <c r="B92" s="6">
        <f>'Results - raw data ReCiPe (H)'!C79</f>
        <v>1.2015567507973911E-2</v>
      </c>
      <c r="AB92" s="6" t="s">
        <v>119</v>
      </c>
      <c r="BA92" s="6">
        <f>SUM(Z104:Z115)</f>
        <v>1.1364491829356034E-3</v>
      </c>
    </row>
    <row r="93" spans="1:53" outlineLevel="1" x14ac:dyDescent="0.35">
      <c r="A93" s="6" t="s">
        <v>28</v>
      </c>
      <c r="B93" s="6">
        <f>'Results - raw data ReCiPe (H)'!C80</f>
        <v>1.529227024432098E-2</v>
      </c>
      <c r="AB93" s="6" t="s">
        <v>120</v>
      </c>
      <c r="BA93" s="6">
        <f>Z116</f>
        <v>3.4041847576099076E-5</v>
      </c>
    </row>
    <row r="94" spans="1:53" outlineLevel="1" x14ac:dyDescent="0.35">
      <c r="A94" s="6" t="s">
        <v>29</v>
      </c>
      <c r="B94" s="6">
        <f>'Results - raw data ReCiPe (H)'!C81</f>
        <v>1.1898439492001591E-2</v>
      </c>
      <c r="AB94" s="6" t="s">
        <v>121</v>
      </c>
      <c r="AC94" s="6">
        <f>B117</f>
        <v>1.9848842622015748E-3</v>
      </c>
      <c r="AF94" s="6">
        <f>E117</f>
        <v>1.889975707684352E-3</v>
      </c>
      <c r="AI94" s="6">
        <f>H117</f>
        <v>1.8240269819210511E-3</v>
      </c>
      <c r="AL94" s="6">
        <f>K117</f>
        <v>1.8069758007361711E-3</v>
      </c>
      <c r="AO94" s="6">
        <f>N117</f>
        <v>1.799728004873463E-3</v>
      </c>
      <c r="AR94" s="6">
        <f>Q117</f>
        <v>1.7946676192961261E-3</v>
      </c>
      <c r="AU94" s="6">
        <f>T117</f>
        <v>1.786311731211142E-3</v>
      </c>
      <c r="AX94" s="6">
        <f>W117</f>
        <v>1.790817045871237E-3</v>
      </c>
      <c r="BA94" s="6">
        <f>Z117</f>
        <v>1.786892271072078E-3</v>
      </c>
    </row>
    <row r="95" spans="1:53" outlineLevel="1" x14ac:dyDescent="0.35">
      <c r="A95" s="6" t="s">
        <v>31</v>
      </c>
      <c r="B95" s="6">
        <f>'Results - raw data ReCiPe (H)'!C82</f>
        <v>7.7672923315607531E-3</v>
      </c>
      <c r="AB95" s="6" t="s">
        <v>122</v>
      </c>
      <c r="AC95" s="6">
        <f>B120+B119</f>
        <v>3.1970161471994191E-2</v>
      </c>
      <c r="AD95" s="6">
        <f t="shared" ref="AD95:BA95" si="10">C120+C119</f>
        <v>2.9109048261782559E-2</v>
      </c>
      <c r="AE95" s="6">
        <f t="shared" si="10"/>
        <v>2.6233085282901681E-2</v>
      </c>
      <c r="AF95" s="6">
        <f t="shared" si="10"/>
        <v>2.3290847167405329E-2</v>
      </c>
      <c r="AG95" s="6">
        <f t="shared" si="10"/>
        <v>2.0383545711031539E-2</v>
      </c>
      <c r="AH95" s="6">
        <f t="shared" si="10"/>
        <v>1.7464351671340882E-2</v>
      </c>
      <c r="AI95" s="6">
        <f t="shared" si="10"/>
        <v>1.7208349479355341E-2</v>
      </c>
      <c r="AJ95" s="6">
        <f t="shared" si="10"/>
        <v>1.6946844039901581E-2</v>
      </c>
      <c r="AK95" s="6">
        <f t="shared" si="10"/>
        <v>1.663817542981191E-2</v>
      </c>
      <c r="AL95" s="6">
        <f t="shared" si="10"/>
        <v>1.6363176778820931E-2</v>
      </c>
      <c r="AM95" s="6">
        <f t="shared" si="10"/>
        <v>1.6081871721863549E-2</v>
      </c>
      <c r="AN95" s="6">
        <f t="shared" si="10"/>
        <v>1.5943938721505829E-2</v>
      </c>
      <c r="AO95" s="6">
        <f t="shared" si="10"/>
        <v>1.5808325031177139E-2</v>
      </c>
      <c r="AP95" s="6">
        <f t="shared" si="10"/>
        <v>1.5664326837769409E-2</v>
      </c>
      <c r="AQ95" s="6">
        <f t="shared" si="10"/>
        <v>1.552884938795052E-2</v>
      </c>
      <c r="AR95" s="6">
        <f t="shared" si="10"/>
        <v>1.5393763316684361E-2</v>
      </c>
      <c r="AS95" s="6">
        <f t="shared" si="10"/>
        <v>1.4778131044248299E-2</v>
      </c>
      <c r="AT95" s="6">
        <f t="shared" si="10"/>
        <v>1.4165123659348791E-2</v>
      </c>
      <c r="AU95" s="6">
        <f t="shared" si="10"/>
        <v>1.35486801968695E-2</v>
      </c>
      <c r="AV95" s="6">
        <f t="shared" si="10"/>
        <v>1.2944755993524751E-2</v>
      </c>
      <c r="AW95" s="6">
        <f t="shared" si="10"/>
        <v>1.2344699833293079E-2</v>
      </c>
      <c r="AX95" s="6">
        <f t="shared" si="10"/>
        <v>1.238039159625819E-2</v>
      </c>
      <c r="AY95" s="6">
        <f t="shared" si="10"/>
        <v>1.1965932677229729E-2</v>
      </c>
      <c r="AZ95" s="6">
        <f t="shared" si="10"/>
        <v>1.1550338322082311E-2</v>
      </c>
      <c r="BA95" s="6">
        <f t="shared" si="10"/>
        <v>1.113355301964785E-2</v>
      </c>
    </row>
    <row r="96" spans="1:53" outlineLevel="1" x14ac:dyDescent="0.35">
      <c r="A96" s="6" t="s">
        <v>34</v>
      </c>
      <c r="B96" s="6">
        <f>'Results - raw data ReCiPe (H)'!C83</f>
        <v>5.948865391495731E-3</v>
      </c>
      <c r="AB96" s="6" t="s">
        <v>123</v>
      </c>
      <c r="AC96" s="6">
        <f t="shared" ref="AC96:BA96" si="11">B118</f>
        <v>6.4113413642919994E-3</v>
      </c>
      <c r="AD96" s="6">
        <f t="shared" si="11"/>
        <v>6.1870563164082874E-3</v>
      </c>
      <c r="AE96" s="6">
        <f t="shared" si="11"/>
        <v>5.963008535558088E-3</v>
      </c>
      <c r="AF96" s="6">
        <f t="shared" si="11"/>
        <v>5.734630362996632E-3</v>
      </c>
      <c r="AG96" s="6">
        <f t="shared" si="11"/>
        <v>5.5108903406053209E-3</v>
      </c>
      <c r="AH96" s="6">
        <f t="shared" si="11"/>
        <v>5.287579473543043E-3</v>
      </c>
      <c r="AI96" s="6">
        <f t="shared" si="11"/>
        <v>5.2674711073858287E-3</v>
      </c>
      <c r="AJ96" s="6">
        <f t="shared" si="11"/>
        <v>5.247043547117405E-3</v>
      </c>
      <c r="AK96" s="6">
        <f t="shared" si="11"/>
        <v>5.2228528819114701E-3</v>
      </c>
      <c r="AL96" s="6">
        <f t="shared" si="11"/>
        <v>5.2016072909041606E-3</v>
      </c>
      <c r="AM96" s="6">
        <f t="shared" si="11"/>
        <v>5.179982770564715E-3</v>
      </c>
      <c r="AN96" s="6">
        <f t="shared" si="11"/>
        <v>5.1686646284624322E-3</v>
      </c>
      <c r="AO96" s="6">
        <f t="shared" si="11"/>
        <v>5.1575362985013772E-3</v>
      </c>
      <c r="AP96" s="6">
        <f t="shared" si="11"/>
        <v>5.1457028910987124E-3</v>
      </c>
      <c r="AQ96" s="6">
        <f t="shared" si="11"/>
        <v>5.1346104092235842E-3</v>
      </c>
      <c r="AR96" s="6">
        <f t="shared" si="11"/>
        <v>5.1235542689888267E-3</v>
      </c>
      <c r="AS96" s="6">
        <f t="shared" si="11"/>
        <v>5.0752136012556948E-3</v>
      </c>
      <c r="AT96" s="6">
        <f t="shared" si="11"/>
        <v>5.0266829857731343E-3</v>
      </c>
      <c r="AU96" s="6">
        <f t="shared" si="11"/>
        <v>4.9774210504638572E-3</v>
      </c>
      <c r="AV96" s="6">
        <f t="shared" si="11"/>
        <v>4.9288028304039742E-3</v>
      </c>
      <c r="AW96" s="6">
        <f t="shared" si="11"/>
        <v>4.8800914838041968E-3</v>
      </c>
      <c r="AX96" s="6">
        <f t="shared" si="11"/>
        <v>4.8922208815631958E-3</v>
      </c>
      <c r="AY96" s="6">
        <f t="shared" si="11"/>
        <v>4.8614659440340217E-3</v>
      </c>
      <c r="AZ96" s="6">
        <f t="shared" si="11"/>
        <v>4.8307189143537016E-3</v>
      </c>
      <c r="BA96" s="6">
        <f t="shared" si="11"/>
        <v>4.7999740775658394E-3</v>
      </c>
    </row>
    <row r="97" spans="1:53" outlineLevel="1" x14ac:dyDescent="0.35">
      <c r="A97" s="6" t="s">
        <v>36</v>
      </c>
      <c r="B97" s="6">
        <f>'Results - raw data ReCiPe (H)'!C84</f>
        <v>3.321744155878405E-3</v>
      </c>
      <c r="AB97" s="6" t="s">
        <v>124</v>
      </c>
      <c r="AC97" s="6">
        <f>-$AC$7*$AC$6</f>
        <v>-9.2799999999999994E-2</v>
      </c>
      <c r="AD97" s="6">
        <f t="shared" ref="AD97:BA97" si="12">-$AC$7*$AC$6</f>
        <v>-9.2799999999999994E-2</v>
      </c>
      <c r="AE97" s="6">
        <f t="shared" si="12"/>
        <v>-9.2799999999999994E-2</v>
      </c>
      <c r="AF97" s="6">
        <f t="shared" si="12"/>
        <v>-9.2799999999999994E-2</v>
      </c>
      <c r="AG97" s="6">
        <f t="shared" si="12"/>
        <v>-9.2799999999999994E-2</v>
      </c>
      <c r="AH97" s="6">
        <f t="shared" si="12"/>
        <v>-9.2799999999999994E-2</v>
      </c>
      <c r="AI97" s="6">
        <f t="shared" si="12"/>
        <v>-9.2799999999999994E-2</v>
      </c>
      <c r="AJ97" s="6">
        <f t="shared" si="12"/>
        <v>-9.2799999999999994E-2</v>
      </c>
      <c r="AK97" s="6">
        <f t="shared" si="12"/>
        <v>-9.2799999999999994E-2</v>
      </c>
      <c r="AL97" s="6">
        <f t="shared" si="12"/>
        <v>-9.2799999999999994E-2</v>
      </c>
      <c r="AM97" s="6">
        <f t="shared" si="12"/>
        <v>-9.2799999999999994E-2</v>
      </c>
      <c r="AN97" s="6">
        <f t="shared" si="12"/>
        <v>-9.2799999999999994E-2</v>
      </c>
      <c r="AO97" s="6">
        <f t="shared" si="12"/>
        <v>-9.2799999999999994E-2</v>
      </c>
      <c r="AP97" s="6">
        <f t="shared" si="12"/>
        <v>-9.2799999999999994E-2</v>
      </c>
      <c r="AQ97" s="6">
        <f t="shared" si="12"/>
        <v>-9.2799999999999994E-2</v>
      </c>
      <c r="AR97" s="6">
        <f t="shared" si="12"/>
        <v>-9.2799999999999994E-2</v>
      </c>
      <c r="AS97" s="6">
        <f t="shared" si="12"/>
        <v>-9.2799999999999994E-2</v>
      </c>
      <c r="AT97" s="6">
        <f t="shared" si="12"/>
        <v>-9.2799999999999994E-2</v>
      </c>
      <c r="AU97" s="6">
        <f t="shared" si="12"/>
        <v>-9.2799999999999994E-2</v>
      </c>
      <c r="AV97" s="6">
        <f t="shared" si="12"/>
        <v>-9.2799999999999994E-2</v>
      </c>
      <c r="AW97" s="6">
        <f t="shared" si="12"/>
        <v>-9.2799999999999994E-2</v>
      </c>
      <c r="AX97" s="6">
        <f t="shared" si="12"/>
        <v>-9.2799999999999994E-2</v>
      </c>
      <c r="AY97" s="6">
        <f t="shared" si="12"/>
        <v>-9.2799999999999994E-2</v>
      </c>
      <c r="AZ97" s="6">
        <f t="shared" si="12"/>
        <v>-9.2799999999999994E-2</v>
      </c>
      <c r="BA97" s="6">
        <f t="shared" si="12"/>
        <v>-9.2799999999999994E-2</v>
      </c>
    </row>
    <row r="98" spans="1:53" outlineLevel="1" x14ac:dyDescent="0.35">
      <c r="A98" s="6" t="s">
        <v>38</v>
      </c>
      <c r="B98" s="6">
        <f>'Results - raw data ReCiPe (H)'!C85</f>
        <v>1.8593796959748408E-2</v>
      </c>
      <c r="AB98" s="23" t="s">
        <v>125</v>
      </c>
      <c r="AC98" s="17">
        <f t="shared" ref="AC98:BA98" si="13">SUM(AC90:AC97)</f>
        <v>0.10140810554173529</v>
      </c>
      <c r="AD98" s="17">
        <f t="shared" si="13"/>
        <v>-5.7503895421809149E-2</v>
      </c>
      <c r="AE98" s="17">
        <f t="shared" si="13"/>
        <v>-6.0603906181540226E-2</v>
      </c>
      <c r="AF98" s="17">
        <f t="shared" si="13"/>
        <v>-6.1884546761913684E-2</v>
      </c>
      <c r="AG98" s="17">
        <f t="shared" si="13"/>
        <v>-6.6905563948363139E-2</v>
      </c>
      <c r="AH98" s="17">
        <f t="shared" si="13"/>
        <v>-7.0048068855116066E-2</v>
      </c>
      <c r="AI98" s="17">
        <f t="shared" si="13"/>
        <v>-6.850015243133778E-2</v>
      </c>
      <c r="AJ98" s="17">
        <f t="shared" si="13"/>
        <v>-7.0606112412981009E-2</v>
      </c>
      <c r="AK98" s="17">
        <f t="shared" si="13"/>
        <v>-7.093897168827662E-2</v>
      </c>
      <c r="AL98" s="17">
        <f t="shared" si="13"/>
        <v>-6.9428240129538729E-2</v>
      </c>
      <c r="AM98" s="17">
        <f t="shared" si="13"/>
        <v>-7.1538145507571732E-2</v>
      </c>
      <c r="AN98" s="17">
        <f t="shared" si="13"/>
        <v>-7.1687396650031737E-2</v>
      </c>
      <c r="AO98" s="17">
        <f t="shared" si="13"/>
        <v>-7.0034410665448021E-2</v>
      </c>
      <c r="AP98" s="17">
        <f t="shared" si="13"/>
        <v>-7.1989970271131881E-2</v>
      </c>
      <c r="AQ98" s="17">
        <f t="shared" si="13"/>
        <v>-7.2136540202825894E-2</v>
      </c>
      <c r="AR98" s="17">
        <f t="shared" si="13"/>
        <v>-7.0488014795030682E-2</v>
      </c>
      <c r="AS98" s="17">
        <f t="shared" si="13"/>
        <v>-7.2946655354496001E-2</v>
      </c>
      <c r="AT98" s="17">
        <f t="shared" si="13"/>
        <v>-7.360819335487806E-2</v>
      </c>
      <c r="AU98" s="17">
        <f t="shared" si="13"/>
        <v>-7.2487587021455496E-2</v>
      </c>
      <c r="AV98" s="17">
        <f t="shared" si="13"/>
        <v>-7.4926441176071265E-2</v>
      </c>
      <c r="AW98" s="17">
        <f t="shared" si="13"/>
        <v>-7.5575208682902711E-2</v>
      </c>
      <c r="AX98" s="17">
        <f t="shared" si="13"/>
        <v>-7.373657047630737E-2</v>
      </c>
      <c r="AY98" s="17">
        <f t="shared" si="13"/>
        <v>-7.5972601378736238E-2</v>
      </c>
      <c r="AZ98" s="17">
        <f t="shared" si="13"/>
        <v>-7.641894276356398E-2</v>
      </c>
      <c r="BA98" s="17">
        <f t="shared" si="13"/>
        <v>-7.3909089601202516E-2</v>
      </c>
    </row>
    <row r="99" spans="1:53" outlineLevel="1" x14ac:dyDescent="0.35">
      <c r="A99" s="6" t="s">
        <v>39</v>
      </c>
      <c r="B99" s="6">
        <f>'Results - raw data ReCiPe (H)'!C86</f>
        <v>4.6894275088252467E-2</v>
      </c>
    </row>
    <row r="100" spans="1:53" outlineLevel="1" x14ac:dyDescent="0.35">
      <c r="A100" s="6" t="s">
        <v>41</v>
      </c>
      <c r="B100" s="6">
        <f>'Results - raw data ReCiPe (H)'!C87</f>
        <v>2.6822864157904019E-4</v>
      </c>
      <c r="AB100" s="282"/>
      <c r="AC100" s="282"/>
      <c r="AD100" s="282"/>
      <c r="AE100" s="282"/>
      <c r="AF100" s="282"/>
      <c r="AG100" s="282"/>
      <c r="AH100" s="282"/>
      <c r="AI100" s="282"/>
      <c r="AJ100" s="282"/>
      <c r="AK100" s="282"/>
      <c r="AL100" s="282"/>
      <c r="AM100" s="282"/>
      <c r="AN100" s="282"/>
      <c r="AO100" s="282"/>
      <c r="AP100" s="282"/>
      <c r="AQ100" s="282"/>
      <c r="AR100" s="282"/>
      <c r="AS100" s="282"/>
      <c r="AT100" s="282"/>
      <c r="AU100" s="282"/>
      <c r="AV100" s="282"/>
      <c r="AW100" s="282"/>
      <c r="AX100" s="282"/>
      <c r="AY100" s="282"/>
      <c r="AZ100" s="282"/>
      <c r="BA100" s="282"/>
    </row>
    <row r="101" spans="1:53" outlineLevel="1" x14ac:dyDescent="0.35">
      <c r="A101" s="6" t="s">
        <v>43</v>
      </c>
      <c r="B101" s="6">
        <f>'Results - raw data ReCiPe (H)'!C88</f>
        <v>8.5216131252606215E-4</v>
      </c>
      <c r="AB101" s="282"/>
      <c r="AC101" s="282"/>
      <c r="AD101" s="282"/>
      <c r="AE101" s="282"/>
      <c r="AF101" s="282"/>
      <c r="AG101" s="282"/>
      <c r="AH101" s="282"/>
      <c r="AI101" s="282"/>
      <c r="AJ101" s="282"/>
      <c r="AK101" s="282"/>
      <c r="AL101" s="282"/>
      <c r="AM101" s="282"/>
      <c r="AN101" s="282"/>
      <c r="AO101" s="282"/>
      <c r="AP101" s="282"/>
      <c r="AQ101" s="282"/>
      <c r="AR101" s="282"/>
      <c r="AS101" s="282"/>
      <c r="AT101" s="282"/>
      <c r="AU101" s="282"/>
      <c r="AV101" s="282"/>
      <c r="AW101" s="282"/>
      <c r="AX101" s="282"/>
      <c r="AY101" s="282"/>
      <c r="AZ101" s="282"/>
      <c r="BA101" s="282"/>
    </row>
    <row r="102" spans="1:53" outlineLevel="1" x14ac:dyDescent="0.35">
      <c r="A102" s="6" t="s">
        <v>44</v>
      </c>
      <c r="B102" s="6">
        <f>'Results - raw data ReCiPe (H)'!C89*AC87*AC88</f>
        <v>8.977436741851275E-3</v>
      </c>
      <c r="AB102" s="282"/>
      <c r="AC102" s="282"/>
      <c r="AD102" s="282"/>
      <c r="AE102" s="282"/>
      <c r="AF102" s="282"/>
      <c r="AG102" s="282"/>
      <c r="AH102" s="282"/>
      <c r="AI102" s="282"/>
      <c r="AJ102" s="282"/>
      <c r="AK102" s="282"/>
      <c r="AL102" s="282"/>
      <c r="AM102" s="282"/>
      <c r="AN102" s="282"/>
      <c r="AO102" s="282"/>
      <c r="AP102" s="282"/>
      <c r="AQ102" s="282"/>
      <c r="AR102" s="282"/>
      <c r="AS102" s="282"/>
      <c r="AT102" s="282"/>
      <c r="AU102" s="282"/>
      <c r="AV102" s="282"/>
      <c r="AW102" s="282"/>
      <c r="AX102" s="282"/>
      <c r="AY102" s="282"/>
      <c r="AZ102" s="282"/>
      <c r="BA102" s="282"/>
    </row>
    <row r="103" spans="1:53" outlineLevel="1" x14ac:dyDescent="0.35">
      <c r="A103" s="6" t="s">
        <v>757</v>
      </c>
      <c r="B103" s="6">
        <f>'Results - raw data ReCiPe (H)'!C90*AC87*AC88</f>
        <v>1.4230293024424689E-2</v>
      </c>
      <c r="AB103" s="282"/>
      <c r="AC103" s="282"/>
      <c r="AD103" s="282"/>
      <c r="AE103" s="282"/>
      <c r="AF103" s="282"/>
      <c r="AG103" s="282"/>
      <c r="AH103" s="282"/>
      <c r="AI103" s="282"/>
      <c r="AJ103" s="282"/>
      <c r="AK103" s="282"/>
      <c r="AL103" s="282"/>
      <c r="AM103" s="282"/>
      <c r="AN103" s="282"/>
      <c r="AO103" s="282"/>
      <c r="AP103" s="282"/>
      <c r="AQ103" s="282"/>
      <c r="AR103" s="282"/>
      <c r="AS103" s="282"/>
      <c r="AT103" s="282"/>
      <c r="AU103" s="282"/>
      <c r="AV103" s="282"/>
      <c r="AW103" s="282"/>
      <c r="AX103" s="282"/>
      <c r="AY103" s="282"/>
      <c r="AZ103" s="282"/>
      <c r="BA103" s="282"/>
    </row>
    <row r="104" spans="1:53" outlineLevel="1" x14ac:dyDescent="0.35">
      <c r="A104" s="6" t="s">
        <v>22</v>
      </c>
      <c r="Z104" s="6">
        <f>'Results - raw data ReCiPe (H)'!AA91</f>
        <v>2.4470472695532149E-5</v>
      </c>
      <c r="AB104" s="282"/>
      <c r="AC104" s="282"/>
      <c r="AD104" s="282"/>
      <c r="AE104" s="282"/>
      <c r="AF104" s="282"/>
      <c r="AG104" s="282"/>
      <c r="AH104" s="282"/>
      <c r="AI104" s="282"/>
      <c r="AJ104" s="282"/>
      <c r="AK104" s="282"/>
      <c r="AL104" s="282"/>
      <c r="AM104" s="282"/>
      <c r="AN104" s="282"/>
      <c r="AO104" s="282"/>
      <c r="AP104" s="282"/>
      <c r="AQ104" s="282"/>
      <c r="AR104" s="282"/>
      <c r="AS104" s="282"/>
      <c r="AT104" s="282"/>
      <c r="AU104" s="282"/>
      <c r="AV104" s="282"/>
      <c r="AW104" s="282"/>
      <c r="AX104" s="282"/>
      <c r="AY104" s="282"/>
      <c r="AZ104" s="282"/>
      <c r="BA104" s="282"/>
    </row>
    <row r="105" spans="1:53" outlineLevel="1" x14ac:dyDescent="0.35">
      <c r="A105" s="6" t="s">
        <v>24</v>
      </c>
      <c r="Z105" s="6">
        <f>'Results - raw data ReCiPe (H)'!AA92</f>
        <v>1.143222276225724E-5</v>
      </c>
      <c r="AB105" s="282"/>
      <c r="AC105" s="282"/>
      <c r="AD105" s="282"/>
      <c r="AE105" s="282"/>
      <c r="AF105" s="282"/>
      <c r="AG105" s="282"/>
      <c r="AH105" s="282"/>
      <c r="AI105" s="282"/>
      <c r="AJ105" s="282"/>
      <c r="AK105" s="282"/>
      <c r="AL105" s="282"/>
      <c r="AM105" s="282"/>
      <c r="AN105" s="282"/>
      <c r="AO105" s="282"/>
      <c r="AP105" s="282"/>
      <c r="AQ105" s="282"/>
      <c r="AR105" s="282"/>
      <c r="AS105" s="282"/>
      <c r="AT105" s="282"/>
      <c r="AU105" s="282"/>
      <c r="AV105" s="282"/>
      <c r="AW105" s="282"/>
      <c r="AX105" s="282"/>
      <c r="AY105" s="282"/>
      <c r="AZ105" s="282"/>
      <c r="BA105" s="282"/>
    </row>
    <row r="106" spans="1:53" outlineLevel="1" x14ac:dyDescent="0.35">
      <c r="A106" s="6" t="s">
        <v>25</v>
      </c>
      <c r="Z106" s="6">
        <f>'Results - raw data ReCiPe (H)'!AA93</f>
        <v>3.739067920649309E-5</v>
      </c>
      <c r="AB106" s="282"/>
      <c r="AC106" s="282"/>
      <c r="AD106" s="282"/>
      <c r="AE106" s="282"/>
      <c r="AF106" s="282"/>
      <c r="AG106" s="282"/>
      <c r="AH106" s="282"/>
      <c r="AI106" s="282"/>
      <c r="AJ106" s="282"/>
      <c r="AK106" s="282"/>
      <c r="AL106" s="282"/>
      <c r="AM106" s="282"/>
      <c r="AN106" s="282"/>
      <c r="AO106" s="282"/>
      <c r="AP106" s="282"/>
      <c r="AQ106" s="282"/>
      <c r="AR106" s="282"/>
      <c r="AS106" s="282"/>
      <c r="AT106" s="282"/>
      <c r="AU106" s="282"/>
      <c r="AV106" s="282"/>
      <c r="AW106" s="282"/>
      <c r="AX106" s="282"/>
      <c r="AY106" s="282"/>
      <c r="AZ106" s="282"/>
      <c r="BA106" s="282"/>
    </row>
    <row r="107" spans="1:53" outlineLevel="1" x14ac:dyDescent="0.35">
      <c r="A107" s="6" t="s">
        <v>27</v>
      </c>
      <c r="Z107" s="6">
        <f>'Results - raw data ReCiPe (H)'!AA94</f>
        <v>1.593392328279023E-5</v>
      </c>
      <c r="AB107" s="282"/>
      <c r="AC107" s="282"/>
      <c r="AD107" s="282"/>
      <c r="AE107" s="282"/>
      <c r="AF107" s="282"/>
      <c r="AG107" s="282"/>
      <c r="AH107" s="282"/>
      <c r="AI107" s="282"/>
      <c r="AJ107" s="282"/>
      <c r="AK107" s="282"/>
      <c r="AL107" s="282"/>
      <c r="AM107" s="282"/>
      <c r="AN107" s="282"/>
      <c r="AO107" s="282"/>
      <c r="AP107" s="282"/>
      <c r="AQ107" s="282"/>
      <c r="AR107" s="282"/>
      <c r="AS107" s="282"/>
      <c r="AT107" s="282"/>
      <c r="AU107" s="282"/>
      <c r="AV107" s="282"/>
      <c r="AW107" s="282"/>
      <c r="AX107" s="282"/>
      <c r="AY107" s="282"/>
      <c r="AZ107" s="282"/>
      <c r="BA107" s="282"/>
    </row>
    <row r="108" spans="1:53" outlineLevel="1" x14ac:dyDescent="0.35">
      <c r="A108" s="6" t="s">
        <v>30</v>
      </c>
      <c r="Z108" s="6">
        <f>'Results - raw data ReCiPe (H)'!AA95</f>
        <v>3.2280205040430099E-5</v>
      </c>
      <c r="AB108" s="282"/>
      <c r="AC108" s="282"/>
      <c r="AD108" s="282"/>
      <c r="AE108" s="282"/>
      <c r="AF108" s="282"/>
      <c r="AG108" s="282"/>
      <c r="AH108" s="282"/>
      <c r="AI108" s="282"/>
      <c r="AJ108" s="282"/>
      <c r="AK108" s="282"/>
      <c r="AL108" s="282"/>
      <c r="AM108" s="282"/>
      <c r="AN108" s="282"/>
      <c r="AO108" s="282"/>
      <c r="AP108" s="282"/>
      <c r="AQ108" s="282"/>
      <c r="AR108" s="282"/>
      <c r="AS108" s="282"/>
      <c r="AT108" s="282"/>
      <c r="AU108" s="282"/>
      <c r="AV108" s="282"/>
      <c r="AW108" s="282"/>
      <c r="AX108" s="282"/>
      <c r="AY108" s="282"/>
      <c r="AZ108" s="282"/>
      <c r="BA108" s="282"/>
    </row>
    <row r="109" spans="1:53" outlineLevel="1" x14ac:dyDescent="0.35">
      <c r="A109" s="6" t="s">
        <v>32</v>
      </c>
      <c r="Z109" s="6">
        <f>'Results - raw data ReCiPe (H)'!AA96</f>
        <v>4.2863781753696463E-6</v>
      </c>
      <c r="AB109" s="282"/>
      <c r="AC109" s="282"/>
      <c r="AD109" s="282"/>
      <c r="AE109" s="282"/>
      <c r="AF109" s="282"/>
      <c r="AG109" s="282"/>
      <c r="AH109" s="282"/>
      <c r="AI109" s="282"/>
      <c r="AJ109" s="282"/>
      <c r="AK109" s="282"/>
      <c r="AL109" s="282"/>
      <c r="AM109" s="282"/>
      <c r="AN109" s="282"/>
      <c r="AO109" s="282"/>
      <c r="AP109" s="282"/>
      <c r="AQ109" s="282"/>
      <c r="AR109" s="282"/>
      <c r="AS109" s="282"/>
      <c r="AT109" s="282"/>
      <c r="AU109" s="282"/>
      <c r="AV109" s="282"/>
      <c r="AW109" s="282"/>
      <c r="AX109" s="282"/>
      <c r="AY109" s="282"/>
      <c r="AZ109" s="282"/>
      <c r="BA109" s="282"/>
    </row>
    <row r="110" spans="1:53" outlineLevel="1" x14ac:dyDescent="0.35">
      <c r="A110" s="6" t="s">
        <v>33</v>
      </c>
      <c r="Z110" s="6">
        <f>'Results - raw data ReCiPe (H)'!AA97</f>
        <v>8.1784888544495171E-6</v>
      </c>
      <c r="AB110" s="282"/>
      <c r="AC110" s="282"/>
      <c r="AD110" s="282"/>
      <c r="AE110" s="282"/>
      <c r="AF110" s="282"/>
      <c r="AG110" s="282"/>
      <c r="AH110" s="282"/>
      <c r="AI110" s="282"/>
      <c r="AJ110" s="282"/>
      <c r="AK110" s="282"/>
      <c r="AL110" s="282"/>
      <c r="AM110" s="282"/>
      <c r="AN110" s="282"/>
      <c r="AO110" s="282"/>
      <c r="AP110" s="282"/>
      <c r="AQ110" s="282"/>
      <c r="AR110" s="282"/>
      <c r="AS110" s="282"/>
      <c r="AT110" s="282"/>
      <c r="AU110" s="282"/>
      <c r="AV110" s="282"/>
      <c r="AW110" s="282"/>
      <c r="AX110" s="282"/>
      <c r="AY110" s="282"/>
      <c r="AZ110" s="282"/>
      <c r="BA110" s="282"/>
    </row>
    <row r="111" spans="1:53" outlineLevel="1" x14ac:dyDescent="0.35">
      <c r="A111" s="6" t="s">
        <v>35</v>
      </c>
      <c r="Z111" s="6">
        <f>'Results - raw data ReCiPe (H)'!AA98</f>
        <v>1.6356977708899031E-5</v>
      </c>
      <c r="AB111" s="282"/>
      <c r="AC111" s="282"/>
      <c r="AD111" s="282"/>
      <c r="AE111" s="282"/>
      <c r="AF111" s="282"/>
      <c r="AG111" s="282"/>
      <c r="AH111" s="282"/>
      <c r="AI111" s="282"/>
      <c r="AJ111" s="282"/>
      <c r="AK111" s="282"/>
      <c r="AL111" s="282"/>
      <c r="AM111" s="282"/>
      <c r="AN111" s="282"/>
      <c r="AO111" s="282"/>
      <c r="AP111" s="282"/>
      <c r="AQ111" s="282"/>
      <c r="AR111" s="282"/>
      <c r="AS111" s="282"/>
      <c r="AT111" s="282"/>
      <c r="AU111" s="282"/>
      <c r="AV111" s="282"/>
      <c r="AW111" s="282"/>
      <c r="AX111" s="282"/>
      <c r="AY111" s="282"/>
      <c r="AZ111" s="282"/>
      <c r="BA111" s="282"/>
    </row>
    <row r="112" spans="1:53" outlineLevel="1" x14ac:dyDescent="0.35">
      <c r="A112" s="6" t="s">
        <v>37</v>
      </c>
      <c r="Z112" s="6">
        <f>'Results - raw data ReCiPe (H)'!AA99</f>
        <v>3.8394060112131092E-5</v>
      </c>
      <c r="AB112" s="282"/>
      <c r="AC112" s="282"/>
      <c r="AD112" s="282"/>
      <c r="AE112" s="282"/>
      <c r="AF112" s="282"/>
      <c r="AG112" s="282"/>
      <c r="AH112" s="282"/>
      <c r="AI112" s="282"/>
      <c r="AJ112" s="282"/>
      <c r="AK112" s="282"/>
      <c r="AL112" s="282"/>
      <c r="AM112" s="282"/>
      <c r="AN112" s="282"/>
      <c r="AO112" s="282"/>
      <c r="AP112" s="282"/>
      <c r="AQ112" s="282"/>
      <c r="AR112" s="282"/>
      <c r="AS112" s="282"/>
      <c r="AT112" s="282"/>
      <c r="AU112" s="282"/>
      <c r="AV112" s="282"/>
      <c r="AW112" s="282"/>
      <c r="AX112" s="282"/>
      <c r="AY112" s="282"/>
      <c r="AZ112" s="282"/>
      <c r="BA112" s="282"/>
    </row>
    <row r="113" spans="1:31" outlineLevel="1" x14ac:dyDescent="0.35">
      <c r="A113" s="6" t="s">
        <v>40</v>
      </c>
      <c r="Z113" s="6">
        <f>'Results - raw data ReCiPe (H)'!AA100</f>
        <v>5.9291416813558179E-4</v>
      </c>
    </row>
    <row r="114" spans="1:31" outlineLevel="1" x14ac:dyDescent="0.35">
      <c r="A114" s="6" t="s">
        <v>42</v>
      </c>
      <c r="Z114" s="6">
        <f>'Results - raw data ReCiPe (H)'!AA101</f>
        <v>5.1359748101639407E-5</v>
      </c>
    </row>
    <row r="115" spans="1:31" outlineLevel="1" x14ac:dyDescent="0.35">
      <c r="A115" s="6" t="s">
        <v>115</v>
      </c>
      <c r="Z115" s="6">
        <f>'Results - raw data ReCiPe (H)'!AA102</f>
        <v>3.0345185886003018E-4</v>
      </c>
    </row>
    <row r="116" spans="1:31" outlineLevel="1" x14ac:dyDescent="0.35">
      <c r="A116" s="6" t="s">
        <v>45</v>
      </c>
      <c r="Z116" s="6">
        <f>'Results - raw data ReCiPe (H)'!AA103*AC87*AC88</f>
        <v>3.4041847576099076E-5</v>
      </c>
    </row>
    <row r="117" spans="1:31" outlineLevel="1" x14ac:dyDescent="0.35">
      <c r="A117" s="6" t="s">
        <v>116</v>
      </c>
      <c r="B117" s="6">
        <f>'Results - raw data ReCiPe (H)'!C104</f>
        <v>1.9848842622015748E-3</v>
      </c>
      <c r="C117" s="6">
        <f>'Results - raw data ReCiPe (H)'!D104</f>
        <v>1.9562150558131639E-3</v>
      </c>
      <c r="D117" s="6">
        <f>'Results - raw data ReCiPe (H)'!E104</f>
        <v>1.927059632671337E-3</v>
      </c>
      <c r="E117" s="6">
        <f>'Results - raw data ReCiPe (H)'!F104</f>
        <v>1.889975707684352E-3</v>
      </c>
      <c r="F117" s="6">
        <f>'Results - raw data ReCiPe (H)'!G104</f>
        <v>1.8596825109945729E-3</v>
      </c>
      <c r="G117" s="6">
        <f>'Results - raw data ReCiPe (H)'!H104</f>
        <v>1.8287132515525651E-3</v>
      </c>
      <c r="H117" s="6">
        <f>'Results - raw data ReCiPe (H)'!I104</f>
        <v>1.8240269819210511E-3</v>
      </c>
      <c r="I117" s="6">
        <f>'Results - raw data ReCiPe (H)'!J104</f>
        <v>1.81940860209094E-3</v>
      </c>
      <c r="J117" s="6">
        <f>'Results - raw data ReCiPe (H)'!K104</f>
        <v>1.8114375105735641E-3</v>
      </c>
      <c r="K117" s="6">
        <f>'Results - raw data ReCiPe (H)'!L104</f>
        <v>1.8069758007361711E-3</v>
      </c>
      <c r="L117" s="6">
        <f>'Results - raw data ReCiPe (H)'!M104</f>
        <v>1.802550656783997E-3</v>
      </c>
      <c r="M117" s="6">
        <f>'Results - raw data ReCiPe (H)'!N104</f>
        <v>1.8011237099181739E-3</v>
      </c>
      <c r="N117" s="6">
        <f>'Results - raw data ReCiPe (H)'!O104</f>
        <v>1.799728004873463E-3</v>
      </c>
      <c r="O117" s="6">
        <f>'Results - raw data ReCiPe (H)'!P104</f>
        <v>1.797350991149333E-3</v>
      </c>
      <c r="P117" s="6">
        <f>'Results - raw data ReCiPe (H)'!Q104</f>
        <v>1.7960072204838511E-3</v>
      </c>
      <c r="Q117" s="6">
        <f>'Results - raw data ReCiPe (H)'!R104</f>
        <v>1.7946676192961261E-3</v>
      </c>
      <c r="R117" s="6">
        <f>'Results - raw data ReCiPe (H)'!S104</f>
        <v>1.7921661278737079E-3</v>
      </c>
      <c r="S117" s="6">
        <f>'Results - raw data ReCiPe (H)'!T104</f>
        <v>1.789684688556732E-3</v>
      </c>
      <c r="T117" s="6">
        <f>'Results - raw data ReCiPe (H)'!U104</f>
        <v>1.786311731211142E-3</v>
      </c>
      <c r="U117" s="6">
        <f>'Results - raw data ReCiPe (H)'!V104</f>
        <v>1.783894800268534E-3</v>
      </c>
      <c r="V117" s="6">
        <f>'Results - raw data ReCiPe (H)'!W104</f>
        <v>1.78148582755011E-3</v>
      </c>
      <c r="W117" s="6">
        <f>'Results - raw data ReCiPe (H)'!X104</f>
        <v>1.790817045871237E-3</v>
      </c>
      <c r="X117" s="6">
        <f>'Results - raw data ReCiPe (H)'!Y104</f>
        <v>1.7895035743440109E-3</v>
      </c>
      <c r="Y117" s="6">
        <f>'Results - raw data ReCiPe (H)'!Z104</f>
        <v>1.7881953599072019E-3</v>
      </c>
      <c r="Z117" s="6">
        <f>'Results - raw data ReCiPe (H)'!AA104</f>
        <v>1.786892271072078E-3</v>
      </c>
    </row>
    <row r="118" spans="1:31" outlineLevel="1" x14ac:dyDescent="0.35">
      <c r="A118" s="6" t="s">
        <v>758</v>
      </c>
      <c r="B118" s="6">
        <f>'Results - raw data ReCiPe (H)'!C179*$AC$87</f>
        <v>6.4113413642919994E-3</v>
      </c>
      <c r="C118" s="6">
        <f>'Results - raw data ReCiPe (H)'!D179*$AC$87</f>
        <v>6.1870563164082874E-3</v>
      </c>
      <c r="D118" s="6">
        <f>'Results - raw data ReCiPe (H)'!E179*$AC$87</f>
        <v>5.963008535558088E-3</v>
      </c>
      <c r="E118" s="6">
        <f>'Results - raw data ReCiPe (H)'!F179*$AC$87</f>
        <v>5.734630362996632E-3</v>
      </c>
      <c r="F118" s="6">
        <f>'Results - raw data ReCiPe (H)'!G179*$AC$87</f>
        <v>5.5108903406053209E-3</v>
      </c>
      <c r="G118" s="6">
        <f>'Results - raw data ReCiPe (H)'!H179*$AC$87</f>
        <v>5.287579473543043E-3</v>
      </c>
      <c r="H118" s="6">
        <f>'Results - raw data ReCiPe (H)'!I179*$AC$87</f>
        <v>5.2674711073858287E-3</v>
      </c>
      <c r="I118" s="6">
        <f>'Results - raw data ReCiPe (H)'!J179*$AC$87</f>
        <v>5.247043547117405E-3</v>
      </c>
      <c r="J118" s="6">
        <f>'Results - raw data ReCiPe (H)'!K179*$AC$87</f>
        <v>5.2228528819114701E-3</v>
      </c>
      <c r="K118" s="6">
        <f>'Results - raw data ReCiPe (H)'!L179*$AC$87</f>
        <v>5.2016072909041606E-3</v>
      </c>
      <c r="L118" s="6">
        <f>'Results - raw data ReCiPe (H)'!M179*$AC$87</f>
        <v>5.179982770564715E-3</v>
      </c>
      <c r="M118" s="6">
        <f>'Results - raw data ReCiPe (H)'!N179*$AC$87</f>
        <v>5.1686646284624322E-3</v>
      </c>
      <c r="N118" s="6">
        <f>'Results - raw data ReCiPe (H)'!O179*$AC$87</f>
        <v>5.1575362985013772E-3</v>
      </c>
      <c r="O118" s="6">
        <f>'Results - raw data ReCiPe (H)'!P179*$AC$87</f>
        <v>5.1457028910987124E-3</v>
      </c>
      <c r="P118" s="6">
        <f>'Results - raw data ReCiPe (H)'!Q179*$AC$87</f>
        <v>5.1346104092235842E-3</v>
      </c>
      <c r="Q118" s="6">
        <f>'Results - raw data ReCiPe (H)'!R179*$AC$87</f>
        <v>5.1235542689888267E-3</v>
      </c>
      <c r="R118" s="6">
        <f>'Results - raw data ReCiPe (H)'!S179*$AC$87</f>
        <v>5.0752136012556948E-3</v>
      </c>
      <c r="S118" s="6">
        <f>'Results - raw data ReCiPe (H)'!T179*$AC$87</f>
        <v>5.0266829857731343E-3</v>
      </c>
      <c r="T118" s="6">
        <f>'Results - raw data ReCiPe (H)'!U179*$AC$87</f>
        <v>4.9774210504638572E-3</v>
      </c>
      <c r="U118" s="6">
        <f>'Results - raw data ReCiPe (H)'!V179*$AC$87</f>
        <v>4.9288028304039742E-3</v>
      </c>
      <c r="V118" s="6">
        <f>'Results - raw data ReCiPe (H)'!W179*$AC$87</f>
        <v>4.8800914838041968E-3</v>
      </c>
      <c r="W118" s="6">
        <f>'Results - raw data ReCiPe (H)'!X179*$AC$87</f>
        <v>4.8922208815631958E-3</v>
      </c>
      <c r="X118" s="6">
        <f>'Results - raw data ReCiPe (H)'!Y179*$AC$87</f>
        <v>4.8614659440340217E-3</v>
      </c>
      <c r="Y118" s="6">
        <f>'Results - raw data ReCiPe (H)'!Z179*$AC$87</f>
        <v>4.8307189143537016E-3</v>
      </c>
      <c r="Z118" s="6">
        <f>'Results - raw data ReCiPe (H)'!AA179*$AC$87</f>
        <v>4.7999740775658394E-3</v>
      </c>
    </row>
    <row r="119" spans="1:31" outlineLevel="1" x14ac:dyDescent="0.35">
      <c r="A119" s="6" t="s">
        <v>759</v>
      </c>
      <c r="B119" s="6">
        <f>'Results - raw data ReCiPe (H)'!C106</f>
        <v>0</v>
      </c>
      <c r="C119" s="6">
        <f>'Results - raw data ReCiPe (H)'!D106</f>
        <v>0</v>
      </c>
      <c r="D119" s="6">
        <f>'Results - raw data ReCiPe (H)'!E106</f>
        <v>0</v>
      </c>
      <c r="E119" s="6">
        <f>'Results - raw data ReCiPe (H)'!F106</f>
        <v>0</v>
      </c>
      <c r="F119" s="6">
        <f>'Results - raw data ReCiPe (H)'!G106</f>
        <v>0</v>
      </c>
      <c r="G119" s="6">
        <f>'Results - raw data ReCiPe (H)'!H106</f>
        <v>0</v>
      </c>
      <c r="H119" s="6">
        <f>'Results - raw data ReCiPe (H)'!I106</f>
        <v>0</v>
      </c>
      <c r="I119" s="6">
        <f>'Results - raw data ReCiPe (H)'!J106</f>
        <v>0</v>
      </c>
      <c r="J119" s="6">
        <f>'Results - raw data ReCiPe (H)'!K106</f>
        <v>0</v>
      </c>
      <c r="K119" s="6">
        <f>'Results - raw data ReCiPe (H)'!L106</f>
        <v>0</v>
      </c>
      <c r="L119" s="6">
        <f>'Results - raw data ReCiPe (H)'!M106</f>
        <v>0</v>
      </c>
      <c r="M119" s="6">
        <f>'Results - raw data ReCiPe (H)'!N106</f>
        <v>0</v>
      </c>
      <c r="N119" s="6">
        <f>'Results - raw data ReCiPe (H)'!O106</f>
        <v>0</v>
      </c>
      <c r="O119" s="6">
        <f>'Results - raw data ReCiPe (H)'!P106</f>
        <v>0</v>
      </c>
      <c r="P119" s="6">
        <f>'Results - raw data ReCiPe (H)'!Q106</f>
        <v>0</v>
      </c>
      <c r="Q119" s="6">
        <f>'Results - raw data ReCiPe (H)'!R106</f>
        <v>0</v>
      </c>
      <c r="R119" s="6">
        <f>'Results - raw data ReCiPe (H)'!S106</f>
        <v>0</v>
      </c>
      <c r="S119" s="6">
        <f>'Results - raw data ReCiPe (H)'!T106</f>
        <v>0</v>
      </c>
      <c r="T119" s="6">
        <f>'Results - raw data ReCiPe (H)'!U106</f>
        <v>0</v>
      </c>
      <c r="U119" s="6">
        <f>'Results - raw data ReCiPe (H)'!V106</f>
        <v>0</v>
      </c>
      <c r="V119" s="6">
        <f>'Results - raw data ReCiPe (H)'!W106</f>
        <v>0</v>
      </c>
      <c r="W119" s="6">
        <f>'Results - raw data ReCiPe (H)'!X106</f>
        <v>0</v>
      </c>
      <c r="X119" s="6">
        <f>'Results - raw data ReCiPe (H)'!Y106</f>
        <v>0</v>
      </c>
      <c r="Y119" s="6">
        <f>'Results - raw data ReCiPe (H)'!Z106</f>
        <v>0</v>
      </c>
      <c r="Z119" s="6">
        <f>'Results - raw data ReCiPe (H)'!AA106</f>
        <v>0</v>
      </c>
    </row>
    <row r="120" spans="1:31" outlineLevel="1" x14ac:dyDescent="0.35">
      <c r="A120" s="6" t="s">
        <v>760</v>
      </c>
      <c r="B120" s="6">
        <f>'Results - raw data ReCiPe (H)'!C107</f>
        <v>3.1970161471994191E-2</v>
      </c>
      <c r="C120" s="6">
        <f>'Results - raw data ReCiPe (H)'!D107</f>
        <v>2.9109048261782559E-2</v>
      </c>
      <c r="D120" s="6">
        <f>'Results - raw data ReCiPe (H)'!E107</f>
        <v>2.6233085282901681E-2</v>
      </c>
      <c r="E120" s="6">
        <f>'Results - raw data ReCiPe (H)'!F107</f>
        <v>2.3290847167405329E-2</v>
      </c>
      <c r="F120" s="6">
        <f>'Results - raw data ReCiPe (H)'!G107</f>
        <v>2.0383545711031539E-2</v>
      </c>
      <c r="G120" s="6">
        <f>'Results - raw data ReCiPe (H)'!H107</f>
        <v>1.7464351671340882E-2</v>
      </c>
      <c r="H120" s="6">
        <f>'Results - raw data ReCiPe (H)'!I107</f>
        <v>1.7208349479355341E-2</v>
      </c>
      <c r="I120" s="6">
        <f>'Results - raw data ReCiPe (H)'!J107</f>
        <v>1.6946844039901581E-2</v>
      </c>
      <c r="J120" s="6">
        <f>'Results - raw data ReCiPe (H)'!K107</f>
        <v>1.663817542981191E-2</v>
      </c>
      <c r="K120" s="6">
        <f>'Results - raw data ReCiPe (H)'!L107</f>
        <v>1.6363176778820931E-2</v>
      </c>
      <c r="L120" s="6">
        <f>'Results - raw data ReCiPe (H)'!M107</f>
        <v>1.6081871721863549E-2</v>
      </c>
      <c r="M120" s="6">
        <f>'Results - raw data ReCiPe (H)'!N107</f>
        <v>1.5943938721505829E-2</v>
      </c>
      <c r="N120" s="6">
        <f>'Results - raw data ReCiPe (H)'!O107</f>
        <v>1.5808325031177139E-2</v>
      </c>
      <c r="O120" s="6">
        <f>'Results - raw data ReCiPe (H)'!P107</f>
        <v>1.5664326837769409E-2</v>
      </c>
      <c r="P120" s="6">
        <f>'Results - raw data ReCiPe (H)'!Q107</f>
        <v>1.552884938795052E-2</v>
      </c>
      <c r="Q120" s="6">
        <f>'Results - raw data ReCiPe (H)'!R107</f>
        <v>1.5393763316684361E-2</v>
      </c>
      <c r="R120" s="6">
        <f>'Results - raw data ReCiPe (H)'!S107</f>
        <v>1.4778131044248299E-2</v>
      </c>
      <c r="S120" s="6">
        <f>'Results - raw data ReCiPe (H)'!T107</f>
        <v>1.4165123659348791E-2</v>
      </c>
      <c r="T120" s="6">
        <f>'Results - raw data ReCiPe (H)'!U107</f>
        <v>1.35486801968695E-2</v>
      </c>
      <c r="U120" s="6">
        <f>'Results - raw data ReCiPe (H)'!V107</f>
        <v>1.2944755993524751E-2</v>
      </c>
      <c r="V120" s="6">
        <f>'Results - raw data ReCiPe (H)'!W107</f>
        <v>1.2344699833293079E-2</v>
      </c>
      <c r="W120" s="6">
        <f>'Results - raw data ReCiPe (H)'!X107</f>
        <v>1.238039159625819E-2</v>
      </c>
      <c r="X120" s="6">
        <f>'Results - raw data ReCiPe (H)'!Y107</f>
        <v>1.1965932677229729E-2</v>
      </c>
      <c r="Y120" s="6">
        <f>'Results - raw data ReCiPe (H)'!Z107</f>
        <v>1.1550338322082311E-2</v>
      </c>
      <c r="Z120" s="6">
        <f>'Results - raw data ReCiPe (H)'!AA107</f>
        <v>1.113355301964785E-2</v>
      </c>
    </row>
    <row r="121" spans="1:31" outlineLevel="1" x14ac:dyDescent="0.35">
      <c r="A121" s="23" t="s">
        <v>125</v>
      </c>
      <c r="B121" s="17">
        <f t="shared" ref="B121:Z121" si="14">SUM(B90:B120)</f>
        <v>0.19420810554173529</v>
      </c>
      <c r="C121" s="17">
        <f t="shared" si="14"/>
        <v>3.7252319634004008E-2</v>
      </c>
      <c r="D121" s="17">
        <f t="shared" si="14"/>
        <v>3.4123153451131108E-2</v>
      </c>
      <c r="E121" s="17">
        <f t="shared" si="14"/>
        <v>3.0915453238086314E-2</v>
      </c>
      <c r="F121" s="17">
        <f t="shared" si="14"/>
        <v>2.7754118562631432E-2</v>
      </c>
      <c r="G121" s="17">
        <f t="shared" si="14"/>
        <v>2.458064439643649E-2</v>
      </c>
      <c r="H121" s="17">
        <f t="shared" si="14"/>
        <v>2.4299847568662221E-2</v>
      </c>
      <c r="I121" s="17">
        <f t="shared" si="14"/>
        <v>2.4013296189109926E-2</v>
      </c>
      <c r="J121" s="17">
        <f t="shared" si="14"/>
        <v>2.3672465822296943E-2</v>
      </c>
      <c r="K121" s="17">
        <f t="shared" si="14"/>
        <v>2.3371759870461264E-2</v>
      </c>
      <c r="L121" s="17">
        <f t="shared" si="14"/>
        <v>2.306440514921226E-2</v>
      </c>
      <c r="M121" s="17">
        <f t="shared" si="14"/>
        <v>2.2913727059886434E-2</v>
      </c>
      <c r="N121" s="17">
        <f t="shared" si="14"/>
        <v>2.2765589334551979E-2</v>
      </c>
      <c r="O121" s="17">
        <f t="shared" si="14"/>
        <v>2.2607380720017455E-2</v>
      </c>
      <c r="P121" s="17">
        <f t="shared" si="14"/>
        <v>2.2459467017657955E-2</v>
      </c>
      <c r="Q121" s="17">
        <f t="shared" si="14"/>
        <v>2.2311985204969312E-2</v>
      </c>
      <c r="R121" s="17">
        <f t="shared" si="14"/>
        <v>2.1645510773377702E-2</v>
      </c>
      <c r="S121" s="17">
        <f t="shared" si="14"/>
        <v>2.0981491333678659E-2</v>
      </c>
      <c r="T121" s="17">
        <f t="shared" si="14"/>
        <v>2.0312412978544497E-2</v>
      </c>
      <c r="U121" s="17">
        <f t="shared" si="14"/>
        <v>1.9657453624197258E-2</v>
      </c>
      <c r="V121" s="17">
        <f t="shared" si="14"/>
        <v>1.9006277144647386E-2</v>
      </c>
      <c r="W121" s="17">
        <f t="shared" si="14"/>
        <v>1.9063429523692624E-2</v>
      </c>
      <c r="X121" s="17">
        <f t="shared" si="14"/>
        <v>1.8616902195607764E-2</v>
      </c>
      <c r="Y121" s="17">
        <f t="shared" si="14"/>
        <v>1.8169252596343215E-2</v>
      </c>
      <c r="Z121" s="17">
        <f t="shared" si="14"/>
        <v>1.8890910398797471E-2</v>
      </c>
    </row>
    <row r="122" spans="1:31" s="47" customFormat="1" outlineLevel="1" x14ac:dyDescent="0.35"/>
    <row r="123" spans="1:31" s="221" customFormat="1" ht="21" x14ac:dyDescent="0.5">
      <c r="A123" s="229" t="s">
        <v>850</v>
      </c>
    </row>
    <row r="124" spans="1:31" s="18" customFormat="1" ht="21" x14ac:dyDescent="0.5">
      <c r="A124" s="18" t="s">
        <v>72</v>
      </c>
    </row>
    <row r="125" spans="1:31" s="20" customFormat="1" outlineLevel="1" x14ac:dyDescent="0.35">
      <c r="A125" s="19" t="s">
        <v>766</v>
      </c>
    </row>
    <row r="126" spans="1:31" s="16" customFormat="1" outlineLevel="1" x14ac:dyDescent="0.35">
      <c r="A126" s="21"/>
      <c r="AB126" s="16" t="s">
        <v>47</v>
      </c>
      <c r="AC126" s="16">
        <v>9.2800000000000005E-7</v>
      </c>
      <c r="AD126" s="16" t="s">
        <v>48</v>
      </c>
      <c r="AE126" s="15" t="s">
        <v>714</v>
      </c>
    </row>
    <row r="127" spans="1:31" s="16" customFormat="1" outlineLevel="1" x14ac:dyDescent="0.35">
      <c r="A127" s="22" t="s">
        <v>564</v>
      </c>
      <c r="AC127" s="16">
        <f>AC126*1000</f>
        <v>9.2800000000000001E-4</v>
      </c>
      <c r="AD127" s="16" t="s">
        <v>126</v>
      </c>
    </row>
    <row r="128" spans="1:31" s="16" customFormat="1" outlineLevel="1" x14ac:dyDescent="0.35">
      <c r="A128" s="22"/>
      <c r="AB128" s="16" t="s">
        <v>127</v>
      </c>
      <c r="AC128" s="16">
        <v>100</v>
      </c>
      <c r="AD128" s="16" t="s">
        <v>128</v>
      </c>
    </row>
    <row r="129" spans="1:53" s="16" customFormat="1" outlineLevel="1" x14ac:dyDescent="0.35">
      <c r="A129" s="230" t="s">
        <v>768</v>
      </c>
      <c r="AB129" s="16" t="s">
        <v>20</v>
      </c>
      <c r="AC129" s="16">
        <v>0.23</v>
      </c>
      <c r="AD129" s="16" t="s">
        <v>715</v>
      </c>
    </row>
    <row r="130" spans="1:53" s="16" customFormat="1" outlineLevel="1" x14ac:dyDescent="0.35">
      <c r="A130" s="22"/>
      <c r="AB130" s="16" t="s">
        <v>129</v>
      </c>
      <c r="AC130" s="16">
        <v>25</v>
      </c>
      <c r="AD130" s="16" t="s">
        <v>130</v>
      </c>
    </row>
    <row r="131" spans="1:53" outlineLevel="1" x14ac:dyDescent="0.35">
      <c r="B131" s="25">
        <v>2030</v>
      </c>
      <c r="C131" s="25">
        <v>2031</v>
      </c>
      <c r="D131" s="25">
        <v>2032</v>
      </c>
      <c r="E131" s="25">
        <v>2033</v>
      </c>
      <c r="F131" s="25">
        <v>2034</v>
      </c>
      <c r="G131" s="25">
        <v>2035</v>
      </c>
      <c r="H131" s="25">
        <v>2036</v>
      </c>
      <c r="I131" s="25">
        <v>2037</v>
      </c>
      <c r="J131" s="25">
        <v>2038</v>
      </c>
      <c r="K131" s="25">
        <v>2039</v>
      </c>
      <c r="L131" s="25">
        <v>2040</v>
      </c>
      <c r="M131" s="25">
        <v>2041</v>
      </c>
      <c r="N131" s="25">
        <v>2042</v>
      </c>
      <c r="O131" s="25">
        <v>2043</v>
      </c>
      <c r="P131" s="25">
        <v>2044</v>
      </c>
      <c r="Q131" s="25">
        <v>2045</v>
      </c>
      <c r="R131" s="25">
        <v>2046</v>
      </c>
      <c r="S131" s="25">
        <v>2047</v>
      </c>
      <c r="T131" s="25">
        <v>2048</v>
      </c>
      <c r="U131" s="25">
        <v>2049</v>
      </c>
      <c r="V131" s="25">
        <v>2050</v>
      </c>
      <c r="W131" s="25">
        <v>2051</v>
      </c>
      <c r="X131" s="25">
        <v>2052</v>
      </c>
      <c r="Y131" s="25">
        <v>2053</v>
      </c>
      <c r="Z131" s="25">
        <v>2054</v>
      </c>
      <c r="AC131" s="25">
        <v>2030</v>
      </c>
      <c r="AD131" s="25">
        <v>2031</v>
      </c>
      <c r="AE131" s="25">
        <v>2032</v>
      </c>
      <c r="AF131" s="25">
        <v>2033</v>
      </c>
      <c r="AG131" s="25">
        <v>2034</v>
      </c>
      <c r="AH131" s="25">
        <v>2035</v>
      </c>
      <c r="AI131" s="25">
        <v>2036</v>
      </c>
      <c r="AJ131" s="25">
        <v>2037</v>
      </c>
      <c r="AK131" s="25">
        <v>2038</v>
      </c>
      <c r="AL131" s="25">
        <v>2039</v>
      </c>
      <c r="AM131" s="25">
        <v>2040</v>
      </c>
      <c r="AN131" s="25">
        <v>2041</v>
      </c>
      <c r="AO131" s="25">
        <v>2042</v>
      </c>
      <c r="AP131" s="25">
        <v>2043</v>
      </c>
      <c r="AQ131" s="25">
        <v>2044</v>
      </c>
      <c r="AR131" s="25">
        <v>2045</v>
      </c>
      <c r="AS131" s="25">
        <v>2046</v>
      </c>
      <c r="AT131" s="25">
        <v>2047</v>
      </c>
      <c r="AU131" s="25">
        <v>2048</v>
      </c>
      <c r="AV131" s="25">
        <v>2049</v>
      </c>
      <c r="AW131" s="25">
        <v>2050</v>
      </c>
      <c r="AX131" s="25">
        <v>2051</v>
      </c>
      <c r="AY131" s="25">
        <v>2052</v>
      </c>
      <c r="AZ131" s="25">
        <v>2053</v>
      </c>
      <c r="BA131" s="25">
        <v>2054</v>
      </c>
    </row>
    <row r="132" spans="1:53" outlineLevel="1" x14ac:dyDescent="0.35">
      <c r="A132" s="6" t="s">
        <v>21</v>
      </c>
      <c r="B132" s="6">
        <f>'Results - raw data ReCiPe (H)'!C5</f>
        <v>2.894941084896093E-3</v>
      </c>
      <c r="AB132" s="6" t="s">
        <v>117</v>
      </c>
      <c r="AC132" s="6">
        <f>SUM(B132:B143)+B145</f>
        <v>0.16713320096113157</v>
      </c>
    </row>
    <row r="133" spans="1:53" outlineLevel="1" x14ac:dyDescent="0.35">
      <c r="A133" s="6" t="s">
        <v>23</v>
      </c>
      <c r="B133" s="6">
        <f>'Results - raw data ReCiPe (H)'!C6</f>
        <v>6.0231401899834662E-3</v>
      </c>
      <c r="AB133" s="6" t="s">
        <v>118</v>
      </c>
      <c r="AC133" s="6">
        <f>B144</f>
        <v>1.0010028574258376E-2</v>
      </c>
    </row>
    <row r="134" spans="1:53" outlineLevel="1" x14ac:dyDescent="0.35">
      <c r="A134" s="6" t="s">
        <v>26</v>
      </c>
      <c r="B134" s="6">
        <f>'Results - raw data ReCiPe (H)'!C7</f>
        <v>1.3717423440267161E-2</v>
      </c>
      <c r="AB134" s="6" t="s">
        <v>119</v>
      </c>
      <c r="BA134" s="6">
        <f>SUM(Z146:Z157)</f>
        <v>1.3460715242108881E-3</v>
      </c>
    </row>
    <row r="135" spans="1:53" outlineLevel="1" x14ac:dyDescent="0.35">
      <c r="A135" s="6" t="s">
        <v>28</v>
      </c>
      <c r="B135" s="6">
        <f>'Results - raw data ReCiPe (H)'!C8</f>
        <v>1.68268964507193E-2</v>
      </c>
      <c r="AB135" s="6" t="s">
        <v>120</v>
      </c>
      <c r="BA135" s="6">
        <f>Z158</f>
        <v>3.7268740247547826E-5</v>
      </c>
    </row>
    <row r="136" spans="1:53" outlineLevel="1" x14ac:dyDescent="0.35">
      <c r="A136" s="6" t="s">
        <v>29</v>
      </c>
      <c r="B136" s="6">
        <f>'Results - raw data ReCiPe (H)'!C9</f>
        <v>1.290728015734449E-2</v>
      </c>
      <c r="AB136" s="6" t="s">
        <v>121</v>
      </c>
      <c r="AC136" s="6">
        <f>B159</f>
        <v>2.357201361606037E-3</v>
      </c>
      <c r="AF136" s="6">
        <f>E159</f>
        <v>2.338551887019074E-3</v>
      </c>
      <c r="AI136" s="6">
        <f>H159</f>
        <v>2.3329664166207272E-3</v>
      </c>
      <c r="AL136" s="6">
        <f>K159</f>
        <v>2.334292606370443E-3</v>
      </c>
      <c r="AO136" s="6">
        <f>N159</f>
        <v>2.344407424713253E-3</v>
      </c>
      <c r="AR136" s="6">
        <f>Q159</f>
        <v>2.3564976098142901E-3</v>
      </c>
      <c r="AU136" s="6">
        <f>T159</f>
        <v>2.3307713043124539E-3</v>
      </c>
      <c r="AX136" s="6">
        <f>W159</f>
        <v>2.3230274489819871E-3</v>
      </c>
      <c r="BA136" s="6">
        <f>Z159</f>
        <v>2.2803262576522711E-3</v>
      </c>
    </row>
    <row r="137" spans="1:53" outlineLevel="1" x14ac:dyDescent="0.35">
      <c r="A137" s="6" t="s">
        <v>31</v>
      </c>
      <c r="B137" s="6">
        <f>'Results - raw data ReCiPe (H)'!C10</f>
        <v>8.2577490139394989E-3</v>
      </c>
      <c r="AB137" s="6" t="s">
        <v>122</v>
      </c>
      <c r="AC137" s="6">
        <f>B162+B161</f>
        <v>5.7936669959752392E-2</v>
      </c>
      <c r="AD137" s="6">
        <f t="shared" ref="AD137:BA137" si="15">C162+C161</f>
        <v>5.7798977536212666E-2</v>
      </c>
      <c r="AE137" s="6">
        <f t="shared" si="15"/>
        <v>5.7644803515677287E-2</v>
      </c>
      <c r="AF137" s="6">
        <f t="shared" si="15"/>
        <v>5.7445538039350992E-2</v>
      </c>
      <c r="AG137" s="6">
        <f t="shared" si="15"/>
        <v>5.7285114550924089E-2</v>
      </c>
      <c r="AH137" s="6">
        <f t="shared" si="15"/>
        <v>5.7124135301795192E-2</v>
      </c>
      <c r="AI137" s="6">
        <f t="shared" si="15"/>
        <v>6.0836013267578565E-2</v>
      </c>
      <c r="AJ137" s="6">
        <f t="shared" si="15"/>
        <v>6.4541273697726845E-2</v>
      </c>
      <c r="AK137" s="6">
        <f t="shared" si="15"/>
        <v>6.8217901008272713E-2</v>
      </c>
      <c r="AL137" s="6">
        <f t="shared" si="15"/>
        <v>7.1912644095711659E-2</v>
      </c>
      <c r="AM137" s="6">
        <f t="shared" si="15"/>
        <v>7.5598510248962941E-2</v>
      </c>
      <c r="AN137" s="6">
        <f t="shared" si="15"/>
        <v>8.2719825770981373E-2</v>
      </c>
      <c r="AO137" s="6">
        <f t="shared" si="15"/>
        <v>8.9850755269602303E-2</v>
      </c>
      <c r="AP137" s="6">
        <f t="shared" si="15"/>
        <v>9.6988260701402235E-2</v>
      </c>
      <c r="AQ137" s="6">
        <f t="shared" si="15"/>
        <v>0.10413922346205783</v>
      </c>
      <c r="AR137" s="6">
        <f t="shared" si="15"/>
        <v>0.11130032917601163</v>
      </c>
      <c r="AS137" s="6">
        <f t="shared" si="15"/>
        <v>0.11187728399346103</v>
      </c>
      <c r="AT137" s="6">
        <f t="shared" si="15"/>
        <v>0.11244936864424317</v>
      </c>
      <c r="AU137" s="6">
        <f t="shared" si="15"/>
        <v>0.11301361816694319</v>
      </c>
      <c r="AV137" s="6">
        <f t="shared" si="15"/>
        <v>0.11357874206618396</v>
      </c>
      <c r="AW137" s="6">
        <f t="shared" si="15"/>
        <v>0.11414054110586323</v>
      </c>
      <c r="AX137" s="6">
        <f t="shared" si="15"/>
        <v>0.11244027225449538</v>
      </c>
      <c r="AY137" s="6">
        <f t="shared" si="15"/>
        <v>0.10929333969881704</v>
      </c>
      <c r="AZ137" s="6">
        <f t="shared" si="15"/>
        <v>0.10613581421870298</v>
      </c>
      <c r="BA137" s="6">
        <f t="shared" si="15"/>
        <v>0.10296758896790391</v>
      </c>
    </row>
    <row r="138" spans="1:53" outlineLevel="1" x14ac:dyDescent="0.35">
      <c r="A138" s="6" t="s">
        <v>34</v>
      </c>
      <c r="B138" s="6">
        <f>'Results - raw data ReCiPe (H)'!C11</f>
        <v>6.4251549853091127E-3</v>
      </c>
      <c r="AB138" s="6" t="s">
        <v>123</v>
      </c>
      <c r="AC138" s="6">
        <f t="shared" ref="AC138:BA138" si="16">B160</f>
        <v>9.4509612337422E-3</v>
      </c>
      <c r="AD138" s="6">
        <f t="shared" si="16"/>
        <v>9.4300859449296531E-3</v>
      </c>
      <c r="AE138" s="6">
        <f t="shared" si="16"/>
        <v>9.4075908428544984E-3</v>
      </c>
      <c r="AF138" s="6">
        <f t="shared" si="16"/>
        <v>9.3807128369535597E-3</v>
      </c>
      <c r="AG138" s="6">
        <f t="shared" si="16"/>
        <v>9.3576402034245727E-3</v>
      </c>
      <c r="AH138" s="6">
        <f t="shared" si="16"/>
        <v>9.3345481417857444E-3</v>
      </c>
      <c r="AI138" s="6">
        <f t="shared" si="16"/>
        <v>9.6974695693430348E-3</v>
      </c>
      <c r="AJ138" s="6">
        <f t="shared" si="16"/>
        <v>1.005863086193929E-2</v>
      </c>
      <c r="AK138" s="6">
        <f t="shared" si="16"/>
        <v>1.0415868774464919E-2</v>
      </c>
      <c r="AL138" s="6">
        <f t="shared" si="16"/>
        <v>1.077380929272472E-2</v>
      </c>
      <c r="AM138" s="6">
        <f t="shared" si="16"/>
        <v>1.112979696433317E-2</v>
      </c>
      <c r="AN138" s="6">
        <f t="shared" si="16"/>
        <v>1.1824474038243949E-2</v>
      </c>
      <c r="AO138" s="6">
        <f t="shared" si="16"/>
        <v>1.2518462685333581E-2</v>
      </c>
      <c r="AP138" s="6">
        <f t="shared" si="16"/>
        <v>1.3211451215725391E-2</v>
      </c>
      <c r="AQ138" s="6">
        <f t="shared" si="16"/>
        <v>1.3904157911509731E-2</v>
      </c>
      <c r="AR138" s="6">
        <f t="shared" si="16"/>
        <v>1.4596222288785311E-2</v>
      </c>
      <c r="AS138" s="6">
        <f t="shared" si="16"/>
        <v>1.4642981122621862E-2</v>
      </c>
      <c r="AT138" s="6">
        <f t="shared" si="16"/>
        <v>1.468914070479437E-2</v>
      </c>
      <c r="AU138" s="6">
        <f t="shared" si="16"/>
        <v>1.473439348560146E-2</v>
      </c>
      <c r="AV138" s="6">
        <f t="shared" si="16"/>
        <v>1.4779630705440812E-2</v>
      </c>
      <c r="AW138" s="6">
        <f t="shared" si="16"/>
        <v>1.4824423246048289E-2</v>
      </c>
      <c r="AX138" s="6">
        <f t="shared" si="16"/>
        <v>1.4647710254092741E-2</v>
      </c>
      <c r="AY138" s="6">
        <f t="shared" si="16"/>
        <v>1.4322735027341018E-2</v>
      </c>
      <c r="AZ138" s="6">
        <f t="shared" si="16"/>
        <v>1.399794309042934E-2</v>
      </c>
      <c r="BA138" s="6">
        <f t="shared" si="16"/>
        <v>1.3673325875907229E-2</v>
      </c>
    </row>
    <row r="139" spans="1:53" outlineLevel="1" x14ac:dyDescent="0.35">
      <c r="A139" s="6" t="s">
        <v>36</v>
      </c>
      <c r="B139" s="6">
        <f>'Results - raw data ReCiPe (H)'!C12</f>
        <v>3.8313181865858421E-3</v>
      </c>
      <c r="AB139" s="6" t="s">
        <v>124</v>
      </c>
      <c r="AC139" s="6">
        <f>-$AC$7*$AC$6</f>
        <v>-9.2799999999999994E-2</v>
      </c>
      <c r="AD139" s="6">
        <f t="shared" ref="AD139:BA139" si="17">-$AC$7*$AC$6</f>
        <v>-9.2799999999999994E-2</v>
      </c>
      <c r="AE139" s="6">
        <f t="shared" si="17"/>
        <v>-9.2799999999999994E-2</v>
      </c>
      <c r="AF139" s="6">
        <f t="shared" si="17"/>
        <v>-9.2799999999999994E-2</v>
      </c>
      <c r="AG139" s="6">
        <f t="shared" si="17"/>
        <v>-9.2799999999999994E-2</v>
      </c>
      <c r="AH139" s="6">
        <f t="shared" si="17"/>
        <v>-9.2799999999999994E-2</v>
      </c>
      <c r="AI139" s="6">
        <f t="shared" si="17"/>
        <v>-9.2799999999999994E-2</v>
      </c>
      <c r="AJ139" s="6">
        <f t="shared" si="17"/>
        <v>-9.2799999999999994E-2</v>
      </c>
      <c r="AK139" s="6">
        <f t="shared" si="17"/>
        <v>-9.2799999999999994E-2</v>
      </c>
      <c r="AL139" s="6">
        <f t="shared" si="17"/>
        <v>-9.2799999999999994E-2</v>
      </c>
      <c r="AM139" s="6">
        <f t="shared" si="17"/>
        <v>-9.2799999999999994E-2</v>
      </c>
      <c r="AN139" s="6">
        <f t="shared" si="17"/>
        <v>-9.2799999999999994E-2</v>
      </c>
      <c r="AO139" s="6">
        <f t="shared" si="17"/>
        <v>-9.2799999999999994E-2</v>
      </c>
      <c r="AP139" s="6">
        <f t="shared" si="17"/>
        <v>-9.2799999999999994E-2</v>
      </c>
      <c r="AQ139" s="6">
        <f t="shared" si="17"/>
        <v>-9.2799999999999994E-2</v>
      </c>
      <c r="AR139" s="6">
        <f t="shared" si="17"/>
        <v>-9.2799999999999994E-2</v>
      </c>
      <c r="AS139" s="6">
        <f t="shared" si="17"/>
        <v>-9.2799999999999994E-2</v>
      </c>
      <c r="AT139" s="6">
        <f t="shared" si="17"/>
        <v>-9.2799999999999994E-2</v>
      </c>
      <c r="AU139" s="6">
        <f t="shared" si="17"/>
        <v>-9.2799999999999994E-2</v>
      </c>
      <c r="AV139" s="6">
        <f t="shared" si="17"/>
        <v>-9.2799999999999994E-2</v>
      </c>
      <c r="AW139" s="6">
        <f t="shared" si="17"/>
        <v>-9.2799999999999994E-2</v>
      </c>
      <c r="AX139" s="6">
        <f t="shared" si="17"/>
        <v>-9.2799999999999994E-2</v>
      </c>
      <c r="AY139" s="6">
        <f t="shared" si="17"/>
        <v>-9.2799999999999994E-2</v>
      </c>
      <c r="AZ139" s="6">
        <f t="shared" si="17"/>
        <v>-9.2799999999999994E-2</v>
      </c>
      <c r="BA139" s="6">
        <f t="shared" si="17"/>
        <v>-9.2799999999999994E-2</v>
      </c>
    </row>
    <row r="140" spans="1:53" outlineLevel="1" x14ac:dyDescent="0.35">
      <c r="A140" s="6" t="s">
        <v>38</v>
      </c>
      <c r="B140" s="6">
        <f>'Results - raw data ReCiPe (H)'!C13</f>
        <v>2.209496262897262E-2</v>
      </c>
      <c r="AB140" s="23" t="s">
        <v>125</v>
      </c>
      <c r="AC140" s="17">
        <f t="shared" ref="AC140:BA140" si="18">SUM(AC132:AC139)</f>
        <v>0.15408806209049056</v>
      </c>
      <c r="AD140" s="17">
        <f t="shared" si="18"/>
        <v>-2.5570936518857668E-2</v>
      </c>
      <c r="AE140" s="17">
        <f t="shared" si="18"/>
        <v>-2.5747605641468205E-2</v>
      </c>
      <c r="AF140" s="17">
        <f t="shared" si="18"/>
        <v>-2.363519723667637E-2</v>
      </c>
      <c r="AG140" s="17">
        <f t="shared" si="18"/>
        <v>-2.6157245245651328E-2</v>
      </c>
      <c r="AH140" s="17">
        <f t="shared" si="18"/>
        <v>-2.6341316556419053E-2</v>
      </c>
      <c r="AI140" s="17">
        <f t="shared" si="18"/>
        <v>-1.9933550746457668E-2</v>
      </c>
      <c r="AJ140" s="17">
        <f t="shared" si="18"/>
        <v>-1.8200095440333852E-2</v>
      </c>
      <c r="AK140" s="17">
        <f t="shared" si="18"/>
        <v>-1.4166230217262363E-2</v>
      </c>
      <c r="AL140" s="17">
        <f t="shared" si="18"/>
        <v>-7.7792540051931786E-3</v>
      </c>
      <c r="AM140" s="17">
        <f t="shared" si="18"/>
        <v>-6.0716927867038861E-3</v>
      </c>
      <c r="AN140" s="17">
        <f t="shared" si="18"/>
        <v>1.7442998092253303E-3</v>
      </c>
      <c r="AO140" s="17">
        <f t="shared" si="18"/>
        <v>1.1913625379649143E-2</v>
      </c>
      <c r="AP140" s="17">
        <f t="shared" si="18"/>
        <v>1.7399711917127636E-2</v>
      </c>
      <c r="AQ140" s="17">
        <f t="shared" si="18"/>
        <v>2.5243381373567561E-2</v>
      </c>
      <c r="AR140" s="17">
        <f t="shared" si="18"/>
        <v>3.5453049074611248E-2</v>
      </c>
      <c r="AS140" s="17">
        <f t="shared" si="18"/>
        <v>3.3720265116082893E-2</v>
      </c>
      <c r="AT140" s="17">
        <f t="shared" si="18"/>
        <v>3.4338509349037538E-2</v>
      </c>
      <c r="AU140" s="17">
        <f t="shared" si="18"/>
        <v>3.7278782956857104E-2</v>
      </c>
      <c r="AV140" s="17">
        <f t="shared" si="18"/>
        <v>3.5558372771624769E-2</v>
      </c>
      <c r="AW140" s="17">
        <f t="shared" si="18"/>
        <v>3.6164964351911522E-2</v>
      </c>
      <c r="AX140" s="17">
        <f t="shared" si="18"/>
        <v>3.6611009957570106E-2</v>
      </c>
      <c r="AY140" s="17">
        <f t="shared" si="18"/>
        <v>3.0816074726158063E-2</v>
      </c>
      <c r="AZ140" s="17">
        <f t="shared" si="18"/>
        <v>2.7333757309132331E-2</v>
      </c>
      <c r="BA140" s="17">
        <f t="shared" si="18"/>
        <v>2.7504581365921849E-2</v>
      </c>
    </row>
    <row r="141" spans="1:53" outlineLevel="1" x14ac:dyDescent="0.35">
      <c r="A141" s="6" t="s">
        <v>39</v>
      </c>
      <c r="B141" s="6">
        <f>'Results - raw data ReCiPe (H)'!C14</f>
        <v>5.8245388563263008E-2</v>
      </c>
    </row>
    <row r="142" spans="1:53" outlineLevel="1" x14ac:dyDescent="0.35">
      <c r="A142" s="6" t="s">
        <v>41</v>
      </c>
      <c r="B142" s="6">
        <f>'Results - raw data ReCiPe (H)'!C15</f>
        <v>3.0224220416950572E-4</v>
      </c>
    </row>
    <row r="143" spans="1:53" outlineLevel="1" x14ac:dyDescent="0.35">
      <c r="A143" s="6" t="s">
        <v>43</v>
      </c>
      <c r="B143" s="6">
        <f>'Results - raw data ReCiPe (H)'!C16</f>
        <v>9.3081040387393941E-4</v>
      </c>
      <c r="AB143" s="282"/>
      <c r="AC143" s="282"/>
      <c r="AD143" s="282"/>
      <c r="AE143" s="282"/>
      <c r="AF143" s="282"/>
      <c r="AG143" s="282"/>
      <c r="AH143" s="282"/>
      <c r="AI143" s="282"/>
      <c r="AJ143" s="282"/>
      <c r="AK143" s="282"/>
      <c r="AL143" s="282"/>
      <c r="AM143" s="282"/>
      <c r="AN143" s="282"/>
      <c r="AO143" s="282"/>
      <c r="AP143" s="282"/>
      <c r="AQ143" s="282"/>
      <c r="AR143" s="282"/>
      <c r="AS143" s="282"/>
      <c r="AT143" s="282"/>
      <c r="AU143" s="282"/>
      <c r="AV143" s="282"/>
      <c r="AW143" s="282"/>
      <c r="AX143" s="282"/>
      <c r="AY143" s="282"/>
      <c r="AZ143" s="282"/>
      <c r="BA143" s="282"/>
    </row>
    <row r="144" spans="1:53" outlineLevel="1" x14ac:dyDescent="0.35">
      <c r="A144" s="6" t="s">
        <v>44</v>
      </c>
      <c r="B144" s="6">
        <f>'Results - raw data ReCiPe (H)'!C17*AC128*AC130</f>
        <v>1.0010028574258376E-2</v>
      </c>
      <c r="AB144" s="282"/>
      <c r="AC144" s="282"/>
      <c r="AD144" s="282"/>
      <c r="AE144" s="282"/>
      <c r="AF144" s="282"/>
      <c r="AG144" s="282"/>
      <c r="AH144" s="282"/>
      <c r="AI144" s="282"/>
      <c r="AJ144" s="282"/>
      <c r="AK144" s="282"/>
      <c r="AL144" s="282"/>
      <c r="AM144" s="282"/>
      <c r="AN144" s="282"/>
      <c r="AO144" s="282"/>
      <c r="AP144" s="282"/>
      <c r="AQ144" s="282"/>
      <c r="AR144" s="282"/>
      <c r="AS144" s="282"/>
      <c r="AT144" s="282"/>
      <c r="AU144" s="282"/>
      <c r="AV144" s="282"/>
      <c r="AW144" s="282"/>
      <c r="AX144" s="282"/>
      <c r="AY144" s="282"/>
      <c r="AZ144" s="282"/>
      <c r="BA144" s="282"/>
    </row>
    <row r="145" spans="1:53" outlineLevel="1" x14ac:dyDescent="0.35">
      <c r="A145" s="6" t="s">
        <v>757</v>
      </c>
      <c r="B145" s="6">
        <f>'Results - raw data ReCiPe (H)'!C18*AC128*AC130</f>
        <v>1.4675893651807536E-2</v>
      </c>
      <c r="AB145" s="282"/>
      <c r="AC145" s="282"/>
      <c r="AD145" s="282"/>
      <c r="AE145" s="282"/>
      <c r="AF145" s="282"/>
      <c r="AG145" s="282"/>
      <c r="AH145" s="282"/>
      <c r="AI145" s="282"/>
      <c r="AJ145" s="282"/>
      <c r="AK145" s="282"/>
      <c r="AL145" s="282"/>
      <c r="AM145" s="282"/>
      <c r="AN145" s="282"/>
      <c r="AO145" s="282"/>
      <c r="AP145" s="282"/>
      <c r="AQ145" s="282"/>
      <c r="AR145" s="282"/>
      <c r="AS145" s="282"/>
      <c r="AT145" s="282"/>
      <c r="AU145" s="282"/>
      <c r="AV145" s="282"/>
      <c r="AW145" s="282"/>
      <c r="AX145" s="282"/>
      <c r="AY145" s="282"/>
      <c r="AZ145" s="282"/>
      <c r="BA145" s="282"/>
    </row>
    <row r="146" spans="1:53" outlineLevel="1" x14ac:dyDescent="0.35">
      <c r="A146" s="6" t="s">
        <v>22</v>
      </c>
      <c r="Z146" s="6">
        <f>'Results - raw data ReCiPe (H)'!AA19</f>
        <v>2.5411777990047328E-5</v>
      </c>
      <c r="AB146" s="282"/>
      <c r="AC146" s="282"/>
      <c r="AD146" s="282"/>
      <c r="AE146" s="282"/>
      <c r="AF146" s="282"/>
      <c r="AG146" s="282"/>
      <c r="AH146" s="282"/>
      <c r="AI146" s="282"/>
      <c r="AJ146" s="282"/>
      <c r="AK146" s="282"/>
      <c r="AL146" s="282"/>
      <c r="AM146" s="282"/>
      <c r="AN146" s="282"/>
      <c r="AO146" s="282"/>
      <c r="AP146" s="282"/>
      <c r="AQ146" s="282"/>
      <c r="AR146" s="282"/>
      <c r="AS146" s="282"/>
      <c r="AT146" s="282"/>
      <c r="AU146" s="282"/>
      <c r="AV146" s="282"/>
      <c r="AW146" s="282"/>
      <c r="AX146" s="282"/>
      <c r="AY146" s="282"/>
      <c r="AZ146" s="282"/>
      <c r="BA146" s="282"/>
    </row>
    <row r="147" spans="1:53" outlineLevel="1" x14ac:dyDescent="0.35">
      <c r="A147" s="6" t="s">
        <v>24</v>
      </c>
      <c r="Z147" s="6">
        <f>'Results - raw data ReCiPe (H)'!AA20</f>
        <v>1.2429945039727371E-5</v>
      </c>
      <c r="AB147" s="282"/>
      <c r="AC147" s="282"/>
      <c r="AD147" s="282"/>
      <c r="AE147" s="282"/>
      <c r="AF147" s="282"/>
      <c r="AG147" s="282"/>
      <c r="AH147" s="282"/>
      <c r="AI147" s="282"/>
      <c r="AJ147" s="282"/>
      <c r="AK147" s="282"/>
      <c r="AL147" s="282"/>
      <c r="AM147" s="282"/>
      <c r="AN147" s="282"/>
      <c r="AO147" s="282"/>
      <c r="AP147" s="282"/>
      <c r="AQ147" s="282"/>
      <c r="AR147" s="282"/>
      <c r="AS147" s="282"/>
      <c r="AT147" s="282"/>
      <c r="AU147" s="282"/>
      <c r="AV147" s="282"/>
      <c r="AW147" s="282"/>
      <c r="AX147" s="282"/>
      <c r="AY147" s="282"/>
      <c r="AZ147" s="282"/>
      <c r="BA147" s="282"/>
    </row>
    <row r="148" spans="1:53" outlineLevel="1" x14ac:dyDescent="0.35">
      <c r="A148" s="6" t="s">
        <v>25</v>
      </c>
      <c r="Z148" s="6">
        <f>'Results - raw data ReCiPe (H)'!AA21</f>
        <v>4.6226838946619207E-5</v>
      </c>
      <c r="AB148" s="282"/>
      <c r="AC148" s="282"/>
      <c r="AD148" s="282"/>
      <c r="AE148" s="282"/>
      <c r="AF148" s="282"/>
      <c r="AG148" s="282"/>
      <c r="AH148" s="282"/>
      <c r="AI148" s="282"/>
      <c r="AJ148" s="282"/>
      <c r="AK148" s="282"/>
      <c r="AL148" s="282"/>
      <c r="AM148" s="282"/>
      <c r="AN148" s="282"/>
      <c r="AO148" s="282"/>
      <c r="AP148" s="282"/>
      <c r="AQ148" s="282"/>
      <c r="AR148" s="282"/>
      <c r="AS148" s="282"/>
      <c r="AT148" s="282"/>
      <c r="AU148" s="282"/>
      <c r="AV148" s="282"/>
      <c r="AW148" s="282"/>
      <c r="AX148" s="282"/>
      <c r="AY148" s="282"/>
      <c r="AZ148" s="282"/>
      <c r="BA148" s="282"/>
    </row>
    <row r="149" spans="1:53" outlineLevel="1" x14ac:dyDescent="0.35">
      <c r="A149" s="6" t="s">
        <v>27</v>
      </c>
      <c r="Z149" s="6">
        <f>'Results - raw data ReCiPe (H)'!AA22</f>
        <v>1.8368986682832292E-5</v>
      </c>
      <c r="AB149" s="282"/>
      <c r="AC149" s="282"/>
      <c r="AD149" s="282"/>
      <c r="AE149" s="282"/>
      <c r="AF149" s="282"/>
      <c r="AG149" s="282"/>
      <c r="AH149" s="282"/>
      <c r="AI149" s="282"/>
      <c r="AJ149" s="282"/>
      <c r="AK149" s="282"/>
      <c r="AL149" s="282"/>
      <c r="AM149" s="282"/>
      <c r="AN149" s="282"/>
      <c r="AO149" s="282"/>
      <c r="AP149" s="282"/>
      <c r="AQ149" s="282"/>
      <c r="AR149" s="282"/>
      <c r="AS149" s="282"/>
      <c r="AT149" s="282"/>
      <c r="AU149" s="282"/>
      <c r="AV149" s="282"/>
      <c r="AW149" s="282"/>
      <c r="AX149" s="282"/>
      <c r="AY149" s="282"/>
      <c r="AZ149" s="282"/>
      <c r="BA149" s="282"/>
    </row>
    <row r="150" spans="1:53" outlineLevel="1" x14ac:dyDescent="0.35">
      <c r="A150" s="6" t="s">
        <v>30</v>
      </c>
      <c r="Z150" s="6">
        <f>'Results - raw data ReCiPe (H)'!AA23</f>
        <v>3.3517962022619069E-5</v>
      </c>
      <c r="AB150" s="282"/>
      <c r="AC150" s="282"/>
      <c r="AD150" s="282"/>
      <c r="AE150" s="282"/>
      <c r="AF150" s="282"/>
      <c r="AG150" s="282"/>
      <c r="AH150" s="282"/>
      <c r="AI150" s="282"/>
      <c r="AJ150" s="282"/>
      <c r="AK150" s="282"/>
      <c r="AL150" s="282"/>
      <c r="AM150" s="282"/>
      <c r="AN150" s="282"/>
      <c r="AO150" s="282"/>
      <c r="AP150" s="282"/>
      <c r="AQ150" s="282"/>
      <c r="AR150" s="282"/>
      <c r="AS150" s="282"/>
      <c r="AT150" s="282"/>
      <c r="AU150" s="282"/>
      <c r="AV150" s="282"/>
      <c r="AW150" s="282"/>
      <c r="AX150" s="282"/>
      <c r="AY150" s="282"/>
      <c r="AZ150" s="282"/>
      <c r="BA150" s="282"/>
    </row>
    <row r="151" spans="1:53" outlineLevel="1" x14ac:dyDescent="0.35">
      <c r="A151" s="6" t="s">
        <v>32</v>
      </c>
      <c r="Z151" s="6">
        <f>'Results - raw data ReCiPe (H)'!AA24</f>
        <v>4.8143000851052693E-6</v>
      </c>
      <c r="AB151" s="282"/>
      <c r="AC151" s="282"/>
      <c r="AD151" s="282"/>
      <c r="AE151" s="282"/>
      <c r="AF151" s="282"/>
      <c r="AG151" s="282"/>
      <c r="AH151" s="282"/>
      <c r="AI151" s="282"/>
      <c r="AJ151" s="282"/>
      <c r="AK151" s="282"/>
      <c r="AL151" s="282"/>
      <c r="AM151" s="282"/>
      <c r="AN151" s="282"/>
      <c r="AO151" s="282"/>
      <c r="AP151" s="282"/>
      <c r="AQ151" s="282"/>
      <c r="AR151" s="282"/>
      <c r="AS151" s="282"/>
      <c r="AT151" s="282"/>
      <c r="AU151" s="282"/>
      <c r="AV151" s="282"/>
      <c r="AW151" s="282"/>
      <c r="AX151" s="282"/>
      <c r="AY151" s="282"/>
      <c r="AZ151" s="282"/>
      <c r="BA151" s="282"/>
    </row>
    <row r="152" spans="1:53" outlineLevel="1" x14ac:dyDescent="0.35">
      <c r="A152" s="6" t="s">
        <v>33</v>
      </c>
      <c r="Z152" s="6">
        <f>'Results - raw data ReCiPe (H)'!AA25</f>
        <v>8.5463273686294895E-6</v>
      </c>
      <c r="AB152" s="282"/>
      <c r="AC152" s="282"/>
      <c r="AD152" s="282"/>
      <c r="AE152" s="282"/>
      <c r="AF152" s="282"/>
      <c r="AG152" s="282"/>
      <c r="AH152" s="282"/>
      <c r="AI152" s="282"/>
      <c r="AJ152" s="282"/>
      <c r="AK152" s="282"/>
      <c r="AL152" s="282"/>
      <c r="AM152" s="282"/>
      <c r="AN152" s="282"/>
      <c r="AO152" s="282"/>
      <c r="AP152" s="282"/>
      <c r="AQ152" s="282"/>
      <c r="AR152" s="282"/>
      <c r="AS152" s="282"/>
      <c r="AT152" s="282"/>
      <c r="AU152" s="282"/>
      <c r="AV152" s="282"/>
      <c r="AW152" s="282"/>
      <c r="AX152" s="282"/>
      <c r="AY152" s="282"/>
      <c r="AZ152" s="282"/>
      <c r="BA152" s="282"/>
    </row>
    <row r="153" spans="1:53" outlineLevel="1" x14ac:dyDescent="0.35">
      <c r="A153" s="6" t="s">
        <v>35</v>
      </c>
      <c r="Z153" s="6">
        <f>'Results - raw data ReCiPe (H)'!AA26</f>
        <v>1.7092654737258979E-5</v>
      </c>
      <c r="AB153" s="282"/>
      <c r="AC153" s="282"/>
      <c r="AD153" s="282"/>
      <c r="AE153" s="282"/>
      <c r="AF153" s="282"/>
      <c r="AG153" s="282"/>
      <c r="AH153" s="282"/>
      <c r="AI153" s="282"/>
      <c r="AJ153" s="282"/>
      <c r="AK153" s="282"/>
      <c r="AL153" s="282"/>
      <c r="AM153" s="282"/>
      <c r="AN153" s="282"/>
      <c r="AO153" s="282"/>
      <c r="AP153" s="282"/>
      <c r="AQ153" s="282"/>
      <c r="AR153" s="282"/>
      <c r="AS153" s="282"/>
      <c r="AT153" s="282"/>
      <c r="AU153" s="282"/>
      <c r="AV153" s="282"/>
      <c r="AW153" s="282"/>
      <c r="AX153" s="282"/>
      <c r="AY153" s="282"/>
      <c r="AZ153" s="282"/>
      <c r="BA153" s="282"/>
    </row>
    <row r="154" spans="1:53" outlineLevel="1" x14ac:dyDescent="0.35">
      <c r="A154" s="6" t="s">
        <v>37</v>
      </c>
      <c r="Z154" s="6">
        <f>'Results - raw data ReCiPe (H)'!AA27</f>
        <v>4.5826688518955138E-5</v>
      </c>
      <c r="AB154" s="282"/>
      <c r="AC154" s="282"/>
      <c r="AD154" s="282"/>
      <c r="AE154" s="282"/>
      <c r="AF154" s="282"/>
      <c r="AG154" s="282"/>
      <c r="AH154" s="282"/>
      <c r="AI154" s="282"/>
      <c r="AJ154" s="282"/>
      <c r="AK154" s="282"/>
      <c r="AL154" s="282"/>
      <c r="AM154" s="282"/>
      <c r="AN154" s="282"/>
      <c r="AO154" s="282"/>
      <c r="AP154" s="282"/>
      <c r="AQ154" s="282"/>
      <c r="AR154" s="282"/>
      <c r="AS154" s="282"/>
      <c r="AT154" s="282"/>
      <c r="AU154" s="282"/>
      <c r="AV154" s="282"/>
      <c r="AW154" s="282"/>
      <c r="AX154" s="282"/>
      <c r="AY154" s="282"/>
      <c r="AZ154" s="282"/>
      <c r="BA154" s="282"/>
    </row>
    <row r="155" spans="1:53" outlineLevel="1" x14ac:dyDescent="0.35">
      <c r="A155" s="6" t="s">
        <v>40</v>
      </c>
      <c r="Z155" s="6">
        <f>'Results - raw data ReCiPe (H)'!AA28</f>
        <v>6.0617175315794527E-4</v>
      </c>
    </row>
    <row r="156" spans="1:53" outlineLevel="1" x14ac:dyDescent="0.35">
      <c r="A156" s="6" t="s">
        <v>42</v>
      </c>
      <c r="Z156" s="6">
        <f>'Results - raw data ReCiPe (H)'!AA29</f>
        <v>6.2586007271436383E-5</v>
      </c>
    </row>
    <row r="157" spans="1:53" outlineLevel="1" x14ac:dyDescent="0.35">
      <c r="A157" s="6" t="s">
        <v>115</v>
      </c>
      <c r="Z157" s="6">
        <f>'Results - raw data ReCiPe (H)'!AA30</f>
        <v>4.6507828238971232E-4</v>
      </c>
    </row>
    <row r="158" spans="1:53" outlineLevel="1" x14ac:dyDescent="0.35">
      <c r="A158" s="6" t="s">
        <v>45</v>
      </c>
      <c r="Z158" s="6">
        <f>'Results - raw data ReCiPe (H)'!AA31*AC128*AC130</f>
        <v>3.7268740247547826E-5</v>
      </c>
    </row>
    <row r="159" spans="1:53" outlineLevel="1" x14ac:dyDescent="0.35">
      <c r="A159" s="6" t="s">
        <v>116</v>
      </c>
      <c r="B159" s="6">
        <f>'Results - raw data ReCiPe (H)'!C32</f>
        <v>2.357201361606037E-3</v>
      </c>
      <c r="C159" s="6">
        <f>'Results - raw data ReCiPe (H)'!D32</f>
        <v>2.353600688123866E-3</v>
      </c>
      <c r="D159" s="6">
        <f>'Results - raw data ReCiPe (H)'!E32</f>
        <v>2.3500071116123412E-3</v>
      </c>
      <c r="E159" s="6">
        <f>'Results - raw data ReCiPe (H)'!F32</f>
        <v>2.338551887019074E-3</v>
      </c>
      <c r="F159" s="6">
        <f>'Results - raw data ReCiPe (H)'!G32</f>
        <v>2.334948183247444E-3</v>
      </c>
      <c r="G159" s="6">
        <f>'Results - raw data ReCiPe (H)'!H32</f>
        <v>2.331359143562522E-3</v>
      </c>
      <c r="H159" s="6">
        <f>'Results - raw data ReCiPe (H)'!I32</f>
        <v>2.3329664166207272E-3</v>
      </c>
      <c r="I159" s="6">
        <f>'Results - raw data ReCiPe (H)'!J32</f>
        <v>2.334616646953573E-3</v>
      </c>
      <c r="J159" s="6">
        <f>'Results - raw data ReCiPe (H)'!K32</f>
        <v>2.3325229805307031E-3</v>
      </c>
      <c r="K159" s="6">
        <f>'Results - raw data ReCiPe (H)'!L32</f>
        <v>2.334292606370443E-3</v>
      </c>
      <c r="L159" s="6">
        <f>'Results - raw data ReCiPe (H)'!M32</f>
        <v>2.336092196522456E-3</v>
      </c>
      <c r="M159" s="6">
        <f>'Results - raw data ReCiPe (H)'!N32</f>
        <v>2.3402354271006591E-3</v>
      </c>
      <c r="N159" s="6">
        <f>'Results - raw data ReCiPe (H)'!O32</f>
        <v>2.344407424713253E-3</v>
      </c>
      <c r="O159" s="6">
        <f>'Results - raw data ReCiPe (H)'!P32</f>
        <v>2.3478787798235871E-3</v>
      </c>
      <c r="P159" s="6">
        <f>'Results - raw data ReCiPe (H)'!Q32</f>
        <v>2.3521715641440159E-3</v>
      </c>
      <c r="Q159" s="6">
        <f>'Results - raw data ReCiPe (H)'!R32</f>
        <v>2.3564976098142901E-3</v>
      </c>
      <c r="R159" s="6">
        <f>'Results - raw data ReCiPe (H)'!S32</f>
        <v>2.348309135255047E-3</v>
      </c>
      <c r="S159" s="6">
        <f>'Results - raw data ReCiPe (H)'!T32</f>
        <v>2.3400539690804929E-3</v>
      </c>
      <c r="T159" s="6">
        <f>'Results - raw data ReCiPe (H)'!U32</f>
        <v>2.3307713043124539E-3</v>
      </c>
      <c r="U159" s="6">
        <f>'Results - raw data ReCiPe (H)'!V32</f>
        <v>2.322378092485674E-3</v>
      </c>
      <c r="V159" s="6">
        <f>'Results - raw data ReCiPe (H)'!W32</f>
        <v>2.3139082606342351E-3</v>
      </c>
      <c r="W159" s="6">
        <f>'Results - raw data ReCiPe (H)'!X32</f>
        <v>2.3230274489819871E-3</v>
      </c>
      <c r="X159" s="6">
        <f>'Results - raw data ReCiPe (H)'!Y32</f>
        <v>2.308890132934231E-3</v>
      </c>
      <c r="Y159" s="6">
        <f>'Results - raw data ReCiPe (H)'!Z32</f>
        <v>2.2946569016000559E-3</v>
      </c>
      <c r="Z159" s="6">
        <f>'Results - raw data ReCiPe (H)'!AA32</f>
        <v>2.2803262576522711E-3</v>
      </c>
    </row>
    <row r="160" spans="1:53" outlineLevel="1" x14ac:dyDescent="0.35">
      <c r="A160" s="6" t="s">
        <v>758</v>
      </c>
      <c r="B160" s="6">
        <f>'Results - raw data ReCiPe (H)'!C167*$AC$128</f>
        <v>9.4509612337422E-3</v>
      </c>
      <c r="C160" s="6">
        <f>'Results - raw data ReCiPe (H)'!D167*$AC$128</f>
        <v>9.4300859449296531E-3</v>
      </c>
      <c r="D160" s="6">
        <f>'Results - raw data ReCiPe (H)'!E167*$AC$128</f>
        <v>9.4075908428544984E-3</v>
      </c>
      <c r="E160" s="6">
        <f>'Results - raw data ReCiPe (H)'!F167*$AC$128</f>
        <v>9.3807128369535597E-3</v>
      </c>
      <c r="F160" s="6">
        <f>'Results - raw data ReCiPe (H)'!G167*$AC$128</f>
        <v>9.3576402034245727E-3</v>
      </c>
      <c r="G160" s="6">
        <f>'Results - raw data ReCiPe (H)'!H167*$AC$128</f>
        <v>9.3345481417857444E-3</v>
      </c>
      <c r="H160" s="6">
        <f>'Results - raw data ReCiPe (H)'!I167*$AC$128</f>
        <v>9.6974695693430348E-3</v>
      </c>
      <c r="I160" s="6">
        <f>'Results - raw data ReCiPe (H)'!J167*$AC$128</f>
        <v>1.005863086193929E-2</v>
      </c>
      <c r="J160" s="6">
        <f>'Results - raw data ReCiPe (H)'!K167*$AC$128</f>
        <v>1.0415868774464919E-2</v>
      </c>
      <c r="K160" s="6">
        <f>'Results - raw data ReCiPe (H)'!L167*$AC$128</f>
        <v>1.077380929272472E-2</v>
      </c>
      <c r="L160" s="6">
        <f>'Results - raw data ReCiPe (H)'!M167*$AC$128</f>
        <v>1.112979696433317E-2</v>
      </c>
      <c r="M160" s="6">
        <f>'Results - raw data ReCiPe (H)'!N167*$AC$128</f>
        <v>1.1824474038243949E-2</v>
      </c>
      <c r="N160" s="6">
        <f>'Results - raw data ReCiPe (H)'!O167*$AC$128</f>
        <v>1.2518462685333581E-2</v>
      </c>
      <c r="O160" s="6">
        <f>'Results - raw data ReCiPe (H)'!P167*$AC$128</f>
        <v>1.3211451215725391E-2</v>
      </c>
      <c r="P160" s="6">
        <f>'Results - raw data ReCiPe (H)'!Q167*$AC$128</f>
        <v>1.3904157911509731E-2</v>
      </c>
      <c r="Q160" s="6">
        <f>'Results - raw data ReCiPe (H)'!R167*$AC$128</f>
        <v>1.4596222288785311E-2</v>
      </c>
      <c r="R160" s="6">
        <f>'Results - raw data ReCiPe (H)'!S167*$AC$128</f>
        <v>1.4642981122621862E-2</v>
      </c>
      <c r="S160" s="6">
        <f>'Results - raw data ReCiPe (H)'!T167*$AC$128</f>
        <v>1.468914070479437E-2</v>
      </c>
      <c r="T160" s="6">
        <f>'Results - raw data ReCiPe (H)'!U167*$AC$128</f>
        <v>1.473439348560146E-2</v>
      </c>
      <c r="U160" s="6">
        <f>'Results - raw data ReCiPe (H)'!V167*$AC$128</f>
        <v>1.4779630705440812E-2</v>
      </c>
      <c r="V160" s="6">
        <f>'Results - raw data ReCiPe (H)'!W167*$AC$128</f>
        <v>1.4824423246048289E-2</v>
      </c>
      <c r="W160" s="6">
        <f>'Results - raw data ReCiPe (H)'!X167*$AC$128</f>
        <v>1.4647710254092741E-2</v>
      </c>
      <c r="X160" s="6">
        <f>'Results - raw data ReCiPe (H)'!Y167*$AC$128</f>
        <v>1.4322735027341018E-2</v>
      </c>
      <c r="Y160" s="6">
        <f>'Results - raw data ReCiPe (H)'!Z167*$AC$128</f>
        <v>1.399794309042934E-2</v>
      </c>
      <c r="Z160" s="6">
        <f>'Results - raw data ReCiPe (H)'!AA167*$AC$128</f>
        <v>1.3673325875907229E-2</v>
      </c>
    </row>
    <row r="161" spans="1:53" outlineLevel="1" x14ac:dyDescent="0.35">
      <c r="A161" s="6" t="s">
        <v>759</v>
      </c>
      <c r="B161" s="6">
        <f>'Results - raw data ReCiPe (H)'!C34</f>
        <v>0</v>
      </c>
      <c r="C161" s="6">
        <f>'Results - raw data ReCiPe (H)'!D34</f>
        <v>0</v>
      </c>
      <c r="D161" s="6">
        <f>'Results - raw data ReCiPe (H)'!E34</f>
        <v>0</v>
      </c>
      <c r="E161" s="6">
        <f>'Results - raw data ReCiPe (H)'!F34</f>
        <v>0</v>
      </c>
      <c r="F161" s="6">
        <f>'Results - raw data ReCiPe (H)'!G34</f>
        <v>0</v>
      </c>
      <c r="G161" s="6">
        <f>'Results - raw data ReCiPe (H)'!H34</f>
        <v>0</v>
      </c>
      <c r="H161" s="6">
        <f>'Results - raw data ReCiPe (H)'!I34</f>
        <v>0</v>
      </c>
      <c r="I161" s="6">
        <f>'Results - raw data ReCiPe (H)'!J34</f>
        <v>0</v>
      </c>
      <c r="J161" s="6">
        <f>'Results - raw data ReCiPe (H)'!K34</f>
        <v>0</v>
      </c>
      <c r="K161" s="6">
        <f>'Results - raw data ReCiPe (H)'!L34</f>
        <v>0</v>
      </c>
      <c r="L161" s="6">
        <f>'Results - raw data ReCiPe (H)'!M34</f>
        <v>0</v>
      </c>
      <c r="M161" s="6">
        <f>'Results - raw data ReCiPe (H)'!N34</f>
        <v>0</v>
      </c>
      <c r="N161" s="6">
        <f>'Results - raw data ReCiPe (H)'!O34</f>
        <v>0</v>
      </c>
      <c r="O161" s="6">
        <f>'Results - raw data ReCiPe (H)'!P34</f>
        <v>0</v>
      </c>
      <c r="P161" s="6">
        <f>'Results - raw data ReCiPe (H)'!Q34</f>
        <v>0</v>
      </c>
      <c r="Q161" s="6">
        <f>'Results - raw data ReCiPe (H)'!R34</f>
        <v>0</v>
      </c>
      <c r="R161" s="6">
        <f>'Results - raw data ReCiPe (H)'!S34</f>
        <v>0</v>
      </c>
      <c r="S161" s="6">
        <f>'Results - raw data ReCiPe (H)'!T34</f>
        <v>0</v>
      </c>
      <c r="T161" s="6">
        <f>'Results - raw data ReCiPe (H)'!U34</f>
        <v>0</v>
      </c>
      <c r="U161" s="6">
        <f>'Results - raw data ReCiPe (H)'!V34</f>
        <v>0</v>
      </c>
      <c r="V161" s="6">
        <f>'Results - raw data ReCiPe (H)'!W34</f>
        <v>0</v>
      </c>
      <c r="W161" s="6">
        <f>'Results - raw data ReCiPe (H)'!X34</f>
        <v>0</v>
      </c>
      <c r="X161" s="6">
        <f>'Results - raw data ReCiPe (H)'!Y34</f>
        <v>0</v>
      </c>
      <c r="Y161" s="6">
        <f>'Results - raw data ReCiPe (H)'!Z34</f>
        <v>0</v>
      </c>
      <c r="Z161" s="6">
        <f>'Results - raw data ReCiPe (H)'!AA34</f>
        <v>0</v>
      </c>
    </row>
    <row r="162" spans="1:53" outlineLevel="1" x14ac:dyDescent="0.35">
      <c r="A162" s="6" t="s">
        <v>760</v>
      </c>
      <c r="B162" s="6">
        <f>150000*($AC$129*'Results - raw data ReCiPe (H)'!C114+(1-'Results ReCiPe (H) - HHD ship'!$AC$129)*'Results - raw data ReCiPe (H)'!C115)</f>
        <v>5.7936669959752392E-2</v>
      </c>
      <c r="C162" s="6">
        <f>150000*($AC$129*'Results - raw data ReCiPe (H)'!D114+(1-'Results ReCiPe (H) - HHD ship'!$AC$129)*'Results - raw data ReCiPe (H)'!D115)</f>
        <v>5.7798977536212666E-2</v>
      </c>
      <c r="D162" s="6">
        <f>150000*($AC$129*'Results - raw data ReCiPe (H)'!E114+(1-'Results ReCiPe (H) - HHD ship'!$AC$129)*'Results - raw data ReCiPe (H)'!E115)</f>
        <v>5.7644803515677287E-2</v>
      </c>
      <c r="E162" s="6">
        <f>150000*($AC$129*'Results - raw data ReCiPe (H)'!F114+(1-'Results ReCiPe (H) - HHD ship'!$AC$129)*'Results - raw data ReCiPe (H)'!F115)</f>
        <v>5.7445538039350992E-2</v>
      </c>
      <c r="F162" s="6">
        <f>150000*($AC$129*'Results - raw data ReCiPe (H)'!G114+(1-'Results ReCiPe (H) - HHD ship'!$AC$129)*'Results - raw data ReCiPe (H)'!G115)</f>
        <v>5.7285114550924089E-2</v>
      </c>
      <c r="G162" s="6">
        <f>150000*($AC$129*'Results - raw data ReCiPe (H)'!H114+(1-'Results ReCiPe (H) - HHD ship'!$AC$129)*'Results - raw data ReCiPe (H)'!H115)</f>
        <v>5.7124135301795192E-2</v>
      </c>
      <c r="H162" s="6">
        <f>150000*($AC$129*'Results - raw data ReCiPe (H)'!I114+(1-'Results ReCiPe (H) - HHD ship'!$AC$129)*'Results - raw data ReCiPe (H)'!I115)</f>
        <v>6.0836013267578565E-2</v>
      </c>
      <c r="I162" s="6">
        <f>150000*($AC$129*'Results - raw data ReCiPe (H)'!J114+(1-'Results ReCiPe (H) - HHD ship'!$AC$129)*'Results - raw data ReCiPe (H)'!J115)</f>
        <v>6.4541273697726845E-2</v>
      </c>
      <c r="J162" s="6">
        <f>150000*($AC$129*'Results - raw data ReCiPe (H)'!K114+(1-'Results ReCiPe (H) - HHD ship'!$AC$129)*'Results - raw data ReCiPe (H)'!K115)</f>
        <v>6.8217901008272713E-2</v>
      </c>
      <c r="K162" s="6">
        <f>150000*($AC$129*'Results - raw data ReCiPe (H)'!L114+(1-'Results ReCiPe (H) - HHD ship'!$AC$129)*'Results - raw data ReCiPe (H)'!L115)</f>
        <v>7.1912644095711659E-2</v>
      </c>
      <c r="L162" s="6">
        <f>150000*($AC$129*'Results - raw data ReCiPe (H)'!M114+(1-'Results ReCiPe (H) - HHD ship'!$AC$129)*'Results - raw data ReCiPe (H)'!M115)</f>
        <v>7.5598510248962941E-2</v>
      </c>
      <c r="M162" s="6">
        <f>150000*($AC$129*'Results - raw data ReCiPe (H)'!N114+(1-'Results ReCiPe (H) - HHD ship'!$AC$129)*'Results - raw data ReCiPe (H)'!N115)</f>
        <v>8.2719825770981373E-2</v>
      </c>
      <c r="N162" s="6">
        <f>150000*($AC$129*'Results - raw data ReCiPe (H)'!O114+(1-'Results ReCiPe (H) - HHD ship'!$AC$129)*'Results - raw data ReCiPe (H)'!O115)</f>
        <v>8.9850755269602303E-2</v>
      </c>
      <c r="O162" s="6">
        <f>150000*($AC$129*'Results - raw data ReCiPe (H)'!P114+(1-'Results ReCiPe (H) - HHD ship'!$AC$129)*'Results - raw data ReCiPe (H)'!P115)</f>
        <v>9.6988260701402235E-2</v>
      </c>
      <c r="P162" s="6">
        <f>150000*($AC$129*'Results - raw data ReCiPe (H)'!Q114+(1-'Results ReCiPe (H) - HHD ship'!$AC$129)*'Results - raw data ReCiPe (H)'!Q115)</f>
        <v>0.10413922346205783</v>
      </c>
      <c r="Q162" s="6">
        <f>150000*($AC$129*'Results - raw data ReCiPe (H)'!R114+(1-'Results ReCiPe (H) - HHD ship'!$AC$129)*'Results - raw data ReCiPe (H)'!R115)</f>
        <v>0.11130032917601163</v>
      </c>
      <c r="R162" s="6">
        <f>150000*($AC$129*'Results - raw data ReCiPe (H)'!S114+(1-'Results ReCiPe (H) - HHD ship'!$AC$129)*'Results - raw data ReCiPe (H)'!S115)</f>
        <v>0.11187728399346103</v>
      </c>
      <c r="S162" s="6">
        <f>150000*($AC$129*'Results - raw data ReCiPe (H)'!T114+(1-'Results ReCiPe (H) - HHD ship'!$AC$129)*'Results - raw data ReCiPe (H)'!T115)</f>
        <v>0.11244936864424317</v>
      </c>
      <c r="T162" s="6">
        <f>150000*($AC$129*'Results - raw data ReCiPe (H)'!U114+(1-'Results ReCiPe (H) - HHD ship'!$AC$129)*'Results - raw data ReCiPe (H)'!U115)</f>
        <v>0.11301361816694319</v>
      </c>
      <c r="U162" s="6">
        <f>150000*($AC$129*'Results - raw data ReCiPe (H)'!V114+(1-'Results ReCiPe (H) - HHD ship'!$AC$129)*'Results - raw data ReCiPe (H)'!V115)</f>
        <v>0.11357874206618396</v>
      </c>
      <c r="V162" s="6">
        <f>150000*($AC$129*'Results - raw data ReCiPe (H)'!W114+(1-'Results ReCiPe (H) - HHD ship'!$AC$129)*'Results - raw data ReCiPe (H)'!W115)</f>
        <v>0.11414054110586323</v>
      </c>
      <c r="W162" s="6">
        <f>150000*($AC$129*'Results - raw data ReCiPe (H)'!X114+(1-'Results ReCiPe (H) - HHD ship'!$AC$129)*'Results - raw data ReCiPe (H)'!X115)</f>
        <v>0.11244027225449538</v>
      </c>
      <c r="X162" s="6">
        <f>150000*($AC$129*'Results - raw data ReCiPe (H)'!Y114+(1-'Results ReCiPe (H) - HHD ship'!$AC$129)*'Results - raw data ReCiPe (H)'!Y115)</f>
        <v>0.10929333969881704</v>
      </c>
      <c r="Y162" s="6">
        <f>150000*($AC$129*'Results - raw data ReCiPe (H)'!Z114+(1-'Results ReCiPe (H) - HHD ship'!$AC$129)*'Results - raw data ReCiPe (H)'!Z115)</f>
        <v>0.10613581421870298</v>
      </c>
      <c r="Z162" s="6">
        <f>150000*($AC$129*'Results - raw data ReCiPe (H)'!AA114+(1-'Results ReCiPe (H) - HHD ship'!$AC$129)*'Results - raw data ReCiPe (H)'!AA115)</f>
        <v>0.10296758896790391</v>
      </c>
    </row>
    <row r="163" spans="1:53" outlineLevel="1" x14ac:dyDescent="0.35">
      <c r="A163" s="23" t="s">
        <v>125</v>
      </c>
      <c r="B163" s="17">
        <f t="shared" ref="B163:Z163" si="19">SUM(B132:B162)</f>
        <v>0.24688806209049055</v>
      </c>
      <c r="C163" s="17">
        <f t="shared" si="19"/>
        <v>6.9582664169266187E-2</v>
      </c>
      <c r="D163" s="17">
        <f t="shared" si="19"/>
        <v>6.9402401470144121E-2</v>
      </c>
      <c r="E163" s="17">
        <f t="shared" si="19"/>
        <v>6.9164802763323624E-2</v>
      </c>
      <c r="F163" s="17">
        <f t="shared" si="19"/>
        <v>6.8977702937596114E-2</v>
      </c>
      <c r="G163" s="17">
        <f t="shared" si="19"/>
        <v>6.8790042587143455E-2</v>
      </c>
      <c r="H163" s="17">
        <f t="shared" si="19"/>
        <v>7.2866449253542326E-2</v>
      </c>
      <c r="I163" s="17">
        <f t="shared" si="19"/>
        <v>7.6934521206619713E-2</v>
      </c>
      <c r="J163" s="17">
        <f t="shared" si="19"/>
        <v>8.0966292763268333E-2</v>
      </c>
      <c r="K163" s="17">
        <f t="shared" si="19"/>
        <v>8.5020745994806829E-2</v>
      </c>
      <c r="L163" s="17">
        <f t="shared" si="19"/>
        <v>8.906439940981857E-2</v>
      </c>
      <c r="M163" s="17">
        <f t="shared" si="19"/>
        <v>9.688453523632598E-2</v>
      </c>
      <c r="N163" s="17">
        <f t="shared" si="19"/>
        <v>0.10471362537964914</v>
      </c>
      <c r="O163" s="17">
        <f t="shared" si="19"/>
        <v>0.11254759069695121</v>
      </c>
      <c r="P163" s="17">
        <f t="shared" si="19"/>
        <v>0.12039555293771156</v>
      </c>
      <c r="Q163" s="17">
        <f t="shared" si="19"/>
        <v>0.12825304907461121</v>
      </c>
      <c r="R163" s="17">
        <f t="shared" si="19"/>
        <v>0.12886857425133794</v>
      </c>
      <c r="S163" s="17">
        <f t="shared" si="19"/>
        <v>0.12947856331811802</v>
      </c>
      <c r="T163" s="17">
        <f t="shared" si="19"/>
        <v>0.1300787829568571</v>
      </c>
      <c r="U163" s="17">
        <f t="shared" si="19"/>
        <v>0.13068075086411043</v>
      </c>
      <c r="V163" s="17">
        <f t="shared" si="19"/>
        <v>0.13127887261254576</v>
      </c>
      <c r="W163" s="17">
        <f t="shared" si="19"/>
        <v>0.1294110099575701</v>
      </c>
      <c r="X163" s="17">
        <f t="shared" si="19"/>
        <v>0.12592496485909227</v>
      </c>
      <c r="Y163" s="17">
        <f t="shared" si="19"/>
        <v>0.12242841421073238</v>
      </c>
      <c r="Z163" s="17">
        <f t="shared" si="19"/>
        <v>0.12030458136592184</v>
      </c>
    </row>
    <row r="164" spans="1:53" outlineLevel="1" x14ac:dyDescent="0.35"/>
    <row r="165" spans="1:53" s="18" customFormat="1" ht="21" x14ac:dyDescent="0.5">
      <c r="A165" s="18" t="s">
        <v>73</v>
      </c>
    </row>
    <row r="166" spans="1:53" s="20" customFormat="1" outlineLevel="1" x14ac:dyDescent="0.35">
      <c r="A166" s="19" t="s">
        <v>766</v>
      </c>
    </row>
    <row r="167" spans="1:53" s="16" customFormat="1" outlineLevel="1" x14ac:dyDescent="0.35">
      <c r="A167" s="21"/>
      <c r="AB167" s="16" t="s">
        <v>47</v>
      </c>
      <c r="AC167" s="16">
        <v>9.2800000000000005E-7</v>
      </c>
      <c r="AD167" s="16" t="s">
        <v>48</v>
      </c>
      <c r="AE167" s="15" t="s">
        <v>714</v>
      </c>
    </row>
    <row r="168" spans="1:53" s="16" customFormat="1" outlineLevel="1" x14ac:dyDescent="0.35">
      <c r="A168" s="22" t="s">
        <v>564</v>
      </c>
      <c r="AC168" s="16">
        <f>AC167*1000</f>
        <v>9.2800000000000001E-4</v>
      </c>
      <c r="AD168" s="16" t="s">
        <v>126</v>
      </c>
    </row>
    <row r="169" spans="1:53" s="16" customFormat="1" outlineLevel="1" x14ac:dyDescent="0.35">
      <c r="A169" s="22"/>
      <c r="AB169" s="16" t="s">
        <v>127</v>
      </c>
      <c r="AC169" s="16">
        <v>100</v>
      </c>
      <c r="AD169" s="16" t="s">
        <v>128</v>
      </c>
    </row>
    <row r="170" spans="1:53" s="16" customFormat="1" outlineLevel="1" x14ac:dyDescent="0.35">
      <c r="A170" s="230" t="s">
        <v>768</v>
      </c>
      <c r="AB170" s="16" t="s">
        <v>20</v>
      </c>
      <c r="AC170" s="16">
        <v>0.23</v>
      </c>
      <c r="AD170" s="16" t="s">
        <v>715</v>
      </c>
    </row>
    <row r="171" spans="1:53" s="16" customFormat="1" outlineLevel="1" x14ac:dyDescent="0.35">
      <c r="A171" s="22"/>
      <c r="AB171" s="16" t="s">
        <v>129</v>
      </c>
      <c r="AC171" s="16">
        <v>25</v>
      </c>
      <c r="AD171" s="16" t="s">
        <v>130</v>
      </c>
    </row>
    <row r="172" spans="1:53" outlineLevel="1" x14ac:dyDescent="0.35">
      <c r="B172" s="25">
        <v>2030</v>
      </c>
      <c r="C172" s="25">
        <v>2031</v>
      </c>
      <c r="D172" s="25">
        <v>2032</v>
      </c>
      <c r="E172" s="25">
        <v>2033</v>
      </c>
      <c r="F172" s="25">
        <v>2034</v>
      </c>
      <c r="G172" s="25">
        <v>2035</v>
      </c>
      <c r="H172" s="25">
        <v>2036</v>
      </c>
      <c r="I172" s="25">
        <v>2037</v>
      </c>
      <c r="J172" s="25">
        <v>2038</v>
      </c>
      <c r="K172" s="25">
        <v>2039</v>
      </c>
      <c r="L172" s="25">
        <v>2040</v>
      </c>
      <c r="M172" s="25">
        <v>2041</v>
      </c>
      <c r="N172" s="25">
        <v>2042</v>
      </c>
      <c r="O172" s="25">
        <v>2043</v>
      </c>
      <c r="P172" s="25">
        <v>2044</v>
      </c>
      <c r="Q172" s="25">
        <v>2045</v>
      </c>
      <c r="R172" s="25">
        <v>2046</v>
      </c>
      <c r="S172" s="25">
        <v>2047</v>
      </c>
      <c r="T172" s="25">
        <v>2048</v>
      </c>
      <c r="U172" s="25">
        <v>2049</v>
      </c>
      <c r="V172" s="25">
        <v>2050</v>
      </c>
      <c r="W172" s="25">
        <v>2051</v>
      </c>
      <c r="X172" s="25">
        <v>2052</v>
      </c>
      <c r="Y172" s="25">
        <v>2053</v>
      </c>
      <c r="Z172" s="25">
        <v>2054</v>
      </c>
      <c r="AC172" s="25">
        <v>2030</v>
      </c>
      <c r="AD172" s="25">
        <v>2031</v>
      </c>
      <c r="AE172" s="25">
        <v>2032</v>
      </c>
      <c r="AF172" s="25">
        <v>2033</v>
      </c>
      <c r="AG172" s="25">
        <v>2034</v>
      </c>
      <c r="AH172" s="25">
        <v>2035</v>
      </c>
      <c r="AI172" s="25">
        <v>2036</v>
      </c>
      <c r="AJ172" s="25">
        <v>2037</v>
      </c>
      <c r="AK172" s="25">
        <v>2038</v>
      </c>
      <c r="AL172" s="25">
        <v>2039</v>
      </c>
      <c r="AM172" s="25">
        <v>2040</v>
      </c>
      <c r="AN172" s="25">
        <v>2041</v>
      </c>
      <c r="AO172" s="25">
        <v>2042</v>
      </c>
      <c r="AP172" s="25">
        <v>2043</v>
      </c>
      <c r="AQ172" s="25">
        <v>2044</v>
      </c>
      <c r="AR172" s="25">
        <v>2045</v>
      </c>
      <c r="AS172" s="25">
        <v>2046</v>
      </c>
      <c r="AT172" s="25">
        <v>2047</v>
      </c>
      <c r="AU172" s="25">
        <v>2048</v>
      </c>
      <c r="AV172" s="25">
        <v>2049</v>
      </c>
      <c r="AW172" s="25">
        <v>2050</v>
      </c>
      <c r="AX172" s="25">
        <v>2051</v>
      </c>
      <c r="AY172" s="25">
        <v>2052</v>
      </c>
      <c r="AZ172" s="25">
        <v>2053</v>
      </c>
      <c r="BA172" s="25">
        <v>2054</v>
      </c>
    </row>
    <row r="173" spans="1:53" outlineLevel="1" x14ac:dyDescent="0.35">
      <c r="A173" s="6" t="s">
        <v>21</v>
      </c>
      <c r="B173" s="6">
        <f>'Results - raw data ReCiPe (H)'!C41</f>
        <v>2.686627601232994E-3</v>
      </c>
      <c r="AB173" s="6" t="s">
        <v>117</v>
      </c>
      <c r="AC173" s="6">
        <f>SUM(B173:B184)+B186</f>
        <v>0.16006814629521346</v>
      </c>
    </row>
    <row r="174" spans="1:53" outlineLevel="1" x14ac:dyDescent="0.35">
      <c r="A174" s="6" t="s">
        <v>23</v>
      </c>
      <c r="B174" s="6">
        <f>'Results - raw data ReCiPe (H)'!C42</f>
        <v>5.7475279188938643E-3</v>
      </c>
      <c r="AB174" s="6" t="s">
        <v>118</v>
      </c>
      <c r="AC174" s="6">
        <f>B185</f>
        <v>9.5063834765982819E-3</v>
      </c>
    </row>
    <row r="175" spans="1:53" outlineLevel="1" x14ac:dyDescent="0.35">
      <c r="A175" s="6" t="s">
        <v>26</v>
      </c>
      <c r="B175" s="6">
        <f>'Results - raw data ReCiPe (H)'!C43</f>
        <v>1.2845382150857119E-2</v>
      </c>
      <c r="AB175" s="6" t="s">
        <v>119</v>
      </c>
      <c r="BA175" s="6">
        <f>SUM(Z187:Z198)</f>
        <v>1.2038817746522666E-3</v>
      </c>
    </row>
    <row r="176" spans="1:53" outlineLevel="1" x14ac:dyDescent="0.35">
      <c r="A176" s="6" t="s">
        <v>28</v>
      </c>
      <c r="B176" s="6">
        <f>'Results - raw data ReCiPe (H)'!C44</f>
        <v>1.6265845410914071E-2</v>
      </c>
      <c r="AB176" s="6" t="s">
        <v>120</v>
      </c>
      <c r="BA176" s="6">
        <f>Z199</f>
        <v>3.5227143847144076E-5</v>
      </c>
    </row>
    <row r="177" spans="1:53" outlineLevel="1" x14ac:dyDescent="0.35">
      <c r="A177" s="6" t="s">
        <v>29</v>
      </c>
      <c r="B177" s="6">
        <f>'Results - raw data ReCiPe (H)'!C45</f>
        <v>1.267220629476748E-2</v>
      </c>
      <c r="AB177" s="6" t="s">
        <v>121</v>
      </c>
      <c r="AC177" s="6">
        <f>B200</f>
        <v>2.2868444478900299E-3</v>
      </c>
      <c r="AF177" s="6">
        <f>E200</f>
        <v>2.2242630345716192E-3</v>
      </c>
      <c r="AI177" s="6">
        <f>H200</f>
        <v>2.1636441841529248E-3</v>
      </c>
      <c r="AL177" s="6">
        <f>K200</f>
        <v>2.0913940629818349E-3</v>
      </c>
      <c r="AO177" s="6">
        <f>N200</f>
        <v>2.0111593851075741E-3</v>
      </c>
      <c r="AR177" s="6">
        <f>Q200</f>
        <v>1.925325558619934E-3</v>
      </c>
      <c r="AU177" s="6">
        <f>T200</f>
        <v>1.868103373074346E-3</v>
      </c>
      <c r="AX177" s="6">
        <f>W200</f>
        <v>1.839484702599319E-3</v>
      </c>
      <c r="BA177" s="6">
        <f>Z200</f>
        <v>1.8308470230828889E-3</v>
      </c>
    </row>
    <row r="178" spans="1:53" outlineLevel="1" x14ac:dyDescent="0.35">
      <c r="A178" s="6" t="s">
        <v>31</v>
      </c>
      <c r="B178" s="6">
        <f>'Results - raw data ReCiPe (H)'!C46</f>
        <v>8.1155683691255427E-3</v>
      </c>
      <c r="AB178" s="6" t="s">
        <v>122</v>
      </c>
      <c r="AC178" s="6">
        <f>B203+B202</f>
        <v>4.9474976847897568E-2</v>
      </c>
      <c r="AD178" s="6">
        <f t="shared" ref="AD178:AV178" si="20">C203+C202</f>
        <v>4.6522550306297726E-2</v>
      </c>
      <c r="AE178" s="6">
        <f t="shared" si="20"/>
        <v>4.355624793890709E-2</v>
      </c>
      <c r="AF178" s="6">
        <f t="shared" si="20"/>
        <v>4.0541541366208723E-2</v>
      </c>
      <c r="AG178" s="6">
        <f t="shared" si="20"/>
        <v>3.7565066504135186E-2</v>
      </c>
      <c r="AH178" s="6">
        <f t="shared" si="20"/>
        <v>3.4585867561235863E-2</v>
      </c>
      <c r="AI178" s="6">
        <f t="shared" si="20"/>
        <v>3.2838818395999891E-2</v>
      </c>
      <c r="AJ178" s="6">
        <f t="shared" si="20"/>
        <v>3.1098187750874622E-2</v>
      </c>
      <c r="AK178" s="6">
        <f t="shared" si="20"/>
        <v>2.933208111837475E-2</v>
      </c>
      <c r="AL178" s="6">
        <f t="shared" si="20"/>
        <v>2.7594024536413905E-2</v>
      </c>
      <c r="AM178" s="6">
        <f t="shared" si="20"/>
        <v>2.5855349323427739E-2</v>
      </c>
      <c r="AN178" s="6">
        <f t="shared" si="20"/>
        <v>2.4734990290458083E-2</v>
      </c>
      <c r="AO178" s="6">
        <f t="shared" si="20"/>
        <v>2.3610300650731924E-2</v>
      </c>
      <c r="AP178" s="6">
        <f t="shared" si="20"/>
        <v>2.2473061940846511E-2</v>
      </c>
      <c r="AQ178" s="6">
        <f t="shared" si="20"/>
        <v>2.1336924852192057E-2</v>
      </c>
      <c r="AR178" s="6">
        <f t="shared" si="20"/>
        <v>2.0195671173589842E-2</v>
      </c>
      <c r="AS178" s="6">
        <f t="shared" si="20"/>
        <v>1.9789530140639756E-2</v>
      </c>
      <c r="AT178" s="6">
        <f t="shared" si="20"/>
        <v>1.9381026348446195E-2</v>
      </c>
      <c r="AU178" s="6">
        <f t="shared" si="20"/>
        <v>1.8964561507911409E-2</v>
      </c>
      <c r="AV178" s="6">
        <f t="shared" si="20"/>
        <v>1.8553924321067339E-2</v>
      </c>
      <c r="AW178" s="6">
        <f>V203</f>
        <v>1.8142723046211284E-2</v>
      </c>
      <c r="AX178" s="6">
        <f>W203</f>
        <v>1.8301014964826487E-2</v>
      </c>
      <c r="AY178" s="6">
        <f>X203</f>
        <v>1.8122457232622846E-2</v>
      </c>
      <c r="AZ178" s="6">
        <f>Y203</f>
        <v>1.7943406836689314E-2</v>
      </c>
      <c r="BA178" s="6">
        <f>Z203</f>
        <v>1.7763818435932222E-2</v>
      </c>
    </row>
    <row r="179" spans="1:53" outlineLevel="1" x14ac:dyDescent="0.35">
      <c r="A179" s="6" t="s">
        <v>34</v>
      </c>
      <c r="B179" s="6">
        <f>'Results - raw data ReCiPe (H)'!C47</f>
        <v>6.3101752981999824E-3</v>
      </c>
      <c r="AB179" s="6" t="s">
        <v>123</v>
      </c>
      <c r="AC179" s="6">
        <f t="shared" ref="AC179:BA179" si="21">B201</f>
        <v>8.5933149816682687E-3</v>
      </c>
      <c r="AD179" s="6">
        <f t="shared" si="21"/>
        <v>8.2908592660289031E-3</v>
      </c>
      <c r="AE179" s="6">
        <f t="shared" si="21"/>
        <v>7.9883594686031723E-3</v>
      </c>
      <c r="AF179" s="6">
        <f t="shared" si="21"/>
        <v>7.6824428526027699E-3</v>
      </c>
      <c r="AG179" s="6">
        <f t="shared" si="21"/>
        <v>7.3815896913372861E-3</v>
      </c>
      <c r="AH179" s="6">
        <f t="shared" si="21"/>
        <v>7.0818035588348371E-3</v>
      </c>
      <c r="AI179" s="6">
        <f t="shared" si="21"/>
        <v>6.9065674968874242E-3</v>
      </c>
      <c r="AJ179" s="6">
        <f t="shared" si="21"/>
        <v>6.7320552022219326E-3</v>
      </c>
      <c r="AK179" s="6">
        <f t="shared" si="21"/>
        <v>6.5552231612474613E-3</v>
      </c>
      <c r="AL179" s="6">
        <f t="shared" si="21"/>
        <v>6.3814500845837899E-3</v>
      </c>
      <c r="AM179" s="6">
        <f t="shared" si="21"/>
        <v>6.2079211584379103E-3</v>
      </c>
      <c r="AN179" s="6">
        <f t="shared" si="21"/>
        <v>6.0954708685004551E-3</v>
      </c>
      <c r="AO179" s="6">
        <f t="shared" si="21"/>
        <v>5.9825885760334385E-3</v>
      </c>
      <c r="AP179" s="6">
        <f t="shared" si="21"/>
        <v>5.8684657507291106E-3</v>
      </c>
      <c r="AQ179" s="6">
        <f t="shared" si="21"/>
        <v>5.754469652475792E-3</v>
      </c>
      <c r="AR179" s="6">
        <f t="shared" si="21"/>
        <v>5.6399811118439044E-3</v>
      </c>
      <c r="AS179" s="6">
        <f t="shared" si="21"/>
        <v>5.5980827164439223E-3</v>
      </c>
      <c r="AT179" s="6">
        <f t="shared" si="21"/>
        <v>5.5558844982483112E-3</v>
      </c>
      <c r="AU179" s="6">
        <f t="shared" si="21"/>
        <v>5.5128289027284328E-3</v>
      </c>
      <c r="AV179" s="6">
        <f t="shared" si="21"/>
        <v>5.4702708622407937E-3</v>
      </c>
      <c r="AW179" s="6">
        <f t="shared" si="21"/>
        <v>5.427559757803185E-3</v>
      </c>
      <c r="AX179" s="6">
        <f t="shared" si="21"/>
        <v>5.4501119918836331E-3</v>
      </c>
      <c r="AY179" s="6">
        <f t="shared" si="21"/>
        <v>5.4320501046926078E-3</v>
      </c>
      <c r="AZ179" s="6">
        <f t="shared" si="21"/>
        <v>5.4139935919568661E-3</v>
      </c>
      <c r="BA179" s="6">
        <f t="shared" si="21"/>
        <v>5.395935830577011E-3</v>
      </c>
    </row>
    <row r="180" spans="1:53" outlineLevel="1" x14ac:dyDescent="0.35">
      <c r="A180" s="6" t="s">
        <v>36</v>
      </c>
      <c r="B180" s="6">
        <f>'Results - raw data ReCiPe (H)'!C48</f>
        <v>3.6673559301182651E-3</v>
      </c>
      <c r="AB180" s="6" t="s">
        <v>124</v>
      </c>
      <c r="AC180" s="6">
        <f>-$AC$7*$AC$6</f>
        <v>-9.2799999999999994E-2</v>
      </c>
      <c r="AD180" s="6">
        <f t="shared" ref="AD180:BA180" si="22">-$AC$7*$AC$6</f>
        <v>-9.2799999999999994E-2</v>
      </c>
      <c r="AE180" s="6">
        <f t="shared" si="22"/>
        <v>-9.2799999999999994E-2</v>
      </c>
      <c r="AF180" s="6">
        <f t="shared" si="22"/>
        <v>-9.2799999999999994E-2</v>
      </c>
      <c r="AG180" s="6">
        <f t="shared" si="22"/>
        <v>-9.2799999999999994E-2</v>
      </c>
      <c r="AH180" s="6">
        <f t="shared" si="22"/>
        <v>-9.2799999999999994E-2</v>
      </c>
      <c r="AI180" s="6">
        <f t="shared" si="22"/>
        <v>-9.2799999999999994E-2</v>
      </c>
      <c r="AJ180" s="6">
        <f t="shared" si="22"/>
        <v>-9.2799999999999994E-2</v>
      </c>
      <c r="AK180" s="6">
        <f t="shared" si="22"/>
        <v>-9.2799999999999994E-2</v>
      </c>
      <c r="AL180" s="6">
        <f t="shared" si="22"/>
        <v>-9.2799999999999994E-2</v>
      </c>
      <c r="AM180" s="6">
        <f t="shared" si="22"/>
        <v>-9.2799999999999994E-2</v>
      </c>
      <c r="AN180" s="6">
        <f t="shared" si="22"/>
        <v>-9.2799999999999994E-2</v>
      </c>
      <c r="AO180" s="6">
        <f t="shared" si="22"/>
        <v>-9.2799999999999994E-2</v>
      </c>
      <c r="AP180" s="6">
        <f t="shared" si="22"/>
        <v>-9.2799999999999994E-2</v>
      </c>
      <c r="AQ180" s="6">
        <f t="shared" si="22"/>
        <v>-9.2799999999999994E-2</v>
      </c>
      <c r="AR180" s="6">
        <f t="shared" si="22"/>
        <v>-9.2799999999999994E-2</v>
      </c>
      <c r="AS180" s="6">
        <f t="shared" si="22"/>
        <v>-9.2799999999999994E-2</v>
      </c>
      <c r="AT180" s="6">
        <f t="shared" si="22"/>
        <v>-9.2799999999999994E-2</v>
      </c>
      <c r="AU180" s="6">
        <f t="shared" si="22"/>
        <v>-9.2799999999999994E-2</v>
      </c>
      <c r="AV180" s="6">
        <f t="shared" si="22"/>
        <v>-9.2799999999999994E-2</v>
      </c>
      <c r="AW180" s="6">
        <f t="shared" si="22"/>
        <v>-9.2799999999999994E-2</v>
      </c>
      <c r="AX180" s="6">
        <f t="shared" si="22"/>
        <v>-9.2799999999999994E-2</v>
      </c>
      <c r="AY180" s="6">
        <f t="shared" si="22"/>
        <v>-9.2799999999999994E-2</v>
      </c>
      <c r="AZ180" s="6">
        <f t="shared" si="22"/>
        <v>-9.2799999999999994E-2</v>
      </c>
      <c r="BA180" s="6">
        <f t="shared" si="22"/>
        <v>-9.2799999999999994E-2</v>
      </c>
    </row>
    <row r="181" spans="1:53" outlineLevel="1" x14ac:dyDescent="0.35">
      <c r="A181" s="6" t="s">
        <v>38</v>
      </c>
      <c r="B181" s="6">
        <f>'Results - raw data ReCiPe (H)'!C49</f>
        <v>2.0251561932952661E-2</v>
      </c>
      <c r="AB181" s="23" t="s">
        <v>125</v>
      </c>
      <c r="AC181" s="17">
        <f t="shared" ref="AC181:BA181" si="23">SUM(AC173:AC180)</f>
        <v>0.13712966604926763</v>
      </c>
      <c r="AD181" s="17">
        <f t="shared" si="23"/>
        <v>-3.7986590427673363E-2</v>
      </c>
      <c r="AE181" s="17">
        <f t="shared" si="23"/>
        <v>-4.1255392592489733E-2</v>
      </c>
      <c r="AF181" s="17">
        <f t="shared" si="23"/>
        <v>-4.2351752746616879E-2</v>
      </c>
      <c r="AG181" s="17">
        <f t="shared" si="23"/>
        <v>-4.7853343804527521E-2</v>
      </c>
      <c r="AH181" s="17">
        <f t="shared" si="23"/>
        <v>-5.1132328879929294E-2</v>
      </c>
      <c r="AI181" s="17">
        <f t="shared" si="23"/>
        <v>-5.0890969922959758E-2</v>
      </c>
      <c r="AJ181" s="17">
        <f t="shared" si="23"/>
        <v>-5.4969757046903441E-2</v>
      </c>
      <c r="AK181" s="17">
        <f t="shared" si="23"/>
        <v>-5.6912695720377784E-2</v>
      </c>
      <c r="AL181" s="17">
        <f t="shared" si="23"/>
        <v>-5.6733131316020466E-2</v>
      </c>
      <c r="AM181" s="17">
        <f t="shared" si="23"/>
        <v>-6.0736729518134344E-2</v>
      </c>
      <c r="AN181" s="17">
        <f t="shared" si="23"/>
        <v>-6.1969538841041456E-2</v>
      </c>
      <c r="AO181" s="17">
        <f t="shared" si="23"/>
        <v>-6.1195951388127057E-2</v>
      </c>
      <c r="AP181" s="17">
        <f t="shared" si="23"/>
        <v>-6.4458472308424372E-2</v>
      </c>
      <c r="AQ181" s="17">
        <f t="shared" si="23"/>
        <v>-6.570860549533214E-2</v>
      </c>
      <c r="AR181" s="17">
        <f t="shared" si="23"/>
        <v>-6.5039022155946313E-2</v>
      </c>
      <c r="AS181" s="17">
        <f t="shared" si="23"/>
        <v>-6.7412387142916308E-2</v>
      </c>
      <c r="AT181" s="17">
        <f t="shared" si="23"/>
        <v>-6.7863089153305495E-2</v>
      </c>
      <c r="AU181" s="17">
        <f t="shared" si="23"/>
        <v>-6.6454506216285805E-2</v>
      </c>
      <c r="AV181" s="17">
        <f t="shared" si="23"/>
        <v>-6.8775804816691863E-2</v>
      </c>
      <c r="AW181" s="17">
        <f t="shared" si="23"/>
        <v>-6.922971719598553E-2</v>
      </c>
      <c r="AX181" s="17">
        <f t="shared" si="23"/>
        <v>-6.7209388340690554E-2</v>
      </c>
      <c r="AY181" s="17">
        <f t="shared" si="23"/>
        <v>-6.9245492662684538E-2</v>
      </c>
      <c r="AZ181" s="17">
        <f t="shared" si="23"/>
        <v>-6.9442599571353819E-2</v>
      </c>
      <c r="BA181" s="17">
        <f t="shared" si="23"/>
        <v>-6.657028979190846E-2</v>
      </c>
    </row>
    <row r="182" spans="1:53" outlineLevel="1" x14ac:dyDescent="0.35">
      <c r="A182" s="6" t="s">
        <v>39</v>
      </c>
      <c r="B182" s="6">
        <f>'Results - raw data ReCiPe (H)'!C50</f>
        <v>5.5780352999011518E-2</v>
      </c>
    </row>
    <row r="183" spans="1:53" outlineLevel="1" x14ac:dyDescent="0.35">
      <c r="A183" s="6" t="s">
        <v>41</v>
      </c>
      <c r="B183" s="6">
        <f>'Results - raw data ReCiPe (H)'!C51</f>
        <v>2.8664307292717168E-4</v>
      </c>
    </row>
    <row r="184" spans="1:53" outlineLevel="1" x14ac:dyDescent="0.35">
      <c r="A184" s="6" t="s">
        <v>43</v>
      </c>
      <c r="B184" s="6">
        <f>'Results - raw data ReCiPe (H)'!C52</f>
        <v>9.0979496556399054E-4</v>
      </c>
      <c r="AB184" s="282"/>
      <c r="AC184" s="282"/>
      <c r="AD184" s="282"/>
      <c r="AE184" s="282"/>
      <c r="AF184" s="282"/>
      <c r="AG184" s="282"/>
      <c r="AH184" s="282"/>
      <c r="AI184" s="282"/>
      <c r="AJ184" s="282"/>
      <c r="AK184" s="282"/>
      <c r="AL184" s="282"/>
      <c r="AM184" s="282"/>
      <c r="AN184" s="282"/>
      <c r="AO184" s="282"/>
      <c r="AP184" s="282"/>
      <c r="AQ184" s="282"/>
      <c r="AR184" s="282"/>
      <c r="AS184" s="282"/>
      <c r="AT184" s="282"/>
      <c r="AU184" s="282"/>
      <c r="AV184" s="282"/>
      <c r="AW184" s="282"/>
      <c r="AX184" s="282"/>
      <c r="AY184" s="282"/>
      <c r="AZ184" s="282"/>
      <c r="BA184" s="282"/>
    </row>
    <row r="185" spans="1:53" outlineLevel="1" x14ac:dyDescent="0.35">
      <c r="A185" s="6" t="s">
        <v>44</v>
      </c>
      <c r="B185" s="6">
        <f>'Results - raw data ReCiPe (H)'!C53*AC169*AC171</f>
        <v>9.5063834765982819E-3</v>
      </c>
      <c r="AB185" s="282"/>
      <c r="AC185" s="282"/>
      <c r="AD185" s="282"/>
      <c r="AE185" s="282"/>
      <c r="AF185" s="282"/>
      <c r="AG185" s="282"/>
      <c r="AH185" s="282"/>
      <c r="AI185" s="282"/>
      <c r="AJ185" s="282"/>
      <c r="AK185" s="282"/>
      <c r="AL185" s="282"/>
      <c r="AM185" s="282"/>
      <c r="AN185" s="282"/>
      <c r="AO185" s="282"/>
      <c r="AP185" s="282"/>
      <c r="AQ185" s="282"/>
      <c r="AR185" s="282"/>
      <c r="AS185" s="282"/>
      <c r="AT185" s="282"/>
      <c r="AU185" s="282"/>
      <c r="AV185" s="282"/>
      <c r="AW185" s="282"/>
      <c r="AX185" s="282"/>
      <c r="AY185" s="282"/>
      <c r="AZ185" s="282"/>
      <c r="BA185" s="282"/>
    </row>
    <row r="186" spans="1:53" outlineLevel="1" x14ac:dyDescent="0.35">
      <c r="A186" s="6" t="s">
        <v>757</v>
      </c>
      <c r="B186" s="6">
        <f>'Results - raw data ReCiPe (H)'!C54*AC169*AC171</f>
        <v>1.4529104350648813E-2</v>
      </c>
      <c r="AB186" s="282"/>
      <c r="AC186" s="282"/>
      <c r="AD186" s="282"/>
      <c r="AE186" s="282"/>
      <c r="AF186" s="282"/>
      <c r="AG186" s="282"/>
      <c r="AH186" s="282"/>
      <c r="AI186" s="282"/>
      <c r="AJ186" s="282"/>
      <c r="AK186" s="282"/>
      <c r="AL186" s="282"/>
      <c r="AM186" s="282"/>
      <c r="AN186" s="282"/>
      <c r="AO186" s="282"/>
      <c r="AP186" s="282"/>
      <c r="AQ186" s="282"/>
      <c r="AR186" s="282"/>
      <c r="AS186" s="282"/>
      <c r="AT186" s="282"/>
      <c r="AU186" s="282"/>
      <c r="AV186" s="282"/>
      <c r="AW186" s="282"/>
      <c r="AX186" s="282"/>
      <c r="AY186" s="282"/>
      <c r="AZ186" s="282"/>
      <c r="BA186" s="282"/>
    </row>
    <row r="187" spans="1:53" outlineLevel="1" x14ac:dyDescent="0.35">
      <c r="A187" s="6" t="s">
        <v>22</v>
      </c>
      <c r="Z187" s="6">
        <f>'Results - raw data ReCiPe (H)'!AA55</f>
        <v>2.4762670432088011E-5</v>
      </c>
      <c r="AB187" s="282"/>
      <c r="AC187" s="282"/>
      <c r="AD187" s="282"/>
      <c r="AE187" s="282"/>
      <c r="AF187" s="282"/>
      <c r="AG187" s="282"/>
      <c r="AH187" s="282"/>
      <c r="AI187" s="282"/>
      <c r="AJ187" s="282"/>
      <c r="AK187" s="282"/>
      <c r="AL187" s="282"/>
      <c r="AM187" s="282"/>
      <c r="AN187" s="282"/>
      <c r="AO187" s="282"/>
      <c r="AP187" s="282"/>
      <c r="AQ187" s="282"/>
      <c r="AR187" s="282"/>
      <c r="AS187" s="282"/>
      <c r="AT187" s="282"/>
      <c r="AU187" s="282"/>
      <c r="AV187" s="282"/>
      <c r="AW187" s="282"/>
      <c r="AX187" s="282"/>
      <c r="AY187" s="282"/>
      <c r="AZ187" s="282"/>
      <c r="BA187" s="282"/>
    </row>
    <row r="188" spans="1:53" outlineLevel="1" x14ac:dyDescent="0.35">
      <c r="A188" s="6" t="s">
        <v>24</v>
      </c>
      <c r="Z188" s="6">
        <f>'Results - raw data ReCiPe (H)'!AA56</f>
        <v>1.176118094708814E-5</v>
      </c>
      <c r="AB188" s="282"/>
      <c r="AC188" s="282"/>
      <c r="AD188" s="282"/>
      <c r="AE188" s="282"/>
      <c r="AF188" s="282"/>
      <c r="AG188" s="282"/>
      <c r="AH188" s="282"/>
      <c r="AI188" s="282"/>
      <c r="AJ188" s="282"/>
      <c r="AK188" s="282"/>
      <c r="AL188" s="282"/>
      <c r="AM188" s="282"/>
      <c r="AN188" s="282"/>
      <c r="AO188" s="282"/>
      <c r="AP188" s="282"/>
      <c r="AQ188" s="282"/>
      <c r="AR188" s="282"/>
      <c r="AS188" s="282"/>
      <c r="AT188" s="282"/>
      <c r="AU188" s="282"/>
      <c r="AV188" s="282"/>
      <c r="AW188" s="282"/>
      <c r="AX188" s="282"/>
      <c r="AY188" s="282"/>
      <c r="AZ188" s="282"/>
      <c r="BA188" s="282"/>
    </row>
    <row r="189" spans="1:53" outlineLevel="1" x14ac:dyDescent="0.35">
      <c r="A189" s="6" t="s">
        <v>25</v>
      </c>
      <c r="Z189" s="6">
        <f>'Results - raw data ReCiPe (H)'!AA57</f>
        <v>3.9046886024631158E-5</v>
      </c>
      <c r="AB189" s="282"/>
      <c r="AC189" s="282"/>
      <c r="AD189" s="282"/>
      <c r="AE189" s="282"/>
      <c r="AF189" s="282"/>
      <c r="AG189" s="282"/>
      <c r="AH189" s="282"/>
      <c r="AI189" s="282"/>
      <c r="AJ189" s="282"/>
      <c r="AK189" s="282"/>
      <c r="AL189" s="282"/>
      <c r="AM189" s="282"/>
      <c r="AN189" s="282"/>
      <c r="AO189" s="282"/>
      <c r="AP189" s="282"/>
      <c r="AQ189" s="282"/>
      <c r="AR189" s="282"/>
      <c r="AS189" s="282"/>
      <c r="AT189" s="282"/>
      <c r="AU189" s="282"/>
      <c r="AV189" s="282"/>
      <c r="AW189" s="282"/>
      <c r="AX189" s="282"/>
      <c r="AY189" s="282"/>
      <c r="AZ189" s="282"/>
      <c r="BA189" s="282"/>
    </row>
    <row r="190" spans="1:53" outlineLevel="1" x14ac:dyDescent="0.35">
      <c r="A190" s="6" t="s">
        <v>27</v>
      </c>
      <c r="Z190" s="6">
        <f>'Results - raw data ReCiPe (H)'!AA58</f>
        <v>1.6840076209704161E-5</v>
      </c>
      <c r="AB190" s="282"/>
      <c r="AC190" s="282"/>
      <c r="AD190" s="282"/>
      <c r="AE190" s="282"/>
      <c r="AF190" s="282"/>
      <c r="AG190" s="282"/>
      <c r="AH190" s="282"/>
      <c r="AI190" s="282"/>
      <c r="AJ190" s="282"/>
      <c r="AK190" s="282"/>
      <c r="AL190" s="282"/>
      <c r="AM190" s="282"/>
      <c r="AN190" s="282"/>
      <c r="AO190" s="282"/>
      <c r="AP190" s="282"/>
      <c r="AQ190" s="282"/>
      <c r="AR190" s="282"/>
      <c r="AS190" s="282"/>
      <c r="AT190" s="282"/>
      <c r="AU190" s="282"/>
      <c r="AV190" s="282"/>
      <c r="AW190" s="282"/>
      <c r="AX190" s="282"/>
      <c r="AY190" s="282"/>
      <c r="AZ190" s="282"/>
      <c r="BA190" s="282"/>
    </row>
    <row r="191" spans="1:53" outlineLevel="1" x14ac:dyDescent="0.35">
      <c r="A191" s="6" t="s">
        <v>30</v>
      </c>
      <c r="Z191" s="6">
        <f>'Results - raw data ReCiPe (H)'!AA59</f>
        <v>3.2639269159817092E-5</v>
      </c>
      <c r="AB191" s="282"/>
      <c r="AC191" s="282"/>
      <c r="AD191" s="282"/>
      <c r="AE191" s="282"/>
      <c r="AF191" s="282"/>
      <c r="AG191" s="282"/>
      <c r="AH191" s="282"/>
      <c r="AI191" s="282"/>
      <c r="AJ191" s="282"/>
      <c r="AK191" s="282"/>
      <c r="AL191" s="282"/>
      <c r="AM191" s="282"/>
      <c r="AN191" s="282"/>
      <c r="AO191" s="282"/>
      <c r="AP191" s="282"/>
      <c r="AQ191" s="282"/>
      <c r="AR191" s="282"/>
      <c r="AS191" s="282"/>
      <c r="AT191" s="282"/>
      <c r="AU191" s="282"/>
      <c r="AV191" s="282"/>
      <c r="AW191" s="282"/>
      <c r="AX191" s="282"/>
      <c r="AY191" s="282"/>
      <c r="AZ191" s="282"/>
      <c r="BA191" s="282"/>
    </row>
    <row r="192" spans="1:53" outlineLevel="1" x14ac:dyDescent="0.35">
      <c r="A192" s="6" t="s">
        <v>32</v>
      </c>
      <c r="Z192" s="6">
        <f>'Results - raw data ReCiPe (H)'!AA60</f>
        <v>4.4601367480851334E-6</v>
      </c>
      <c r="AB192" s="282"/>
      <c r="AC192" s="282"/>
      <c r="AD192" s="282"/>
      <c r="AE192" s="282"/>
      <c r="AF192" s="282"/>
      <c r="AG192" s="282"/>
      <c r="AH192" s="282"/>
      <c r="AI192" s="282"/>
      <c r="AJ192" s="282"/>
      <c r="AK192" s="282"/>
      <c r="AL192" s="282"/>
      <c r="AM192" s="282"/>
      <c r="AN192" s="282"/>
      <c r="AO192" s="282"/>
      <c r="AP192" s="282"/>
      <c r="AQ192" s="282"/>
      <c r="AR192" s="282"/>
      <c r="AS192" s="282"/>
      <c r="AT192" s="282"/>
      <c r="AU192" s="282"/>
      <c r="AV192" s="282"/>
      <c r="AW192" s="282"/>
      <c r="AX192" s="282"/>
      <c r="AY192" s="282"/>
      <c r="AZ192" s="282"/>
      <c r="BA192" s="282"/>
    </row>
    <row r="193" spans="1:53" outlineLevel="1" x14ac:dyDescent="0.35">
      <c r="A193" s="6" t="s">
        <v>33</v>
      </c>
      <c r="Z193" s="6">
        <f>'Results - raw data ReCiPe (H)'!AA61</f>
        <v>8.2720352410769784E-6</v>
      </c>
      <c r="AB193" s="282"/>
      <c r="AC193" s="282"/>
      <c r="AD193" s="282"/>
      <c r="AE193" s="282"/>
      <c r="AF193" s="282"/>
      <c r="AG193" s="282"/>
      <c r="AH193" s="282"/>
      <c r="AI193" s="282"/>
      <c r="AJ193" s="282"/>
      <c r="AK193" s="282"/>
      <c r="AL193" s="282"/>
      <c r="AM193" s="282"/>
      <c r="AN193" s="282"/>
      <c r="AO193" s="282"/>
      <c r="AP193" s="282"/>
      <c r="AQ193" s="282"/>
      <c r="AR193" s="282"/>
      <c r="AS193" s="282"/>
      <c r="AT193" s="282"/>
      <c r="AU193" s="282"/>
      <c r="AV193" s="282"/>
      <c r="AW193" s="282"/>
      <c r="AX193" s="282"/>
      <c r="AY193" s="282"/>
      <c r="AZ193" s="282"/>
      <c r="BA193" s="282"/>
    </row>
    <row r="194" spans="1:53" outlineLevel="1" x14ac:dyDescent="0.35">
      <c r="A194" s="6" t="s">
        <v>35</v>
      </c>
      <c r="Z194" s="6">
        <f>'Results - raw data ReCiPe (H)'!AA62</f>
        <v>1.654407048215396E-5</v>
      </c>
      <c r="AB194" s="282"/>
      <c r="AC194" s="282"/>
      <c r="AD194" s="282"/>
      <c r="AE194" s="282"/>
      <c r="AF194" s="282"/>
      <c r="AG194" s="282"/>
      <c r="AH194" s="282"/>
      <c r="AI194" s="282"/>
      <c r="AJ194" s="282"/>
      <c r="AK194" s="282"/>
      <c r="AL194" s="282"/>
      <c r="AM194" s="282"/>
      <c r="AN194" s="282"/>
      <c r="AO194" s="282"/>
      <c r="AP194" s="282"/>
      <c r="AQ194" s="282"/>
      <c r="AR194" s="282"/>
      <c r="AS194" s="282"/>
      <c r="AT194" s="282"/>
      <c r="AU194" s="282"/>
      <c r="AV194" s="282"/>
      <c r="AW194" s="282"/>
      <c r="AX194" s="282"/>
      <c r="AY194" s="282"/>
      <c r="AZ194" s="282"/>
      <c r="BA194" s="282"/>
    </row>
    <row r="195" spans="1:53" outlineLevel="1" x14ac:dyDescent="0.35">
      <c r="A195" s="6" t="s">
        <v>37</v>
      </c>
      <c r="Z195" s="6">
        <f>'Results - raw data ReCiPe (H)'!AA63</f>
        <v>4.1171919330931541E-5</v>
      </c>
      <c r="AB195" s="282"/>
      <c r="AC195" s="282"/>
      <c r="AD195" s="282"/>
      <c r="AE195" s="282"/>
      <c r="AF195" s="282"/>
      <c r="AG195" s="282"/>
      <c r="AH195" s="282"/>
      <c r="AI195" s="282"/>
      <c r="AJ195" s="282"/>
      <c r="AK195" s="282"/>
      <c r="AL195" s="282"/>
      <c r="AM195" s="282"/>
      <c r="AN195" s="282"/>
      <c r="AO195" s="282"/>
      <c r="AP195" s="282"/>
      <c r="AQ195" s="282"/>
      <c r="AR195" s="282"/>
      <c r="AS195" s="282"/>
      <c r="AT195" s="282"/>
      <c r="AU195" s="282"/>
      <c r="AV195" s="282"/>
      <c r="AW195" s="282"/>
      <c r="AX195" s="282"/>
      <c r="AY195" s="282"/>
      <c r="AZ195" s="282"/>
      <c r="BA195" s="282"/>
    </row>
    <row r="196" spans="1:53" outlineLevel="1" x14ac:dyDescent="0.35">
      <c r="A196" s="6" t="s">
        <v>40</v>
      </c>
      <c r="Z196" s="6">
        <f>'Results - raw data ReCiPe (H)'!AA64</f>
        <v>5.9448924584171799E-4</v>
      </c>
    </row>
    <row r="197" spans="1:53" outlineLevel="1" x14ac:dyDescent="0.35">
      <c r="A197" s="6" t="s">
        <v>42</v>
      </c>
      <c r="Z197" s="6">
        <f>'Results - raw data ReCiPe (H)'!AA65</f>
        <v>5.4539699490104918E-5</v>
      </c>
    </row>
    <row r="198" spans="1:53" outlineLevel="1" x14ac:dyDescent="0.35">
      <c r="A198" s="6" t="s">
        <v>115</v>
      </c>
      <c r="Z198" s="6">
        <f>'Results - raw data ReCiPe (H)'!AA66</f>
        <v>3.5935458474486748E-4</v>
      </c>
    </row>
    <row r="199" spans="1:53" outlineLevel="1" x14ac:dyDescent="0.35">
      <c r="A199" s="6" t="s">
        <v>45</v>
      </c>
      <c r="Z199" s="6">
        <f>'Results - raw data ReCiPe (H)'!AA67*AC169*AC171</f>
        <v>3.5227143847144076E-5</v>
      </c>
    </row>
    <row r="200" spans="1:53" outlineLevel="1" x14ac:dyDescent="0.35">
      <c r="A200" s="6" t="s">
        <v>116</v>
      </c>
      <c r="B200" s="6">
        <f>'Results - raw data ReCiPe (H)'!C68</f>
        <v>2.2868444478900299E-3</v>
      </c>
      <c r="C200" s="6">
        <f>'Results - raw data ReCiPe (H)'!D68</f>
        <v>2.2688618108593619E-3</v>
      </c>
      <c r="D200" s="6">
        <f>'Results - raw data ReCiPe (H)'!E68</f>
        <v>2.250613145045521E-3</v>
      </c>
      <c r="E200" s="6">
        <f>'Results - raw data ReCiPe (H)'!F68</f>
        <v>2.2242630345716192E-3</v>
      </c>
      <c r="F200" s="6">
        <f>'Results - raw data ReCiPe (H)'!G68</f>
        <v>2.205439178557477E-3</v>
      </c>
      <c r="G200" s="6">
        <f>'Results - raw data ReCiPe (H)'!H68</f>
        <v>2.1863319204748952E-3</v>
      </c>
      <c r="H200" s="6">
        <f>'Results - raw data ReCiPe (H)'!I68</f>
        <v>2.1636441841529248E-3</v>
      </c>
      <c r="I200" s="6">
        <f>'Results - raw data ReCiPe (H)'!J68</f>
        <v>2.140943809067155E-3</v>
      </c>
      <c r="J200" s="6">
        <f>'Results - raw data ReCiPe (H)'!K68</f>
        <v>2.1142905920493878E-3</v>
      </c>
      <c r="K200" s="6">
        <f>'Results - raw data ReCiPe (H)'!L68</f>
        <v>2.0913940629818349E-3</v>
      </c>
      <c r="L200" s="6">
        <f>'Results - raw data ReCiPe (H)'!M68</f>
        <v>2.068344889906047E-3</v>
      </c>
      <c r="M200" s="6">
        <f>'Results - raw data ReCiPe (H)'!N68</f>
        <v>2.0396732943811142E-3</v>
      </c>
      <c r="N200" s="6">
        <f>'Results - raw data ReCiPe (H)'!O68</f>
        <v>2.0111593851075741E-3</v>
      </c>
      <c r="O200" s="6">
        <f>'Results - raw data ReCiPe (H)'!P68</f>
        <v>1.9816419194333399E-3</v>
      </c>
      <c r="P200" s="6">
        <f>'Results - raw data ReCiPe (H)'!Q68</f>
        <v>1.9534224916984309E-3</v>
      </c>
      <c r="Q200" s="6">
        <f>'Results - raw data ReCiPe (H)'!R68</f>
        <v>1.925325558619934E-3</v>
      </c>
      <c r="R200" s="6">
        <f>'Results - raw data ReCiPe (H)'!S68</f>
        <v>1.90651589386873E-3</v>
      </c>
      <c r="S200" s="6">
        <f>'Results - raw data ReCiPe (H)'!T68</f>
        <v>1.887805505923892E-3</v>
      </c>
      <c r="T200" s="6">
        <f>'Results - raw data ReCiPe (H)'!U68</f>
        <v>1.868103373074346E-3</v>
      </c>
      <c r="U200" s="6">
        <f>'Results - raw data ReCiPe (H)'!V68</f>
        <v>1.8496113901087679E-3</v>
      </c>
      <c r="V200" s="6">
        <f>'Results - raw data ReCiPe (H)'!W68</f>
        <v>1.831221787405327E-3</v>
      </c>
      <c r="W200" s="6">
        <f>'Results - raw data ReCiPe (H)'!X68</f>
        <v>1.839484702599319E-3</v>
      </c>
      <c r="X200" s="6">
        <f>'Results - raw data ReCiPe (H)'!Y68</f>
        <v>1.836581954761485E-3</v>
      </c>
      <c r="Y200" s="6">
        <f>'Results - raw data ReCiPe (H)'!Z68</f>
        <v>1.8337028304043451E-3</v>
      </c>
      <c r="Z200" s="6">
        <f>'Results - raw data ReCiPe (H)'!AA68</f>
        <v>1.8308470230828889E-3</v>
      </c>
    </row>
    <row r="201" spans="1:53" outlineLevel="1" x14ac:dyDescent="0.35">
      <c r="A201" s="6" t="s">
        <v>758</v>
      </c>
      <c r="B201" s="6">
        <f>'Results - raw data ReCiPe (H)'!C173*$AC$169</f>
        <v>8.5933149816682687E-3</v>
      </c>
      <c r="C201" s="6">
        <f>'Results - raw data ReCiPe (H)'!D173*$AC$169</f>
        <v>8.2908592660289031E-3</v>
      </c>
      <c r="D201" s="6">
        <f>'Results - raw data ReCiPe (H)'!E173*$AC$169</f>
        <v>7.9883594686031723E-3</v>
      </c>
      <c r="E201" s="6">
        <f>'Results - raw data ReCiPe (H)'!F173*$AC$169</f>
        <v>7.6824428526027699E-3</v>
      </c>
      <c r="F201" s="6">
        <f>'Results - raw data ReCiPe (H)'!G173*$AC$169</f>
        <v>7.3815896913372861E-3</v>
      </c>
      <c r="G201" s="6">
        <f>'Results - raw data ReCiPe (H)'!H173*$AC$169</f>
        <v>7.0818035588348371E-3</v>
      </c>
      <c r="H201" s="6">
        <f>'Results - raw data ReCiPe (H)'!I173*$AC$169</f>
        <v>6.9065674968874242E-3</v>
      </c>
      <c r="I201" s="6">
        <f>'Results - raw data ReCiPe (H)'!J173*$AC$169</f>
        <v>6.7320552022219326E-3</v>
      </c>
      <c r="J201" s="6">
        <f>'Results - raw data ReCiPe (H)'!K173*$AC$169</f>
        <v>6.5552231612474613E-3</v>
      </c>
      <c r="K201" s="6">
        <f>'Results - raw data ReCiPe (H)'!L173*$AC$169</f>
        <v>6.3814500845837899E-3</v>
      </c>
      <c r="L201" s="6">
        <f>'Results - raw data ReCiPe (H)'!M173*$AC$169</f>
        <v>6.2079211584379103E-3</v>
      </c>
      <c r="M201" s="6">
        <f>'Results - raw data ReCiPe (H)'!N173*$AC$169</f>
        <v>6.0954708685004551E-3</v>
      </c>
      <c r="N201" s="6">
        <f>'Results - raw data ReCiPe (H)'!O173*$AC$169</f>
        <v>5.9825885760334385E-3</v>
      </c>
      <c r="O201" s="6">
        <f>'Results - raw data ReCiPe (H)'!P173*$AC$169</f>
        <v>5.8684657507291106E-3</v>
      </c>
      <c r="P201" s="6">
        <f>'Results - raw data ReCiPe (H)'!Q173*$AC$169</f>
        <v>5.754469652475792E-3</v>
      </c>
      <c r="Q201" s="6">
        <f>'Results - raw data ReCiPe (H)'!R173*$AC$169</f>
        <v>5.6399811118439044E-3</v>
      </c>
      <c r="R201" s="6">
        <f>'Results - raw data ReCiPe (H)'!S173*$AC$169</f>
        <v>5.5980827164439223E-3</v>
      </c>
      <c r="S201" s="6">
        <f>'Results - raw data ReCiPe (H)'!T173*$AC$169</f>
        <v>5.5558844982483112E-3</v>
      </c>
      <c r="T201" s="6">
        <f>'Results - raw data ReCiPe (H)'!U173*$AC$169</f>
        <v>5.5128289027284328E-3</v>
      </c>
      <c r="U201" s="6">
        <f>'Results - raw data ReCiPe (H)'!V173*$AC$169</f>
        <v>5.4702708622407937E-3</v>
      </c>
      <c r="V201" s="6">
        <f>'Results - raw data ReCiPe (H)'!W173*$AC$169</f>
        <v>5.427559757803185E-3</v>
      </c>
      <c r="W201" s="6">
        <f>'Results - raw data ReCiPe (H)'!X173*$AC$169</f>
        <v>5.4501119918836331E-3</v>
      </c>
      <c r="X201" s="6">
        <f>'Results - raw data ReCiPe (H)'!Y173*$AC$169</f>
        <v>5.4320501046926078E-3</v>
      </c>
      <c r="Y201" s="6">
        <f>'Results - raw data ReCiPe (H)'!Z173*$AC$169</f>
        <v>5.4139935919568661E-3</v>
      </c>
      <c r="Z201" s="6">
        <f>'Results - raw data ReCiPe (H)'!AA173*$AC$169</f>
        <v>5.395935830577011E-3</v>
      </c>
    </row>
    <row r="202" spans="1:53" outlineLevel="1" x14ac:dyDescent="0.35">
      <c r="A202" s="6" t="s">
        <v>759</v>
      </c>
      <c r="B202" s="6">
        <f>'Results - raw data ReCiPe (H)'!C70</f>
        <v>0</v>
      </c>
      <c r="C202" s="6">
        <f>'Results - raw data ReCiPe (H)'!D70</f>
        <v>0</v>
      </c>
      <c r="D202" s="6">
        <f>'Results - raw data ReCiPe (H)'!E70</f>
        <v>0</v>
      </c>
      <c r="E202" s="6">
        <f>'Results - raw data ReCiPe (H)'!F70</f>
        <v>0</v>
      </c>
      <c r="F202" s="6">
        <f>'Results - raw data ReCiPe (H)'!G70</f>
        <v>0</v>
      </c>
      <c r="G202" s="6">
        <f>'Results - raw data ReCiPe (H)'!H70</f>
        <v>0</v>
      </c>
      <c r="H202" s="6">
        <f>'Results - raw data ReCiPe (H)'!I70</f>
        <v>0</v>
      </c>
      <c r="I202" s="6">
        <f>'Results - raw data ReCiPe (H)'!J70</f>
        <v>0</v>
      </c>
      <c r="J202" s="6">
        <f>'Results - raw data ReCiPe (H)'!K70</f>
        <v>0</v>
      </c>
      <c r="K202" s="6">
        <f>'Results - raw data ReCiPe (H)'!L70</f>
        <v>0</v>
      </c>
      <c r="L202" s="6">
        <f>'Results - raw data ReCiPe (H)'!M70</f>
        <v>0</v>
      </c>
      <c r="M202" s="6">
        <f>'Results - raw data ReCiPe (H)'!N70</f>
        <v>0</v>
      </c>
      <c r="N202" s="6">
        <f>'Results - raw data ReCiPe (H)'!O70</f>
        <v>0</v>
      </c>
      <c r="O202" s="6">
        <f>'Results - raw data ReCiPe (H)'!P70</f>
        <v>0</v>
      </c>
      <c r="P202" s="6">
        <f>'Results - raw data ReCiPe (H)'!Q70</f>
        <v>0</v>
      </c>
      <c r="Q202" s="6">
        <f>'Results - raw data ReCiPe (H)'!R70</f>
        <v>0</v>
      </c>
      <c r="R202" s="6">
        <f>'Results - raw data ReCiPe (H)'!S70</f>
        <v>0</v>
      </c>
      <c r="S202" s="6">
        <f>'Results - raw data ReCiPe (H)'!T70</f>
        <v>0</v>
      </c>
      <c r="T202" s="6">
        <f>'Results - raw data ReCiPe (H)'!U70</f>
        <v>0</v>
      </c>
      <c r="U202" s="6">
        <f>'Results - raw data ReCiPe (H)'!V70</f>
        <v>0</v>
      </c>
      <c r="V202" s="6">
        <f>'Results - raw data ReCiPe (H)'!W70</f>
        <v>0</v>
      </c>
      <c r="W202" s="6">
        <f>'Results - raw data ReCiPe (H)'!X70</f>
        <v>0</v>
      </c>
      <c r="X202" s="6">
        <f>'Results - raw data ReCiPe (H)'!Y70</f>
        <v>0</v>
      </c>
      <c r="Y202" s="6">
        <f>'Results - raw data ReCiPe (H)'!Z70</f>
        <v>0</v>
      </c>
      <c r="Z202" s="6">
        <f>'Results - raw data ReCiPe (H)'!AA70</f>
        <v>0</v>
      </c>
    </row>
    <row r="203" spans="1:53" outlineLevel="1" x14ac:dyDescent="0.35">
      <c r="A203" s="6" t="s">
        <v>760</v>
      </c>
      <c r="B203" s="6">
        <f>150000*($AC$170*'Results - raw data ReCiPe (H)'!C121+(1-'Results ReCiPe (H) - HHD ship'!$AC$170)*'Results - raw data ReCiPe (H)'!C122)</f>
        <v>4.9474976847897568E-2</v>
      </c>
      <c r="C203" s="6">
        <f>150000*($AC$170*'Results - raw data ReCiPe (H)'!D121+(1-'Results ReCiPe (H) - HHD ship'!$AC$170)*'Results - raw data ReCiPe (H)'!D122)</f>
        <v>4.6522550306297726E-2</v>
      </c>
      <c r="D203" s="6">
        <f>150000*($AC$170*'Results - raw data ReCiPe (H)'!E121+(1-'Results ReCiPe (H) - HHD ship'!$AC$170)*'Results - raw data ReCiPe (H)'!E122)</f>
        <v>4.355624793890709E-2</v>
      </c>
      <c r="E203" s="6">
        <f>150000*($AC$170*'Results - raw data ReCiPe (H)'!F121+(1-'Results ReCiPe (H) - HHD ship'!$AC$170)*'Results - raw data ReCiPe (H)'!F122)</f>
        <v>4.0541541366208723E-2</v>
      </c>
      <c r="F203" s="6">
        <f>150000*($AC$170*'Results - raw data ReCiPe (H)'!G121+(1-'Results ReCiPe (H) - HHD ship'!$AC$170)*'Results - raw data ReCiPe (H)'!G122)</f>
        <v>3.7565066504135186E-2</v>
      </c>
      <c r="G203" s="6">
        <f>150000*($AC$170*'Results - raw data ReCiPe (H)'!H121+(1-'Results ReCiPe (H) - HHD ship'!$AC$170)*'Results - raw data ReCiPe (H)'!H122)</f>
        <v>3.4585867561235863E-2</v>
      </c>
      <c r="H203" s="6">
        <f>150000*($AC$170*'Results - raw data ReCiPe (H)'!I121+(1-'Results ReCiPe (H) - HHD ship'!$AC$170)*'Results - raw data ReCiPe (H)'!I122)</f>
        <v>3.2838818395999891E-2</v>
      </c>
      <c r="I203" s="6">
        <f>150000*($AC$170*'Results - raw data ReCiPe (H)'!J121+(1-'Results ReCiPe (H) - HHD ship'!$AC$170)*'Results - raw data ReCiPe (H)'!J122)</f>
        <v>3.1098187750874622E-2</v>
      </c>
      <c r="J203" s="6">
        <f>150000*($AC$170*'Results - raw data ReCiPe (H)'!K121+(1-'Results ReCiPe (H) - HHD ship'!$AC$170)*'Results - raw data ReCiPe (H)'!K122)</f>
        <v>2.933208111837475E-2</v>
      </c>
      <c r="K203" s="6">
        <f>150000*($AC$170*'Results - raw data ReCiPe (H)'!L121+(1-'Results ReCiPe (H) - HHD ship'!$AC$170)*'Results - raw data ReCiPe (H)'!L122)</f>
        <v>2.7594024536413905E-2</v>
      </c>
      <c r="L203" s="6">
        <f>150000*($AC$170*'Results - raw data ReCiPe (H)'!M121+(1-'Results ReCiPe (H) - HHD ship'!$AC$170)*'Results - raw data ReCiPe (H)'!M122)</f>
        <v>2.5855349323427739E-2</v>
      </c>
      <c r="M203" s="6">
        <f>150000*($AC$170*'Results - raw data ReCiPe (H)'!N121+(1-'Results ReCiPe (H) - HHD ship'!$AC$170)*'Results - raw data ReCiPe (H)'!N122)</f>
        <v>2.4734990290458083E-2</v>
      </c>
      <c r="N203" s="6">
        <f>150000*($AC$170*'Results - raw data ReCiPe (H)'!O121+(1-'Results ReCiPe (H) - HHD ship'!$AC$170)*'Results - raw data ReCiPe (H)'!O122)</f>
        <v>2.3610300650731924E-2</v>
      </c>
      <c r="O203" s="6">
        <f>150000*($AC$170*'Results - raw data ReCiPe (H)'!P121+(1-'Results ReCiPe (H) - HHD ship'!$AC$170)*'Results - raw data ReCiPe (H)'!P122)</f>
        <v>2.2473061940846511E-2</v>
      </c>
      <c r="P203" s="6">
        <f>150000*($AC$170*'Results - raw data ReCiPe (H)'!Q121+(1-'Results ReCiPe (H) - HHD ship'!$AC$170)*'Results - raw data ReCiPe (H)'!Q122)</f>
        <v>2.1336924852192057E-2</v>
      </c>
      <c r="Q203" s="6">
        <f>150000*($AC$170*'Results - raw data ReCiPe (H)'!R121+(1-'Results ReCiPe (H) - HHD ship'!$AC$170)*'Results - raw data ReCiPe (H)'!R122)</f>
        <v>2.0195671173589842E-2</v>
      </c>
      <c r="R203" s="6">
        <f>150000*($AC$170*'Results - raw data ReCiPe (H)'!S121+(1-'Results ReCiPe (H) - HHD ship'!$AC$170)*'Results - raw data ReCiPe (H)'!S122)</f>
        <v>1.9789530140639756E-2</v>
      </c>
      <c r="S203" s="6">
        <f>150000*($AC$170*'Results - raw data ReCiPe (H)'!T121+(1-'Results ReCiPe (H) - HHD ship'!$AC$170)*'Results - raw data ReCiPe (H)'!T122)</f>
        <v>1.9381026348446195E-2</v>
      </c>
      <c r="T203" s="6">
        <f>150000*($AC$170*'Results - raw data ReCiPe (H)'!U121+(1-'Results ReCiPe (H) - HHD ship'!$AC$170)*'Results - raw data ReCiPe (H)'!U122)</f>
        <v>1.8964561507911409E-2</v>
      </c>
      <c r="U203" s="6">
        <f>150000*($AC$170*'Results - raw data ReCiPe (H)'!V121+(1-'Results ReCiPe (H) - HHD ship'!$AC$170)*'Results - raw data ReCiPe (H)'!V122)</f>
        <v>1.8553924321067339E-2</v>
      </c>
      <c r="V203" s="6">
        <f>150000*($AC$170*'Results - raw data ReCiPe (H)'!W121+(1-'Results ReCiPe (H) - HHD ship'!$AC$170)*'Results - raw data ReCiPe (H)'!W122)</f>
        <v>1.8142723046211284E-2</v>
      </c>
      <c r="W203" s="6">
        <f>150000*($AC$170*'Results - raw data ReCiPe (H)'!X121+(1-'Results ReCiPe (H) - HHD ship'!$AC$170)*'Results - raw data ReCiPe (H)'!X122)</f>
        <v>1.8301014964826487E-2</v>
      </c>
      <c r="X203" s="6">
        <f>150000*($AC$170*'Results - raw data ReCiPe (H)'!Y121+(1-'Results ReCiPe (H) - HHD ship'!$AC$170)*'Results - raw data ReCiPe (H)'!Y122)</f>
        <v>1.8122457232622846E-2</v>
      </c>
      <c r="Y203" s="6">
        <f>150000*($AC$170*'Results - raw data ReCiPe (H)'!Z121+(1-'Results ReCiPe (H) - HHD ship'!$AC$170)*'Results - raw data ReCiPe (H)'!Z122)</f>
        <v>1.7943406836689314E-2</v>
      </c>
      <c r="Z203" s="6">
        <f>150000*($AC$170*'Results - raw data ReCiPe (H)'!AA121+(1-'Results ReCiPe (H) - HHD ship'!$AC$170)*'Results - raw data ReCiPe (H)'!AA122)</f>
        <v>1.7763818435932222E-2</v>
      </c>
    </row>
    <row r="204" spans="1:53" outlineLevel="1" x14ac:dyDescent="0.35">
      <c r="A204" s="23" t="s">
        <v>125</v>
      </c>
      <c r="B204" s="17">
        <f t="shared" ref="B204:Z204" si="24">SUM(B173:B203)</f>
        <v>0.22992966604926762</v>
      </c>
      <c r="C204" s="17">
        <f t="shared" si="24"/>
        <v>5.7082271383185987E-2</v>
      </c>
      <c r="D204" s="17">
        <f t="shared" si="24"/>
        <v>5.3795220552555784E-2</v>
      </c>
      <c r="E204" s="17">
        <f t="shared" si="24"/>
        <v>5.0448247253383115E-2</v>
      </c>
      <c r="F204" s="17">
        <f t="shared" si="24"/>
        <v>4.7152095374029951E-2</v>
      </c>
      <c r="G204" s="17">
        <f t="shared" si="24"/>
        <v>4.3854003040545597E-2</v>
      </c>
      <c r="H204" s="17">
        <f t="shared" si="24"/>
        <v>4.1909030077040242E-2</v>
      </c>
      <c r="I204" s="17">
        <f t="shared" si="24"/>
        <v>3.9971186762163713E-2</v>
      </c>
      <c r="J204" s="17">
        <f t="shared" si="24"/>
        <v>3.8001594871671596E-2</v>
      </c>
      <c r="K204" s="17">
        <f t="shared" si="24"/>
        <v>3.6066868683979528E-2</v>
      </c>
      <c r="L204" s="17">
        <f t="shared" si="24"/>
        <v>3.4131615371771701E-2</v>
      </c>
      <c r="M204" s="17">
        <f t="shared" si="24"/>
        <v>3.2870134453339653E-2</v>
      </c>
      <c r="N204" s="17">
        <f t="shared" si="24"/>
        <v>3.1604048611872937E-2</v>
      </c>
      <c r="O204" s="17">
        <f t="shared" si="24"/>
        <v>3.0323169611008963E-2</v>
      </c>
      <c r="P204" s="17">
        <f t="shared" si="24"/>
        <v>2.9044816996366279E-2</v>
      </c>
      <c r="Q204" s="17">
        <f t="shared" si="24"/>
        <v>2.776097784405368E-2</v>
      </c>
      <c r="R204" s="17">
        <f t="shared" si="24"/>
        <v>2.7294128750952409E-2</v>
      </c>
      <c r="S204" s="17">
        <f t="shared" si="24"/>
        <v>2.6824716352618398E-2</v>
      </c>
      <c r="T204" s="17">
        <f t="shared" si="24"/>
        <v>2.6345493783714188E-2</v>
      </c>
      <c r="U204" s="17">
        <f t="shared" si="24"/>
        <v>2.58738065734169E-2</v>
      </c>
      <c r="V204" s="17">
        <f t="shared" si="24"/>
        <v>2.5401504591419797E-2</v>
      </c>
      <c r="W204" s="17">
        <f t="shared" si="24"/>
        <v>2.559061165930944E-2</v>
      </c>
      <c r="X204" s="17">
        <f t="shared" si="24"/>
        <v>2.5391089292076938E-2</v>
      </c>
      <c r="Y204" s="17">
        <f t="shared" si="24"/>
        <v>2.5191103259050523E-2</v>
      </c>
      <c r="Z204" s="17">
        <f t="shared" si="24"/>
        <v>2.6229710208091533E-2</v>
      </c>
    </row>
    <row r="205" spans="1:53" outlineLevel="1" x14ac:dyDescent="0.35"/>
    <row r="206" spans="1:53" s="18" customFormat="1" ht="21" x14ac:dyDescent="0.5">
      <c r="A206" s="18" t="s">
        <v>94</v>
      </c>
    </row>
    <row r="207" spans="1:53" s="20" customFormat="1" outlineLevel="1" x14ac:dyDescent="0.35">
      <c r="A207" s="19" t="s">
        <v>766</v>
      </c>
    </row>
    <row r="208" spans="1:53" s="16" customFormat="1" outlineLevel="1" x14ac:dyDescent="0.35">
      <c r="A208" s="21"/>
      <c r="AB208" s="16" t="s">
        <v>47</v>
      </c>
      <c r="AC208" s="16">
        <v>9.2800000000000005E-7</v>
      </c>
      <c r="AD208" s="16" t="s">
        <v>48</v>
      </c>
      <c r="AE208" s="15" t="s">
        <v>714</v>
      </c>
    </row>
    <row r="209" spans="1:53" s="16" customFormat="1" outlineLevel="1" x14ac:dyDescent="0.35">
      <c r="A209" s="22" t="s">
        <v>564</v>
      </c>
      <c r="AC209" s="16">
        <f>AC208*1000</f>
        <v>9.2800000000000001E-4</v>
      </c>
      <c r="AD209" s="16" t="s">
        <v>126</v>
      </c>
    </row>
    <row r="210" spans="1:53" s="16" customFormat="1" outlineLevel="1" x14ac:dyDescent="0.35">
      <c r="A210" s="22"/>
      <c r="AB210" s="16" t="s">
        <v>127</v>
      </c>
      <c r="AC210" s="16">
        <v>100</v>
      </c>
      <c r="AD210" s="16" t="s">
        <v>128</v>
      </c>
    </row>
    <row r="211" spans="1:53" s="16" customFormat="1" outlineLevel="1" x14ac:dyDescent="0.35">
      <c r="A211" s="230" t="s">
        <v>768</v>
      </c>
      <c r="AB211" s="16" t="s">
        <v>20</v>
      </c>
      <c r="AC211" s="16">
        <v>0.23</v>
      </c>
      <c r="AD211" s="16" t="s">
        <v>715</v>
      </c>
    </row>
    <row r="212" spans="1:53" s="16" customFormat="1" outlineLevel="1" x14ac:dyDescent="0.35">
      <c r="A212" s="22"/>
      <c r="AB212" s="16" t="s">
        <v>129</v>
      </c>
      <c r="AC212" s="16">
        <v>25</v>
      </c>
      <c r="AD212" s="16" t="s">
        <v>130</v>
      </c>
    </row>
    <row r="213" spans="1:53" outlineLevel="1" x14ac:dyDescent="0.35">
      <c r="B213" s="25">
        <v>2030</v>
      </c>
      <c r="C213" s="25">
        <v>2031</v>
      </c>
      <c r="D213" s="25">
        <v>2032</v>
      </c>
      <c r="E213" s="25">
        <v>2033</v>
      </c>
      <c r="F213" s="25">
        <v>2034</v>
      </c>
      <c r="G213" s="25">
        <v>2035</v>
      </c>
      <c r="H213" s="25">
        <v>2036</v>
      </c>
      <c r="I213" s="25">
        <v>2037</v>
      </c>
      <c r="J213" s="25">
        <v>2038</v>
      </c>
      <c r="K213" s="25">
        <v>2039</v>
      </c>
      <c r="L213" s="25">
        <v>2040</v>
      </c>
      <c r="M213" s="25">
        <v>2041</v>
      </c>
      <c r="N213" s="25">
        <v>2042</v>
      </c>
      <c r="O213" s="25">
        <v>2043</v>
      </c>
      <c r="P213" s="25">
        <v>2044</v>
      </c>
      <c r="Q213" s="25">
        <v>2045</v>
      </c>
      <c r="R213" s="25">
        <v>2046</v>
      </c>
      <c r="S213" s="25">
        <v>2047</v>
      </c>
      <c r="T213" s="25">
        <v>2048</v>
      </c>
      <c r="U213" s="25">
        <v>2049</v>
      </c>
      <c r="V213" s="25">
        <v>2050</v>
      </c>
      <c r="W213" s="25">
        <v>2051</v>
      </c>
      <c r="X213" s="25">
        <v>2052</v>
      </c>
      <c r="Y213" s="25">
        <v>2053</v>
      </c>
      <c r="Z213" s="25">
        <v>2054</v>
      </c>
      <c r="AC213" s="25">
        <v>2030</v>
      </c>
      <c r="AD213" s="25">
        <v>2031</v>
      </c>
      <c r="AE213" s="25">
        <v>2032</v>
      </c>
      <c r="AF213" s="25">
        <v>2033</v>
      </c>
      <c r="AG213" s="25">
        <v>2034</v>
      </c>
      <c r="AH213" s="25">
        <v>2035</v>
      </c>
      <c r="AI213" s="25">
        <v>2036</v>
      </c>
      <c r="AJ213" s="25">
        <v>2037</v>
      </c>
      <c r="AK213" s="25">
        <v>2038</v>
      </c>
      <c r="AL213" s="25">
        <v>2039</v>
      </c>
      <c r="AM213" s="25">
        <v>2040</v>
      </c>
      <c r="AN213" s="25">
        <v>2041</v>
      </c>
      <c r="AO213" s="25">
        <v>2042</v>
      </c>
      <c r="AP213" s="25">
        <v>2043</v>
      </c>
      <c r="AQ213" s="25">
        <v>2044</v>
      </c>
      <c r="AR213" s="25">
        <v>2045</v>
      </c>
      <c r="AS213" s="25">
        <v>2046</v>
      </c>
      <c r="AT213" s="25">
        <v>2047</v>
      </c>
      <c r="AU213" s="25">
        <v>2048</v>
      </c>
      <c r="AV213" s="25">
        <v>2049</v>
      </c>
      <c r="AW213" s="25">
        <v>2050</v>
      </c>
      <c r="AX213" s="25">
        <v>2051</v>
      </c>
      <c r="AY213" s="25">
        <v>2052</v>
      </c>
      <c r="AZ213" s="25">
        <v>2053</v>
      </c>
      <c r="BA213" s="25">
        <v>2054</v>
      </c>
    </row>
    <row r="214" spans="1:53" outlineLevel="1" x14ac:dyDescent="0.35">
      <c r="A214" s="6" t="s">
        <v>21</v>
      </c>
      <c r="B214" s="6">
        <f>'Results - raw data ReCiPe (H)'!C77</f>
        <v>2.4100049612117481E-3</v>
      </c>
      <c r="AB214" s="6" t="s">
        <v>117</v>
      </c>
      <c r="AC214" s="6">
        <f>SUM(B214:B225)+B227</f>
        <v>0.14486428170139623</v>
      </c>
    </row>
    <row r="215" spans="1:53" outlineLevel="1" x14ac:dyDescent="0.35">
      <c r="A215" s="6" t="s">
        <v>23</v>
      </c>
      <c r="B215" s="6">
        <f>'Results - raw data ReCiPe (H)'!C78</f>
        <v>5.3713425904224309E-3</v>
      </c>
      <c r="AB215" s="6" t="s">
        <v>118</v>
      </c>
      <c r="AC215" s="6">
        <f>B226</f>
        <v>8.977436741851275E-3</v>
      </c>
    </row>
    <row r="216" spans="1:53" outlineLevel="1" x14ac:dyDescent="0.35">
      <c r="A216" s="6" t="s">
        <v>26</v>
      </c>
      <c r="B216" s="6">
        <f>'Results - raw data ReCiPe (H)'!C79</f>
        <v>1.2015567507973911E-2</v>
      </c>
      <c r="AB216" s="6" t="s">
        <v>119</v>
      </c>
      <c r="BA216" s="6">
        <f>SUM(Z228:Z239)</f>
        <v>1.1364491829356034E-3</v>
      </c>
    </row>
    <row r="217" spans="1:53" outlineLevel="1" x14ac:dyDescent="0.35">
      <c r="A217" s="6" t="s">
        <v>28</v>
      </c>
      <c r="B217" s="6">
        <f>'Results - raw data ReCiPe (H)'!C80</f>
        <v>1.529227024432098E-2</v>
      </c>
      <c r="AB217" s="6" t="s">
        <v>120</v>
      </c>
      <c r="BA217" s="6">
        <f>Z240</f>
        <v>3.4041847576099076E-5</v>
      </c>
    </row>
    <row r="218" spans="1:53" outlineLevel="1" x14ac:dyDescent="0.35">
      <c r="A218" s="6" t="s">
        <v>29</v>
      </c>
      <c r="B218" s="6">
        <f>'Results - raw data ReCiPe (H)'!C81</f>
        <v>1.1898439492001591E-2</v>
      </c>
      <c r="AB218" s="6" t="s">
        <v>121</v>
      </c>
      <c r="AC218" s="6">
        <f>B241</f>
        <v>1.9848842622015748E-3</v>
      </c>
      <c r="AF218" s="6">
        <f>E241</f>
        <v>1.889975707684352E-3</v>
      </c>
      <c r="AI218" s="6">
        <f>H241</f>
        <v>1.8240269819210511E-3</v>
      </c>
      <c r="AL218" s="6">
        <f>K241</f>
        <v>1.8069758007361711E-3</v>
      </c>
      <c r="AO218" s="6">
        <f>N241</f>
        <v>1.799728004873463E-3</v>
      </c>
      <c r="AR218" s="6">
        <f>Q241</f>
        <v>1.7946676192961261E-3</v>
      </c>
      <c r="AU218" s="6">
        <f>T241</f>
        <v>1.786311731211142E-3</v>
      </c>
      <c r="AX218" s="6">
        <f>W241</f>
        <v>1.790817045871237E-3</v>
      </c>
      <c r="BA218" s="6">
        <f>Z241</f>
        <v>1.786892271072078E-3</v>
      </c>
    </row>
    <row r="219" spans="1:53" outlineLevel="1" x14ac:dyDescent="0.35">
      <c r="A219" s="6" t="s">
        <v>31</v>
      </c>
      <c r="B219" s="6">
        <f>'Results - raw data ReCiPe (H)'!C82</f>
        <v>7.7672923315607531E-3</v>
      </c>
      <c r="AB219" s="6" t="s">
        <v>122</v>
      </c>
      <c r="AC219" s="6">
        <f>B244+B243</f>
        <v>2.7805402985483764E-2</v>
      </c>
      <c r="AD219" s="6">
        <f t="shared" ref="AD219:BA219" si="25">C244+C243</f>
        <v>2.5597110478286972E-2</v>
      </c>
      <c r="AE219" s="6">
        <f t="shared" si="25"/>
        <v>2.3377369172353744E-2</v>
      </c>
      <c r="AF219" s="6">
        <f t="shared" si="25"/>
        <v>2.1099058813075746E-2</v>
      </c>
      <c r="AG219" s="6">
        <f t="shared" si="25"/>
        <v>1.8854118847398099E-2</v>
      </c>
      <c r="AH219" s="6">
        <f t="shared" si="25"/>
        <v>1.6599751467149353E-2</v>
      </c>
      <c r="AI219" s="6">
        <f t="shared" si="25"/>
        <v>1.6392459890207992E-2</v>
      </c>
      <c r="AJ219" s="6">
        <f t="shared" si="25"/>
        <v>1.6182024304463936E-2</v>
      </c>
      <c r="AK219" s="6">
        <f t="shared" si="25"/>
        <v>1.5932960360475808E-2</v>
      </c>
      <c r="AL219" s="6">
        <f t="shared" si="25"/>
        <v>1.5713786827570561E-2</v>
      </c>
      <c r="AM219" s="6">
        <f t="shared" si="25"/>
        <v>1.5490469227403323E-2</v>
      </c>
      <c r="AN219" s="6">
        <f t="shared" si="25"/>
        <v>1.5379799322573877E-2</v>
      </c>
      <c r="AO219" s="6">
        <f t="shared" si="25"/>
        <v>1.5271678877963896E-2</v>
      </c>
      <c r="AP219" s="6">
        <f t="shared" si="25"/>
        <v>1.515681577052932E-2</v>
      </c>
      <c r="AQ219" s="6">
        <f t="shared" si="25"/>
        <v>1.5049750474562492E-2</v>
      </c>
      <c r="AR219" s="6">
        <f t="shared" si="25"/>
        <v>1.4943265329522629E-2</v>
      </c>
      <c r="AS219" s="6">
        <f t="shared" si="25"/>
        <v>1.4472306796371601E-2</v>
      </c>
      <c r="AT219" s="6">
        <f t="shared" si="25"/>
        <v>1.4003396450145969E-2</v>
      </c>
      <c r="AU219" s="6">
        <f t="shared" si="25"/>
        <v>1.3531045803837721E-2</v>
      </c>
      <c r="AV219" s="6">
        <f t="shared" si="25"/>
        <v>1.3069084532262144E-2</v>
      </c>
      <c r="AW219" s="6">
        <f t="shared" si="25"/>
        <v>1.2609663012792977E-2</v>
      </c>
      <c r="AX219" s="6">
        <f t="shared" si="25"/>
        <v>1.2655241851171941E-2</v>
      </c>
      <c r="AY219" s="6">
        <f t="shared" si="25"/>
        <v>1.2340041193375966E-2</v>
      </c>
      <c r="AZ219" s="6">
        <f t="shared" si="25"/>
        <v>1.2023972033871863E-2</v>
      </c>
      <c r="BA219" s="6">
        <f t="shared" si="25"/>
        <v>1.1706992340619025E-2</v>
      </c>
    </row>
    <row r="220" spans="1:53" outlineLevel="1" x14ac:dyDescent="0.35">
      <c r="A220" s="6" t="s">
        <v>34</v>
      </c>
      <c r="B220" s="6">
        <f>'Results - raw data ReCiPe (H)'!C83</f>
        <v>5.948865391495731E-3</v>
      </c>
      <c r="AB220" s="6" t="s">
        <v>123</v>
      </c>
      <c r="AC220" s="6">
        <f t="shared" ref="AC220:BA220" si="26">B242</f>
        <v>6.4113413642919994E-3</v>
      </c>
      <c r="AD220" s="6">
        <f t="shared" si="26"/>
        <v>6.1870563164082874E-3</v>
      </c>
      <c r="AE220" s="6">
        <f t="shared" si="26"/>
        <v>5.963008535558088E-3</v>
      </c>
      <c r="AF220" s="6">
        <f t="shared" si="26"/>
        <v>5.734630362996632E-3</v>
      </c>
      <c r="AG220" s="6">
        <f t="shared" si="26"/>
        <v>5.5108903406053209E-3</v>
      </c>
      <c r="AH220" s="6">
        <f t="shared" si="26"/>
        <v>5.287579473543043E-3</v>
      </c>
      <c r="AI220" s="6">
        <f t="shared" si="26"/>
        <v>5.2674711073858287E-3</v>
      </c>
      <c r="AJ220" s="6">
        <f t="shared" si="26"/>
        <v>5.247043547117405E-3</v>
      </c>
      <c r="AK220" s="6">
        <f t="shared" si="26"/>
        <v>5.2228528819114701E-3</v>
      </c>
      <c r="AL220" s="6">
        <f t="shared" si="26"/>
        <v>5.2016072909041606E-3</v>
      </c>
      <c r="AM220" s="6">
        <f t="shared" si="26"/>
        <v>5.179982770564715E-3</v>
      </c>
      <c r="AN220" s="6">
        <f t="shared" si="26"/>
        <v>5.1686646284624322E-3</v>
      </c>
      <c r="AO220" s="6">
        <f t="shared" si="26"/>
        <v>5.1575362985013772E-3</v>
      </c>
      <c r="AP220" s="6">
        <f t="shared" si="26"/>
        <v>5.1457028910987124E-3</v>
      </c>
      <c r="AQ220" s="6">
        <f t="shared" si="26"/>
        <v>5.1346104092235842E-3</v>
      </c>
      <c r="AR220" s="6">
        <f t="shared" si="26"/>
        <v>5.1235542689888267E-3</v>
      </c>
      <c r="AS220" s="6">
        <f t="shared" si="26"/>
        <v>5.0752136012556948E-3</v>
      </c>
      <c r="AT220" s="6">
        <f t="shared" si="26"/>
        <v>5.0266829857731343E-3</v>
      </c>
      <c r="AU220" s="6">
        <f t="shared" si="26"/>
        <v>4.9774210504638572E-3</v>
      </c>
      <c r="AV220" s="6">
        <f t="shared" si="26"/>
        <v>4.9288028304039742E-3</v>
      </c>
      <c r="AW220" s="6">
        <f t="shared" si="26"/>
        <v>4.8800914838041968E-3</v>
      </c>
      <c r="AX220" s="6">
        <f t="shared" si="26"/>
        <v>4.8922208815631958E-3</v>
      </c>
      <c r="AY220" s="6">
        <f t="shared" si="26"/>
        <v>4.8614659440340217E-3</v>
      </c>
      <c r="AZ220" s="6">
        <f t="shared" si="26"/>
        <v>4.8307189143537016E-3</v>
      </c>
      <c r="BA220" s="6">
        <f t="shared" si="26"/>
        <v>4.7999740775658394E-3</v>
      </c>
    </row>
    <row r="221" spans="1:53" outlineLevel="1" x14ac:dyDescent="0.35">
      <c r="A221" s="6" t="s">
        <v>36</v>
      </c>
      <c r="B221" s="6">
        <f>'Results - raw data ReCiPe (H)'!C84</f>
        <v>3.321744155878405E-3</v>
      </c>
      <c r="AB221" s="6" t="s">
        <v>124</v>
      </c>
      <c r="AC221" s="6">
        <f>-$AC$7*$AC$6</f>
        <v>-9.2799999999999994E-2</v>
      </c>
      <c r="AD221" s="6">
        <f t="shared" ref="AD221:BA221" si="27">-$AC$7*$AC$6</f>
        <v>-9.2799999999999994E-2</v>
      </c>
      <c r="AE221" s="6">
        <f t="shared" si="27"/>
        <v>-9.2799999999999994E-2</v>
      </c>
      <c r="AF221" s="6">
        <f t="shared" si="27"/>
        <v>-9.2799999999999994E-2</v>
      </c>
      <c r="AG221" s="6">
        <f t="shared" si="27"/>
        <v>-9.2799999999999994E-2</v>
      </c>
      <c r="AH221" s="6">
        <f t="shared" si="27"/>
        <v>-9.2799999999999994E-2</v>
      </c>
      <c r="AI221" s="6">
        <f t="shared" si="27"/>
        <v>-9.2799999999999994E-2</v>
      </c>
      <c r="AJ221" s="6">
        <f t="shared" si="27"/>
        <v>-9.2799999999999994E-2</v>
      </c>
      <c r="AK221" s="6">
        <f t="shared" si="27"/>
        <v>-9.2799999999999994E-2</v>
      </c>
      <c r="AL221" s="6">
        <f t="shared" si="27"/>
        <v>-9.2799999999999994E-2</v>
      </c>
      <c r="AM221" s="6">
        <f t="shared" si="27"/>
        <v>-9.2799999999999994E-2</v>
      </c>
      <c r="AN221" s="6">
        <f t="shared" si="27"/>
        <v>-9.2799999999999994E-2</v>
      </c>
      <c r="AO221" s="6">
        <f t="shared" si="27"/>
        <v>-9.2799999999999994E-2</v>
      </c>
      <c r="AP221" s="6">
        <f t="shared" si="27"/>
        <v>-9.2799999999999994E-2</v>
      </c>
      <c r="AQ221" s="6">
        <f t="shared" si="27"/>
        <v>-9.2799999999999994E-2</v>
      </c>
      <c r="AR221" s="6">
        <f t="shared" si="27"/>
        <v>-9.2799999999999994E-2</v>
      </c>
      <c r="AS221" s="6">
        <f t="shared" si="27"/>
        <v>-9.2799999999999994E-2</v>
      </c>
      <c r="AT221" s="6">
        <f t="shared" si="27"/>
        <v>-9.2799999999999994E-2</v>
      </c>
      <c r="AU221" s="6">
        <f t="shared" si="27"/>
        <v>-9.2799999999999994E-2</v>
      </c>
      <c r="AV221" s="6">
        <f t="shared" si="27"/>
        <v>-9.2799999999999994E-2</v>
      </c>
      <c r="AW221" s="6">
        <f t="shared" si="27"/>
        <v>-9.2799999999999994E-2</v>
      </c>
      <c r="AX221" s="6">
        <f t="shared" si="27"/>
        <v>-9.2799999999999994E-2</v>
      </c>
      <c r="AY221" s="6">
        <f t="shared" si="27"/>
        <v>-9.2799999999999994E-2</v>
      </c>
      <c r="AZ221" s="6">
        <f t="shared" si="27"/>
        <v>-9.2799999999999994E-2</v>
      </c>
      <c r="BA221" s="6">
        <f t="shared" si="27"/>
        <v>-9.2799999999999994E-2</v>
      </c>
    </row>
    <row r="222" spans="1:53" outlineLevel="1" x14ac:dyDescent="0.35">
      <c r="A222" s="6" t="s">
        <v>38</v>
      </c>
      <c r="B222" s="6">
        <f>'Results - raw data ReCiPe (H)'!C85</f>
        <v>1.8593796959748408E-2</v>
      </c>
      <c r="AB222" s="23" t="s">
        <v>125</v>
      </c>
      <c r="AC222" s="17">
        <f t="shared" ref="AC222:BA222" si="28">SUM(AC214:AC221)</f>
        <v>9.724334705522486E-2</v>
      </c>
      <c r="AD222" s="17">
        <f t="shared" si="28"/>
        <v>-6.1015833205304737E-2</v>
      </c>
      <c r="AE222" s="17">
        <f t="shared" si="28"/>
        <v>-6.3459622292088153E-2</v>
      </c>
      <c r="AF222" s="17">
        <f t="shared" si="28"/>
        <v>-6.4076335116243263E-2</v>
      </c>
      <c r="AG222" s="17">
        <f t="shared" si="28"/>
        <v>-6.8434990811996582E-2</v>
      </c>
      <c r="AH222" s="17">
        <f t="shared" si="28"/>
        <v>-7.0912669059307598E-2</v>
      </c>
      <c r="AI222" s="17">
        <f t="shared" si="28"/>
        <v>-6.9316042020485122E-2</v>
      </c>
      <c r="AJ222" s="17">
        <f t="shared" si="28"/>
        <v>-7.137093214841865E-2</v>
      </c>
      <c r="AK222" s="17">
        <f t="shared" si="28"/>
        <v>-7.1644186757612721E-2</v>
      </c>
      <c r="AL222" s="17">
        <f t="shared" si="28"/>
        <v>-7.0077630080789099E-2</v>
      </c>
      <c r="AM222" s="17">
        <f t="shared" si="28"/>
        <v>-7.212954800203196E-2</v>
      </c>
      <c r="AN222" s="17">
        <f t="shared" si="28"/>
        <v>-7.2251536048963685E-2</v>
      </c>
      <c r="AO222" s="17">
        <f t="shared" si="28"/>
        <v>-7.0571056818661257E-2</v>
      </c>
      <c r="AP222" s="17">
        <f t="shared" si="28"/>
        <v>-7.2497481338371958E-2</v>
      </c>
      <c r="AQ222" s="17">
        <f t="shared" si="28"/>
        <v>-7.2615639116213909E-2</v>
      </c>
      <c r="AR222" s="17">
        <f t="shared" si="28"/>
        <v>-7.0938512782192417E-2</v>
      </c>
      <c r="AS222" s="17">
        <f t="shared" si="28"/>
        <v>-7.3252479602372689E-2</v>
      </c>
      <c r="AT222" s="17">
        <f t="shared" si="28"/>
        <v>-7.3769920564080882E-2</v>
      </c>
      <c r="AU222" s="17">
        <f t="shared" si="28"/>
        <v>-7.2505221414487273E-2</v>
      </c>
      <c r="AV222" s="17">
        <f t="shared" si="28"/>
        <v>-7.4802112637333884E-2</v>
      </c>
      <c r="AW222" s="17">
        <f t="shared" si="28"/>
        <v>-7.5310245503402817E-2</v>
      </c>
      <c r="AX222" s="17">
        <f t="shared" si="28"/>
        <v>-7.346172022139362E-2</v>
      </c>
      <c r="AY222" s="17">
        <f t="shared" si="28"/>
        <v>-7.5598492862590003E-2</v>
      </c>
      <c r="AZ222" s="17">
        <f t="shared" si="28"/>
        <v>-7.5945309051774434E-2</v>
      </c>
      <c r="BA222" s="17">
        <f t="shared" si="28"/>
        <v>-7.333565028023134E-2</v>
      </c>
    </row>
    <row r="223" spans="1:53" outlineLevel="1" x14ac:dyDescent="0.35">
      <c r="A223" s="6" t="s">
        <v>39</v>
      </c>
      <c r="B223" s="6">
        <f>'Results - raw data ReCiPe (H)'!C86</f>
        <v>4.6894275088252467E-2</v>
      </c>
    </row>
    <row r="224" spans="1:53" outlineLevel="1" x14ac:dyDescent="0.35">
      <c r="A224" s="6" t="s">
        <v>41</v>
      </c>
      <c r="B224" s="6">
        <f>'Results - raw data ReCiPe (H)'!C87</f>
        <v>2.6822864157904019E-4</v>
      </c>
    </row>
    <row r="225" spans="1:53" outlineLevel="1" x14ac:dyDescent="0.35">
      <c r="A225" s="6" t="s">
        <v>43</v>
      </c>
      <c r="B225" s="6">
        <f>'Results - raw data ReCiPe (H)'!C88</f>
        <v>8.5216131252606215E-4</v>
      </c>
      <c r="AB225" s="282"/>
      <c r="AC225" s="282"/>
      <c r="AD225" s="282"/>
      <c r="AE225" s="282"/>
      <c r="AF225" s="282"/>
      <c r="AG225" s="282"/>
      <c r="AH225" s="282"/>
      <c r="AI225" s="282"/>
      <c r="AJ225" s="282"/>
      <c r="AK225" s="282"/>
      <c r="AL225" s="282"/>
      <c r="AM225" s="282"/>
      <c r="AN225" s="282"/>
      <c r="AO225" s="282"/>
      <c r="AP225" s="282"/>
      <c r="AQ225" s="282"/>
      <c r="AR225" s="282"/>
      <c r="AS225" s="282"/>
      <c r="AT225" s="282"/>
      <c r="AU225" s="282"/>
      <c r="AV225" s="282"/>
      <c r="AW225" s="282"/>
      <c r="AX225" s="282"/>
      <c r="AY225" s="282"/>
      <c r="AZ225" s="282"/>
      <c r="BA225" s="282"/>
    </row>
    <row r="226" spans="1:53" outlineLevel="1" x14ac:dyDescent="0.35">
      <c r="A226" s="6" t="s">
        <v>44</v>
      </c>
      <c r="B226" s="6">
        <f>'Results - raw data ReCiPe (H)'!C89*AC210*AC212</f>
        <v>8.977436741851275E-3</v>
      </c>
      <c r="AB226" s="282"/>
      <c r="AC226" s="282"/>
      <c r="AD226" s="282"/>
      <c r="AE226" s="282"/>
      <c r="AF226" s="282"/>
      <c r="AG226" s="282"/>
      <c r="AH226" s="282"/>
      <c r="AI226" s="282"/>
      <c r="AJ226" s="282"/>
      <c r="AK226" s="282"/>
      <c r="AL226" s="282"/>
      <c r="AM226" s="282"/>
      <c r="AN226" s="282"/>
      <c r="AO226" s="282"/>
      <c r="AP226" s="282"/>
      <c r="AQ226" s="282"/>
      <c r="AR226" s="282"/>
      <c r="AS226" s="282"/>
      <c r="AT226" s="282"/>
      <c r="AU226" s="282"/>
      <c r="AV226" s="282"/>
      <c r="AW226" s="282"/>
      <c r="AX226" s="282"/>
      <c r="AY226" s="282"/>
      <c r="AZ226" s="282"/>
      <c r="BA226" s="282"/>
    </row>
    <row r="227" spans="1:53" outlineLevel="1" x14ac:dyDescent="0.35">
      <c r="A227" s="6" t="s">
        <v>757</v>
      </c>
      <c r="B227" s="6">
        <f>'Results - raw data ReCiPe (H)'!C90*AC210*AC212</f>
        <v>1.4230293024424689E-2</v>
      </c>
      <c r="AB227" s="282"/>
      <c r="AC227" s="282"/>
      <c r="AD227" s="282"/>
      <c r="AE227" s="282"/>
      <c r="AF227" s="282"/>
      <c r="AG227" s="282"/>
      <c r="AH227" s="282"/>
      <c r="AI227" s="282"/>
      <c r="AJ227" s="282"/>
      <c r="AK227" s="282"/>
      <c r="AL227" s="282"/>
      <c r="AM227" s="282"/>
      <c r="AN227" s="282"/>
      <c r="AO227" s="282"/>
      <c r="AP227" s="282"/>
      <c r="AQ227" s="282"/>
      <c r="AR227" s="282"/>
      <c r="AS227" s="282"/>
      <c r="AT227" s="282"/>
      <c r="AU227" s="282"/>
      <c r="AV227" s="282"/>
      <c r="AW227" s="282"/>
      <c r="AX227" s="282"/>
      <c r="AY227" s="282"/>
      <c r="AZ227" s="282"/>
      <c r="BA227" s="282"/>
    </row>
    <row r="228" spans="1:53" outlineLevel="1" x14ac:dyDescent="0.35">
      <c r="A228" s="6" t="s">
        <v>22</v>
      </c>
      <c r="Z228" s="6">
        <f>'Results - raw data ReCiPe (H)'!AA91</f>
        <v>2.4470472695532149E-5</v>
      </c>
      <c r="AB228" s="282"/>
      <c r="AC228" s="282"/>
      <c r="AD228" s="282"/>
      <c r="AE228" s="282"/>
      <c r="AF228" s="282"/>
      <c r="AG228" s="282"/>
      <c r="AH228" s="282"/>
      <c r="AI228" s="282"/>
      <c r="AJ228" s="282"/>
      <c r="AK228" s="282"/>
      <c r="AL228" s="282"/>
      <c r="AM228" s="282"/>
      <c r="AN228" s="282"/>
      <c r="AO228" s="282"/>
      <c r="AP228" s="282"/>
      <c r="AQ228" s="282"/>
      <c r="AR228" s="282"/>
      <c r="AS228" s="282"/>
      <c r="AT228" s="282"/>
      <c r="AU228" s="282"/>
      <c r="AV228" s="282"/>
      <c r="AW228" s="282"/>
      <c r="AX228" s="282"/>
      <c r="AY228" s="282"/>
      <c r="AZ228" s="282"/>
      <c r="BA228" s="282"/>
    </row>
    <row r="229" spans="1:53" outlineLevel="1" x14ac:dyDescent="0.35">
      <c r="A229" s="6" t="s">
        <v>24</v>
      </c>
      <c r="Z229" s="6">
        <f>'Results - raw data ReCiPe (H)'!AA92</f>
        <v>1.143222276225724E-5</v>
      </c>
      <c r="AB229" s="282"/>
      <c r="AC229" s="282"/>
      <c r="AD229" s="282"/>
      <c r="AE229" s="282"/>
      <c r="AF229" s="282"/>
      <c r="AG229" s="282"/>
      <c r="AH229" s="282"/>
      <c r="AI229" s="282"/>
      <c r="AJ229" s="282"/>
      <c r="AK229" s="282"/>
      <c r="AL229" s="282"/>
      <c r="AM229" s="282"/>
      <c r="AN229" s="282"/>
      <c r="AO229" s="282"/>
      <c r="AP229" s="282"/>
      <c r="AQ229" s="282"/>
      <c r="AR229" s="282"/>
      <c r="AS229" s="282"/>
      <c r="AT229" s="282"/>
      <c r="AU229" s="282"/>
      <c r="AV229" s="282"/>
      <c r="AW229" s="282"/>
      <c r="AX229" s="282"/>
      <c r="AY229" s="282"/>
      <c r="AZ229" s="282"/>
      <c r="BA229" s="282"/>
    </row>
    <row r="230" spans="1:53" outlineLevel="1" x14ac:dyDescent="0.35">
      <c r="A230" s="6" t="s">
        <v>25</v>
      </c>
      <c r="Z230" s="6">
        <f>'Results - raw data ReCiPe (H)'!AA93</f>
        <v>3.739067920649309E-5</v>
      </c>
      <c r="AB230" s="282"/>
      <c r="AC230" s="282"/>
      <c r="AD230" s="282"/>
      <c r="AE230" s="282"/>
      <c r="AF230" s="282"/>
      <c r="AG230" s="282"/>
      <c r="AH230" s="282"/>
      <c r="AI230" s="282"/>
      <c r="AJ230" s="282"/>
      <c r="AK230" s="282"/>
      <c r="AL230" s="282"/>
      <c r="AM230" s="282"/>
      <c r="AN230" s="282"/>
      <c r="AO230" s="282"/>
      <c r="AP230" s="282"/>
      <c r="AQ230" s="282"/>
      <c r="AR230" s="282"/>
      <c r="AS230" s="282"/>
      <c r="AT230" s="282"/>
      <c r="AU230" s="282"/>
      <c r="AV230" s="282"/>
      <c r="AW230" s="282"/>
      <c r="AX230" s="282"/>
      <c r="AY230" s="282"/>
      <c r="AZ230" s="282"/>
      <c r="BA230" s="282"/>
    </row>
    <row r="231" spans="1:53" outlineLevel="1" x14ac:dyDescent="0.35">
      <c r="A231" s="6" t="s">
        <v>27</v>
      </c>
      <c r="Z231" s="6">
        <f>'Results - raw data ReCiPe (H)'!AA94</f>
        <v>1.593392328279023E-5</v>
      </c>
      <c r="AB231" s="282"/>
      <c r="AC231" s="282"/>
      <c r="AD231" s="282"/>
      <c r="AE231" s="282"/>
      <c r="AF231" s="282"/>
      <c r="AG231" s="282"/>
      <c r="AH231" s="282"/>
      <c r="AI231" s="282"/>
      <c r="AJ231" s="282"/>
      <c r="AK231" s="282"/>
      <c r="AL231" s="282"/>
      <c r="AM231" s="282"/>
      <c r="AN231" s="282"/>
      <c r="AO231" s="282"/>
      <c r="AP231" s="282"/>
      <c r="AQ231" s="282"/>
      <c r="AR231" s="282"/>
      <c r="AS231" s="282"/>
      <c r="AT231" s="282"/>
      <c r="AU231" s="282"/>
      <c r="AV231" s="282"/>
      <c r="AW231" s="282"/>
      <c r="AX231" s="282"/>
      <c r="AY231" s="282"/>
      <c r="AZ231" s="282"/>
      <c r="BA231" s="282"/>
    </row>
    <row r="232" spans="1:53" outlineLevel="1" x14ac:dyDescent="0.35">
      <c r="A232" s="6" t="s">
        <v>30</v>
      </c>
      <c r="Z232" s="6">
        <f>'Results - raw data ReCiPe (H)'!AA95</f>
        <v>3.2280205040430099E-5</v>
      </c>
      <c r="AB232" s="282"/>
      <c r="AC232" s="282"/>
      <c r="AD232" s="282"/>
      <c r="AE232" s="282"/>
      <c r="AF232" s="282"/>
      <c r="AG232" s="282"/>
      <c r="AH232" s="282"/>
      <c r="AI232" s="282"/>
      <c r="AJ232" s="282"/>
      <c r="AK232" s="282"/>
      <c r="AL232" s="282"/>
      <c r="AM232" s="282"/>
      <c r="AN232" s="282"/>
      <c r="AO232" s="282"/>
      <c r="AP232" s="282"/>
      <c r="AQ232" s="282"/>
      <c r="AR232" s="282"/>
      <c r="AS232" s="282"/>
      <c r="AT232" s="282"/>
      <c r="AU232" s="282"/>
      <c r="AV232" s="282"/>
      <c r="AW232" s="282"/>
      <c r="AX232" s="282"/>
      <c r="AY232" s="282"/>
      <c r="AZ232" s="282"/>
      <c r="BA232" s="282"/>
    </row>
    <row r="233" spans="1:53" outlineLevel="1" x14ac:dyDescent="0.35">
      <c r="A233" s="6" t="s">
        <v>32</v>
      </c>
      <c r="Z233" s="6">
        <f>'Results - raw data ReCiPe (H)'!AA96</f>
        <v>4.2863781753696463E-6</v>
      </c>
      <c r="AB233" s="282"/>
      <c r="AC233" s="282"/>
      <c r="AD233" s="282"/>
      <c r="AE233" s="282"/>
      <c r="AF233" s="282"/>
      <c r="AG233" s="282"/>
      <c r="AH233" s="282"/>
      <c r="AI233" s="282"/>
      <c r="AJ233" s="282"/>
      <c r="AK233" s="282"/>
      <c r="AL233" s="282"/>
      <c r="AM233" s="282"/>
      <c r="AN233" s="282"/>
      <c r="AO233" s="282"/>
      <c r="AP233" s="282"/>
      <c r="AQ233" s="282"/>
      <c r="AR233" s="282"/>
      <c r="AS233" s="282"/>
      <c r="AT233" s="282"/>
      <c r="AU233" s="282"/>
      <c r="AV233" s="282"/>
      <c r="AW233" s="282"/>
      <c r="AX233" s="282"/>
      <c r="AY233" s="282"/>
      <c r="AZ233" s="282"/>
      <c r="BA233" s="282"/>
    </row>
    <row r="234" spans="1:53" outlineLevel="1" x14ac:dyDescent="0.35">
      <c r="A234" s="6" t="s">
        <v>33</v>
      </c>
      <c r="Z234" s="6">
        <f>'Results - raw data ReCiPe (H)'!AA97</f>
        <v>8.1784888544495171E-6</v>
      </c>
      <c r="AB234" s="282"/>
      <c r="AC234" s="282"/>
      <c r="AD234" s="282"/>
      <c r="AE234" s="282"/>
      <c r="AF234" s="282"/>
      <c r="AG234" s="282"/>
      <c r="AH234" s="282"/>
      <c r="AI234" s="282"/>
      <c r="AJ234" s="282"/>
      <c r="AK234" s="282"/>
      <c r="AL234" s="282"/>
      <c r="AM234" s="282"/>
      <c r="AN234" s="282"/>
      <c r="AO234" s="282"/>
      <c r="AP234" s="282"/>
      <c r="AQ234" s="282"/>
      <c r="AR234" s="282"/>
      <c r="AS234" s="282"/>
      <c r="AT234" s="282"/>
      <c r="AU234" s="282"/>
      <c r="AV234" s="282"/>
      <c r="AW234" s="282"/>
      <c r="AX234" s="282"/>
      <c r="AY234" s="282"/>
      <c r="AZ234" s="282"/>
      <c r="BA234" s="282"/>
    </row>
    <row r="235" spans="1:53" outlineLevel="1" x14ac:dyDescent="0.35">
      <c r="A235" s="6" t="s">
        <v>35</v>
      </c>
      <c r="Z235" s="6">
        <f>'Results - raw data ReCiPe (H)'!AA98</f>
        <v>1.6356977708899031E-5</v>
      </c>
      <c r="AB235" s="282"/>
      <c r="AC235" s="282"/>
      <c r="AD235" s="282"/>
      <c r="AE235" s="282"/>
      <c r="AF235" s="282"/>
      <c r="AG235" s="282"/>
      <c r="AH235" s="282"/>
      <c r="AI235" s="282"/>
      <c r="AJ235" s="282"/>
      <c r="AK235" s="282"/>
      <c r="AL235" s="282"/>
      <c r="AM235" s="282"/>
      <c r="AN235" s="282"/>
      <c r="AO235" s="282"/>
      <c r="AP235" s="282"/>
      <c r="AQ235" s="282"/>
      <c r="AR235" s="282"/>
      <c r="AS235" s="282"/>
      <c r="AT235" s="282"/>
      <c r="AU235" s="282"/>
      <c r="AV235" s="282"/>
      <c r="AW235" s="282"/>
      <c r="AX235" s="282"/>
      <c r="AY235" s="282"/>
      <c r="AZ235" s="282"/>
      <c r="BA235" s="282"/>
    </row>
    <row r="236" spans="1:53" outlineLevel="1" x14ac:dyDescent="0.35">
      <c r="A236" s="6" t="s">
        <v>37</v>
      </c>
      <c r="Z236" s="6">
        <f>'Results - raw data ReCiPe (H)'!AA99</f>
        <v>3.8394060112131092E-5</v>
      </c>
      <c r="AB236" s="282"/>
      <c r="AC236" s="282"/>
      <c r="AD236" s="282"/>
      <c r="AE236" s="282"/>
      <c r="AF236" s="282"/>
      <c r="AG236" s="282"/>
      <c r="AH236" s="282"/>
      <c r="AI236" s="282"/>
      <c r="AJ236" s="282"/>
      <c r="AK236" s="282"/>
      <c r="AL236" s="282"/>
      <c r="AM236" s="282"/>
      <c r="AN236" s="282"/>
      <c r="AO236" s="282"/>
      <c r="AP236" s="282"/>
      <c r="AQ236" s="282"/>
      <c r="AR236" s="282"/>
      <c r="AS236" s="282"/>
      <c r="AT236" s="282"/>
      <c r="AU236" s="282"/>
      <c r="AV236" s="282"/>
      <c r="AW236" s="282"/>
      <c r="AX236" s="282"/>
      <c r="AY236" s="282"/>
      <c r="AZ236" s="282"/>
      <c r="BA236" s="282"/>
    </row>
    <row r="237" spans="1:53" outlineLevel="1" x14ac:dyDescent="0.35">
      <c r="A237" s="6" t="s">
        <v>40</v>
      </c>
      <c r="Z237" s="6">
        <f>'Results - raw data ReCiPe (H)'!AA100</f>
        <v>5.9291416813558179E-4</v>
      </c>
    </row>
    <row r="238" spans="1:53" outlineLevel="1" x14ac:dyDescent="0.35">
      <c r="A238" s="6" t="s">
        <v>42</v>
      </c>
      <c r="Z238" s="6">
        <f>'Results - raw data ReCiPe (H)'!AA101</f>
        <v>5.1359748101639407E-5</v>
      </c>
    </row>
    <row r="239" spans="1:53" outlineLevel="1" x14ac:dyDescent="0.35">
      <c r="A239" s="6" t="s">
        <v>115</v>
      </c>
      <c r="Z239" s="6">
        <f>'Results - raw data ReCiPe (H)'!AA102</f>
        <v>3.0345185886003018E-4</v>
      </c>
    </row>
    <row r="240" spans="1:53" outlineLevel="1" x14ac:dyDescent="0.35">
      <c r="A240" s="6" t="s">
        <v>45</v>
      </c>
      <c r="Z240" s="6">
        <f>'Results - raw data ReCiPe (H)'!AA103*AC210*AC212</f>
        <v>3.4041847576099076E-5</v>
      </c>
    </row>
    <row r="241" spans="1:26" outlineLevel="1" x14ac:dyDescent="0.35">
      <c r="A241" s="6" t="s">
        <v>116</v>
      </c>
      <c r="B241" s="6">
        <f>'Results - raw data ReCiPe (H)'!C104</f>
        <v>1.9848842622015748E-3</v>
      </c>
      <c r="C241" s="6">
        <f>'Results - raw data ReCiPe (H)'!D104</f>
        <v>1.9562150558131639E-3</v>
      </c>
      <c r="D241" s="6">
        <f>'Results - raw data ReCiPe (H)'!E104</f>
        <v>1.927059632671337E-3</v>
      </c>
      <c r="E241" s="6">
        <f>'Results - raw data ReCiPe (H)'!F104</f>
        <v>1.889975707684352E-3</v>
      </c>
      <c r="F241" s="6">
        <f>'Results - raw data ReCiPe (H)'!G104</f>
        <v>1.8596825109945729E-3</v>
      </c>
      <c r="G241" s="6">
        <f>'Results - raw data ReCiPe (H)'!H104</f>
        <v>1.8287132515525651E-3</v>
      </c>
      <c r="H241" s="6">
        <f>'Results - raw data ReCiPe (H)'!I104</f>
        <v>1.8240269819210511E-3</v>
      </c>
      <c r="I241" s="6">
        <f>'Results - raw data ReCiPe (H)'!J104</f>
        <v>1.81940860209094E-3</v>
      </c>
      <c r="J241" s="6">
        <f>'Results - raw data ReCiPe (H)'!K104</f>
        <v>1.8114375105735641E-3</v>
      </c>
      <c r="K241" s="6">
        <f>'Results - raw data ReCiPe (H)'!L104</f>
        <v>1.8069758007361711E-3</v>
      </c>
      <c r="L241" s="6">
        <f>'Results - raw data ReCiPe (H)'!M104</f>
        <v>1.802550656783997E-3</v>
      </c>
      <c r="M241" s="6">
        <f>'Results - raw data ReCiPe (H)'!N104</f>
        <v>1.8011237099181739E-3</v>
      </c>
      <c r="N241" s="6">
        <f>'Results - raw data ReCiPe (H)'!O104</f>
        <v>1.799728004873463E-3</v>
      </c>
      <c r="O241" s="6">
        <f>'Results - raw data ReCiPe (H)'!P104</f>
        <v>1.797350991149333E-3</v>
      </c>
      <c r="P241" s="6">
        <f>'Results - raw data ReCiPe (H)'!Q104</f>
        <v>1.7960072204838511E-3</v>
      </c>
      <c r="Q241" s="6">
        <f>'Results - raw data ReCiPe (H)'!R104</f>
        <v>1.7946676192961261E-3</v>
      </c>
      <c r="R241" s="6">
        <f>'Results - raw data ReCiPe (H)'!S104</f>
        <v>1.7921661278737079E-3</v>
      </c>
      <c r="S241" s="6">
        <f>'Results - raw data ReCiPe (H)'!T104</f>
        <v>1.789684688556732E-3</v>
      </c>
      <c r="T241" s="6">
        <f>'Results - raw data ReCiPe (H)'!U104</f>
        <v>1.786311731211142E-3</v>
      </c>
      <c r="U241" s="6">
        <f>'Results - raw data ReCiPe (H)'!V104</f>
        <v>1.783894800268534E-3</v>
      </c>
      <c r="V241" s="6">
        <f>'Results - raw data ReCiPe (H)'!W104</f>
        <v>1.78148582755011E-3</v>
      </c>
      <c r="W241" s="6">
        <f>'Results - raw data ReCiPe (H)'!X104</f>
        <v>1.790817045871237E-3</v>
      </c>
      <c r="X241" s="6">
        <f>'Results - raw data ReCiPe (H)'!Y104</f>
        <v>1.7895035743440109E-3</v>
      </c>
      <c r="Y241" s="6">
        <f>'Results - raw data ReCiPe (H)'!Z104</f>
        <v>1.7881953599072019E-3</v>
      </c>
      <c r="Z241" s="6">
        <f>'Results - raw data ReCiPe (H)'!AA104</f>
        <v>1.786892271072078E-3</v>
      </c>
    </row>
    <row r="242" spans="1:26" outlineLevel="1" x14ac:dyDescent="0.35">
      <c r="A242" s="6" t="s">
        <v>758</v>
      </c>
      <c r="B242" s="6">
        <f>'Results - raw data ReCiPe (H)'!C179*$AC$210</f>
        <v>6.4113413642919994E-3</v>
      </c>
      <c r="C242" s="6">
        <f>'Results - raw data ReCiPe (H)'!D179*$AC$210</f>
        <v>6.1870563164082874E-3</v>
      </c>
      <c r="D242" s="6">
        <f>'Results - raw data ReCiPe (H)'!E179*$AC$210</f>
        <v>5.963008535558088E-3</v>
      </c>
      <c r="E242" s="6">
        <f>'Results - raw data ReCiPe (H)'!F179*$AC$210</f>
        <v>5.734630362996632E-3</v>
      </c>
      <c r="F242" s="6">
        <f>'Results - raw data ReCiPe (H)'!G179*$AC$210</f>
        <v>5.5108903406053209E-3</v>
      </c>
      <c r="G242" s="6">
        <f>'Results - raw data ReCiPe (H)'!H179*$AC$210</f>
        <v>5.287579473543043E-3</v>
      </c>
      <c r="H242" s="6">
        <f>'Results - raw data ReCiPe (H)'!I179*$AC$210</f>
        <v>5.2674711073858287E-3</v>
      </c>
      <c r="I242" s="6">
        <f>'Results - raw data ReCiPe (H)'!J179*$AC$210</f>
        <v>5.247043547117405E-3</v>
      </c>
      <c r="J242" s="6">
        <f>'Results - raw data ReCiPe (H)'!K179*$AC$210</f>
        <v>5.2228528819114701E-3</v>
      </c>
      <c r="K242" s="6">
        <f>'Results - raw data ReCiPe (H)'!L179*$AC$210</f>
        <v>5.2016072909041606E-3</v>
      </c>
      <c r="L242" s="6">
        <f>'Results - raw data ReCiPe (H)'!M179*$AC$210</f>
        <v>5.179982770564715E-3</v>
      </c>
      <c r="M242" s="6">
        <f>'Results - raw data ReCiPe (H)'!N179*$AC$210</f>
        <v>5.1686646284624322E-3</v>
      </c>
      <c r="N242" s="6">
        <f>'Results - raw data ReCiPe (H)'!O179*$AC$210</f>
        <v>5.1575362985013772E-3</v>
      </c>
      <c r="O242" s="6">
        <f>'Results - raw data ReCiPe (H)'!P179*$AC$210</f>
        <v>5.1457028910987124E-3</v>
      </c>
      <c r="P242" s="6">
        <f>'Results - raw data ReCiPe (H)'!Q179*$AC$210</f>
        <v>5.1346104092235842E-3</v>
      </c>
      <c r="Q242" s="6">
        <f>'Results - raw data ReCiPe (H)'!R179*$AC$210</f>
        <v>5.1235542689888267E-3</v>
      </c>
      <c r="R242" s="6">
        <f>'Results - raw data ReCiPe (H)'!S179*$AC$210</f>
        <v>5.0752136012556948E-3</v>
      </c>
      <c r="S242" s="6">
        <f>'Results - raw data ReCiPe (H)'!T179*$AC$210</f>
        <v>5.0266829857731343E-3</v>
      </c>
      <c r="T242" s="6">
        <f>'Results - raw data ReCiPe (H)'!U179*$AC$210</f>
        <v>4.9774210504638572E-3</v>
      </c>
      <c r="U242" s="6">
        <f>'Results - raw data ReCiPe (H)'!V179*$AC$210</f>
        <v>4.9288028304039742E-3</v>
      </c>
      <c r="V242" s="6">
        <f>'Results - raw data ReCiPe (H)'!W179*$AC$210</f>
        <v>4.8800914838041968E-3</v>
      </c>
      <c r="W242" s="6">
        <f>'Results - raw data ReCiPe (H)'!X179*$AC$210</f>
        <v>4.8922208815631958E-3</v>
      </c>
      <c r="X242" s="6">
        <f>'Results - raw data ReCiPe (H)'!Y179*$AC$210</f>
        <v>4.8614659440340217E-3</v>
      </c>
      <c r="Y242" s="6">
        <f>'Results - raw data ReCiPe (H)'!Z179*$AC$210</f>
        <v>4.8307189143537016E-3</v>
      </c>
      <c r="Z242" s="6">
        <f>'Results - raw data ReCiPe (H)'!AA179*$AC$210</f>
        <v>4.7999740775658394E-3</v>
      </c>
    </row>
    <row r="243" spans="1:26" outlineLevel="1" x14ac:dyDescent="0.35">
      <c r="A243" s="6" t="s">
        <v>759</v>
      </c>
      <c r="B243" s="6">
        <f>'Results - raw data ReCiPe (H)'!C106</f>
        <v>0</v>
      </c>
      <c r="C243" s="6">
        <f>'Results - raw data ReCiPe (H)'!D106</f>
        <v>0</v>
      </c>
      <c r="D243" s="6">
        <f>'Results - raw data ReCiPe (H)'!E106</f>
        <v>0</v>
      </c>
      <c r="E243" s="6">
        <f>'Results - raw data ReCiPe (H)'!F106</f>
        <v>0</v>
      </c>
      <c r="F243" s="6">
        <f>'Results - raw data ReCiPe (H)'!G106</f>
        <v>0</v>
      </c>
      <c r="G243" s="6">
        <f>'Results - raw data ReCiPe (H)'!H106</f>
        <v>0</v>
      </c>
      <c r="H243" s="6">
        <f>'Results - raw data ReCiPe (H)'!I106</f>
        <v>0</v>
      </c>
      <c r="I243" s="6">
        <f>'Results - raw data ReCiPe (H)'!J106</f>
        <v>0</v>
      </c>
      <c r="J243" s="6">
        <f>'Results - raw data ReCiPe (H)'!K106</f>
        <v>0</v>
      </c>
      <c r="K243" s="6">
        <f>'Results - raw data ReCiPe (H)'!L106</f>
        <v>0</v>
      </c>
      <c r="L243" s="6">
        <f>'Results - raw data ReCiPe (H)'!M106</f>
        <v>0</v>
      </c>
      <c r="M243" s="6">
        <f>'Results - raw data ReCiPe (H)'!N106</f>
        <v>0</v>
      </c>
      <c r="N243" s="6">
        <f>'Results - raw data ReCiPe (H)'!O106</f>
        <v>0</v>
      </c>
      <c r="O243" s="6">
        <f>'Results - raw data ReCiPe (H)'!P106</f>
        <v>0</v>
      </c>
      <c r="P243" s="6">
        <f>'Results - raw data ReCiPe (H)'!Q106</f>
        <v>0</v>
      </c>
      <c r="Q243" s="6">
        <f>'Results - raw data ReCiPe (H)'!R106</f>
        <v>0</v>
      </c>
      <c r="R243" s="6">
        <f>'Results - raw data ReCiPe (H)'!S106</f>
        <v>0</v>
      </c>
      <c r="S243" s="6">
        <f>'Results - raw data ReCiPe (H)'!T106</f>
        <v>0</v>
      </c>
      <c r="T243" s="6">
        <f>'Results - raw data ReCiPe (H)'!U106</f>
        <v>0</v>
      </c>
      <c r="U243" s="6">
        <f>'Results - raw data ReCiPe (H)'!V106</f>
        <v>0</v>
      </c>
      <c r="V243" s="6">
        <f>'Results - raw data ReCiPe (H)'!W106</f>
        <v>0</v>
      </c>
      <c r="W243" s="6">
        <f>'Results - raw data ReCiPe (H)'!X106</f>
        <v>0</v>
      </c>
      <c r="X243" s="6">
        <f>'Results - raw data ReCiPe (H)'!Y106</f>
        <v>0</v>
      </c>
      <c r="Y243" s="6">
        <f>'Results - raw data ReCiPe (H)'!Z106</f>
        <v>0</v>
      </c>
      <c r="Z243" s="6">
        <f>'Results - raw data ReCiPe (H)'!AA106</f>
        <v>0</v>
      </c>
    </row>
    <row r="244" spans="1:26" outlineLevel="1" x14ac:dyDescent="0.35">
      <c r="A244" s="6" t="s">
        <v>760</v>
      </c>
      <c r="B244" s="6">
        <f>150000*($AC$211*'Results - raw data ReCiPe (H)'!C128+(1-$AC$211)*'Results - raw data ReCiPe (H)'!C129)</f>
        <v>2.7805402985483764E-2</v>
      </c>
      <c r="C244" s="6">
        <f>150000*($AC$211*'Results - raw data ReCiPe (H)'!D128+(1-$AC$211)*'Results - raw data ReCiPe (H)'!D129)</f>
        <v>2.5597110478286972E-2</v>
      </c>
      <c r="D244" s="6">
        <f>150000*($AC$211*'Results - raw data ReCiPe (H)'!E128+(1-$AC$211)*'Results - raw data ReCiPe (H)'!E129)</f>
        <v>2.3377369172353744E-2</v>
      </c>
      <c r="E244" s="6">
        <f>150000*($AC$211*'Results - raw data ReCiPe (H)'!F128+(1-$AC$211)*'Results - raw data ReCiPe (H)'!F129)</f>
        <v>2.1099058813075746E-2</v>
      </c>
      <c r="F244" s="6">
        <f>150000*($AC$211*'Results - raw data ReCiPe (H)'!G128+(1-$AC$211)*'Results - raw data ReCiPe (H)'!G129)</f>
        <v>1.8854118847398099E-2</v>
      </c>
      <c r="G244" s="6">
        <f>150000*($AC$211*'Results - raw data ReCiPe (H)'!H128+(1-$AC$211)*'Results - raw data ReCiPe (H)'!H129)</f>
        <v>1.6599751467149353E-2</v>
      </c>
      <c r="H244" s="6">
        <f>150000*($AC$211*'Results - raw data ReCiPe (H)'!I128+(1-$AC$211)*'Results - raw data ReCiPe (H)'!I129)</f>
        <v>1.6392459890207992E-2</v>
      </c>
      <c r="I244" s="6">
        <f>150000*($AC$211*'Results - raw data ReCiPe (H)'!J128+(1-$AC$211)*'Results - raw data ReCiPe (H)'!J129)</f>
        <v>1.6182024304463936E-2</v>
      </c>
      <c r="J244" s="6">
        <f>150000*($AC$211*'Results - raw data ReCiPe (H)'!K128+(1-$AC$211)*'Results - raw data ReCiPe (H)'!K129)</f>
        <v>1.5932960360475808E-2</v>
      </c>
      <c r="K244" s="6">
        <f>150000*($AC$211*'Results - raw data ReCiPe (H)'!L128+(1-$AC$211)*'Results - raw data ReCiPe (H)'!L129)</f>
        <v>1.5713786827570561E-2</v>
      </c>
      <c r="L244" s="6">
        <f>150000*($AC$211*'Results - raw data ReCiPe (H)'!M128+(1-$AC$211)*'Results - raw data ReCiPe (H)'!M129)</f>
        <v>1.5490469227403323E-2</v>
      </c>
      <c r="M244" s="6">
        <f>150000*($AC$211*'Results - raw data ReCiPe (H)'!N128+(1-$AC$211)*'Results - raw data ReCiPe (H)'!N129)</f>
        <v>1.5379799322573877E-2</v>
      </c>
      <c r="N244" s="6">
        <f>150000*($AC$211*'Results - raw data ReCiPe (H)'!O128+(1-$AC$211)*'Results - raw data ReCiPe (H)'!O129)</f>
        <v>1.5271678877963896E-2</v>
      </c>
      <c r="O244" s="6">
        <f>150000*($AC$211*'Results - raw data ReCiPe (H)'!P128+(1-$AC$211)*'Results - raw data ReCiPe (H)'!P129)</f>
        <v>1.515681577052932E-2</v>
      </c>
      <c r="P244" s="6">
        <f>150000*($AC$211*'Results - raw data ReCiPe (H)'!Q128+(1-$AC$211)*'Results - raw data ReCiPe (H)'!Q129)</f>
        <v>1.5049750474562492E-2</v>
      </c>
      <c r="Q244" s="6">
        <f>150000*($AC$211*'Results - raw data ReCiPe (H)'!R128+(1-$AC$211)*'Results - raw data ReCiPe (H)'!R129)</f>
        <v>1.4943265329522629E-2</v>
      </c>
      <c r="R244" s="6">
        <f>150000*($AC$211*'Results - raw data ReCiPe (H)'!S128+(1-$AC$211)*'Results - raw data ReCiPe (H)'!S129)</f>
        <v>1.4472306796371601E-2</v>
      </c>
      <c r="S244" s="6">
        <f>150000*($AC$211*'Results - raw data ReCiPe (H)'!T128+(1-$AC$211)*'Results - raw data ReCiPe (H)'!T129)</f>
        <v>1.4003396450145969E-2</v>
      </c>
      <c r="T244" s="6">
        <f>150000*($AC$211*'Results - raw data ReCiPe (H)'!U128+(1-$AC$211)*'Results - raw data ReCiPe (H)'!U129)</f>
        <v>1.3531045803837721E-2</v>
      </c>
      <c r="U244" s="6">
        <f>150000*($AC$211*'Results - raw data ReCiPe (H)'!V128+(1-$AC$211)*'Results - raw data ReCiPe (H)'!V129)</f>
        <v>1.3069084532262144E-2</v>
      </c>
      <c r="V244" s="6">
        <f>150000*($AC$211*'Results - raw data ReCiPe (H)'!W128+(1-$AC$211)*'Results - raw data ReCiPe (H)'!W129)</f>
        <v>1.2609663012792977E-2</v>
      </c>
      <c r="W244" s="6">
        <f>150000*($AC$211*'Results - raw data ReCiPe (H)'!X128+(1-$AC$211)*'Results - raw data ReCiPe (H)'!X129)</f>
        <v>1.2655241851171941E-2</v>
      </c>
      <c r="X244" s="6">
        <f>150000*($AC$211*'Results - raw data ReCiPe (H)'!Y128+(1-$AC$211)*'Results - raw data ReCiPe (H)'!Y129)</f>
        <v>1.2340041193375966E-2</v>
      </c>
      <c r="Y244" s="6">
        <f>150000*($AC$211*'Results - raw data ReCiPe (H)'!Z128+(1-$AC$211)*'Results - raw data ReCiPe (H)'!Z129)</f>
        <v>1.2023972033871863E-2</v>
      </c>
      <c r="Z244" s="6">
        <f>150000*($AC$211*'Results - raw data ReCiPe (H)'!AA128+(1-$AC$211)*'Results - raw data ReCiPe (H)'!AA129)</f>
        <v>1.1706992340619025E-2</v>
      </c>
    </row>
    <row r="245" spans="1:26" outlineLevel="1" x14ac:dyDescent="0.35">
      <c r="A245" s="23" t="s">
        <v>125</v>
      </c>
      <c r="B245" s="17">
        <f t="shared" ref="B245:Z245" si="29">SUM(B214:B244)</f>
        <v>0.19004334705522485</v>
      </c>
      <c r="C245" s="17">
        <f t="shared" si="29"/>
        <v>3.3740381850508427E-2</v>
      </c>
      <c r="D245" s="17">
        <f t="shared" si="29"/>
        <v>3.1267437340583168E-2</v>
      </c>
      <c r="E245" s="17">
        <f t="shared" si="29"/>
        <v>2.872366488375673E-2</v>
      </c>
      <c r="F245" s="17">
        <f t="shared" si="29"/>
        <v>2.6224691698997993E-2</v>
      </c>
      <c r="G245" s="17">
        <f t="shared" si="29"/>
        <v>2.3716044192244962E-2</v>
      </c>
      <c r="H245" s="17">
        <f t="shared" si="29"/>
        <v>2.3483957979514872E-2</v>
      </c>
      <c r="I245" s="17">
        <f t="shared" si="29"/>
        <v>2.3248476453672281E-2</v>
      </c>
      <c r="J245" s="17">
        <f t="shared" si="29"/>
        <v>2.2967250752960841E-2</v>
      </c>
      <c r="K245" s="17">
        <f t="shared" si="29"/>
        <v>2.2722369919210894E-2</v>
      </c>
      <c r="L245" s="17">
        <f t="shared" si="29"/>
        <v>2.2473002654752036E-2</v>
      </c>
      <c r="M245" s="17">
        <f t="shared" si="29"/>
        <v>2.2349587660954483E-2</v>
      </c>
      <c r="N245" s="17">
        <f t="shared" si="29"/>
        <v>2.2228943181338737E-2</v>
      </c>
      <c r="O245" s="17">
        <f t="shared" si="29"/>
        <v>2.2099869652777365E-2</v>
      </c>
      <c r="P245" s="17">
        <f t="shared" si="29"/>
        <v>2.1980368104269926E-2</v>
      </c>
      <c r="Q245" s="17">
        <f t="shared" si="29"/>
        <v>2.1861487217807583E-2</v>
      </c>
      <c r="R245" s="17">
        <f t="shared" si="29"/>
        <v>2.1339686525501004E-2</v>
      </c>
      <c r="S245" s="17">
        <f t="shared" si="29"/>
        <v>2.0819764124475837E-2</v>
      </c>
      <c r="T245" s="17">
        <f t="shared" si="29"/>
        <v>2.0294778585512721E-2</v>
      </c>
      <c r="U245" s="17">
        <f t="shared" si="29"/>
        <v>1.9781782162934653E-2</v>
      </c>
      <c r="V245" s="17">
        <f t="shared" si="29"/>
        <v>1.9271240324147284E-2</v>
      </c>
      <c r="W245" s="17">
        <f t="shared" si="29"/>
        <v>1.9338279778606374E-2</v>
      </c>
      <c r="X245" s="17">
        <f t="shared" si="29"/>
        <v>1.8991010711753999E-2</v>
      </c>
      <c r="Y245" s="17">
        <f t="shared" si="29"/>
        <v>1.8642886308132767E-2</v>
      </c>
      <c r="Z245" s="17">
        <f t="shared" si="29"/>
        <v>1.9464349719768646E-2</v>
      </c>
    </row>
    <row r="246" spans="1:26" s="26" customFormat="1" outlineLevel="1" x14ac:dyDescent="0.35"/>
    <row r="247" spans="1:26" s="221" customFormat="1" ht="21" x14ac:dyDescent="0.5">
      <c r="A247" s="229" t="s">
        <v>851</v>
      </c>
    </row>
    <row r="248" spans="1:26" s="18" customFormat="1" ht="21" x14ac:dyDescent="0.5">
      <c r="A248" s="18" t="s">
        <v>72</v>
      </c>
    </row>
    <row r="249" spans="1:26" s="20" customFormat="1" outlineLevel="1" x14ac:dyDescent="0.35">
      <c r="A249" s="19" t="s">
        <v>788</v>
      </c>
    </row>
    <row r="250" spans="1:26" s="20" customFormat="1" outlineLevel="1" x14ac:dyDescent="0.35">
      <c r="A250" s="273" t="s">
        <v>775</v>
      </c>
      <c r="B250" s="20">
        <v>1</v>
      </c>
      <c r="C250" s="274" t="s">
        <v>787</v>
      </c>
    </row>
    <row r="251" spans="1:26" s="20" customFormat="1" outlineLevel="1" x14ac:dyDescent="0.35">
      <c r="A251" s="273" t="s">
        <v>781</v>
      </c>
      <c r="B251" s="20">
        <v>100000</v>
      </c>
      <c r="C251" s="20" t="s">
        <v>782</v>
      </c>
      <c r="E251" s="274"/>
    </row>
    <row r="252" spans="1:26" s="20" customFormat="1" outlineLevel="1" x14ac:dyDescent="0.35">
      <c r="A252" s="273" t="s">
        <v>783</v>
      </c>
      <c r="B252" s="20">
        <v>1500</v>
      </c>
      <c r="C252" s="20" t="s">
        <v>592</v>
      </c>
    </row>
    <row r="253" spans="1:26" s="20" customFormat="1" outlineLevel="1" x14ac:dyDescent="0.35">
      <c r="A253" s="273" t="s">
        <v>784</v>
      </c>
      <c r="B253" s="20">
        <v>8760</v>
      </c>
      <c r="C253" s="20" t="s">
        <v>785</v>
      </c>
    </row>
    <row r="254" spans="1:26" s="20" customFormat="1" outlineLevel="1" x14ac:dyDescent="0.35">
      <c r="A254" s="273"/>
    </row>
    <row r="255" spans="1:26" s="20" customFormat="1" outlineLevel="1" x14ac:dyDescent="0.35">
      <c r="A255" s="275" t="s">
        <v>786</v>
      </c>
      <c r="B255" s="275">
        <f>(B251*B252)/(B253*B250)</f>
        <v>17123.287671232876</v>
      </c>
      <c r="C255" s="275" t="s">
        <v>749</v>
      </c>
    </row>
    <row r="256" spans="1:26" s="20" customFormat="1" outlineLevel="1" x14ac:dyDescent="0.35">
      <c r="A256" s="19"/>
    </row>
    <row r="257" spans="1:31" s="20" customFormat="1" outlineLevel="1" x14ac:dyDescent="0.35">
      <c r="A257" s="19" t="s">
        <v>793</v>
      </c>
    </row>
    <row r="258" spans="1:31" s="20" customFormat="1" outlineLevel="1" x14ac:dyDescent="0.35">
      <c r="A258" s="273" t="s">
        <v>789</v>
      </c>
      <c r="B258" s="20">
        <f>SUM('Results - raw data ReCiPe (H)'!C136:C137)+'Results - raw data ReCiPe (H)'!C140+SUM('Results - raw data ReCiPe (H)'!C138:C139)*AC267</f>
        <v>7.3208068197134577E-3</v>
      </c>
      <c r="C258" s="20" t="s">
        <v>790</v>
      </c>
    </row>
    <row r="259" spans="1:31" s="20" customFormat="1" outlineLevel="1" x14ac:dyDescent="0.35">
      <c r="A259" s="20" t="s">
        <v>792</v>
      </c>
      <c r="B259" s="20">
        <f>B251*AC265</f>
        <v>50000</v>
      </c>
      <c r="C259" s="274" t="s">
        <v>795</v>
      </c>
    </row>
    <row r="260" spans="1:31" s="20" customFormat="1" outlineLevel="1" x14ac:dyDescent="0.35">
      <c r="A260" s="20" t="s">
        <v>791</v>
      </c>
      <c r="B260" s="20">
        <f>(B258*AC267*B255)/(B259*AC266)*(AC266/AC268)</f>
        <v>7.5213768695686222E-4</v>
      </c>
      <c r="C260" s="20" t="s">
        <v>794</v>
      </c>
      <c r="E260" s="274" t="s">
        <v>796</v>
      </c>
    </row>
    <row r="261" spans="1:31" s="20" customFormat="1" outlineLevel="1" x14ac:dyDescent="0.35">
      <c r="A261" s="19"/>
    </row>
    <row r="262" spans="1:31" s="16" customFormat="1" outlineLevel="1" x14ac:dyDescent="0.35">
      <c r="A262" s="21"/>
      <c r="AB262" s="16" t="s">
        <v>47</v>
      </c>
      <c r="AC262" s="16">
        <v>9.2800000000000005E-7</v>
      </c>
      <c r="AD262" s="16" t="s">
        <v>48</v>
      </c>
      <c r="AE262" s="15" t="s">
        <v>714</v>
      </c>
    </row>
    <row r="263" spans="1:31" s="16" customFormat="1" outlineLevel="1" x14ac:dyDescent="0.35">
      <c r="A263" s="22" t="s">
        <v>564</v>
      </c>
      <c r="AC263" s="16">
        <f>AC262*1000</f>
        <v>9.2800000000000001E-4</v>
      </c>
      <c r="AD263" s="16" t="s">
        <v>126</v>
      </c>
    </row>
    <row r="264" spans="1:31" s="16" customFormat="1" outlineLevel="1" x14ac:dyDescent="0.35">
      <c r="A264" s="22"/>
      <c r="AB264" s="16" t="s">
        <v>127</v>
      </c>
      <c r="AC264" s="276">
        <f>100*AC265</f>
        <v>50</v>
      </c>
      <c r="AD264" s="16" t="s">
        <v>128</v>
      </c>
    </row>
    <row r="265" spans="1:31" s="16" customFormat="1" outlineLevel="1" x14ac:dyDescent="0.35">
      <c r="A265" s="230"/>
      <c r="AB265" s="16" t="s">
        <v>776</v>
      </c>
      <c r="AC265" s="276">
        <v>0.5</v>
      </c>
    </row>
    <row r="266" spans="1:31" s="16" customFormat="1" outlineLevel="1" x14ac:dyDescent="0.35">
      <c r="A266" s="230"/>
      <c r="AB266" s="16" t="s">
        <v>129</v>
      </c>
      <c r="AC266" s="276">
        <v>25</v>
      </c>
      <c r="AD266" s="16" t="s">
        <v>130</v>
      </c>
    </row>
    <row r="267" spans="1:31" s="16" customFormat="1" outlineLevel="1" x14ac:dyDescent="0.35">
      <c r="A267" s="230"/>
      <c r="AB267" s="16" t="s">
        <v>777</v>
      </c>
      <c r="AC267" s="276">
        <v>6</v>
      </c>
      <c r="AD267" s="16" t="s">
        <v>779</v>
      </c>
    </row>
    <row r="268" spans="1:31" s="16" customFormat="1" outlineLevel="1" x14ac:dyDescent="0.35">
      <c r="A268" s="22"/>
      <c r="AB268" s="16" t="s">
        <v>778</v>
      </c>
      <c r="AC268" s="276">
        <v>20</v>
      </c>
      <c r="AD268" s="16" t="s">
        <v>130</v>
      </c>
    </row>
    <row r="269" spans="1:31" s="16" customFormat="1" outlineLevel="1" x14ac:dyDescent="0.35">
      <c r="A269" s="22"/>
      <c r="AB269" s="16" t="s">
        <v>780</v>
      </c>
      <c r="AC269" s="276">
        <f>B255</f>
        <v>17123.287671232876</v>
      </c>
      <c r="AD269" s="16" t="s">
        <v>749</v>
      </c>
    </row>
    <row r="270" spans="1:31" s="16" customFormat="1" outlineLevel="1" x14ac:dyDescent="0.35">
      <c r="A270" s="22"/>
      <c r="AB270" s="16" t="s">
        <v>820</v>
      </c>
      <c r="AC270" s="16">
        <v>0.5</v>
      </c>
    </row>
    <row r="271" spans="1:31" s="16" customFormat="1" outlineLevel="1" x14ac:dyDescent="0.35">
      <c r="A271" s="22"/>
      <c r="AB271" s="16" t="s">
        <v>798</v>
      </c>
      <c r="AC271" s="16">
        <v>0.25</v>
      </c>
    </row>
    <row r="272" spans="1:31" s="16" customFormat="1" outlineLevel="1" x14ac:dyDescent="0.35">
      <c r="A272" s="22"/>
      <c r="AB272" s="16" t="s">
        <v>799</v>
      </c>
      <c r="AC272" s="16">
        <v>0.9</v>
      </c>
    </row>
    <row r="273" spans="1:53" outlineLevel="1" x14ac:dyDescent="0.35">
      <c r="B273" s="25">
        <v>2030</v>
      </c>
      <c r="C273" s="25">
        <v>2031</v>
      </c>
      <c r="D273" s="25">
        <v>2032</v>
      </c>
      <c r="E273" s="25">
        <v>2033</v>
      </c>
      <c r="F273" s="25">
        <v>2034</v>
      </c>
      <c r="G273" s="25">
        <v>2035</v>
      </c>
      <c r="H273" s="25">
        <v>2036</v>
      </c>
      <c r="I273" s="25">
        <v>2037</v>
      </c>
      <c r="J273" s="25">
        <v>2038</v>
      </c>
      <c r="K273" s="25">
        <v>2039</v>
      </c>
      <c r="L273" s="25">
        <v>2040</v>
      </c>
      <c r="M273" s="25">
        <v>2041</v>
      </c>
      <c r="N273" s="25">
        <v>2042</v>
      </c>
      <c r="O273" s="25">
        <v>2043</v>
      </c>
      <c r="P273" s="25">
        <v>2044</v>
      </c>
      <c r="Q273" s="25">
        <v>2045</v>
      </c>
      <c r="R273" s="25">
        <v>2046</v>
      </c>
      <c r="S273" s="25">
        <v>2047</v>
      </c>
      <c r="T273" s="25">
        <v>2048</v>
      </c>
      <c r="U273" s="25">
        <v>2049</v>
      </c>
      <c r="V273" s="25">
        <v>2050</v>
      </c>
      <c r="W273" s="25">
        <v>2051</v>
      </c>
      <c r="X273" s="25">
        <v>2052</v>
      </c>
      <c r="Y273" s="25">
        <v>2053</v>
      </c>
      <c r="Z273" s="25">
        <v>2054</v>
      </c>
      <c r="AC273" s="25">
        <v>2030</v>
      </c>
      <c r="AD273" s="25">
        <v>2031</v>
      </c>
      <c r="AE273" s="25">
        <v>2032</v>
      </c>
      <c r="AF273" s="25">
        <v>2033</v>
      </c>
      <c r="AG273" s="25">
        <v>2034</v>
      </c>
      <c r="AH273" s="25">
        <v>2035</v>
      </c>
      <c r="AI273" s="25">
        <v>2036</v>
      </c>
      <c r="AJ273" s="25">
        <v>2037</v>
      </c>
      <c r="AK273" s="25">
        <v>2038</v>
      </c>
      <c r="AL273" s="25">
        <v>2039</v>
      </c>
      <c r="AM273" s="25">
        <v>2040</v>
      </c>
      <c r="AN273" s="25">
        <v>2041</v>
      </c>
      <c r="AO273" s="25">
        <v>2042</v>
      </c>
      <c r="AP273" s="25">
        <v>2043</v>
      </c>
      <c r="AQ273" s="25">
        <v>2044</v>
      </c>
      <c r="AR273" s="25">
        <v>2045</v>
      </c>
      <c r="AS273" s="25">
        <v>2046</v>
      </c>
      <c r="AT273" s="25">
        <v>2047</v>
      </c>
      <c r="AU273" s="25">
        <v>2048</v>
      </c>
      <c r="AV273" s="25">
        <v>2049</v>
      </c>
      <c r="AW273" s="25">
        <v>2050</v>
      </c>
      <c r="AX273" s="25">
        <v>2051</v>
      </c>
      <c r="AY273" s="25">
        <v>2052</v>
      </c>
      <c r="AZ273" s="25">
        <v>2053</v>
      </c>
      <c r="BA273" s="25">
        <v>2054</v>
      </c>
    </row>
    <row r="274" spans="1:53" outlineLevel="1" x14ac:dyDescent="0.35">
      <c r="A274" s="6" t="s">
        <v>21</v>
      </c>
      <c r="B274" s="6">
        <f t="shared" ref="B274:B285" si="30">B10</f>
        <v>2.894941084896093E-3</v>
      </c>
      <c r="AB274" s="6" t="s">
        <v>117</v>
      </c>
      <c r="AC274" s="6">
        <f>SUM(B274:B285)+B287</f>
        <v>0.1597952541352278</v>
      </c>
    </row>
    <row r="275" spans="1:53" outlineLevel="1" x14ac:dyDescent="0.35">
      <c r="A275" s="6" t="s">
        <v>23</v>
      </c>
      <c r="B275" s="6">
        <f t="shared" si="30"/>
        <v>6.0231401899834662E-3</v>
      </c>
      <c r="AB275" s="6" t="s">
        <v>118</v>
      </c>
      <c r="AC275" s="6">
        <f>B286</f>
        <v>5.005014287129188E-3</v>
      </c>
    </row>
    <row r="276" spans="1:53" outlineLevel="1" x14ac:dyDescent="0.35">
      <c r="A276" s="6" t="s">
        <v>26</v>
      </c>
      <c r="B276" s="6">
        <f t="shared" si="30"/>
        <v>1.3717423440267161E-2</v>
      </c>
      <c r="AB276" s="6" t="s">
        <v>119</v>
      </c>
      <c r="BA276" s="6">
        <f>SUM(Z288:Z299)</f>
        <v>1.3460715242108881E-3</v>
      </c>
    </row>
    <row r="277" spans="1:53" outlineLevel="1" x14ac:dyDescent="0.35">
      <c r="A277" s="6" t="s">
        <v>28</v>
      </c>
      <c r="B277" s="6">
        <f t="shared" si="30"/>
        <v>1.68268964507193E-2</v>
      </c>
      <c r="AB277" s="6" t="s">
        <v>120</v>
      </c>
      <c r="BA277" s="6">
        <f>Z300</f>
        <v>1.8634370123773913E-5</v>
      </c>
    </row>
    <row r="278" spans="1:53" outlineLevel="1" x14ac:dyDescent="0.35">
      <c r="A278" s="6" t="s">
        <v>29</v>
      </c>
      <c r="B278" s="6">
        <f t="shared" si="30"/>
        <v>1.290728015734449E-2</v>
      </c>
      <c r="AB278" s="6" t="s">
        <v>121</v>
      </c>
      <c r="AC278" s="6">
        <f>B301</f>
        <v>2.357201361606037E-3</v>
      </c>
      <c r="AF278" s="6">
        <f>E301</f>
        <v>2.338551887019074E-3</v>
      </c>
      <c r="AI278" s="6">
        <f>H301</f>
        <v>2.3329664166207272E-3</v>
      </c>
      <c r="AL278" s="6">
        <f>K301</f>
        <v>2.334292606370443E-3</v>
      </c>
      <c r="AO278" s="6">
        <f>N301</f>
        <v>2.344407424713253E-3</v>
      </c>
      <c r="AR278" s="6">
        <f>Q301</f>
        <v>2.3564976098142901E-3</v>
      </c>
      <c r="AU278" s="6">
        <f>T301</f>
        <v>2.3307713043124539E-3</v>
      </c>
      <c r="AX278" s="6">
        <f>W301</f>
        <v>2.3230274489819871E-3</v>
      </c>
      <c r="BA278" s="6">
        <f>Z301</f>
        <v>2.2803262576522711E-3</v>
      </c>
    </row>
    <row r="279" spans="1:53" outlineLevel="1" x14ac:dyDescent="0.35">
      <c r="A279" s="6" t="s">
        <v>31</v>
      </c>
      <c r="B279" s="6">
        <f t="shared" si="30"/>
        <v>8.2577490139394989E-3</v>
      </c>
      <c r="AB279" s="6" t="s">
        <v>797</v>
      </c>
      <c r="AC279" s="6">
        <f>B305</f>
        <v>3.7606884347843109E-2</v>
      </c>
      <c r="AD279" s="6">
        <f t="shared" ref="AD279:BA279" si="31">C305</f>
        <v>3.7606884347843109E-2</v>
      </c>
      <c r="AE279" s="6">
        <f t="shared" si="31"/>
        <v>3.7606884347843109E-2</v>
      </c>
      <c r="AF279" s="6">
        <f t="shared" si="31"/>
        <v>3.7606884347843109E-2</v>
      </c>
      <c r="AG279" s="6">
        <f t="shared" si="31"/>
        <v>3.7606884347843109E-2</v>
      </c>
      <c r="AH279" s="6">
        <f t="shared" si="31"/>
        <v>3.7606884347843109E-2</v>
      </c>
      <c r="AI279" s="6">
        <f t="shared" si="31"/>
        <v>3.7606884347843109E-2</v>
      </c>
      <c r="AJ279" s="6">
        <f t="shared" si="31"/>
        <v>3.7606884347843109E-2</v>
      </c>
      <c r="AK279" s="6">
        <f t="shared" si="31"/>
        <v>3.7606884347843109E-2</v>
      </c>
      <c r="AL279" s="6">
        <f t="shared" si="31"/>
        <v>3.7606884347843109E-2</v>
      </c>
      <c r="AM279" s="6">
        <f t="shared" si="31"/>
        <v>3.7606884347843109E-2</v>
      </c>
      <c r="AN279" s="6">
        <f t="shared" si="31"/>
        <v>3.7606884347843109E-2</v>
      </c>
      <c r="AO279" s="6">
        <f t="shared" si="31"/>
        <v>3.7606884347843109E-2</v>
      </c>
      <c r="AP279" s="6">
        <f t="shared" si="31"/>
        <v>3.7606884347843109E-2</v>
      </c>
      <c r="AQ279" s="6">
        <f t="shared" si="31"/>
        <v>3.7606884347843109E-2</v>
      </c>
      <c r="AR279" s="6">
        <f t="shared" si="31"/>
        <v>3.7606884347843109E-2</v>
      </c>
      <c r="AS279" s="6">
        <f t="shared" si="31"/>
        <v>3.7606884347843109E-2</v>
      </c>
      <c r="AT279" s="6">
        <f t="shared" si="31"/>
        <v>3.7606884347843109E-2</v>
      </c>
      <c r="AU279" s="6">
        <f t="shared" si="31"/>
        <v>3.7606884347843109E-2</v>
      </c>
      <c r="AV279" s="6">
        <f t="shared" si="31"/>
        <v>3.7606884347843109E-2</v>
      </c>
      <c r="AW279" s="6">
        <f t="shared" si="31"/>
        <v>3.7606884347843109E-2</v>
      </c>
      <c r="AX279" s="6">
        <f t="shared" si="31"/>
        <v>3.7606884347843109E-2</v>
      </c>
      <c r="AY279" s="6">
        <f t="shared" si="31"/>
        <v>3.7606884347843109E-2</v>
      </c>
      <c r="AZ279" s="6">
        <f t="shared" si="31"/>
        <v>3.7606884347843109E-2</v>
      </c>
      <c r="BA279" s="6">
        <f t="shared" si="31"/>
        <v>3.7606884347843109E-2</v>
      </c>
    </row>
    <row r="280" spans="1:53" outlineLevel="1" x14ac:dyDescent="0.35">
      <c r="A280" s="6" t="s">
        <v>34</v>
      </c>
      <c r="B280" s="6">
        <f t="shared" si="30"/>
        <v>6.4251549853091127E-3</v>
      </c>
      <c r="AB280" s="6" t="s">
        <v>122</v>
      </c>
      <c r="AC280" s="6">
        <f t="shared" ref="AC280:BA280" si="32">B304+B303</f>
        <v>2.5393132376145978E-2</v>
      </c>
      <c r="AD280" s="6">
        <f t="shared" si="32"/>
        <v>2.5386762089797048E-2</v>
      </c>
      <c r="AE280" s="6">
        <f t="shared" si="32"/>
        <v>2.538085339756093E-2</v>
      </c>
      <c r="AF280" s="6">
        <f t="shared" si="32"/>
        <v>2.5336334798651702E-2</v>
      </c>
      <c r="AG280" s="6">
        <f t="shared" si="32"/>
        <v>2.5331220502552203E-2</v>
      </c>
      <c r="AH280" s="6">
        <f t="shared" si="32"/>
        <v>2.5326311580108021E-2</v>
      </c>
      <c r="AI280" s="6">
        <f t="shared" si="32"/>
        <v>2.5293725224504678E-2</v>
      </c>
      <c r="AJ280" s="6">
        <f t="shared" si="32"/>
        <v>2.5265270795297202E-2</v>
      </c>
      <c r="AK280" s="6">
        <f t="shared" si="32"/>
        <v>2.5221231765272578E-2</v>
      </c>
      <c r="AL280" s="6">
        <f t="shared" si="32"/>
        <v>2.5199834142130565E-2</v>
      </c>
      <c r="AM280" s="6">
        <f t="shared" si="32"/>
        <v>2.5181295398559476E-2</v>
      </c>
      <c r="AN280" s="6">
        <f t="shared" si="32"/>
        <v>2.5180242641040913E-2</v>
      </c>
      <c r="AO280" s="6">
        <f t="shared" si="32"/>
        <v>2.5182111288651152E-2</v>
      </c>
      <c r="AP280" s="6">
        <f t="shared" si="32"/>
        <v>2.5183691684456298E-2</v>
      </c>
      <c r="AQ280" s="6">
        <f t="shared" si="32"/>
        <v>2.51909032563487E-2</v>
      </c>
      <c r="AR280" s="6">
        <f t="shared" si="32"/>
        <v>2.520113838936287E-2</v>
      </c>
      <c r="AS280" s="6">
        <f t="shared" si="32"/>
        <v>2.5175280834720534E-2</v>
      </c>
      <c r="AT280" s="6">
        <f t="shared" si="32"/>
        <v>2.5149303273379404E-2</v>
      </c>
      <c r="AU280" s="6">
        <f t="shared" si="32"/>
        <v>2.5118992254091137E-2</v>
      </c>
      <c r="AV280" s="6">
        <f t="shared" si="32"/>
        <v>2.5092606311484598E-2</v>
      </c>
      <c r="AW280" s="6">
        <f t="shared" si="32"/>
        <v>2.5065942649119339E-2</v>
      </c>
      <c r="AX280" s="6">
        <f t="shared" si="32"/>
        <v>2.5194146508512049E-2</v>
      </c>
      <c r="AY280" s="6">
        <f t="shared" si="32"/>
        <v>2.5150023608704108E-2</v>
      </c>
      <c r="AZ280" s="6">
        <f t="shared" si="32"/>
        <v>2.5105334490682755E-2</v>
      </c>
      <c r="BA280" s="6">
        <f t="shared" si="32"/>
        <v>2.5060068697469448E-2</v>
      </c>
    </row>
    <row r="281" spans="1:53" outlineLevel="1" x14ac:dyDescent="0.35">
      <c r="A281" s="6" t="s">
        <v>36</v>
      </c>
      <c r="B281" s="6">
        <f t="shared" si="30"/>
        <v>3.8313181865858421E-3</v>
      </c>
      <c r="AB281" s="6" t="s">
        <v>123</v>
      </c>
      <c r="AC281" s="6">
        <f t="shared" ref="AC281:BA281" si="33">B302</f>
        <v>4.7254806168711E-3</v>
      </c>
      <c r="AD281" s="6">
        <f t="shared" si="33"/>
        <v>4.7150429724648266E-3</v>
      </c>
      <c r="AE281" s="6">
        <f t="shared" si="33"/>
        <v>4.7037954214272492E-3</v>
      </c>
      <c r="AF281" s="6">
        <f t="shared" si="33"/>
        <v>4.6903564184767798E-3</v>
      </c>
      <c r="AG281" s="6">
        <f t="shared" si="33"/>
        <v>4.6788201017122864E-3</v>
      </c>
      <c r="AH281" s="6">
        <f t="shared" si="33"/>
        <v>4.6672740708928722E-3</v>
      </c>
      <c r="AI281" s="6">
        <f t="shared" si="33"/>
        <v>4.8487347846715174E-3</v>
      </c>
      <c r="AJ281" s="6">
        <f t="shared" si="33"/>
        <v>5.0293154309696449E-3</v>
      </c>
      <c r="AK281" s="6">
        <f t="shared" si="33"/>
        <v>5.2079343872324596E-3</v>
      </c>
      <c r="AL281" s="6">
        <f t="shared" si="33"/>
        <v>5.38690464636236E-3</v>
      </c>
      <c r="AM281" s="6">
        <f t="shared" si="33"/>
        <v>5.5648984821665849E-3</v>
      </c>
      <c r="AN281" s="6">
        <f t="shared" si="33"/>
        <v>5.9122370191219747E-3</v>
      </c>
      <c r="AO281" s="6">
        <f t="shared" si="33"/>
        <v>6.2592313426667904E-3</v>
      </c>
      <c r="AP281" s="6">
        <f t="shared" si="33"/>
        <v>6.6057256078626957E-3</v>
      </c>
      <c r="AQ281" s="6">
        <f t="shared" si="33"/>
        <v>6.9520789557548654E-3</v>
      </c>
      <c r="AR281" s="6">
        <f t="shared" si="33"/>
        <v>7.2981111443926553E-3</v>
      </c>
      <c r="AS281" s="6">
        <f t="shared" si="33"/>
        <v>7.3214905613109308E-3</v>
      </c>
      <c r="AT281" s="6">
        <f t="shared" si="33"/>
        <v>7.3445703523971851E-3</v>
      </c>
      <c r="AU281" s="6">
        <f t="shared" si="33"/>
        <v>7.3671967428007301E-3</v>
      </c>
      <c r="AV281" s="6">
        <f t="shared" si="33"/>
        <v>7.3898153527204059E-3</v>
      </c>
      <c r="AW281" s="6">
        <f t="shared" si="33"/>
        <v>7.4122116230241446E-3</v>
      </c>
      <c r="AX281" s="6">
        <f t="shared" si="33"/>
        <v>7.3238551270463706E-3</v>
      </c>
      <c r="AY281" s="6">
        <f t="shared" si="33"/>
        <v>7.161367513670509E-3</v>
      </c>
      <c r="AZ281" s="6">
        <f t="shared" si="33"/>
        <v>6.99897154521467E-3</v>
      </c>
      <c r="BA281" s="6">
        <f t="shared" si="33"/>
        <v>6.8366629379536144E-3</v>
      </c>
    </row>
    <row r="282" spans="1:53" outlineLevel="1" x14ac:dyDescent="0.35">
      <c r="A282" s="6" t="s">
        <v>38</v>
      </c>
      <c r="B282" s="6">
        <f t="shared" si="30"/>
        <v>2.209496262897262E-2</v>
      </c>
      <c r="AB282" s="6" t="s">
        <v>124</v>
      </c>
      <c r="AC282" s="6">
        <f>-$AC$264*$AC$263</f>
        <v>-4.6399999999999997E-2</v>
      </c>
      <c r="AD282" s="6">
        <f t="shared" ref="AD282:BA282" si="34">-$AC$264*$AC$263</f>
        <v>-4.6399999999999997E-2</v>
      </c>
      <c r="AE282" s="6">
        <f t="shared" si="34"/>
        <v>-4.6399999999999997E-2</v>
      </c>
      <c r="AF282" s="6">
        <f t="shared" si="34"/>
        <v>-4.6399999999999997E-2</v>
      </c>
      <c r="AG282" s="6">
        <f t="shared" si="34"/>
        <v>-4.6399999999999997E-2</v>
      </c>
      <c r="AH282" s="6">
        <f t="shared" si="34"/>
        <v>-4.6399999999999997E-2</v>
      </c>
      <c r="AI282" s="6">
        <f t="shared" si="34"/>
        <v>-4.6399999999999997E-2</v>
      </c>
      <c r="AJ282" s="6">
        <f t="shared" si="34"/>
        <v>-4.6399999999999997E-2</v>
      </c>
      <c r="AK282" s="6">
        <f t="shared" si="34"/>
        <v>-4.6399999999999997E-2</v>
      </c>
      <c r="AL282" s="6">
        <f t="shared" si="34"/>
        <v>-4.6399999999999997E-2</v>
      </c>
      <c r="AM282" s="6">
        <f t="shared" si="34"/>
        <v>-4.6399999999999997E-2</v>
      </c>
      <c r="AN282" s="6">
        <f t="shared" si="34"/>
        <v>-4.6399999999999997E-2</v>
      </c>
      <c r="AO282" s="6">
        <f t="shared" si="34"/>
        <v>-4.6399999999999997E-2</v>
      </c>
      <c r="AP282" s="6">
        <f t="shared" si="34"/>
        <v>-4.6399999999999997E-2</v>
      </c>
      <c r="AQ282" s="6">
        <f t="shared" si="34"/>
        <v>-4.6399999999999997E-2</v>
      </c>
      <c r="AR282" s="6">
        <f t="shared" si="34"/>
        <v>-4.6399999999999997E-2</v>
      </c>
      <c r="AS282" s="6">
        <f t="shared" si="34"/>
        <v>-4.6399999999999997E-2</v>
      </c>
      <c r="AT282" s="6">
        <f t="shared" si="34"/>
        <v>-4.6399999999999997E-2</v>
      </c>
      <c r="AU282" s="6">
        <f t="shared" si="34"/>
        <v>-4.6399999999999997E-2</v>
      </c>
      <c r="AV282" s="6">
        <f t="shared" si="34"/>
        <v>-4.6399999999999997E-2</v>
      </c>
      <c r="AW282" s="6">
        <f t="shared" si="34"/>
        <v>-4.6399999999999997E-2</v>
      </c>
      <c r="AX282" s="6">
        <f t="shared" si="34"/>
        <v>-4.6399999999999997E-2</v>
      </c>
      <c r="AY282" s="6">
        <f t="shared" si="34"/>
        <v>-4.6399999999999997E-2</v>
      </c>
      <c r="AZ282" s="6">
        <f t="shared" si="34"/>
        <v>-4.6399999999999997E-2</v>
      </c>
      <c r="BA282" s="6">
        <f t="shared" si="34"/>
        <v>-4.6399999999999997E-2</v>
      </c>
    </row>
    <row r="283" spans="1:53" outlineLevel="1" x14ac:dyDescent="0.35">
      <c r="A283" s="6" t="s">
        <v>39</v>
      </c>
      <c r="B283" s="6">
        <f t="shared" si="30"/>
        <v>5.8245388563263008E-2</v>
      </c>
      <c r="AB283" s="23" t="s">
        <v>125</v>
      </c>
      <c r="AC283" s="17">
        <f t="shared" ref="AC283:BA283" si="35">SUM(AC274:AC282)</f>
        <v>0.18848296712482321</v>
      </c>
      <c r="AD283" s="17">
        <f t="shared" si="35"/>
        <v>2.1308689410104997E-2</v>
      </c>
      <c r="AE283" s="17">
        <f t="shared" si="35"/>
        <v>2.1291533166831286E-2</v>
      </c>
      <c r="AF283" s="17">
        <f t="shared" si="35"/>
        <v>2.3572127451990665E-2</v>
      </c>
      <c r="AG283" s="17">
        <f t="shared" si="35"/>
        <v>2.1216924952107599E-2</v>
      </c>
      <c r="AH283" s="17">
        <f t="shared" si="35"/>
        <v>2.1200469998844007E-2</v>
      </c>
      <c r="AI283" s="17">
        <f t="shared" si="35"/>
        <v>2.3682310773640039E-2</v>
      </c>
      <c r="AJ283" s="17">
        <f t="shared" si="35"/>
        <v>2.1501470574109963E-2</v>
      </c>
      <c r="AK283" s="17">
        <f t="shared" si="35"/>
        <v>2.1636050500348156E-2</v>
      </c>
      <c r="AL283" s="17">
        <f t="shared" si="35"/>
        <v>2.4127915742706479E-2</v>
      </c>
      <c r="AM283" s="17">
        <f t="shared" si="35"/>
        <v>2.1953078228569164E-2</v>
      </c>
      <c r="AN283" s="17">
        <f t="shared" si="35"/>
        <v>2.2299364008006001E-2</v>
      </c>
      <c r="AO283" s="17">
        <f t="shared" si="35"/>
        <v>2.4992634403874309E-2</v>
      </c>
      <c r="AP283" s="17">
        <f t="shared" si="35"/>
        <v>2.2996301640162101E-2</v>
      </c>
      <c r="AQ283" s="17">
        <f t="shared" si="35"/>
        <v>2.3349866559946669E-2</v>
      </c>
      <c r="AR283" s="17">
        <f t="shared" si="35"/>
        <v>2.6062631491412927E-2</v>
      </c>
      <c r="AS283" s="17">
        <f t="shared" si="35"/>
        <v>2.3703655743874577E-2</v>
      </c>
      <c r="AT283" s="17">
        <f t="shared" si="35"/>
        <v>2.3700757973619702E-2</v>
      </c>
      <c r="AU283" s="17">
        <f t="shared" si="35"/>
        <v>2.6023844649047431E-2</v>
      </c>
      <c r="AV283" s="17">
        <f t="shared" si="35"/>
        <v>2.3689306012048106E-2</v>
      </c>
      <c r="AW283" s="17">
        <f t="shared" si="35"/>
        <v>2.3685038619986595E-2</v>
      </c>
      <c r="AX283" s="17">
        <f t="shared" si="35"/>
        <v>2.6047913432383524E-2</v>
      </c>
      <c r="AY283" s="17">
        <f t="shared" si="35"/>
        <v>2.3518275470217731E-2</v>
      </c>
      <c r="AZ283" s="17">
        <f t="shared" si="35"/>
        <v>2.3311190383740535E-2</v>
      </c>
      <c r="BA283" s="17">
        <f t="shared" si="35"/>
        <v>2.67486481352531E-2</v>
      </c>
    </row>
    <row r="284" spans="1:53" outlineLevel="1" x14ac:dyDescent="0.35">
      <c r="A284" s="6" t="s">
        <v>41</v>
      </c>
      <c r="B284" s="6">
        <f t="shared" si="30"/>
        <v>3.0224220416950572E-4</v>
      </c>
    </row>
    <row r="285" spans="1:53" outlineLevel="1" x14ac:dyDescent="0.35">
      <c r="A285" s="6" t="s">
        <v>43</v>
      </c>
      <c r="B285" s="6">
        <f t="shared" si="30"/>
        <v>9.3081040387393941E-4</v>
      </c>
      <c r="AB285" s="282"/>
      <c r="AC285" s="282"/>
      <c r="AD285" s="282"/>
      <c r="AE285" s="282"/>
      <c r="AF285" s="282"/>
      <c r="AG285" s="282"/>
      <c r="AH285" s="282"/>
      <c r="AI285" s="282"/>
      <c r="AJ285" s="282"/>
      <c r="AK285" s="282"/>
      <c r="AL285" s="282"/>
      <c r="AM285" s="282"/>
      <c r="AN285" s="282"/>
      <c r="AO285" s="282"/>
      <c r="AP285" s="282"/>
      <c r="AQ285" s="282"/>
      <c r="AR285" s="282"/>
      <c r="AS285" s="282"/>
      <c r="AT285" s="282"/>
      <c r="AU285" s="282"/>
      <c r="AV285" s="282"/>
      <c r="AW285" s="282"/>
      <c r="AX285" s="282"/>
      <c r="AY285" s="282"/>
      <c r="AZ285" s="282"/>
      <c r="BA285" s="282"/>
    </row>
    <row r="286" spans="1:53" outlineLevel="1" x14ac:dyDescent="0.35">
      <c r="A286" s="6" t="s">
        <v>44</v>
      </c>
      <c r="B286" s="6">
        <f>B22*AC265</f>
        <v>5.005014287129188E-3</v>
      </c>
      <c r="AB286" s="282"/>
      <c r="AC286" s="282"/>
      <c r="AD286" s="282"/>
      <c r="AE286" s="282"/>
      <c r="AF286" s="282"/>
      <c r="AG286" s="282"/>
      <c r="AH286" s="282"/>
      <c r="AI286" s="282"/>
      <c r="AJ286" s="282"/>
      <c r="AK286" s="282"/>
      <c r="AL286" s="282"/>
      <c r="AM286" s="282"/>
      <c r="AN286" s="282"/>
      <c r="AO286" s="282"/>
      <c r="AP286" s="282"/>
      <c r="AQ286" s="282"/>
      <c r="AR286" s="282"/>
      <c r="AS286" s="282"/>
      <c r="AT286" s="282"/>
      <c r="AU286" s="282"/>
      <c r="AV286" s="282"/>
      <c r="AW286" s="282"/>
      <c r="AX286" s="282"/>
      <c r="AY286" s="282"/>
      <c r="AZ286" s="282"/>
      <c r="BA286" s="282"/>
    </row>
    <row r="287" spans="1:53" outlineLevel="1" x14ac:dyDescent="0.35">
      <c r="A287" s="6" t="s">
        <v>757</v>
      </c>
      <c r="B287" s="6">
        <f>B23*AC265</f>
        <v>7.3379468259037678E-3</v>
      </c>
      <c r="AB287" s="282"/>
      <c r="AC287" s="282"/>
      <c r="AD287" s="282"/>
      <c r="AE287" s="282"/>
      <c r="AF287" s="282"/>
      <c r="AG287" s="282"/>
      <c r="AH287" s="282"/>
      <c r="AI287" s="282"/>
      <c r="AJ287" s="282"/>
      <c r="AK287" s="282"/>
      <c r="AL287" s="282"/>
      <c r="AM287" s="282"/>
      <c r="AN287" s="282"/>
      <c r="AO287" s="282"/>
      <c r="AP287" s="282"/>
      <c r="AQ287" s="282"/>
      <c r="AR287" s="282"/>
      <c r="AS287" s="282"/>
      <c r="AT287" s="282"/>
      <c r="AU287" s="282"/>
      <c r="AV287" s="282"/>
      <c r="AW287" s="282"/>
      <c r="AX287" s="282"/>
      <c r="AY287" s="282"/>
      <c r="AZ287" s="282"/>
      <c r="BA287" s="282"/>
    </row>
    <row r="288" spans="1:53" outlineLevel="1" x14ac:dyDescent="0.35">
      <c r="A288" s="6" t="s">
        <v>22</v>
      </c>
      <c r="Z288" s="6">
        <f t="shared" ref="Z288:Z299" si="36">Z24</f>
        <v>2.5411777990047328E-5</v>
      </c>
      <c r="AB288" s="282"/>
      <c r="AC288" s="282"/>
      <c r="AD288" s="282"/>
      <c r="AE288" s="282"/>
      <c r="AF288" s="282"/>
      <c r="AG288" s="282"/>
      <c r="AH288" s="282"/>
      <c r="AI288" s="282"/>
      <c r="AJ288" s="282"/>
      <c r="AK288" s="282"/>
      <c r="AL288" s="282"/>
      <c r="AM288" s="282"/>
      <c r="AN288" s="282"/>
      <c r="AO288" s="282"/>
      <c r="AP288" s="282"/>
      <c r="AQ288" s="282"/>
      <c r="AR288" s="282"/>
      <c r="AS288" s="282"/>
      <c r="AT288" s="282"/>
      <c r="AU288" s="282"/>
      <c r="AV288" s="282"/>
      <c r="AW288" s="282"/>
      <c r="AX288" s="282"/>
      <c r="AY288" s="282"/>
      <c r="AZ288" s="282"/>
      <c r="BA288" s="282"/>
    </row>
    <row r="289" spans="1:53" outlineLevel="1" x14ac:dyDescent="0.35">
      <c r="A289" s="6" t="s">
        <v>24</v>
      </c>
      <c r="Z289" s="6">
        <f t="shared" si="36"/>
        <v>1.2429945039727371E-5</v>
      </c>
      <c r="AB289" s="282"/>
      <c r="AC289" s="282"/>
      <c r="AD289" s="282"/>
      <c r="AE289" s="282"/>
      <c r="AF289" s="282"/>
      <c r="AG289" s="282"/>
      <c r="AH289" s="282"/>
      <c r="AI289" s="282"/>
      <c r="AJ289" s="282"/>
      <c r="AK289" s="282"/>
      <c r="AL289" s="282"/>
      <c r="AM289" s="282"/>
      <c r="AN289" s="282"/>
      <c r="AO289" s="282"/>
      <c r="AP289" s="282"/>
      <c r="AQ289" s="282"/>
      <c r="AR289" s="282"/>
      <c r="AS289" s="282"/>
      <c r="AT289" s="282"/>
      <c r="AU289" s="282"/>
      <c r="AV289" s="282"/>
      <c r="AW289" s="282"/>
      <c r="AX289" s="282"/>
      <c r="AY289" s="282"/>
      <c r="AZ289" s="282"/>
      <c r="BA289" s="282"/>
    </row>
    <row r="290" spans="1:53" outlineLevel="1" x14ac:dyDescent="0.35">
      <c r="A290" s="6" t="s">
        <v>25</v>
      </c>
      <c r="Z290" s="6">
        <f t="shared" si="36"/>
        <v>4.6226838946619207E-5</v>
      </c>
      <c r="AB290" s="282"/>
      <c r="AC290" s="282"/>
      <c r="AD290" s="282"/>
      <c r="AE290" s="282"/>
      <c r="AF290" s="282"/>
      <c r="AG290" s="282"/>
      <c r="AH290" s="282"/>
      <c r="AI290" s="282"/>
      <c r="AJ290" s="282"/>
      <c r="AK290" s="282"/>
      <c r="AL290" s="282"/>
      <c r="AM290" s="282"/>
      <c r="AN290" s="282"/>
      <c r="AO290" s="282"/>
      <c r="AP290" s="282"/>
      <c r="AQ290" s="282"/>
      <c r="AR290" s="282"/>
      <c r="AS290" s="282"/>
      <c r="AT290" s="282"/>
      <c r="AU290" s="282"/>
      <c r="AV290" s="282"/>
      <c r="AW290" s="282"/>
      <c r="AX290" s="282"/>
      <c r="AY290" s="282"/>
      <c r="AZ290" s="282"/>
      <c r="BA290" s="282"/>
    </row>
    <row r="291" spans="1:53" outlineLevel="1" x14ac:dyDescent="0.35">
      <c r="A291" s="6" t="s">
        <v>27</v>
      </c>
      <c r="Z291" s="6">
        <f t="shared" si="36"/>
        <v>1.8368986682832292E-5</v>
      </c>
      <c r="AB291" s="282"/>
      <c r="AC291" s="282"/>
      <c r="AD291" s="282"/>
      <c r="AE291" s="282"/>
      <c r="AF291" s="282"/>
      <c r="AG291" s="282"/>
      <c r="AH291" s="282"/>
      <c r="AI291" s="282"/>
      <c r="AJ291" s="282"/>
      <c r="AK291" s="282"/>
      <c r="AL291" s="282"/>
      <c r="AM291" s="282"/>
      <c r="AN291" s="282"/>
      <c r="AO291" s="282"/>
      <c r="AP291" s="282"/>
      <c r="AQ291" s="282"/>
      <c r="AR291" s="282"/>
      <c r="AS291" s="282"/>
      <c r="AT291" s="282"/>
      <c r="AU291" s="282"/>
      <c r="AV291" s="282"/>
      <c r="AW291" s="282"/>
      <c r="AX291" s="282"/>
      <c r="AY291" s="282"/>
      <c r="AZ291" s="282"/>
      <c r="BA291" s="282"/>
    </row>
    <row r="292" spans="1:53" outlineLevel="1" x14ac:dyDescent="0.35">
      <c r="A292" s="6" t="s">
        <v>30</v>
      </c>
      <c r="Z292" s="6">
        <f t="shared" si="36"/>
        <v>3.3517962022619069E-5</v>
      </c>
      <c r="AB292" s="282"/>
      <c r="AC292" s="282"/>
      <c r="AD292" s="282"/>
      <c r="AE292" s="282"/>
      <c r="AF292" s="282"/>
      <c r="AG292" s="282"/>
      <c r="AH292" s="282"/>
      <c r="AI292" s="282"/>
      <c r="AJ292" s="282"/>
      <c r="AK292" s="282"/>
      <c r="AL292" s="282"/>
      <c r="AM292" s="282"/>
      <c r="AN292" s="282"/>
      <c r="AO292" s="282"/>
      <c r="AP292" s="282"/>
      <c r="AQ292" s="282"/>
      <c r="AR292" s="282"/>
      <c r="AS292" s="282"/>
      <c r="AT292" s="282"/>
      <c r="AU292" s="282"/>
      <c r="AV292" s="282"/>
      <c r="AW292" s="282"/>
      <c r="AX292" s="282"/>
      <c r="AY292" s="282"/>
      <c r="AZ292" s="282"/>
      <c r="BA292" s="282"/>
    </row>
    <row r="293" spans="1:53" outlineLevel="1" x14ac:dyDescent="0.35">
      <c r="A293" s="6" t="s">
        <v>32</v>
      </c>
      <c r="Z293" s="6">
        <f t="shared" si="36"/>
        <v>4.8143000851052693E-6</v>
      </c>
      <c r="AB293" s="282"/>
      <c r="AC293" s="282"/>
      <c r="AD293" s="282"/>
      <c r="AE293" s="282"/>
      <c r="AF293" s="282"/>
      <c r="AG293" s="282"/>
      <c r="AH293" s="282"/>
      <c r="AI293" s="282"/>
      <c r="AJ293" s="282"/>
      <c r="AK293" s="282"/>
      <c r="AL293" s="282"/>
      <c r="AM293" s="282"/>
      <c r="AN293" s="282"/>
      <c r="AO293" s="282"/>
      <c r="AP293" s="282"/>
      <c r="AQ293" s="282"/>
      <c r="AR293" s="282"/>
      <c r="AS293" s="282"/>
      <c r="AT293" s="282"/>
      <c r="AU293" s="282"/>
      <c r="AV293" s="282"/>
      <c r="AW293" s="282"/>
      <c r="AX293" s="282"/>
      <c r="AY293" s="282"/>
      <c r="AZ293" s="282"/>
      <c r="BA293" s="282"/>
    </row>
    <row r="294" spans="1:53" outlineLevel="1" x14ac:dyDescent="0.35">
      <c r="A294" s="6" t="s">
        <v>33</v>
      </c>
      <c r="Z294" s="6">
        <f t="shared" si="36"/>
        <v>8.5463273686294895E-6</v>
      </c>
      <c r="AB294" s="282"/>
      <c r="AC294" s="282"/>
      <c r="AD294" s="282"/>
      <c r="AE294" s="282"/>
      <c r="AF294" s="282"/>
      <c r="AG294" s="282"/>
      <c r="AH294" s="282"/>
      <c r="AI294" s="282"/>
      <c r="AJ294" s="282"/>
      <c r="AK294" s="282"/>
      <c r="AL294" s="282"/>
      <c r="AM294" s="282"/>
      <c r="AN294" s="282"/>
      <c r="AO294" s="282"/>
      <c r="AP294" s="282"/>
      <c r="AQ294" s="282"/>
      <c r="AR294" s="282"/>
      <c r="AS294" s="282"/>
      <c r="AT294" s="282"/>
      <c r="AU294" s="282"/>
      <c r="AV294" s="282"/>
      <c r="AW294" s="282"/>
      <c r="AX294" s="282"/>
      <c r="AY294" s="282"/>
      <c r="AZ294" s="282"/>
      <c r="BA294" s="282"/>
    </row>
    <row r="295" spans="1:53" outlineLevel="1" x14ac:dyDescent="0.35">
      <c r="A295" s="6" t="s">
        <v>35</v>
      </c>
      <c r="Z295" s="6">
        <f t="shared" si="36"/>
        <v>1.7092654737258979E-5</v>
      </c>
      <c r="AB295" s="282"/>
      <c r="AC295" s="282"/>
      <c r="AD295" s="282"/>
      <c r="AE295" s="282"/>
      <c r="AF295" s="282"/>
      <c r="AG295" s="282"/>
      <c r="AH295" s="282"/>
      <c r="AI295" s="282"/>
      <c r="AJ295" s="282"/>
      <c r="AK295" s="282"/>
      <c r="AL295" s="282"/>
      <c r="AM295" s="282"/>
      <c r="AN295" s="282"/>
      <c r="AO295" s="282"/>
      <c r="AP295" s="282"/>
      <c r="AQ295" s="282"/>
      <c r="AR295" s="282"/>
      <c r="AS295" s="282"/>
      <c r="AT295" s="282"/>
      <c r="AU295" s="282"/>
      <c r="AV295" s="282"/>
      <c r="AW295" s="282"/>
      <c r="AX295" s="282"/>
      <c r="AY295" s="282"/>
      <c r="AZ295" s="282"/>
      <c r="BA295" s="282"/>
    </row>
    <row r="296" spans="1:53" outlineLevel="1" x14ac:dyDescent="0.35">
      <c r="A296" s="6" t="s">
        <v>37</v>
      </c>
      <c r="Z296" s="6">
        <f t="shared" si="36"/>
        <v>4.5826688518955138E-5</v>
      </c>
      <c r="AB296" s="282"/>
      <c r="AC296" s="282"/>
      <c r="AD296" s="282"/>
      <c r="AE296" s="282"/>
      <c r="AF296" s="282"/>
      <c r="AG296" s="282"/>
      <c r="AH296" s="282"/>
      <c r="AI296" s="282"/>
      <c r="AJ296" s="282"/>
      <c r="AK296" s="282"/>
      <c r="AL296" s="282"/>
      <c r="AM296" s="282"/>
      <c r="AN296" s="282"/>
      <c r="AO296" s="282"/>
      <c r="AP296" s="282"/>
      <c r="AQ296" s="282"/>
      <c r="AR296" s="282"/>
      <c r="AS296" s="282"/>
      <c r="AT296" s="282"/>
      <c r="AU296" s="282"/>
      <c r="AV296" s="282"/>
      <c r="AW296" s="282"/>
      <c r="AX296" s="282"/>
      <c r="AY296" s="282"/>
      <c r="AZ296" s="282"/>
      <c r="BA296" s="282"/>
    </row>
    <row r="297" spans="1:53" outlineLevel="1" x14ac:dyDescent="0.35">
      <c r="A297" s="6" t="s">
        <v>40</v>
      </c>
      <c r="Z297" s="6">
        <f t="shared" si="36"/>
        <v>6.0617175315794527E-4</v>
      </c>
    </row>
    <row r="298" spans="1:53" outlineLevel="1" x14ac:dyDescent="0.35">
      <c r="A298" s="6" t="s">
        <v>42</v>
      </c>
      <c r="Z298" s="6">
        <f t="shared" si="36"/>
        <v>6.2586007271436383E-5</v>
      </c>
    </row>
    <row r="299" spans="1:53" outlineLevel="1" x14ac:dyDescent="0.35">
      <c r="A299" s="6" t="s">
        <v>115</v>
      </c>
      <c r="Z299" s="6">
        <f t="shared" si="36"/>
        <v>4.6507828238971232E-4</v>
      </c>
    </row>
    <row r="300" spans="1:53" outlineLevel="1" x14ac:dyDescent="0.35">
      <c r="A300" s="6" t="s">
        <v>45</v>
      </c>
      <c r="Z300" s="6">
        <f>Z36*AC265</f>
        <v>1.8634370123773913E-5</v>
      </c>
    </row>
    <row r="301" spans="1:53" outlineLevel="1" x14ac:dyDescent="0.35">
      <c r="A301" s="6" t="s">
        <v>116</v>
      </c>
      <c r="B301" s="6">
        <f>B37</f>
        <v>2.357201361606037E-3</v>
      </c>
      <c r="C301" s="6">
        <f t="shared" ref="C301:Z301" si="37">C37</f>
        <v>2.353600688123866E-3</v>
      </c>
      <c r="D301" s="6">
        <f t="shared" si="37"/>
        <v>2.3500071116123412E-3</v>
      </c>
      <c r="E301" s="6">
        <f t="shared" si="37"/>
        <v>2.338551887019074E-3</v>
      </c>
      <c r="F301" s="6">
        <f t="shared" si="37"/>
        <v>2.334948183247444E-3</v>
      </c>
      <c r="G301" s="6">
        <f t="shared" si="37"/>
        <v>2.331359143562522E-3</v>
      </c>
      <c r="H301" s="6">
        <f t="shared" si="37"/>
        <v>2.3329664166207272E-3</v>
      </c>
      <c r="I301" s="6">
        <f t="shared" si="37"/>
        <v>2.334616646953573E-3</v>
      </c>
      <c r="J301" s="6">
        <f t="shared" si="37"/>
        <v>2.3325229805307031E-3</v>
      </c>
      <c r="K301" s="6">
        <f t="shared" si="37"/>
        <v>2.334292606370443E-3</v>
      </c>
      <c r="L301" s="6">
        <f t="shared" si="37"/>
        <v>2.336092196522456E-3</v>
      </c>
      <c r="M301" s="6">
        <f t="shared" si="37"/>
        <v>2.3402354271006591E-3</v>
      </c>
      <c r="N301" s="6">
        <f t="shared" si="37"/>
        <v>2.344407424713253E-3</v>
      </c>
      <c r="O301" s="6">
        <f t="shared" si="37"/>
        <v>2.3478787798235871E-3</v>
      </c>
      <c r="P301" s="6">
        <f t="shared" si="37"/>
        <v>2.3521715641440159E-3</v>
      </c>
      <c r="Q301" s="6">
        <f t="shared" si="37"/>
        <v>2.3564976098142901E-3</v>
      </c>
      <c r="R301" s="6">
        <f t="shared" si="37"/>
        <v>2.348309135255047E-3</v>
      </c>
      <c r="S301" s="6">
        <f t="shared" si="37"/>
        <v>2.3400539690804929E-3</v>
      </c>
      <c r="T301" s="6">
        <f t="shared" si="37"/>
        <v>2.3307713043124539E-3</v>
      </c>
      <c r="U301" s="6">
        <f t="shared" si="37"/>
        <v>2.322378092485674E-3</v>
      </c>
      <c r="V301" s="6">
        <f t="shared" si="37"/>
        <v>2.3139082606342351E-3</v>
      </c>
      <c r="W301" s="6">
        <f t="shared" si="37"/>
        <v>2.3230274489819871E-3</v>
      </c>
      <c r="X301" s="6">
        <f t="shared" si="37"/>
        <v>2.308890132934231E-3</v>
      </c>
      <c r="Y301" s="6">
        <f t="shared" si="37"/>
        <v>2.2946569016000559E-3</v>
      </c>
      <c r="Z301" s="6">
        <f t="shared" si="37"/>
        <v>2.2803262576522711E-3</v>
      </c>
    </row>
    <row r="302" spans="1:53" outlineLevel="1" x14ac:dyDescent="0.35">
      <c r="A302" s="6" t="s">
        <v>758</v>
      </c>
      <c r="B302" s="6">
        <f>B38*$AC$265</f>
        <v>4.7254806168711E-3</v>
      </c>
      <c r="C302" s="6">
        <f t="shared" ref="C302:Z303" si="38">C38*$AC$265</f>
        <v>4.7150429724648266E-3</v>
      </c>
      <c r="D302" s="6">
        <f t="shared" si="38"/>
        <v>4.7037954214272492E-3</v>
      </c>
      <c r="E302" s="6">
        <f t="shared" si="38"/>
        <v>4.6903564184767798E-3</v>
      </c>
      <c r="F302" s="6">
        <f t="shared" si="38"/>
        <v>4.6788201017122864E-3</v>
      </c>
      <c r="G302" s="6">
        <f t="shared" si="38"/>
        <v>4.6672740708928722E-3</v>
      </c>
      <c r="H302" s="6">
        <f t="shared" si="38"/>
        <v>4.8487347846715174E-3</v>
      </c>
      <c r="I302" s="6">
        <f t="shared" si="38"/>
        <v>5.0293154309696449E-3</v>
      </c>
      <c r="J302" s="6">
        <f t="shared" si="38"/>
        <v>5.2079343872324596E-3</v>
      </c>
      <c r="K302" s="6">
        <f t="shared" si="38"/>
        <v>5.38690464636236E-3</v>
      </c>
      <c r="L302" s="6">
        <f t="shared" si="38"/>
        <v>5.5648984821665849E-3</v>
      </c>
      <c r="M302" s="6">
        <f t="shared" si="38"/>
        <v>5.9122370191219747E-3</v>
      </c>
      <c r="N302" s="6">
        <f t="shared" si="38"/>
        <v>6.2592313426667904E-3</v>
      </c>
      <c r="O302" s="6">
        <f t="shared" si="38"/>
        <v>6.6057256078626957E-3</v>
      </c>
      <c r="P302" s="6">
        <f t="shared" si="38"/>
        <v>6.9520789557548654E-3</v>
      </c>
      <c r="Q302" s="6">
        <f t="shared" si="38"/>
        <v>7.2981111443926553E-3</v>
      </c>
      <c r="R302" s="6">
        <f t="shared" si="38"/>
        <v>7.3214905613109308E-3</v>
      </c>
      <c r="S302" s="6">
        <f t="shared" si="38"/>
        <v>7.3445703523971851E-3</v>
      </c>
      <c r="T302" s="6">
        <f t="shared" si="38"/>
        <v>7.3671967428007301E-3</v>
      </c>
      <c r="U302" s="6">
        <f t="shared" si="38"/>
        <v>7.3898153527204059E-3</v>
      </c>
      <c r="V302" s="6">
        <f t="shared" si="38"/>
        <v>7.4122116230241446E-3</v>
      </c>
      <c r="W302" s="6">
        <f t="shared" si="38"/>
        <v>7.3238551270463706E-3</v>
      </c>
      <c r="X302" s="6">
        <f t="shared" si="38"/>
        <v>7.161367513670509E-3</v>
      </c>
      <c r="Y302" s="6">
        <f t="shared" si="38"/>
        <v>6.99897154521467E-3</v>
      </c>
      <c r="Z302" s="6">
        <f t="shared" si="38"/>
        <v>6.8366629379536144E-3</v>
      </c>
    </row>
    <row r="303" spans="1:53" outlineLevel="1" x14ac:dyDescent="0.35">
      <c r="A303" s="6" t="s">
        <v>759</v>
      </c>
      <c r="B303" s="6">
        <f>B39*$AC$265</f>
        <v>0</v>
      </c>
      <c r="C303" s="6">
        <f t="shared" si="38"/>
        <v>0</v>
      </c>
      <c r="D303" s="6">
        <f t="shared" si="38"/>
        <v>0</v>
      </c>
      <c r="E303" s="6">
        <f t="shared" si="38"/>
        <v>0</v>
      </c>
      <c r="F303" s="6">
        <f t="shared" si="38"/>
        <v>0</v>
      </c>
      <c r="G303" s="6">
        <f t="shared" si="38"/>
        <v>0</v>
      </c>
      <c r="H303" s="6">
        <f t="shared" si="38"/>
        <v>0</v>
      </c>
      <c r="I303" s="6">
        <f t="shared" si="38"/>
        <v>0</v>
      </c>
      <c r="J303" s="6">
        <f t="shared" si="38"/>
        <v>0</v>
      </c>
      <c r="K303" s="6">
        <f t="shared" si="38"/>
        <v>0</v>
      </c>
      <c r="L303" s="6">
        <f t="shared" si="38"/>
        <v>0</v>
      </c>
      <c r="M303" s="6">
        <f t="shared" si="38"/>
        <v>0</v>
      </c>
      <c r="N303" s="6">
        <f t="shared" si="38"/>
        <v>0</v>
      </c>
      <c r="O303" s="6">
        <f t="shared" si="38"/>
        <v>0</v>
      </c>
      <c r="P303" s="6">
        <f t="shared" si="38"/>
        <v>0</v>
      </c>
      <c r="Q303" s="6">
        <f t="shared" si="38"/>
        <v>0</v>
      </c>
      <c r="R303" s="6">
        <f t="shared" si="38"/>
        <v>0</v>
      </c>
      <c r="S303" s="6">
        <f t="shared" si="38"/>
        <v>0</v>
      </c>
      <c r="T303" s="6">
        <f t="shared" si="38"/>
        <v>0</v>
      </c>
      <c r="U303" s="6">
        <f t="shared" si="38"/>
        <v>0</v>
      </c>
      <c r="V303" s="6">
        <f t="shared" si="38"/>
        <v>0</v>
      </c>
      <c r="W303" s="6">
        <f t="shared" si="38"/>
        <v>0</v>
      </c>
      <c r="X303" s="6">
        <f t="shared" si="38"/>
        <v>0</v>
      </c>
      <c r="Y303" s="6">
        <f t="shared" si="38"/>
        <v>0</v>
      </c>
      <c r="Z303" s="6">
        <f t="shared" si="38"/>
        <v>0</v>
      </c>
    </row>
    <row r="304" spans="1:53" outlineLevel="1" x14ac:dyDescent="0.35">
      <c r="A304" s="6" t="s">
        <v>760</v>
      </c>
      <c r="B304" s="6">
        <f>$B$252*$AC$264*'Results - raw data ReCiPe (H)'!C114/(1-$AC$270)*(1+'Results ReCiPe (H) - HHD ship'!$AC$271/'Results ReCiPe (H) - HHD ship'!$AC$272-'Results ReCiPe (H) - HHD ship'!$AC$271)</f>
        <v>2.5393132376145978E-2</v>
      </c>
      <c r="C304" s="6">
        <f>$B$252*$AC$264*'Results - raw data ReCiPe (H)'!D114/(1-$AC$270)*(1+'Results ReCiPe (H) - HHD ship'!$AC$271/'Results ReCiPe (H) - HHD ship'!$AC$272-'Results ReCiPe (H) - HHD ship'!$AC$271)</f>
        <v>2.5386762089797048E-2</v>
      </c>
      <c r="D304" s="6">
        <f>$B$252*$AC$264*'Results - raw data ReCiPe (H)'!E114/(1-$AC$270)*(1+'Results ReCiPe (H) - HHD ship'!$AC$271/'Results ReCiPe (H) - HHD ship'!$AC$272-'Results ReCiPe (H) - HHD ship'!$AC$271)</f>
        <v>2.538085339756093E-2</v>
      </c>
      <c r="E304" s="6">
        <f>$B$252*$AC$264*'Results - raw data ReCiPe (H)'!F114/(1-$AC$270)*(1+'Results ReCiPe (H) - HHD ship'!$AC$271/'Results ReCiPe (H) - HHD ship'!$AC$272-'Results ReCiPe (H) - HHD ship'!$AC$271)</f>
        <v>2.5336334798651702E-2</v>
      </c>
      <c r="F304" s="6">
        <f>$B$252*$AC$264*'Results - raw data ReCiPe (H)'!G114/(1-$AC$270)*(1+'Results ReCiPe (H) - HHD ship'!$AC$271/'Results ReCiPe (H) - HHD ship'!$AC$272-'Results ReCiPe (H) - HHD ship'!$AC$271)</f>
        <v>2.5331220502552203E-2</v>
      </c>
      <c r="G304" s="6">
        <f>$B$252*$AC$264*'Results - raw data ReCiPe (H)'!H114/(1-$AC$270)*(1+'Results ReCiPe (H) - HHD ship'!$AC$271/'Results ReCiPe (H) - HHD ship'!$AC$272-'Results ReCiPe (H) - HHD ship'!$AC$271)</f>
        <v>2.5326311580108021E-2</v>
      </c>
      <c r="H304" s="6">
        <f>$B$252*$AC$264*'Results - raw data ReCiPe (H)'!I114/(1-$AC$270)*(1+'Results ReCiPe (H) - HHD ship'!$AC$271/'Results ReCiPe (H) - HHD ship'!$AC$272-'Results ReCiPe (H) - HHD ship'!$AC$271)</f>
        <v>2.5293725224504678E-2</v>
      </c>
      <c r="I304" s="6">
        <f>$B$252*$AC$264*'Results - raw data ReCiPe (H)'!J114/(1-$AC$270)*(1+'Results ReCiPe (H) - HHD ship'!$AC$271/'Results ReCiPe (H) - HHD ship'!$AC$272-'Results ReCiPe (H) - HHD ship'!$AC$271)</f>
        <v>2.5265270795297202E-2</v>
      </c>
      <c r="J304" s="6">
        <f>$B$252*$AC$264*'Results - raw data ReCiPe (H)'!K114/(1-$AC$270)*(1+'Results ReCiPe (H) - HHD ship'!$AC$271/'Results ReCiPe (H) - HHD ship'!$AC$272-'Results ReCiPe (H) - HHD ship'!$AC$271)</f>
        <v>2.5221231765272578E-2</v>
      </c>
      <c r="K304" s="6">
        <f>$B$252*$AC$264*'Results - raw data ReCiPe (H)'!L114/(1-$AC$270)*(1+'Results ReCiPe (H) - HHD ship'!$AC$271/'Results ReCiPe (H) - HHD ship'!$AC$272-'Results ReCiPe (H) - HHD ship'!$AC$271)</f>
        <v>2.5199834142130565E-2</v>
      </c>
      <c r="L304" s="6">
        <f>$B$252*$AC$264*'Results - raw data ReCiPe (H)'!M114/(1-$AC$270)*(1+'Results ReCiPe (H) - HHD ship'!$AC$271/'Results ReCiPe (H) - HHD ship'!$AC$272-'Results ReCiPe (H) - HHD ship'!$AC$271)</f>
        <v>2.5181295398559476E-2</v>
      </c>
      <c r="M304" s="6">
        <f>$B$252*$AC$264*'Results - raw data ReCiPe (H)'!N114/(1-$AC$270)*(1+'Results ReCiPe (H) - HHD ship'!$AC$271/'Results ReCiPe (H) - HHD ship'!$AC$272-'Results ReCiPe (H) - HHD ship'!$AC$271)</f>
        <v>2.5180242641040913E-2</v>
      </c>
      <c r="N304" s="6">
        <f>$B$252*$AC$264*'Results - raw data ReCiPe (H)'!O114/(1-$AC$270)*(1+'Results ReCiPe (H) - HHD ship'!$AC$271/'Results ReCiPe (H) - HHD ship'!$AC$272-'Results ReCiPe (H) - HHD ship'!$AC$271)</f>
        <v>2.5182111288651152E-2</v>
      </c>
      <c r="O304" s="6">
        <f>$B$252*$AC$264*'Results - raw data ReCiPe (H)'!P114/(1-$AC$270)*(1+'Results ReCiPe (H) - HHD ship'!$AC$271/'Results ReCiPe (H) - HHD ship'!$AC$272-'Results ReCiPe (H) - HHD ship'!$AC$271)</f>
        <v>2.5183691684456298E-2</v>
      </c>
      <c r="P304" s="6">
        <f>$B$252*$AC$264*'Results - raw data ReCiPe (H)'!Q114/(1-$AC$270)*(1+'Results ReCiPe (H) - HHD ship'!$AC$271/'Results ReCiPe (H) - HHD ship'!$AC$272-'Results ReCiPe (H) - HHD ship'!$AC$271)</f>
        <v>2.51909032563487E-2</v>
      </c>
      <c r="Q304" s="6">
        <f>$B$252*$AC$264*'Results - raw data ReCiPe (H)'!R114/(1-$AC$270)*(1+'Results ReCiPe (H) - HHD ship'!$AC$271/'Results ReCiPe (H) - HHD ship'!$AC$272-'Results ReCiPe (H) - HHD ship'!$AC$271)</f>
        <v>2.520113838936287E-2</v>
      </c>
      <c r="R304" s="6">
        <f>$B$252*$AC$264*'Results - raw data ReCiPe (H)'!S114/(1-$AC$270)*(1+'Results ReCiPe (H) - HHD ship'!$AC$271/'Results ReCiPe (H) - HHD ship'!$AC$272-'Results ReCiPe (H) - HHD ship'!$AC$271)</f>
        <v>2.5175280834720534E-2</v>
      </c>
      <c r="S304" s="6">
        <f>$B$252*$AC$264*'Results - raw data ReCiPe (H)'!T114/(1-$AC$270)*(1+'Results ReCiPe (H) - HHD ship'!$AC$271/'Results ReCiPe (H) - HHD ship'!$AC$272-'Results ReCiPe (H) - HHD ship'!$AC$271)</f>
        <v>2.5149303273379404E-2</v>
      </c>
      <c r="T304" s="6">
        <f>$B$252*$AC$264*'Results - raw data ReCiPe (H)'!U114/(1-$AC$270)*(1+'Results ReCiPe (H) - HHD ship'!$AC$271/'Results ReCiPe (H) - HHD ship'!$AC$272-'Results ReCiPe (H) - HHD ship'!$AC$271)</f>
        <v>2.5118992254091137E-2</v>
      </c>
      <c r="U304" s="6">
        <f>$B$252*$AC$264*'Results - raw data ReCiPe (H)'!V114/(1-$AC$270)*(1+'Results ReCiPe (H) - HHD ship'!$AC$271/'Results ReCiPe (H) - HHD ship'!$AC$272-'Results ReCiPe (H) - HHD ship'!$AC$271)</f>
        <v>2.5092606311484598E-2</v>
      </c>
      <c r="V304" s="6">
        <f>$B$252*$AC$264*'Results - raw data ReCiPe (H)'!W114/(1-$AC$270)*(1+'Results ReCiPe (H) - HHD ship'!$AC$271/'Results ReCiPe (H) - HHD ship'!$AC$272-'Results ReCiPe (H) - HHD ship'!$AC$271)</f>
        <v>2.5065942649119339E-2</v>
      </c>
      <c r="W304" s="6">
        <f>$B$252*$AC$264*'Results - raw data ReCiPe (H)'!X114/(1-$AC$270)*(1+'Results ReCiPe (H) - HHD ship'!$AC$271/'Results ReCiPe (H) - HHD ship'!$AC$272-'Results ReCiPe (H) - HHD ship'!$AC$271)</f>
        <v>2.5194146508512049E-2</v>
      </c>
      <c r="X304" s="6">
        <f>$B$252*$AC$264*'Results - raw data ReCiPe (H)'!Y114/(1-$AC$270)*(1+'Results ReCiPe (H) - HHD ship'!$AC$271/'Results ReCiPe (H) - HHD ship'!$AC$272-'Results ReCiPe (H) - HHD ship'!$AC$271)</f>
        <v>2.5150023608704108E-2</v>
      </c>
      <c r="Y304" s="6">
        <f>$B$252*$AC$264*'Results - raw data ReCiPe (H)'!Z114/(1-$AC$270)*(1+'Results ReCiPe (H) - HHD ship'!$AC$271/'Results ReCiPe (H) - HHD ship'!$AC$272-'Results ReCiPe (H) - HHD ship'!$AC$271)</f>
        <v>2.5105334490682755E-2</v>
      </c>
      <c r="Z304" s="6">
        <f>$B$252*$AC$264*'Results - raw data ReCiPe (H)'!AA114/(1-$AC$270)*(1+'Results ReCiPe (H) - HHD ship'!$AC$271/'Results ReCiPe (H) - HHD ship'!$AC$272-'Results ReCiPe (H) - HHD ship'!$AC$271)</f>
        <v>2.5060068697469448E-2</v>
      </c>
    </row>
    <row r="305" spans="1:26" outlineLevel="1" x14ac:dyDescent="0.35">
      <c r="A305" s="6" t="s">
        <v>797</v>
      </c>
      <c r="B305" s="6">
        <f>$B$260*$AC$264</f>
        <v>3.7606884347843109E-2</v>
      </c>
      <c r="C305" s="6">
        <f t="shared" ref="C305:Z305" si="39">$B$260*$AC$264</f>
        <v>3.7606884347843109E-2</v>
      </c>
      <c r="D305" s="6">
        <f t="shared" si="39"/>
        <v>3.7606884347843109E-2</v>
      </c>
      <c r="E305" s="6">
        <f t="shared" si="39"/>
        <v>3.7606884347843109E-2</v>
      </c>
      <c r="F305" s="6">
        <f t="shared" si="39"/>
        <v>3.7606884347843109E-2</v>
      </c>
      <c r="G305" s="6">
        <f t="shared" si="39"/>
        <v>3.7606884347843109E-2</v>
      </c>
      <c r="H305" s="6">
        <f t="shared" si="39"/>
        <v>3.7606884347843109E-2</v>
      </c>
      <c r="I305" s="6">
        <f t="shared" si="39"/>
        <v>3.7606884347843109E-2</v>
      </c>
      <c r="J305" s="6">
        <f t="shared" si="39"/>
        <v>3.7606884347843109E-2</v>
      </c>
      <c r="K305" s="6">
        <f t="shared" si="39"/>
        <v>3.7606884347843109E-2</v>
      </c>
      <c r="L305" s="6">
        <f t="shared" si="39"/>
        <v>3.7606884347843109E-2</v>
      </c>
      <c r="M305" s="6">
        <f t="shared" si="39"/>
        <v>3.7606884347843109E-2</v>
      </c>
      <c r="N305" s="6">
        <f t="shared" si="39"/>
        <v>3.7606884347843109E-2</v>
      </c>
      <c r="O305" s="6">
        <f t="shared" si="39"/>
        <v>3.7606884347843109E-2</v>
      </c>
      <c r="P305" s="6">
        <f t="shared" si="39"/>
        <v>3.7606884347843109E-2</v>
      </c>
      <c r="Q305" s="6">
        <f t="shared" si="39"/>
        <v>3.7606884347843109E-2</v>
      </c>
      <c r="R305" s="6">
        <f t="shared" si="39"/>
        <v>3.7606884347843109E-2</v>
      </c>
      <c r="S305" s="6">
        <f t="shared" si="39"/>
        <v>3.7606884347843109E-2</v>
      </c>
      <c r="T305" s="6">
        <f t="shared" si="39"/>
        <v>3.7606884347843109E-2</v>
      </c>
      <c r="U305" s="6">
        <f t="shared" si="39"/>
        <v>3.7606884347843109E-2</v>
      </c>
      <c r="V305" s="6">
        <f t="shared" si="39"/>
        <v>3.7606884347843109E-2</v>
      </c>
      <c r="W305" s="6">
        <f t="shared" si="39"/>
        <v>3.7606884347843109E-2</v>
      </c>
      <c r="X305" s="6">
        <f t="shared" si="39"/>
        <v>3.7606884347843109E-2</v>
      </c>
      <c r="Y305" s="6">
        <f t="shared" si="39"/>
        <v>3.7606884347843109E-2</v>
      </c>
      <c r="Z305" s="6">
        <f t="shared" si="39"/>
        <v>3.7606884347843109E-2</v>
      </c>
    </row>
    <row r="306" spans="1:26" outlineLevel="1" x14ac:dyDescent="0.35">
      <c r="A306" s="23" t="s">
        <v>125</v>
      </c>
      <c r="B306" s="17">
        <f t="shared" ref="B306:Z306" si="40">SUM(B274:B304)</f>
        <v>0.19727608277698011</v>
      </c>
      <c r="C306" s="17">
        <f t="shared" si="40"/>
        <v>3.2455405750385739E-2</v>
      </c>
      <c r="D306" s="17">
        <f t="shared" si="40"/>
        <v>3.243465593060052E-2</v>
      </c>
      <c r="E306" s="17">
        <f t="shared" si="40"/>
        <v>3.2365243104147554E-2</v>
      </c>
      <c r="F306" s="17">
        <f t="shared" si="40"/>
        <v>3.2344988787511936E-2</v>
      </c>
      <c r="G306" s="17">
        <f t="shared" si="40"/>
        <v>3.2324944794563416E-2</v>
      </c>
      <c r="H306" s="17">
        <f t="shared" si="40"/>
        <v>3.247542642579692E-2</v>
      </c>
      <c r="I306" s="17">
        <f t="shared" si="40"/>
        <v>3.2629202873220423E-2</v>
      </c>
      <c r="J306" s="17">
        <f t="shared" si="40"/>
        <v>3.2761689133035739E-2</v>
      </c>
      <c r="K306" s="17">
        <f t="shared" si="40"/>
        <v>3.2921031394863368E-2</v>
      </c>
      <c r="L306" s="17">
        <f t="shared" si="40"/>
        <v>3.3082286077248516E-2</v>
      </c>
      <c r="M306" s="17">
        <f t="shared" si="40"/>
        <v>3.3432715087263545E-2</v>
      </c>
      <c r="N306" s="17">
        <f t="shared" si="40"/>
        <v>3.3785750056031197E-2</v>
      </c>
      <c r="O306" s="17">
        <f t="shared" si="40"/>
        <v>3.4137296072142581E-2</v>
      </c>
      <c r="P306" s="17">
        <f t="shared" si="40"/>
        <v>3.4495153776247581E-2</v>
      </c>
      <c r="Q306" s="17">
        <f t="shared" si="40"/>
        <v>3.4855747143569815E-2</v>
      </c>
      <c r="R306" s="17">
        <f t="shared" si="40"/>
        <v>3.4845080531286515E-2</v>
      </c>
      <c r="S306" s="17">
        <f t="shared" si="40"/>
        <v>3.4833927594857081E-2</v>
      </c>
      <c r="T306" s="17">
        <f t="shared" si="40"/>
        <v>3.4816960301204319E-2</v>
      </c>
      <c r="U306" s="17">
        <f t="shared" si="40"/>
        <v>3.480479975669068E-2</v>
      </c>
      <c r="V306" s="17">
        <f t="shared" si="40"/>
        <v>3.4792062532777716E-2</v>
      </c>
      <c r="W306" s="17">
        <f t="shared" si="40"/>
        <v>3.4841029084540405E-2</v>
      </c>
      <c r="X306" s="17">
        <f t="shared" si="40"/>
        <v>3.4620281255308846E-2</v>
      </c>
      <c r="Y306" s="17">
        <f t="shared" si="40"/>
        <v>3.4398962937497481E-2</v>
      </c>
      <c r="Z306" s="17">
        <f t="shared" si="40"/>
        <v>3.5541763787409995E-2</v>
      </c>
    </row>
    <row r="307" spans="1:26" outlineLevel="1" x14ac:dyDescent="0.35"/>
    <row r="308" spans="1:26" s="18" customFormat="1" ht="21" x14ac:dyDescent="0.5">
      <c r="A308" s="18" t="s">
        <v>73</v>
      </c>
    </row>
    <row r="309" spans="1:26" s="20" customFormat="1" outlineLevel="1" x14ac:dyDescent="0.35">
      <c r="A309" s="19" t="s">
        <v>788</v>
      </c>
    </row>
    <row r="310" spans="1:26" s="20" customFormat="1" outlineLevel="1" x14ac:dyDescent="0.35">
      <c r="A310" s="273" t="s">
        <v>775</v>
      </c>
      <c r="B310" s="20">
        <v>1</v>
      </c>
      <c r="C310" s="274" t="s">
        <v>787</v>
      </c>
    </row>
    <row r="311" spans="1:26" s="20" customFormat="1" outlineLevel="1" x14ac:dyDescent="0.35">
      <c r="A311" s="273" t="s">
        <v>781</v>
      </c>
      <c r="B311" s="20">
        <v>100000</v>
      </c>
      <c r="C311" s="20" t="s">
        <v>782</v>
      </c>
      <c r="E311" s="274"/>
    </row>
    <row r="312" spans="1:26" s="20" customFormat="1" outlineLevel="1" x14ac:dyDescent="0.35">
      <c r="A312" s="273" t="s">
        <v>783</v>
      </c>
      <c r="B312" s="20">
        <v>1500</v>
      </c>
      <c r="C312" s="20" t="s">
        <v>592</v>
      </c>
    </row>
    <row r="313" spans="1:26" s="20" customFormat="1" outlineLevel="1" x14ac:dyDescent="0.35">
      <c r="A313" s="273" t="s">
        <v>784</v>
      </c>
      <c r="B313" s="20">
        <v>8760</v>
      </c>
      <c r="C313" s="20" t="s">
        <v>785</v>
      </c>
    </row>
    <row r="314" spans="1:26" s="20" customFormat="1" outlineLevel="1" x14ac:dyDescent="0.35">
      <c r="A314" s="273"/>
    </row>
    <row r="315" spans="1:26" s="20" customFormat="1" outlineLevel="1" x14ac:dyDescent="0.35">
      <c r="A315" s="275" t="s">
        <v>786</v>
      </c>
      <c r="B315" s="275">
        <f>(B311*B312)/(B313*B310)</f>
        <v>17123.287671232876</v>
      </c>
      <c r="C315" s="275" t="s">
        <v>749</v>
      </c>
    </row>
    <row r="316" spans="1:26" s="20" customFormat="1" outlineLevel="1" x14ac:dyDescent="0.35">
      <c r="A316" s="19"/>
    </row>
    <row r="317" spans="1:26" s="20" customFormat="1" outlineLevel="1" x14ac:dyDescent="0.35">
      <c r="A317" s="19" t="s">
        <v>793</v>
      </c>
    </row>
    <row r="318" spans="1:26" s="20" customFormat="1" outlineLevel="1" x14ac:dyDescent="0.35">
      <c r="A318" s="273" t="s">
        <v>789</v>
      </c>
      <c r="B318" s="20">
        <f>SUM('Results - raw data ReCiPe (H)'!C146:C147)+'Results - raw data ReCiPe (H)'!C150+SUM('Results - raw data ReCiPe (H)'!C148:C149)*AC267</f>
        <v>7.1440272871580316E-3</v>
      </c>
      <c r="C318" s="20" t="s">
        <v>790</v>
      </c>
    </row>
    <row r="319" spans="1:26" s="20" customFormat="1" outlineLevel="1" x14ac:dyDescent="0.35">
      <c r="A319" s="20" t="s">
        <v>792</v>
      </c>
      <c r="B319" s="20">
        <f>B311*AC325</f>
        <v>50000</v>
      </c>
      <c r="C319" s="274" t="s">
        <v>795</v>
      </c>
    </row>
    <row r="320" spans="1:26" s="20" customFormat="1" outlineLevel="1" x14ac:dyDescent="0.35">
      <c r="A320" s="20" t="s">
        <v>791</v>
      </c>
      <c r="B320" s="20">
        <f>(B318*AC327*B315)/(B319*AC326)*(AC326/AC328)</f>
        <v>7.3397540621486621E-4</v>
      </c>
      <c r="C320" s="20" t="s">
        <v>794</v>
      </c>
      <c r="E320" s="274" t="s">
        <v>796</v>
      </c>
    </row>
    <row r="321" spans="1:53" s="20" customFormat="1" outlineLevel="1" x14ac:dyDescent="0.35">
      <c r="A321" s="19"/>
    </row>
    <row r="322" spans="1:53" s="16" customFormat="1" outlineLevel="1" x14ac:dyDescent="0.35">
      <c r="A322" s="21"/>
      <c r="AB322" s="16" t="s">
        <v>47</v>
      </c>
      <c r="AC322" s="16">
        <v>9.2800000000000005E-7</v>
      </c>
      <c r="AD322" s="16" t="s">
        <v>48</v>
      </c>
      <c r="AE322" s="15" t="s">
        <v>714</v>
      </c>
    </row>
    <row r="323" spans="1:53" s="16" customFormat="1" outlineLevel="1" x14ac:dyDescent="0.35">
      <c r="A323" s="22" t="s">
        <v>564</v>
      </c>
      <c r="AC323" s="16">
        <f>AC322*1000</f>
        <v>9.2800000000000001E-4</v>
      </c>
      <c r="AD323" s="16" t="s">
        <v>126</v>
      </c>
    </row>
    <row r="324" spans="1:53" s="16" customFormat="1" outlineLevel="1" x14ac:dyDescent="0.35">
      <c r="A324" s="22"/>
      <c r="AB324" s="16" t="s">
        <v>127</v>
      </c>
      <c r="AC324" s="16">
        <f>100*AC325</f>
        <v>50</v>
      </c>
      <c r="AD324" s="16" t="s">
        <v>128</v>
      </c>
    </row>
    <row r="325" spans="1:53" s="16" customFormat="1" outlineLevel="1" x14ac:dyDescent="0.35">
      <c r="A325" s="230"/>
      <c r="AB325" s="16" t="s">
        <v>776</v>
      </c>
      <c r="AC325" s="16">
        <v>0.5</v>
      </c>
    </row>
    <row r="326" spans="1:53" s="16" customFormat="1" outlineLevel="1" x14ac:dyDescent="0.35">
      <c r="A326" s="21"/>
      <c r="AB326" s="16" t="s">
        <v>129</v>
      </c>
      <c r="AC326" s="16">
        <v>25</v>
      </c>
      <c r="AD326" s="16" t="s">
        <v>130</v>
      </c>
    </row>
    <row r="327" spans="1:53" s="16" customFormat="1" outlineLevel="1" x14ac:dyDescent="0.35">
      <c r="A327" s="21"/>
      <c r="AB327" s="16" t="s">
        <v>777</v>
      </c>
      <c r="AC327" s="16">
        <v>6</v>
      </c>
      <c r="AD327" s="16" t="s">
        <v>779</v>
      </c>
    </row>
    <row r="328" spans="1:53" s="16" customFormat="1" outlineLevel="1" x14ac:dyDescent="0.35">
      <c r="A328" s="21"/>
      <c r="AB328" s="16" t="s">
        <v>778</v>
      </c>
      <c r="AC328" s="16">
        <v>20</v>
      </c>
      <c r="AD328" s="16" t="s">
        <v>130</v>
      </c>
    </row>
    <row r="329" spans="1:53" s="16" customFormat="1" outlineLevel="1" x14ac:dyDescent="0.35">
      <c r="AB329" s="16" t="s">
        <v>780</v>
      </c>
      <c r="AC329" s="16">
        <f>B315</f>
        <v>17123.287671232876</v>
      </c>
      <c r="AD329" s="16" t="s">
        <v>749</v>
      </c>
    </row>
    <row r="330" spans="1:53" s="16" customFormat="1" outlineLevel="1" x14ac:dyDescent="0.35">
      <c r="AB330" s="16" t="s">
        <v>820</v>
      </c>
      <c r="AC330" s="16">
        <v>0.5</v>
      </c>
    </row>
    <row r="331" spans="1:53" s="16" customFormat="1" outlineLevel="1" x14ac:dyDescent="0.35">
      <c r="AB331" s="16" t="s">
        <v>798</v>
      </c>
      <c r="AC331" s="16">
        <v>0.25</v>
      </c>
    </row>
    <row r="332" spans="1:53" s="16" customFormat="1" outlineLevel="1" x14ac:dyDescent="0.35">
      <c r="A332" s="22"/>
      <c r="AB332" s="16" t="s">
        <v>799</v>
      </c>
      <c r="AC332" s="16">
        <v>0.9</v>
      </c>
    </row>
    <row r="333" spans="1:53" outlineLevel="1" x14ac:dyDescent="0.35">
      <c r="B333" s="25">
        <v>2030</v>
      </c>
      <c r="C333" s="25">
        <v>2031</v>
      </c>
      <c r="D333" s="25">
        <v>2032</v>
      </c>
      <c r="E333" s="25">
        <v>2033</v>
      </c>
      <c r="F333" s="25">
        <v>2034</v>
      </c>
      <c r="G333" s="25">
        <v>2035</v>
      </c>
      <c r="H333" s="25">
        <v>2036</v>
      </c>
      <c r="I333" s="25">
        <v>2037</v>
      </c>
      <c r="J333" s="25">
        <v>2038</v>
      </c>
      <c r="K333" s="25">
        <v>2039</v>
      </c>
      <c r="L333" s="25">
        <v>2040</v>
      </c>
      <c r="M333" s="25">
        <v>2041</v>
      </c>
      <c r="N333" s="25">
        <v>2042</v>
      </c>
      <c r="O333" s="25">
        <v>2043</v>
      </c>
      <c r="P333" s="25">
        <v>2044</v>
      </c>
      <c r="Q333" s="25">
        <v>2045</v>
      </c>
      <c r="R333" s="25">
        <v>2046</v>
      </c>
      <c r="S333" s="25">
        <v>2047</v>
      </c>
      <c r="T333" s="25">
        <v>2048</v>
      </c>
      <c r="U333" s="25">
        <v>2049</v>
      </c>
      <c r="V333" s="25">
        <v>2050</v>
      </c>
      <c r="W333" s="25">
        <v>2051</v>
      </c>
      <c r="X333" s="25">
        <v>2052</v>
      </c>
      <c r="Y333" s="25">
        <v>2053</v>
      </c>
      <c r="Z333" s="25">
        <v>2054</v>
      </c>
      <c r="AC333" s="25">
        <v>2030</v>
      </c>
      <c r="AD333" s="25">
        <v>2031</v>
      </c>
      <c r="AE333" s="25">
        <v>2032</v>
      </c>
      <c r="AF333" s="25">
        <v>2033</v>
      </c>
      <c r="AG333" s="25">
        <v>2034</v>
      </c>
      <c r="AH333" s="25">
        <v>2035</v>
      </c>
      <c r="AI333" s="25">
        <v>2036</v>
      </c>
      <c r="AJ333" s="25">
        <v>2037</v>
      </c>
      <c r="AK333" s="25">
        <v>2038</v>
      </c>
      <c r="AL333" s="25">
        <v>2039</v>
      </c>
      <c r="AM333" s="25">
        <v>2040</v>
      </c>
      <c r="AN333" s="25">
        <v>2041</v>
      </c>
      <c r="AO333" s="25">
        <v>2042</v>
      </c>
      <c r="AP333" s="25">
        <v>2043</v>
      </c>
      <c r="AQ333" s="25">
        <v>2044</v>
      </c>
      <c r="AR333" s="25">
        <v>2045</v>
      </c>
      <c r="AS333" s="25">
        <v>2046</v>
      </c>
      <c r="AT333" s="25">
        <v>2047</v>
      </c>
      <c r="AU333" s="25">
        <v>2048</v>
      </c>
      <c r="AV333" s="25">
        <v>2049</v>
      </c>
      <c r="AW333" s="25">
        <v>2050</v>
      </c>
      <c r="AX333" s="25">
        <v>2051</v>
      </c>
      <c r="AY333" s="25">
        <v>2052</v>
      </c>
      <c r="AZ333" s="25">
        <v>2053</v>
      </c>
      <c r="BA333" s="25">
        <v>2054</v>
      </c>
    </row>
    <row r="334" spans="1:53" outlineLevel="1" x14ac:dyDescent="0.35">
      <c r="A334" s="6" t="s">
        <v>21</v>
      </c>
      <c r="B334" s="6">
        <f>B50</f>
        <v>2.686627601232994E-3</v>
      </c>
      <c r="AB334" s="6" t="s">
        <v>117</v>
      </c>
      <c r="AC334" s="6">
        <f>SUM(B334:B345)+B347</f>
        <v>0.15280359411988906</v>
      </c>
    </row>
    <row r="335" spans="1:53" outlineLevel="1" x14ac:dyDescent="0.35">
      <c r="A335" s="6" t="s">
        <v>23</v>
      </c>
      <c r="B335" s="6">
        <f t="shared" ref="B335:B345" si="41">B51</f>
        <v>5.7475279188938643E-3</v>
      </c>
      <c r="AB335" s="6" t="s">
        <v>118</v>
      </c>
      <c r="AC335" s="6">
        <f>B346</f>
        <v>4.7531917382991409E-3</v>
      </c>
    </row>
    <row r="336" spans="1:53" outlineLevel="1" x14ac:dyDescent="0.35">
      <c r="A336" s="6" t="s">
        <v>26</v>
      </c>
      <c r="B336" s="6">
        <f t="shared" si="41"/>
        <v>1.2845382150857119E-2</v>
      </c>
      <c r="AB336" s="6" t="s">
        <v>119</v>
      </c>
      <c r="BA336" s="6">
        <f>SUM(Z348:Z359)</f>
        <v>1.2038817746522666E-3</v>
      </c>
    </row>
    <row r="337" spans="1:53" outlineLevel="1" x14ac:dyDescent="0.35">
      <c r="A337" s="6" t="s">
        <v>28</v>
      </c>
      <c r="B337" s="6">
        <f t="shared" si="41"/>
        <v>1.6265845410914071E-2</v>
      </c>
      <c r="AB337" s="6" t="s">
        <v>120</v>
      </c>
      <c r="BA337" s="6">
        <f>Z360</f>
        <v>1.7613571923572038E-5</v>
      </c>
    </row>
    <row r="338" spans="1:53" outlineLevel="1" x14ac:dyDescent="0.35">
      <c r="A338" s="6" t="s">
        <v>29</v>
      </c>
      <c r="B338" s="6">
        <f t="shared" si="41"/>
        <v>1.267220629476748E-2</v>
      </c>
      <c r="AB338" s="6" t="s">
        <v>121</v>
      </c>
      <c r="AC338" s="6">
        <f>B361</f>
        <v>2.2868444478900299E-3</v>
      </c>
      <c r="AF338" s="6">
        <f>E361</f>
        <v>2.2242630345716192E-3</v>
      </c>
      <c r="AI338" s="6">
        <f>H361</f>
        <v>2.1636441841529248E-3</v>
      </c>
      <c r="AL338" s="6">
        <f>K361</f>
        <v>2.0913940629818349E-3</v>
      </c>
      <c r="AO338" s="6">
        <f>N361</f>
        <v>2.0111593851075741E-3</v>
      </c>
      <c r="AR338" s="6">
        <f>Q361</f>
        <v>1.925325558619934E-3</v>
      </c>
      <c r="AU338" s="6">
        <f>T361</f>
        <v>1.868103373074346E-3</v>
      </c>
      <c r="AX338" s="6">
        <f>W361</f>
        <v>1.839484702599319E-3</v>
      </c>
      <c r="BA338" s="6">
        <f>Z361</f>
        <v>1.8308470230828889E-3</v>
      </c>
    </row>
    <row r="339" spans="1:53" outlineLevel="1" x14ac:dyDescent="0.35">
      <c r="A339" s="6" t="s">
        <v>31</v>
      </c>
      <c r="B339" s="6">
        <f t="shared" si="41"/>
        <v>8.1155683691255427E-3</v>
      </c>
      <c r="AB339" s="6" t="s">
        <v>797</v>
      </c>
      <c r="AC339" s="6">
        <f>B365</f>
        <v>3.6698770310743312E-2</v>
      </c>
      <c r="AD339" s="6">
        <f t="shared" ref="AD339:BA339" si="42">C365</f>
        <v>3.6698770310743312E-2</v>
      </c>
      <c r="AE339" s="6">
        <f t="shared" si="42"/>
        <v>3.6698770310743312E-2</v>
      </c>
      <c r="AF339" s="6">
        <f t="shared" si="42"/>
        <v>3.6698770310743312E-2</v>
      </c>
      <c r="AG339" s="6">
        <f t="shared" si="42"/>
        <v>3.6698770310743312E-2</v>
      </c>
      <c r="AH339" s="6">
        <f t="shared" si="42"/>
        <v>3.6698770310743312E-2</v>
      </c>
      <c r="AI339" s="6">
        <f t="shared" si="42"/>
        <v>3.6698770310743312E-2</v>
      </c>
      <c r="AJ339" s="6">
        <f t="shared" si="42"/>
        <v>3.6698770310743312E-2</v>
      </c>
      <c r="AK339" s="6">
        <f t="shared" si="42"/>
        <v>3.6698770310743312E-2</v>
      </c>
      <c r="AL339" s="6">
        <f t="shared" si="42"/>
        <v>3.6698770310743312E-2</v>
      </c>
      <c r="AM339" s="6">
        <f t="shared" si="42"/>
        <v>3.6698770310743312E-2</v>
      </c>
      <c r="AN339" s="6">
        <f t="shared" si="42"/>
        <v>3.6698770310743312E-2</v>
      </c>
      <c r="AO339" s="6">
        <f t="shared" si="42"/>
        <v>3.6698770310743312E-2</v>
      </c>
      <c r="AP339" s="6">
        <f t="shared" si="42"/>
        <v>3.6698770310743312E-2</v>
      </c>
      <c r="AQ339" s="6">
        <f t="shared" si="42"/>
        <v>3.6698770310743312E-2</v>
      </c>
      <c r="AR339" s="6">
        <f t="shared" si="42"/>
        <v>3.6698770310743312E-2</v>
      </c>
      <c r="AS339" s="6">
        <f t="shared" si="42"/>
        <v>3.6698770310743312E-2</v>
      </c>
      <c r="AT339" s="6">
        <f t="shared" si="42"/>
        <v>3.6698770310743312E-2</v>
      </c>
      <c r="AU339" s="6">
        <f t="shared" si="42"/>
        <v>3.6698770310743312E-2</v>
      </c>
      <c r="AV339" s="6">
        <f t="shared" si="42"/>
        <v>3.6698770310743312E-2</v>
      </c>
      <c r="AW339" s="6">
        <f t="shared" si="42"/>
        <v>3.6698770310743312E-2</v>
      </c>
      <c r="AX339" s="6">
        <f t="shared" si="42"/>
        <v>3.6698770310743312E-2</v>
      </c>
      <c r="AY339" s="6">
        <f t="shared" si="42"/>
        <v>3.6698770310743312E-2</v>
      </c>
      <c r="AZ339" s="6">
        <f t="shared" si="42"/>
        <v>3.6698770310743312E-2</v>
      </c>
      <c r="BA339" s="6">
        <f t="shared" si="42"/>
        <v>3.6698770310743312E-2</v>
      </c>
    </row>
    <row r="340" spans="1:53" outlineLevel="1" x14ac:dyDescent="0.35">
      <c r="A340" s="6" t="s">
        <v>34</v>
      </c>
      <c r="B340" s="6">
        <f t="shared" si="41"/>
        <v>6.3101752981999824E-3</v>
      </c>
      <c r="AB340" s="6" t="s">
        <v>122</v>
      </c>
      <c r="AC340" s="6">
        <f t="shared" ref="AC340:AV340" si="43">B364+B363</f>
        <v>2.4592916213383192E-2</v>
      </c>
      <c r="AD340" s="6">
        <f t="shared" si="43"/>
        <v>2.4492253261722656E-2</v>
      </c>
      <c r="AE340" s="6">
        <f t="shared" si="43"/>
        <v>2.4388433020564908E-2</v>
      </c>
      <c r="AF340" s="6">
        <f t="shared" si="43"/>
        <v>2.42438140080929E-2</v>
      </c>
      <c r="AG340" s="6">
        <f t="shared" si="43"/>
        <v>2.4133906961006681E-2</v>
      </c>
      <c r="AH340" s="6">
        <f t="shared" si="43"/>
        <v>2.4020580058759473E-2</v>
      </c>
      <c r="AI340" s="6">
        <f t="shared" si="43"/>
        <v>2.3878452035089502E-2</v>
      </c>
      <c r="AJ340" s="6">
        <f t="shared" si="43"/>
        <v>2.3749011514534062E-2</v>
      </c>
      <c r="AK340" s="6">
        <f t="shared" si="43"/>
        <v>2.3607155091283992E-2</v>
      </c>
      <c r="AL340" s="6">
        <f t="shared" si="43"/>
        <v>2.3485878923419821E-2</v>
      </c>
      <c r="AM340" s="6">
        <f t="shared" si="43"/>
        <v>2.3365064636344222E-2</v>
      </c>
      <c r="AN340" s="6">
        <f t="shared" si="43"/>
        <v>2.3267325972967434E-2</v>
      </c>
      <c r="AO340" s="6">
        <f t="shared" si="43"/>
        <v>2.3173238075734136E-2</v>
      </c>
      <c r="AP340" s="6">
        <f t="shared" si="43"/>
        <v>2.3077099371627826E-2</v>
      </c>
      <c r="AQ340" s="6">
        <f t="shared" si="43"/>
        <v>2.2988534985372587E-2</v>
      </c>
      <c r="AR340" s="6">
        <f t="shared" si="43"/>
        <v>2.2902055770086523E-2</v>
      </c>
      <c r="AS340" s="6">
        <f t="shared" si="43"/>
        <v>2.2854220142108059E-2</v>
      </c>
      <c r="AT340" s="6">
        <f t="shared" si="43"/>
        <v>2.2807812816613145E-2</v>
      </c>
      <c r="AU340" s="6">
        <f t="shared" si="43"/>
        <v>2.2757660133605091E-2</v>
      </c>
      <c r="AV340" s="6">
        <f t="shared" si="43"/>
        <v>2.2714112173136177E-2</v>
      </c>
      <c r="AW340" s="6">
        <f>V364</f>
        <v>2.2672761776796464E-2</v>
      </c>
      <c r="AX340" s="6">
        <f>W364</f>
        <v>2.2801281023062597E-2</v>
      </c>
      <c r="AY340" s="6">
        <f>X364</f>
        <v>2.2799190558163568E-2</v>
      </c>
      <c r="AZ340" s="6">
        <f>Y364</f>
        <v>2.2797127855379302E-2</v>
      </c>
      <c r="BA340" s="6">
        <f>Z364</f>
        <v>2.279510719349959E-2</v>
      </c>
    </row>
    <row r="341" spans="1:53" outlineLevel="1" x14ac:dyDescent="0.35">
      <c r="A341" s="6" t="s">
        <v>36</v>
      </c>
      <c r="B341" s="6">
        <f t="shared" si="41"/>
        <v>3.6673559301182651E-3</v>
      </c>
      <c r="AB341" s="6" t="s">
        <v>123</v>
      </c>
      <c r="AC341" s="6">
        <f t="shared" ref="AC341:BA341" si="44">B362</f>
        <v>4.2966574908341344E-3</v>
      </c>
      <c r="AD341" s="6">
        <f t="shared" si="44"/>
        <v>4.1454296330144516E-3</v>
      </c>
      <c r="AE341" s="6">
        <f t="shared" si="44"/>
        <v>3.9941797343015862E-3</v>
      </c>
      <c r="AF341" s="6">
        <f t="shared" si="44"/>
        <v>3.8412214263013849E-3</v>
      </c>
      <c r="AG341" s="6">
        <f t="shared" si="44"/>
        <v>3.690794845668643E-3</v>
      </c>
      <c r="AH341" s="6">
        <f t="shared" si="44"/>
        <v>3.5409017794174186E-3</v>
      </c>
      <c r="AI341" s="6">
        <f t="shared" si="44"/>
        <v>3.4532837484437121E-3</v>
      </c>
      <c r="AJ341" s="6">
        <f t="shared" si="44"/>
        <v>3.3660276011109663E-3</v>
      </c>
      <c r="AK341" s="6">
        <f t="shared" si="44"/>
        <v>3.2776115806237307E-3</v>
      </c>
      <c r="AL341" s="6">
        <f t="shared" si="44"/>
        <v>3.190725042291895E-3</v>
      </c>
      <c r="AM341" s="6">
        <f t="shared" si="44"/>
        <v>3.1039605792189551E-3</v>
      </c>
      <c r="AN341" s="6">
        <f t="shared" si="44"/>
        <v>3.0477354342502276E-3</v>
      </c>
      <c r="AO341" s="6">
        <f t="shared" si="44"/>
        <v>2.9912942880167192E-3</v>
      </c>
      <c r="AP341" s="6">
        <f t="shared" si="44"/>
        <v>2.9342328753645553E-3</v>
      </c>
      <c r="AQ341" s="6">
        <f t="shared" si="44"/>
        <v>2.877234826237896E-3</v>
      </c>
      <c r="AR341" s="6">
        <f t="shared" si="44"/>
        <v>2.8199905559219522E-3</v>
      </c>
      <c r="AS341" s="6">
        <f t="shared" si="44"/>
        <v>2.7990413582219612E-3</v>
      </c>
      <c r="AT341" s="6">
        <f t="shared" si="44"/>
        <v>2.7779422491241556E-3</v>
      </c>
      <c r="AU341" s="6">
        <f t="shared" si="44"/>
        <v>2.7564144513642164E-3</v>
      </c>
      <c r="AV341" s="6">
        <f t="shared" si="44"/>
        <v>2.7351354311203968E-3</v>
      </c>
      <c r="AW341" s="6">
        <f t="shared" si="44"/>
        <v>2.7137798789015925E-3</v>
      </c>
      <c r="AX341" s="6">
        <f t="shared" si="44"/>
        <v>2.7250559959418165E-3</v>
      </c>
      <c r="AY341" s="6">
        <f t="shared" si="44"/>
        <v>2.7160250523463039E-3</v>
      </c>
      <c r="AZ341" s="6">
        <f t="shared" si="44"/>
        <v>2.706996795978433E-3</v>
      </c>
      <c r="BA341" s="6">
        <f t="shared" si="44"/>
        <v>2.6979679152885055E-3</v>
      </c>
    </row>
    <row r="342" spans="1:53" outlineLevel="1" x14ac:dyDescent="0.35">
      <c r="A342" s="6" t="s">
        <v>38</v>
      </c>
      <c r="B342" s="6">
        <f t="shared" si="41"/>
        <v>2.0251561932952661E-2</v>
      </c>
      <c r="AB342" s="6" t="s">
        <v>124</v>
      </c>
      <c r="AC342" s="6">
        <f>-$AC$323*$AC$324</f>
        <v>-4.6399999999999997E-2</v>
      </c>
      <c r="AD342" s="6">
        <f t="shared" ref="AD342:BA342" si="45">-$AC$323*$AC$324</f>
        <v>-4.6399999999999997E-2</v>
      </c>
      <c r="AE342" s="6">
        <f t="shared" si="45"/>
        <v>-4.6399999999999997E-2</v>
      </c>
      <c r="AF342" s="6">
        <f t="shared" si="45"/>
        <v>-4.6399999999999997E-2</v>
      </c>
      <c r="AG342" s="6">
        <f t="shared" si="45"/>
        <v>-4.6399999999999997E-2</v>
      </c>
      <c r="AH342" s="6">
        <f t="shared" si="45"/>
        <v>-4.6399999999999997E-2</v>
      </c>
      <c r="AI342" s="6">
        <f t="shared" si="45"/>
        <v>-4.6399999999999997E-2</v>
      </c>
      <c r="AJ342" s="6">
        <f t="shared" si="45"/>
        <v>-4.6399999999999997E-2</v>
      </c>
      <c r="AK342" s="6">
        <f t="shared" si="45"/>
        <v>-4.6399999999999997E-2</v>
      </c>
      <c r="AL342" s="6">
        <f t="shared" si="45"/>
        <v>-4.6399999999999997E-2</v>
      </c>
      <c r="AM342" s="6">
        <f t="shared" si="45"/>
        <v>-4.6399999999999997E-2</v>
      </c>
      <c r="AN342" s="6">
        <f t="shared" si="45"/>
        <v>-4.6399999999999997E-2</v>
      </c>
      <c r="AO342" s="6">
        <f t="shared" si="45"/>
        <v>-4.6399999999999997E-2</v>
      </c>
      <c r="AP342" s="6">
        <f t="shared" si="45"/>
        <v>-4.6399999999999997E-2</v>
      </c>
      <c r="AQ342" s="6">
        <f t="shared" si="45"/>
        <v>-4.6399999999999997E-2</v>
      </c>
      <c r="AR342" s="6">
        <f t="shared" si="45"/>
        <v>-4.6399999999999997E-2</v>
      </c>
      <c r="AS342" s="6">
        <f t="shared" si="45"/>
        <v>-4.6399999999999997E-2</v>
      </c>
      <c r="AT342" s="6">
        <f t="shared" si="45"/>
        <v>-4.6399999999999997E-2</v>
      </c>
      <c r="AU342" s="6">
        <f t="shared" si="45"/>
        <v>-4.6399999999999997E-2</v>
      </c>
      <c r="AV342" s="6">
        <f t="shared" si="45"/>
        <v>-4.6399999999999997E-2</v>
      </c>
      <c r="AW342" s="6">
        <f t="shared" si="45"/>
        <v>-4.6399999999999997E-2</v>
      </c>
      <c r="AX342" s="6">
        <f t="shared" si="45"/>
        <v>-4.6399999999999997E-2</v>
      </c>
      <c r="AY342" s="6">
        <f t="shared" si="45"/>
        <v>-4.6399999999999997E-2</v>
      </c>
      <c r="AZ342" s="6">
        <f t="shared" si="45"/>
        <v>-4.6399999999999997E-2</v>
      </c>
      <c r="BA342" s="6">
        <f t="shared" si="45"/>
        <v>-4.6399999999999997E-2</v>
      </c>
    </row>
    <row r="343" spans="1:53" outlineLevel="1" x14ac:dyDescent="0.35">
      <c r="A343" s="6" t="s">
        <v>39</v>
      </c>
      <c r="B343" s="6">
        <f t="shared" si="41"/>
        <v>5.5780352999011518E-2</v>
      </c>
      <c r="AB343" s="23" t="s">
        <v>125</v>
      </c>
      <c r="AC343" s="17">
        <f t="shared" ref="AC343:BA343" si="46">SUM(AC334:AC342)</f>
        <v>0.17903197432103887</v>
      </c>
      <c r="AD343" s="17">
        <f t="shared" si="46"/>
        <v>1.8936453205480416E-2</v>
      </c>
      <c r="AE343" s="17">
        <f t="shared" si="46"/>
        <v>1.8681383065609819E-2</v>
      </c>
      <c r="AF343" s="17">
        <f t="shared" si="46"/>
        <v>2.0608068779709221E-2</v>
      </c>
      <c r="AG343" s="17">
        <f t="shared" si="46"/>
        <v>1.8123472117418632E-2</v>
      </c>
      <c r="AH343" s="17">
        <f t="shared" si="46"/>
        <v>1.7860252148920203E-2</v>
      </c>
      <c r="AI343" s="17">
        <f t="shared" si="46"/>
        <v>1.9794150278429443E-2</v>
      </c>
      <c r="AJ343" s="17">
        <f t="shared" si="46"/>
        <v>1.7413809426388344E-2</v>
      </c>
      <c r="AK343" s="17">
        <f t="shared" si="46"/>
        <v>1.7183536982651043E-2</v>
      </c>
      <c r="AL343" s="17">
        <f t="shared" si="46"/>
        <v>1.9066768339436865E-2</v>
      </c>
      <c r="AM343" s="17">
        <f t="shared" si="46"/>
        <v>1.6767795526306487E-2</v>
      </c>
      <c r="AN343" s="17">
        <f t="shared" si="46"/>
        <v>1.6613831717960978E-2</v>
      </c>
      <c r="AO343" s="17">
        <f t="shared" si="46"/>
        <v>1.8474462059601737E-2</v>
      </c>
      <c r="AP343" s="17">
        <f t="shared" si="46"/>
        <v>1.6310102557735698E-2</v>
      </c>
      <c r="AQ343" s="17">
        <f t="shared" si="46"/>
        <v>1.6164540122353799E-2</v>
      </c>
      <c r="AR343" s="17">
        <f t="shared" si="46"/>
        <v>1.7946142195371731E-2</v>
      </c>
      <c r="AS343" s="17">
        <f t="shared" si="46"/>
        <v>1.5952031811073332E-2</v>
      </c>
      <c r="AT343" s="17">
        <f t="shared" si="46"/>
        <v>1.5884525376480621E-2</v>
      </c>
      <c r="AU343" s="17">
        <f t="shared" si="46"/>
        <v>1.7680948268786967E-2</v>
      </c>
      <c r="AV343" s="17">
        <f t="shared" si="46"/>
        <v>1.5748017914999891E-2</v>
      </c>
      <c r="AW343" s="17">
        <f t="shared" si="46"/>
        <v>1.5685311966441365E-2</v>
      </c>
      <c r="AX343" s="17">
        <f t="shared" si="46"/>
        <v>1.7664592032347048E-2</v>
      </c>
      <c r="AY343" s="17">
        <f t="shared" si="46"/>
        <v>1.5813985921253187E-2</v>
      </c>
      <c r="AZ343" s="17">
        <f t="shared" si="46"/>
        <v>1.5802894962101049E-2</v>
      </c>
      <c r="BA343" s="17">
        <f t="shared" si="46"/>
        <v>1.8844187789190142E-2</v>
      </c>
    </row>
    <row r="344" spans="1:53" outlineLevel="1" x14ac:dyDescent="0.35">
      <c r="A344" s="6" t="s">
        <v>41</v>
      </c>
      <c r="B344" s="6">
        <f t="shared" si="41"/>
        <v>2.8664307292717168E-4</v>
      </c>
    </row>
    <row r="345" spans="1:53" outlineLevel="1" x14ac:dyDescent="0.35">
      <c r="A345" s="6" t="s">
        <v>43</v>
      </c>
      <c r="B345" s="6">
        <f t="shared" si="41"/>
        <v>9.0979496556399054E-4</v>
      </c>
      <c r="AB345" s="282"/>
      <c r="AC345" s="282"/>
      <c r="AD345" s="282"/>
      <c r="AE345" s="282"/>
      <c r="AF345" s="282"/>
      <c r="AG345" s="282"/>
      <c r="AH345" s="282"/>
      <c r="AI345" s="282"/>
      <c r="AJ345" s="282"/>
      <c r="AK345" s="282"/>
      <c r="AL345" s="282"/>
      <c r="AM345" s="282"/>
      <c r="AN345" s="282"/>
      <c r="AO345" s="282"/>
      <c r="AP345" s="282"/>
      <c r="AQ345" s="282"/>
      <c r="AR345" s="282"/>
      <c r="AS345" s="282"/>
      <c r="AT345" s="282"/>
      <c r="AU345" s="282"/>
      <c r="AV345" s="282"/>
      <c r="AW345" s="282"/>
      <c r="AX345" s="282"/>
      <c r="AY345" s="282"/>
      <c r="AZ345" s="282"/>
      <c r="BA345" s="282"/>
    </row>
    <row r="346" spans="1:53" outlineLevel="1" x14ac:dyDescent="0.35">
      <c r="A346" s="6" t="s">
        <v>44</v>
      </c>
      <c r="B346" s="6">
        <f>B62*AC325</f>
        <v>4.7531917382991409E-3</v>
      </c>
      <c r="AB346" s="282"/>
      <c r="AC346" s="282"/>
      <c r="AD346" s="282"/>
      <c r="AE346" s="282"/>
      <c r="AF346" s="282"/>
      <c r="AG346" s="282"/>
      <c r="AH346" s="282"/>
      <c r="AI346" s="282"/>
      <c r="AJ346" s="282"/>
      <c r="AK346" s="282"/>
      <c r="AL346" s="282"/>
      <c r="AM346" s="282"/>
      <c r="AN346" s="282"/>
      <c r="AO346" s="282"/>
      <c r="AP346" s="282"/>
      <c r="AQ346" s="282"/>
      <c r="AR346" s="282"/>
      <c r="AS346" s="282"/>
      <c r="AT346" s="282"/>
      <c r="AU346" s="282"/>
      <c r="AV346" s="282"/>
      <c r="AW346" s="282"/>
      <c r="AX346" s="282"/>
      <c r="AY346" s="282"/>
      <c r="AZ346" s="282"/>
      <c r="BA346" s="282"/>
    </row>
    <row r="347" spans="1:53" outlineLevel="1" x14ac:dyDescent="0.35">
      <c r="A347" s="6" t="s">
        <v>757</v>
      </c>
      <c r="B347" s="6">
        <f>B63*AC325</f>
        <v>7.2645521753244065E-3</v>
      </c>
      <c r="AB347" s="282"/>
      <c r="AC347" s="282"/>
      <c r="AD347" s="282"/>
      <c r="AE347" s="282"/>
      <c r="AF347" s="282"/>
      <c r="AG347" s="282"/>
      <c r="AH347" s="282"/>
      <c r="AI347" s="282"/>
      <c r="AJ347" s="282"/>
      <c r="AK347" s="282"/>
      <c r="AL347" s="282"/>
      <c r="AM347" s="282"/>
      <c r="AN347" s="282"/>
      <c r="AO347" s="282"/>
      <c r="AP347" s="282"/>
      <c r="AQ347" s="282"/>
      <c r="AR347" s="282"/>
      <c r="AS347" s="282"/>
      <c r="AT347" s="282"/>
      <c r="AU347" s="282"/>
      <c r="AV347" s="282"/>
      <c r="AW347" s="282"/>
      <c r="AX347" s="282"/>
      <c r="AY347" s="282"/>
      <c r="AZ347" s="282"/>
      <c r="BA347" s="282"/>
    </row>
    <row r="348" spans="1:53" outlineLevel="1" x14ac:dyDescent="0.35">
      <c r="A348" s="6" t="s">
        <v>22</v>
      </c>
      <c r="Z348" s="6">
        <f>Z64</f>
        <v>2.4762670432088011E-5</v>
      </c>
      <c r="AB348" s="282"/>
      <c r="AC348" s="282"/>
      <c r="AD348" s="282"/>
      <c r="AE348" s="282"/>
      <c r="AF348" s="282"/>
      <c r="AG348" s="282"/>
      <c r="AH348" s="282"/>
      <c r="AI348" s="282"/>
      <c r="AJ348" s="282"/>
      <c r="AK348" s="282"/>
      <c r="AL348" s="282"/>
      <c r="AM348" s="282"/>
      <c r="AN348" s="282"/>
      <c r="AO348" s="282"/>
      <c r="AP348" s="282"/>
      <c r="AQ348" s="282"/>
      <c r="AR348" s="282"/>
      <c r="AS348" s="282"/>
      <c r="AT348" s="282"/>
      <c r="AU348" s="282"/>
      <c r="AV348" s="282"/>
      <c r="AW348" s="282"/>
      <c r="AX348" s="282"/>
      <c r="AY348" s="282"/>
      <c r="AZ348" s="282"/>
      <c r="BA348" s="282"/>
    </row>
    <row r="349" spans="1:53" outlineLevel="1" x14ac:dyDescent="0.35">
      <c r="A349" s="6" t="s">
        <v>24</v>
      </c>
      <c r="Z349" s="6">
        <f t="shared" ref="Z349:Z359" si="47">Z65</f>
        <v>1.176118094708814E-5</v>
      </c>
      <c r="AB349" s="282"/>
      <c r="AC349" s="282"/>
      <c r="AD349" s="282"/>
      <c r="AE349" s="282"/>
      <c r="AF349" s="282"/>
      <c r="AG349" s="282"/>
      <c r="AH349" s="282"/>
      <c r="AI349" s="282"/>
      <c r="AJ349" s="282"/>
      <c r="AK349" s="282"/>
      <c r="AL349" s="282"/>
      <c r="AM349" s="282"/>
      <c r="AN349" s="282"/>
      <c r="AO349" s="282"/>
      <c r="AP349" s="282"/>
      <c r="AQ349" s="282"/>
      <c r="AR349" s="282"/>
      <c r="AS349" s="282"/>
      <c r="AT349" s="282"/>
      <c r="AU349" s="282"/>
      <c r="AV349" s="282"/>
      <c r="AW349" s="282"/>
      <c r="AX349" s="282"/>
      <c r="AY349" s="282"/>
      <c r="AZ349" s="282"/>
      <c r="BA349" s="282"/>
    </row>
    <row r="350" spans="1:53" outlineLevel="1" x14ac:dyDescent="0.35">
      <c r="A350" s="6" t="s">
        <v>25</v>
      </c>
      <c r="Z350" s="6">
        <f t="shared" si="47"/>
        <v>3.9046886024631158E-5</v>
      </c>
      <c r="AB350" s="282"/>
      <c r="AC350" s="282"/>
      <c r="AD350" s="282"/>
      <c r="AE350" s="282"/>
      <c r="AF350" s="282"/>
      <c r="AG350" s="282"/>
      <c r="AH350" s="282"/>
      <c r="AI350" s="282"/>
      <c r="AJ350" s="282"/>
      <c r="AK350" s="282"/>
      <c r="AL350" s="282"/>
      <c r="AM350" s="282"/>
      <c r="AN350" s="282"/>
      <c r="AO350" s="282"/>
      <c r="AP350" s="282"/>
      <c r="AQ350" s="282"/>
      <c r="AR350" s="282"/>
      <c r="AS350" s="282"/>
      <c r="AT350" s="282"/>
      <c r="AU350" s="282"/>
      <c r="AV350" s="282"/>
      <c r="AW350" s="282"/>
      <c r="AX350" s="282"/>
      <c r="AY350" s="282"/>
      <c r="AZ350" s="282"/>
      <c r="BA350" s="282"/>
    </row>
    <row r="351" spans="1:53" outlineLevel="1" x14ac:dyDescent="0.35">
      <c r="A351" s="6" t="s">
        <v>27</v>
      </c>
      <c r="Z351" s="6">
        <f t="shared" si="47"/>
        <v>1.6840076209704161E-5</v>
      </c>
      <c r="AB351" s="282"/>
      <c r="AC351" s="282"/>
      <c r="AD351" s="282"/>
      <c r="AE351" s="282"/>
      <c r="AF351" s="282"/>
      <c r="AG351" s="282"/>
      <c r="AH351" s="282"/>
      <c r="AI351" s="282"/>
      <c r="AJ351" s="282"/>
      <c r="AK351" s="282"/>
      <c r="AL351" s="282"/>
      <c r="AM351" s="282"/>
      <c r="AN351" s="282"/>
      <c r="AO351" s="282"/>
      <c r="AP351" s="282"/>
      <c r="AQ351" s="282"/>
      <c r="AR351" s="282"/>
      <c r="AS351" s="282"/>
      <c r="AT351" s="282"/>
      <c r="AU351" s="282"/>
      <c r="AV351" s="282"/>
      <c r="AW351" s="282"/>
      <c r="AX351" s="282"/>
      <c r="AY351" s="282"/>
      <c r="AZ351" s="282"/>
      <c r="BA351" s="282"/>
    </row>
    <row r="352" spans="1:53" outlineLevel="1" x14ac:dyDescent="0.35">
      <c r="A352" s="6" t="s">
        <v>30</v>
      </c>
      <c r="Z352" s="6">
        <f t="shared" si="47"/>
        <v>3.2639269159817092E-5</v>
      </c>
      <c r="AB352" s="282"/>
      <c r="AC352" s="282"/>
      <c r="AD352" s="282"/>
      <c r="AE352" s="282"/>
      <c r="AF352" s="282"/>
      <c r="AG352" s="282"/>
      <c r="AH352" s="282"/>
      <c r="AI352" s="282"/>
      <c r="AJ352" s="282"/>
      <c r="AK352" s="282"/>
      <c r="AL352" s="282"/>
      <c r="AM352" s="282"/>
      <c r="AN352" s="282"/>
      <c r="AO352" s="282"/>
      <c r="AP352" s="282"/>
      <c r="AQ352" s="282"/>
      <c r="AR352" s="282"/>
      <c r="AS352" s="282"/>
      <c r="AT352" s="282"/>
      <c r="AU352" s="282"/>
      <c r="AV352" s="282"/>
      <c r="AW352" s="282"/>
      <c r="AX352" s="282"/>
      <c r="AY352" s="282"/>
      <c r="AZ352" s="282"/>
      <c r="BA352" s="282"/>
    </row>
    <row r="353" spans="1:53" outlineLevel="1" x14ac:dyDescent="0.35">
      <c r="A353" s="6" t="s">
        <v>32</v>
      </c>
      <c r="Z353" s="6">
        <f t="shared" si="47"/>
        <v>4.4601367480851334E-6</v>
      </c>
      <c r="AB353" s="282"/>
      <c r="AC353" s="282"/>
      <c r="AD353" s="282"/>
      <c r="AE353" s="282"/>
      <c r="AF353" s="282"/>
      <c r="AG353" s="282"/>
      <c r="AH353" s="282"/>
      <c r="AI353" s="282"/>
      <c r="AJ353" s="282"/>
      <c r="AK353" s="282"/>
      <c r="AL353" s="282"/>
      <c r="AM353" s="282"/>
      <c r="AN353" s="282"/>
      <c r="AO353" s="282"/>
      <c r="AP353" s="282"/>
      <c r="AQ353" s="282"/>
      <c r="AR353" s="282"/>
      <c r="AS353" s="282"/>
      <c r="AT353" s="282"/>
      <c r="AU353" s="282"/>
      <c r="AV353" s="282"/>
      <c r="AW353" s="282"/>
      <c r="AX353" s="282"/>
      <c r="AY353" s="282"/>
      <c r="AZ353" s="282"/>
      <c r="BA353" s="282"/>
    </row>
    <row r="354" spans="1:53" outlineLevel="1" x14ac:dyDescent="0.35">
      <c r="A354" s="6" t="s">
        <v>33</v>
      </c>
      <c r="Z354" s="6">
        <f t="shared" si="47"/>
        <v>8.2720352410769784E-6</v>
      </c>
      <c r="AB354" s="282"/>
      <c r="AC354" s="282"/>
      <c r="AD354" s="282"/>
      <c r="AE354" s="282"/>
      <c r="AF354" s="282"/>
      <c r="AG354" s="282"/>
      <c r="AH354" s="282"/>
      <c r="AI354" s="282"/>
      <c r="AJ354" s="282"/>
      <c r="AK354" s="282"/>
      <c r="AL354" s="282"/>
      <c r="AM354" s="282"/>
      <c r="AN354" s="282"/>
      <c r="AO354" s="282"/>
      <c r="AP354" s="282"/>
      <c r="AQ354" s="282"/>
      <c r="AR354" s="282"/>
      <c r="AS354" s="282"/>
      <c r="AT354" s="282"/>
      <c r="AU354" s="282"/>
      <c r="AV354" s="282"/>
      <c r="AW354" s="282"/>
      <c r="AX354" s="282"/>
      <c r="AY354" s="282"/>
      <c r="AZ354" s="282"/>
      <c r="BA354" s="282"/>
    </row>
    <row r="355" spans="1:53" outlineLevel="1" x14ac:dyDescent="0.35">
      <c r="A355" s="6" t="s">
        <v>35</v>
      </c>
      <c r="Z355" s="6">
        <f t="shared" si="47"/>
        <v>1.654407048215396E-5</v>
      </c>
      <c r="AB355" s="282"/>
      <c r="AC355" s="282"/>
      <c r="AD355" s="282"/>
      <c r="AE355" s="282"/>
      <c r="AF355" s="282"/>
      <c r="AG355" s="282"/>
      <c r="AH355" s="282"/>
      <c r="AI355" s="282"/>
      <c r="AJ355" s="282"/>
      <c r="AK355" s="282"/>
      <c r="AL355" s="282"/>
      <c r="AM355" s="282"/>
      <c r="AN355" s="282"/>
      <c r="AO355" s="282"/>
      <c r="AP355" s="282"/>
      <c r="AQ355" s="282"/>
      <c r="AR355" s="282"/>
      <c r="AS355" s="282"/>
      <c r="AT355" s="282"/>
      <c r="AU355" s="282"/>
      <c r="AV355" s="282"/>
      <c r="AW355" s="282"/>
      <c r="AX355" s="282"/>
      <c r="AY355" s="282"/>
      <c r="AZ355" s="282"/>
      <c r="BA355" s="282"/>
    </row>
    <row r="356" spans="1:53" outlineLevel="1" x14ac:dyDescent="0.35">
      <c r="A356" s="6" t="s">
        <v>37</v>
      </c>
      <c r="Z356" s="6">
        <f t="shared" si="47"/>
        <v>4.1171919330931541E-5</v>
      </c>
      <c r="AB356" s="282"/>
      <c r="AC356" s="282"/>
      <c r="AD356" s="282"/>
      <c r="AE356" s="282"/>
      <c r="AF356" s="282"/>
      <c r="AG356" s="282"/>
      <c r="AH356" s="282"/>
      <c r="AI356" s="282"/>
      <c r="AJ356" s="282"/>
      <c r="AK356" s="282"/>
      <c r="AL356" s="282"/>
      <c r="AM356" s="282"/>
      <c r="AN356" s="282"/>
      <c r="AO356" s="282"/>
      <c r="AP356" s="282"/>
      <c r="AQ356" s="282"/>
      <c r="AR356" s="282"/>
      <c r="AS356" s="282"/>
      <c r="AT356" s="282"/>
      <c r="AU356" s="282"/>
      <c r="AV356" s="282"/>
      <c r="AW356" s="282"/>
      <c r="AX356" s="282"/>
      <c r="AY356" s="282"/>
      <c r="AZ356" s="282"/>
      <c r="BA356" s="282"/>
    </row>
    <row r="357" spans="1:53" outlineLevel="1" x14ac:dyDescent="0.35">
      <c r="A357" s="6" t="s">
        <v>40</v>
      </c>
      <c r="Z357" s="6">
        <f t="shared" si="47"/>
        <v>5.9448924584171799E-4</v>
      </c>
    </row>
    <row r="358" spans="1:53" outlineLevel="1" x14ac:dyDescent="0.35">
      <c r="A358" s="6" t="s">
        <v>42</v>
      </c>
      <c r="Z358" s="6">
        <f t="shared" si="47"/>
        <v>5.4539699490104918E-5</v>
      </c>
    </row>
    <row r="359" spans="1:53" outlineLevel="1" x14ac:dyDescent="0.35">
      <c r="A359" s="6" t="s">
        <v>115</v>
      </c>
      <c r="Z359" s="6">
        <f t="shared" si="47"/>
        <v>3.5935458474486748E-4</v>
      </c>
    </row>
    <row r="360" spans="1:53" outlineLevel="1" x14ac:dyDescent="0.35">
      <c r="A360" s="6" t="s">
        <v>45</v>
      </c>
      <c r="Z360" s="6">
        <f>Z76*AC325</f>
        <v>1.7613571923572038E-5</v>
      </c>
    </row>
    <row r="361" spans="1:53" outlineLevel="1" x14ac:dyDescent="0.35">
      <c r="A361" s="6" t="s">
        <v>116</v>
      </c>
      <c r="B361" s="6">
        <f>B77</f>
        <v>2.2868444478900299E-3</v>
      </c>
      <c r="C361" s="6">
        <f t="shared" ref="C361:Z361" si="48">C77</f>
        <v>2.2688618108593619E-3</v>
      </c>
      <c r="D361" s="6">
        <f t="shared" si="48"/>
        <v>2.250613145045521E-3</v>
      </c>
      <c r="E361" s="6">
        <f t="shared" si="48"/>
        <v>2.2242630345716192E-3</v>
      </c>
      <c r="F361" s="6">
        <f t="shared" si="48"/>
        <v>2.205439178557477E-3</v>
      </c>
      <c r="G361" s="6">
        <f t="shared" si="48"/>
        <v>2.1863319204748952E-3</v>
      </c>
      <c r="H361" s="6">
        <f t="shared" si="48"/>
        <v>2.1636441841529248E-3</v>
      </c>
      <c r="I361" s="6">
        <f t="shared" si="48"/>
        <v>2.140943809067155E-3</v>
      </c>
      <c r="J361" s="6">
        <f t="shared" si="48"/>
        <v>2.1142905920493878E-3</v>
      </c>
      <c r="K361" s="6">
        <f t="shared" si="48"/>
        <v>2.0913940629818349E-3</v>
      </c>
      <c r="L361" s="6">
        <f t="shared" si="48"/>
        <v>2.068344889906047E-3</v>
      </c>
      <c r="M361" s="6">
        <f t="shared" si="48"/>
        <v>2.0396732943811142E-3</v>
      </c>
      <c r="N361" s="6">
        <f t="shared" si="48"/>
        <v>2.0111593851075741E-3</v>
      </c>
      <c r="O361" s="6">
        <f t="shared" si="48"/>
        <v>1.9816419194333399E-3</v>
      </c>
      <c r="P361" s="6">
        <f t="shared" si="48"/>
        <v>1.9534224916984309E-3</v>
      </c>
      <c r="Q361" s="6">
        <f t="shared" si="48"/>
        <v>1.925325558619934E-3</v>
      </c>
      <c r="R361" s="6">
        <f t="shared" si="48"/>
        <v>1.90651589386873E-3</v>
      </c>
      <c r="S361" s="6">
        <f t="shared" si="48"/>
        <v>1.887805505923892E-3</v>
      </c>
      <c r="T361" s="6">
        <f t="shared" si="48"/>
        <v>1.868103373074346E-3</v>
      </c>
      <c r="U361" s="6">
        <f t="shared" si="48"/>
        <v>1.8496113901087679E-3</v>
      </c>
      <c r="V361" s="6">
        <f t="shared" si="48"/>
        <v>1.831221787405327E-3</v>
      </c>
      <c r="W361" s="6">
        <f t="shared" si="48"/>
        <v>1.839484702599319E-3</v>
      </c>
      <c r="X361" s="6">
        <f t="shared" si="48"/>
        <v>1.836581954761485E-3</v>
      </c>
      <c r="Y361" s="6">
        <f t="shared" si="48"/>
        <v>1.8337028304043451E-3</v>
      </c>
      <c r="Z361" s="6">
        <f t="shared" si="48"/>
        <v>1.8308470230828889E-3</v>
      </c>
    </row>
    <row r="362" spans="1:53" outlineLevel="1" x14ac:dyDescent="0.35">
      <c r="A362" s="6" t="s">
        <v>758</v>
      </c>
      <c r="B362" s="6">
        <f>B78*$AC$325</f>
        <v>4.2966574908341344E-3</v>
      </c>
      <c r="C362" s="6">
        <f t="shared" ref="C362:Z363" si="49">C78*$AC$325</f>
        <v>4.1454296330144516E-3</v>
      </c>
      <c r="D362" s="6">
        <f t="shared" si="49"/>
        <v>3.9941797343015862E-3</v>
      </c>
      <c r="E362" s="6">
        <f t="shared" si="49"/>
        <v>3.8412214263013849E-3</v>
      </c>
      <c r="F362" s="6">
        <f t="shared" si="49"/>
        <v>3.690794845668643E-3</v>
      </c>
      <c r="G362" s="6">
        <f t="shared" si="49"/>
        <v>3.5409017794174186E-3</v>
      </c>
      <c r="H362" s="6">
        <f t="shared" si="49"/>
        <v>3.4532837484437121E-3</v>
      </c>
      <c r="I362" s="6">
        <f t="shared" si="49"/>
        <v>3.3660276011109663E-3</v>
      </c>
      <c r="J362" s="6">
        <f t="shared" si="49"/>
        <v>3.2776115806237307E-3</v>
      </c>
      <c r="K362" s="6">
        <f t="shared" si="49"/>
        <v>3.190725042291895E-3</v>
      </c>
      <c r="L362" s="6">
        <f t="shared" si="49"/>
        <v>3.1039605792189551E-3</v>
      </c>
      <c r="M362" s="6">
        <f t="shared" si="49"/>
        <v>3.0477354342502276E-3</v>
      </c>
      <c r="N362" s="6">
        <f t="shared" si="49"/>
        <v>2.9912942880167192E-3</v>
      </c>
      <c r="O362" s="6">
        <f t="shared" si="49"/>
        <v>2.9342328753645553E-3</v>
      </c>
      <c r="P362" s="6">
        <f t="shared" si="49"/>
        <v>2.877234826237896E-3</v>
      </c>
      <c r="Q362" s="6">
        <f t="shared" si="49"/>
        <v>2.8199905559219522E-3</v>
      </c>
      <c r="R362" s="6">
        <f t="shared" si="49"/>
        <v>2.7990413582219612E-3</v>
      </c>
      <c r="S362" s="6">
        <f t="shared" si="49"/>
        <v>2.7779422491241556E-3</v>
      </c>
      <c r="T362" s="6">
        <f t="shared" si="49"/>
        <v>2.7564144513642164E-3</v>
      </c>
      <c r="U362" s="6">
        <f t="shared" si="49"/>
        <v>2.7351354311203968E-3</v>
      </c>
      <c r="V362" s="6">
        <f t="shared" si="49"/>
        <v>2.7137798789015925E-3</v>
      </c>
      <c r="W362" s="6">
        <f t="shared" si="49"/>
        <v>2.7250559959418165E-3</v>
      </c>
      <c r="X362" s="6">
        <f t="shared" si="49"/>
        <v>2.7160250523463039E-3</v>
      </c>
      <c r="Y362" s="6">
        <f t="shared" si="49"/>
        <v>2.706996795978433E-3</v>
      </c>
      <c r="Z362" s="6">
        <f t="shared" si="49"/>
        <v>2.6979679152885055E-3</v>
      </c>
    </row>
    <row r="363" spans="1:53" outlineLevel="1" x14ac:dyDescent="0.35">
      <c r="A363" s="6" t="s">
        <v>759</v>
      </c>
      <c r="B363" s="6">
        <f>B79*$AC$325</f>
        <v>0</v>
      </c>
      <c r="C363" s="6">
        <f t="shared" si="49"/>
        <v>0</v>
      </c>
      <c r="D363" s="6">
        <f t="shared" si="49"/>
        <v>0</v>
      </c>
      <c r="E363" s="6">
        <f t="shared" si="49"/>
        <v>0</v>
      </c>
      <c r="F363" s="6">
        <f t="shared" si="49"/>
        <v>0</v>
      </c>
      <c r="G363" s="6">
        <f t="shared" si="49"/>
        <v>0</v>
      </c>
      <c r="H363" s="6">
        <f t="shared" si="49"/>
        <v>0</v>
      </c>
      <c r="I363" s="6">
        <f t="shared" si="49"/>
        <v>0</v>
      </c>
      <c r="J363" s="6">
        <f t="shared" si="49"/>
        <v>0</v>
      </c>
      <c r="K363" s="6">
        <f t="shared" si="49"/>
        <v>0</v>
      </c>
      <c r="L363" s="6">
        <f t="shared" si="49"/>
        <v>0</v>
      </c>
      <c r="M363" s="6">
        <f t="shared" si="49"/>
        <v>0</v>
      </c>
      <c r="N363" s="6">
        <f t="shared" si="49"/>
        <v>0</v>
      </c>
      <c r="O363" s="6">
        <f t="shared" si="49"/>
        <v>0</v>
      </c>
      <c r="P363" s="6">
        <f t="shared" si="49"/>
        <v>0</v>
      </c>
      <c r="Q363" s="6">
        <f t="shared" si="49"/>
        <v>0</v>
      </c>
      <c r="R363" s="6">
        <f t="shared" si="49"/>
        <v>0</v>
      </c>
      <c r="S363" s="6">
        <f t="shared" si="49"/>
        <v>0</v>
      </c>
      <c r="T363" s="6">
        <f t="shared" si="49"/>
        <v>0</v>
      </c>
      <c r="U363" s="6">
        <f t="shared" si="49"/>
        <v>0</v>
      </c>
      <c r="V363" s="6">
        <f t="shared" si="49"/>
        <v>0</v>
      </c>
      <c r="W363" s="6">
        <f t="shared" si="49"/>
        <v>0</v>
      </c>
      <c r="X363" s="6">
        <f t="shared" si="49"/>
        <v>0</v>
      </c>
      <c r="Y363" s="6">
        <f t="shared" si="49"/>
        <v>0</v>
      </c>
      <c r="Z363" s="6">
        <f t="shared" si="49"/>
        <v>0</v>
      </c>
    </row>
    <row r="364" spans="1:53" outlineLevel="1" x14ac:dyDescent="0.35">
      <c r="A364" s="6" t="s">
        <v>760</v>
      </c>
      <c r="B364" s="6">
        <f>$B$252*$AC$324*'Results - raw data ReCiPe (H)'!C121/(1-$AC$330)*(1+'Results ReCiPe (H) - HHD ship'!$AC$271/'Results ReCiPe (H) - HHD ship'!$AC$272-'Results ReCiPe (H) - HHD ship'!$AC$271)</f>
        <v>2.4592916213383192E-2</v>
      </c>
      <c r="C364" s="6">
        <f>$B$252*$AC$324*'Results - raw data ReCiPe (H)'!D121/(1-$AC$330)*(1+'Results ReCiPe (H) - HHD ship'!$AC$271/'Results ReCiPe (H) - HHD ship'!$AC$272-'Results ReCiPe (H) - HHD ship'!$AC$271)</f>
        <v>2.4492253261722656E-2</v>
      </c>
      <c r="D364" s="6">
        <f>$B$252*$AC$324*'Results - raw data ReCiPe (H)'!E121/(1-$AC$330)*(1+'Results ReCiPe (H) - HHD ship'!$AC$271/'Results ReCiPe (H) - HHD ship'!$AC$272-'Results ReCiPe (H) - HHD ship'!$AC$271)</f>
        <v>2.4388433020564908E-2</v>
      </c>
      <c r="E364" s="6">
        <f>$B$252*$AC$324*'Results - raw data ReCiPe (H)'!F121/(1-$AC$330)*(1+'Results ReCiPe (H) - HHD ship'!$AC$271/'Results ReCiPe (H) - HHD ship'!$AC$272-'Results ReCiPe (H) - HHD ship'!$AC$271)</f>
        <v>2.42438140080929E-2</v>
      </c>
      <c r="F364" s="6">
        <f>$B$252*$AC$324*'Results - raw data ReCiPe (H)'!G121/(1-$AC$330)*(1+'Results ReCiPe (H) - HHD ship'!$AC$271/'Results ReCiPe (H) - HHD ship'!$AC$272-'Results ReCiPe (H) - HHD ship'!$AC$271)</f>
        <v>2.4133906961006681E-2</v>
      </c>
      <c r="G364" s="6">
        <f>$B$252*$AC$324*'Results - raw data ReCiPe (H)'!H121/(1-$AC$330)*(1+'Results ReCiPe (H) - HHD ship'!$AC$271/'Results ReCiPe (H) - HHD ship'!$AC$272-'Results ReCiPe (H) - HHD ship'!$AC$271)</f>
        <v>2.4020580058759473E-2</v>
      </c>
      <c r="H364" s="6">
        <f>$B$252*$AC$324*'Results - raw data ReCiPe (H)'!I121/(1-$AC$330)*(1+'Results ReCiPe (H) - HHD ship'!$AC$271/'Results ReCiPe (H) - HHD ship'!$AC$272-'Results ReCiPe (H) - HHD ship'!$AC$271)</f>
        <v>2.3878452035089502E-2</v>
      </c>
      <c r="I364" s="6">
        <f>$B$252*$AC$324*'Results - raw data ReCiPe (H)'!J121/(1-$AC$330)*(1+'Results ReCiPe (H) - HHD ship'!$AC$271/'Results ReCiPe (H) - HHD ship'!$AC$272-'Results ReCiPe (H) - HHD ship'!$AC$271)</f>
        <v>2.3749011514534062E-2</v>
      </c>
      <c r="J364" s="6">
        <f>$B$252*$AC$324*'Results - raw data ReCiPe (H)'!K121/(1-$AC$330)*(1+'Results ReCiPe (H) - HHD ship'!$AC$271/'Results ReCiPe (H) - HHD ship'!$AC$272-'Results ReCiPe (H) - HHD ship'!$AC$271)</f>
        <v>2.3607155091283992E-2</v>
      </c>
      <c r="K364" s="6">
        <f>$B$252*$AC$324*'Results - raw data ReCiPe (H)'!L121/(1-$AC$330)*(1+'Results ReCiPe (H) - HHD ship'!$AC$271/'Results ReCiPe (H) - HHD ship'!$AC$272-'Results ReCiPe (H) - HHD ship'!$AC$271)</f>
        <v>2.3485878923419821E-2</v>
      </c>
      <c r="L364" s="6">
        <f>$B$252*$AC$324*'Results - raw data ReCiPe (H)'!M121/(1-$AC$330)*(1+'Results ReCiPe (H) - HHD ship'!$AC$271/'Results ReCiPe (H) - HHD ship'!$AC$272-'Results ReCiPe (H) - HHD ship'!$AC$271)</f>
        <v>2.3365064636344222E-2</v>
      </c>
      <c r="M364" s="6">
        <f>$B$252*$AC$324*'Results - raw data ReCiPe (H)'!N121/(1-$AC$330)*(1+'Results ReCiPe (H) - HHD ship'!$AC$271/'Results ReCiPe (H) - HHD ship'!$AC$272-'Results ReCiPe (H) - HHD ship'!$AC$271)</f>
        <v>2.3267325972967434E-2</v>
      </c>
      <c r="N364" s="6">
        <f>$B$252*$AC$324*'Results - raw data ReCiPe (H)'!O121/(1-$AC$330)*(1+'Results ReCiPe (H) - HHD ship'!$AC$271/'Results ReCiPe (H) - HHD ship'!$AC$272-'Results ReCiPe (H) - HHD ship'!$AC$271)</f>
        <v>2.3173238075734136E-2</v>
      </c>
      <c r="O364" s="6">
        <f>$B$252*$AC$324*'Results - raw data ReCiPe (H)'!P121/(1-$AC$330)*(1+'Results ReCiPe (H) - HHD ship'!$AC$271/'Results ReCiPe (H) - HHD ship'!$AC$272-'Results ReCiPe (H) - HHD ship'!$AC$271)</f>
        <v>2.3077099371627826E-2</v>
      </c>
      <c r="P364" s="6">
        <f>$B$252*$AC$324*'Results - raw data ReCiPe (H)'!Q121/(1-$AC$330)*(1+'Results ReCiPe (H) - HHD ship'!$AC$271/'Results ReCiPe (H) - HHD ship'!$AC$272-'Results ReCiPe (H) - HHD ship'!$AC$271)</f>
        <v>2.2988534985372587E-2</v>
      </c>
      <c r="Q364" s="6">
        <f>$B$252*$AC$324*'Results - raw data ReCiPe (H)'!R121/(1-$AC$330)*(1+'Results ReCiPe (H) - HHD ship'!$AC$271/'Results ReCiPe (H) - HHD ship'!$AC$272-'Results ReCiPe (H) - HHD ship'!$AC$271)</f>
        <v>2.2902055770086523E-2</v>
      </c>
      <c r="R364" s="6">
        <f>$B$252*$AC$324*'Results - raw data ReCiPe (H)'!S121/(1-$AC$330)*(1+'Results ReCiPe (H) - HHD ship'!$AC$271/'Results ReCiPe (H) - HHD ship'!$AC$272-'Results ReCiPe (H) - HHD ship'!$AC$271)</f>
        <v>2.2854220142108059E-2</v>
      </c>
      <c r="S364" s="6">
        <f>$B$252*$AC$324*'Results - raw data ReCiPe (H)'!T121/(1-$AC$330)*(1+'Results ReCiPe (H) - HHD ship'!$AC$271/'Results ReCiPe (H) - HHD ship'!$AC$272-'Results ReCiPe (H) - HHD ship'!$AC$271)</f>
        <v>2.2807812816613145E-2</v>
      </c>
      <c r="T364" s="6">
        <f>$B$252*$AC$324*'Results - raw data ReCiPe (H)'!U121/(1-$AC$330)*(1+'Results ReCiPe (H) - HHD ship'!$AC$271/'Results ReCiPe (H) - HHD ship'!$AC$272-'Results ReCiPe (H) - HHD ship'!$AC$271)</f>
        <v>2.2757660133605091E-2</v>
      </c>
      <c r="U364" s="6">
        <f>$B$252*$AC$324*'Results - raw data ReCiPe (H)'!V121/(1-$AC$330)*(1+'Results ReCiPe (H) - HHD ship'!$AC$271/'Results ReCiPe (H) - HHD ship'!$AC$272-'Results ReCiPe (H) - HHD ship'!$AC$271)</f>
        <v>2.2714112173136177E-2</v>
      </c>
      <c r="V364" s="6">
        <f>$B$252*$AC$324*'Results - raw data ReCiPe (H)'!W121/(1-$AC$330)*(1+'Results ReCiPe (H) - HHD ship'!$AC$271/'Results ReCiPe (H) - HHD ship'!$AC$272-'Results ReCiPe (H) - HHD ship'!$AC$271)</f>
        <v>2.2672761776796464E-2</v>
      </c>
      <c r="W364" s="6">
        <f>$B$252*$AC$324*'Results - raw data ReCiPe (H)'!X121/(1-$AC$330)*(1+'Results ReCiPe (H) - HHD ship'!$AC$271/'Results ReCiPe (H) - HHD ship'!$AC$272-'Results ReCiPe (H) - HHD ship'!$AC$271)</f>
        <v>2.2801281023062597E-2</v>
      </c>
      <c r="X364" s="6">
        <f>$B$252*$AC$324*'Results - raw data ReCiPe (H)'!Y121/(1-$AC$330)*(1+'Results ReCiPe (H) - HHD ship'!$AC$271/'Results ReCiPe (H) - HHD ship'!$AC$272-'Results ReCiPe (H) - HHD ship'!$AC$271)</f>
        <v>2.2799190558163568E-2</v>
      </c>
      <c r="Y364" s="6">
        <f>$B$252*$AC$324*'Results - raw data ReCiPe (H)'!Z121/(1-$AC$330)*(1+'Results ReCiPe (H) - HHD ship'!$AC$271/'Results ReCiPe (H) - HHD ship'!$AC$272-'Results ReCiPe (H) - HHD ship'!$AC$271)</f>
        <v>2.2797127855379302E-2</v>
      </c>
      <c r="Z364" s="6">
        <f>$B$252*$AC$324*'Results - raw data ReCiPe (H)'!AA121/(1-$AC$330)*(1+'Results ReCiPe (H) - HHD ship'!$AC$271/'Results ReCiPe (H) - HHD ship'!$AC$272-'Results ReCiPe (H) - HHD ship'!$AC$271)</f>
        <v>2.279510719349959E-2</v>
      </c>
    </row>
    <row r="365" spans="1:53" outlineLevel="1" x14ac:dyDescent="0.35">
      <c r="A365" s="6" t="s">
        <v>797</v>
      </c>
      <c r="B365" s="6">
        <f>$B$320*$AC$324</f>
        <v>3.6698770310743312E-2</v>
      </c>
      <c r="C365" s="6">
        <f t="shared" ref="C365:Z365" si="50">$B$320*$AC$324</f>
        <v>3.6698770310743312E-2</v>
      </c>
      <c r="D365" s="6">
        <f t="shared" si="50"/>
        <v>3.6698770310743312E-2</v>
      </c>
      <c r="E365" s="6">
        <f t="shared" si="50"/>
        <v>3.6698770310743312E-2</v>
      </c>
      <c r="F365" s="6">
        <f t="shared" si="50"/>
        <v>3.6698770310743312E-2</v>
      </c>
      <c r="G365" s="6">
        <f t="shared" si="50"/>
        <v>3.6698770310743312E-2</v>
      </c>
      <c r="H365" s="6">
        <f t="shared" si="50"/>
        <v>3.6698770310743312E-2</v>
      </c>
      <c r="I365" s="6">
        <f t="shared" si="50"/>
        <v>3.6698770310743312E-2</v>
      </c>
      <c r="J365" s="6">
        <f t="shared" si="50"/>
        <v>3.6698770310743312E-2</v>
      </c>
      <c r="K365" s="6">
        <f t="shared" si="50"/>
        <v>3.6698770310743312E-2</v>
      </c>
      <c r="L365" s="6">
        <f t="shared" si="50"/>
        <v>3.6698770310743312E-2</v>
      </c>
      <c r="M365" s="6">
        <f t="shared" si="50"/>
        <v>3.6698770310743312E-2</v>
      </c>
      <c r="N365" s="6">
        <f t="shared" si="50"/>
        <v>3.6698770310743312E-2</v>
      </c>
      <c r="O365" s="6">
        <f t="shared" si="50"/>
        <v>3.6698770310743312E-2</v>
      </c>
      <c r="P365" s="6">
        <f t="shared" si="50"/>
        <v>3.6698770310743312E-2</v>
      </c>
      <c r="Q365" s="6">
        <f t="shared" si="50"/>
        <v>3.6698770310743312E-2</v>
      </c>
      <c r="R365" s="6">
        <f t="shared" si="50"/>
        <v>3.6698770310743312E-2</v>
      </c>
      <c r="S365" s="6">
        <f t="shared" si="50"/>
        <v>3.6698770310743312E-2</v>
      </c>
      <c r="T365" s="6">
        <f t="shared" si="50"/>
        <v>3.6698770310743312E-2</v>
      </c>
      <c r="U365" s="6">
        <f t="shared" si="50"/>
        <v>3.6698770310743312E-2</v>
      </c>
      <c r="V365" s="6">
        <f t="shared" si="50"/>
        <v>3.6698770310743312E-2</v>
      </c>
      <c r="W365" s="6">
        <f t="shared" si="50"/>
        <v>3.6698770310743312E-2</v>
      </c>
      <c r="X365" s="6">
        <f t="shared" si="50"/>
        <v>3.6698770310743312E-2</v>
      </c>
      <c r="Y365" s="6">
        <f t="shared" si="50"/>
        <v>3.6698770310743312E-2</v>
      </c>
      <c r="Z365" s="6">
        <f t="shared" si="50"/>
        <v>3.6698770310743312E-2</v>
      </c>
    </row>
    <row r="366" spans="1:53" outlineLevel="1" x14ac:dyDescent="0.35">
      <c r="A366" s="23" t="s">
        <v>125</v>
      </c>
      <c r="B366" s="17">
        <f>SUM(B334:B364)</f>
        <v>0.18873320401029556</v>
      </c>
      <c r="C366" s="17">
        <f t="shared" ref="C366:Z366" si="51">SUM(C334:C364)</f>
        <v>3.0906544705596471E-2</v>
      </c>
      <c r="D366" s="17">
        <f t="shared" si="51"/>
        <v>3.0633225899912016E-2</v>
      </c>
      <c r="E366" s="17">
        <f t="shared" si="51"/>
        <v>3.0309298468965906E-2</v>
      </c>
      <c r="F366" s="17">
        <f t="shared" si="51"/>
        <v>3.0030140985232802E-2</v>
      </c>
      <c r="G366" s="17">
        <f t="shared" si="51"/>
        <v>2.9747813758651785E-2</v>
      </c>
      <c r="H366" s="17">
        <f t="shared" si="51"/>
        <v>2.9495379967686138E-2</v>
      </c>
      <c r="I366" s="17">
        <f t="shared" si="51"/>
        <v>2.9255982924712182E-2</v>
      </c>
      <c r="J366" s="17">
        <f t="shared" si="51"/>
        <v>2.8999057263957111E-2</v>
      </c>
      <c r="K366" s="17">
        <f t="shared" si="51"/>
        <v>2.876799802869355E-2</v>
      </c>
      <c r="L366" s="17">
        <f t="shared" si="51"/>
        <v>2.8537370105469223E-2</v>
      </c>
      <c r="M366" s="17">
        <f t="shared" si="51"/>
        <v>2.8354734701598775E-2</v>
      </c>
      <c r="N366" s="17">
        <f t="shared" si="51"/>
        <v>2.8175691748858429E-2</v>
      </c>
      <c r="O366" s="17">
        <f t="shared" si="51"/>
        <v>2.7992974166425721E-2</v>
      </c>
      <c r="P366" s="17">
        <f t="shared" si="51"/>
        <v>2.7819192303308912E-2</v>
      </c>
      <c r="Q366" s="17">
        <f t="shared" si="51"/>
        <v>2.7647371884628409E-2</v>
      </c>
      <c r="R366" s="17">
        <f t="shared" si="51"/>
        <v>2.7559777394198751E-2</v>
      </c>
      <c r="S366" s="17">
        <f t="shared" si="51"/>
        <v>2.7473560571661192E-2</v>
      </c>
      <c r="T366" s="17">
        <f t="shared" si="51"/>
        <v>2.7382177958043652E-2</v>
      </c>
      <c r="U366" s="17">
        <f t="shared" si="51"/>
        <v>2.7298858994365342E-2</v>
      </c>
      <c r="V366" s="17">
        <f t="shared" si="51"/>
        <v>2.7217763443103383E-2</v>
      </c>
      <c r="W366" s="17">
        <f t="shared" si="51"/>
        <v>2.7365821721603734E-2</v>
      </c>
      <c r="X366" s="17">
        <f t="shared" si="51"/>
        <v>2.7351797565271355E-2</v>
      </c>
      <c r="Y366" s="17">
        <f t="shared" si="51"/>
        <v>2.733782748176208E-2</v>
      </c>
      <c r="Z366" s="17">
        <f t="shared" si="51"/>
        <v>2.8545417478446824E-2</v>
      </c>
    </row>
    <row r="367" spans="1:53" outlineLevel="1" x14ac:dyDescent="0.35"/>
    <row r="368" spans="1:53" s="18" customFormat="1" ht="21" x14ac:dyDescent="0.5">
      <c r="A368" s="18" t="s">
        <v>94</v>
      </c>
    </row>
    <row r="369" spans="1:31" s="20" customFormat="1" outlineLevel="1" x14ac:dyDescent="0.35">
      <c r="A369" s="19" t="s">
        <v>788</v>
      </c>
    </row>
    <row r="370" spans="1:31" s="20" customFormat="1" outlineLevel="1" x14ac:dyDescent="0.35">
      <c r="A370" s="273" t="s">
        <v>775</v>
      </c>
      <c r="B370" s="20">
        <v>1</v>
      </c>
      <c r="C370" s="274" t="s">
        <v>787</v>
      </c>
    </row>
    <row r="371" spans="1:31" s="20" customFormat="1" outlineLevel="1" x14ac:dyDescent="0.35">
      <c r="A371" s="273" t="s">
        <v>781</v>
      </c>
      <c r="B371" s="20">
        <v>100000</v>
      </c>
      <c r="C371" s="20" t="s">
        <v>782</v>
      </c>
      <c r="E371" s="274"/>
    </row>
    <row r="372" spans="1:31" s="20" customFormat="1" outlineLevel="1" x14ac:dyDescent="0.35">
      <c r="A372" s="273" t="s">
        <v>783</v>
      </c>
      <c r="B372" s="20">
        <v>1500</v>
      </c>
      <c r="C372" s="20" t="s">
        <v>592</v>
      </c>
    </row>
    <row r="373" spans="1:31" s="20" customFormat="1" outlineLevel="1" x14ac:dyDescent="0.35">
      <c r="A373" s="273" t="s">
        <v>784</v>
      </c>
      <c r="B373" s="20">
        <v>8760</v>
      </c>
      <c r="C373" s="20" t="s">
        <v>785</v>
      </c>
    </row>
    <row r="374" spans="1:31" s="20" customFormat="1" outlineLevel="1" x14ac:dyDescent="0.35">
      <c r="A374" s="273"/>
    </row>
    <row r="375" spans="1:31" s="20" customFormat="1" outlineLevel="1" x14ac:dyDescent="0.35">
      <c r="A375" s="275" t="s">
        <v>786</v>
      </c>
      <c r="B375" s="275">
        <f>(B371*B372)/(B373*B370)</f>
        <v>17123.287671232876</v>
      </c>
      <c r="C375" s="275" t="s">
        <v>749</v>
      </c>
    </row>
    <row r="376" spans="1:31" s="20" customFormat="1" outlineLevel="1" x14ac:dyDescent="0.35">
      <c r="A376" s="19"/>
    </row>
    <row r="377" spans="1:31" s="20" customFormat="1" outlineLevel="1" x14ac:dyDescent="0.35">
      <c r="A377" s="19" t="s">
        <v>793</v>
      </c>
    </row>
    <row r="378" spans="1:31" s="20" customFormat="1" outlineLevel="1" x14ac:dyDescent="0.35">
      <c r="A378" s="273" t="s">
        <v>789</v>
      </c>
      <c r="B378" s="20">
        <f>SUM('Results - raw data ReCiPe (H)'!C156:C157)+'Results - raw data ReCiPe (H)'!C160+SUM('Results - raw data ReCiPe (H)'!C158:C159)*AC387</f>
        <v>6.6369489897766957E-3</v>
      </c>
      <c r="C378" s="20" t="s">
        <v>790</v>
      </c>
    </row>
    <row r="379" spans="1:31" s="20" customFormat="1" outlineLevel="1" x14ac:dyDescent="0.35">
      <c r="A379" s="20" t="s">
        <v>792</v>
      </c>
      <c r="B379" s="20">
        <f>B371*AC385</f>
        <v>50000</v>
      </c>
      <c r="C379" s="274" t="s">
        <v>795</v>
      </c>
    </row>
    <row r="380" spans="1:31" s="20" customFormat="1" outlineLevel="1" x14ac:dyDescent="0.35">
      <c r="A380" s="20" t="s">
        <v>791</v>
      </c>
      <c r="B380" s="20">
        <f>(B378*AC387*B375)/(B379*AC386)*(AC386/AC388)</f>
        <v>6.8187832086746868E-4</v>
      </c>
      <c r="C380" s="20" t="s">
        <v>794</v>
      </c>
      <c r="E380" s="274" t="s">
        <v>796</v>
      </c>
    </row>
    <row r="381" spans="1:31" s="20" customFormat="1" outlineLevel="1" x14ac:dyDescent="0.35">
      <c r="A381" s="19"/>
    </row>
    <row r="382" spans="1:31" s="16" customFormat="1" outlineLevel="1" x14ac:dyDescent="0.35">
      <c r="A382" s="21"/>
      <c r="AB382" s="16" t="s">
        <v>47</v>
      </c>
      <c r="AC382" s="16">
        <v>9.2800000000000005E-7</v>
      </c>
      <c r="AD382" s="16" t="s">
        <v>48</v>
      </c>
      <c r="AE382" s="15" t="s">
        <v>714</v>
      </c>
    </row>
    <row r="383" spans="1:31" s="16" customFormat="1" outlineLevel="1" x14ac:dyDescent="0.35">
      <c r="A383" s="22" t="s">
        <v>564</v>
      </c>
      <c r="AC383" s="16">
        <f>AC382*1000</f>
        <v>9.2800000000000001E-4</v>
      </c>
      <c r="AD383" s="16" t="s">
        <v>126</v>
      </c>
    </row>
    <row r="384" spans="1:31" s="16" customFormat="1" outlineLevel="1" x14ac:dyDescent="0.35">
      <c r="A384" s="22"/>
      <c r="AB384" s="16" t="s">
        <v>127</v>
      </c>
      <c r="AC384" s="16">
        <f>100*AC385</f>
        <v>50</v>
      </c>
      <c r="AD384" s="16" t="s">
        <v>128</v>
      </c>
    </row>
    <row r="385" spans="1:53" s="16" customFormat="1" outlineLevel="1" x14ac:dyDescent="0.35">
      <c r="A385" s="230"/>
      <c r="AB385" s="16" t="s">
        <v>776</v>
      </c>
      <c r="AC385" s="16">
        <v>0.5</v>
      </c>
    </row>
    <row r="386" spans="1:53" s="16" customFormat="1" outlineLevel="1" x14ac:dyDescent="0.35">
      <c r="A386" s="21"/>
      <c r="AB386" s="16" t="s">
        <v>129</v>
      </c>
      <c r="AC386" s="16">
        <v>25</v>
      </c>
      <c r="AD386" s="16" t="s">
        <v>130</v>
      </c>
    </row>
    <row r="387" spans="1:53" s="16" customFormat="1" outlineLevel="1" x14ac:dyDescent="0.35">
      <c r="A387" s="21"/>
      <c r="AB387" s="16" t="s">
        <v>777</v>
      </c>
      <c r="AC387" s="16">
        <v>6</v>
      </c>
      <c r="AD387" s="16" t="s">
        <v>779</v>
      </c>
    </row>
    <row r="388" spans="1:53" s="16" customFormat="1" outlineLevel="1" x14ac:dyDescent="0.35">
      <c r="A388" s="21"/>
      <c r="AB388" s="16" t="s">
        <v>778</v>
      </c>
      <c r="AC388" s="16">
        <v>20</v>
      </c>
      <c r="AD388" s="16" t="s">
        <v>130</v>
      </c>
    </row>
    <row r="389" spans="1:53" s="16" customFormat="1" outlineLevel="1" x14ac:dyDescent="0.35">
      <c r="AB389" s="16" t="s">
        <v>780</v>
      </c>
      <c r="AC389" s="16">
        <f>B375</f>
        <v>17123.287671232876</v>
      </c>
      <c r="AD389" s="16" t="s">
        <v>749</v>
      </c>
    </row>
    <row r="390" spans="1:53" s="16" customFormat="1" outlineLevel="1" x14ac:dyDescent="0.35">
      <c r="AB390" s="16" t="s">
        <v>820</v>
      </c>
      <c r="AC390" s="16">
        <v>0.5</v>
      </c>
    </row>
    <row r="391" spans="1:53" s="16" customFormat="1" outlineLevel="1" x14ac:dyDescent="0.35">
      <c r="AB391" s="16" t="s">
        <v>798</v>
      </c>
      <c r="AC391" s="16">
        <v>0.25</v>
      </c>
    </row>
    <row r="392" spans="1:53" s="16" customFormat="1" outlineLevel="1" x14ac:dyDescent="0.35">
      <c r="A392" s="22"/>
      <c r="AB392" s="16" t="s">
        <v>799</v>
      </c>
      <c r="AC392" s="16">
        <v>0.9</v>
      </c>
    </row>
    <row r="393" spans="1:53" s="16" customFormat="1" outlineLevel="1" x14ac:dyDescent="0.35">
      <c r="A393" s="22"/>
    </row>
    <row r="394" spans="1:53" outlineLevel="1" x14ac:dyDescent="0.35">
      <c r="B394" s="25">
        <v>2030</v>
      </c>
      <c r="C394" s="25">
        <v>2031</v>
      </c>
      <c r="D394" s="25">
        <v>2032</v>
      </c>
      <c r="E394" s="25">
        <v>2033</v>
      </c>
      <c r="F394" s="25">
        <v>2034</v>
      </c>
      <c r="G394" s="25">
        <v>2035</v>
      </c>
      <c r="H394" s="25">
        <v>2036</v>
      </c>
      <c r="I394" s="25">
        <v>2037</v>
      </c>
      <c r="J394" s="25">
        <v>2038</v>
      </c>
      <c r="K394" s="25">
        <v>2039</v>
      </c>
      <c r="L394" s="25">
        <v>2040</v>
      </c>
      <c r="M394" s="25">
        <v>2041</v>
      </c>
      <c r="N394" s="25">
        <v>2042</v>
      </c>
      <c r="O394" s="25">
        <v>2043</v>
      </c>
      <c r="P394" s="25">
        <v>2044</v>
      </c>
      <c r="Q394" s="25">
        <v>2045</v>
      </c>
      <c r="R394" s="25">
        <v>2046</v>
      </c>
      <c r="S394" s="25">
        <v>2047</v>
      </c>
      <c r="T394" s="25">
        <v>2048</v>
      </c>
      <c r="U394" s="25">
        <v>2049</v>
      </c>
      <c r="V394" s="25">
        <v>2050</v>
      </c>
      <c r="W394" s="25">
        <v>2051</v>
      </c>
      <c r="X394" s="25">
        <v>2052</v>
      </c>
      <c r="Y394" s="25">
        <v>2053</v>
      </c>
      <c r="Z394" s="25">
        <v>2054</v>
      </c>
      <c r="AC394" s="25">
        <v>2030</v>
      </c>
      <c r="AD394" s="25">
        <v>2031</v>
      </c>
      <c r="AE394" s="25">
        <v>2032</v>
      </c>
      <c r="AF394" s="25">
        <v>2033</v>
      </c>
      <c r="AG394" s="25">
        <v>2034</v>
      </c>
      <c r="AH394" s="25">
        <v>2035</v>
      </c>
      <c r="AI394" s="25">
        <v>2036</v>
      </c>
      <c r="AJ394" s="25">
        <v>2037</v>
      </c>
      <c r="AK394" s="25">
        <v>2038</v>
      </c>
      <c r="AL394" s="25">
        <v>2039</v>
      </c>
      <c r="AM394" s="25">
        <v>2040</v>
      </c>
      <c r="AN394" s="25">
        <v>2041</v>
      </c>
      <c r="AO394" s="25">
        <v>2042</v>
      </c>
      <c r="AP394" s="25">
        <v>2043</v>
      </c>
      <c r="AQ394" s="25">
        <v>2044</v>
      </c>
      <c r="AR394" s="25">
        <v>2045</v>
      </c>
      <c r="AS394" s="25">
        <v>2046</v>
      </c>
      <c r="AT394" s="25">
        <v>2047</v>
      </c>
      <c r="AU394" s="25">
        <v>2048</v>
      </c>
      <c r="AV394" s="25">
        <v>2049</v>
      </c>
      <c r="AW394" s="25">
        <v>2050</v>
      </c>
      <c r="AX394" s="25">
        <v>2051</v>
      </c>
      <c r="AY394" s="25">
        <v>2052</v>
      </c>
      <c r="AZ394" s="25">
        <v>2053</v>
      </c>
      <c r="BA394" s="25">
        <v>2054</v>
      </c>
    </row>
    <row r="395" spans="1:53" outlineLevel="1" x14ac:dyDescent="0.35">
      <c r="A395" s="6" t="s">
        <v>21</v>
      </c>
      <c r="B395" s="6">
        <f>B90</f>
        <v>2.4100049612117481E-3</v>
      </c>
      <c r="AB395" s="6" t="s">
        <v>117</v>
      </c>
      <c r="AC395" s="6">
        <f>SUM(B395:B406)+B408</f>
        <v>0.13774913518918389</v>
      </c>
    </row>
    <row r="396" spans="1:53" outlineLevel="1" x14ac:dyDescent="0.35">
      <c r="A396" s="6" t="s">
        <v>23</v>
      </c>
      <c r="B396" s="6">
        <f t="shared" ref="B396:B406" si="52">B91</f>
        <v>5.3713425904224309E-3</v>
      </c>
      <c r="AB396" s="6" t="s">
        <v>118</v>
      </c>
      <c r="AC396" s="6">
        <f>B407</f>
        <v>4.4887183709256375E-3</v>
      </c>
    </row>
    <row r="397" spans="1:53" outlineLevel="1" x14ac:dyDescent="0.35">
      <c r="A397" s="6" t="s">
        <v>26</v>
      </c>
      <c r="B397" s="6">
        <f t="shared" si="52"/>
        <v>1.2015567507973911E-2</v>
      </c>
      <c r="AB397" s="6" t="s">
        <v>119</v>
      </c>
      <c r="BA397" s="6">
        <f>SUM(Z409:Z420)</f>
        <v>1.1364491829356034E-3</v>
      </c>
    </row>
    <row r="398" spans="1:53" outlineLevel="1" x14ac:dyDescent="0.35">
      <c r="A398" s="6" t="s">
        <v>28</v>
      </c>
      <c r="B398" s="6">
        <f t="shared" si="52"/>
        <v>1.529227024432098E-2</v>
      </c>
      <c r="AB398" s="6" t="s">
        <v>120</v>
      </c>
      <c r="BA398" s="6">
        <f>Z421</f>
        <v>1.7020923788049538E-5</v>
      </c>
    </row>
    <row r="399" spans="1:53" outlineLevel="1" x14ac:dyDescent="0.35">
      <c r="A399" s="6" t="s">
        <v>29</v>
      </c>
      <c r="B399" s="6">
        <f t="shared" si="52"/>
        <v>1.1898439492001591E-2</v>
      </c>
      <c r="AB399" s="6" t="s">
        <v>121</v>
      </c>
      <c r="AC399" s="6">
        <f>B422</f>
        <v>1.9848842622015748E-3</v>
      </c>
      <c r="AF399" s="6">
        <f>E422</f>
        <v>1.889975707684352E-3</v>
      </c>
      <c r="AI399" s="6">
        <f>H422</f>
        <v>1.8240269819210511E-3</v>
      </c>
      <c r="AL399" s="6">
        <f>K422</f>
        <v>1.8069758007361711E-3</v>
      </c>
      <c r="AO399" s="6">
        <f>N422</f>
        <v>1.799728004873463E-3</v>
      </c>
      <c r="AR399" s="6">
        <f>Q422</f>
        <v>1.7946676192961261E-3</v>
      </c>
      <c r="AU399" s="6">
        <f>T422</f>
        <v>1.786311731211142E-3</v>
      </c>
      <c r="AX399" s="6">
        <f>W422</f>
        <v>1.790817045871237E-3</v>
      </c>
      <c r="BA399" s="6">
        <f>Z422</f>
        <v>1.786892271072078E-3</v>
      </c>
    </row>
    <row r="400" spans="1:53" outlineLevel="1" x14ac:dyDescent="0.35">
      <c r="A400" s="6" t="s">
        <v>31</v>
      </c>
      <c r="B400" s="6">
        <f t="shared" si="52"/>
        <v>7.7672923315607531E-3</v>
      </c>
      <c r="AB400" s="6" t="s">
        <v>797</v>
      </c>
      <c r="AC400" s="6">
        <f>B426</f>
        <v>3.4093916043373432E-2</v>
      </c>
      <c r="AD400" s="6">
        <f t="shared" ref="AD400:BA400" si="53">C426</f>
        <v>3.4093916043373432E-2</v>
      </c>
      <c r="AE400" s="6">
        <f t="shared" si="53"/>
        <v>3.4093916043373432E-2</v>
      </c>
      <c r="AF400" s="6">
        <f t="shared" si="53"/>
        <v>3.4093916043373432E-2</v>
      </c>
      <c r="AG400" s="6">
        <f t="shared" si="53"/>
        <v>3.4093916043373432E-2</v>
      </c>
      <c r="AH400" s="6">
        <f t="shared" si="53"/>
        <v>3.4093916043373432E-2</v>
      </c>
      <c r="AI400" s="6">
        <f t="shared" si="53"/>
        <v>3.4093916043373432E-2</v>
      </c>
      <c r="AJ400" s="6">
        <f t="shared" si="53"/>
        <v>3.4093916043373432E-2</v>
      </c>
      <c r="AK400" s="6">
        <f t="shared" si="53"/>
        <v>3.4093916043373432E-2</v>
      </c>
      <c r="AL400" s="6">
        <f t="shared" si="53"/>
        <v>3.4093916043373432E-2</v>
      </c>
      <c r="AM400" s="6">
        <f t="shared" si="53"/>
        <v>3.4093916043373432E-2</v>
      </c>
      <c r="AN400" s="6">
        <f t="shared" si="53"/>
        <v>3.4093916043373432E-2</v>
      </c>
      <c r="AO400" s="6">
        <f t="shared" si="53"/>
        <v>3.4093916043373432E-2</v>
      </c>
      <c r="AP400" s="6">
        <f t="shared" si="53"/>
        <v>3.4093916043373432E-2</v>
      </c>
      <c r="AQ400" s="6">
        <f t="shared" si="53"/>
        <v>3.4093916043373432E-2</v>
      </c>
      <c r="AR400" s="6">
        <f t="shared" si="53"/>
        <v>3.4093916043373432E-2</v>
      </c>
      <c r="AS400" s="6">
        <f t="shared" si="53"/>
        <v>3.4093916043373432E-2</v>
      </c>
      <c r="AT400" s="6">
        <f t="shared" si="53"/>
        <v>3.4093916043373432E-2</v>
      </c>
      <c r="AU400" s="6">
        <f t="shared" si="53"/>
        <v>3.4093916043373432E-2</v>
      </c>
      <c r="AV400" s="6">
        <f t="shared" si="53"/>
        <v>3.4093916043373432E-2</v>
      </c>
      <c r="AW400" s="6">
        <f t="shared" si="53"/>
        <v>3.4093916043373432E-2</v>
      </c>
      <c r="AX400" s="6">
        <f t="shared" si="53"/>
        <v>3.4093916043373432E-2</v>
      </c>
      <c r="AY400" s="6">
        <f t="shared" si="53"/>
        <v>3.4093916043373432E-2</v>
      </c>
      <c r="AZ400" s="6">
        <f t="shared" si="53"/>
        <v>3.4093916043373432E-2</v>
      </c>
      <c r="BA400" s="6">
        <f t="shared" si="53"/>
        <v>3.4093916043373432E-2</v>
      </c>
    </row>
    <row r="401" spans="1:53" outlineLevel="1" x14ac:dyDescent="0.35">
      <c r="A401" s="6" t="s">
        <v>34</v>
      </c>
      <c r="B401" s="6">
        <f t="shared" si="52"/>
        <v>5.948865391495731E-3</v>
      </c>
      <c r="AB401" s="6" t="s">
        <v>122</v>
      </c>
      <c r="AC401" s="6">
        <f t="shared" ref="AC401:BA401" si="54">B425+B424</f>
        <v>2.3287088111872252E-2</v>
      </c>
      <c r="AD401" s="6">
        <f t="shared" si="54"/>
        <v>2.3155261909047299E-2</v>
      </c>
      <c r="AE401" s="6">
        <f t="shared" si="54"/>
        <v>2.3022561684121871E-2</v>
      </c>
      <c r="AF401" s="6">
        <f t="shared" si="54"/>
        <v>2.2850508548696778E-2</v>
      </c>
      <c r="AG401" s="6">
        <f t="shared" si="54"/>
        <v>2.2711112085667364E-2</v>
      </c>
      <c r="AH401" s="6">
        <f t="shared" si="54"/>
        <v>2.2569725708316092E-2</v>
      </c>
      <c r="AI401" s="6">
        <f t="shared" si="54"/>
        <v>2.2511239056159222E-2</v>
      </c>
      <c r="AJ401" s="6">
        <f t="shared" si="54"/>
        <v>2.2457514182959971E-2</v>
      </c>
      <c r="AK401" s="6">
        <f t="shared" si="54"/>
        <v>2.2390458299827595E-2</v>
      </c>
      <c r="AL401" s="6">
        <f t="shared" si="54"/>
        <v>2.2343781410811381E-2</v>
      </c>
      <c r="AM401" s="6">
        <f t="shared" si="54"/>
        <v>2.2300115776085223E-2</v>
      </c>
      <c r="AN401" s="6">
        <f t="shared" si="54"/>
        <v>2.2274251263911606E-2</v>
      </c>
      <c r="AO401" s="6">
        <f t="shared" si="54"/>
        <v>2.2251904187837252E-2</v>
      </c>
      <c r="AP401" s="6">
        <f t="shared" si="54"/>
        <v>2.2227607869295677E-2</v>
      </c>
      <c r="AQ401" s="6">
        <f t="shared" si="54"/>
        <v>2.2209561730615349E-2</v>
      </c>
      <c r="AR401" s="6">
        <f t="shared" si="54"/>
        <v>2.2192785967190775E-2</v>
      </c>
      <c r="AS401" s="6">
        <f t="shared" si="54"/>
        <v>2.2185527477797853E-2</v>
      </c>
      <c r="AT401" s="6">
        <f t="shared" si="54"/>
        <v>2.2178486437026447E-2</v>
      </c>
      <c r="AU401" s="6">
        <f t="shared" si="54"/>
        <v>2.2167410309395539E-2</v>
      </c>
      <c r="AV401" s="6">
        <f t="shared" si="54"/>
        <v>2.2160494210171626E-2</v>
      </c>
      <c r="AW401" s="6">
        <f t="shared" si="54"/>
        <v>2.2151742786651041E-2</v>
      </c>
      <c r="AX401" s="6">
        <f t="shared" si="54"/>
        <v>2.2290503926919003E-2</v>
      </c>
      <c r="AY401" s="6">
        <f t="shared" si="54"/>
        <v>2.2294093728597822E-2</v>
      </c>
      <c r="AZ401" s="6">
        <f t="shared" si="54"/>
        <v>2.2297679457918593E-2</v>
      </c>
      <c r="BA401" s="6">
        <f t="shared" si="54"/>
        <v>2.2301262438572052E-2</v>
      </c>
    </row>
    <row r="402" spans="1:53" outlineLevel="1" x14ac:dyDescent="0.35">
      <c r="A402" s="6" t="s">
        <v>36</v>
      </c>
      <c r="B402" s="6">
        <f t="shared" si="52"/>
        <v>3.321744155878405E-3</v>
      </c>
      <c r="AB402" s="6" t="s">
        <v>123</v>
      </c>
      <c r="AC402" s="6">
        <f t="shared" ref="AC402:BA402" si="55">B423</f>
        <v>3.2056706821459997E-3</v>
      </c>
      <c r="AD402" s="6">
        <f t="shared" si="55"/>
        <v>3.0935281582041437E-3</v>
      </c>
      <c r="AE402" s="6">
        <f t="shared" si="55"/>
        <v>2.981504267779044E-3</v>
      </c>
      <c r="AF402" s="6">
        <f t="shared" si="55"/>
        <v>2.867315181498316E-3</v>
      </c>
      <c r="AG402" s="6">
        <f t="shared" si="55"/>
        <v>2.7554451703026605E-3</v>
      </c>
      <c r="AH402" s="6">
        <f t="shared" si="55"/>
        <v>2.6437897367715215E-3</v>
      </c>
      <c r="AI402" s="6">
        <f t="shared" si="55"/>
        <v>2.6337355536929143E-3</v>
      </c>
      <c r="AJ402" s="6">
        <f t="shared" si="55"/>
        <v>2.6235217735587025E-3</v>
      </c>
      <c r="AK402" s="6">
        <f t="shared" si="55"/>
        <v>2.6114264409557351E-3</v>
      </c>
      <c r="AL402" s="6">
        <f t="shared" si="55"/>
        <v>2.6008036454520803E-3</v>
      </c>
      <c r="AM402" s="6">
        <f t="shared" si="55"/>
        <v>2.5899913852823575E-3</v>
      </c>
      <c r="AN402" s="6">
        <f t="shared" si="55"/>
        <v>2.5843323142312161E-3</v>
      </c>
      <c r="AO402" s="6">
        <f t="shared" si="55"/>
        <v>2.5787681492506886E-3</v>
      </c>
      <c r="AP402" s="6">
        <f t="shared" si="55"/>
        <v>2.5728514455493562E-3</v>
      </c>
      <c r="AQ402" s="6">
        <f t="shared" si="55"/>
        <v>2.5673052046117921E-3</v>
      </c>
      <c r="AR402" s="6">
        <f t="shared" si="55"/>
        <v>2.5617771344944133E-3</v>
      </c>
      <c r="AS402" s="6">
        <f t="shared" si="55"/>
        <v>2.5376068006278474E-3</v>
      </c>
      <c r="AT402" s="6">
        <f t="shared" si="55"/>
        <v>2.5133414928865672E-3</v>
      </c>
      <c r="AU402" s="6">
        <f t="shared" si="55"/>
        <v>2.4887105252319286E-3</v>
      </c>
      <c r="AV402" s="6">
        <f t="shared" si="55"/>
        <v>2.4644014152019871E-3</v>
      </c>
      <c r="AW402" s="6">
        <f t="shared" si="55"/>
        <v>2.4400457419020984E-3</v>
      </c>
      <c r="AX402" s="6">
        <f t="shared" si="55"/>
        <v>2.4461104407815979E-3</v>
      </c>
      <c r="AY402" s="6">
        <f t="shared" si="55"/>
        <v>2.4307329720170108E-3</v>
      </c>
      <c r="AZ402" s="6">
        <f t="shared" si="55"/>
        <v>2.4153594571768508E-3</v>
      </c>
      <c r="BA402" s="6">
        <f t="shared" si="55"/>
        <v>2.3999870387829197E-3</v>
      </c>
    </row>
    <row r="403" spans="1:53" outlineLevel="1" x14ac:dyDescent="0.35">
      <c r="A403" s="6" t="s">
        <v>38</v>
      </c>
      <c r="B403" s="6">
        <f t="shared" si="52"/>
        <v>1.8593796959748408E-2</v>
      </c>
      <c r="AB403" s="6" t="s">
        <v>124</v>
      </c>
      <c r="AC403" s="6">
        <f>-$AC$384*$AC$383</f>
        <v>-4.6399999999999997E-2</v>
      </c>
      <c r="AD403" s="6">
        <f t="shared" ref="AD403:BA403" si="56">-$AC$384*$AC$383</f>
        <v>-4.6399999999999997E-2</v>
      </c>
      <c r="AE403" s="6">
        <f t="shared" si="56"/>
        <v>-4.6399999999999997E-2</v>
      </c>
      <c r="AF403" s="6">
        <f t="shared" si="56"/>
        <v>-4.6399999999999997E-2</v>
      </c>
      <c r="AG403" s="6">
        <f t="shared" si="56"/>
        <v>-4.6399999999999997E-2</v>
      </c>
      <c r="AH403" s="6">
        <f t="shared" si="56"/>
        <v>-4.6399999999999997E-2</v>
      </c>
      <c r="AI403" s="6">
        <f t="shared" si="56"/>
        <v>-4.6399999999999997E-2</v>
      </c>
      <c r="AJ403" s="6">
        <f t="shared" si="56"/>
        <v>-4.6399999999999997E-2</v>
      </c>
      <c r="AK403" s="6">
        <f t="shared" si="56"/>
        <v>-4.6399999999999997E-2</v>
      </c>
      <c r="AL403" s="6">
        <f t="shared" si="56"/>
        <v>-4.6399999999999997E-2</v>
      </c>
      <c r="AM403" s="6">
        <f t="shared" si="56"/>
        <v>-4.6399999999999997E-2</v>
      </c>
      <c r="AN403" s="6">
        <f t="shared" si="56"/>
        <v>-4.6399999999999997E-2</v>
      </c>
      <c r="AO403" s="6">
        <f t="shared" si="56"/>
        <v>-4.6399999999999997E-2</v>
      </c>
      <c r="AP403" s="6">
        <f t="shared" si="56"/>
        <v>-4.6399999999999997E-2</v>
      </c>
      <c r="AQ403" s="6">
        <f t="shared" si="56"/>
        <v>-4.6399999999999997E-2</v>
      </c>
      <c r="AR403" s="6">
        <f t="shared" si="56"/>
        <v>-4.6399999999999997E-2</v>
      </c>
      <c r="AS403" s="6">
        <f t="shared" si="56"/>
        <v>-4.6399999999999997E-2</v>
      </c>
      <c r="AT403" s="6">
        <f t="shared" si="56"/>
        <v>-4.6399999999999997E-2</v>
      </c>
      <c r="AU403" s="6">
        <f t="shared" si="56"/>
        <v>-4.6399999999999997E-2</v>
      </c>
      <c r="AV403" s="6">
        <f t="shared" si="56"/>
        <v>-4.6399999999999997E-2</v>
      </c>
      <c r="AW403" s="6">
        <f t="shared" si="56"/>
        <v>-4.6399999999999997E-2</v>
      </c>
      <c r="AX403" s="6">
        <f t="shared" si="56"/>
        <v>-4.6399999999999997E-2</v>
      </c>
      <c r="AY403" s="6">
        <f t="shared" si="56"/>
        <v>-4.6399999999999997E-2</v>
      </c>
      <c r="AZ403" s="6">
        <f t="shared" si="56"/>
        <v>-4.6399999999999997E-2</v>
      </c>
      <c r="BA403" s="6">
        <f t="shared" si="56"/>
        <v>-4.6399999999999997E-2</v>
      </c>
    </row>
    <row r="404" spans="1:53" outlineLevel="1" x14ac:dyDescent="0.35">
      <c r="A404" s="6" t="s">
        <v>39</v>
      </c>
      <c r="B404" s="6">
        <f t="shared" si="52"/>
        <v>4.6894275088252467E-2</v>
      </c>
      <c r="AB404" s="23" t="s">
        <v>125</v>
      </c>
      <c r="AC404" s="17">
        <f t="shared" ref="AC404:BA404" si="57">SUM(AC395:AC403)</f>
        <v>0.15840941265970276</v>
      </c>
      <c r="AD404" s="17">
        <f t="shared" si="57"/>
        <v>1.3942706110624876E-2</v>
      </c>
      <c r="AE404" s="17">
        <f t="shared" si="57"/>
        <v>1.3697981995274347E-2</v>
      </c>
      <c r="AF404" s="17">
        <f t="shared" si="57"/>
        <v>1.5301715481252885E-2</v>
      </c>
      <c r="AG404" s="17">
        <f t="shared" si="57"/>
        <v>1.3160473299343466E-2</v>
      </c>
      <c r="AH404" s="17">
        <f t="shared" si="57"/>
        <v>1.2907431488461046E-2</v>
      </c>
      <c r="AI404" s="17">
        <f t="shared" si="57"/>
        <v>1.466291763514662E-2</v>
      </c>
      <c r="AJ404" s="17">
        <f t="shared" si="57"/>
        <v>1.2774951999892106E-2</v>
      </c>
      <c r="AK404" s="17">
        <f t="shared" si="57"/>
        <v>1.2695800784156767E-2</v>
      </c>
      <c r="AL404" s="17">
        <f t="shared" si="57"/>
        <v>1.4445476900373067E-2</v>
      </c>
      <c r="AM404" s="17">
        <f t="shared" si="57"/>
        <v>1.2584023204741009E-2</v>
      </c>
      <c r="AN404" s="17">
        <f t="shared" si="57"/>
        <v>1.2552499621516264E-2</v>
      </c>
      <c r="AO404" s="17">
        <f t="shared" si="57"/>
        <v>1.4324316385334837E-2</v>
      </c>
      <c r="AP404" s="17">
        <f t="shared" si="57"/>
        <v>1.2494375358218464E-2</v>
      </c>
      <c r="AQ404" s="17">
        <f t="shared" si="57"/>
        <v>1.2470782978600575E-2</v>
      </c>
      <c r="AR404" s="17">
        <f t="shared" si="57"/>
        <v>1.4243146764354758E-2</v>
      </c>
      <c r="AS404" s="17">
        <f t="shared" si="57"/>
        <v>1.2417050321799135E-2</v>
      </c>
      <c r="AT404" s="17">
        <f t="shared" si="57"/>
        <v>1.2385743973286449E-2</v>
      </c>
      <c r="AU404" s="17">
        <f t="shared" si="57"/>
        <v>1.4136348609212042E-2</v>
      </c>
      <c r="AV404" s="17">
        <f t="shared" si="57"/>
        <v>1.231881166874705E-2</v>
      </c>
      <c r="AW404" s="17">
        <f t="shared" si="57"/>
        <v>1.228570457192657E-2</v>
      </c>
      <c r="AX404" s="17">
        <f t="shared" si="57"/>
        <v>1.4221347456945276E-2</v>
      </c>
      <c r="AY404" s="17">
        <f t="shared" si="57"/>
        <v>1.241874274398827E-2</v>
      </c>
      <c r="AZ404" s="17">
        <f t="shared" si="57"/>
        <v>1.2406954958468878E-2</v>
      </c>
      <c r="BA404" s="17">
        <f t="shared" si="57"/>
        <v>1.5335527898524139E-2</v>
      </c>
    </row>
    <row r="405" spans="1:53" outlineLevel="1" x14ac:dyDescent="0.35">
      <c r="A405" s="6" t="s">
        <v>41</v>
      </c>
      <c r="B405" s="6">
        <f t="shared" si="52"/>
        <v>2.6822864157904019E-4</v>
      </c>
    </row>
    <row r="406" spans="1:53" outlineLevel="1" x14ac:dyDescent="0.35">
      <c r="A406" s="6" t="s">
        <v>43</v>
      </c>
      <c r="B406" s="6">
        <f t="shared" si="52"/>
        <v>8.5216131252606215E-4</v>
      </c>
      <c r="AB406" s="282"/>
      <c r="AC406" s="282"/>
      <c r="AD406" s="282"/>
      <c r="AE406" s="282"/>
      <c r="AF406" s="282"/>
      <c r="AG406" s="282"/>
      <c r="AH406" s="282"/>
      <c r="AI406" s="282"/>
      <c r="AJ406" s="282"/>
      <c r="AK406" s="282"/>
      <c r="AL406" s="282"/>
      <c r="AM406" s="282"/>
      <c r="AN406" s="282"/>
      <c r="AO406" s="282"/>
      <c r="AP406" s="282"/>
      <c r="AQ406" s="282"/>
      <c r="AR406" s="282"/>
      <c r="AS406" s="282"/>
      <c r="AT406" s="282"/>
      <c r="AU406" s="282"/>
      <c r="AV406" s="282"/>
      <c r="AW406" s="282"/>
      <c r="AX406" s="282"/>
      <c r="AY406" s="282"/>
      <c r="AZ406" s="282"/>
      <c r="BA406" s="282"/>
    </row>
    <row r="407" spans="1:53" outlineLevel="1" x14ac:dyDescent="0.35">
      <c r="A407" s="6" t="s">
        <v>44</v>
      </c>
      <c r="B407" s="6">
        <f>B102*AC385</f>
        <v>4.4887183709256375E-3</v>
      </c>
      <c r="AB407" s="282"/>
      <c r="AC407" s="282"/>
      <c r="AD407" s="282"/>
      <c r="AE407" s="282"/>
      <c r="AF407" s="282"/>
      <c r="AG407" s="282"/>
      <c r="AH407" s="282"/>
      <c r="AI407" s="282"/>
      <c r="AJ407" s="282"/>
      <c r="AK407" s="282"/>
      <c r="AL407" s="282"/>
      <c r="AM407" s="282"/>
      <c r="AN407" s="282"/>
      <c r="AO407" s="282"/>
      <c r="AP407" s="282"/>
      <c r="AQ407" s="282"/>
      <c r="AR407" s="282"/>
      <c r="AS407" s="282"/>
      <c r="AT407" s="282"/>
      <c r="AU407" s="282"/>
      <c r="AV407" s="282"/>
      <c r="AW407" s="282"/>
      <c r="AX407" s="282"/>
      <c r="AY407" s="282"/>
      <c r="AZ407" s="282"/>
      <c r="BA407" s="282"/>
    </row>
    <row r="408" spans="1:53" outlineLevel="1" x14ac:dyDescent="0.35">
      <c r="A408" s="6" t="s">
        <v>757</v>
      </c>
      <c r="B408" s="6">
        <f>B103*AC385</f>
        <v>7.1151465122123447E-3</v>
      </c>
      <c r="AB408" s="282"/>
      <c r="AC408" s="282"/>
      <c r="AD408" s="282"/>
      <c r="AE408" s="282"/>
      <c r="AF408" s="282"/>
      <c r="AG408" s="282"/>
      <c r="AH408" s="282"/>
      <c r="AI408" s="282"/>
      <c r="AJ408" s="282"/>
      <c r="AK408" s="282"/>
      <c r="AL408" s="282"/>
      <c r="AM408" s="282"/>
      <c r="AN408" s="282"/>
      <c r="AO408" s="282"/>
      <c r="AP408" s="282"/>
      <c r="AQ408" s="282"/>
      <c r="AR408" s="282"/>
      <c r="AS408" s="282"/>
      <c r="AT408" s="282"/>
      <c r="AU408" s="282"/>
      <c r="AV408" s="282"/>
      <c r="AW408" s="282"/>
      <c r="AX408" s="282"/>
      <c r="AY408" s="282"/>
      <c r="AZ408" s="282"/>
      <c r="BA408" s="282"/>
    </row>
    <row r="409" spans="1:53" outlineLevel="1" x14ac:dyDescent="0.35">
      <c r="A409" s="6" t="s">
        <v>22</v>
      </c>
      <c r="Z409" s="6">
        <f>Z104</f>
        <v>2.4470472695532149E-5</v>
      </c>
      <c r="AB409" s="282"/>
      <c r="AC409" s="282"/>
      <c r="AD409" s="282"/>
      <c r="AE409" s="282"/>
      <c r="AF409" s="282"/>
      <c r="AG409" s="282"/>
      <c r="AH409" s="282"/>
      <c r="AI409" s="282"/>
      <c r="AJ409" s="282"/>
      <c r="AK409" s="282"/>
      <c r="AL409" s="282"/>
      <c r="AM409" s="282"/>
      <c r="AN409" s="282"/>
      <c r="AO409" s="282"/>
      <c r="AP409" s="282"/>
      <c r="AQ409" s="282"/>
      <c r="AR409" s="282"/>
      <c r="AS409" s="282"/>
      <c r="AT409" s="282"/>
      <c r="AU409" s="282"/>
      <c r="AV409" s="282"/>
      <c r="AW409" s="282"/>
      <c r="AX409" s="282"/>
      <c r="AY409" s="282"/>
      <c r="AZ409" s="282"/>
      <c r="BA409" s="282"/>
    </row>
    <row r="410" spans="1:53" outlineLevel="1" x14ac:dyDescent="0.35">
      <c r="A410" s="6" t="s">
        <v>24</v>
      </c>
      <c r="Z410" s="6">
        <f t="shared" ref="Z410:Z420" si="58">Z105</f>
        <v>1.143222276225724E-5</v>
      </c>
      <c r="AB410" s="282"/>
      <c r="AC410" s="282"/>
      <c r="AD410" s="282"/>
      <c r="AE410" s="282"/>
      <c r="AF410" s="282"/>
      <c r="AG410" s="282"/>
      <c r="AH410" s="282"/>
      <c r="AI410" s="282"/>
      <c r="AJ410" s="282"/>
      <c r="AK410" s="282"/>
      <c r="AL410" s="282"/>
      <c r="AM410" s="282"/>
      <c r="AN410" s="282"/>
      <c r="AO410" s="282"/>
      <c r="AP410" s="282"/>
      <c r="AQ410" s="282"/>
      <c r="AR410" s="282"/>
      <c r="AS410" s="282"/>
      <c r="AT410" s="282"/>
      <c r="AU410" s="282"/>
      <c r="AV410" s="282"/>
      <c r="AW410" s="282"/>
      <c r="AX410" s="282"/>
      <c r="AY410" s="282"/>
      <c r="AZ410" s="282"/>
      <c r="BA410" s="282"/>
    </row>
    <row r="411" spans="1:53" outlineLevel="1" x14ac:dyDescent="0.35">
      <c r="A411" s="6" t="s">
        <v>25</v>
      </c>
      <c r="Z411" s="6">
        <f t="shared" si="58"/>
        <v>3.739067920649309E-5</v>
      </c>
      <c r="AB411" s="282"/>
      <c r="AC411" s="282"/>
      <c r="AD411" s="282"/>
      <c r="AE411" s="282"/>
      <c r="AF411" s="282"/>
      <c r="AG411" s="282"/>
      <c r="AH411" s="282"/>
      <c r="AI411" s="282"/>
      <c r="AJ411" s="282"/>
      <c r="AK411" s="282"/>
      <c r="AL411" s="282"/>
      <c r="AM411" s="282"/>
      <c r="AN411" s="282"/>
      <c r="AO411" s="282"/>
      <c r="AP411" s="282"/>
      <c r="AQ411" s="282"/>
      <c r="AR411" s="282"/>
      <c r="AS411" s="282"/>
      <c r="AT411" s="282"/>
      <c r="AU411" s="282"/>
      <c r="AV411" s="282"/>
      <c r="AW411" s="282"/>
      <c r="AX411" s="282"/>
      <c r="AY411" s="282"/>
      <c r="AZ411" s="282"/>
      <c r="BA411" s="282"/>
    </row>
    <row r="412" spans="1:53" outlineLevel="1" x14ac:dyDescent="0.35">
      <c r="A412" s="6" t="s">
        <v>27</v>
      </c>
      <c r="Z412" s="6">
        <f t="shared" si="58"/>
        <v>1.593392328279023E-5</v>
      </c>
      <c r="AB412" s="282"/>
      <c r="AC412" s="282"/>
      <c r="AD412" s="282"/>
      <c r="AE412" s="282"/>
      <c r="AF412" s="282"/>
      <c r="AG412" s="282"/>
      <c r="AH412" s="282"/>
      <c r="AI412" s="282"/>
      <c r="AJ412" s="282"/>
      <c r="AK412" s="282"/>
      <c r="AL412" s="282"/>
      <c r="AM412" s="282"/>
      <c r="AN412" s="282"/>
      <c r="AO412" s="282"/>
      <c r="AP412" s="282"/>
      <c r="AQ412" s="282"/>
      <c r="AR412" s="282"/>
      <c r="AS412" s="282"/>
      <c r="AT412" s="282"/>
      <c r="AU412" s="282"/>
      <c r="AV412" s="282"/>
      <c r="AW412" s="282"/>
      <c r="AX412" s="282"/>
      <c r="AY412" s="282"/>
      <c r="AZ412" s="282"/>
      <c r="BA412" s="282"/>
    </row>
    <row r="413" spans="1:53" outlineLevel="1" x14ac:dyDescent="0.35">
      <c r="A413" s="6" t="s">
        <v>30</v>
      </c>
      <c r="Z413" s="6">
        <f t="shared" si="58"/>
        <v>3.2280205040430099E-5</v>
      </c>
      <c r="AB413" s="282"/>
      <c r="AC413" s="282"/>
      <c r="AD413" s="282"/>
      <c r="AE413" s="282"/>
      <c r="AF413" s="282"/>
      <c r="AG413" s="282"/>
      <c r="AH413" s="282"/>
      <c r="AI413" s="282"/>
      <c r="AJ413" s="282"/>
      <c r="AK413" s="282"/>
      <c r="AL413" s="282"/>
      <c r="AM413" s="282"/>
      <c r="AN413" s="282"/>
      <c r="AO413" s="282"/>
      <c r="AP413" s="282"/>
      <c r="AQ413" s="282"/>
      <c r="AR413" s="282"/>
      <c r="AS413" s="282"/>
      <c r="AT413" s="282"/>
      <c r="AU413" s="282"/>
      <c r="AV413" s="282"/>
      <c r="AW413" s="282"/>
      <c r="AX413" s="282"/>
      <c r="AY413" s="282"/>
      <c r="AZ413" s="282"/>
      <c r="BA413" s="282"/>
    </row>
    <row r="414" spans="1:53" outlineLevel="1" x14ac:dyDescent="0.35">
      <c r="A414" s="6" t="s">
        <v>32</v>
      </c>
      <c r="Z414" s="6">
        <f t="shared" si="58"/>
        <v>4.2863781753696463E-6</v>
      </c>
      <c r="AB414" s="282"/>
      <c r="AC414" s="282"/>
      <c r="AD414" s="282"/>
      <c r="AE414" s="282"/>
      <c r="AF414" s="282"/>
      <c r="AG414" s="282"/>
      <c r="AH414" s="282"/>
      <c r="AI414" s="282"/>
      <c r="AJ414" s="282"/>
      <c r="AK414" s="282"/>
      <c r="AL414" s="282"/>
      <c r="AM414" s="282"/>
      <c r="AN414" s="282"/>
      <c r="AO414" s="282"/>
      <c r="AP414" s="282"/>
      <c r="AQ414" s="282"/>
      <c r="AR414" s="282"/>
      <c r="AS414" s="282"/>
      <c r="AT414" s="282"/>
      <c r="AU414" s="282"/>
      <c r="AV414" s="282"/>
      <c r="AW414" s="282"/>
      <c r="AX414" s="282"/>
      <c r="AY414" s="282"/>
      <c r="AZ414" s="282"/>
      <c r="BA414" s="282"/>
    </row>
    <row r="415" spans="1:53" outlineLevel="1" x14ac:dyDescent="0.35">
      <c r="A415" s="6" t="s">
        <v>33</v>
      </c>
      <c r="Z415" s="6">
        <f t="shared" si="58"/>
        <v>8.1784888544495171E-6</v>
      </c>
      <c r="AB415" s="282"/>
      <c r="AC415" s="282"/>
      <c r="AD415" s="282"/>
      <c r="AE415" s="282"/>
      <c r="AF415" s="282"/>
      <c r="AG415" s="282"/>
      <c r="AH415" s="282"/>
      <c r="AI415" s="282"/>
      <c r="AJ415" s="282"/>
      <c r="AK415" s="282"/>
      <c r="AL415" s="282"/>
      <c r="AM415" s="282"/>
      <c r="AN415" s="282"/>
      <c r="AO415" s="282"/>
      <c r="AP415" s="282"/>
      <c r="AQ415" s="282"/>
      <c r="AR415" s="282"/>
      <c r="AS415" s="282"/>
      <c r="AT415" s="282"/>
      <c r="AU415" s="282"/>
      <c r="AV415" s="282"/>
      <c r="AW415" s="282"/>
      <c r="AX415" s="282"/>
      <c r="AY415" s="282"/>
      <c r="AZ415" s="282"/>
      <c r="BA415" s="282"/>
    </row>
    <row r="416" spans="1:53" outlineLevel="1" x14ac:dyDescent="0.35">
      <c r="A416" s="6" t="s">
        <v>35</v>
      </c>
      <c r="Z416" s="6">
        <f t="shared" si="58"/>
        <v>1.6356977708899031E-5</v>
      </c>
      <c r="AB416" s="282"/>
      <c r="AC416" s="282"/>
      <c r="AD416" s="282"/>
      <c r="AE416" s="282"/>
      <c r="AF416" s="282"/>
      <c r="AG416" s="282"/>
      <c r="AH416" s="282"/>
      <c r="AI416" s="282"/>
      <c r="AJ416" s="282"/>
      <c r="AK416" s="282"/>
      <c r="AL416" s="282"/>
      <c r="AM416" s="282"/>
      <c r="AN416" s="282"/>
      <c r="AO416" s="282"/>
      <c r="AP416" s="282"/>
      <c r="AQ416" s="282"/>
      <c r="AR416" s="282"/>
      <c r="AS416" s="282"/>
      <c r="AT416" s="282"/>
      <c r="AU416" s="282"/>
      <c r="AV416" s="282"/>
      <c r="AW416" s="282"/>
      <c r="AX416" s="282"/>
      <c r="AY416" s="282"/>
      <c r="AZ416" s="282"/>
      <c r="BA416" s="282"/>
    </row>
    <row r="417" spans="1:53" outlineLevel="1" x14ac:dyDescent="0.35">
      <c r="A417" s="6" t="s">
        <v>37</v>
      </c>
      <c r="Z417" s="6">
        <f t="shared" si="58"/>
        <v>3.8394060112131092E-5</v>
      </c>
      <c r="AB417" s="282"/>
      <c r="AC417" s="282"/>
      <c r="AD417" s="282"/>
      <c r="AE417" s="282"/>
      <c r="AF417" s="282"/>
      <c r="AG417" s="282"/>
      <c r="AH417" s="282"/>
      <c r="AI417" s="282"/>
      <c r="AJ417" s="282"/>
      <c r="AK417" s="282"/>
      <c r="AL417" s="282"/>
      <c r="AM417" s="282"/>
      <c r="AN417" s="282"/>
      <c r="AO417" s="282"/>
      <c r="AP417" s="282"/>
      <c r="AQ417" s="282"/>
      <c r="AR417" s="282"/>
      <c r="AS417" s="282"/>
      <c r="AT417" s="282"/>
      <c r="AU417" s="282"/>
      <c r="AV417" s="282"/>
      <c r="AW417" s="282"/>
      <c r="AX417" s="282"/>
      <c r="AY417" s="282"/>
      <c r="AZ417" s="282"/>
      <c r="BA417" s="282"/>
    </row>
    <row r="418" spans="1:53" outlineLevel="1" x14ac:dyDescent="0.35">
      <c r="A418" s="6" t="s">
        <v>40</v>
      </c>
      <c r="Z418" s="6">
        <f t="shared" si="58"/>
        <v>5.9291416813558179E-4</v>
      </c>
    </row>
    <row r="419" spans="1:53" outlineLevel="1" x14ac:dyDescent="0.35">
      <c r="A419" s="6" t="s">
        <v>42</v>
      </c>
      <c r="Z419" s="6">
        <f t="shared" si="58"/>
        <v>5.1359748101639407E-5</v>
      </c>
    </row>
    <row r="420" spans="1:53" outlineLevel="1" x14ac:dyDescent="0.35">
      <c r="A420" s="6" t="s">
        <v>115</v>
      </c>
      <c r="Z420" s="6">
        <f t="shared" si="58"/>
        <v>3.0345185886003018E-4</v>
      </c>
    </row>
    <row r="421" spans="1:53" outlineLevel="1" x14ac:dyDescent="0.35">
      <c r="A421" s="6" t="s">
        <v>45</v>
      </c>
      <c r="Z421" s="6">
        <f>Z116*AC385</f>
        <v>1.7020923788049538E-5</v>
      </c>
    </row>
    <row r="422" spans="1:53" outlineLevel="1" x14ac:dyDescent="0.35">
      <c r="A422" s="6" t="s">
        <v>116</v>
      </c>
      <c r="B422" s="6">
        <f>B117</f>
        <v>1.9848842622015748E-3</v>
      </c>
      <c r="C422" s="6">
        <f t="shared" ref="C422:Z422" si="59">C117</f>
        <v>1.9562150558131639E-3</v>
      </c>
      <c r="D422" s="6">
        <f t="shared" si="59"/>
        <v>1.927059632671337E-3</v>
      </c>
      <c r="E422" s="6">
        <f t="shared" si="59"/>
        <v>1.889975707684352E-3</v>
      </c>
      <c r="F422" s="6">
        <f t="shared" si="59"/>
        <v>1.8596825109945729E-3</v>
      </c>
      <c r="G422" s="6">
        <f t="shared" si="59"/>
        <v>1.8287132515525651E-3</v>
      </c>
      <c r="H422" s="6">
        <f t="shared" si="59"/>
        <v>1.8240269819210511E-3</v>
      </c>
      <c r="I422" s="6">
        <f t="shared" si="59"/>
        <v>1.81940860209094E-3</v>
      </c>
      <c r="J422" s="6">
        <f t="shared" si="59"/>
        <v>1.8114375105735641E-3</v>
      </c>
      <c r="K422" s="6">
        <f t="shared" si="59"/>
        <v>1.8069758007361711E-3</v>
      </c>
      <c r="L422" s="6">
        <f t="shared" si="59"/>
        <v>1.802550656783997E-3</v>
      </c>
      <c r="M422" s="6">
        <f t="shared" si="59"/>
        <v>1.8011237099181739E-3</v>
      </c>
      <c r="N422" s="6">
        <f t="shared" si="59"/>
        <v>1.799728004873463E-3</v>
      </c>
      <c r="O422" s="6">
        <f t="shared" si="59"/>
        <v>1.797350991149333E-3</v>
      </c>
      <c r="P422" s="6">
        <f t="shared" si="59"/>
        <v>1.7960072204838511E-3</v>
      </c>
      <c r="Q422" s="6">
        <f t="shared" si="59"/>
        <v>1.7946676192961261E-3</v>
      </c>
      <c r="R422" s="6">
        <f t="shared" si="59"/>
        <v>1.7921661278737079E-3</v>
      </c>
      <c r="S422" s="6">
        <f t="shared" si="59"/>
        <v>1.789684688556732E-3</v>
      </c>
      <c r="T422" s="6">
        <f t="shared" si="59"/>
        <v>1.786311731211142E-3</v>
      </c>
      <c r="U422" s="6">
        <f t="shared" si="59"/>
        <v>1.783894800268534E-3</v>
      </c>
      <c r="V422" s="6">
        <f t="shared" si="59"/>
        <v>1.78148582755011E-3</v>
      </c>
      <c r="W422" s="6">
        <f t="shared" si="59"/>
        <v>1.790817045871237E-3</v>
      </c>
      <c r="X422" s="6">
        <f t="shared" si="59"/>
        <v>1.7895035743440109E-3</v>
      </c>
      <c r="Y422" s="6">
        <f t="shared" si="59"/>
        <v>1.7881953599072019E-3</v>
      </c>
      <c r="Z422" s="6">
        <f t="shared" si="59"/>
        <v>1.786892271072078E-3</v>
      </c>
    </row>
    <row r="423" spans="1:53" outlineLevel="1" x14ac:dyDescent="0.35">
      <c r="A423" s="6" t="s">
        <v>758</v>
      </c>
      <c r="B423" s="6">
        <f>B118*$AC$385</f>
        <v>3.2056706821459997E-3</v>
      </c>
      <c r="C423" s="6">
        <f t="shared" ref="C423:Z424" si="60">C118*$AC$385</f>
        <v>3.0935281582041437E-3</v>
      </c>
      <c r="D423" s="6">
        <f t="shared" si="60"/>
        <v>2.981504267779044E-3</v>
      </c>
      <c r="E423" s="6">
        <f t="shared" si="60"/>
        <v>2.867315181498316E-3</v>
      </c>
      <c r="F423" s="6">
        <f t="shared" si="60"/>
        <v>2.7554451703026605E-3</v>
      </c>
      <c r="G423" s="6">
        <f t="shared" si="60"/>
        <v>2.6437897367715215E-3</v>
      </c>
      <c r="H423" s="6">
        <f t="shared" si="60"/>
        <v>2.6337355536929143E-3</v>
      </c>
      <c r="I423" s="6">
        <f t="shared" si="60"/>
        <v>2.6235217735587025E-3</v>
      </c>
      <c r="J423" s="6">
        <f t="shared" si="60"/>
        <v>2.6114264409557351E-3</v>
      </c>
      <c r="K423" s="6">
        <f t="shared" si="60"/>
        <v>2.6008036454520803E-3</v>
      </c>
      <c r="L423" s="6">
        <f t="shared" si="60"/>
        <v>2.5899913852823575E-3</v>
      </c>
      <c r="M423" s="6">
        <f t="shared" si="60"/>
        <v>2.5843323142312161E-3</v>
      </c>
      <c r="N423" s="6">
        <f t="shared" si="60"/>
        <v>2.5787681492506886E-3</v>
      </c>
      <c r="O423" s="6">
        <f t="shared" si="60"/>
        <v>2.5728514455493562E-3</v>
      </c>
      <c r="P423" s="6">
        <f t="shared" si="60"/>
        <v>2.5673052046117921E-3</v>
      </c>
      <c r="Q423" s="6">
        <f t="shared" si="60"/>
        <v>2.5617771344944133E-3</v>
      </c>
      <c r="R423" s="6">
        <f t="shared" si="60"/>
        <v>2.5376068006278474E-3</v>
      </c>
      <c r="S423" s="6">
        <f t="shared" si="60"/>
        <v>2.5133414928865672E-3</v>
      </c>
      <c r="T423" s="6">
        <f t="shared" si="60"/>
        <v>2.4887105252319286E-3</v>
      </c>
      <c r="U423" s="6">
        <f t="shared" si="60"/>
        <v>2.4644014152019871E-3</v>
      </c>
      <c r="V423" s="6">
        <f t="shared" si="60"/>
        <v>2.4400457419020984E-3</v>
      </c>
      <c r="W423" s="6">
        <f t="shared" si="60"/>
        <v>2.4461104407815979E-3</v>
      </c>
      <c r="X423" s="6">
        <f t="shared" si="60"/>
        <v>2.4307329720170108E-3</v>
      </c>
      <c r="Y423" s="6">
        <f t="shared" si="60"/>
        <v>2.4153594571768508E-3</v>
      </c>
      <c r="Z423" s="6">
        <f t="shared" si="60"/>
        <v>2.3999870387829197E-3</v>
      </c>
    </row>
    <row r="424" spans="1:53" outlineLevel="1" x14ac:dyDescent="0.35">
      <c r="A424" s="6" t="s">
        <v>759</v>
      </c>
      <c r="B424" s="6">
        <f>B119*$AC$385</f>
        <v>0</v>
      </c>
      <c r="C424" s="6">
        <f t="shared" si="60"/>
        <v>0</v>
      </c>
      <c r="D424" s="6">
        <f t="shared" si="60"/>
        <v>0</v>
      </c>
      <c r="E424" s="6">
        <f t="shared" si="60"/>
        <v>0</v>
      </c>
      <c r="F424" s="6">
        <f t="shared" si="60"/>
        <v>0</v>
      </c>
      <c r="G424" s="6">
        <f t="shared" si="60"/>
        <v>0</v>
      </c>
      <c r="H424" s="6">
        <f t="shared" si="60"/>
        <v>0</v>
      </c>
      <c r="I424" s="6">
        <f t="shared" si="60"/>
        <v>0</v>
      </c>
      <c r="J424" s="6">
        <f t="shared" si="60"/>
        <v>0</v>
      </c>
      <c r="K424" s="6">
        <f t="shared" si="60"/>
        <v>0</v>
      </c>
      <c r="L424" s="6">
        <f t="shared" si="60"/>
        <v>0</v>
      </c>
      <c r="M424" s="6">
        <f t="shared" si="60"/>
        <v>0</v>
      </c>
      <c r="N424" s="6">
        <f t="shared" si="60"/>
        <v>0</v>
      </c>
      <c r="O424" s="6">
        <f t="shared" si="60"/>
        <v>0</v>
      </c>
      <c r="P424" s="6">
        <f t="shared" si="60"/>
        <v>0</v>
      </c>
      <c r="Q424" s="6">
        <f t="shared" si="60"/>
        <v>0</v>
      </c>
      <c r="R424" s="6">
        <f t="shared" si="60"/>
        <v>0</v>
      </c>
      <c r="S424" s="6">
        <f t="shared" si="60"/>
        <v>0</v>
      </c>
      <c r="T424" s="6">
        <f t="shared" si="60"/>
        <v>0</v>
      </c>
      <c r="U424" s="6">
        <f t="shared" si="60"/>
        <v>0</v>
      </c>
      <c r="V424" s="6">
        <f t="shared" si="60"/>
        <v>0</v>
      </c>
      <c r="W424" s="6">
        <f t="shared" si="60"/>
        <v>0</v>
      </c>
      <c r="X424" s="6">
        <f t="shared" si="60"/>
        <v>0</v>
      </c>
      <c r="Y424" s="6">
        <f t="shared" si="60"/>
        <v>0</v>
      </c>
      <c r="Z424" s="6">
        <f t="shared" si="60"/>
        <v>0</v>
      </c>
    </row>
    <row r="425" spans="1:53" outlineLevel="1" x14ac:dyDescent="0.35">
      <c r="A425" s="6" t="s">
        <v>760</v>
      </c>
      <c r="B425" s="6">
        <f>$B$252*$AC$384*'Results - raw data ReCiPe (H)'!C128/(1-$AC$390)*(1+'Results ReCiPe (H) - HHD ship'!$AC$271/'Results ReCiPe (H) - HHD ship'!$AC$272-'Results ReCiPe (H) - HHD ship'!$AC$271)</f>
        <v>2.3287088111872252E-2</v>
      </c>
      <c r="C425" s="6">
        <f>$B$252*$AC$384*'Results - raw data ReCiPe (H)'!D128/(1-$AC$390)*(1+'Results ReCiPe (H) - HHD ship'!$AC$271/'Results ReCiPe (H) - HHD ship'!$AC$272-'Results ReCiPe (H) - HHD ship'!$AC$271)</f>
        <v>2.3155261909047299E-2</v>
      </c>
      <c r="D425" s="6">
        <f>$B$252*$AC$384*'Results - raw data ReCiPe (H)'!E128/(1-$AC$390)*(1+'Results ReCiPe (H) - HHD ship'!$AC$271/'Results ReCiPe (H) - HHD ship'!$AC$272-'Results ReCiPe (H) - HHD ship'!$AC$271)</f>
        <v>2.3022561684121871E-2</v>
      </c>
      <c r="E425" s="6">
        <f>$B$252*$AC$384*'Results - raw data ReCiPe (H)'!F128/(1-$AC$390)*(1+'Results ReCiPe (H) - HHD ship'!$AC$271/'Results ReCiPe (H) - HHD ship'!$AC$272-'Results ReCiPe (H) - HHD ship'!$AC$271)</f>
        <v>2.2850508548696778E-2</v>
      </c>
      <c r="F425" s="6">
        <f>$B$252*$AC$384*'Results - raw data ReCiPe (H)'!G128/(1-$AC$390)*(1+'Results ReCiPe (H) - HHD ship'!$AC$271/'Results ReCiPe (H) - HHD ship'!$AC$272-'Results ReCiPe (H) - HHD ship'!$AC$271)</f>
        <v>2.2711112085667364E-2</v>
      </c>
      <c r="G425" s="6">
        <f>$B$252*$AC$384*'Results - raw data ReCiPe (H)'!H128/(1-$AC$390)*(1+'Results ReCiPe (H) - HHD ship'!$AC$271/'Results ReCiPe (H) - HHD ship'!$AC$272-'Results ReCiPe (H) - HHD ship'!$AC$271)</f>
        <v>2.2569725708316092E-2</v>
      </c>
      <c r="H425" s="6">
        <f>$B$252*$AC$384*'Results - raw data ReCiPe (H)'!I128/(1-$AC$390)*(1+'Results ReCiPe (H) - HHD ship'!$AC$271/'Results ReCiPe (H) - HHD ship'!$AC$272-'Results ReCiPe (H) - HHD ship'!$AC$271)</f>
        <v>2.2511239056159222E-2</v>
      </c>
      <c r="I425" s="6">
        <f>$B$252*$AC$384*'Results - raw data ReCiPe (H)'!J128/(1-$AC$390)*(1+'Results ReCiPe (H) - HHD ship'!$AC$271/'Results ReCiPe (H) - HHD ship'!$AC$272-'Results ReCiPe (H) - HHD ship'!$AC$271)</f>
        <v>2.2457514182959971E-2</v>
      </c>
      <c r="J425" s="6">
        <f>$B$252*$AC$384*'Results - raw data ReCiPe (H)'!K128/(1-$AC$390)*(1+'Results ReCiPe (H) - HHD ship'!$AC$271/'Results ReCiPe (H) - HHD ship'!$AC$272-'Results ReCiPe (H) - HHD ship'!$AC$271)</f>
        <v>2.2390458299827595E-2</v>
      </c>
      <c r="K425" s="6">
        <f>$B$252*$AC$384*'Results - raw data ReCiPe (H)'!L128/(1-$AC$390)*(1+'Results ReCiPe (H) - HHD ship'!$AC$271/'Results ReCiPe (H) - HHD ship'!$AC$272-'Results ReCiPe (H) - HHD ship'!$AC$271)</f>
        <v>2.2343781410811381E-2</v>
      </c>
      <c r="L425" s="6">
        <f>$B$252*$AC$384*'Results - raw data ReCiPe (H)'!M128/(1-$AC$390)*(1+'Results ReCiPe (H) - HHD ship'!$AC$271/'Results ReCiPe (H) - HHD ship'!$AC$272-'Results ReCiPe (H) - HHD ship'!$AC$271)</f>
        <v>2.2300115776085223E-2</v>
      </c>
      <c r="M425" s="6">
        <f>$B$252*$AC$384*'Results - raw data ReCiPe (H)'!N128/(1-$AC$390)*(1+'Results ReCiPe (H) - HHD ship'!$AC$271/'Results ReCiPe (H) - HHD ship'!$AC$272-'Results ReCiPe (H) - HHD ship'!$AC$271)</f>
        <v>2.2274251263911606E-2</v>
      </c>
      <c r="N425" s="6">
        <f>$B$252*$AC$384*'Results - raw data ReCiPe (H)'!O128/(1-$AC$390)*(1+'Results ReCiPe (H) - HHD ship'!$AC$271/'Results ReCiPe (H) - HHD ship'!$AC$272-'Results ReCiPe (H) - HHD ship'!$AC$271)</f>
        <v>2.2251904187837252E-2</v>
      </c>
      <c r="O425" s="6">
        <f>$B$252*$AC$384*'Results - raw data ReCiPe (H)'!P128/(1-$AC$390)*(1+'Results ReCiPe (H) - HHD ship'!$AC$271/'Results ReCiPe (H) - HHD ship'!$AC$272-'Results ReCiPe (H) - HHD ship'!$AC$271)</f>
        <v>2.2227607869295677E-2</v>
      </c>
      <c r="P425" s="6">
        <f>$B$252*$AC$384*'Results - raw data ReCiPe (H)'!Q128/(1-$AC$390)*(1+'Results ReCiPe (H) - HHD ship'!$AC$271/'Results ReCiPe (H) - HHD ship'!$AC$272-'Results ReCiPe (H) - HHD ship'!$AC$271)</f>
        <v>2.2209561730615349E-2</v>
      </c>
      <c r="Q425" s="6">
        <f>$B$252*$AC$384*'Results - raw data ReCiPe (H)'!R128/(1-$AC$390)*(1+'Results ReCiPe (H) - HHD ship'!$AC$271/'Results ReCiPe (H) - HHD ship'!$AC$272-'Results ReCiPe (H) - HHD ship'!$AC$271)</f>
        <v>2.2192785967190775E-2</v>
      </c>
      <c r="R425" s="6">
        <f>$B$252*$AC$384*'Results - raw data ReCiPe (H)'!S128/(1-$AC$390)*(1+'Results ReCiPe (H) - HHD ship'!$AC$271/'Results ReCiPe (H) - HHD ship'!$AC$272-'Results ReCiPe (H) - HHD ship'!$AC$271)</f>
        <v>2.2185527477797853E-2</v>
      </c>
      <c r="S425" s="6">
        <f>$B$252*$AC$384*'Results - raw data ReCiPe (H)'!T128/(1-$AC$390)*(1+'Results ReCiPe (H) - HHD ship'!$AC$271/'Results ReCiPe (H) - HHD ship'!$AC$272-'Results ReCiPe (H) - HHD ship'!$AC$271)</f>
        <v>2.2178486437026447E-2</v>
      </c>
      <c r="T425" s="6">
        <f>$B$252*$AC$384*'Results - raw data ReCiPe (H)'!U128/(1-$AC$390)*(1+'Results ReCiPe (H) - HHD ship'!$AC$271/'Results ReCiPe (H) - HHD ship'!$AC$272-'Results ReCiPe (H) - HHD ship'!$AC$271)</f>
        <v>2.2167410309395539E-2</v>
      </c>
      <c r="U425" s="6">
        <f>$B$252*$AC$384*'Results - raw data ReCiPe (H)'!V128/(1-$AC$390)*(1+'Results ReCiPe (H) - HHD ship'!$AC$271/'Results ReCiPe (H) - HHD ship'!$AC$272-'Results ReCiPe (H) - HHD ship'!$AC$271)</f>
        <v>2.2160494210171626E-2</v>
      </c>
      <c r="V425" s="6">
        <f>$B$252*$AC$384*'Results - raw data ReCiPe (H)'!W128/(1-$AC$390)*(1+'Results ReCiPe (H) - HHD ship'!$AC$271/'Results ReCiPe (H) - HHD ship'!$AC$272-'Results ReCiPe (H) - HHD ship'!$AC$271)</f>
        <v>2.2151742786651041E-2</v>
      </c>
      <c r="W425" s="6">
        <f>$B$252*$AC$384*'Results - raw data ReCiPe (H)'!X128/(1-$AC$390)*(1+'Results ReCiPe (H) - HHD ship'!$AC$271/'Results ReCiPe (H) - HHD ship'!$AC$272-'Results ReCiPe (H) - HHD ship'!$AC$271)</f>
        <v>2.2290503926919003E-2</v>
      </c>
      <c r="X425" s="6">
        <f>$B$252*$AC$384*'Results - raw data ReCiPe (H)'!Y128/(1-$AC$390)*(1+'Results ReCiPe (H) - HHD ship'!$AC$271/'Results ReCiPe (H) - HHD ship'!$AC$272-'Results ReCiPe (H) - HHD ship'!$AC$271)</f>
        <v>2.2294093728597822E-2</v>
      </c>
      <c r="Y425" s="6">
        <f>$B$252*$AC$384*'Results - raw data ReCiPe (H)'!Z128/(1-$AC$390)*(1+'Results ReCiPe (H) - HHD ship'!$AC$271/'Results ReCiPe (H) - HHD ship'!$AC$272-'Results ReCiPe (H) - HHD ship'!$AC$271)</f>
        <v>2.2297679457918593E-2</v>
      </c>
      <c r="Z425" s="6">
        <f>$B$252*$AC$384*'Results - raw data ReCiPe (H)'!AA128/(1-$AC$390)*(1+'Results ReCiPe (H) - HHD ship'!$AC$271/'Results ReCiPe (H) - HHD ship'!$AC$272-'Results ReCiPe (H) - HHD ship'!$AC$271)</f>
        <v>2.2301262438572052E-2</v>
      </c>
    </row>
    <row r="426" spans="1:53" outlineLevel="1" x14ac:dyDescent="0.35">
      <c r="A426" s="6" t="s">
        <v>797</v>
      </c>
      <c r="B426" s="6">
        <f>$B$380*$AC$384</f>
        <v>3.4093916043373432E-2</v>
      </c>
      <c r="C426" s="6">
        <f t="shared" ref="C426:Z426" si="61">$B$380*$AC$384</f>
        <v>3.4093916043373432E-2</v>
      </c>
      <c r="D426" s="6">
        <f t="shared" si="61"/>
        <v>3.4093916043373432E-2</v>
      </c>
      <c r="E426" s="6">
        <f t="shared" si="61"/>
        <v>3.4093916043373432E-2</v>
      </c>
      <c r="F426" s="6">
        <f t="shared" si="61"/>
        <v>3.4093916043373432E-2</v>
      </c>
      <c r="G426" s="6">
        <f t="shared" si="61"/>
        <v>3.4093916043373432E-2</v>
      </c>
      <c r="H426" s="6">
        <f t="shared" si="61"/>
        <v>3.4093916043373432E-2</v>
      </c>
      <c r="I426" s="6">
        <f t="shared" si="61"/>
        <v>3.4093916043373432E-2</v>
      </c>
      <c r="J426" s="6">
        <f t="shared" si="61"/>
        <v>3.4093916043373432E-2</v>
      </c>
      <c r="K426" s="6">
        <f t="shared" si="61"/>
        <v>3.4093916043373432E-2</v>
      </c>
      <c r="L426" s="6">
        <f t="shared" si="61"/>
        <v>3.4093916043373432E-2</v>
      </c>
      <c r="M426" s="6">
        <f t="shared" si="61"/>
        <v>3.4093916043373432E-2</v>
      </c>
      <c r="N426" s="6">
        <f t="shared" si="61"/>
        <v>3.4093916043373432E-2</v>
      </c>
      <c r="O426" s="6">
        <f t="shared" si="61"/>
        <v>3.4093916043373432E-2</v>
      </c>
      <c r="P426" s="6">
        <f t="shared" si="61"/>
        <v>3.4093916043373432E-2</v>
      </c>
      <c r="Q426" s="6">
        <f t="shared" si="61"/>
        <v>3.4093916043373432E-2</v>
      </c>
      <c r="R426" s="6">
        <f t="shared" si="61"/>
        <v>3.4093916043373432E-2</v>
      </c>
      <c r="S426" s="6">
        <f t="shared" si="61"/>
        <v>3.4093916043373432E-2</v>
      </c>
      <c r="T426" s="6">
        <f t="shared" si="61"/>
        <v>3.4093916043373432E-2</v>
      </c>
      <c r="U426" s="6">
        <f t="shared" si="61"/>
        <v>3.4093916043373432E-2</v>
      </c>
      <c r="V426" s="6">
        <f t="shared" si="61"/>
        <v>3.4093916043373432E-2</v>
      </c>
      <c r="W426" s="6">
        <f t="shared" si="61"/>
        <v>3.4093916043373432E-2</v>
      </c>
      <c r="X426" s="6">
        <f t="shared" si="61"/>
        <v>3.4093916043373432E-2</v>
      </c>
      <c r="Y426" s="6">
        <f t="shared" si="61"/>
        <v>3.4093916043373432E-2</v>
      </c>
      <c r="Z426" s="6">
        <f t="shared" si="61"/>
        <v>3.4093916043373432E-2</v>
      </c>
    </row>
    <row r="427" spans="1:53" outlineLevel="1" x14ac:dyDescent="0.35">
      <c r="A427" s="23" t="s">
        <v>125</v>
      </c>
      <c r="B427" s="17">
        <f>SUM(B395:B425)</f>
        <v>0.17071549661632934</v>
      </c>
      <c r="C427" s="17">
        <f t="shared" ref="C427:Z427" si="62">SUM(C395:C425)</f>
        <v>2.8205005123064605E-2</v>
      </c>
      <c r="D427" s="17">
        <f t="shared" si="62"/>
        <v>2.7931125584572253E-2</v>
      </c>
      <c r="E427" s="17">
        <f t="shared" si="62"/>
        <v>2.7607799437879443E-2</v>
      </c>
      <c r="F427" s="17">
        <f t="shared" si="62"/>
        <v>2.7326239766964598E-2</v>
      </c>
      <c r="G427" s="17">
        <f t="shared" si="62"/>
        <v>2.7042228696640178E-2</v>
      </c>
      <c r="H427" s="17">
        <f t="shared" si="62"/>
        <v>2.6969001591773185E-2</v>
      </c>
      <c r="I427" s="17">
        <f t="shared" si="62"/>
        <v>2.6900444558609612E-2</v>
      </c>
      <c r="J427" s="17">
        <f t="shared" si="62"/>
        <v>2.6813322251356894E-2</v>
      </c>
      <c r="K427" s="17">
        <f t="shared" si="62"/>
        <v>2.6751560856999632E-2</v>
      </c>
      <c r="L427" s="17">
        <f t="shared" si="62"/>
        <v>2.6692657818151576E-2</v>
      </c>
      <c r="M427" s="17">
        <f t="shared" si="62"/>
        <v>2.6659707288060996E-2</v>
      </c>
      <c r="N427" s="17">
        <f t="shared" si="62"/>
        <v>2.6630400341961402E-2</v>
      </c>
      <c r="O427" s="17">
        <f t="shared" si="62"/>
        <v>2.6597810305994368E-2</v>
      </c>
      <c r="P427" s="17">
        <f t="shared" si="62"/>
        <v>2.6572874155710993E-2</v>
      </c>
      <c r="Q427" s="17">
        <f t="shared" si="62"/>
        <v>2.6549230720981316E-2</v>
      </c>
      <c r="R427" s="17">
        <f t="shared" si="62"/>
        <v>2.6515300406299409E-2</v>
      </c>
      <c r="S427" s="17">
        <f t="shared" si="62"/>
        <v>2.6481512618469746E-2</v>
      </c>
      <c r="T427" s="17">
        <f t="shared" si="62"/>
        <v>2.644243256583861E-2</v>
      </c>
      <c r="U427" s="17">
        <f t="shared" si="62"/>
        <v>2.6408790425642148E-2</v>
      </c>
      <c r="V427" s="17">
        <f t="shared" si="62"/>
        <v>2.637327435610325E-2</v>
      </c>
      <c r="W427" s="17">
        <f t="shared" si="62"/>
        <v>2.6527431413571837E-2</v>
      </c>
      <c r="X427" s="17">
        <f t="shared" si="62"/>
        <v>2.6514330274958843E-2</v>
      </c>
      <c r="Y427" s="17">
        <f t="shared" si="62"/>
        <v>2.6501234275002644E-2</v>
      </c>
      <c r="Z427" s="17">
        <f t="shared" si="62"/>
        <v>2.7641611855150704E-2</v>
      </c>
    </row>
    <row r="428" spans="1:53" s="26" customFormat="1" outlineLevel="1" x14ac:dyDescent="0.35"/>
    <row r="429" spans="1:53" s="236" customFormat="1" ht="21" x14ac:dyDescent="0.5">
      <c r="A429" s="236" t="s">
        <v>136</v>
      </c>
    </row>
    <row r="432" spans="1:53" x14ac:dyDescent="0.35">
      <c r="A432" s="331" t="s">
        <v>131</v>
      </c>
      <c r="B432" s="331"/>
      <c r="C432" s="331"/>
      <c r="D432" s="331"/>
      <c r="E432" s="331"/>
      <c r="F432" s="331"/>
      <c r="G432" s="331"/>
      <c r="H432" s="331"/>
      <c r="I432" s="331"/>
      <c r="J432" s="331"/>
      <c r="K432" s="331"/>
    </row>
    <row r="433" spans="1:11" x14ac:dyDescent="0.35">
      <c r="A433" s="6" t="s">
        <v>132</v>
      </c>
    </row>
    <row r="434" spans="1:11" x14ac:dyDescent="0.35">
      <c r="B434" s="6" t="s">
        <v>889</v>
      </c>
      <c r="C434" s="6" t="s">
        <v>891</v>
      </c>
      <c r="D434" s="6" t="s">
        <v>890</v>
      </c>
      <c r="E434" s="6" t="s">
        <v>892</v>
      </c>
      <c r="F434" s="6" t="s">
        <v>893</v>
      </c>
      <c r="G434" s="6" t="s">
        <v>894</v>
      </c>
      <c r="H434" s="6" t="s">
        <v>896</v>
      </c>
      <c r="I434" s="6" t="s">
        <v>897</v>
      </c>
      <c r="J434" s="6" t="s">
        <v>895</v>
      </c>
    </row>
    <row r="435" spans="1:11" x14ac:dyDescent="0.35">
      <c r="A435" s="6" t="s">
        <v>117</v>
      </c>
      <c r="B435" s="6">
        <f>SUM(AC10:BA10)</f>
        <v>0.16713320096113157</v>
      </c>
      <c r="C435" s="6">
        <f>SUM(AC50:BA50)</f>
        <v>0.16006814629521346</v>
      </c>
      <c r="D435" s="6">
        <f>SUM(AC90:BA90)</f>
        <v>0.14486428170139623</v>
      </c>
      <c r="E435" s="6">
        <f>SUM(AC132:BA132)</f>
        <v>0.16713320096113157</v>
      </c>
      <c r="F435" s="6">
        <f>SUM(AC173:BA173)</f>
        <v>0.16006814629521346</v>
      </c>
      <c r="G435" s="6">
        <f>SUM(AC214:BA214)</f>
        <v>0.14486428170139623</v>
      </c>
      <c r="H435" s="6">
        <f>SUM(AC274:BA274)</f>
        <v>0.1597952541352278</v>
      </c>
      <c r="I435" s="6">
        <f>SUM(AC334:BA334)</f>
        <v>0.15280359411988906</v>
      </c>
      <c r="J435" s="6">
        <f>SUM(AC395:BA395)</f>
        <v>0.13774913518918389</v>
      </c>
    </row>
    <row r="436" spans="1:11" x14ac:dyDescent="0.35">
      <c r="A436" s="6" t="s">
        <v>118</v>
      </c>
      <c r="B436" s="6">
        <f>SUM(AC11:BA11)</f>
        <v>1.0010028574258376E-2</v>
      </c>
      <c r="C436" s="6">
        <f>SUM(AC51:BA51)</f>
        <v>9.5063834765982819E-3</v>
      </c>
      <c r="D436" s="6">
        <f>SUM(AC91:BA91)</f>
        <v>8.977436741851275E-3</v>
      </c>
      <c r="E436" s="6">
        <f>SUM(AC133:BA133)</f>
        <v>1.0010028574258376E-2</v>
      </c>
      <c r="F436" s="6">
        <f>SUM(AC174:BA174)</f>
        <v>9.5063834765982819E-3</v>
      </c>
      <c r="G436" s="6">
        <f>SUM(AC215:BA215)</f>
        <v>8.977436741851275E-3</v>
      </c>
      <c r="H436" s="6">
        <f t="shared" ref="H436:H444" si="63">SUM(AC275:BA275)</f>
        <v>5.005014287129188E-3</v>
      </c>
      <c r="I436" s="6">
        <f t="shared" ref="I436:I444" si="64">SUM(AC335:BA335)</f>
        <v>4.7531917382991409E-3</v>
      </c>
      <c r="J436" s="6">
        <f t="shared" ref="J436:J444" si="65">SUM(AC396:BA396)</f>
        <v>4.4887183709256375E-3</v>
      </c>
    </row>
    <row r="437" spans="1:11" x14ac:dyDescent="0.35">
      <c r="A437" s="6" t="s">
        <v>119</v>
      </c>
      <c r="B437" s="6">
        <f>SUM(AC12:BA12)</f>
        <v>1.3460715242108881E-3</v>
      </c>
      <c r="C437" s="6">
        <f>SUM(AC52:BA52)</f>
        <v>1.2038817746522666E-3</v>
      </c>
      <c r="D437" s="6">
        <f>SUM(AC92:BA92)</f>
        <v>1.1364491829356034E-3</v>
      </c>
      <c r="E437" s="6">
        <f>SUM(AC134:BA134)</f>
        <v>1.3460715242108881E-3</v>
      </c>
      <c r="F437" s="6">
        <f>SUM(AC175:BA175)</f>
        <v>1.2038817746522666E-3</v>
      </c>
      <c r="G437" s="6">
        <f>SUM(AC216:BA216)</f>
        <v>1.1364491829356034E-3</v>
      </c>
      <c r="H437" s="6">
        <f t="shared" si="63"/>
        <v>1.3460715242108881E-3</v>
      </c>
      <c r="I437" s="6">
        <f t="shared" si="64"/>
        <v>1.2038817746522666E-3</v>
      </c>
      <c r="J437" s="6">
        <f t="shared" si="65"/>
        <v>1.1364491829356034E-3</v>
      </c>
    </row>
    <row r="438" spans="1:11" x14ac:dyDescent="0.35">
      <c r="A438" s="6" t="s">
        <v>120</v>
      </c>
      <c r="B438" s="6">
        <f>SUM(AC13:BA13)</f>
        <v>3.7268740247547826E-5</v>
      </c>
      <c r="C438" s="6">
        <f>SUM(AC53:BA53)</f>
        <v>3.5227143847144076E-5</v>
      </c>
      <c r="D438" s="6">
        <f>SUM(AC93:BA93)</f>
        <v>3.4041847576099076E-5</v>
      </c>
      <c r="E438" s="6">
        <f>SUM(AC135:BA135)</f>
        <v>3.7268740247547826E-5</v>
      </c>
      <c r="F438" s="6">
        <f>SUM(AC176:BA176)</f>
        <v>3.5227143847144076E-5</v>
      </c>
      <c r="G438" s="6">
        <f>SUM(AC217:BA217)</f>
        <v>3.4041847576099076E-5</v>
      </c>
      <c r="H438" s="6">
        <f t="shared" si="63"/>
        <v>1.8634370123773913E-5</v>
      </c>
      <c r="I438" s="6">
        <f t="shared" si="64"/>
        <v>1.7613571923572038E-5</v>
      </c>
      <c r="J438" s="6">
        <f t="shared" si="65"/>
        <v>1.7020923788049538E-5</v>
      </c>
    </row>
    <row r="439" spans="1:11" x14ac:dyDescent="0.35">
      <c r="A439" s="6" t="s">
        <v>121</v>
      </c>
      <c r="B439" s="6">
        <f>SUM(AC14:BA14)</f>
        <v>2.0998042317090532E-2</v>
      </c>
      <c r="C439" s="6">
        <f>SUM(AC54:BA54)</f>
        <v>1.824106577208047E-2</v>
      </c>
      <c r="D439" s="6">
        <f>SUM(AC94:BA94)</f>
        <v>1.6464279424867195E-2</v>
      </c>
      <c r="E439" s="6">
        <f>SUM(AC136:BA136)</f>
        <v>2.0998042317090532E-2</v>
      </c>
      <c r="F439" s="6">
        <f>SUM(AC177:BA177)</f>
        <v>1.824106577208047E-2</v>
      </c>
      <c r="G439" s="6">
        <f>SUM(AC218:BA218)</f>
        <v>1.6464279424867195E-2</v>
      </c>
      <c r="H439" s="6">
        <f t="shared" si="63"/>
        <v>2.0998042317090532E-2</v>
      </c>
      <c r="I439" s="6">
        <f t="shared" si="64"/>
        <v>1.824106577208047E-2</v>
      </c>
      <c r="J439" s="6">
        <f t="shared" si="65"/>
        <v>1.6464279424867195E-2</v>
      </c>
    </row>
    <row r="440" spans="1:11" x14ac:dyDescent="0.35">
      <c r="A440" s="6" t="s">
        <v>800</v>
      </c>
      <c r="H440" s="6">
        <f t="shared" si="63"/>
        <v>0.94017210869607748</v>
      </c>
      <c r="I440" s="6">
        <f t="shared" si="64"/>
        <v>0.91746925776858279</v>
      </c>
      <c r="J440" s="6">
        <f t="shared" si="65"/>
        <v>0.85234790108433556</v>
      </c>
    </row>
    <row r="441" spans="1:11" x14ac:dyDescent="0.35">
      <c r="A441" s="6" t="s">
        <v>122</v>
      </c>
      <c r="B441" s="6">
        <f>SUM(AC15:BA15)</f>
        <v>2.7161537830940472</v>
      </c>
      <c r="C441" s="6">
        <f>SUM(AC55:BA55)</f>
        <v>0.77650372993364369</v>
      </c>
      <c r="D441" s="6">
        <f>SUM(AC95:BA95)</f>
        <v>0.4248402666537992</v>
      </c>
      <c r="E441" s="6">
        <f>SUM(AC137:BA137)</f>
        <v>2.1672365447186341</v>
      </c>
      <c r="F441" s="6">
        <f>SUM(AC178:BA178)</f>
        <v>0.67827812339193838</v>
      </c>
      <c r="G441" s="6">
        <f>SUM(AC219:BA219)</f>
        <v>0.40525756616347069</v>
      </c>
      <c r="H441" s="6">
        <f t="shared" si="63"/>
        <v>0.63036575795860372</v>
      </c>
      <c r="I441" s="6">
        <f t="shared" si="64"/>
        <v>0.58436499357235405</v>
      </c>
      <c r="J441" s="6">
        <f t="shared" si="65"/>
        <v>0.56078267856546571</v>
      </c>
    </row>
    <row r="442" spans="1:11" x14ac:dyDescent="0.35">
      <c r="A442" s="6" t="s">
        <v>123</v>
      </c>
      <c r="B442" s="6">
        <f>SUM(AC16:BA16)</f>
        <v>0.30480416631837048</v>
      </c>
      <c r="C442" s="6">
        <f>SUM(AC56:BA56)</f>
        <v>0.15839928113861126</v>
      </c>
      <c r="D442" s="6">
        <f>SUM(AC96:BA96)</f>
        <v>0.13121612425677948</v>
      </c>
      <c r="E442" s="6">
        <f>SUM(AC138:BA138)</f>
        <v>0.30480416631837048</v>
      </c>
      <c r="F442" s="6">
        <f>SUM(AC179:BA179)</f>
        <v>0.15839928113861126</v>
      </c>
      <c r="G442" s="6">
        <f>SUM(AC220:BA220)</f>
        <v>0.13121612425677948</v>
      </c>
      <c r="H442" s="6">
        <f t="shared" si="63"/>
        <v>0.15240208315918524</v>
      </c>
      <c r="I442" s="6">
        <f t="shared" si="64"/>
        <v>7.9199640569305632E-2</v>
      </c>
      <c r="J442" s="6">
        <f t="shared" si="65"/>
        <v>6.5608062128389738E-2</v>
      </c>
    </row>
    <row r="443" spans="1:11" x14ac:dyDescent="0.35">
      <c r="A443" s="6" t="s">
        <v>124</v>
      </c>
      <c r="B443" s="6">
        <f>SUM(AC17:BA17)</f>
        <v>-2.3199999999999998</v>
      </c>
      <c r="C443" s="6">
        <f>SUM(AC57:BA57)</f>
        <v>-2.3199999999999998</v>
      </c>
      <c r="D443" s="6">
        <f>SUM(AC97:BA97)</f>
        <v>-2.3199999999999998</v>
      </c>
      <c r="E443" s="6">
        <f>SUM(AC139:BA139)</f>
        <v>-2.3199999999999998</v>
      </c>
      <c r="F443" s="6">
        <f>SUM(AC180:BA180)</f>
        <v>-2.3199999999999998</v>
      </c>
      <c r="G443" s="6">
        <f>SUM(AC221:BA221)</f>
        <v>-2.3199999999999998</v>
      </c>
      <c r="H443" s="6">
        <f t="shared" si="63"/>
        <v>-1.1599999999999999</v>
      </c>
      <c r="I443" s="6">
        <f t="shared" si="64"/>
        <v>-1.1599999999999999</v>
      </c>
      <c r="J443" s="6">
        <f t="shared" si="65"/>
        <v>-1.1599999999999999</v>
      </c>
    </row>
    <row r="444" spans="1:11" x14ac:dyDescent="0.35">
      <c r="A444" s="6" t="s">
        <v>137</v>
      </c>
      <c r="B444" s="6">
        <f>SUM(AC18:BA18)</f>
        <v>0.90048256152935702</v>
      </c>
      <c r="C444" s="6">
        <f>SUM(AC58:BA58)</f>
        <v>-1.1960422844653535</v>
      </c>
      <c r="D444" s="6">
        <f>SUM(AC98:BA98)</f>
        <v>-1.5924671201907945</v>
      </c>
      <c r="E444" s="6">
        <f>SUM(AC140:BA140)</f>
        <v>0.35156532315394406</v>
      </c>
      <c r="F444" s="6">
        <f>SUM(AC181:BA181)</f>
        <v>-1.2942678910070586</v>
      </c>
      <c r="G444" s="6">
        <f>SUM(AC222:BA222)</f>
        <v>-1.6120498206811236</v>
      </c>
      <c r="H444" s="6">
        <f t="shared" si="63"/>
        <v>0.75010296644764884</v>
      </c>
      <c r="I444" s="6">
        <f t="shared" si="64"/>
        <v>0.59805323888708706</v>
      </c>
      <c r="J444" s="6">
        <f t="shared" si="65"/>
        <v>0.47859424486989172</v>
      </c>
    </row>
    <row r="446" spans="1:11" x14ac:dyDescent="0.35">
      <c r="A446" s="331" t="s">
        <v>133</v>
      </c>
      <c r="B446" s="331"/>
      <c r="C446" s="331"/>
      <c r="D446" s="331"/>
      <c r="E446" s="331"/>
      <c r="F446" s="331"/>
      <c r="G446" s="331"/>
      <c r="H446" s="331"/>
      <c r="I446" s="331"/>
      <c r="J446" s="331"/>
      <c r="K446" s="331"/>
    </row>
    <row r="447" spans="1:11" x14ac:dyDescent="0.35">
      <c r="A447" s="6" t="s">
        <v>134</v>
      </c>
    </row>
    <row r="448" spans="1:11" x14ac:dyDescent="0.35">
      <c r="B448" s="6" t="s">
        <v>889</v>
      </c>
      <c r="C448" s="6" t="s">
        <v>891</v>
      </c>
      <c r="D448" s="6" t="s">
        <v>890</v>
      </c>
      <c r="E448" s="6" t="s">
        <v>892</v>
      </c>
      <c r="F448" s="6" t="s">
        <v>893</v>
      </c>
      <c r="G448" s="6" t="s">
        <v>894</v>
      </c>
      <c r="H448" s="6" t="s">
        <v>896</v>
      </c>
      <c r="I448" s="6" t="s">
        <v>897</v>
      </c>
      <c r="J448" s="6" t="s">
        <v>895</v>
      </c>
    </row>
    <row r="449" spans="1:11" x14ac:dyDescent="0.35">
      <c r="A449" s="6" t="s">
        <v>117</v>
      </c>
      <c r="B449" s="6">
        <f>B435/25</f>
        <v>6.6853280384452625E-3</v>
      </c>
      <c r="C449" s="6">
        <f t="shared" ref="C449:J449" si="66">C435/25</f>
        <v>6.4027258518085384E-3</v>
      </c>
      <c r="D449" s="6">
        <f t="shared" si="66"/>
        <v>5.7945712680558493E-3</v>
      </c>
      <c r="E449" s="6">
        <f t="shared" si="66"/>
        <v>6.6853280384452625E-3</v>
      </c>
      <c r="F449" s="6">
        <f t="shared" si="66"/>
        <v>6.4027258518085384E-3</v>
      </c>
      <c r="G449" s="6">
        <f t="shared" si="66"/>
        <v>5.7945712680558493E-3</v>
      </c>
      <c r="H449" s="6">
        <f t="shared" si="66"/>
        <v>6.3918101654091121E-3</v>
      </c>
      <c r="I449" s="6">
        <f t="shared" si="66"/>
        <v>6.1121437647955624E-3</v>
      </c>
      <c r="J449" s="6">
        <f t="shared" si="66"/>
        <v>5.5099654075673552E-3</v>
      </c>
    </row>
    <row r="450" spans="1:11" x14ac:dyDescent="0.35">
      <c r="A450" s="6" t="s">
        <v>118</v>
      </c>
      <c r="B450" s="6">
        <f t="shared" ref="B450:J458" si="67">B436/25</f>
        <v>4.0040114297033505E-4</v>
      </c>
      <c r="C450" s="6">
        <f t="shared" si="67"/>
        <v>3.8025533906393125E-4</v>
      </c>
      <c r="D450" s="6">
        <f t="shared" si="67"/>
        <v>3.5909746967405102E-4</v>
      </c>
      <c r="E450" s="6">
        <f t="shared" si="67"/>
        <v>4.0040114297033505E-4</v>
      </c>
      <c r="F450" s="6">
        <f t="shared" si="67"/>
        <v>3.8025533906393125E-4</v>
      </c>
      <c r="G450" s="6">
        <f t="shared" si="67"/>
        <v>3.5909746967405102E-4</v>
      </c>
      <c r="H450" s="6">
        <f t="shared" si="67"/>
        <v>2.0020057148516753E-4</v>
      </c>
      <c r="I450" s="6">
        <f t="shared" si="67"/>
        <v>1.9012766953196563E-4</v>
      </c>
      <c r="J450" s="6">
        <f t="shared" si="67"/>
        <v>1.7954873483702551E-4</v>
      </c>
    </row>
    <row r="451" spans="1:11" x14ac:dyDescent="0.35">
      <c r="A451" s="6" t="s">
        <v>119</v>
      </c>
      <c r="B451" s="6">
        <f t="shared" si="67"/>
        <v>5.3842860968435526E-5</v>
      </c>
      <c r="C451" s="6">
        <f t="shared" si="67"/>
        <v>4.8155270986090666E-5</v>
      </c>
      <c r="D451" s="6">
        <f t="shared" si="67"/>
        <v>4.5457967317424134E-5</v>
      </c>
      <c r="E451" s="6">
        <f t="shared" si="67"/>
        <v>5.3842860968435526E-5</v>
      </c>
      <c r="F451" s="6">
        <f t="shared" si="67"/>
        <v>4.8155270986090666E-5</v>
      </c>
      <c r="G451" s="6">
        <f t="shared" si="67"/>
        <v>4.5457967317424134E-5</v>
      </c>
      <c r="H451" s="6">
        <f t="shared" si="67"/>
        <v>5.3842860968435526E-5</v>
      </c>
      <c r="I451" s="6">
        <f t="shared" si="67"/>
        <v>4.8155270986090666E-5</v>
      </c>
      <c r="J451" s="6">
        <f t="shared" si="67"/>
        <v>4.5457967317424134E-5</v>
      </c>
    </row>
    <row r="452" spans="1:11" x14ac:dyDescent="0.35">
      <c r="A452" s="6" t="s">
        <v>120</v>
      </c>
      <c r="B452" s="6">
        <f t="shared" si="67"/>
        <v>1.4907496099019131E-6</v>
      </c>
      <c r="C452" s="6">
        <f t="shared" si="67"/>
        <v>1.409085753885763E-6</v>
      </c>
      <c r="D452" s="6">
        <f t="shared" si="67"/>
        <v>1.361673903043963E-6</v>
      </c>
      <c r="E452" s="6">
        <f t="shared" si="67"/>
        <v>1.4907496099019131E-6</v>
      </c>
      <c r="F452" s="6">
        <f t="shared" si="67"/>
        <v>1.409085753885763E-6</v>
      </c>
      <c r="G452" s="6">
        <f t="shared" si="67"/>
        <v>1.361673903043963E-6</v>
      </c>
      <c r="H452" s="6">
        <f t="shared" si="67"/>
        <v>7.4537480495095655E-7</v>
      </c>
      <c r="I452" s="6">
        <f t="shared" si="67"/>
        <v>7.0454287694288149E-7</v>
      </c>
      <c r="J452" s="6">
        <f t="shared" si="67"/>
        <v>6.8083695152198152E-7</v>
      </c>
    </row>
    <row r="453" spans="1:11" x14ac:dyDescent="0.35">
      <c r="A453" s="6" t="s">
        <v>121</v>
      </c>
      <c r="B453" s="6">
        <f t="shared" si="67"/>
        <v>8.3992169268362127E-4</v>
      </c>
      <c r="C453" s="6">
        <f t="shared" si="67"/>
        <v>7.2964263088321879E-4</v>
      </c>
      <c r="D453" s="6">
        <f t="shared" si="67"/>
        <v>6.5857117699468783E-4</v>
      </c>
      <c r="E453" s="6">
        <f t="shared" si="67"/>
        <v>8.3992169268362127E-4</v>
      </c>
      <c r="F453" s="6">
        <f t="shared" si="67"/>
        <v>7.2964263088321879E-4</v>
      </c>
      <c r="G453" s="6">
        <f t="shared" si="67"/>
        <v>6.5857117699468783E-4</v>
      </c>
      <c r="H453" s="6">
        <f t="shared" si="67"/>
        <v>8.3992169268362127E-4</v>
      </c>
      <c r="I453" s="6">
        <f t="shared" si="67"/>
        <v>7.2964263088321879E-4</v>
      </c>
      <c r="J453" s="6">
        <f t="shared" si="67"/>
        <v>6.5857117699468783E-4</v>
      </c>
    </row>
    <row r="454" spans="1:11" x14ac:dyDescent="0.35">
      <c r="A454" s="6" t="s">
        <v>800</v>
      </c>
      <c r="B454" s="6">
        <f t="shared" si="67"/>
        <v>0</v>
      </c>
      <c r="C454" s="6">
        <f t="shared" si="67"/>
        <v>0</v>
      </c>
      <c r="D454" s="6">
        <f t="shared" si="67"/>
        <v>0</v>
      </c>
      <c r="E454" s="6">
        <f t="shared" si="67"/>
        <v>0</v>
      </c>
      <c r="F454" s="6">
        <f t="shared" si="67"/>
        <v>0</v>
      </c>
      <c r="G454" s="6">
        <f t="shared" si="67"/>
        <v>0</v>
      </c>
      <c r="H454" s="6">
        <f t="shared" si="67"/>
        <v>3.7606884347843102E-2</v>
      </c>
      <c r="I454" s="6">
        <f t="shared" si="67"/>
        <v>3.6698770310743312E-2</v>
      </c>
      <c r="J454" s="6">
        <f t="shared" si="67"/>
        <v>3.4093916043373425E-2</v>
      </c>
    </row>
    <row r="455" spans="1:11" x14ac:dyDescent="0.35">
      <c r="A455" s="6" t="s">
        <v>122</v>
      </c>
      <c r="B455" s="6">
        <f t="shared" si="67"/>
        <v>0.10864615132376189</v>
      </c>
      <c r="C455" s="6">
        <f t="shared" si="67"/>
        <v>3.1060149197345746E-2</v>
      </c>
      <c r="D455" s="6">
        <f t="shared" si="67"/>
        <v>1.699361066615197E-2</v>
      </c>
      <c r="E455" s="6">
        <f t="shared" si="67"/>
        <v>8.668946178874537E-2</v>
      </c>
      <c r="F455" s="6">
        <f t="shared" si="67"/>
        <v>2.7131124935677535E-2</v>
      </c>
      <c r="G455" s="6">
        <f t="shared" si="67"/>
        <v>1.6210302646538829E-2</v>
      </c>
      <c r="H455" s="6">
        <f t="shared" si="67"/>
        <v>2.5214630318344148E-2</v>
      </c>
      <c r="I455" s="6">
        <f t="shared" si="67"/>
        <v>2.3374599742894162E-2</v>
      </c>
      <c r="J455" s="6">
        <f t="shared" si="67"/>
        <v>2.243130714261863E-2</v>
      </c>
    </row>
    <row r="456" spans="1:11" x14ac:dyDescent="0.35">
      <c r="A456" s="6" t="s">
        <v>123</v>
      </c>
      <c r="B456" s="6">
        <f t="shared" si="67"/>
        <v>1.219216665273482E-2</v>
      </c>
      <c r="C456" s="6">
        <f t="shared" si="67"/>
        <v>6.3359712455444504E-3</v>
      </c>
      <c r="D456" s="6">
        <f t="shared" si="67"/>
        <v>5.2486449702711787E-3</v>
      </c>
      <c r="E456" s="6">
        <f t="shared" si="67"/>
        <v>1.219216665273482E-2</v>
      </c>
      <c r="F456" s="6">
        <f t="shared" si="67"/>
        <v>6.3359712455444504E-3</v>
      </c>
      <c r="G456" s="6">
        <f t="shared" si="67"/>
        <v>5.2486449702711787E-3</v>
      </c>
      <c r="H456" s="6">
        <f t="shared" si="67"/>
        <v>6.0960833263674101E-3</v>
      </c>
      <c r="I456" s="6">
        <f t="shared" si="67"/>
        <v>3.1679856227722252E-3</v>
      </c>
      <c r="J456" s="6">
        <f t="shared" si="67"/>
        <v>2.6243224851355894E-3</v>
      </c>
    </row>
    <row r="457" spans="1:11" x14ac:dyDescent="0.35">
      <c r="A457" s="6" t="s">
        <v>124</v>
      </c>
      <c r="B457" s="6">
        <f t="shared" si="67"/>
        <v>-9.2799999999999994E-2</v>
      </c>
      <c r="C457" s="6">
        <f t="shared" si="67"/>
        <v>-9.2799999999999994E-2</v>
      </c>
      <c r="D457" s="6">
        <f t="shared" si="67"/>
        <v>-9.2799999999999994E-2</v>
      </c>
      <c r="E457" s="6">
        <f t="shared" si="67"/>
        <v>-9.2799999999999994E-2</v>
      </c>
      <c r="F457" s="6">
        <f t="shared" si="67"/>
        <v>-9.2799999999999994E-2</v>
      </c>
      <c r="G457" s="6">
        <f t="shared" si="67"/>
        <v>-9.2799999999999994E-2</v>
      </c>
      <c r="H457" s="6">
        <f t="shared" si="67"/>
        <v>-4.6399999999999997E-2</v>
      </c>
      <c r="I457" s="6">
        <f t="shared" si="67"/>
        <v>-4.6399999999999997E-2</v>
      </c>
      <c r="J457" s="6">
        <f t="shared" si="67"/>
        <v>-4.6399999999999997E-2</v>
      </c>
    </row>
    <row r="458" spans="1:11" x14ac:dyDescent="0.35">
      <c r="A458" s="6" t="s">
        <v>137</v>
      </c>
      <c r="B458" s="6">
        <f t="shared" si="67"/>
        <v>3.6019302461174282E-2</v>
      </c>
      <c r="C458" s="6">
        <f t="shared" si="67"/>
        <v>-4.7841691378614139E-2</v>
      </c>
      <c r="D458" s="6">
        <f t="shared" si="67"/>
        <v>-6.3698684807631786E-2</v>
      </c>
      <c r="E458" s="6">
        <f t="shared" si="67"/>
        <v>1.4062612926157762E-2</v>
      </c>
      <c r="F458" s="6">
        <f t="shared" si="67"/>
        <v>-5.1770715640282343E-2</v>
      </c>
      <c r="G458" s="6">
        <f t="shared" si="67"/>
        <v>-6.4481992827244941E-2</v>
      </c>
      <c r="H458" s="6">
        <f t="shared" si="67"/>
        <v>3.0004118657905955E-2</v>
      </c>
      <c r="I458" s="6">
        <f t="shared" si="67"/>
        <v>2.3922129555483482E-2</v>
      </c>
      <c r="J458" s="6">
        <f t="shared" si="67"/>
        <v>1.9143769794795668E-2</v>
      </c>
    </row>
    <row r="461" spans="1:11" x14ac:dyDescent="0.35">
      <c r="A461" s="331" t="s">
        <v>135</v>
      </c>
      <c r="B461" s="331"/>
      <c r="C461" s="331"/>
      <c r="D461" s="331"/>
      <c r="E461" s="331"/>
      <c r="F461" s="331"/>
      <c r="G461" s="331"/>
      <c r="H461" s="331"/>
      <c r="I461" s="331"/>
      <c r="J461" s="331"/>
      <c r="K461" s="331"/>
    </row>
    <row r="462" spans="1:11" x14ac:dyDescent="0.35">
      <c r="A462" s="6" t="s">
        <v>138</v>
      </c>
    </row>
    <row r="463" spans="1:11" x14ac:dyDescent="0.35">
      <c r="A463" s="6" t="s">
        <v>139</v>
      </c>
      <c r="B463" s="6">
        <v>100</v>
      </c>
      <c r="C463" s="6" t="s">
        <v>128</v>
      </c>
    </row>
    <row r="464" spans="1:11" x14ac:dyDescent="0.35">
      <c r="A464" s="6" t="s">
        <v>140</v>
      </c>
      <c r="B464" s="6">
        <v>50</v>
      </c>
      <c r="C464" s="6" t="s">
        <v>128</v>
      </c>
    </row>
    <row r="466" spans="1:12" x14ac:dyDescent="0.35">
      <c r="B466" s="6" t="s">
        <v>889</v>
      </c>
      <c r="C466" s="6" t="s">
        <v>891</v>
      </c>
      <c r="D466" s="6" t="s">
        <v>890</v>
      </c>
      <c r="E466" s="6" t="s">
        <v>892</v>
      </c>
      <c r="F466" s="6" t="s">
        <v>893</v>
      </c>
      <c r="G466" s="6" t="s">
        <v>894</v>
      </c>
      <c r="H466" s="6" t="s">
        <v>896</v>
      </c>
      <c r="I466" s="6" t="s">
        <v>897</v>
      </c>
      <c r="J466" s="6" t="s">
        <v>895</v>
      </c>
    </row>
    <row r="467" spans="1:12" x14ac:dyDescent="0.35">
      <c r="A467" s="6" t="s">
        <v>117</v>
      </c>
      <c r="B467" s="6">
        <f t="shared" ref="B467:G476" si="68">B449/$B$463</f>
        <v>6.6853280384452626E-5</v>
      </c>
      <c r="C467" s="6">
        <f t="shared" si="68"/>
        <v>6.4027258518085386E-5</v>
      </c>
      <c r="D467" s="6">
        <f t="shared" si="68"/>
        <v>5.794571268055849E-5</v>
      </c>
      <c r="E467" s="6">
        <f t="shared" si="68"/>
        <v>6.6853280384452626E-5</v>
      </c>
      <c r="F467" s="6">
        <f t="shared" si="68"/>
        <v>6.4027258518085386E-5</v>
      </c>
      <c r="G467" s="6">
        <f t="shared" si="68"/>
        <v>5.794571268055849E-5</v>
      </c>
      <c r="H467" s="6">
        <f>H449/$B$464</f>
        <v>1.2783620330818223E-4</v>
      </c>
      <c r="I467" s="6">
        <f>I449/$B$464</f>
        <v>1.2224287529591124E-4</v>
      </c>
      <c r="J467" s="6">
        <f>J449/$B$464</f>
        <v>1.1019930815134711E-4</v>
      </c>
    </row>
    <row r="468" spans="1:12" x14ac:dyDescent="0.35">
      <c r="A468" s="6" t="s">
        <v>118</v>
      </c>
      <c r="B468" s="6">
        <f t="shared" si="68"/>
        <v>4.0040114297033507E-6</v>
      </c>
      <c r="C468" s="6">
        <f t="shared" si="68"/>
        <v>3.8025533906393124E-6</v>
      </c>
      <c r="D468" s="6">
        <f t="shared" si="68"/>
        <v>3.5909746967405102E-6</v>
      </c>
      <c r="E468" s="6">
        <f t="shared" si="68"/>
        <v>4.0040114297033507E-6</v>
      </c>
      <c r="F468" s="6">
        <f t="shared" si="68"/>
        <v>3.8025533906393124E-6</v>
      </c>
      <c r="G468" s="6">
        <f t="shared" si="68"/>
        <v>3.5909746967405102E-6</v>
      </c>
      <c r="H468" s="6">
        <f t="shared" ref="H468:J476" si="69">H450/$B$464</f>
        <v>4.0040114297033507E-6</v>
      </c>
      <c r="I468" s="6">
        <f t="shared" si="69"/>
        <v>3.8025533906393124E-6</v>
      </c>
      <c r="J468" s="6">
        <f t="shared" si="69"/>
        <v>3.5909746967405102E-6</v>
      </c>
    </row>
    <row r="469" spans="1:12" x14ac:dyDescent="0.35">
      <c r="A469" s="6" t="s">
        <v>119</v>
      </c>
      <c r="B469" s="6">
        <f t="shared" si="68"/>
        <v>5.3842860968435531E-7</v>
      </c>
      <c r="C469" s="6">
        <f t="shared" si="68"/>
        <v>4.8155270986090666E-7</v>
      </c>
      <c r="D469" s="6">
        <f t="shared" si="68"/>
        <v>4.5457967317424136E-7</v>
      </c>
      <c r="E469" s="6">
        <f t="shared" si="68"/>
        <v>5.3842860968435531E-7</v>
      </c>
      <c r="F469" s="6">
        <f t="shared" si="68"/>
        <v>4.8155270986090666E-7</v>
      </c>
      <c r="G469" s="6">
        <f t="shared" si="68"/>
        <v>4.5457967317424136E-7</v>
      </c>
      <c r="H469" s="6">
        <f t="shared" si="69"/>
        <v>1.0768572193687106E-6</v>
      </c>
      <c r="I469" s="6">
        <f t="shared" si="69"/>
        <v>9.6310541972181332E-7</v>
      </c>
      <c r="J469" s="6">
        <f t="shared" si="69"/>
        <v>9.0915934634848273E-7</v>
      </c>
    </row>
    <row r="470" spans="1:12" x14ac:dyDescent="0.35">
      <c r="A470" s="6" t="s">
        <v>120</v>
      </c>
      <c r="B470" s="6">
        <f t="shared" si="68"/>
        <v>1.4907496099019133E-8</v>
      </c>
      <c r="C470" s="6">
        <f t="shared" si="68"/>
        <v>1.4090857538857629E-8</v>
      </c>
      <c r="D470" s="6">
        <f t="shared" si="68"/>
        <v>1.3616739030439631E-8</v>
      </c>
      <c r="E470" s="6">
        <f t="shared" si="68"/>
        <v>1.4907496099019133E-8</v>
      </c>
      <c r="F470" s="6">
        <f t="shared" si="68"/>
        <v>1.4090857538857629E-8</v>
      </c>
      <c r="G470" s="6">
        <f t="shared" si="68"/>
        <v>1.3616739030439631E-8</v>
      </c>
      <c r="H470" s="6">
        <f t="shared" si="69"/>
        <v>1.4907496099019133E-8</v>
      </c>
      <c r="I470" s="6">
        <f t="shared" si="69"/>
        <v>1.4090857538857629E-8</v>
      </c>
      <c r="J470" s="6">
        <f t="shared" si="69"/>
        <v>1.3616739030439631E-8</v>
      </c>
    </row>
    <row r="471" spans="1:12" x14ac:dyDescent="0.35">
      <c r="A471" s="6" t="s">
        <v>121</v>
      </c>
      <c r="B471" s="6">
        <f t="shared" si="68"/>
        <v>8.3992169268362136E-6</v>
      </c>
      <c r="C471" s="6">
        <f t="shared" si="68"/>
        <v>7.2964263088321881E-6</v>
      </c>
      <c r="D471" s="6">
        <f t="shared" si="68"/>
        <v>6.5857117699468779E-6</v>
      </c>
      <c r="E471" s="6">
        <f t="shared" si="68"/>
        <v>8.3992169268362136E-6</v>
      </c>
      <c r="F471" s="6">
        <f t="shared" si="68"/>
        <v>7.2964263088321881E-6</v>
      </c>
      <c r="G471" s="6">
        <f t="shared" si="68"/>
        <v>6.5857117699468779E-6</v>
      </c>
      <c r="H471" s="6">
        <f t="shared" si="69"/>
        <v>1.6798433853672427E-5</v>
      </c>
      <c r="I471" s="6">
        <f t="shared" si="69"/>
        <v>1.4592852617664376E-5</v>
      </c>
      <c r="J471" s="6">
        <f t="shared" si="69"/>
        <v>1.3171423539893756E-5</v>
      </c>
    </row>
    <row r="472" spans="1:12" x14ac:dyDescent="0.35">
      <c r="A472" s="6" t="s">
        <v>800</v>
      </c>
      <c r="B472" s="6">
        <f t="shared" si="68"/>
        <v>0</v>
      </c>
      <c r="C472" s="6">
        <f t="shared" si="68"/>
        <v>0</v>
      </c>
      <c r="D472" s="6">
        <f t="shared" si="68"/>
        <v>0</v>
      </c>
      <c r="E472" s="6">
        <f t="shared" si="68"/>
        <v>0</v>
      </c>
      <c r="F472" s="6">
        <f t="shared" si="68"/>
        <v>0</v>
      </c>
      <c r="G472" s="6">
        <f t="shared" si="68"/>
        <v>0</v>
      </c>
      <c r="H472" s="6">
        <f t="shared" si="69"/>
        <v>7.52137686956862E-4</v>
      </c>
      <c r="I472" s="6">
        <f t="shared" si="69"/>
        <v>7.3397540621486621E-4</v>
      </c>
      <c r="J472" s="6">
        <f t="shared" si="69"/>
        <v>6.8187832086746847E-4</v>
      </c>
    </row>
    <row r="473" spans="1:12" x14ac:dyDescent="0.35">
      <c r="A473" s="6" t="s">
        <v>122</v>
      </c>
      <c r="B473" s="6">
        <f t="shared" si="68"/>
        <v>1.0864615132376188E-3</v>
      </c>
      <c r="C473" s="6">
        <f t="shared" si="68"/>
        <v>3.1060149197345745E-4</v>
      </c>
      <c r="D473" s="6">
        <f t="shared" si="68"/>
        <v>1.6993610666151968E-4</v>
      </c>
      <c r="E473" s="6">
        <f t="shared" si="68"/>
        <v>8.6689461788745366E-4</v>
      </c>
      <c r="F473" s="6">
        <f t="shared" si="68"/>
        <v>2.7131124935677535E-4</v>
      </c>
      <c r="G473" s="6">
        <f t="shared" si="68"/>
        <v>1.6210302646538829E-4</v>
      </c>
      <c r="H473" s="6">
        <f t="shared" si="69"/>
        <v>5.0429260636688296E-4</v>
      </c>
      <c r="I473" s="6">
        <f t="shared" si="69"/>
        <v>4.6749199485788325E-4</v>
      </c>
      <c r="J473" s="6">
        <f t="shared" si="69"/>
        <v>4.486261428523726E-4</v>
      </c>
      <c r="L473" s="1"/>
    </row>
    <row r="474" spans="1:12" x14ac:dyDescent="0.35">
      <c r="A474" s="6" t="s">
        <v>123</v>
      </c>
      <c r="B474" s="6">
        <f t="shared" si="68"/>
        <v>1.2192166652734821E-4</v>
      </c>
      <c r="C474" s="6">
        <f t="shared" si="68"/>
        <v>6.3359712455444508E-5</v>
      </c>
      <c r="D474" s="6">
        <f t="shared" si="68"/>
        <v>5.2486449702711788E-5</v>
      </c>
      <c r="E474" s="6">
        <f t="shared" si="68"/>
        <v>1.2192166652734821E-4</v>
      </c>
      <c r="F474" s="6">
        <f t="shared" si="68"/>
        <v>6.3359712455444508E-5</v>
      </c>
      <c r="G474" s="6">
        <f t="shared" si="68"/>
        <v>5.2486449702711788E-5</v>
      </c>
      <c r="H474" s="6">
        <f t="shared" si="69"/>
        <v>1.2192166652734821E-4</v>
      </c>
      <c r="I474" s="6">
        <f t="shared" si="69"/>
        <v>6.3359712455444508E-5</v>
      </c>
      <c r="J474" s="6">
        <f t="shared" si="69"/>
        <v>5.2486449702711788E-5</v>
      </c>
    </row>
    <row r="475" spans="1:12" x14ac:dyDescent="0.35">
      <c r="A475" s="6" t="s">
        <v>124</v>
      </c>
      <c r="B475" s="6">
        <f t="shared" si="68"/>
        <v>-9.279999999999999E-4</v>
      </c>
      <c r="C475" s="6">
        <f t="shared" si="68"/>
        <v>-9.279999999999999E-4</v>
      </c>
      <c r="D475" s="6">
        <f t="shared" si="68"/>
        <v>-9.279999999999999E-4</v>
      </c>
      <c r="E475" s="6">
        <f t="shared" si="68"/>
        <v>-9.279999999999999E-4</v>
      </c>
      <c r="F475" s="6">
        <f t="shared" si="68"/>
        <v>-9.279999999999999E-4</v>
      </c>
      <c r="G475" s="6">
        <f t="shared" si="68"/>
        <v>-9.279999999999999E-4</v>
      </c>
      <c r="H475" s="6">
        <f t="shared" si="69"/>
        <v>-9.279999999999999E-4</v>
      </c>
      <c r="I475" s="6">
        <f t="shared" si="69"/>
        <v>-9.279999999999999E-4</v>
      </c>
      <c r="J475" s="6">
        <f t="shared" si="69"/>
        <v>-9.279999999999999E-4</v>
      </c>
    </row>
    <row r="476" spans="1:12" s="298" customFormat="1" x14ac:dyDescent="0.35">
      <c r="A476" s="298" t="s">
        <v>137</v>
      </c>
      <c r="B476" s="298">
        <f t="shared" si="68"/>
        <v>3.6019302461174285E-4</v>
      </c>
      <c r="C476" s="298">
        <f t="shared" si="68"/>
        <v>-4.7841691378614138E-4</v>
      </c>
      <c r="D476" s="298">
        <f t="shared" si="68"/>
        <v>-6.3698684807631792E-4</v>
      </c>
      <c r="E476" s="298">
        <f t="shared" si="68"/>
        <v>1.4062612926157763E-4</v>
      </c>
      <c r="F476" s="298">
        <f t="shared" si="68"/>
        <v>-5.1770715640282348E-4</v>
      </c>
      <c r="G476" s="298">
        <f t="shared" si="68"/>
        <v>-6.4481992827244939E-4</v>
      </c>
      <c r="H476" s="298">
        <f t="shared" si="69"/>
        <v>6.0008237315811914E-4</v>
      </c>
      <c r="I476" s="298">
        <f t="shared" si="69"/>
        <v>4.7844259110966966E-4</v>
      </c>
      <c r="J476" s="298">
        <f t="shared" si="69"/>
        <v>3.8287539589591335E-4</v>
      </c>
    </row>
    <row r="478" spans="1:12" x14ac:dyDescent="0.35">
      <c r="B478" s="299"/>
      <c r="C478" s="299"/>
      <c r="D478" s="299"/>
      <c r="E478" s="299"/>
      <c r="F478" s="299"/>
      <c r="G478" s="299"/>
      <c r="H478" s="299"/>
      <c r="I478" s="299"/>
      <c r="J478" s="299"/>
    </row>
  </sheetData>
  <mergeCells count="3">
    <mergeCell ref="A432:K432"/>
    <mergeCell ref="A446:K446"/>
    <mergeCell ref="A461:K46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37CDF-8040-4A19-80B6-4FE6B0F7673B}">
  <sheetPr>
    <tabColor theme="3" tint="0.59999389629810485"/>
  </sheetPr>
  <dimension ref="A1:N35"/>
  <sheetViews>
    <sheetView showGridLines="0" workbookViewId="0">
      <selection activeCell="A24" sqref="A24"/>
    </sheetView>
  </sheetViews>
  <sheetFormatPr defaultColWidth="8.7265625" defaultRowHeight="14.5" x14ac:dyDescent="0.35"/>
  <cols>
    <col min="1" max="1" width="4.453125" style="28" customWidth="1"/>
    <col min="2" max="3" width="8.7265625" style="28"/>
    <col min="4" max="4" width="56.7265625" style="28" bestFit="1" customWidth="1"/>
    <col min="5" max="5" width="8.7265625" style="28"/>
    <col min="6" max="6" width="5.1796875" style="28" customWidth="1"/>
    <col min="7" max="7" width="3.54296875" style="28" customWidth="1"/>
    <col min="8" max="8" width="64.7265625" style="28" bestFit="1" customWidth="1"/>
    <col min="9" max="9" width="74.90625" style="28" customWidth="1"/>
    <col min="10" max="10" width="2.26953125" style="28" customWidth="1"/>
    <col min="11" max="16384" width="8.7265625" style="28"/>
  </cols>
  <sheetData>
    <row r="1" spans="1:10" s="42" customFormat="1" ht="28.5" x14ac:dyDescent="0.65">
      <c r="A1" s="42" t="s">
        <v>528</v>
      </c>
    </row>
    <row r="2" spans="1:10" s="45" customFormat="1" ht="15.5" x14ac:dyDescent="0.35">
      <c r="A2" s="136" t="s">
        <v>527</v>
      </c>
      <c r="C2" s="103"/>
      <c r="D2" s="103"/>
      <c r="E2" s="103"/>
      <c r="F2" s="103"/>
      <c r="G2" s="103"/>
      <c r="H2" s="103"/>
      <c r="I2" s="103"/>
      <c r="J2" s="103"/>
    </row>
    <row r="3" spans="1:10" s="45" customFormat="1" ht="15" customHeight="1" x14ac:dyDescent="0.35">
      <c r="A3" s="45" t="s">
        <v>399</v>
      </c>
      <c r="B3" s="115"/>
      <c r="C3" s="115"/>
      <c r="D3" s="46"/>
      <c r="E3" s="115"/>
      <c r="G3" s="115"/>
      <c r="H3" s="115"/>
      <c r="I3" s="115"/>
      <c r="J3" s="115"/>
    </row>
    <row r="4" spans="1:10" s="45" customFormat="1" x14ac:dyDescent="0.35">
      <c r="A4" s="45" t="s">
        <v>709</v>
      </c>
      <c r="C4" s="103"/>
      <c r="D4" s="103"/>
      <c r="E4" s="103"/>
      <c r="F4" s="103"/>
      <c r="G4" s="103"/>
      <c r="H4" s="103"/>
      <c r="I4" s="103"/>
      <c r="J4" s="103"/>
    </row>
    <row r="5" spans="1:10" s="45" customFormat="1" x14ac:dyDescent="0.35">
      <c r="A5" s="45" t="s">
        <v>710</v>
      </c>
      <c r="C5" s="103"/>
      <c r="D5" s="104"/>
      <c r="E5" s="103"/>
      <c r="F5" s="103"/>
      <c r="G5" s="103"/>
      <c r="H5" s="103"/>
      <c r="I5" s="103"/>
      <c r="J5" s="103"/>
    </row>
    <row r="6" spans="1:10" s="45" customFormat="1" ht="15.5" x14ac:dyDescent="0.35">
      <c r="B6" s="105"/>
      <c r="C6" s="103"/>
      <c r="D6" s="103"/>
      <c r="E6" s="103"/>
      <c r="F6" s="103"/>
      <c r="G6" s="103"/>
      <c r="H6" s="103"/>
      <c r="I6" s="103"/>
      <c r="J6" s="103"/>
    </row>
    <row r="7" spans="1:10" s="45" customFormat="1" ht="15.5" x14ac:dyDescent="0.35">
      <c r="A7" s="136" t="s">
        <v>400</v>
      </c>
      <c r="C7" s="103"/>
      <c r="D7" s="103"/>
      <c r="E7" s="103"/>
      <c r="F7" s="103"/>
      <c r="G7" s="103"/>
      <c r="H7" s="103"/>
      <c r="I7" s="103"/>
      <c r="J7" s="103"/>
    </row>
    <row r="8" spans="1:10" s="45" customFormat="1" x14ac:dyDescent="0.35">
      <c r="A8" s="45" t="s">
        <v>401</v>
      </c>
      <c r="C8" s="103"/>
      <c r="D8" s="103"/>
      <c r="E8" s="103"/>
      <c r="F8" s="103"/>
      <c r="G8" s="103"/>
      <c r="H8" s="103"/>
      <c r="I8" s="103"/>
      <c r="J8" s="103"/>
    </row>
    <row r="9" spans="1:10" s="45" customFormat="1" x14ac:dyDescent="0.35">
      <c r="C9" s="103"/>
      <c r="D9" s="103"/>
      <c r="E9" s="103"/>
      <c r="F9" s="103"/>
      <c r="G9" s="103"/>
      <c r="H9" s="103"/>
      <c r="I9" s="103"/>
      <c r="J9" s="103"/>
    </row>
    <row r="10" spans="1:10" s="45" customFormat="1" ht="15.5" x14ac:dyDescent="0.35">
      <c r="A10" s="134" t="s">
        <v>402</v>
      </c>
      <c r="C10" s="103"/>
      <c r="D10" s="103"/>
      <c r="E10" s="103"/>
      <c r="F10" s="103"/>
      <c r="G10" s="103"/>
      <c r="H10" s="103"/>
      <c r="I10" s="103"/>
      <c r="J10" s="103"/>
    </row>
    <row r="11" spans="1:10" s="45" customFormat="1" x14ac:dyDescent="0.35">
      <c r="A11" s="45" t="s">
        <v>403</v>
      </c>
      <c r="C11" s="103"/>
      <c r="D11" s="103"/>
      <c r="E11" s="103"/>
      <c r="F11" s="103"/>
      <c r="G11" s="103"/>
      <c r="H11" s="103"/>
      <c r="I11" s="103"/>
      <c r="J11" s="103"/>
    </row>
    <row r="12" spans="1:10" s="45" customFormat="1" x14ac:dyDescent="0.35">
      <c r="C12" s="103"/>
      <c r="D12" s="103"/>
      <c r="E12" s="103"/>
      <c r="F12" s="103"/>
      <c r="G12" s="103"/>
      <c r="H12" s="103"/>
      <c r="I12" s="103"/>
      <c r="J12" s="103"/>
    </row>
    <row r="13" spans="1:10" s="45" customFormat="1" x14ac:dyDescent="0.35">
      <c r="A13" s="45" t="s">
        <v>404</v>
      </c>
      <c r="C13" s="103"/>
      <c r="D13" s="103"/>
      <c r="E13" s="103"/>
      <c r="F13" s="103"/>
      <c r="G13" s="103"/>
      <c r="H13" s="103"/>
      <c r="I13" s="103"/>
      <c r="J13" s="103"/>
    </row>
    <row r="14" spans="1:10" s="45" customFormat="1" ht="15.5" x14ac:dyDescent="0.35">
      <c r="A14" s="45" t="s">
        <v>405</v>
      </c>
      <c r="B14" s="105"/>
      <c r="C14" s="103"/>
      <c r="D14" s="103"/>
      <c r="E14" s="103"/>
      <c r="F14" s="103"/>
      <c r="G14" s="103"/>
      <c r="H14" s="103"/>
      <c r="I14" s="103"/>
      <c r="J14" s="103"/>
    </row>
    <row r="15" spans="1:10" s="45" customFormat="1" ht="15.5" x14ac:dyDescent="0.35">
      <c r="B15" s="105"/>
      <c r="C15" s="103"/>
      <c r="D15" s="106" t="s">
        <v>181</v>
      </c>
      <c r="E15" s="103"/>
      <c r="F15" s="103"/>
      <c r="G15" s="103"/>
      <c r="H15" s="103"/>
      <c r="I15" s="103"/>
      <c r="J15" s="103"/>
    </row>
    <row r="16" spans="1:10" s="45" customFormat="1" ht="15.5" x14ac:dyDescent="0.35">
      <c r="A16" s="107" t="s">
        <v>406</v>
      </c>
      <c r="B16" s="108">
        <v>250</v>
      </c>
      <c r="C16" s="106" t="s">
        <v>407</v>
      </c>
      <c r="D16" s="116"/>
      <c r="E16" s="103"/>
      <c r="F16" s="103"/>
      <c r="G16" s="103"/>
      <c r="H16" s="103"/>
      <c r="I16" s="103"/>
      <c r="J16" s="103"/>
    </row>
    <row r="17" spans="1:14" s="48" customFormat="1" ht="15.5" x14ac:dyDescent="0.35">
      <c r="A17" s="107" t="s">
        <v>141</v>
      </c>
      <c r="B17" s="108">
        <v>0.92</v>
      </c>
      <c r="C17" s="106" t="s">
        <v>408</v>
      </c>
      <c r="D17" s="110" t="s">
        <v>839</v>
      </c>
      <c r="E17" s="111"/>
      <c r="F17" s="111"/>
      <c r="G17" s="111"/>
      <c r="H17" s="111"/>
      <c r="I17" s="111"/>
      <c r="J17" s="111"/>
    </row>
    <row r="18" spans="1:14" s="48" customFormat="1" ht="15.5" x14ac:dyDescent="0.35">
      <c r="A18" s="107" t="s">
        <v>409</v>
      </c>
      <c r="B18" s="108">
        <f>850-25</f>
        <v>825</v>
      </c>
      <c r="C18" s="106" t="s">
        <v>410</v>
      </c>
      <c r="D18" s="110" t="s">
        <v>411</v>
      </c>
      <c r="E18" s="111"/>
      <c r="F18" s="111"/>
      <c r="G18" s="111"/>
      <c r="H18" s="111"/>
      <c r="I18" s="111"/>
      <c r="J18" s="111"/>
    </row>
    <row r="19" spans="1:14" s="45" customFormat="1" ht="15.5" x14ac:dyDescent="0.35">
      <c r="A19" s="112" t="s">
        <v>412</v>
      </c>
      <c r="B19" s="113">
        <f>B16*B17*B18/1000</f>
        <v>189.75</v>
      </c>
      <c r="C19" s="114" t="s">
        <v>413</v>
      </c>
      <c r="D19" s="110"/>
      <c r="E19" s="103"/>
      <c r="F19" s="103"/>
      <c r="G19" s="103"/>
      <c r="H19" s="103"/>
      <c r="I19" s="103"/>
      <c r="J19" s="103"/>
    </row>
    <row r="20" spans="1:14" s="45" customFormat="1" ht="15.5" x14ac:dyDescent="0.35">
      <c r="B20" s="105"/>
      <c r="C20" s="103"/>
      <c r="D20" s="103"/>
      <c r="E20" s="103"/>
      <c r="F20" s="103"/>
      <c r="G20" s="103"/>
      <c r="H20" s="103"/>
      <c r="I20" s="103"/>
      <c r="J20" s="103"/>
    </row>
    <row r="21" spans="1:14" s="50" customFormat="1" ht="23.5" x14ac:dyDescent="0.55000000000000004">
      <c r="A21" s="49" t="s">
        <v>529</v>
      </c>
    </row>
    <row r="22" spans="1:14" s="83" customFormat="1" x14ac:dyDescent="0.35"/>
    <row r="23" spans="1:14" s="5" customFormat="1" ht="15.5" x14ac:dyDescent="0.35">
      <c r="B23" s="85" t="s">
        <v>178</v>
      </c>
      <c r="E23" s="85" t="s">
        <v>179</v>
      </c>
      <c r="F23" s="85" t="s">
        <v>180</v>
      </c>
      <c r="G23" s="85"/>
      <c r="H23" s="85" t="s">
        <v>513</v>
      </c>
      <c r="I23" s="85" t="s">
        <v>181</v>
      </c>
      <c r="K23" s="85" t="s">
        <v>182</v>
      </c>
    </row>
    <row r="24" spans="1:14" s="5" customFormat="1" x14ac:dyDescent="0.35">
      <c r="C24" s="84" t="s">
        <v>183</v>
      </c>
      <c r="E24" s="86"/>
      <c r="F24" s="87"/>
      <c r="G24" s="86"/>
      <c r="H24" s="88"/>
      <c r="I24" s="86"/>
      <c r="J24" s="86"/>
    </row>
    <row r="25" spans="1:14" s="5" customFormat="1" x14ac:dyDescent="0.35">
      <c r="D25" s="5" t="s">
        <v>121</v>
      </c>
      <c r="E25" s="57">
        <v>250</v>
      </c>
      <c r="F25" s="5" t="s">
        <v>407</v>
      </c>
      <c r="I25" s="86"/>
      <c r="J25" s="86"/>
    </row>
    <row r="26" spans="1:14" s="5" customFormat="1" x14ac:dyDescent="0.35">
      <c r="I26" s="86"/>
      <c r="J26" s="86"/>
    </row>
    <row r="27" spans="1:14" s="5" customFormat="1" x14ac:dyDescent="0.35">
      <c r="C27" s="84" t="s">
        <v>186</v>
      </c>
      <c r="I27" s="86"/>
      <c r="J27" s="86"/>
    </row>
    <row r="28" spans="1:14" s="5" customFormat="1" x14ac:dyDescent="0.35">
      <c r="C28" s="84"/>
      <c r="D28" s="5" t="s">
        <v>414</v>
      </c>
      <c r="E28" s="91">
        <v>125</v>
      </c>
      <c r="F28" s="5" t="s">
        <v>407</v>
      </c>
      <c r="H28" s="5" t="s">
        <v>415</v>
      </c>
      <c r="I28" s="5" t="s">
        <v>416</v>
      </c>
      <c r="J28" s="86"/>
      <c r="K28" s="86"/>
    </row>
    <row r="29" spans="1:14" s="5" customFormat="1" x14ac:dyDescent="0.35">
      <c r="C29" s="84"/>
      <c r="D29" s="5" t="s">
        <v>417</v>
      </c>
      <c r="E29" s="96">
        <v>125</v>
      </c>
      <c r="F29" s="5" t="s">
        <v>407</v>
      </c>
      <c r="H29" s="5" t="s">
        <v>418</v>
      </c>
      <c r="I29" s="5" t="s">
        <v>416</v>
      </c>
      <c r="J29" s="86"/>
      <c r="K29" s="86"/>
    </row>
    <row r="30" spans="1:14" s="5" customFormat="1" x14ac:dyDescent="0.35">
      <c r="C30" s="84"/>
      <c r="D30" s="84"/>
      <c r="E30" s="84"/>
      <c r="F30" s="84"/>
      <c r="G30" s="84"/>
      <c r="I30" s="84"/>
      <c r="J30" s="84"/>
      <c r="K30" s="84"/>
      <c r="L30" s="84"/>
      <c r="M30" s="84"/>
      <c r="N30" s="84"/>
    </row>
    <row r="31" spans="1:14" s="5" customFormat="1" x14ac:dyDescent="0.35">
      <c r="C31" s="84"/>
      <c r="D31" s="5" t="s">
        <v>419</v>
      </c>
      <c r="E31" s="61">
        <f>B19</f>
        <v>189.75</v>
      </c>
      <c r="F31" s="5" t="s">
        <v>413</v>
      </c>
      <c r="H31" s="5" t="s">
        <v>420</v>
      </c>
      <c r="J31" s="86"/>
      <c r="K31" s="86"/>
      <c r="L31" s="90"/>
    </row>
    <row r="32" spans="1:14" s="5" customFormat="1" x14ac:dyDescent="0.35">
      <c r="C32" s="84"/>
      <c r="D32" s="99"/>
      <c r="I32" s="99"/>
      <c r="J32" s="86"/>
      <c r="K32" s="86"/>
    </row>
    <row r="33" spans="3:11" s="5" customFormat="1" x14ac:dyDescent="0.35">
      <c r="C33" s="84" t="s">
        <v>251</v>
      </c>
      <c r="J33" s="86"/>
      <c r="K33" s="86"/>
    </row>
    <row r="34" spans="3:11" s="5" customFormat="1" x14ac:dyDescent="0.35">
      <c r="C34" s="84"/>
      <c r="D34" s="5" t="s">
        <v>421</v>
      </c>
      <c r="E34" s="91">
        <f>-(E28+E29)</f>
        <v>-250</v>
      </c>
      <c r="F34" s="5" t="s">
        <v>236</v>
      </c>
      <c r="H34" s="5" t="s">
        <v>422</v>
      </c>
      <c r="I34" s="5" t="s">
        <v>526</v>
      </c>
      <c r="J34" s="86"/>
      <c r="K34" s="5" t="s">
        <v>423</v>
      </c>
    </row>
    <row r="35" spans="3:11" s="5" customFormat="1" x14ac:dyDescent="0.35"/>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B3252-9C83-4415-8496-D179D4D3B85B}">
  <sheetPr>
    <tabColor theme="6" tint="0.79998168889431442"/>
  </sheetPr>
  <dimension ref="A1:BA478"/>
  <sheetViews>
    <sheetView zoomScale="90" zoomScaleNormal="90" workbookViewId="0"/>
  </sheetViews>
  <sheetFormatPr defaultColWidth="8.54296875" defaultRowHeight="14.5" outlineLevelRow="1" x14ac:dyDescent="0.35"/>
  <cols>
    <col min="1" max="1" width="37.54296875" style="6" customWidth="1"/>
    <col min="2" max="2" width="16.453125" style="6" bestFit="1" customWidth="1"/>
    <col min="3" max="14" width="10.54296875" style="6" bestFit="1" customWidth="1"/>
    <col min="15" max="16" width="10.1796875" style="6" bestFit="1" customWidth="1"/>
    <col min="17" max="24" width="10.54296875" style="6" bestFit="1" customWidth="1"/>
    <col min="25" max="25" width="10.1796875" style="6" bestFit="1" customWidth="1"/>
    <col min="26" max="26" width="16.453125" style="6" bestFit="1" customWidth="1"/>
    <col min="27" max="27" width="8.54296875" style="6"/>
    <col min="28" max="28" width="35" style="6" bestFit="1" customWidth="1"/>
    <col min="29" max="29" width="16.453125" style="6" bestFit="1" customWidth="1"/>
    <col min="30" max="53" width="12.81640625" style="6" bestFit="1" customWidth="1"/>
    <col min="54" max="16384" width="8.54296875" style="6"/>
  </cols>
  <sheetData>
    <row r="1" spans="1:53" s="139" customFormat="1" ht="21" x14ac:dyDescent="0.5">
      <c r="A1" s="138" t="s">
        <v>925</v>
      </c>
    </row>
    <row r="2" spans="1:53" s="221" customFormat="1" ht="21" x14ac:dyDescent="0.5">
      <c r="A2" s="229" t="s">
        <v>849</v>
      </c>
    </row>
    <row r="3" spans="1:53" s="18" customFormat="1" ht="21" x14ac:dyDescent="0.5">
      <c r="A3" s="18" t="s">
        <v>72</v>
      </c>
    </row>
    <row r="4" spans="1:53" s="20" customFormat="1" outlineLevel="1" x14ac:dyDescent="0.35">
      <c r="A4" s="19" t="s">
        <v>767</v>
      </c>
    </row>
    <row r="5" spans="1:53" s="16" customFormat="1" outlineLevel="1" x14ac:dyDescent="0.35">
      <c r="A5" s="21"/>
      <c r="AA5" s="15"/>
      <c r="AB5" s="15" t="s">
        <v>143</v>
      </c>
      <c r="AC5" s="16">
        <f>0.0000000028+0.0000000000000765</f>
        <v>2.8000764999999998E-9</v>
      </c>
      <c r="AD5" s="16" t="s">
        <v>142</v>
      </c>
      <c r="AE5" s="15" t="s">
        <v>714</v>
      </c>
    </row>
    <row r="6" spans="1:53" s="16" customFormat="1" outlineLevel="1" x14ac:dyDescent="0.35">
      <c r="A6" s="22" t="s">
        <v>565</v>
      </c>
      <c r="AC6" s="16">
        <f>AC5*1000</f>
        <v>2.8000765E-6</v>
      </c>
      <c r="AD6" s="16" t="s">
        <v>145</v>
      </c>
    </row>
    <row r="7" spans="1:53" s="16" customFormat="1" outlineLevel="1" x14ac:dyDescent="0.35">
      <c r="A7" s="22"/>
      <c r="AB7" s="16" t="s">
        <v>127</v>
      </c>
      <c r="AC7" s="16">
        <v>100</v>
      </c>
      <c r="AD7" s="16" t="s">
        <v>128</v>
      </c>
    </row>
    <row r="8" spans="1:53" s="16" customFormat="1" outlineLevel="1" x14ac:dyDescent="0.35">
      <c r="A8" s="22"/>
      <c r="AB8" s="16" t="s">
        <v>129</v>
      </c>
      <c r="AC8" s="16">
        <v>25</v>
      </c>
      <c r="AD8" s="16" t="s">
        <v>130</v>
      </c>
    </row>
    <row r="9" spans="1:53" outlineLevel="1" x14ac:dyDescent="0.35">
      <c r="B9" s="25">
        <v>2030</v>
      </c>
      <c r="C9" s="25">
        <v>2031</v>
      </c>
      <c r="D9" s="25">
        <v>2032</v>
      </c>
      <c r="E9" s="25">
        <v>2033</v>
      </c>
      <c r="F9" s="25">
        <v>2034</v>
      </c>
      <c r="G9" s="25">
        <v>2035</v>
      </c>
      <c r="H9" s="25">
        <v>2036</v>
      </c>
      <c r="I9" s="25">
        <v>2037</v>
      </c>
      <c r="J9" s="25">
        <v>2038</v>
      </c>
      <c r="K9" s="25">
        <v>2039</v>
      </c>
      <c r="L9" s="25">
        <v>2040</v>
      </c>
      <c r="M9" s="25">
        <v>2041</v>
      </c>
      <c r="N9" s="25">
        <v>2042</v>
      </c>
      <c r="O9" s="25">
        <v>2043</v>
      </c>
      <c r="P9" s="25">
        <v>2044</v>
      </c>
      <c r="Q9" s="25">
        <v>2045</v>
      </c>
      <c r="R9" s="25">
        <v>2046</v>
      </c>
      <c r="S9" s="25">
        <v>2047</v>
      </c>
      <c r="T9" s="25">
        <v>2048</v>
      </c>
      <c r="U9" s="25">
        <v>2049</v>
      </c>
      <c r="V9" s="25">
        <v>2050</v>
      </c>
      <c r="W9" s="25">
        <v>2051</v>
      </c>
      <c r="X9" s="25">
        <v>2052</v>
      </c>
      <c r="Y9" s="25">
        <v>2053</v>
      </c>
      <c r="Z9" s="25">
        <v>2054</v>
      </c>
      <c r="AC9" s="25">
        <v>2030</v>
      </c>
      <c r="AD9" s="25">
        <v>2031</v>
      </c>
      <c r="AE9" s="25">
        <v>2032</v>
      </c>
      <c r="AF9" s="25">
        <v>2033</v>
      </c>
      <c r="AG9" s="25">
        <v>2034</v>
      </c>
      <c r="AH9" s="25">
        <v>2035</v>
      </c>
      <c r="AI9" s="25">
        <v>2036</v>
      </c>
      <c r="AJ9" s="25">
        <v>2037</v>
      </c>
      <c r="AK9" s="25">
        <v>2038</v>
      </c>
      <c r="AL9" s="25">
        <v>2039</v>
      </c>
      <c r="AM9" s="25">
        <v>2040</v>
      </c>
      <c r="AN9" s="25">
        <v>2041</v>
      </c>
      <c r="AO9" s="25">
        <v>2042</v>
      </c>
      <c r="AP9" s="25">
        <v>2043</v>
      </c>
      <c r="AQ9" s="25">
        <v>2044</v>
      </c>
      <c r="AR9" s="25">
        <v>2045</v>
      </c>
      <c r="AS9" s="25">
        <v>2046</v>
      </c>
      <c r="AT9" s="25">
        <v>2047</v>
      </c>
      <c r="AU9" s="25">
        <v>2048</v>
      </c>
      <c r="AV9" s="25">
        <v>2049</v>
      </c>
      <c r="AW9" s="25">
        <v>2050</v>
      </c>
      <c r="AX9" s="25">
        <v>2051</v>
      </c>
      <c r="AY9" s="25">
        <v>2052</v>
      </c>
      <c r="AZ9" s="25">
        <v>2053</v>
      </c>
      <c r="BA9" s="25">
        <v>2054</v>
      </c>
    </row>
    <row r="10" spans="1:53" outlineLevel="1" x14ac:dyDescent="0.35">
      <c r="A10" s="6" t="s">
        <v>21</v>
      </c>
      <c r="B10" s="6">
        <f>'Results - raw data ReCiPe (H)'!AC5</f>
        <v>3.4065629385513331E-6</v>
      </c>
      <c r="AB10" s="6" t="s">
        <v>117</v>
      </c>
      <c r="AC10" s="6">
        <f>SUM(B10:B21)+B23</f>
        <v>1.9467533260507852E-4</v>
      </c>
    </row>
    <row r="11" spans="1:53" outlineLevel="1" x14ac:dyDescent="0.35">
      <c r="A11" s="6" t="s">
        <v>23</v>
      </c>
      <c r="B11" s="6">
        <f>'Results - raw data ReCiPe (H)'!AC6</f>
        <v>5.9775544476410673E-6</v>
      </c>
      <c r="AB11" s="6" t="s">
        <v>118</v>
      </c>
      <c r="AC11" s="6">
        <f>B22</f>
        <v>1.1362073373089257E-5</v>
      </c>
    </row>
    <row r="12" spans="1:53" outlineLevel="1" x14ac:dyDescent="0.35">
      <c r="A12" s="6" t="s">
        <v>26</v>
      </c>
      <c r="B12" s="6">
        <f>'Results - raw data ReCiPe (H)'!AC7</f>
        <v>1.5280120239729288E-5</v>
      </c>
      <c r="AB12" s="6" t="s">
        <v>119</v>
      </c>
      <c r="BA12" s="6">
        <f>SUM(Z24:Z35)</f>
        <v>2.8327516247168551E-6</v>
      </c>
    </row>
    <row r="13" spans="1:53" outlineLevel="1" x14ac:dyDescent="0.35">
      <c r="A13" s="6" t="s">
        <v>28</v>
      </c>
      <c r="B13" s="6">
        <f>'Results - raw data ReCiPe (H)'!AC8</f>
        <v>1.237356434915746E-5</v>
      </c>
      <c r="AB13" s="6" t="s">
        <v>120</v>
      </c>
      <c r="BA13" s="6">
        <f>Z36</f>
        <v>9.2615556283479631E-8</v>
      </c>
    </row>
    <row r="14" spans="1:53" outlineLevel="1" x14ac:dyDescent="0.35">
      <c r="A14" s="6" t="s">
        <v>29</v>
      </c>
      <c r="B14" s="6">
        <f>'Results - raw data ReCiPe (H)'!AC9</f>
        <v>9.6467851095061977E-6</v>
      </c>
      <c r="AB14" s="6" t="s">
        <v>121</v>
      </c>
      <c r="AC14" s="6">
        <f>B37</f>
        <v>4.5446143489064019E-6</v>
      </c>
      <c r="AF14" s="6">
        <f>E37</f>
        <v>4.4990771841472508E-6</v>
      </c>
      <c r="AI14" s="6">
        <f>H37</f>
        <v>4.4904228129143327E-6</v>
      </c>
      <c r="AL14" s="6">
        <f>K37</f>
        <v>4.4944994140002021E-6</v>
      </c>
      <c r="AO14" s="6">
        <f>N37</f>
        <v>4.5214378334785092E-6</v>
      </c>
      <c r="AR14" s="6">
        <f>Q37</f>
        <v>4.5497134383595956E-6</v>
      </c>
      <c r="AU14" s="6">
        <f>T37</f>
        <v>4.4955793454683717E-6</v>
      </c>
      <c r="AX14" s="6">
        <f>W37</f>
        <v>4.4518098931988601E-6</v>
      </c>
      <c r="BA14" s="6">
        <f>Z37</f>
        <v>4.3615476020125354E-6</v>
      </c>
    </row>
    <row r="15" spans="1:53" outlineLevel="1" x14ac:dyDescent="0.35">
      <c r="A15" s="6" t="s">
        <v>31</v>
      </c>
      <c r="B15" s="6">
        <f>'Results - raw data ReCiPe (H)'!AC10</f>
        <v>7.490794425870649E-6</v>
      </c>
      <c r="AB15" s="6" t="s">
        <v>122</v>
      </c>
      <c r="AC15" s="6">
        <f>B40+B39</f>
        <v>1.5920555991974649E-4</v>
      </c>
      <c r="AD15" s="6">
        <f t="shared" ref="AD15:BA15" si="0">C40+C39</f>
        <v>1.5859027360308589E-4</v>
      </c>
      <c r="AE15" s="6">
        <f t="shared" si="0"/>
        <v>1.5797337276137659E-4</v>
      </c>
      <c r="AF15" s="6">
        <f t="shared" si="0"/>
        <v>1.572254907913862E-4</v>
      </c>
      <c r="AG15" s="6">
        <f t="shared" si="0"/>
        <v>1.5660366017830599E-4</v>
      </c>
      <c r="AH15" s="6">
        <f t="shared" si="0"/>
        <v>1.5597967989555838E-4</v>
      </c>
      <c r="AI15" s="6">
        <f t="shared" si="0"/>
        <v>1.670822608839831E-4</v>
      </c>
      <c r="AJ15" s="6">
        <f t="shared" si="0"/>
        <v>1.781692607581189E-4</v>
      </c>
      <c r="AK15" s="6">
        <f t="shared" si="0"/>
        <v>1.8916451889116779E-4</v>
      </c>
      <c r="AL15" s="6">
        <f t="shared" si="0"/>
        <v>2.002330591974372E-4</v>
      </c>
      <c r="AM15" s="6">
        <f t="shared" si="0"/>
        <v>2.1128054377896619E-4</v>
      </c>
      <c r="AN15" s="6">
        <f t="shared" si="0"/>
        <v>2.3211425384718858E-4</v>
      </c>
      <c r="AO15" s="6">
        <f t="shared" si="0"/>
        <v>2.5300220548370649E-4</v>
      </c>
      <c r="AP15" s="6">
        <f t="shared" si="0"/>
        <v>2.7393031315185381E-4</v>
      </c>
      <c r="AQ15" s="6">
        <f t="shared" si="0"/>
        <v>2.9493631770013121E-4</v>
      </c>
      <c r="AR15" s="6">
        <f t="shared" si="0"/>
        <v>3.160065837364855E-4</v>
      </c>
      <c r="AS15" s="6">
        <f t="shared" si="0"/>
        <v>3.1826920214883341E-4</v>
      </c>
      <c r="AT15" s="6">
        <f t="shared" si="0"/>
        <v>3.2055707191781731E-4</v>
      </c>
      <c r="AU15" s="6">
        <f t="shared" si="0"/>
        <v>3.2285076714382098E-4</v>
      </c>
      <c r="AV15" s="6">
        <f t="shared" si="0"/>
        <v>3.2518167321633171E-4</v>
      </c>
      <c r="AW15" s="6">
        <f t="shared" si="0"/>
        <v>3.2753064165504488E-4</v>
      </c>
      <c r="AX15" s="6">
        <f t="shared" si="0"/>
        <v>3.2324713149420558E-4</v>
      </c>
      <c r="AY15" s="6">
        <f t="shared" si="0"/>
        <v>3.1409168339007588E-4</v>
      </c>
      <c r="AZ15" s="6">
        <f t="shared" si="0"/>
        <v>3.0490425528419628E-4</v>
      </c>
      <c r="BA15" s="6">
        <f t="shared" si="0"/>
        <v>2.9568457784293501E-4</v>
      </c>
    </row>
    <row r="16" spans="1:53" outlineLevel="1" x14ac:dyDescent="0.35">
      <c r="A16" s="6" t="s">
        <v>34</v>
      </c>
      <c r="B16" s="6">
        <f>'Results - raw data ReCiPe (H)'!AC11</f>
        <v>5.3054904136133011E-6</v>
      </c>
      <c r="AB16" s="6" t="s">
        <v>123</v>
      </c>
      <c r="AC16" s="6">
        <f>B38</f>
        <v>2.1411457361923899E-5</v>
      </c>
      <c r="AD16" s="6">
        <f t="shared" ref="AD16:BA16" si="1">C38</f>
        <v>2.134626139780347E-5</v>
      </c>
      <c r="AE16" s="6">
        <f t="shared" si="1"/>
        <v>2.1281080505332481E-5</v>
      </c>
      <c r="AF16" s="6">
        <f t="shared" si="1"/>
        <v>2.1203888885810071E-5</v>
      </c>
      <c r="AG16" s="6">
        <f t="shared" si="1"/>
        <v>2.1138597055229607E-5</v>
      </c>
      <c r="AH16" s="6">
        <f t="shared" si="1"/>
        <v>2.1073273370877479E-5</v>
      </c>
      <c r="AI16" s="6">
        <f t="shared" si="1"/>
        <v>2.189850791901482E-5</v>
      </c>
      <c r="AJ16" s="6">
        <f t="shared" si="1"/>
        <v>2.2720225997016439E-5</v>
      </c>
      <c r="AK16" s="6">
        <f t="shared" si="1"/>
        <v>2.353142565341111E-5</v>
      </c>
      <c r="AL16" s="6">
        <f t="shared" si="1"/>
        <v>2.4347085307727769E-5</v>
      </c>
      <c r="AM16" s="6">
        <f t="shared" si="1"/>
        <v>2.5158820491834341E-5</v>
      </c>
      <c r="AN16" s="6">
        <f t="shared" si="1"/>
        <v>2.6707573548875054E-5</v>
      </c>
      <c r="AO16" s="6">
        <f t="shared" si="1"/>
        <v>2.8256858849125578E-5</v>
      </c>
      <c r="AP16" s="6">
        <f t="shared" si="1"/>
        <v>2.9805253849723289E-5</v>
      </c>
      <c r="AQ16" s="6">
        <f t="shared" si="1"/>
        <v>3.1356304335659161E-5</v>
      </c>
      <c r="AR16" s="6">
        <f t="shared" si="1"/>
        <v>3.2908610200607962E-5</v>
      </c>
      <c r="AS16" s="6">
        <f t="shared" si="1"/>
        <v>3.3053616911178429E-5</v>
      </c>
      <c r="AT16" s="6">
        <f t="shared" si="1"/>
        <v>3.3200139877901228E-5</v>
      </c>
      <c r="AU16" s="6">
        <f t="shared" si="1"/>
        <v>3.3346362165411798E-5</v>
      </c>
      <c r="AV16" s="6">
        <f t="shared" si="1"/>
        <v>3.349536104250592E-5</v>
      </c>
      <c r="AW16" s="6">
        <f t="shared" si="1"/>
        <v>3.3645334737870039E-5</v>
      </c>
      <c r="AX16" s="6">
        <f t="shared" si="1"/>
        <v>3.3288671939723599E-5</v>
      </c>
      <c r="AY16" s="6">
        <f t="shared" si="1"/>
        <v>3.256174309133864E-5</v>
      </c>
      <c r="AZ16" s="6">
        <f t="shared" si="1"/>
        <v>3.1835137380265742E-5</v>
      </c>
      <c r="BA16" s="6">
        <f t="shared" si="1"/>
        <v>3.1108841210400045E-5</v>
      </c>
    </row>
    <row r="17" spans="1:53" outlineLevel="1" x14ac:dyDescent="0.35">
      <c r="A17" s="6" t="s">
        <v>36</v>
      </c>
      <c r="B17" s="6">
        <f>'Results - raw data ReCiPe (H)'!AC12</f>
        <v>4.5452790891056938E-6</v>
      </c>
      <c r="AB17" s="6" t="s">
        <v>124</v>
      </c>
      <c r="AC17" s="6">
        <f>-$AC$7*$AC$6</f>
        <v>-2.8000764999999998E-4</v>
      </c>
      <c r="AD17" s="6">
        <f t="shared" ref="AD17:BA17" si="2">-$AC$7*$AC$6</f>
        <v>-2.8000764999999998E-4</v>
      </c>
      <c r="AE17" s="6">
        <f t="shared" si="2"/>
        <v>-2.8000764999999998E-4</v>
      </c>
      <c r="AF17" s="6">
        <f t="shared" si="2"/>
        <v>-2.8000764999999998E-4</v>
      </c>
      <c r="AG17" s="6">
        <f t="shared" si="2"/>
        <v>-2.8000764999999998E-4</v>
      </c>
      <c r="AH17" s="6">
        <f t="shared" si="2"/>
        <v>-2.8000764999999998E-4</v>
      </c>
      <c r="AI17" s="6">
        <f t="shared" si="2"/>
        <v>-2.8000764999999998E-4</v>
      </c>
      <c r="AJ17" s="6">
        <f t="shared" si="2"/>
        <v>-2.8000764999999998E-4</v>
      </c>
      <c r="AK17" s="6">
        <f t="shared" si="2"/>
        <v>-2.8000764999999998E-4</v>
      </c>
      <c r="AL17" s="6">
        <f t="shared" si="2"/>
        <v>-2.8000764999999998E-4</v>
      </c>
      <c r="AM17" s="6">
        <f t="shared" si="2"/>
        <v>-2.8000764999999998E-4</v>
      </c>
      <c r="AN17" s="6">
        <f t="shared" si="2"/>
        <v>-2.8000764999999998E-4</v>
      </c>
      <c r="AO17" s="6">
        <f t="shared" si="2"/>
        <v>-2.8000764999999998E-4</v>
      </c>
      <c r="AP17" s="6">
        <f t="shared" si="2"/>
        <v>-2.8000764999999998E-4</v>
      </c>
      <c r="AQ17" s="6">
        <f t="shared" si="2"/>
        <v>-2.8000764999999998E-4</v>
      </c>
      <c r="AR17" s="6">
        <f t="shared" si="2"/>
        <v>-2.8000764999999998E-4</v>
      </c>
      <c r="AS17" s="6">
        <f t="shared" si="2"/>
        <v>-2.8000764999999998E-4</v>
      </c>
      <c r="AT17" s="6">
        <f t="shared" si="2"/>
        <v>-2.8000764999999998E-4</v>
      </c>
      <c r="AU17" s="6">
        <f t="shared" si="2"/>
        <v>-2.8000764999999998E-4</v>
      </c>
      <c r="AV17" s="6">
        <f t="shared" si="2"/>
        <v>-2.8000764999999998E-4</v>
      </c>
      <c r="AW17" s="6">
        <f t="shared" si="2"/>
        <v>-2.8000764999999998E-4</v>
      </c>
      <c r="AX17" s="6">
        <f t="shared" si="2"/>
        <v>-2.8000764999999998E-4</v>
      </c>
      <c r="AY17" s="6">
        <f t="shared" si="2"/>
        <v>-2.8000764999999998E-4</v>
      </c>
      <c r="AZ17" s="6">
        <f t="shared" si="2"/>
        <v>-2.8000764999999998E-4</v>
      </c>
      <c r="BA17" s="6">
        <f t="shared" si="2"/>
        <v>-2.8000764999999998E-4</v>
      </c>
    </row>
    <row r="18" spans="1:53" outlineLevel="1" x14ac:dyDescent="0.35">
      <c r="A18" s="6" t="s">
        <v>38</v>
      </c>
      <c r="B18" s="6">
        <f>'Results - raw data ReCiPe (H)'!AC13</f>
        <v>2.519681743962088E-5</v>
      </c>
      <c r="AB18" s="23" t="s">
        <v>125</v>
      </c>
      <c r="AC18" s="17">
        <f>SUM(AC10:AC17)</f>
        <v>1.1119138760874454E-4</v>
      </c>
      <c r="AD18" s="17">
        <f t="shared" ref="AD18:BA18" si="3">SUM(AD10:AD17)</f>
        <v>-1.0007111499911063E-4</v>
      </c>
      <c r="AE18" s="17">
        <f t="shared" si="3"/>
        <v>-1.007531967332909E-4</v>
      </c>
      <c r="AF18" s="17">
        <f>SUM(AF10:AF17)</f>
        <v>-9.7079193138656459E-5</v>
      </c>
      <c r="AG18" s="17">
        <f t="shared" si="3"/>
        <v>-1.0226539276646438E-4</v>
      </c>
      <c r="AH18" s="17">
        <f t="shared" si="3"/>
        <v>-1.0295469673356412E-4</v>
      </c>
      <c r="AI18" s="17">
        <f>SUM(AI10:AI17)</f>
        <v>-8.6536458384087726E-5</v>
      </c>
      <c r="AJ18" s="17">
        <f t="shared" si="3"/>
        <v>-7.9118163244864658E-5</v>
      </c>
      <c r="AK18" s="17">
        <f t="shared" si="3"/>
        <v>-6.7311705455421069E-5</v>
      </c>
      <c r="AL18" s="17">
        <f t="shared" si="3"/>
        <v>-5.0933006080834805E-5</v>
      </c>
      <c r="AM18" s="17">
        <f t="shared" si="3"/>
        <v>-4.3568285729199456E-5</v>
      </c>
      <c r="AN18" s="17">
        <f t="shared" si="3"/>
        <v>-2.1185822603936365E-5</v>
      </c>
      <c r="AO18" s="17">
        <f t="shared" si="3"/>
        <v>5.7728521663106321E-6</v>
      </c>
      <c r="AP18" s="17">
        <f t="shared" si="3"/>
        <v>2.3727917001577128E-5</v>
      </c>
      <c r="AQ18" s="17">
        <f t="shared" si="3"/>
        <v>4.6284972035790406E-5</v>
      </c>
      <c r="AR18" s="17">
        <f t="shared" si="3"/>
        <v>7.3457257375453115E-5</v>
      </c>
      <c r="AS18" s="17">
        <f t="shared" si="3"/>
        <v>7.131516906001183E-5</v>
      </c>
      <c r="AT18" s="17">
        <f t="shared" si="3"/>
        <v>7.3749561795718576E-5</v>
      </c>
      <c r="AU18" s="17">
        <f t="shared" si="3"/>
        <v>8.068505865470115E-5</v>
      </c>
      <c r="AV18" s="17">
        <f t="shared" si="3"/>
        <v>7.8669384258837655E-5</v>
      </c>
      <c r="AW18" s="17">
        <f t="shared" si="3"/>
        <v>8.1168326392914926E-5</v>
      </c>
      <c r="AX18" s="17">
        <f t="shared" si="3"/>
        <v>8.0979963327128094E-5</v>
      </c>
      <c r="AY18" s="17">
        <f t="shared" si="3"/>
        <v>6.6645776481414536E-5</v>
      </c>
      <c r="AZ18" s="17">
        <f t="shared" si="3"/>
        <v>5.6731742664462015E-5</v>
      </c>
      <c r="BA18" s="17">
        <f t="shared" si="3"/>
        <v>5.407268383634796E-5</v>
      </c>
    </row>
    <row r="19" spans="1:53" outlineLevel="1" x14ac:dyDescent="0.35">
      <c r="A19" s="6" t="s">
        <v>39</v>
      </c>
      <c r="B19" s="6">
        <f>'Results - raw data ReCiPe (H)'!AC14</f>
        <v>7.3235179910091571E-5</v>
      </c>
    </row>
    <row r="20" spans="1:53" outlineLevel="1" x14ac:dyDescent="0.35">
      <c r="A20" s="6" t="s">
        <v>41</v>
      </c>
      <c r="B20" s="6">
        <f>'Results - raw data ReCiPe (H)'!AC15</f>
        <v>7.5090323051228674E-7</v>
      </c>
    </row>
    <row r="21" spans="1:53" outlineLevel="1" x14ac:dyDescent="0.35">
      <c r="A21" s="6" t="s">
        <v>43</v>
      </c>
      <c r="B21" s="6">
        <f>'Results - raw data ReCiPe (H)'!AC16</f>
        <v>2.0497787420389352E-6</v>
      </c>
      <c r="AB21" s="282"/>
      <c r="AC21" s="282"/>
      <c r="AD21" s="282"/>
      <c r="AE21" s="282"/>
      <c r="AF21" s="282"/>
      <c r="AG21" s="282"/>
      <c r="AH21" s="282"/>
      <c r="AI21" s="282"/>
      <c r="AJ21" s="282"/>
      <c r="AK21" s="282"/>
      <c r="AL21" s="282"/>
      <c r="AM21" s="282"/>
      <c r="AN21" s="282"/>
      <c r="AO21" s="282"/>
      <c r="AP21" s="282"/>
      <c r="AQ21" s="282"/>
      <c r="AR21" s="282"/>
      <c r="AS21" s="282"/>
      <c r="AT21" s="282"/>
      <c r="AU21" s="282"/>
      <c r="AV21" s="282"/>
      <c r="AW21" s="282"/>
      <c r="AX21" s="282"/>
      <c r="AY21" s="282"/>
      <c r="AZ21" s="282"/>
      <c r="BA21" s="282"/>
    </row>
    <row r="22" spans="1:53" outlineLevel="1" x14ac:dyDescent="0.35">
      <c r="A22" s="6" t="s">
        <v>44</v>
      </c>
      <c r="B22" s="6">
        <f>'Results - raw data ReCiPe (H)'!AC17*AC7*AC8</f>
        <v>1.1362073373089257E-5</v>
      </c>
      <c r="AB22" s="282"/>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row>
    <row r="23" spans="1:53" outlineLevel="1" x14ac:dyDescent="0.35">
      <c r="A23" s="6" t="s">
        <v>757</v>
      </c>
      <c r="B23" s="6">
        <f>'Results - raw data ReCiPe (H)'!AC18*AC7*AC8</f>
        <v>2.9416502269639851E-5</v>
      </c>
      <c r="AB23" s="282"/>
      <c r="AC23" s="282"/>
      <c r="AD23" s="282"/>
      <c r="AE23" s="282"/>
      <c r="AF23" s="282"/>
      <c r="AG23" s="282"/>
      <c r="AH23" s="282"/>
      <c r="AI23" s="282"/>
      <c r="AJ23" s="282"/>
      <c r="AK23" s="282"/>
      <c r="AL23" s="282"/>
      <c r="AM23" s="282"/>
      <c r="AN23" s="282"/>
      <c r="AO23" s="282"/>
      <c r="AP23" s="282"/>
      <c r="AQ23" s="282"/>
      <c r="AR23" s="282"/>
      <c r="AS23" s="282"/>
      <c r="AT23" s="282"/>
      <c r="AU23" s="282"/>
      <c r="AV23" s="282"/>
      <c r="AW23" s="282"/>
      <c r="AX23" s="282"/>
      <c r="AY23" s="282"/>
      <c r="AZ23" s="282"/>
      <c r="BA23" s="282"/>
    </row>
    <row r="24" spans="1:53" outlineLevel="1" x14ac:dyDescent="0.35">
      <c r="A24" s="6" t="s">
        <v>22</v>
      </c>
      <c r="Z24" s="6">
        <f>'Results - raw data ReCiPe (H)'!BA19</f>
        <v>6.2658793463083337E-8</v>
      </c>
      <c r="AB24" s="282"/>
      <c r="AC24" s="282"/>
      <c r="AD24" s="282"/>
      <c r="AE24" s="282"/>
      <c r="AF24" s="282"/>
      <c r="AG24" s="282"/>
      <c r="AH24" s="282"/>
      <c r="AI24" s="282"/>
      <c r="AJ24" s="282"/>
      <c r="AK24" s="282"/>
      <c r="AL24" s="282"/>
      <c r="AM24" s="282"/>
      <c r="AN24" s="282"/>
      <c r="AO24" s="282"/>
      <c r="AP24" s="282"/>
      <c r="AQ24" s="282"/>
      <c r="AR24" s="282"/>
      <c r="AS24" s="282"/>
      <c r="AT24" s="282"/>
      <c r="AU24" s="282"/>
      <c r="AV24" s="282"/>
      <c r="AW24" s="282"/>
      <c r="AX24" s="282"/>
      <c r="AY24" s="282"/>
      <c r="AZ24" s="282"/>
      <c r="BA24" s="282"/>
    </row>
    <row r="25" spans="1:53" outlineLevel="1" x14ac:dyDescent="0.35">
      <c r="A25" s="6" t="s">
        <v>24</v>
      </c>
      <c r="Z25" s="6">
        <f>'Results - raw data ReCiPe (H)'!BA20</f>
        <v>3.0939913639353121E-8</v>
      </c>
      <c r="AB25" s="282"/>
      <c r="AC25" s="282"/>
      <c r="AD25" s="282"/>
      <c r="AE25" s="282"/>
      <c r="AF25" s="282"/>
      <c r="AG25" s="282"/>
      <c r="AH25" s="282"/>
      <c r="AI25" s="282"/>
      <c r="AJ25" s="282"/>
      <c r="AK25" s="282"/>
      <c r="AL25" s="282"/>
      <c r="AM25" s="282"/>
      <c r="AN25" s="282"/>
      <c r="AO25" s="282"/>
      <c r="AP25" s="282"/>
      <c r="AQ25" s="282"/>
      <c r="AR25" s="282"/>
      <c r="AS25" s="282"/>
      <c r="AT25" s="282"/>
      <c r="AU25" s="282"/>
      <c r="AV25" s="282"/>
      <c r="AW25" s="282"/>
      <c r="AX25" s="282"/>
      <c r="AY25" s="282"/>
      <c r="AZ25" s="282"/>
      <c r="BA25" s="282"/>
    </row>
    <row r="26" spans="1:53" outlineLevel="1" x14ac:dyDescent="0.35">
      <c r="A26" s="6" t="s">
        <v>25</v>
      </c>
      <c r="Z26" s="6">
        <f>'Results - raw data ReCiPe (H)'!BA21</f>
        <v>1.3113107499561001E-7</v>
      </c>
      <c r="AB26" s="282"/>
      <c r="AC26" s="282"/>
      <c r="AD26" s="282"/>
      <c r="AE26" s="282"/>
      <c r="AF26" s="282"/>
      <c r="AG26" s="282"/>
      <c r="AH26" s="282"/>
      <c r="AI26" s="282"/>
      <c r="AJ26" s="282"/>
      <c r="AK26" s="282"/>
      <c r="AL26" s="282"/>
      <c r="AM26" s="282"/>
      <c r="AN26" s="282"/>
      <c r="AO26" s="282"/>
      <c r="AP26" s="282"/>
      <c r="AQ26" s="282"/>
      <c r="AR26" s="282"/>
      <c r="AS26" s="282"/>
      <c r="AT26" s="282"/>
      <c r="AU26" s="282"/>
      <c r="AV26" s="282"/>
      <c r="AW26" s="282"/>
      <c r="AX26" s="282"/>
      <c r="AY26" s="282"/>
      <c r="AZ26" s="282"/>
      <c r="BA26" s="282"/>
    </row>
    <row r="27" spans="1:53" outlineLevel="1" x14ac:dyDescent="0.35">
      <c r="A27" s="6" t="s">
        <v>27</v>
      </c>
      <c r="Z27" s="6">
        <f>'Results - raw data ReCiPe (H)'!BA22</f>
        <v>4.6156121953184779E-8</v>
      </c>
      <c r="AB27" s="282"/>
      <c r="AC27" s="282"/>
      <c r="AD27" s="282"/>
      <c r="AE27" s="282"/>
      <c r="AF27" s="282"/>
      <c r="AG27" s="282"/>
      <c r="AH27" s="282"/>
      <c r="AI27" s="282"/>
      <c r="AJ27" s="282"/>
      <c r="AK27" s="282"/>
      <c r="AL27" s="282"/>
      <c r="AM27" s="282"/>
      <c r="AN27" s="282"/>
      <c r="AO27" s="282"/>
      <c r="AP27" s="282"/>
      <c r="AQ27" s="282"/>
      <c r="AR27" s="282"/>
      <c r="AS27" s="282"/>
      <c r="AT27" s="282"/>
      <c r="AU27" s="282"/>
      <c r="AV27" s="282"/>
      <c r="AW27" s="282"/>
      <c r="AX27" s="282"/>
      <c r="AY27" s="282"/>
      <c r="AZ27" s="282"/>
      <c r="BA27" s="282"/>
    </row>
    <row r="28" spans="1:53" outlineLevel="1" x14ac:dyDescent="0.35">
      <c r="A28" s="6" t="s">
        <v>30</v>
      </c>
      <c r="Z28" s="6">
        <f>'Results - raw data ReCiPe (H)'!BA23</f>
        <v>8.2652845953532874E-8</v>
      </c>
      <c r="AB28" s="282"/>
      <c r="AC28" s="282"/>
      <c r="AD28" s="282"/>
      <c r="AE28" s="282"/>
      <c r="AF28" s="282"/>
      <c r="AG28" s="282"/>
      <c r="AH28" s="282"/>
      <c r="AI28" s="282"/>
      <c r="AJ28" s="282"/>
      <c r="AK28" s="282"/>
      <c r="AL28" s="282"/>
      <c r="AM28" s="282"/>
      <c r="AN28" s="282"/>
      <c r="AO28" s="282"/>
      <c r="AP28" s="282"/>
      <c r="AQ28" s="282"/>
      <c r="AR28" s="282"/>
      <c r="AS28" s="282"/>
      <c r="AT28" s="282"/>
      <c r="AU28" s="282"/>
      <c r="AV28" s="282"/>
      <c r="AW28" s="282"/>
      <c r="AX28" s="282"/>
      <c r="AY28" s="282"/>
      <c r="AZ28" s="282"/>
      <c r="BA28" s="282"/>
    </row>
    <row r="29" spans="1:53" outlineLevel="1" x14ac:dyDescent="0.35">
      <c r="A29" s="6" t="s">
        <v>32</v>
      </c>
      <c r="Z29" s="6">
        <f>'Results - raw data ReCiPe (H)'!BA24</f>
        <v>7.097868543756944E-9</v>
      </c>
      <c r="AB29" s="282"/>
      <c r="AC29" s="282"/>
      <c r="AD29" s="282"/>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row>
    <row r="30" spans="1:53" outlineLevel="1" x14ac:dyDescent="0.35">
      <c r="A30" s="6" t="s">
        <v>33</v>
      </c>
      <c r="Z30" s="6">
        <f>'Results - raw data ReCiPe (H)'!BA25</f>
        <v>2.110830182896093E-8</v>
      </c>
      <c r="AB30" s="282"/>
      <c r="AC30" s="282"/>
      <c r="AD30" s="282"/>
      <c r="AE30" s="282"/>
      <c r="AF30" s="282"/>
      <c r="AG30" s="282"/>
      <c r="AH30" s="282"/>
      <c r="AI30" s="282"/>
      <c r="AJ30" s="282"/>
      <c r="AK30" s="282"/>
      <c r="AL30" s="282"/>
      <c r="AM30" s="282"/>
      <c r="AN30" s="282"/>
      <c r="AO30" s="282"/>
      <c r="AP30" s="282"/>
      <c r="AQ30" s="282"/>
      <c r="AR30" s="282"/>
      <c r="AS30" s="282"/>
      <c r="AT30" s="282"/>
      <c r="AU30" s="282"/>
      <c r="AV30" s="282"/>
      <c r="AW30" s="282"/>
      <c r="AX30" s="282"/>
      <c r="AY30" s="282"/>
      <c r="AZ30" s="282"/>
      <c r="BA30" s="282"/>
    </row>
    <row r="31" spans="1:53" outlineLevel="1" x14ac:dyDescent="0.35">
      <c r="A31" s="6" t="s">
        <v>35</v>
      </c>
      <c r="Z31" s="6">
        <f>'Results - raw data ReCiPe (H)'!BA26</f>
        <v>4.2216603657921873E-8</v>
      </c>
      <c r="AB31" s="282"/>
      <c r="AC31" s="282"/>
      <c r="AD31" s="282"/>
      <c r="AE31" s="282"/>
      <c r="AF31" s="282"/>
      <c r="AG31" s="282"/>
      <c r="AH31" s="282"/>
      <c r="AI31" s="282"/>
      <c r="AJ31" s="282"/>
      <c r="AK31" s="282"/>
      <c r="AL31" s="282"/>
      <c r="AM31" s="282"/>
      <c r="AN31" s="282"/>
      <c r="AO31" s="282"/>
      <c r="AP31" s="282"/>
      <c r="AQ31" s="282"/>
      <c r="AR31" s="282"/>
      <c r="AS31" s="282"/>
      <c r="AT31" s="282"/>
      <c r="AU31" s="282"/>
      <c r="AV31" s="282"/>
      <c r="AW31" s="282"/>
      <c r="AX31" s="282"/>
      <c r="AY31" s="282"/>
      <c r="AZ31" s="282"/>
      <c r="BA31" s="282"/>
    </row>
    <row r="32" spans="1:53" outlineLevel="1" x14ac:dyDescent="0.35">
      <c r="A32" s="6" t="s">
        <v>37</v>
      </c>
      <c r="Z32" s="6">
        <f>'Results - raw data ReCiPe (H)'!BA27</f>
        <v>1.160130193626278E-7</v>
      </c>
      <c r="AB32" s="282"/>
      <c r="AC32" s="282"/>
      <c r="AD32" s="282"/>
      <c r="AE32" s="282"/>
      <c r="AF32" s="282"/>
      <c r="AG32" s="282"/>
      <c r="AH32" s="282"/>
      <c r="AI32" s="282"/>
      <c r="AJ32" s="282"/>
      <c r="AK32" s="282"/>
      <c r="AL32" s="282"/>
      <c r="AM32" s="282"/>
      <c r="AN32" s="282"/>
      <c r="AO32" s="282"/>
      <c r="AP32" s="282"/>
      <c r="AQ32" s="282"/>
      <c r="AR32" s="282"/>
      <c r="AS32" s="282"/>
      <c r="AT32" s="282"/>
      <c r="AU32" s="282"/>
      <c r="AV32" s="282"/>
      <c r="AW32" s="282"/>
      <c r="AX32" s="282"/>
      <c r="AY32" s="282"/>
      <c r="AZ32" s="282"/>
      <c r="BA32" s="282"/>
    </row>
    <row r="33" spans="1:53" outlineLevel="1" x14ac:dyDescent="0.35">
      <c r="A33" s="6" t="s">
        <v>40</v>
      </c>
      <c r="Z33" s="6">
        <f>'Results - raw data ReCiPe (H)'!BA28</f>
        <v>9.5709423987073597E-7</v>
      </c>
      <c r="AB33" s="282"/>
      <c r="AC33" s="282"/>
      <c r="AD33" s="282"/>
      <c r="AE33" s="282"/>
      <c r="AF33" s="282"/>
      <c r="AG33" s="282"/>
      <c r="AH33" s="282"/>
      <c r="AI33" s="282"/>
      <c r="AJ33" s="282"/>
      <c r="AK33" s="282"/>
      <c r="AL33" s="282"/>
      <c r="AM33" s="282"/>
      <c r="AN33" s="282"/>
      <c r="AO33" s="282"/>
      <c r="AP33" s="282"/>
      <c r="AQ33" s="282"/>
      <c r="AR33" s="282"/>
      <c r="AS33" s="282"/>
      <c r="AT33" s="282"/>
      <c r="AU33" s="282"/>
      <c r="AV33" s="282"/>
      <c r="AW33" s="282"/>
      <c r="AX33" s="282"/>
      <c r="AY33" s="282"/>
      <c r="AZ33" s="282"/>
      <c r="BA33" s="282"/>
    </row>
    <row r="34" spans="1:53" outlineLevel="1" x14ac:dyDescent="0.35">
      <c r="A34" s="6" t="s">
        <v>42</v>
      </c>
      <c r="Z34" s="6">
        <f>'Results - raw data ReCiPe (H)'!BA29</f>
        <v>1.7656694459384321E-7</v>
      </c>
    </row>
    <row r="35" spans="1:53" outlineLevel="1" x14ac:dyDescent="0.35">
      <c r="A35" s="6" t="s">
        <v>115</v>
      </c>
      <c r="Z35" s="6">
        <f>'Results - raw data ReCiPe (H)'!BA30</f>
        <v>1.1591158968542441E-6</v>
      </c>
    </row>
    <row r="36" spans="1:53" outlineLevel="1" x14ac:dyDescent="0.35">
      <c r="A36" s="6" t="s">
        <v>45</v>
      </c>
      <c r="Z36" s="6">
        <f>'Results - raw data ReCiPe (H)'!BA31*AC7*AC8</f>
        <v>9.2615556283479631E-8</v>
      </c>
    </row>
    <row r="37" spans="1:53" outlineLevel="1" x14ac:dyDescent="0.35">
      <c r="A37" s="6" t="s">
        <v>116</v>
      </c>
      <c r="B37" s="6">
        <f>'Results - raw data ReCiPe (H)'!AC32</f>
        <v>4.5446143489064019E-6</v>
      </c>
      <c r="C37" s="6">
        <f>'Results - raw data ReCiPe (H)'!AD32</f>
        <v>4.5375318532980086E-6</v>
      </c>
      <c r="D37" s="6">
        <f>'Results - raw data ReCiPe (H)'!AE32</f>
        <v>4.5304734340900244E-6</v>
      </c>
      <c r="E37" s="6">
        <f>'Results - raw data ReCiPe (H)'!AF32</f>
        <v>4.4990771841472508E-6</v>
      </c>
      <c r="F37" s="6">
        <f>'Results - raw data ReCiPe (H)'!AG32</f>
        <v>4.4919915866917474E-6</v>
      </c>
      <c r="G37" s="6">
        <f>'Results - raw data ReCiPe (H)'!AH32</f>
        <v>4.4849171952101174E-6</v>
      </c>
      <c r="H37" s="6">
        <f>'Results - raw data ReCiPe (H)'!AI32</f>
        <v>4.4904228129143327E-6</v>
      </c>
      <c r="I37" s="6">
        <f>'Results - raw data ReCiPe (H)'!AJ32</f>
        <v>4.4959352490022174E-6</v>
      </c>
      <c r="J37" s="6">
        <f>'Results - raw data ReCiPe (H)'!AK32</f>
        <v>4.4889268251604726E-6</v>
      </c>
      <c r="K37" s="6">
        <f>'Results - raw data ReCiPe (H)'!AL32</f>
        <v>4.4944994140002021E-6</v>
      </c>
      <c r="L37" s="6">
        <f>'Results - raw data ReCiPe (H)'!AM32</f>
        <v>4.5000640197401953E-6</v>
      </c>
      <c r="M37" s="6">
        <f>'Results - raw data ReCiPe (H)'!AN32</f>
        <v>4.5107792253624839E-6</v>
      </c>
      <c r="N37" s="6">
        <f>'Results - raw data ReCiPe (H)'!AO32</f>
        <v>4.5214378334785092E-6</v>
      </c>
      <c r="O37" s="6">
        <f>'Results - raw data ReCiPe (H)'!AP32</f>
        <v>4.5283096521643754E-6</v>
      </c>
      <c r="P37" s="6">
        <f>'Results - raw data ReCiPe (H)'!AQ32</f>
        <v>4.5390097879665774E-6</v>
      </c>
      <c r="Q37" s="6">
        <f>'Results - raw data ReCiPe (H)'!AR32</f>
        <v>4.5497134383595956E-6</v>
      </c>
      <c r="R37" s="6">
        <f>'Results - raw data ReCiPe (H)'!AS32</f>
        <v>4.5331460721649742E-6</v>
      </c>
      <c r="S37" s="6">
        <f>'Results - raw data ReCiPe (H)'!AT32</f>
        <v>4.5163606296090708E-6</v>
      </c>
      <c r="T37" s="6">
        <f>'Results - raw data ReCiPe (H)'!AU32</f>
        <v>4.4955793454683717E-6</v>
      </c>
      <c r="U37" s="6">
        <f>'Results - raw data ReCiPe (H)'!AV32</f>
        <v>4.4784778933645077E-6</v>
      </c>
      <c r="V37" s="6">
        <f>'Results - raw data ReCiPe (H)'!AW32</f>
        <v>4.4612376012212993E-6</v>
      </c>
      <c r="W37" s="6">
        <f>'Results - raw data ReCiPe (H)'!AX32</f>
        <v>4.4518098931988601E-6</v>
      </c>
      <c r="X37" s="6">
        <f>'Results - raw data ReCiPe (H)'!AY32</f>
        <v>4.4218886582910254E-6</v>
      </c>
      <c r="Y37" s="6">
        <f>'Results - raw data ReCiPe (H)'!AZ32</f>
        <v>4.3918023831125164E-6</v>
      </c>
      <c r="Z37" s="6">
        <f>'Results - raw data ReCiPe (H)'!BA32</f>
        <v>4.3615476020125354E-6</v>
      </c>
    </row>
    <row r="38" spans="1:53" outlineLevel="1" x14ac:dyDescent="0.35">
      <c r="A38" s="6" t="s">
        <v>758</v>
      </c>
      <c r="B38" s="6">
        <f>'Results - raw data ReCiPe (H)'!AC167*$AC$7</f>
        <v>2.1411457361923899E-5</v>
      </c>
      <c r="C38" s="6">
        <f>'Results - raw data ReCiPe (H)'!AD167*$AC$7</f>
        <v>2.134626139780347E-5</v>
      </c>
      <c r="D38" s="6">
        <f>'Results - raw data ReCiPe (H)'!AE167*$AC$7</f>
        <v>2.1281080505332481E-5</v>
      </c>
      <c r="E38" s="6">
        <f>'Results - raw data ReCiPe (H)'!AF167*$AC$7</f>
        <v>2.1203888885810071E-5</v>
      </c>
      <c r="F38" s="6">
        <f>'Results - raw data ReCiPe (H)'!AG167*$AC$7</f>
        <v>2.1138597055229607E-5</v>
      </c>
      <c r="G38" s="6">
        <f>'Results - raw data ReCiPe (H)'!AH167*$AC$7</f>
        <v>2.1073273370877479E-5</v>
      </c>
      <c r="H38" s="6">
        <f>'Results - raw data ReCiPe (H)'!AI167*$AC$7</f>
        <v>2.189850791901482E-5</v>
      </c>
      <c r="I38" s="6">
        <f>'Results - raw data ReCiPe (H)'!AJ167*$AC$7</f>
        <v>2.2720225997016439E-5</v>
      </c>
      <c r="J38" s="6">
        <f>'Results - raw data ReCiPe (H)'!AK167*$AC$7</f>
        <v>2.353142565341111E-5</v>
      </c>
      <c r="K38" s="6">
        <f>'Results - raw data ReCiPe (H)'!AL167*$AC$7</f>
        <v>2.4347085307727769E-5</v>
      </c>
      <c r="L38" s="6">
        <f>'Results - raw data ReCiPe (H)'!AM167*$AC$7</f>
        <v>2.5158820491834341E-5</v>
      </c>
      <c r="M38" s="6">
        <f>'Results - raw data ReCiPe (H)'!AN167*$AC$7</f>
        <v>2.6707573548875054E-5</v>
      </c>
      <c r="N38" s="6">
        <f>'Results - raw data ReCiPe (H)'!AO167*$AC$7</f>
        <v>2.8256858849125578E-5</v>
      </c>
      <c r="O38" s="6">
        <f>'Results - raw data ReCiPe (H)'!AP167*$AC$7</f>
        <v>2.9805253849723289E-5</v>
      </c>
      <c r="P38" s="6">
        <f>'Results - raw data ReCiPe (H)'!AQ167*$AC$7</f>
        <v>3.1356304335659161E-5</v>
      </c>
      <c r="Q38" s="6">
        <f>'Results - raw data ReCiPe (H)'!AR167*$AC$7</f>
        <v>3.2908610200607962E-5</v>
      </c>
      <c r="R38" s="6">
        <f>'Results - raw data ReCiPe (H)'!AS167*$AC$7</f>
        <v>3.3053616911178429E-5</v>
      </c>
      <c r="S38" s="6">
        <f>'Results - raw data ReCiPe (H)'!AT167*$AC$7</f>
        <v>3.3200139877901228E-5</v>
      </c>
      <c r="T38" s="6">
        <f>'Results - raw data ReCiPe (H)'!AU167*$AC$7</f>
        <v>3.3346362165411798E-5</v>
      </c>
      <c r="U38" s="6">
        <f>'Results - raw data ReCiPe (H)'!AV167*$AC$7</f>
        <v>3.349536104250592E-5</v>
      </c>
      <c r="V38" s="6">
        <f>'Results - raw data ReCiPe (H)'!AW167*$AC$7</f>
        <v>3.3645334737870039E-5</v>
      </c>
      <c r="W38" s="6">
        <f>'Results - raw data ReCiPe (H)'!AX167*$AC$7</f>
        <v>3.3288671939723599E-5</v>
      </c>
      <c r="X38" s="6">
        <f>'Results - raw data ReCiPe (H)'!AY167*$AC$7</f>
        <v>3.256174309133864E-5</v>
      </c>
      <c r="Y38" s="6">
        <f>'Results - raw data ReCiPe (H)'!AZ167*$AC$7</f>
        <v>3.1835137380265742E-5</v>
      </c>
      <c r="Z38" s="6">
        <f>'Results - raw data ReCiPe (H)'!BA167*$AC$7</f>
        <v>3.1108841210400045E-5</v>
      </c>
    </row>
    <row r="39" spans="1:53" outlineLevel="1" x14ac:dyDescent="0.35">
      <c r="A39" s="6" t="s">
        <v>759</v>
      </c>
      <c r="B39" s="6">
        <f>'Results - raw data ReCiPe (H)'!AC34</f>
        <v>2.0736000294618859E-7</v>
      </c>
      <c r="C39" s="6">
        <f>'Results - raw data ReCiPe (H)'!AD34</f>
        <v>2.0736000294618859E-7</v>
      </c>
      <c r="D39" s="6">
        <f>'Results - raw data ReCiPe (H)'!AE34</f>
        <v>2.0736000294618859E-7</v>
      </c>
      <c r="E39" s="6">
        <f>'Results - raw data ReCiPe (H)'!AF34</f>
        <v>2.0736000294618859E-7</v>
      </c>
      <c r="F39" s="6">
        <f>'Results - raw data ReCiPe (H)'!AG34</f>
        <v>2.0736000294618859E-7</v>
      </c>
      <c r="G39" s="6">
        <f>'Results - raw data ReCiPe (H)'!AH34</f>
        <v>2.0736000294618859E-7</v>
      </c>
      <c r="H39" s="6">
        <f>'Results - raw data ReCiPe (H)'!AI34</f>
        <v>2.0736000294618859E-7</v>
      </c>
      <c r="I39" s="6">
        <f>'Results - raw data ReCiPe (H)'!AJ34</f>
        <v>2.0736000294618859E-7</v>
      </c>
      <c r="J39" s="6">
        <f>'Results - raw data ReCiPe (H)'!AK34</f>
        <v>2.0736000294618859E-7</v>
      </c>
      <c r="K39" s="6">
        <f>'Results - raw data ReCiPe (H)'!AL34</f>
        <v>2.0736000294618859E-7</v>
      </c>
      <c r="L39" s="6">
        <f>'Results - raw data ReCiPe (H)'!AM34</f>
        <v>2.0736000294618859E-7</v>
      </c>
      <c r="M39" s="6">
        <f>'Results - raw data ReCiPe (H)'!AN34</f>
        <v>2.0736000294618859E-7</v>
      </c>
      <c r="N39" s="6">
        <f>'Results - raw data ReCiPe (H)'!AO34</f>
        <v>2.0736000294618859E-7</v>
      </c>
      <c r="O39" s="6">
        <f>'Results - raw data ReCiPe (H)'!AP34</f>
        <v>2.0736000294618859E-7</v>
      </c>
      <c r="P39" s="6">
        <f>'Results - raw data ReCiPe (H)'!AQ34</f>
        <v>2.0736000294618859E-7</v>
      </c>
      <c r="Q39" s="6">
        <f>'Results - raw data ReCiPe (H)'!AR34</f>
        <v>2.0736000294618859E-7</v>
      </c>
      <c r="R39" s="6">
        <f>'Results - raw data ReCiPe (H)'!AS34</f>
        <v>2.0736000294618859E-7</v>
      </c>
      <c r="S39" s="6">
        <f>'Results - raw data ReCiPe (H)'!AT34</f>
        <v>2.0736000294618859E-7</v>
      </c>
      <c r="T39" s="6">
        <f>'Results - raw data ReCiPe (H)'!AU34</f>
        <v>2.0736000294618859E-7</v>
      </c>
      <c r="U39" s="6">
        <f>'Results - raw data ReCiPe (H)'!AV34</f>
        <v>2.0736000294618859E-7</v>
      </c>
      <c r="V39" s="6">
        <f>'Results - raw data ReCiPe (H)'!AW34</f>
        <v>2.0736000294618859E-7</v>
      </c>
      <c r="W39" s="6">
        <f>'Results - raw data ReCiPe (H)'!AX34</f>
        <v>2.0736000294618859E-7</v>
      </c>
      <c r="X39" s="6">
        <f>'Results - raw data ReCiPe (H)'!AY34</f>
        <v>2.0736000294618859E-7</v>
      </c>
      <c r="Y39" s="6">
        <f>'Results - raw data ReCiPe (H)'!AZ34</f>
        <v>2.0736000294618859E-7</v>
      </c>
      <c r="Z39" s="6">
        <f>'Results - raw data ReCiPe (H)'!BA34</f>
        <v>2.0736000294618859E-7</v>
      </c>
    </row>
    <row r="40" spans="1:53" outlineLevel="1" x14ac:dyDescent="0.35">
      <c r="A40" s="6" t="s">
        <v>760</v>
      </c>
      <c r="B40" s="6">
        <f>'Results - raw data ReCiPe (H)'!AC35</f>
        <v>1.589981999168003E-4</v>
      </c>
      <c r="C40" s="6">
        <f>'Results - raw data ReCiPe (H)'!AD35</f>
        <v>1.583829136001397E-4</v>
      </c>
      <c r="D40" s="6">
        <f>'Results - raw data ReCiPe (H)'!AE35</f>
        <v>1.577660127584304E-4</v>
      </c>
      <c r="E40" s="6">
        <f>'Results - raw data ReCiPe (H)'!AF35</f>
        <v>1.5701813078844001E-4</v>
      </c>
      <c r="F40" s="6">
        <f>'Results - raw data ReCiPe (H)'!AG35</f>
        <v>1.563963001753598E-4</v>
      </c>
      <c r="G40" s="6">
        <f>'Results - raw data ReCiPe (H)'!AH35</f>
        <v>1.5577231989261219E-4</v>
      </c>
      <c r="H40" s="6">
        <f>'Results - raw data ReCiPe (H)'!AI35</f>
        <v>1.6687490088103691E-4</v>
      </c>
      <c r="I40" s="6">
        <f>'Results - raw data ReCiPe (H)'!AJ35</f>
        <v>1.7796190075517271E-4</v>
      </c>
      <c r="J40" s="6">
        <f>'Results - raw data ReCiPe (H)'!AK35</f>
        <v>1.889571588882216E-4</v>
      </c>
      <c r="K40" s="6">
        <f>'Results - raw data ReCiPe (H)'!AL35</f>
        <v>2.0002569919449101E-4</v>
      </c>
      <c r="L40" s="6">
        <f>'Results - raw data ReCiPe (H)'!AM35</f>
        <v>2.1107318377602E-4</v>
      </c>
      <c r="M40" s="6">
        <f>'Results - raw data ReCiPe (H)'!AN35</f>
        <v>2.319068938442424E-4</v>
      </c>
      <c r="N40" s="6">
        <f>'Results - raw data ReCiPe (H)'!AO35</f>
        <v>2.5279484548076031E-4</v>
      </c>
      <c r="O40" s="6">
        <f>'Results - raw data ReCiPe (H)'!AP35</f>
        <v>2.7372295314890763E-4</v>
      </c>
      <c r="P40" s="6">
        <f>'Results - raw data ReCiPe (H)'!AQ35</f>
        <v>2.9472895769718503E-4</v>
      </c>
      <c r="Q40" s="6">
        <f>'Results - raw data ReCiPe (H)'!AR35</f>
        <v>3.1579922373353931E-4</v>
      </c>
      <c r="R40" s="6">
        <f>'Results - raw data ReCiPe (H)'!AS35</f>
        <v>3.1806184214588722E-4</v>
      </c>
      <c r="S40" s="6">
        <f>'Results - raw data ReCiPe (H)'!AT35</f>
        <v>3.2034971191487112E-4</v>
      </c>
      <c r="T40" s="6">
        <f>'Results - raw data ReCiPe (H)'!AU35</f>
        <v>3.2264340714087479E-4</v>
      </c>
      <c r="U40" s="6">
        <f>'Results - raw data ReCiPe (H)'!AV35</f>
        <v>3.2497431321338552E-4</v>
      </c>
      <c r="V40" s="6">
        <f>'Results - raw data ReCiPe (H)'!AW35</f>
        <v>3.2732328165209869E-4</v>
      </c>
      <c r="W40" s="6">
        <f>'Results - raw data ReCiPe (H)'!AX35</f>
        <v>3.2303977149125939E-4</v>
      </c>
      <c r="X40" s="6">
        <f>'Results - raw data ReCiPe (H)'!AY35</f>
        <v>3.1388432338712969E-4</v>
      </c>
      <c r="Y40" s="6">
        <f>'Results - raw data ReCiPe (H)'!AZ35</f>
        <v>3.0469689528125009E-4</v>
      </c>
      <c r="Z40" s="6">
        <f>'Results - raw data ReCiPe (H)'!BA35</f>
        <v>2.9547721783998882E-4</v>
      </c>
    </row>
    <row r="41" spans="1:53" outlineLevel="1" x14ac:dyDescent="0.35">
      <c r="A41" s="23" t="s">
        <v>125</v>
      </c>
      <c r="B41" s="17">
        <f>SUM(B10:B40)</f>
        <v>3.9119903760874458E-4</v>
      </c>
      <c r="C41" s="17">
        <f>SUM(C10:C40)</f>
        <v>1.8447406685418737E-4</v>
      </c>
      <c r="D41" s="17">
        <f>SUM(D10:D40)</f>
        <v>1.8378492670079909E-4</v>
      </c>
      <c r="E41" s="17">
        <f>SUM(E10:E40)</f>
        <v>1.8292845686134352E-4</v>
      </c>
      <c r="F41" s="17">
        <f>SUM(F10:F40)</f>
        <v>1.8223424882022734E-4</v>
      </c>
      <c r="G41" s="17">
        <f t="shared" ref="G41:Z41" si="4">SUM(G10:G40)</f>
        <v>1.8153787046164597E-4</v>
      </c>
      <c r="H41" s="17">
        <f t="shared" si="4"/>
        <v>1.9347119161591226E-4</v>
      </c>
      <c r="I41" s="17">
        <f t="shared" si="4"/>
        <v>2.0538542200413757E-4</v>
      </c>
      <c r="J41" s="17">
        <f t="shared" si="4"/>
        <v>2.1718487136973937E-4</v>
      </c>
      <c r="K41" s="17">
        <f t="shared" si="4"/>
        <v>2.2907464391916518E-4</v>
      </c>
      <c r="L41" s="17">
        <f t="shared" si="4"/>
        <v>2.4093942829054072E-4</v>
      </c>
      <c r="M41" s="17">
        <f t="shared" si="4"/>
        <v>2.6333260662142612E-4</v>
      </c>
      <c r="N41" s="17">
        <f t="shared" si="4"/>
        <v>2.8578050216631056E-4</v>
      </c>
      <c r="O41" s="17">
        <f t="shared" si="4"/>
        <v>3.0826387665374149E-4</v>
      </c>
      <c r="P41" s="17">
        <f t="shared" si="4"/>
        <v>3.3083163182375696E-4</v>
      </c>
      <c r="Q41" s="17">
        <f t="shared" si="4"/>
        <v>3.5346490737545304E-4</v>
      </c>
      <c r="R41" s="17">
        <f t="shared" si="4"/>
        <v>3.5585596513217684E-4</v>
      </c>
      <c r="S41" s="17">
        <f t="shared" si="4"/>
        <v>3.5827357242532761E-4</v>
      </c>
      <c r="T41" s="17">
        <f t="shared" si="4"/>
        <v>3.6069270865470113E-4</v>
      </c>
      <c r="U41" s="17">
        <f t="shared" si="4"/>
        <v>3.6315551215220215E-4</v>
      </c>
      <c r="V41" s="17">
        <f t="shared" si="4"/>
        <v>3.6563721399413625E-4</v>
      </c>
      <c r="W41" s="17">
        <f t="shared" si="4"/>
        <v>3.6098761332712802E-4</v>
      </c>
      <c r="X41" s="17">
        <f t="shared" si="4"/>
        <v>3.5107531513970552E-4</v>
      </c>
      <c r="Y41" s="17">
        <f t="shared" si="4"/>
        <v>3.4113119504757455E-4</v>
      </c>
      <c r="Z41" s="17">
        <f t="shared" si="4"/>
        <v>3.3408033383634794E-4</v>
      </c>
    </row>
    <row r="42" spans="1:53" outlineLevel="1" x14ac:dyDescent="0.35"/>
    <row r="43" spans="1:53" s="18" customFormat="1" ht="21" x14ac:dyDescent="0.5">
      <c r="A43" s="18" t="s">
        <v>73</v>
      </c>
    </row>
    <row r="44" spans="1:53" s="20" customFormat="1" outlineLevel="1" x14ac:dyDescent="0.35">
      <c r="A44" s="19" t="s">
        <v>767</v>
      </c>
    </row>
    <row r="45" spans="1:53" s="16" customFormat="1" outlineLevel="1" x14ac:dyDescent="0.35">
      <c r="A45" s="21"/>
      <c r="AB45" s="15" t="s">
        <v>143</v>
      </c>
      <c r="AC45" s="16">
        <f>0.0000000028+0.0000000000000765</f>
        <v>2.8000764999999998E-9</v>
      </c>
      <c r="AD45" s="16" t="s">
        <v>142</v>
      </c>
      <c r="AE45" s="15" t="s">
        <v>714</v>
      </c>
    </row>
    <row r="46" spans="1:53" s="16" customFormat="1" outlineLevel="1" x14ac:dyDescent="0.35">
      <c r="A46" s="22" t="s">
        <v>565</v>
      </c>
      <c r="AC46" s="16">
        <f>AC45*1000</f>
        <v>2.8000765E-6</v>
      </c>
      <c r="AD46" s="16" t="s">
        <v>145</v>
      </c>
    </row>
    <row r="47" spans="1:53" s="16" customFormat="1" outlineLevel="1" x14ac:dyDescent="0.35">
      <c r="A47" s="22"/>
      <c r="AB47" s="16" t="s">
        <v>127</v>
      </c>
      <c r="AC47" s="16">
        <v>100</v>
      </c>
      <c r="AD47" s="16" t="s">
        <v>128</v>
      </c>
    </row>
    <row r="48" spans="1:53" s="16" customFormat="1" outlineLevel="1" x14ac:dyDescent="0.35">
      <c r="A48" s="22"/>
      <c r="AB48" s="16" t="s">
        <v>129</v>
      </c>
      <c r="AC48" s="16">
        <v>25</v>
      </c>
      <c r="AD48" s="16" t="s">
        <v>130</v>
      </c>
    </row>
    <row r="49" spans="1:53" outlineLevel="1" x14ac:dyDescent="0.35">
      <c r="B49" s="25">
        <v>2030</v>
      </c>
      <c r="C49" s="25">
        <v>2031</v>
      </c>
      <c r="D49" s="25">
        <v>2032</v>
      </c>
      <c r="E49" s="25">
        <v>2033</v>
      </c>
      <c r="F49" s="25">
        <v>2034</v>
      </c>
      <c r="G49" s="25">
        <v>2035</v>
      </c>
      <c r="H49" s="25">
        <v>2036</v>
      </c>
      <c r="I49" s="25">
        <v>2037</v>
      </c>
      <c r="J49" s="25">
        <v>2038</v>
      </c>
      <c r="K49" s="25">
        <v>2039</v>
      </c>
      <c r="L49" s="25">
        <v>2040</v>
      </c>
      <c r="M49" s="25">
        <v>2041</v>
      </c>
      <c r="N49" s="25">
        <v>2042</v>
      </c>
      <c r="O49" s="25">
        <v>2043</v>
      </c>
      <c r="P49" s="25">
        <v>2044</v>
      </c>
      <c r="Q49" s="25">
        <v>2045</v>
      </c>
      <c r="R49" s="25">
        <v>2046</v>
      </c>
      <c r="S49" s="25">
        <v>2047</v>
      </c>
      <c r="T49" s="25">
        <v>2048</v>
      </c>
      <c r="U49" s="25">
        <v>2049</v>
      </c>
      <c r="V49" s="25">
        <v>2050</v>
      </c>
      <c r="W49" s="25">
        <v>2051</v>
      </c>
      <c r="X49" s="25">
        <v>2052</v>
      </c>
      <c r="Y49" s="25">
        <v>2053</v>
      </c>
      <c r="Z49" s="25">
        <v>2054</v>
      </c>
      <c r="AC49" s="25">
        <v>2030</v>
      </c>
      <c r="AD49" s="25">
        <v>2031</v>
      </c>
      <c r="AE49" s="25">
        <v>2032</v>
      </c>
      <c r="AF49" s="25">
        <v>2033</v>
      </c>
      <c r="AG49" s="25">
        <v>2034</v>
      </c>
      <c r="AH49" s="25">
        <v>2035</v>
      </c>
      <c r="AI49" s="25">
        <v>2036</v>
      </c>
      <c r="AJ49" s="25">
        <v>2037</v>
      </c>
      <c r="AK49" s="25">
        <v>2038</v>
      </c>
      <c r="AL49" s="25">
        <v>2039</v>
      </c>
      <c r="AM49" s="25">
        <v>2040</v>
      </c>
      <c r="AN49" s="25">
        <v>2041</v>
      </c>
      <c r="AO49" s="25">
        <v>2042</v>
      </c>
      <c r="AP49" s="25">
        <v>2043</v>
      </c>
      <c r="AQ49" s="25">
        <v>2044</v>
      </c>
      <c r="AR49" s="25">
        <v>2045</v>
      </c>
      <c r="AS49" s="25">
        <v>2046</v>
      </c>
      <c r="AT49" s="25">
        <v>2047</v>
      </c>
      <c r="AU49" s="25">
        <v>2048</v>
      </c>
      <c r="AV49" s="25">
        <v>2049</v>
      </c>
      <c r="AW49" s="25">
        <v>2050</v>
      </c>
      <c r="AX49" s="25">
        <v>2051</v>
      </c>
      <c r="AY49" s="25">
        <v>2052</v>
      </c>
      <c r="AZ49" s="25">
        <v>2053</v>
      </c>
      <c r="BA49" s="25">
        <v>2054</v>
      </c>
    </row>
    <row r="50" spans="1:53" outlineLevel="1" x14ac:dyDescent="0.35">
      <c r="A50" s="6" t="s">
        <v>21</v>
      </c>
      <c r="B50" s="6">
        <f>'Results - raw data ReCiPe (H)'!AC41</f>
        <v>3.1244393966085418E-6</v>
      </c>
      <c r="AB50" s="6" t="s">
        <v>117</v>
      </c>
      <c r="AC50" s="6">
        <f>SUM(B50:B61)+B63</f>
        <v>1.8346526921509307E-4</v>
      </c>
    </row>
    <row r="51" spans="1:53" outlineLevel="1" x14ac:dyDescent="0.35">
      <c r="A51" s="6" t="s">
        <v>23</v>
      </c>
      <c r="B51" s="6">
        <f>'Results - raw data ReCiPe (H)'!AC42</f>
        <v>5.6429582916055214E-6</v>
      </c>
      <c r="AB51" s="6" t="s">
        <v>118</v>
      </c>
      <c r="AC51" s="6">
        <f>B62</f>
        <v>1.0765797689579158E-5</v>
      </c>
    </row>
    <row r="52" spans="1:53" outlineLevel="1" x14ac:dyDescent="0.35">
      <c r="A52" s="6" t="s">
        <v>26</v>
      </c>
      <c r="B52" s="6">
        <f>'Results - raw data ReCiPe (H)'!AC43</f>
        <v>1.418628247834127E-5</v>
      </c>
      <c r="AB52" s="6" t="s">
        <v>119</v>
      </c>
      <c r="BA52" s="6">
        <f>SUM(Z64:Z75)</f>
        <v>2.5814369390254752E-6</v>
      </c>
    </row>
    <row r="53" spans="1:53" outlineLevel="1" x14ac:dyDescent="0.35">
      <c r="A53" s="6" t="s">
        <v>28</v>
      </c>
      <c r="B53" s="6">
        <f>'Results - raw data ReCiPe (H)'!AC44</f>
        <v>1.150422510297097E-5</v>
      </c>
      <c r="AB53" s="6" t="s">
        <v>120</v>
      </c>
      <c r="BA53" s="6">
        <f>Z76</f>
        <v>8.9177657234606268E-8</v>
      </c>
    </row>
    <row r="54" spans="1:53" outlineLevel="1" x14ac:dyDescent="0.35">
      <c r="A54" s="6" t="s">
        <v>29</v>
      </c>
      <c r="B54" s="6">
        <f>'Results - raw data ReCiPe (H)'!AC45</f>
        <v>9.1719333838261594E-6</v>
      </c>
      <c r="AB54" s="6" t="s">
        <v>121</v>
      </c>
      <c r="AC54" s="6">
        <f>B77</f>
        <v>4.3941155135361717E-6</v>
      </c>
      <c r="AF54" s="6">
        <f>E77</f>
        <v>4.2507924568478764E-6</v>
      </c>
      <c r="AI54" s="6">
        <f>H77</f>
        <v>4.1207843305059888E-6</v>
      </c>
      <c r="AL54" s="6">
        <f>K77</f>
        <v>3.961479922998473E-6</v>
      </c>
      <c r="AO54" s="6">
        <f>N77</f>
        <v>3.782659921523485E-6</v>
      </c>
      <c r="AR54" s="6">
        <f>Q77</f>
        <v>3.5852486401048028E-6</v>
      </c>
      <c r="AU54" s="6">
        <f>T77</f>
        <v>3.4498744880293848E-6</v>
      </c>
      <c r="AX54" s="6">
        <f>W77</f>
        <v>3.372986237475297E-6</v>
      </c>
      <c r="BA54" s="6">
        <f>Z77</f>
        <v>3.3539861692443772E-6</v>
      </c>
    </row>
    <row r="55" spans="1:53" outlineLevel="1" x14ac:dyDescent="0.35">
      <c r="A55" s="6" t="s">
        <v>31</v>
      </c>
      <c r="B55" s="6">
        <f>'Results - raw data ReCiPe (H)'!AC46</f>
        <v>7.2421411651487134E-6</v>
      </c>
      <c r="AB55" s="6" t="s">
        <v>122</v>
      </c>
      <c r="AC55" s="6">
        <f>B80+B79</f>
        <v>1.3361435604320219E-4</v>
      </c>
      <c r="AD55" s="6">
        <f t="shared" ref="AD55:BA55" si="5">C80+C79</f>
        <v>1.2435162258133729E-4</v>
      </c>
      <c r="AE55" s="6">
        <f t="shared" si="5"/>
        <v>1.1508237983310978E-4</v>
      </c>
      <c r="AF55" s="6">
        <f t="shared" si="5"/>
        <v>1.0566677106744298E-4</v>
      </c>
      <c r="AG55" s="6">
        <f t="shared" si="5"/>
        <v>9.6381925416766273E-5</v>
      </c>
      <c r="AH55" s="6">
        <f t="shared" si="5"/>
        <v>8.70902425505496E-5</v>
      </c>
      <c r="AI55" s="6">
        <f t="shared" si="5"/>
        <v>8.124926805619201E-5</v>
      </c>
      <c r="AJ55" s="6">
        <f t="shared" si="5"/>
        <v>7.5405929888946104E-5</v>
      </c>
      <c r="AK55" s="6">
        <f t="shared" si="5"/>
        <v>6.944717831106104E-5</v>
      </c>
      <c r="AL55" s="6">
        <f t="shared" si="5"/>
        <v>6.358312376437103E-5</v>
      </c>
      <c r="AM55" s="6">
        <f t="shared" si="5"/>
        <v>5.7708346934499931E-5</v>
      </c>
      <c r="AN55" s="6">
        <f t="shared" si="5"/>
        <v>5.3763378307681148E-5</v>
      </c>
      <c r="AO55" s="6">
        <f t="shared" si="5"/>
        <v>4.9798807055253776E-5</v>
      </c>
      <c r="AP55" s="6">
        <f t="shared" si="5"/>
        <v>4.5778917704587026E-5</v>
      </c>
      <c r="AQ55" s="6">
        <f t="shared" si="5"/>
        <v>4.1767328423486589E-5</v>
      </c>
      <c r="AR55" s="6">
        <f t="shared" si="5"/>
        <v>3.7736342371296047E-5</v>
      </c>
      <c r="AS55" s="6">
        <f t="shared" si="5"/>
        <v>3.5947525832154186E-5</v>
      </c>
      <c r="AT55" s="6">
        <f t="shared" si="5"/>
        <v>3.4163542254970762E-5</v>
      </c>
      <c r="AU55" s="6">
        <f t="shared" si="5"/>
        <v>3.2354290354847996E-5</v>
      </c>
      <c r="AV55" s="6">
        <f t="shared" si="5"/>
        <v>3.0578067059847324E-5</v>
      </c>
      <c r="AW55" s="6">
        <f t="shared" si="5"/>
        <v>2.8806914294984728E-5</v>
      </c>
      <c r="AX55" s="6">
        <f t="shared" si="5"/>
        <v>2.8834762225004799E-5</v>
      </c>
      <c r="AY55" s="6">
        <f t="shared" si="5"/>
        <v>2.7994095656881697E-5</v>
      </c>
      <c r="AZ55" s="6">
        <f t="shared" si="5"/>
        <v>2.7149398183460298E-5</v>
      </c>
      <c r="BA55" s="6">
        <f t="shared" si="5"/>
        <v>2.6300571716740338E-5</v>
      </c>
    </row>
    <row r="56" spans="1:53" outlineLevel="1" x14ac:dyDescent="0.35">
      <c r="A56" s="6" t="s">
        <v>34</v>
      </c>
      <c r="B56" s="6">
        <f>'Results - raw data ReCiPe (H)'!AC47</f>
        <v>5.0838586316427567E-6</v>
      </c>
      <c r="AB56" s="6" t="s">
        <v>123</v>
      </c>
      <c r="AC56" s="6">
        <f t="shared" ref="AC56:BA56" si="6">B78</f>
        <v>1.9390949317352811E-5</v>
      </c>
      <c r="AD56" s="6">
        <f t="shared" si="6"/>
        <v>1.8661328509887688E-5</v>
      </c>
      <c r="AE56" s="6">
        <f t="shared" si="6"/>
        <v>1.7934335280055782E-5</v>
      </c>
      <c r="AF56" s="6">
        <f t="shared" si="6"/>
        <v>1.719716485079069E-5</v>
      </c>
      <c r="AG56" s="6">
        <f t="shared" si="6"/>
        <v>1.6475255627199822E-5</v>
      </c>
      <c r="AH56" s="6">
        <f t="shared" si="6"/>
        <v>1.575595438443333E-5</v>
      </c>
      <c r="AI56" s="6">
        <f t="shared" si="6"/>
        <v>1.530367486712303E-5</v>
      </c>
      <c r="AJ56" s="6">
        <f t="shared" si="6"/>
        <v>1.4852137500264339E-5</v>
      </c>
      <c r="AK56" s="6">
        <f t="shared" si="6"/>
        <v>1.4391477212008621E-5</v>
      </c>
      <c r="AL56" s="6">
        <f t="shared" si="6"/>
        <v>1.3940108722479819E-5</v>
      </c>
      <c r="AM56" s="6">
        <f t="shared" si="6"/>
        <v>1.3488775786014369E-5</v>
      </c>
      <c r="AN56" s="6">
        <f t="shared" si="6"/>
        <v>1.318412833728529E-5</v>
      </c>
      <c r="AO56" s="6">
        <f t="shared" si="6"/>
        <v>1.287813160253217E-5</v>
      </c>
      <c r="AP56" s="6">
        <f t="shared" si="6"/>
        <v>1.256763288569512E-5</v>
      </c>
      <c r="AQ56" s="6">
        <f t="shared" si="6"/>
        <v>1.225832953909413E-5</v>
      </c>
      <c r="AR56" s="6">
        <f t="shared" si="6"/>
        <v>1.1947670770425411E-5</v>
      </c>
      <c r="AS56" s="6">
        <f t="shared" si="6"/>
        <v>1.1808529269503159E-5</v>
      </c>
      <c r="AT56" s="6">
        <f t="shared" si="6"/>
        <v>1.1669458023731799E-5</v>
      </c>
      <c r="AU56" s="6">
        <f t="shared" si="6"/>
        <v>1.1527776254451121E-5</v>
      </c>
      <c r="AV56" s="6">
        <f t="shared" si="6"/>
        <v>1.138869247154725E-5</v>
      </c>
      <c r="AW56" s="6">
        <f t="shared" si="6"/>
        <v>1.1249695042970771E-5</v>
      </c>
      <c r="AX56" s="6">
        <f t="shared" si="6"/>
        <v>1.1260350345006189E-5</v>
      </c>
      <c r="AY56" s="6">
        <f t="shared" si="6"/>
        <v>1.119545926327364E-5</v>
      </c>
      <c r="AZ56" s="6">
        <f t="shared" si="6"/>
        <v>1.1130462761508001E-5</v>
      </c>
      <c r="BA56" s="6">
        <f t="shared" si="6"/>
        <v>1.1065351480277341E-5</v>
      </c>
    </row>
    <row r="57" spans="1:53" outlineLevel="1" x14ac:dyDescent="0.35">
      <c r="A57" s="6" t="s">
        <v>36</v>
      </c>
      <c r="B57" s="6">
        <f>'Results - raw data ReCiPe (H)'!AC48</f>
        <v>4.2855500853218693E-6</v>
      </c>
      <c r="AB57" s="6" t="s">
        <v>124</v>
      </c>
      <c r="AC57" s="6">
        <f>-$AC$7*$AC$6</f>
        <v>-2.8000764999999998E-4</v>
      </c>
      <c r="AD57" s="6">
        <f t="shared" ref="AD57:BA57" si="7">-$AC$7*$AC$6</f>
        <v>-2.8000764999999998E-4</v>
      </c>
      <c r="AE57" s="6">
        <f t="shared" si="7"/>
        <v>-2.8000764999999998E-4</v>
      </c>
      <c r="AF57" s="6">
        <f t="shared" si="7"/>
        <v>-2.8000764999999998E-4</v>
      </c>
      <c r="AG57" s="6">
        <f t="shared" si="7"/>
        <v>-2.8000764999999998E-4</v>
      </c>
      <c r="AH57" s="6">
        <f t="shared" si="7"/>
        <v>-2.8000764999999998E-4</v>
      </c>
      <c r="AI57" s="6">
        <f t="shared" si="7"/>
        <v>-2.8000764999999998E-4</v>
      </c>
      <c r="AJ57" s="6">
        <f t="shared" si="7"/>
        <v>-2.8000764999999998E-4</v>
      </c>
      <c r="AK57" s="6">
        <f t="shared" si="7"/>
        <v>-2.8000764999999998E-4</v>
      </c>
      <c r="AL57" s="6">
        <f t="shared" si="7"/>
        <v>-2.8000764999999998E-4</v>
      </c>
      <c r="AM57" s="6">
        <f t="shared" si="7"/>
        <v>-2.8000764999999998E-4</v>
      </c>
      <c r="AN57" s="6">
        <f t="shared" si="7"/>
        <v>-2.8000764999999998E-4</v>
      </c>
      <c r="AO57" s="6">
        <f t="shared" si="7"/>
        <v>-2.8000764999999998E-4</v>
      </c>
      <c r="AP57" s="6">
        <f t="shared" si="7"/>
        <v>-2.8000764999999998E-4</v>
      </c>
      <c r="AQ57" s="6">
        <f t="shared" si="7"/>
        <v>-2.8000764999999998E-4</v>
      </c>
      <c r="AR57" s="6">
        <f t="shared" si="7"/>
        <v>-2.8000764999999998E-4</v>
      </c>
      <c r="AS57" s="6">
        <f t="shared" si="7"/>
        <v>-2.8000764999999998E-4</v>
      </c>
      <c r="AT57" s="6">
        <f t="shared" si="7"/>
        <v>-2.8000764999999998E-4</v>
      </c>
      <c r="AU57" s="6">
        <f t="shared" si="7"/>
        <v>-2.8000764999999998E-4</v>
      </c>
      <c r="AV57" s="6">
        <f t="shared" si="7"/>
        <v>-2.8000764999999998E-4</v>
      </c>
      <c r="AW57" s="6">
        <f t="shared" si="7"/>
        <v>-2.8000764999999998E-4</v>
      </c>
      <c r="AX57" s="6">
        <f t="shared" si="7"/>
        <v>-2.8000764999999998E-4</v>
      </c>
      <c r="AY57" s="6">
        <f t="shared" si="7"/>
        <v>-2.8000764999999998E-4</v>
      </c>
      <c r="AZ57" s="6">
        <f t="shared" si="7"/>
        <v>-2.8000764999999998E-4</v>
      </c>
      <c r="BA57" s="6">
        <f t="shared" si="7"/>
        <v>-2.8000764999999998E-4</v>
      </c>
    </row>
    <row r="58" spans="1:53" outlineLevel="1" x14ac:dyDescent="0.35">
      <c r="A58" s="6" t="s">
        <v>38</v>
      </c>
      <c r="B58" s="6">
        <f>'Results - raw data ReCiPe (H)'!AC49</f>
        <v>2.291638491689332E-5</v>
      </c>
      <c r="AB58" s="23" t="s">
        <v>125</v>
      </c>
      <c r="AC58" s="17">
        <f t="shared" ref="AC58:BA58" si="8">SUM(AC50:AC57)</f>
        <v>7.1622837778763382E-5</v>
      </c>
      <c r="AD58" s="17">
        <f t="shared" si="8"/>
        <v>-1.3699469890877499E-4</v>
      </c>
      <c r="AE58" s="17">
        <f t="shared" si="8"/>
        <v>-1.4699093488683442E-4</v>
      </c>
      <c r="AF58" s="17">
        <f t="shared" si="8"/>
        <v>-1.5289292162491843E-4</v>
      </c>
      <c r="AG58" s="17">
        <f t="shared" si="8"/>
        <v>-1.6715046895603389E-4</v>
      </c>
      <c r="AH58" s="17">
        <f t="shared" si="8"/>
        <v>-1.7716145306501704E-4</v>
      </c>
      <c r="AI58" s="17">
        <f t="shared" si="8"/>
        <v>-1.7933392274617894E-4</v>
      </c>
      <c r="AJ58" s="17">
        <f t="shared" si="8"/>
        <v>-1.8974958261078954E-4</v>
      </c>
      <c r="AK58" s="17">
        <f t="shared" si="8"/>
        <v>-1.9616899447693031E-4</v>
      </c>
      <c r="AL58" s="17">
        <f t="shared" si="8"/>
        <v>-1.9852293759015067E-4</v>
      </c>
      <c r="AM58" s="17">
        <f t="shared" si="8"/>
        <v>-2.0881052727948567E-4</v>
      </c>
      <c r="AN58" s="17">
        <f t="shared" si="8"/>
        <v>-2.1306014335503354E-4</v>
      </c>
      <c r="AO58" s="17">
        <f t="shared" si="8"/>
        <v>-2.1354805142069055E-4</v>
      </c>
      <c r="AP58" s="17">
        <f t="shared" si="8"/>
        <v>-2.2166109940971782E-4</v>
      </c>
      <c r="AQ58" s="17">
        <f t="shared" si="8"/>
        <v>-2.2598199203741927E-4</v>
      </c>
      <c r="AR58" s="17">
        <f t="shared" si="8"/>
        <v>-2.2673838821817374E-4</v>
      </c>
      <c r="AS58" s="17">
        <f t="shared" si="8"/>
        <v>-2.3225159489834263E-4</v>
      </c>
      <c r="AT58" s="17">
        <f t="shared" si="8"/>
        <v>-2.341746497212974E-4</v>
      </c>
      <c r="AU58" s="17">
        <f t="shared" si="8"/>
        <v>-2.3267570890267149E-4</v>
      </c>
      <c r="AV58" s="17">
        <f t="shared" si="8"/>
        <v>-2.3804089046860539E-4</v>
      </c>
      <c r="AW58" s="17">
        <f t="shared" si="8"/>
        <v>-2.399510406620445E-4</v>
      </c>
      <c r="AX58" s="17">
        <f t="shared" si="8"/>
        <v>-2.3653955119251369E-4</v>
      </c>
      <c r="AY58" s="17">
        <f t="shared" si="8"/>
        <v>-2.4081809507984464E-4</v>
      </c>
      <c r="AZ58" s="17">
        <f t="shared" si="8"/>
        <v>-2.4172778905503167E-4</v>
      </c>
      <c r="BA58" s="17">
        <f t="shared" si="8"/>
        <v>-2.3661712603747785E-4</v>
      </c>
    </row>
    <row r="59" spans="1:53" outlineLevel="1" x14ac:dyDescent="0.35">
      <c r="A59" s="6" t="s">
        <v>39</v>
      </c>
      <c r="B59" s="6">
        <f>'Results - raw data ReCiPe (H)'!AC50</f>
        <v>6.8369970539627651E-5</v>
      </c>
    </row>
    <row r="60" spans="1:53" outlineLevel="1" x14ac:dyDescent="0.35">
      <c r="A60" s="6" t="s">
        <v>41</v>
      </c>
      <c r="B60" s="6">
        <f>'Results - raw data ReCiPe (H)'!AC51</f>
        <v>7.1745132553752663E-7</v>
      </c>
    </row>
    <row r="61" spans="1:53" outlineLevel="1" x14ac:dyDescent="0.35">
      <c r="A61" s="6" t="s">
        <v>43</v>
      </c>
      <c r="B61" s="6">
        <f>'Results - raw data ReCiPe (H)'!AC52</f>
        <v>2.0194466025799359E-6</v>
      </c>
      <c r="AB61" s="282"/>
      <c r="AC61" s="282"/>
      <c r="AD61" s="282"/>
      <c r="AE61" s="282"/>
      <c r="AF61" s="282"/>
      <c r="AG61" s="282"/>
      <c r="AH61" s="282"/>
      <c r="AI61" s="282"/>
      <c r="AJ61" s="282"/>
      <c r="AK61" s="282"/>
      <c r="AL61" s="282"/>
      <c r="AM61" s="282"/>
      <c r="AN61" s="282"/>
      <c r="AO61" s="282"/>
      <c r="AP61" s="282"/>
      <c r="AQ61" s="282"/>
      <c r="AR61" s="282"/>
      <c r="AS61" s="282"/>
      <c r="AT61" s="282"/>
      <c r="AU61" s="282"/>
      <c r="AV61" s="282"/>
      <c r="AW61" s="282"/>
      <c r="AX61" s="282"/>
      <c r="AY61" s="282"/>
      <c r="AZ61" s="282"/>
      <c r="BA61" s="282"/>
    </row>
    <row r="62" spans="1:53" outlineLevel="1" x14ac:dyDescent="0.35">
      <c r="A62" s="6" t="s">
        <v>44</v>
      </c>
      <c r="B62" s="6">
        <f>'Results - raw data ReCiPe (H)'!AC53*AC47*AC48</f>
        <v>1.0765797689579158E-5</v>
      </c>
      <c r="AB62" s="282"/>
      <c r="AC62" s="282"/>
      <c r="AD62" s="282"/>
      <c r="AE62" s="282"/>
      <c r="AF62" s="282"/>
      <c r="AG62" s="282"/>
      <c r="AH62" s="282"/>
      <c r="AI62" s="282"/>
      <c r="AJ62" s="282"/>
      <c r="AK62" s="282"/>
      <c r="AL62" s="282"/>
      <c r="AM62" s="282"/>
      <c r="AN62" s="282"/>
      <c r="AO62" s="282"/>
      <c r="AP62" s="282"/>
      <c r="AQ62" s="282"/>
      <c r="AR62" s="282"/>
      <c r="AS62" s="282"/>
      <c r="AT62" s="282"/>
      <c r="AU62" s="282"/>
      <c r="AV62" s="282"/>
      <c r="AW62" s="282"/>
      <c r="AX62" s="282"/>
      <c r="AY62" s="282"/>
      <c r="AZ62" s="282"/>
      <c r="BA62" s="282"/>
    </row>
    <row r="63" spans="1:53" outlineLevel="1" x14ac:dyDescent="0.35">
      <c r="A63" s="6" t="s">
        <v>757</v>
      </c>
      <c r="B63" s="6">
        <f>'Results - raw data ReCiPe (H)'!AC54*AC47*AC48</f>
        <v>2.9200627294988823E-5</v>
      </c>
      <c r="AB63" s="282"/>
      <c r="AC63" s="282"/>
      <c r="AD63" s="282"/>
      <c r="AE63" s="282"/>
      <c r="AF63" s="282"/>
      <c r="AG63" s="282"/>
      <c r="AH63" s="282"/>
      <c r="AI63" s="282"/>
      <c r="AJ63" s="282"/>
      <c r="AK63" s="282"/>
      <c r="AL63" s="282"/>
      <c r="AM63" s="282"/>
      <c r="AN63" s="282"/>
      <c r="AO63" s="282"/>
      <c r="AP63" s="282"/>
      <c r="AQ63" s="282"/>
      <c r="AR63" s="282"/>
      <c r="AS63" s="282"/>
      <c r="AT63" s="282"/>
      <c r="AU63" s="282"/>
      <c r="AV63" s="282"/>
      <c r="AW63" s="282"/>
      <c r="AX63" s="282"/>
      <c r="AY63" s="282"/>
      <c r="AZ63" s="282"/>
      <c r="BA63" s="282"/>
    </row>
    <row r="64" spans="1:53" outlineLevel="1" x14ac:dyDescent="0.35">
      <c r="A64" s="6" t="s">
        <v>22</v>
      </c>
      <c r="Z64" s="6">
        <f>'Results - raw data ReCiPe (H)'!BA55</f>
        <v>6.1478607554612128E-8</v>
      </c>
      <c r="AB64" s="282"/>
      <c r="AC64" s="282"/>
      <c r="AD64" s="282"/>
      <c r="AE64" s="282"/>
      <c r="AF64" s="282"/>
      <c r="AG64" s="282"/>
      <c r="AH64" s="282"/>
      <c r="AI64" s="282"/>
      <c r="AJ64" s="282"/>
      <c r="AK64" s="282"/>
      <c r="AL64" s="282"/>
      <c r="AM64" s="282"/>
      <c r="AN64" s="282"/>
      <c r="AO64" s="282"/>
      <c r="AP64" s="282"/>
      <c r="AQ64" s="282"/>
      <c r="AR64" s="282"/>
      <c r="AS64" s="282"/>
      <c r="AT64" s="282"/>
      <c r="AU64" s="282"/>
      <c r="AV64" s="282"/>
      <c r="AW64" s="282"/>
      <c r="AX64" s="282"/>
      <c r="AY64" s="282"/>
      <c r="AZ64" s="282"/>
      <c r="BA64" s="282"/>
    </row>
    <row r="65" spans="1:53" outlineLevel="1" x14ac:dyDescent="0.35">
      <c r="A65" s="6" t="s">
        <v>24</v>
      </c>
      <c r="Z65" s="6">
        <f>'Results - raw data ReCiPe (H)'!BA56</f>
        <v>2.976482971528415E-8</v>
      </c>
      <c r="AB65" s="282"/>
      <c r="AC65" s="282"/>
      <c r="AD65" s="282"/>
      <c r="AE65" s="282"/>
      <c r="AF65" s="282"/>
      <c r="AG65" s="282"/>
      <c r="AH65" s="282"/>
      <c r="AI65" s="282"/>
      <c r="AJ65" s="282"/>
      <c r="AK65" s="282"/>
      <c r="AL65" s="282"/>
      <c r="AM65" s="282"/>
      <c r="AN65" s="282"/>
      <c r="AO65" s="282"/>
      <c r="AP65" s="282"/>
      <c r="AQ65" s="282"/>
      <c r="AR65" s="282"/>
      <c r="AS65" s="282"/>
      <c r="AT65" s="282"/>
      <c r="AU65" s="282"/>
      <c r="AV65" s="282"/>
      <c r="AW65" s="282"/>
      <c r="AX65" s="282"/>
      <c r="AY65" s="282"/>
      <c r="AZ65" s="282"/>
      <c r="BA65" s="282"/>
    </row>
    <row r="66" spans="1:53" outlineLevel="1" x14ac:dyDescent="0.35">
      <c r="A66" s="6" t="s">
        <v>25</v>
      </c>
      <c r="Z66" s="6">
        <f>'Results - raw data ReCiPe (H)'!BA57</f>
        <v>1.171837262399769E-7</v>
      </c>
      <c r="AB66" s="282"/>
      <c r="AC66" s="282"/>
      <c r="AD66" s="282"/>
      <c r="AE66" s="282"/>
      <c r="AF66" s="282"/>
      <c r="AG66" s="282"/>
      <c r="AH66" s="282"/>
      <c r="AI66" s="282"/>
      <c r="AJ66" s="282"/>
      <c r="AK66" s="282"/>
      <c r="AL66" s="282"/>
      <c r="AM66" s="282"/>
      <c r="AN66" s="282"/>
      <c r="AO66" s="282"/>
      <c r="AP66" s="282"/>
      <c r="AQ66" s="282"/>
      <c r="AR66" s="282"/>
      <c r="AS66" s="282"/>
      <c r="AT66" s="282"/>
      <c r="AU66" s="282"/>
      <c r="AV66" s="282"/>
      <c r="AW66" s="282"/>
      <c r="AX66" s="282"/>
      <c r="AY66" s="282"/>
      <c r="AZ66" s="282"/>
      <c r="BA66" s="282"/>
    </row>
    <row r="67" spans="1:53" outlineLevel="1" x14ac:dyDescent="0.35">
      <c r="A67" s="6" t="s">
        <v>27</v>
      </c>
      <c r="Z67" s="6">
        <f>'Results - raw data ReCiPe (H)'!BA58</f>
        <v>4.3609799371464648E-8</v>
      </c>
      <c r="AB67" s="282"/>
      <c r="AC67" s="282"/>
      <c r="AD67" s="282"/>
      <c r="AE67" s="282"/>
      <c r="AF67" s="282"/>
      <c r="AG67" s="282"/>
      <c r="AH67" s="282"/>
      <c r="AI67" s="282"/>
      <c r="AJ67" s="282"/>
      <c r="AK67" s="282"/>
      <c r="AL67" s="282"/>
      <c r="AM67" s="282"/>
      <c r="AN67" s="282"/>
      <c r="AO67" s="282"/>
      <c r="AP67" s="282"/>
      <c r="AQ67" s="282"/>
      <c r="AR67" s="282"/>
      <c r="AS67" s="282"/>
      <c r="AT67" s="282"/>
      <c r="AU67" s="282"/>
      <c r="AV67" s="282"/>
      <c r="AW67" s="282"/>
      <c r="AX67" s="282"/>
      <c r="AY67" s="282"/>
      <c r="AZ67" s="282"/>
      <c r="BA67" s="282"/>
    </row>
    <row r="68" spans="1:53" outlineLevel="1" x14ac:dyDescent="0.35">
      <c r="A68" s="6" t="s">
        <v>30</v>
      </c>
      <c r="Z68" s="6">
        <f>'Results - raw data ReCiPe (H)'!BA59</f>
        <v>8.1026310749086041E-8</v>
      </c>
      <c r="AB68" s="282"/>
      <c r="AC68" s="282"/>
      <c r="AD68" s="282"/>
      <c r="AE68" s="282"/>
      <c r="AF68" s="282"/>
      <c r="AG68" s="282"/>
      <c r="AH68" s="282"/>
      <c r="AI68" s="282"/>
      <c r="AJ68" s="282"/>
      <c r="AK68" s="282"/>
      <c r="AL68" s="282"/>
      <c r="AM68" s="282"/>
      <c r="AN68" s="282"/>
      <c r="AO68" s="282"/>
      <c r="AP68" s="282"/>
      <c r="AQ68" s="282"/>
      <c r="AR68" s="282"/>
      <c r="AS68" s="282"/>
      <c r="AT68" s="282"/>
      <c r="AU68" s="282"/>
      <c r="AV68" s="282"/>
      <c r="AW68" s="282"/>
      <c r="AX68" s="282"/>
      <c r="AY68" s="282"/>
      <c r="AZ68" s="282"/>
      <c r="BA68" s="282"/>
    </row>
    <row r="69" spans="1:53" outlineLevel="1" x14ac:dyDescent="0.35">
      <c r="A69" s="6" t="s">
        <v>32</v>
      </c>
      <c r="Z69" s="6">
        <f>'Results - raw data ReCiPe (H)'!BA60</f>
        <v>6.462583175159231E-9</v>
      </c>
      <c r="AB69" s="282"/>
      <c r="AC69" s="282"/>
      <c r="AD69" s="282"/>
      <c r="AE69" s="282"/>
      <c r="AF69" s="282"/>
      <c r="AG69" s="282"/>
      <c r="AH69" s="282"/>
      <c r="AI69" s="282"/>
      <c r="AJ69" s="282"/>
      <c r="AK69" s="282"/>
      <c r="AL69" s="282"/>
      <c r="AM69" s="282"/>
      <c r="AN69" s="282"/>
      <c r="AO69" s="282"/>
      <c r="AP69" s="282"/>
      <c r="AQ69" s="282"/>
      <c r="AR69" s="282"/>
      <c r="AS69" s="282"/>
      <c r="AT69" s="282"/>
      <c r="AU69" s="282"/>
      <c r="AV69" s="282"/>
      <c r="AW69" s="282"/>
      <c r="AX69" s="282"/>
      <c r="AY69" s="282"/>
      <c r="AZ69" s="282"/>
      <c r="BA69" s="282"/>
    </row>
    <row r="70" spans="1:53" outlineLevel="1" x14ac:dyDescent="0.35">
      <c r="A70" s="6" t="s">
        <v>33</v>
      </c>
      <c r="Z70" s="6">
        <f>'Results - raw data ReCiPe (H)'!BA61</f>
        <v>2.0587769966053419E-8</v>
      </c>
      <c r="AB70" s="282"/>
      <c r="AC70" s="282"/>
      <c r="AD70" s="282"/>
      <c r="AE70" s="282"/>
      <c r="AF70" s="282"/>
      <c r="AG70" s="282"/>
      <c r="AH70" s="282"/>
      <c r="AI70" s="282"/>
      <c r="AJ70" s="282"/>
      <c r="AK70" s="282"/>
      <c r="AL70" s="282"/>
      <c r="AM70" s="282"/>
      <c r="AN70" s="282"/>
      <c r="AO70" s="282"/>
      <c r="AP70" s="282"/>
      <c r="AQ70" s="282"/>
      <c r="AR70" s="282"/>
      <c r="AS70" s="282"/>
      <c r="AT70" s="282"/>
      <c r="AU70" s="282"/>
      <c r="AV70" s="282"/>
      <c r="AW70" s="282"/>
      <c r="AX70" s="282"/>
      <c r="AY70" s="282"/>
      <c r="AZ70" s="282"/>
      <c r="BA70" s="282"/>
    </row>
    <row r="71" spans="1:53" outlineLevel="1" x14ac:dyDescent="0.35">
      <c r="A71" s="6" t="s">
        <v>35</v>
      </c>
      <c r="Z71" s="6">
        <f>'Results - raw data ReCiPe (H)'!BA62</f>
        <v>4.1175539932106838E-8</v>
      </c>
      <c r="AB71" s="282"/>
      <c r="AC71" s="282"/>
      <c r="AD71" s="282"/>
      <c r="AE71" s="282"/>
      <c r="AF71" s="282"/>
      <c r="AG71" s="282"/>
      <c r="AH71" s="282"/>
      <c r="AI71" s="282"/>
      <c r="AJ71" s="282"/>
      <c r="AK71" s="282"/>
      <c r="AL71" s="282"/>
      <c r="AM71" s="282"/>
      <c r="AN71" s="282"/>
      <c r="AO71" s="282"/>
      <c r="AP71" s="282"/>
      <c r="AQ71" s="282"/>
      <c r="AR71" s="282"/>
      <c r="AS71" s="282"/>
      <c r="AT71" s="282"/>
      <c r="AU71" s="282"/>
      <c r="AV71" s="282"/>
      <c r="AW71" s="282"/>
      <c r="AX71" s="282"/>
      <c r="AY71" s="282"/>
      <c r="AZ71" s="282"/>
      <c r="BA71" s="282"/>
    </row>
    <row r="72" spans="1:53" outlineLevel="1" x14ac:dyDescent="0.35">
      <c r="A72" s="6" t="s">
        <v>37</v>
      </c>
      <c r="Z72" s="6">
        <f>'Results - raw data ReCiPe (H)'!BA63</f>
        <v>1.082893050409224E-7</v>
      </c>
      <c r="AB72" s="282"/>
      <c r="AC72" s="282"/>
      <c r="AD72" s="282"/>
      <c r="AE72" s="282"/>
      <c r="AF72" s="282"/>
      <c r="AG72" s="282"/>
      <c r="AH72" s="282"/>
      <c r="AI72" s="282"/>
      <c r="AJ72" s="282"/>
      <c r="AK72" s="282"/>
      <c r="AL72" s="282"/>
      <c r="AM72" s="282"/>
      <c r="AN72" s="282"/>
      <c r="AO72" s="282"/>
      <c r="AP72" s="282"/>
      <c r="AQ72" s="282"/>
      <c r="AR72" s="282"/>
      <c r="AS72" s="282"/>
      <c r="AT72" s="282"/>
      <c r="AU72" s="282"/>
      <c r="AV72" s="282"/>
      <c r="AW72" s="282"/>
      <c r="AX72" s="282"/>
      <c r="AY72" s="282"/>
      <c r="AZ72" s="282"/>
      <c r="BA72" s="282"/>
    </row>
    <row r="73" spans="1:53" outlineLevel="1" x14ac:dyDescent="0.35">
      <c r="A73" s="6" t="s">
        <v>40</v>
      </c>
      <c r="Z73" s="6">
        <f>'Results - raw data ReCiPe (H)'!BA64</f>
        <v>9.3290002951854711E-7</v>
      </c>
    </row>
    <row r="74" spans="1:53" outlineLevel="1" x14ac:dyDescent="0.35">
      <c r="A74" s="6" t="s">
        <v>42</v>
      </c>
      <c r="Z74" s="6">
        <f>'Results - raw data ReCiPe (H)'!BA65</f>
        <v>1.6127658943828059E-7</v>
      </c>
    </row>
    <row r="75" spans="1:53" outlineLevel="1" x14ac:dyDescent="0.35">
      <c r="A75" s="6" t="s">
        <v>115</v>
      </c>
      <c r="Z75" s="6">
        <f>'Results - raw data ReCiPe (H)'!BA66</f>
        <v>9.7768184832398183E-7</v>
      </c>
    </row>
    <row r="76" spans="1:53" outlineLevel="1" x14ac:dyDescent="0.35">
      <c r="A76" s="6" t="s">
        <v>45</v>
      </c>
      <c r="Z76" s="6">
        <f>'Results - raw data ReCiPe (H)'!BA67*AC47*AC48</f>
        <v>8.9177657234606268E-8</v>
      </c>
    </row>
    <row r="77" spans="1:53" outlineLevel="1" x14ac:dyDescent="0.35">
      <c r="A77" s="6" t="s">
        <v>116</v>
      </c>
      <c r="B77" s="6">
        <f>'Results - raw data ReCiPe (H)'!AC68</f>
        <v>4.3941155135361717E-6</v>
      </c>
      <c r="C77" s="6">
        <f>'Results - raw data ReCiPe (H)'!AD68</f>
        <v>4.3551339936524957E-6</v>
      </c>
      <c r="D77" s="6">
        <f>'Results - raw data ReCiPe (H)'!AE68</f>
        <v>4.3155764585668393E-6</v>
      </c>
      <c r="E77" s="6">
        <f>'Results - raw data ReCiPe (H)'!AF68</f>
        <v>4.2507924568478764E-6</v>
      </c>
      <c r="F77" s="6">
        <f>'Results - raw data ReCiPe (H)'!AG68</f>
        <v>4.2100362106520597E-6</v>
      </c>
      <c r="G77" s="6">
        <f>'Results - raw data ReCiPe (H)'!AH68</f>
        <v>4.1687095630562638E-6</v>
      </c>
      <c r="H77" s="6">
        <f>'Results - raw data ReCiPe (H)'!AI68</f>
        <v>4.1207843305059888E-6</v>
      </c>
      <c r="I77" s="6">
        <f>'Results - raw data ReCiPe (H)'!AJ68</f>
        <v>4.0725727703376247E-6</v>
      </c>
      <c r="J77" s="6">
        <f>'Results - raw data ReCiPe (H)'!AK68</f>
        <v>4.01062457106556E-6</v>
      </c>
      <c r="K77" s="6">
        <f>'Results - raw data ReCiPe (H)'!AL68</f>
        <v>3.961479922998473E-6</v>
      </c>
      <c r="L77" s="6">
        <f>'Results - raw data ReCiPe (H)'!AM68</f>
        <v>3.9118591966726191E-6</v>
      </c>
      <c r="M77" s="6">
        <f>'Results - raw data ReCiPe (H)'!AN68</f>
        <v>3.8471478244737326E-6</v>
      </c>
      <c r="N77" s="6">
        <f>'Results - raw data ReCiPe (H)'!AO68</f>
        <v>3.782659921523485E-6</v>
      </c>
      <c r="O77" s="6">
        <f>'Results - raw data ReCiPe (H)'!AP68</f>
        <v>3.713272756861E-6</v>
      </c>
      <c r="P77" s="6">
        <f>'Results - raw data ReCiPe (H)'!AQ68</f>
        <v>3.6491625076252609E-6</v>
      </c>
      <c r="Q77" s="6">
        <f>'Results - raw data ReCiPe (H)'!AR68</f>
        <v>3.5852486401048028E-6</v>
      </c>
      <c r="R77" s="6">
        <f>'Results - raw data ReCiPe (H)'!AS68</f>
        <v>3.541524251276272E-6</v>
      </c>
      <c r="S77" s="6">
        <f>'Results - raw data ReCiPe (H)'!AT68</f>
        <v>3.497920157316386E-6</v>
      </c>
      <c r="T77" s="6">
        <f>'Results - raw data ReCiPe (H)'!AU68</f>
        <v>3.4498744880293848E-6</v>
      </c>
      <c r="U77" s="6">
        <f>'Results - raw data ReCiPe (H)'!AV68</f>
        <v>3.40659234526044E-6</v>
      </c>
      <c r="V77" s="6">
        <f>'Results - raw data ReCiPe (H)'!AW68</f>
        <v>3.3635236817237319E-6</v>
      </c>
      <c r="W77" s="6">
        <f>'Results - raw data ReCiPe (H)'!AX68</f>
        <v>3.372986237475297E-6</v>
      </c>
      <c r="X77" s="6">
        <f>'Results - raw data ReCiPe (H)'!AY68</f>
        <v>3.366594014311087E-6</v>
      </c>
      <c r="Y77" s="6">
        <f>'Results - raw data ReCiPe (H)'!AZ68</f>
        <v>3.3602610921714248E-6</v>
      </c>
      <c r="Z77" s="6">
        <f>'Results - raw data ReCiPe (H)'!BA68</f>
        <v>3.3539861692443772E-6</v>
      </c>
    </row>
    <row r="78" spans="1:53" outlineLevel="1" x14ac:dyDescent="0.35">
      <c r="A78" s="6" t="s">
        <v>758</v>
      </c>
      <c r="B78" s="6">
        <f>'Results - raw data ReCiPe (H)'!AC173*$AC$47</f>
        <v>1.9390949317352811E-5</v>
      </c>
      <c r="C78" s="6">
        <f>'Results - raw data ReCiPe (H)'!AD173*$AC$47</f>
        <v>1.8661328509887688E-5</v>
      </c>
      <c r="D78" s="6">
        <f>'Results - raw data ReCiPe (H)'!AE173*$AC$47</f>
        <v>1.7934335280055782E-5</v>
      </c>
      <c r="E78" s="6">
        <f>'Results - raw data ReCiPe (H)'!AF173*$AC$47</f>
        <v>1.719716485079069E-5</v>
      </c>
      <c r="F78" s="6">
        <f>'Results - raw data ReCiPe (H)'!AG173*$AC$47</f>
        <v>1.6475255627199822E-5</v>
      </c>
      <c r="G78" s="6">
        <f>'Results - raw data ReCiPe (H)'!AH173*$AC$47</f>
        <v>1.575595438443333E-5</v>
      </c>
      <c r="H78" s="6">
        <f>'Results - raw data ReCiPe (H)'!AI173*$AC$47</f>
        <v>1.530367486712303E-5</v>
      </c>
      <c r="I78" s="6">
        <f>'Results - raw data ReCiPe (H)'!AJ173*$AC$47</f>
        <v>1.4852137500264339E-5</v>
      </c>
      <c r="J78" s="6">
        <f>'Results - raw data ReCiPe (H)'!AK173*$AC$47</f>
        <v>1.4391477212008621E-5</v>
      </c>
      <c r="K78" s="6">
        <f>'Results - raw data ReCiPe (H)'!AL173*$AC$47</f>
        <v>1.3940108722479819E-5</v>
      </c>
      <c r="L78" s="6">
        <f>'Results - raw data ReCiPe (H)'!AM173*$AC$47</f>
        <v>1.3488775786014369E-5</v>
      </c>
      <c r="M78" s="6">
        <f>'Results - raw data ReCiPe (H)'!AN173*$AC$47</f>
        <v>1.318412833728529E-5</v>
      </c>
      <c r="N78" s="6">
        <f>'Results - raw data ReCiPe (H)'!AO173*$AC$47</f>
        <v>1.287813160253217E-5</v>
      </c>
      <c r="O78" s="6">
        <f>'Results - raw data ReCiPe (H)'!AP173*$AC$47</f>
        <v>1.256763288569512E-5</v>
      </c>
      <c r="P78" s="6">
        <f>'Results - raw data ReCiPe (H)'!AQ173*$AC$47</f>
        <v>1.225832953909413E-5</v>
      </c>
      <c r="Q78" s="6">
        <f>'Results - raw data ReCiPe (H)'!AR173*$AC$47</f>
        <v>1.1947670770425411E-5</v>
      </c>
      <c r="R78" s="6">
        <f>'Results - raw data ReCiPe (H)'!AS173*$AC$47</f>
        <v>1.1808529269503159E-5</v>
      </c>
      <c r="S78" s="6">
        <f>'Results - raw data ReCiPe (H)'!AT173*$AC$47</f>
        <v>1.1669458023731799E-5</v>
      </c>
      <c r="T78" s="6">
        <f>'Results - raw data ReCiPe (H)'!AU173*$AC$47</f>
        <v>1.1527776254451121E-5</v>
      </c>
      <c r="U78" s="6">
        <f>'Results - raw data ReCiPe (H)'!AV173*$AC$47</f>
        <v>1.138869247154725E-5</v>
      </c>
      <c r="V78" s="6">
        <f>'Results - raw data ReCiPe (H)'!AW173*$AC$47</f>
        <v>1.1249695042970771E-5</v>
      </c>
      <c r="W78" s="6">
        <f>'Results - raw data ReCiPe (H)'!AX173*$AC$47</f>
        <v>1.1260350345006189E-5</v>
      </c>
      <c r="X78" s="6">
        <f>'Results - raw data ReCiPe (H)'!AY173*$AC$47</f>
        <v>1.119545926327364E-5</v>
      </c>
      <c r="Y78" s="6">
        <f>'Results - raw data ReCiPe (H)'!AZ173*$AC$47</f>
        <v>1.1130462761508001E-5</v>
      </c>
      <c r="Z78" s="6">
        <f>'Results - raw data ReCiPe (H)'!BA173*$AC$47</f>
        <v>1.1065351480277341E-5</v>
      </c>
    </row>
    <row r="79" spans="1:53" outlineLevel="1" x14ac:dyDescent="0.35">
      <c r="A79" s="6" t="s">
        <v>759</v>
      </c>
      <c r="B79" s="6">
        <f>'Results - raw data ReCiPe (H)'!AC70</f>
        <v>2.0736000294618859E-7</v>
      </c>
      <c r="C79" s="6">
        <f>'Results - raw data ReCiPe (H)'!AD70</f>
        <v>2.0736000294618859E-7</v>
      </c>
      <c r="D79" s="6">
        <f>'Results - raw data ReCiPe (H)'!AE70</f>
        <v>2.0736000294618859E-7</v>
      </c>
      <c r="E79" s="6">
        <f>'Results - raw data ReCiPe (H)'!AF70</f>
        <v>2.0736000294618859E-7</v>
      </c>
      <c r="F79" s="6">
        <f>'Results - raw data ReCiPe (H)'!AG70</f>
        <v>2.0736000294618859E-7</v>
      </c>
      <c r="G79" s="6">
        <f>'Results - raw data ReCiPe (H)'!AH70</f>
        <v>2.0736000294618859E-7</v>
      </c>
      <c r="H79" s="6">
        <f>'Results - raw data ReCiPe (H)'!AI70</f>
        <v>2.0736000294618859E-7</v>
      </c>
      <c r="I79" s="6">
        <f>'Results - raw data ReCiPe (H)'!AJ70</f>
        <v>2.0736000294618859E-7</v>
      </c>
      <c r="J79" s="6">
        <f>'Results - raw data ReCiPe (H)'!AK70</f>
        <v>2.0736000294618859E-7</v>
      </c>
      <c r="K79" s="6">
        <f>'Results - raw data ReCiPe (H)'!AL70</f>
        <v>2.0736000294618859E-7</v>
      </c>
      <c r="L79" s="6">
        <f>'Results - raw data ReCiPe (H)'!AM70</f>
        <v>2.0736000294618859E-7</v>
      </c>
      <c r="M79" s="6">
        <f>'Results - raw data ReCiPe (H)'!AN70</f>
        <v>2.0736000294618859E-7</v>
      </c>
      <c r="N79" s="6">
        <f>'Results - raw data ReCiPe (H)'!AO70</f>
        <v>2.0736000294618859E-7</v>
      </c>
      <c r="O79" s="6">
        <f>'Results - raw data ReCiPe (H)'!AP70</f>
        <v>2.0736000294618859E-7</v>
      </c>
      <c r="P79" s="6">
        <f>'Results - raw data ReCiPe (H)'!AQ70</f>
        <v>2.0736000294618859E-7</v>
      </c>
      <c r="Q79" s="6">
        <f>'Results - raw data ReCiPe (H)'!AR70</f>
        <v>2.0736000294618859E-7</v>
      </c>
      <c r="R79" s="6">
        <f>'Results - raw data ReCiPe (H)'!AS70</f>
        <v>2.0736000294618859E-7</v>
      </c>
      <c r="S79" s="6">
        <f>'Results - raw data ReCiPe (H)'!AT70</f>
        <v>2.0736000294618859E-7</v>
      </c>
      <c r="T79" s="6">
        <f>'Results - raw data ReCiPe (H)'!AU70</f>
        <v>2.0736000294618859E-7</v>
      </c>
      <c r="U79" s="6">
        <f>'Results - raw data ReCiPe (H)'!AV70</f>
        <v>2.0736000294618859E-7</v>
      </c>
      <c r="V79" s="6">
        <f>'Results - raw data ReCiPe (H)'!AW70</f>
        <v>2.0736000294618859E-7</v>
      </c>
      <c r="W79" s="6">
        <f>'Results - raw data ReCiPe (H)'!AX70</f>
        <v>2.0736000294618859E-7</v>
      </c>
      <c r="X79" s="6">
        <f>'Results - raw data ReCiPe (H)'!AY70</f>
        <v>2.0736000294618859E-7</v>
      </c>
      <c r="Y79" s="6">
        <f>'Results - raw data ReCiPe (H)'!AZ70</f>
        <v>2.0736000294618859E-7</v>
      </c>
      <c r="Z79" s="6">
        <f>'Results - raw data ReCiPe (H)'!BA70</f>
        <v>2.0736000294618859E-7</v>
      </c>
    </row>
    <row r="80" spans="1:53" outlineLevel="1" x14ac:dyDescent="0.35">
      <c r="A80" s="6" t="s">
        <v>760</v>
      </c>
      <c r="B80" s="6">
        <f>'Results - raw data ReCiPe (H)'!AC71</f>
        <v>1.33406996040256E-4</v>
      </c>
      <c r="C80" s="6">
        <f>'Results - raw data ReCiPe (H)'!AD71</f>
        <v>1.241442625783911E-4</v>
      </c>
      <c r="D80" s="6">
        <f>'Results - raw data ReCiPe (H)'!AE71</f>
        <v>1.1487501983016359E-4</v>
      </c>
      <c r="E80" s="6">
        <f>'Results - raw data ReCiPe (H)'!AF71</f>
        <v>1.0545941106449679E-4</v>
      </c>
      <c r="F80" s="6">
        <f>'Results - raw data ReCiPe (H)'!AG71</f>
        <v>9.6174565413820084E-5</v>
      </c>
      <c r="G80" s="6">
        <f>'Results - raw data ReCiPe (H)'!AH71</f>
        <v>8.6882882547603411E-5</v>
      </c>
      <c r="H80" s="6">
        <f>'Results - raw data ReCiPe (H)'!AI71</f>
        <v>8.1041908053245822E-5</v>
      </c>
      <c r="I80" s="6">
        <f>'Results - raw data ReCiPe (H)'!AJ71</f>
        <v>7.5198569885999916E-5</v>
      </c>
      <c r="J80" s="6">
        <f>'Results - raw data ReCiPe (H)'!AK71</f>
        <v>6.9239818308114852E-5</v>
      </c>
      <c r="K80" s="6">
        <f>'Results - raw data ReCiPe (H)'!AL71</f>
        <v>6.3375763761424841E-5</v>
      </c>
      <c r="L80" s="6">
        <f>'Results - raw data ReCiPe (H)'!AM71</f>
        <v>5.7500986931553743E-5</v>
      </c>
      <c r="M80" s="6">
        <f>'Results - raw data ReCiPe (H)'!AN71</f>
        <v>5.3556018304734959E-5</v>
      </c>
      <c r="N80" s="6">
        <f>'Results - raw data ReCiPe (H)'!AO71</f>
        <v>4.9591447052307587E-5</v>
      </c>
      <c r="O80" s="6">
        <f>'Results - raw data ReCiPe (H)'!AP71</f>
        <v>4.5571557701640838E-5</v>
      </c>
      <c r="P80" s="6">
        <f>'Results - raw data ReCiPe (H)'!AQ71</f>
        <v>4.1559968420540401E-5</v>
      </c>
      <c r="Q80" s="6">
        <f>'Results - raw data ReCiPe (H)'!AR71</f>
        <v>3.7528982368349858E-5</v>
      </c>
      <c r="R80" s="6">
        <f>'Results - raw data ReCiPe (H)'!AS71</f>
        <v>3.5740165829207997E-5</v>
      </c>
      <c r="S80" s="6">
        <f>'Results - raw data ReCiPe (H)'!AT71</f>
        <v>3.3956182252024573E-5</v>
      </c>
      <c r="T80" s="6">
        <f>'Results - raw data ReCiPe (H)'!AU71</f>
        <v>3.2146930351901807E-5</v>
      </c>
      <c r="U80" s="6">
        <f>'Results - raw data ReCiPe (H)'!AV71</f>
        <v>3.0370707056901139E-5</v>
      </c>
      <c r="V80" s="6">
        <f>'Results - raw data ReCiPe (H)'!AW71</f>
        <v>2.859955429203854E-5</v>
      </c>
      <c r="W80" s="6">
        <f>'Results - raw data ReCiPe (H)'!AX71</f>
        <v>2.862740222205861E-5</v>
      </c>
      <c r="X80" s="6">
        <f>'Results - raw data ReCiPe (H)'!AY71</f>
        <v>2.7786735653935509E-5</v>
      </c>
      <c r="Y80" s="6">
        <f>'Results - raw data ReCiPe (H)'!AZ71</f>
        <v>2.694203818051411E-5</v>
      </c>
      <c r="Z80" s="6">
        <f>'Results - raw data ReCiPe (H)'!BA71</f>
        <v>2.6093211713794149E-5</v>
      </c>
    </row>
    <row r="81" spans="1:53" outlineLevel="1" x14ac:dyDescent="0.35">
      <c r="A81" s="23" t="s">
        <v>125</v>
      </c>
      <c r="B81" s="17">
        <f t="shared" ref="B81:Z81" si="9">SUM(B50:B80)</f>
        <v>3.5163048777876342E-4</v>
      </c>
      <c r="C81" s="17">
        <f t="shared" si="9"/>
        <v>1.4736808508487747E-4</v>
      </c>
      <c r="D81" s="17">
        <f t="shared" si="9"/>
        <v>1.3733229157173241E-4</v>
      </c>
      <c r="E81" s="17">
        <f t="shared" si="9"/>
        <v>1.2711472837508155E-4</v>
      </c>
      <c r="F81" s="17">
        <f t="shared" si="9"/>
        <v>1.1706721725461815E-4</v>
      </c>
      <c r="G81" s="17">
        <f t="shared" si="9"/>
        <v>1.0701490649803919E-4</v>
      </c>
      <c r="H81" s="17">
        <f t="shared" si="9"/>
        <v>1.0067372725382104E-4</v>
      </c>
      <c r="I81" s="17">
        <f t="shared" si="9"/>
        <v>9.4330640159548065E-5</v>
      </c>
      <c r="J81" s="17">
        <f t="shared" si="9"/>
        <v>8.7849280094135228E-5</v>
      </c>
      <c r="K81" s="17">
        <f t="shared" si="9"/>
        <v>8.1484712409849315E-5</v>
      </c>
      <c r="L81" s="17">
        <f t="shared" si="9"/>
        <v>7.5108981917186923E-5</v>
      </c>
      <c r="M81" s="17">
        <f t="shared" si="9"/>
        <v>7.0794654469440177E-5</v>
      </c>
      <c r="N81" s="17">
        <f t="shared" si="9"/>
        <v>6.6459598579309432E-5</v>
      </c>
      <c r="O81" s="17">
        <f t="shared" si="9"/>
        <v>6.2059823347143146E-5</v>
      </c>
      <c r="P81" s="17">
        <f t="shared" si="9"/>
        <v>5.767482047020598E-5</v>
      </c>
      <c r="Q81" s="17">
        <f t="shared" si="9"/>
        <v>5.3269261781826259E-5</v>
      </c>
      <c r="R81" s="17">
        <f t="shared" si="9"/>
        <v>5.1297579352933622E-5</v>
      </c>
      <c r="S81" s="17">
        <f t="shared" si="9"/>
        <v>4.9330920436018945E-5</v>
      </c>
      <c r="T81" s="17">
        <f t="shared" si="9"/>
        <v>4.7331941097328503E-5</v>
      </c>
      <c r="U81" s="17">
        <f t="shared" si="9"/>
        <v>4.5373351876655019E-5</v>
      </c>
      <c r="V81" s="17">
        <f t="shared" si="9"/>
        <v>4.342013301967923E-5</v>
      </c>
      <c r="W81" s="17">
        <f t="shared" si="9"/>
        <v>4.3468098807486286E-5</v>
      </c>
      <c r="X81" s="17">
        <f t="shared" si="9"/>
        <v>4.2556148934466421E-5</v>
      </c>
      <c r="Y81" s="17">
        <f t="shared" si="9"/>
        <v>4.1640122037139726E-5</v>
      </c>
      <c r="Z81" s="17">
        <f t="shared" si="9"/>
        <v>4.3390523962522136E-5</v>
      </c>
    </row>
    <row r="82" spans="1:53" outlineLevel="1" x14ac:dyDescent="0.35"/>
    <row r="83" spans="1:53" s="18" customFormat="1" ht="21" x14ac:dyDescent="0.5">
      <c r="A83" s="18" t="s">
        <v>94</v>
      </c>
    </row>
    <row r="84" spans="1:53" s="20" customFormat="1" outlineLevel="1" x14ac:dyDescent="0.35">
      <c r="A84" s="19" t="s">
        <v>767</v>
      </c>
    </row>
    <row r="85" spans="1:53" s="16" customFormat="1" outlineLevel="1" x14ac:dyDescent="0.35">
      <c r="A85" s="21"/>
      <c r="AB85" s="15" t="s">
        <v>143</v>
      </c>
      <c r="AC85" s="16">
        <f>0.0000000028+0.0000000000000765</f>
        <v>2.8000764999999998E-9</v>
      </c>
      <c r="AD85" s="16" t="s">
        <v>142</v>
      </c>
      <c r="AE85" s="15" t="s">
        <v>714</v>
      </c>
    </row>
    <row r="86" spans="1:53" s="16" customFormat="1" outlineLevel="1" x14ac:dyDescent="0.35">
      <c r="A86" s="22" t="s">
        <v>565</v>
      </c>
      <c r="AC86" s="16">
        <f>AC85*1000</f>
        <v>2.8000765E-6</v>
      </c>
      <c r="AD86" s="16" t="s">
        <v>145</v>
      </c>
    </row>
    <row r="87" spans="1:53" s="16" customFormat="1" outlineLevel="1" x14ac:dyDescent="0.35">
      <c r="A87" s="22"/>
      <c r="AB87" s="16" t="s">
        <v>127</v>
      </c>
      <c r="AC87" s="16">
        <v>100</v>
      </c>
      <c r="AD87" s="16" t="s">
        <v>128</v>
      </c>
    </row>
    <row r="88" spans="1:53" s="16" customFormat="1" outlineLevel="1" x14ac:dyDescent="0.35">
      <c r="A88" s="22"/>
      <c r="AB88" s="16" t="s">
        <v>129</v>
      </c>
      <c r="AC88" s="16">
        <v>25</v>
      </c>
      <c r="AD88" s="16" t="s">
        <v>130</v>
      </c>
    </row>
    <row r="89" spans="1:53" outlineLevel="1" x14ac:dyDescent="0.35">
      <c r="B89" s="25">
        <v>2030</v>
      </c>
      <c r="C89" s="25">
        <v>2031</v>
      </c>
      <c r="D89" s="25">
        <v>2032</v>
      </c>
      <c r="E89" s="25">
        <v>2033</v>
      </c>
      <c r="F89" s="25">
        <v>2034</v>
      </c>
      <c r="G89" s="25">
        <v>2035</v>
      </c>
      <c r="H89" s="25">
        <v>2036</v>
      </c>
      <c r="I89" s="25">
        <v>2037</v>
      </c>
      <c r="J89" s="25">
        <v>2038</v>
      </c>
      <c r="K89" s="25">
        <v>2039</v>
      </c>
      <c r="L89" s="25">
        <v>2040</v>
      </c>
      <c r="M89" s="25">
        <v>2041</v>
      </c>
      <c r="N89" s="25">
        <v>2042</v>
      </c>
      <c r="O89" s="25">
        <v>2043</v>
      </c>
      <c r="P89" s="25">
        <v>2044</v>
      </c>
      <c r="Q89" s="25">
        <v>2045</v>
      </c>
      <c r="R89" s="25">
        <v>2046</v>
      </c>
      <c r="S89" s="25">
        <v>2047</v>
      </c>
      <c r="T89" s="25">
        <v>2048</v>
      </c>
      <c r="U89" s="25">
        <v>2049</v>
      </c>
      <c r="V89" s="25">
        <v>2050</v>
      </c>
      <c r="W89" s="25">
        <v>2051</v>
      </c>
      <c r="X89" s="25">
        <v>2052</v>
      </c>
      <c r="Y89" s="25">
        <v>2053</v>
      </c>
      <c r="Z89" s="25">
        <v>2054</v>
      </c>
      <c r="AC89" s="25">
        <v>2030</v>
      </c>
      <c r="AD89" s="25">
        <v>2031</v>
      </c>
      <c r="AE89" s="25">
        <v>2032</v>
      </c>
      <c r="AF89" s="25">
        <v>2033</v>
      </c>
      <c r="AG89" s="25">
        <v>2034</v>
      </c>
      <c r="AH89" s="25">
        <v>2035</v>
      </c>
      <c r="AI89" s="25">
        <v>2036</v>
      </c>
      <c r="AJ89" s="25">
        <v>2037</v>
      </c>
      <c r="AK89" s="25">
        <v>2038</v>
      </c>
      <c r="AL89" s="25">
        <v>2039</v>
      </c>
      <c r="AM89" s="25">
        <v>2040</v>
      </c>
      <c r="AN89" s="25">
        <v>2041</v>
      </c>
      <c r="AO89" s="25">
        <v>2042</v>
      </c>
      <c r="AP89" s="25">
        <v>2043</v>
      </c>
      <c r="AQ89" s="25">
        <v>2044</v>
      </c>
      <c r="AR89" s="25">
        <v>2045</v>
      </c>
      <c r="AS89" s="25">
        <v>2046</v>
      </c>
      <c r="AT89" s="25">
        <v>2047</v>
      </c>
      <c r="AU89" s="25">
        <v>2048</v>
      </c>
      <c r="AV89" s="25">
        <v>2049</v>
      </c>
      <c r="AW89" s="25">
        <v>2050</v>
      </c>
      <c r="AX89" s="25">
        <v>2051</v>
      </c>
      <c r="AY89" s="25">
        <v>2052</v>
      </c>
      <c r="AZ89" s="25">
        <v>2053</v>
      </c>
      <c r="BA89" s="25">
        <v>2054</v>
      </c>
    </row>
    <row r="90" spans="1:53" outlineLevel="1" x14ac:dyDescent="0.35">
      <c r="A90" s="6" t="s">
        <v>21</v>
      </c>
      <c r="B90" s="6">
        <f>'Results - raw data ReCiPe (H)'!AC77</f>
        <v>2.5730574523951919E-6</v>
      </c>
      <c r="AB90" s="6" t="s">
        <v>117</v>
      </c>
      <c r="AC90" s="6">
        <f>SUM(B90:B101)+B103</f>
        <v>1.5226911141711527E-4</v>
      </c>
    </row>
    <row r="91" spans="1:53" outlineLevel="1" x14ac:dyDescent="0.35">
      <c r="A91" s="6" t="s">
        <v>23</v>
      </c>
      <c r="B91" s="6">
        <f>'Results - raw data ReCiPe (H)'!AC78</f>
        <v>4.8920761983372821E-6</v>
      </c>
      <c r="AB91" s="6" t="s">
        <v>118</v>
      </c>
      <c r="AC91" s="6">
        <f>B102</f>
        <v>9.7865963272845992E-6</v>
      </c>
    </row>
    <row r="92" spans="1:53" outlineLevel="1" x14ac:dyDescent="0.35">
      <c r="A92" s="6" t="s">
        <v>26</v>
      </c>
      <c r="B92" s="6">
        <f>'Results - raw data ReCiPe (H)'!AC79</f>
        <v>1.2592987091342301E-5</v>
      </c>
      <c r="AB92" s="6" t="s">
        <v>119</v>
      </c>
      <c r="BA92" s="6">
        <f>SUM(Z104:Z115)</f>
        <v>2.4979772832792044E-6</v>
      </c>
    </row>
    <row r="93" spans="1:53" outlineLevel="1" x14ac:dyDescent="0.35">
      <c r="A93" s="6" t="s">
        <v>28</v>
      </c>
      <c r="B93" s="6">
        <f>'Results - raw data ReCiPe (H)'!AC80</f>
        <v>9.5688269134472151E-6</v>
      </c>
      <c r="AB93" s="6" t="s">
        <v>120</v>
      </c>
      <c r="BA93" s="6">
        <f>Z116</f>
        <v>8.9291412421487725E-8</v>
      </c>
    </row>
    <row r="94" spans="1:53" outlineLevel="1" x14ac:dyDescent="0.35">
      <c r="A94" s="6" t="s">
        <v>29</v>
      </c>
      <c r="B94" s="6">
        <f>'Results - raw data ReCiPe (H)'!AC81</f>
        <v>7.5789098247603887E-6</v>
      </c>
      <c r="AB94" s="6" t="s">
        <v>121</v>
      </c>
      <c r="AC94" s="6">
        <f>B117</f>
        <v>3.715731652454359E-6</v>
      </c>
      <c r="AF94" s="6">
        <f>E117</f>
        <v>3.5013590415283682E-6</v>
      </c>
      <c r="AI94" s="6">
        <f>H117</f>
        <v>3.359625974222981E-6</v>
      </c>
      <c r="AL94" s="6">
        <f>K117</f>
        <v>3.3222042704526711E-6</v>
      </c>
      <c r="AO94" s="6">
        <f>N117</f>
        <v>3.3098090978734569E-6</v>
      </c>
      <c r="AR94" s="6">
        <f>Q117</f>
        <v>3.2987119954850761E-6</v>
      </c>
      <c r="AU94" s="6">
        <f>T117</f>
        <v>3.278896138541998E-6</v>
      </c>
      <c r="AX94" s="6">
        <f>W117</f>
        <v>3.2828870256197742E-6</v>
      </c>
      <c r="BA94" s="6">
        <f>Z117</f>
        <v>3.2779455111866361E-6</v>
      </c>
    </row>
    <row r="95" spans="1:53" outlineLevel="1" x14ac:dyDescent="0.35">
      <c r="A95" s="6" t="s">
        <v>31</v>
      </c>
      <c r="B95" s="6">
        <f>'Results - raw data ReCiPe (H)'!AC82</f>
        <v>6.5339554735163091E-6</v>
      </c>
      <c r="AB95" s="6" t="s">
        <v>122</v>
      </c>
      <c r="AC95" s="6">
        <f>B120+B119</f>
        <v>6.3717328796313093E-5</v>
      </c>
      <c r="AD95" s="6">
        <f t="shared" ref="AD95:BA95" si="10">C120+C119</f>
        <v>5.6064869259432871E-5</v>
      </c>
      <c r="AE95" s="6">
        <f t="shared" si="10"/>
        <v>4.8387865202493779E-5</v>
      </c>
      <c r="AF95" s="6">
        <f t="shared" si="10"/>
        <v>4.0517758274940266E-5</v>
      </c>
      <c r="AG95" s="6">
        <f t="shared" si="10"/>
        <v>3.2780388556367346E-5</v>
      </c>
      <c r="AH95" s="6">
        <f t="shared" si="10"/>
        <v>2.5018586502988008E-5</v>
      </c>
      <c r="AI95" s="6">
        <f t="shared" si="10"/>
        <v>2.4397784673646839E-5</v>
      </c>
      <c r="AJ95" s="6">
        <f t="shared" si="10"/>
        <v>2.3766644488374709E-5</v>
      </c>
      <c r="AK95" s="6">
        <f t="shared" si="10"/>
        <v>2.2968897962791128E-5</v>
      </c>
      <c r="AL95" s="6">
        <f t="shared" si="10"/>
        <v>2.2308068249612139E-5</v>
      </c>
      <c r="AM95" s="6">
        <f t="shared" si="10"/>
        <v>2.1636248337898779E-5</v>
      </c>
      <c r="AN95" s="6">
        <f t="shared" si="10"/>
        <v>2.1186751507580927E-5</v>
      </c>
      <c r="AO95" s="6">
        <f t="shared" si="10"/>
        <v>2.0735727732456728E-5</v>
      </c>
      <c r="AP95" s="6">
        <f t="shared" si="10"/>
        <v>2.0237052755713819E-5</v>
      </c>
      <c r="AQ95" s="6">
        <f t="shared" si="10"/>
        <v>1.977188367707933E-5</v>
      </c>
      <c r="AR95" s="6">
        <f t="shared" si="10"/>
        <v>1.930151207486615E-5</v>
      </c>
      <c r="AS95" s="6">
        <f t="shared" si="10"/>
        <v>1.750980975287537E-5</v>
      </c>
      <c r="AT95" s="6">
        <f t="shared" si="10"/>
        <v>1.573940713515193E-5</v>
      </c>
      <c r="AU95" s="6">
        <f t="shared" si="10"/>
        <v>1.3954408532416669E-5</v>
      </c>
      <c r="AV95" s="6">
        <f t="shared" si="10"/>
        <v>1.2223309099940228E-5</v>
      </c>
      <c r="AW95" s="6">
        <f t="shared" si="10"/>
        <v>1.0506036422635848E-5</v>
      </c>
      <c r="AX95" s="6">
        <f t="shared" si="10"/>
        <v>1.0245999437767839E-5</v>
      </c>
      <c r="AY95" s="6">
        <f t="shared" si="10"/>
        <v>9.0410572106458026E-6</v>
      </c>
      <c r="AZ95" s="6">
        <f t="shared" si="10"/>
        <v>7.8342904707184229E-6</v>
      </c>
      <c r="BA95" s="6">
        <f t="shared" si="10"/>
        <v>6.6254960565204505E-6</v>
      </c>
    </row>
    <row r="96" spans="1:53" outlineLevel="1" x14ac:dyDescent="0.35">
      <c r="A96" s="6" t="s">
        <v>34</v>
      </c>
      <c r="B96" s="6">
        <f>'Results - raw data ReCiPe (H)'!AC83</f>
        <v>4.3369769417194421E-6</v>
      </c>
      <c r="AB96" s="6" t="s">
        <v>123</v>
      </c>
      <c r="AC96" s="6">
        <f t="shared" ref="AC96:BA96" si="11">B118</f>
        <v>1.397230697958846E-5</v>
      </c>
      <c r="AD96" s="6">
        <f t="shared" si="11"/>
        <v>1.3373121876380491E-5</v>
      </c>
      <c r="AE96" s="6">
        <f t="shared" si="11"/>
        <v>1.277580237849213E-5</v>
      </c>
      <c r="AF96" s="6">
        <f t="shared" si="11"/>
        <v>1.2165413569094758E-5</v>
      </c>
      <c r="AG96" s="6">
        <f t="shared" si="11"/>
        <v>1.1571002647046209E-5</v>
      </c>
      <c r="AH96" s="6">
        <f t="shared" si="11"/>
        <v>1.0978455728925081E-5</v>
      </c>
      <c r="AI96" s="6">
        <f t="shared" si="11"/>
        <v>1.092974602111803E-5</v>
      </c>
      <c r="AJ96" s="6">
        <f t="shared" si="11"/>
        <v>1.088040475074631E-5</v>
      </c>
      <c r="AK96" s="6">
        <f t="shared" si="11"/>
        <v>1.081749524820995E-5</v>
      </c>
      <c r="AL96" s="6">
        <f t="shared" si="11"/>
        <v>1.076627063653383E-5</v>
      </c>
      <c r="AM96" s="6">
        <f t="shared" si="11"/>
        <v>1.071439394199937E-5</v>
      </c>
      <c r="AN96" s="6">
        <f t="shared" si="11"/>
        <v>1.067964304694314E-5</v>
      </c>
      <c r="AO96" s="6">
        <f t="shared" si="11"/>
        <v>1.064476665709213E-5</v>
      </c>
      <c r="AP96" s="6">
        <f t="shared" si="11"/>
        <v>1.060587016109457E-5</v>
      </c>
      <c r="AQ96" s="6">
        <f t="shared" si="11"/>
        <v>1.056990743151152E-5</v>
      </c>
      <c r="AR96" s="6">
        <f t="shared" si="11"/>
        <v>1.053353477728358E-5</v>
      </c>
      <c r="AS96" s="6">
        <f t="shared" si="11"/>
        <v>1.0396951995731101E-5</v>
      </c>
      <c r="AT96" s="6">
        <f t="shared" si="11"/>
        <v>1.026077440225023E-5</v>
      </c>
      <c r="AU96" s="6">
        <f t="shared" si="11"/>
        <v>1.0121927378484881E-5</v>
      </c>
      <c r="AV96" s="6">
        <f t="shared" si="11"/>
        <v>9.9863608625909252E-6</v>
      </c>
      <c r="AW96" s="6">
        <f t="shared" si="11"/>
        <v>9.8506685184270553E-6</v>
      </c>
      <c r="AX96" s="6">
        <f t="shared" si="11"/>
        <v>9.8422770775849935E-6</v>
      </c>
      <c r="AY96" s="6">
        <f t="shared" si="11"/>
        <v>9.7523558459090229E-6</v>
      </c>
      <c r="AZ96" s="6">
        <f t="shared" si="11"/>
        <v>9.6625663797943337E-6</v>
      </c>
      <c r="BA96" s="6">
        <f t="shared" si="11"/>
        <v>9.5728908880754938E-6</v>
      </c>
    </row>
    <row r="97" spans="1:53" outlineLevel="1" x14ac:dyDescent="0.35">
      <c r="A97" s="6" t="s">
        <v>36</v>
      </c>
      <c r="B97" s="6">
        <f>'Results - raw data ReCiPe (H)'!AC84</f>
        <v>3.5786050973205839E-6</v>
      </c>
      <c r="AB97" s="6" t="s">
        <v>124</v>
      </c>
      <c r="AC97" s="6">
        <f>-$AC$7*$AC$6</f>
        <v>-2.8000764999999998E-4</v>
      </c>
      <c r="AD97" s="6">
        <f t="shared" ref="AD97:BA97" si="12">-$AC$7*$AC$6</f>
        <v>-2.8000764999999998E-4</v>
      </c>
      <c r="AE97" s="6">
        <f t="shared" si="12"/>
        <v>-2.8000764999999998E-4</v>
      </c>
      <c r="AF97" s="6">
        <f t="shared" si="12"/>
        <v>-2.8000764999999998E-4</v>
      </c>
      <c r="AG97" s="6">
        <f t="shared" si="12"/>
        <v>-2.8000764999999998E-4</v>
      </c>
      <c r="AH97" s="6">
        <f t="shared" si="12"/>
        <v>-2.8000764999999998E-4</v>
      </c>
      <c r="AI97" s="6">
        <f t="shared" si="12"/>
        <v>-2.8000764999999998E-4</v>
      </c>
      <c r="AJ97" s="6">
        <f t="shared" si="12"/>
        <v>-2.8000764999999998E-4</v>
      </c>
      <c r="AK97" s="6">
        <f t="shared" si="12"/>
        <v>-2.8000764999999998E-4</v>
      </c>
      <c r="AL97" s="6">
        <f t="shared" si="12"/>
        <v>-2.8000764999999998E-4</v>
      </c>
      <c r="AM97" s="6">
        <f t="shared" si="12"/>
        <v>-2.8000764999999998E-4</v>
      </c>
      <c r="AN97" s="6">
        <f t="shared" si="12"/>
        <v>-2.8000764999999998E-4</v>
      </c>
      <c r="AO97" s="6">
        <f t="shared" si="12"/>
        <v>-2.8000764999999998E-4</v>
      </c>
      <c r="AP97" s="6">
        <f t="shared" si="12"/>
        <v>-2.8000764999999998E-4</v>
      </c>
      <c r="AQ97" s="6">
        <f t="shared" si="12"/>
        <v>-2.8000764999999998E-4</v>
      </c>
      <c r="AR97" s="6">
        <f t="shared" si="12"/>
        <v>-2.8000764999999998E-4</v>
      </c>
      <c r="AS97" s="6">
        <f t="shared" si="12"/>
        <v>-2.8000764999999998E-4</v>
      </c>
      <c r="AT97" s="6">
        <f t="shared" si="12"/>
        <v>-2.8000764999999998E-4</v>
      </c>
      <c r="AU97" s="6">
        <f t="shared" si="12"/>
        <v>-2.8000764999999998E-4</v>
      </c>
      <c r="AV97" s="6">
        <f t="shared" si="12"/>
        <v>-2.8000764999999998E-4</v>
      </c>
      <c r="AW97" s="6">
        <f t="shared" si="12"/>
        <v>-2.8000764999999998E-4</v>
      </c>
      <c r="AX97" s="6">
        <f t="shared" si="12"/>
        <v>-2.8000764999999998E-4</v>
      </c>
      <c r="AY97" s="6">
        <f t="shared" si="12"/>
        <v>-2.8000764999999998E-4</v>
      </c>
      <c r="AZ97" s="6">
        <f t="shared" si="12"/>
        <v>-2.8000764999999998E-4</v>
      </c>
      <c r="BA97" s="6">
        <f t="shared" si="12"/>
        <v>-2.8000764999999998E-4</v>
      </c>
    </row>
    <row r="98" spans="1:53" outlineLevel="1" x14ac:dyDescent="0.35">
      <c r="A98" s="6" t="s">
        <v>38</v>
      </c>
      <c r="B98" s="6">
        <f>'Results - raw data ReCiPe (H)'!AC85</f>
        <v>1.9755647666104199E-5</v>
      </c>
      <c r="AB98" s="23" t="s">
        <v>125</v>
      </c>
      <c r="AC98" s="17">
        <f t="shared" ref="AC98:BA98" si="13">SUM(AC90:AC97)</f>
        <v>-3.6546574827244193E-5</v>
      </c>
      <c r="AD98" s="17">
        <f t="shared" si="13"/>
        <v>-2.1056965886418662E-4</v>
      </c>
      <c r="AE98" s="17">
        <f t="shared" si="13"/>
        <v>-2.1884398241901406E-4</v>
      </c>
      <c r="AF98" s="17">
        <f t="shared" si="13"/>
        <v>-2.2382311911443658E-4</v>
      </c>
      <c r="AG98" s="17">
        <f t="shared" si="13"/>
        <v>-2.3565625879658642E-4</v>
      </c>
      <c r="AH98" s="17">
        <f t="shared" si="13"/>
        <v>-2.4401060776808691E-4</v>
      </c>
      <c r="AI98" s="17">
        <f t="shared" si="13"/>
        <v>-2.4132049333101214E-4</v>
      </c>
      <c r="AJ98" s="17">
        <f t="shared" si="13"/>
        <v>-2.4536060076087895E-4</v>
      </c>
      <c r="AK98" s="17">
        <f t="shared" si="13"/>
        <v>-2.4622125678899889E-4</v>
      </c>
      <c r="AL98" s="17">
        <f t="shared" si="13"/>
        <v>-2.4361110684340134E-4</v>
      </c>
      <c r="AM98" s="17">
        <f t="shared" si="13"/>
        <v>-2.4765700772010182E-4</v>
      </c>
      <c r="AN98" s="17">
        <f t="shared" si="13"/>
        <v>-2.4814125544547592E-4</v>
      </c>
      <c r="AO98" s="17">
        <f t="shared" si="13"/>
        <v>-2.4531734651257769E-4</v>
      </c>
      <c r="AP98" s="17">
        <f t="shared" si="13"/>
        <v>-2.4916472708319158E-4</v>
      </c>
      <c r="AQ98" s="17">
        <f t="shared" si="13"/>
        <v>-2.4966585889140916E-4</v>
      </c>
      <c r="AR98" s="17">
        <f t="shared" si="13"/>
        <v>-2.4687389115236516E-4</v>
      </c>
      <c r="AS98" s="17">
        <f t="shared" si="13"/>
        <v>-2.521008882513935E-4</v>
      </c>
      <c r="AT98" s="17">
        <f t="shared" si="13"/>
        <v>-2.5400746846259781E-4</v>
      </c>
      <c r="AU98" s="17">
        <f t="shared" si="13"/>
        <v>-2.5265241795055645E-4</v>
      </c>
      <c r="AV98" s="17">
        <f t="shared" si="13"/>
        <v>-2.5779798003746881E-4</v>
      </c>
      <c r="AW98" s="17">
        <f t="shared" si="13"/>
        <v>-2.5965094505893708E-4</v>
      </c>
      <c r="AX98" s="17">
        <f t="shared" si="13"/>
        <v>-2.5663648645902738E-4</v>
      </c>
      <c r="AY98" s="17">
        <f t="shared" si="13"/>
        <v>-2.6121423694344518E-4</v>
      </c>
      <c r="AZ98" s="17">
        <f t="shared" si="13"/>
        <v>-2.625107931494872E-4</v>
      </c>
      <c r="BA98" s="17">
        <f t="shared" si="13"/>
        <v>-2.5794404884851673E-4</v>
      </c>
    </row>
    <row r="99" spans="1:53" outlineLevel="1" x14ac:dyDescent="0.35">
      <c r="A99" s="6" t="s">
        <v>39</v>
      </c>
      <c r="B99" s="6">
        <f>'Results - raw data ReCiPe (H)'!AC86</f>
        <v>4.9672540671057758E-5</v>
      </c>
    </row>
    <row r="100" spans="1:53" outlineLevel="1" x14ac:dyDescent="0.35">
      <c r="A100" s="6" t="s">
        <v>41</v>
      </c>
      <c r="B100" s="6">
        <f>'Results - raw data ReCiPe (H)'!AC87</f>
        <v>6.7173966351855849E-7</v>
      </c>
    </row>
    <row r="101" spans="1:53" outlineLevel="1" x14ac:dyDescent="0.35">
      <c r="A101" s="6" t="s">
        <v>43</v>
      </c>
      <c r="B101" s="6">
        <f>'Results - raw data ReCiPe (H)'!AC88</f>
        <v>1.9363285429090501E-6</v>
      </c>
      <c r="AB101" s="282"/>
      <c r="AC101" s="282"/>
      <c r="AD101" s="282"/>
      <c r="AE101" s="282"/>
      <c r="AF101" s="282"/>
      <c r="AG101" s="282"/>
      <c r="AH101" s="282"/>
      <c r="AI101" s="282"/>
      <c r="AJ101" s="282"/>
      <c r="AK101" s="282"/>
      <c r="AL101" s="282"/>
      <c r="AM101" s="282"/>
      <c r="AN101" s="282"/>
      <c r="AO101" s="282"/>
      <c r="AP101" s="282"/>
      <c r="AQ101" s="282"/>
      <c r="AR101" s="282"/>
      <c r="AS101" s="282"/>
      <c r="AT101" s="282"/>
      <c r="AU101" s="282"/>
      <c r="AV101" s="282"/>
      <c r="AW101" s="282"/>
      <c r="AX101" s="282"/>
      <c r="AY101" s="282"/>
      <c r="AZ101" s="282"/>
      <c r="BA101" s="282"/>
    </row>
    <row r="102" spans="1:53" outlineLevel="1" x14ac:dyDescent="0.35">
      <c r="A102" s="6" t="s">
        <v>44</v>
      </c>
      <c r="B102" s="6">
        <f>'Results - raw data ReCiPe (H)'!AC89*AC87*AC88</f>
        <v>9.7865963272845992E-6</v>
      </c>
      <c r="AB102" s="282"/>
      <c r="AC102" s="282"/>
      <c r="AD102" s="282"/>
      <c r="AE102" s="282"/>
      <c r="AF102" s="282"/>
      <c r="AG102" s="282"/>
      <c r="AH102" s="282"/>
      <c r="AI102" s="282"/>
      <c r="AJ102" s="282"/>
      <c r="AK102" s="282"/>
      <c r="AL102" s="282"/>
      <c r="AM102" s="282"/>
      <c r="AN102" s="282"/>
      <c r="AO102" s="282"/>
      <c r="AP102" s="282"/>
      <c r="AQ102" s="282"/>
      <c r="AR102" s="282"/>
      <c r="AS102" s="282"/>
      <c r="AT102" s="282"/>
      <c r="AU102" s="282"/>
      <c r="AV102" s="282"/>
      <c r="AW102" s="282"/>
      <c r="AX102" s="282"/>
      <c r="AY102" s="282"/>
      <c r="AZ102" s="282"/>
      <c r="BA102" s="282"/>
    </row>
    <row r="103" spans="1:53" outlineLevel="1" x14ac:dyDescent="0.35">
      <c r="A103" s="6" t="s">
        <v>757</v>
      </c>
      <c r="B103" s="6">
        <f>'Results - raw data ReCiPe (H)'!AC90*AC87*AC88</f>
        <v>2.8577459880686999E-5</v>
      </c>
      <c r="AB103" s="282"/>
      <c r="AC103" s="282"/>
      <c r="AD103" s="282"/>
      <c r="AE103" s="282"/>
      <c r="AF103" s="282"/>
      <c r="AG103" s="282"/>
      <c r="AH103" s="282"/>
      <c r="AI103" s="282"/>
      <c r="AJ103" s="282"/>
      <c r="AK103" s="282"/>
      <c r="AL103" s="282"/>
      <c r="AM103" s="282"/>
      <c r="AN103" s="282"/>
      <c r="AO103" s="282"/>
      <c r="AP103" s="282"/>
      <c r="AQ103" s="282"/>
      <c r="AR103" s="282"/>
      <c r="AS103" s="282"/>
      <c r="AT103" s="282"/>
      <c r="AU103" s="282"/>
      <c r="AV103" s="282"/>
      <c r="AW103" s="282"/>
      <c r="AX103" s="282"/>
      <c r="AY103" s="282"/>
      <c r="AZ103" s="282"/>
      <c r="BA103" s="282"/>
    </row>
    <row r="104" spans="1:53" outlineLevel="1" x14ac:dyDescent="0.35">
      <c r="A104" s="6" t="s">
        <v>22</v>
      </c>
      <c r="Z104" s="6">
        <f>'Results - raw data ReCiPe (H)'!BA91</f>
        <v>6.1463287504351536E-8</v>
      </c>
      <c r="AB104" s="282"/>
      <c r="AC104" s="282"/>
      <c r="AD104" s="282"/>
      <c r="AE104" s="282"/>
      <c r="AF104" s="282"/>
      <c r="AG104" s="282"/>
      <c r="AH104" s="282"/>
      <c r="AI104" s="282"/>
      <c r="AJ104" s="282"/>
      <c r="AK104" s="282"/>
      <c r="AL104" s="282"/>
      <c r="AM104" s="282"/>
      <c r="AN104" s="282"/>
      <c r="AO104" s="282"/>
      <c r="AP104" s="282"/>
      <c r="AQ104" s="282"/>
      <c r="AR104" s="282"/>
      <c r="AS104" s="282"/>
      <c r="AT104" s="282"/>
      <c r="AU104" s="282"/>
      <c r="AV104" s="282"/>
      <c r="AW104" s="282"/>
      <c r="AX104" s="282"/>
      <c r="AY104" s="282"/>
      <c r="AZ104" s="282"/>
      <c r="BA104" s="282"/>
    </row>
    <row r="105" spans="1:53" outlineLevel="1" x14ac:dyDescent="0.35">
      <c r="A105" s="6" t="s">
        <v>24</v>
      </c>
      <c r="Z105" s="6">
        <f>'Results - raw data ReCiPe (H)'!BA92</f>
        <v>2.9780930154979231E-8</v>
      </c>
      <c r="AB105" s="282"/>
      <c r="AC105" s="282"/>
      <c r="AD105" s="282"/>
      <c r="AE105" s="282"/>
      <c r="AF105" s="282"/>
      <c r="AG105" s="282"/>
      <c r="AH105" s="282"/>
      <c r="AI105" s="282"/>
      <c r="AJ105" s="282"/>
      <c r="AK105" s="282"/>
      <c r="AL105" s="282"/>
      <c r="AM105" s="282"/>
      <c r="AN105" s="282"/>
      <c r="AO105" s="282"/>
      <c r="AP105" s="282"/>
      <c r="AQ105" s="282"/>
      <c r="AR105" s="282"/>
      <c r="AS105" s="282"/>
      <c r="AT105" s="282"/>
      <c r="AU105" s="282"/>
      <c r="AV105" s="282"/>
      <c r="AW105" s="282"/>
      <c r="AX105" s="282"/>
      <c r="AY105" s="282"/>
      <c r="AZ105" s="282"/>
      <c r="BA105" s="282"/>
    </row>
    <row r="106" spans="1:53" outlineLevel="1" x14ac:dyDescent="0.35">
      <c r="A106" s="6" t="s">
        <v>25</v>
      </c>
      <c r="Z106" s="6">
        <f>'Results - raw data ReCiPe (H)'!BA93</f>
        <v>1.1656149191787559E-7</v>
      </c>
      <c r="AB106" s="282"/>
      <c r="AC106" s="282"/>
      <c r="AD106" s="282"/>
      <c r="AE106" s="282"/>
      <c r="AF106" s="282"/>
      <c r="AG106" s="282"/>
      <c r="AH106" s="282"/>
      <c r="AI106" s="282"/>
      <c r="AJ106" s="282"/>
      <c r="AK106" s="282"/>
      <c r="AL106" s="282"/>
      <c r="AM106" s="282"/>
      <c r="AN106" s="282"/>
      <c r="AO106" s="282"/>
      <c r="AP106" s="282"/>
      <c r="AQ106" s="282"/>
      <c r="AR106" s="282"/>
      <c r="AS106" s="282"/>
      <c r="AT106" s="282"/>
      <c r="AU106" s="282"/>
      <c r="AV106" s="282"/>
      <c r="AW106" s="282"/>
      <c r="AX106" s="282"/>
      <c r="AY106" s="282"/>
      <c r="AZ106" s="282"/>
      <c r="BA106" s="282"/>
    </row>
    <row r="107" spans="1:53" outlineLevel="1" x14ac:dyDescent="0.35">
      <c r="A107" s="6" t="s">
        <v>27</v>
      </c>
      <c r="Z107" s="6">
        <f>'Results - raw data ReCiPe (H)'!BA94</f>
        <v>4.3717870155312199E-8</v>
      </c>
      <c r="AB107" s="282"/>
      <c r="AC107" s="282"/>
      <c r="AD107" s="282"/>
      <c r="AE107" s="282"/>
      <c r="AF107" s="282"/>
      <c r="AG107" s="282"/>
      <c r="AH107" s="282"/>
      <c r="AI107" s="282"/>
      <c r="AJ107" s="282"/>
      <c r="AK107" s="282"/>
      <c r="AL107" s="282"/>
      <c r="AM107" s="282"/>
      <c r="AN107" s="282"/>
      <c r="AO107" s="282"/>
      <c r="AP107" s="282"/>
      <c r="AQ107" s="282"/>
      <c r="AR107" s="282"/>
      <c r="AS107" s="282"/>
      <c r="AT107" s="282"/>
      <c r="AU107" s="282"/>
      <c r="AV107" s="282"/>
      <c r="AW107" s="282"/>
      <c r="AX107" s="282"/>
      <c r="AY107" s="282"/>
      <c r="AZ107" s="282"/>
      <c r="BA107" s="282"/>
    </row>
    <row r="108" spans="1:53" outlineLevel="1" x14ac:dyDescent="0.35">
      <c r="A108" s="6" t="s">
        <v>30</v>
      </c>
      <c r="Z108" s="6">
        <f>'Results - raw data ReCiPe (H)'!BA95</f>
        <v>8.0994806426941983E-8</v>
      </c>
      <c r="AB108" s="282"/>
      <c r="AC108" s="282"/>
      <c r="AD108" s="282"/>
      <c r="AE108" s="282"/>
      <c r="AF108" s="282"/>
      <c r="AG108" s="282"/>
      <c r="AH108" s="282"/>
      <c r="AI108" s="282"/>
      <c r="AJ108" s="282"/>
      <c r="AK108" s="282"/>
      <c r="AL108" s="282"/>
      <c r="AM108" s="282"/>
      <c r="AN108" s="282"/>
      <c r="AO108" s="282"/>
      <c r="AP108" s="282"/>
      <c r="AQ108" s="282"/>
      <c r="AR108" s="282"/>
      <c r="AS108" s="282"/>
      <c r="AT108" s="282"/>
      <c r="AU108" s="282"/>
      <c r="AV108" s="282"/>
      <c r="AW108" s="282"/>
      <c r="AX108" s="282"/>
      <c r="AY108" s="282"/>
      <c r="AZ108" s="282"/>
      <c r="BA108" s="282"/>
    </row>
    <row r="109" spans="1:53" outlineLevel="1" x14ac:dyDescent="0.35">
      <c r="A109" s="6" t="s">
        <v>32</v>
      </c>
      <c r="Z109" s="6">
        <f>'Results - raw data ReCiPe (H)'!BA96</f>
        <v>6.377197675436085E-9</v>
      </c>
      <c r="AB109" s="282"/>
      <c r="AC109" s="282"/>
      <c r="AD109" s="282"/>
      <c r="AE109" s="282"/>
      <c r="AF109" s="282"/>
      <c r="AG109" s="282"/>
      <c r="AH109" s="282"/>
      <c r="AI109" s="282"/>
      <c r="AJ109" s="282"/>
      <c r="AK109" s="282"/>
      <c r="AL109" s="282"/>
      <c r="AM109" s="282"/>
      <c r="AN109" s="282"/>
      <c r="AO109" s="282"/>
      <c r="AP109" s="282"/>
      <c r="AQ109" s="282"/>
      <c r="AR109" s="282"/>
      <c r="AS109" s="282"/>
      <c r="AT109" s="282"/>
      <c r="AU109" s="282"/>
      <c r="AV109" s="282"/>
      <c r="AW109" s="282"/>
      <c r="AX109" s="282"/>
      <c r="AY109" s="282"/>
      <c r="AZ109" s="282"/>
      <c r="BA109" s="282"/>
    </row>
    <row r="110" spans="1:53" outlineLevel="1" x14ac:dyDescent="0.35">
      <c r="A110" s="6" t="s">
        <v>33</v>
      </c>
      <c r="Z110" s="6">
        <f>'Results - raw data ReCiPe (H)'!BA97</f>
        <v>2.0574872161815658E-8</v>
      </c>
      <c r="AB110" s="282"/>
      <c r="AC110" s="282"/>
      <c r="AD110" s="282"/>
      <c r="AE110" s="282"/>
      <c r="AF110" s="282"/>
      <c r="AG110" s="282"/>
      <c r="AH110" s="282"/>
      <c r="AI110" s="282"/>
      <c r="AJ110" s="282"/>
      <c r="AK110" s="282"/>
      <c r="AL110" s="282"/>
      <c r="AM110" s="282"/>
      <c r="AN110" s="282"/>
      <c r="AO110" s="282"/>
      <c r="AP110" s="282"/>
      <c r="AQ110" s="282"/>
      <c r="AR110" s="282"/>
      <c r="AS110" s="282"/>
      <c r="AT110" s="282"/>
      <c r="AU110" s="282"/>
      <c r="AV110" s="282"/>
      <c r="AW110" s="282"/>
      <c r="AX110" s="282"/>
      <c r="AY110" s="282"/>
      <c r="AZ110" s="282"/>
      <c r="BA110" s="282"/>
    </row>
    <row r="111" spans="1:53" outlineLevel="1" x14ac:dyDescent="0.35">
      <c r="A111" s="6" t="s">
        <v>35</v>
      </c>
      <c r="Z111" s="6">
        <f>'Results - raw data ReCiPe (H)'!BA98</f>
        <v>4.114974432363133E-8</v>
      </c>
      <c r="AB111" s="282"/>
      <c r="AC111" s="282"/>
      <c r="AD111" s="282"/>
      <c r="AE111" s="282"/>
      <c r="AF111" s="282"/>
      <c r="AG111" s="282"/>
      <c r="AH111" s="282"/>
      <c r="AI111" s="282"/>
      <c r="AJ111" s="282"/>
      <c r="AK111" s="282"/>
      <c r="AL111" s="282"/>
      <c r="AM111" s="282"/>
      <c r="AN111" s="282"/>
      <c r="AO111" s="282"/>
      <c r="AP111" s="282"/>
      <c r="AQ111" s="282"/>
      <c r="AR111" s="282"/>
      <c r="AS111" s="282"/>
      <c r="AT111" s="282"/>
      <c r="AU111" s="282"/>
      <c r="AV111" s="282"/>
      <c r="AW111" s="282"/>
      <c r="AX111" s="282"/>
      <c r="AY111" s="282"/>
      <c r="AZ111" s="282"/>
      <c r="BA111" s="282"/>
    </row>
    <row r="112" spans="1:53" outlineLevel="1" x14ac:dyDescent="0.35">
      <c r="A112" s="6" t="s">
        <v>37</v>
      </c>
      <c r="Z112" s="6">
        <f>'Results - raw data ReCiPe (H)'!BA99</f>
        <v>1.0863148431932961E-7</v>
      </c>
      <c r="AB112" s="282"/>
      <c r="AC112" s="282"/>
      <c r="AD112" s="282"/>
      <c r="AE112" s="282"/>
      <c r="AF112" s="282"/>
      <c r="AG112" s="282"/>
      <c r="AH112" s="282"/>
      <c r="AI112" s="282"/>
      <c r="AJ112" s="282"/>
      <c r="AK112" s="282"/>
      <c r="AL112" s="282"/>
      <c r="AM112" s="282"/>
      <c r="AN112" s="282"/>
      <c r="AO112" s="282"/>
      <c r="AP112" s="282"/>
      <c r="AQ112" s="282"/>
      <c r="AR112" s="282"/>
      <c r="AS112" s="282"/>
      <c r="AT112" s="282"/>
      <c r="AU112" s="282"/>
      <c r="AV112" s="282"/>
      <c r="AW112" s="282"/>
      <c r="AX112" s="282"/>
      <c r="AY112" s="282"/>
      <c r="AZ112" s="282"/>
      <c r="BA112" s="282"/>
    </row>
    <row r="113" spans="1:31" outlineLevel="1" x14ac:dyDescent="0.35">
      <c r="A113" s="6" t="s">
        <v>40</v>
      </c>
      <c r="Z113" s="6">
        <f>'Results - raw data ReCiPe (H)'!BA100</f>
        <v>9.3099600369301554E-7</v>
      </c>
    </row>
    <row r="114" spans="1:31" outlineLevel="1" x14ac:dyDescent="0.35">
      <c r="A114" s="6" t="s">
        <v>42</v>
      </c>
      <c r="Z114" s="6">
        <f>'Results - raw data ReCiPe (H)'!BA101</f>
        <v>1.5771509757995021E-7</v>
      </c>
    </row>
    <row r="115" spans="1:31" outlineLevel="1" x14ac:dyDescent="0.35">
      <c r="A115" s="6" t="s">
        <v>115</v>
      </c>
      <c r="Z115" s="6">
        <f>'Results - raw data ReCiPe (H)'!BA102</f>
        <v>9.0001449736656561E-7</v>
      </c>
    </row>
    <row r="116" spans="1:31" outlineLevel="1" x14ac:dyDescent="0.35">
      <c r="A116" s="6" t="s">
        <v>45</v>
      </c>
      <c r="Z116" s="6">
        <f>'Results - raw data ReCiPe (H)'!BA103*AC87*AC88</f>
        <v>8.9291412421487725E-8</v>
      </c>
    </row>
    <row r="117" spans="1:31" outlineLevel="1" x14ac:dyDescent="0.35">
      <c r="A117" s="6" t="s">
        <v>116</v>
      </c>
      <c r="B117" s="6">
        <f>'Results - raw data ReCiPe (H)'!AC104</f>
        <v>3.715731652454359E-6</v>
      </c>
      <c r="C117" s="6">
        <f>'Results - raw data ReCiPe (H)'!AD104</f>
        <v>3.653971786261327E-6</v>
      </c>
      <c r="D117" s="6">
        <f>'Results - raw data ReCiPe (H)'!AE104</f>
        <v>3.590700222859685E-6</v>
      </c>
      <c r="E117" s="6">
        <f>'Results - raw data ReCiPe (H)'!AF104</f>
        <v>3.5013590415283682E-6</v>
      </c>
      <c r="F117" s="6">
        <f>'Results - raw data ReCiPe (H)'!AG104</f>
        <v>3.4350987731988199E-6</v>
      </c>
      <c r="G117" s="6">
        <f>'Results - raw data ReCiPe (H)'!AH104</f>
        <v>3.3672208371307779E-6</v>
      </c>
      <c r="H117" s="6">
        <f>'Results - raw data ReCiPe (H)'!AI104</f>
        <v>3.359625974222981E-6</v>
      </c>
      <c r="I117" s="6">
        <f>'Results - raw data ReCiPe (H)'!AJ104</f>
        <v>3.3517806086884919E-6</v>
      </c>
      <c r="J117" s="6">
        <f>'Results - raw data ReCiPe (H)'!AK104</f>
        <v>3.330478938302756E-6</v>
      </c>
      <c r="K117" s="6">
        <f>'Results - raw data ReCiPe (H)'!AL104</f>
        <v>3.3222042704526711E-6</v>
      </c>
      <c r="L117" s="6">
        <f>'Results - raw data ReCiPe (H)'!AM104</f>
        <v>3.3137581199034298E-6</v>
      </c>
      <c r="M117" s="6">
        <f>'Results - raw data ReCiPe (H)'!AN104</f>
        <v>3.3117835992973371E-6</v>
      </c>
      <c r="N117" s="6">
        <f>'Results - raw data ReCiPe (H)'!AO104</f>
        <v>3.3098090978734569E-6</v>
      </c>
      <c r="O117" s="6">
        <f>'Results - raw data ReCiPe (H)'!AP104</f>
        <v>3.3027531832062708E-6</v>
      </c>
      <c r="P117" s="6">
        <f>'Results - raw data ReCiPe (H)'!AQ104</f>
        <v>3.300744338648619E-6</v>
      </c>
      <c r="Q117" s="6">
        <f>'Results - raw data ReCiPe (H)'!AR104</f>
        <v>3.2987119954850761E-6</v>
      </c>
      <c r="R117" s="6">
        <f>'Results - raw data ReCiPe (H)'!AS104</f>
        <v>3.2935302766583081E-6</v>
      </c>
      <c r="S117" s="6">
        <f>'Results - raw data ReCiPe (H)'!AT104</f>
        <v>3.288392539742852E-6</v>
      </c>
      <c r="T117" s="6">
        <f>'Results - raw data ReCiPe (H)'!AU104</f>
        <v>3.278896138541998E-6</v>
      </c>
      <c r="U117" s="6">
        <f>'Results - raw data ReCiPe (H)'!AV104</f>
        <v>3.273848587933931E-6</v>
      </c>
      <c r="V117" s="6">
        <f>'Results - raw data ReCiPe (H)'!AW104</f>
        <v>3.268749516231205E-6</v>
      </c>
      <c r="W117" s="6">
        <f>'Results - raw data ReCiPe (H)'!AX104</f>
        <v>3.2828870256197742E-6</v>
      </c>
      <c r="X117" s="6">
        <f>'Results - raw data ReCiPe (H)'!AY104</f>
        <v>3.2812446458292191E-6</v>
      </c>
      <c r="Y117" s="6">
        <f>'Results - raw data ReCiPe (H)'!AZ104</f>
        <v>3.2795974630278679E-6</v>
      </c>
      <c r="Z117" s="6">
        <f>'Results - raw data ReCiPe (H)'!BA104</f>
        <v>3.2779455111866361E-6</v>
      </c>
    </row>
    <row r="118" spans="1:31" outlineLevel="1" x14ac:dyDescent="0.35">
      <c r="A118" s="6" t="s">
        <v>758</v>
      </c>
      <c r="B118" s="6">
        <f>'Results - raw data ReCiPe (H)'!AC179*$AC$87</f>
        <v>1.397230697958846E-5</v>
      </c>
      <c r="C118" s="6">
        <f>'Results - raw data ReCiPe (H)'!AD179*$AC$87</f>
        <v>1.3373121876380491E-5</v>
      </c>
      <c r="D118" s="6">
        <f>'Results - raw data ReCiPe (H)'!AE179*$AC$87</f>
        <v>1.277580237849213E-5</v>
      </c>
      <c r="E118" s="6">
        <f>'Results - raw data ReCiPe (H)'!AF179*$AC$87</f>
        <v>1.2165413569094758E-5</v>
      </c>
      <c r="F118" s="6">
        <f>'Results - raw data ReCiPe (H)'!AG179*$AC$87</f>
        <v>1.1571002647046209E-5</v>
      </c>
      <c r="G118" s="6">
        <f>'Results - raw data ReCiPe (H)'!AH179*$AC$87</f>
        <v>1.0978455728925081E-5</v>
      </c>
      <c r="H118" s="6">
        <f>'Results - raw data ReCiPe (H)'!AI179*$AC$87</f>
        <v>1.092974602111803E-5</v>
      </c>
      <c r="I118" s="6">
        <f>'Results - raw data ReCiPe (H)'!AJ179*$AC$87</f>
        <v>1.088040475074631E-5</v>
      </c>
      <c r="J118" s="6">
        <f>'Results - raw data ReCiPe (H)'!AK179*$AC$87</f>
        <v>1.081749524820995E-5</v>
      </c>
      <c r="K118" s="6">
        <f>'Results - raw data ReCiPe (H)'!AL179*$AC$87</f>
        <v>1.076627063653383E-5</v>
      </c>
      <c r="L118" s="6">
        <f>'Results - raw data ReCiPe (H)'!AM179*$AC$87</f>
        <v>1.071439394199937E-5</v>
      </c>
      <c r="M118" s="6">
        <f>'Results - raw data ReCiPe (H)'!AN179*$AC$87</f>
        <v>1.067964304694314E-5</v>
      </c>
      <c r="N118" s="6">
        <f>'Results - raw data ReCiPe (H)'!AO179*$AC$87</f>
        <v>1.064476665709213E-5</v>
      </c>
      <c r="O118" s="6">
        <f>'Results - raw data ReCiPe (H)'!AP179*$AC$87</f>
        <v>1.060587016109457E-5</v>
      </c>
      <c r="P118" s="6">
        <f>'Results - raw data ReCiPe (H)'!AQ179*$AC$87</f>
        <v>1.056990743151152E-5</v>
      </c>
      <c r="Q118" s="6">
        <f>'Results - raw data ReCiPe (H)'!AR179*$AC$87</f>
        <v>1.053353477728358E-5</v>
      </c>
      <c r="R118" s="6">
        <f>'Results - raw data ReCiPe (H)'!AS179*$AC$87</f>
        <v>1.0396951995731101E-5</v>
      </c>
      <c r="S118" s="6">
        <f>'Results - raw data ReCiPe (H)'!AT179*$AC$87</f>
        <v>1.026077440225023E-5</v>
      </c>
      <c r="T118" s="6">
        <f>'Results - raw data ReCiPe (H)'!AU179*$AC$87</f>
        <v>1.0121927378484881E-5</v>
      </c>
      <c r="U118" s="6">
        <f>'Results - raw data ReCiPe (H)'!AV179*$AC$87</f>
        <v>9.9863608625909252E-6</v>
      </c>
      <c r="V118" s="6">
        <f>'Results - raw data ReCiPe (H)'!AW179*$AC$87</f>
        <v>9.8506685184270553E-6</v>
      </c>
      <c r="W118" s="6">
        <f>'Results - raw data ReCiPe (H)'!AX179*$AC$87</f>
        <v>9.8422770775849935E-6</v>
      </c>
      <c r="X118" s="6">
        <f>'Results - raw data ReCiPe (H)'!AY179*$AC$87</f>
        <v>9.7523558459090229E-6</v>
      </c>
      <c r="Y118" s="6">
        <f>'Results - raw data ReCiPe (H)'!AZ179*$AC$87</f>
        <v>9.6625663797943337E-6</v>
      </c>
      <c r="Z118" s="6">
        <f>'Results - raw data ReCiPe (H)'!BA179*$AC$87</f>
        <v>9.5728908880754938E-6</v>
      </c>
    </row>
    <row r="119" spans="1:31" outlineLevel="1" x14ac:dyDescent="0.35">
      <c r="A119" s="6" t="s">
        <v>759</v>
      </c>
      <c r="B119" s="6">
        <f>'Results - raw data ReCiPe (H)'!AC106</f>
        <v>2.0736000294618859E-7</v>
      </c>
      <c r="C119" s="6">
        <f>'Results - raw data ReCiPe (H)'!AD106</f>
        <v>2.0736000294618859E-7</v>
      </c>
      <c r="D119" s="6">
        <f>'Results - raw data ReCiPe (H)'!AE106</f>
        <v>2.0736000294618859E-7</v>
      </c>
      <c r="E119" s="6">
        <f>'Results - raw data ReCiPe (H)'!AF106</f>
        <v>2.0736000294618859E-7</v>
      </c>
      <c r="F119" s="6">
        <f>'Results - raw data ReCiPe (H)'!AG106</f>
        <v>2.0736000294618859E-7</v>
      </c>
      <c r="G119" s="6">
        <f>'Results - raw data ReCiPe (H)'!AH106</f>
        <v>2.0736000294618859E-7</v>
      </c>
      <c r="H119" s="6">
        <f>'Results - raw data ReCiPe (H)'!AI106</f>
        <v>2.0736000294618859E-7</v>
      </c>
      <c r="I119" s="6">
        <f>'Results - raw data ReCiPe (H)'!AJ106</f>
        <v>2.0736000294618859E-7</v>
      </c>
      <c r="J119" s="6">
        <f>'Results - raw data ReCiPe (H)'!AK106</f>
        <v>2.0736000294618859E-7</v>
      </c>
      <c r="K119" s="6">
        <f>'Results - raw data ReCiPe (H)'!AL106</f>
        <v>2.0736000294618859E-7</v>
      </c>
      <c r="L119" s="6">
        <f>'Results - raw data ReCiPe (H)'!AM106</f>
        <v>2.0736000294618859E-7</v>
      </c>
      <c r="M119" s="6">
        <f>'Results - raw data ReCiPe (H)'!AN106</f>
        <v>2.0736000294618859E-7</v>
      </c>
      <c r="N119" s="6">
        <f>'Results - raw data ReCiPe (H)'!AO106</f>
        <v>2.0736000294618859E-7</v>
      </c>
      <c r="O119" s="6">
        <f>'Results - raw data ReCiPe (H)'!AP106</f>
        <v>2.0736000294618859E-7</v>
      </c>
      <c r="P119" s="6">
        <f>'Results - raw data ReCiPe (H)'!AQ106</f>
        <v>2.0736000294618859E-7</v>
      </c>
      <c r="Q119" s="6">
        <f>'Results - raw data ReCiPe (H)'!AR106</f>
        <v>2.0736000294618859E-7</v>
      </c>
      <c r="R119" s="6">
        <f>'Results - raw data ReCiPe (H)'!AS106</f>
        <v>2.0736000294618859E-7</v>
      </c>
      <c r="S119" s="6">
        <f>'Results - raw data ReCiPe (H)'!AT106</f>
        <v>2.0736000294618859E-7</v>
      </c>
      <c r="T119" s="6">
        <f>'Results - raw data ReCiPe (H)'!AU106</f>
        <v>2.0736000294618859E-7</v>
      </c>
      <c r="U119" s="6">
        <f>'Results - raw data ReCiPe (H)'!AV106</f>
        <v>2.0736000294618859E-7</v>
      </c>
      <c r="V119" s="6">
        <f>'Results - raw data ReCiPe (H)'!AW106</f>
        <v>2.0736000294618859E-7</v>
      </c>
      <c r="W119" s="6">
        <f>'Results - raw data ReCiPe (H)'!AX106</f>
        <v>2.0736000294618859E-7</v>
      </c>
      <c r="X119" s="6">
        <f>'Results - raw data ReCiPe (H)'!AY106</f>
        <v>2.0736000294618859E-7</v>
      </c>
      <c r="Y119" s="6">
        <f>'Results - raw data ReCiPe (H)'!AZ106</f>
        <v>2.0736000294618859E-7</v>
      </c>
      <c r="Z119" s="6">
        <f>'Results - raw data ReCiPe (H)'!BA106</f>
        <v>2.0736000294618859E-7</v>
      </c>
    </row>
    <row r="120" spans="1:31" outlineLevel="1" x14ac:dyDescent="0.35">
      <c r="A120" s="6" t="s">
        <v>760</v>
      </c>
      <c r="B120" s="6">
        <f>'Results - raw data ReCiPe (H)'!AC107</f>
        <v>6.3509968793366904E-5</v>
      </c>
      <c r="C120" s="6">
        <f>'Results - raw data ReCiPe (H)'!AD107</f>
        <v>5.5857509256486682E-5</v>
      </c>
      <c r="D120" s="6">
        <f>'Results - raw data ReCiPe (H)'!AE107</f>
        <v>4.818050519954759E-5</v>
      </c>
      <c r="E120" s="6">
        <f>'Results - raw data ReCiPe (H)'!AF107</f>
        <v>4.0310398271994078E-5</v>
      </c>
      <c r="F120" s="6">
        <f>'Results - raw data ReCiPe (H)'!AG107</f>
        <v>3.2573028553421158E-5</v>
      </c>
      <c r="G120" s="6">
        <f>'Results - raw data ReCiPe (H)'!AH107</f>
        <v>2.4811226500041819E-5</v>
      </c>
      <c r="H120" s="6">
        <f>'Results - raw data ReCiPe (H)'!AI107</f>
        <v>2.4190424670700651E-5</v>
      </c>
      <c r="I120" s="6">
        <f>'Results - raw data ReCiPe (H)'!AJ107</f>
        <v>2.355928448542852E-5</v>
      </c>
      <c r="J120" s="6">
        <f>'Results - raw data ReCiPe (H)'!AK107</f>
        <v>2.2761537959844939E-5</v>
      </c>
      <c r="K120" s="6">
        <f>'Results - raw data ReCiPe (H)'!AL107</f>
        <v>2.210070824666595E-5</v>
      </c>
      <c r="L120" s="6">
        <f>'Results - raw data ReCiPe (H)'!AM107</f>
        <v>2.142888833495259E-5</v>
      </c>
      <c r="M120" s="6">
        <f>'Results - raw data ReCiPe (H)'!AN107</f>
        <v>2.0979391504634738E-5</v>
      </c>
      <c r="N120" s="6">
        <f>'Results - raw data ReCiPe (H)'!AO107</f>
        <v>2.0528367729510539E-5</v>
      </c>
      <c r="O120" s="6">
        <f>'Results - raw data ReCiPe (H)'!AP107</f>
        <v>2.002969275276763E-5</v>
      </c>
      <c r="P120" s="6">
        <f>'Results - raw data ReCiPe (H)'!AQ107</f>
        <v>1.9564523674133141E-5</v>
      </c>
      <c r="Q120" s="6">
        <f>'Results - raw data ReCiPe (H)'!AR107</f>
        <v>1.9094152071919961E-5</v>
      </c>
      <c r="R120" s="6">
        <f>'Results - raw data ReCiPe (H)'!AS107</f>
        <v>1.7302449749929181E-5</v>
      </c>
      <c r="S120" s="6">
        <f>'Results - raw data ReCiPe (H)'!AT107</f>
        <v>1.5532047132205741E-5</v>
      </c>
      <c r="T120" s="6">
        <f>'Results - raw data ReCiPe (H)'!AU107</f>
        <v>1.374704852947048E-5</v>
      </c>
      <c r="U120" s="6">
        <f>'Results - raw data ReCiPe (H)'!AV107</f>
        <v>1.201594909699404E-5</v>
      </c>
      <c r="V120" s="6">
        <f>'Results - raw data ReCiPe (H)'!AW107</f>
        <v>1.029867641968966E-5</v>
      </c>
      <c r="W120" s="6">
        <f>'Results - raw data ReCiPe (H)'!AX107</f>
        <v>1.003863943482165E-5</v>
      </c>
      <c r="X120" s="6">
        <f>'Results - raw data ReCiPe (H)'!AY107</f>
        <v>8.833697207699614E-6</v>
      </c>
      <c r="Y120" s="6">
        <f>'Results - raw data ReCiPe (H)'!AZ107</f>
        <v>7.6269304677722343E-6</v>
      </c>
      <c r="Z120" s="6">
        <f>'Results - raw data ReCiPe (H)'!BA107</f>
        <v>6.4181360535742619E-6</v>
      </c>
    </row>
    <row r="121" spans="1:31" outlineLevel="1" x14ac:dyDescent="0.35">
      <c r="A121" s="23" t="s">
        <v>125</v>
      </c>
      <c r="B121" s="17">
        <f t="shared" ref="B121:Z121" si="14">SUM(B90:B120)</f>
        <v>2.4346107517275579E-4</v>
      </c>
      <c r="C121" s="17">
        <f t="shared" si="14"/>
        <v>7.3091962922074686E-5</v>
      </c>
      <c r="D121" s="17">
        <f t="shared" si="14"/>
        <v>6.4754367803845591E-5</v>
      </c>
      <c r="E121" s="17">
        <f t="shared" si="14"/>
        <v>5.6184530885563391E-5</v>
      </c>
      <c r="F121" s="17">
        <f t="shared" si="14"/>
        <v>4.7786489976612377E-5</v>
      </c>
      <c r="G121" s="17">
        <f t="shared" si="14"/>
        <v>3.9364263069043869E-5</v>
      </c>
      <c r="H121" s="17">
        <f t="shared" si="14"/>
        <v>3.8687156668987846E-5</v>
      </c>
      <c r="I121" s="17">
        <f t="shared" si="14"/>
        <v>3.7998829847809513E-5</v>
      </c>
      <c r="J121" s="17">
        <f t="shared" si="14"/>
        <v>3.7116872149303835E-5</v>
      </c>
      <c r="K121" s="17">
        <f t="shared" si="14"/>
        <v>3.6396543156598639E-5</v>
      </c>
      <c r="L121" s="17">
        <f t="shared" si="14"/>
        <v>3.5664400399801581E-5</v>
      </c>
      <c r="M121" s="17">
        <f t="shared" si="14"/>
        <v>3.5178178153821401E-5</v>
      </c>
      <c r="N121" s="17">
        <f t="shared" si="14"/>
        <v>3.4690303487422315E-5</v>
      </c>
      <c r="O121" s="17">
        <f t="shared" si="14"/>
        <v>3.4145676100014657E-5</v>
      </c>
      <c r="P121" s="17">
        <f t="shared" si="14"/>
        <v>3.3642535447239472E-5</v>
      </c>
      <c r="Q121" s="17">
        <f t="shared" si="14"/>
        <v>3.3133758847634804E-5</v>
      </c>
      <c r="R121" s="17">
        <f t="shared" si="14"/>
        <v>3.1200292025264782E-5</v>
      </c>
      <c r="S121" s="17">
        <f t="shared" si="14"/>
        <v>2.9288574077145011E-5</v>
      </c>
      <c r="T121" s="17">
        <f t="shared" si="14"/>
        <v>2.7355232049443549E-5</v>
      </c>
      <c r="U121" s="17">
        <f t="shared" si="14"/>
        <v>2.5483518550465086E-5</v>
      </c>
      <c r="V121" s="17">
        <f t="shared" si="14"/>
        <v>2.3625454457294108E-5</v>
      </c>
      <c r="W121" s="17">
        <f t="shared" si="14"/>
        <v>2.3371163540972604E-5</v>
      </c>
      <c r="X121" s="17">
        <f t="shared" si="14"/>
        <v>2.2074657702384043E-5</v>
      </c>
      <c r="Y121" s="17">
        <f t="shared" si="14"/>
        <v>2.0776454313540624E-5</v>
      </c>
      <c r="Z121" s="17">
        <f t="shared" si="14"/>
        <v>2.2063601151483273E-5</v>
      </c>
    </row>
    <row r="122" spans="1:31" s="26" customFormat="1" outlineLevel="1" x14ac:dyDescent="0.35"/>
    <row r="123" spans="1:31" s="221" customFormat="1" ht="21" x14ac:dyDescent="0.5">
      <c r="A123" s="229" t="s">
        <v>850</v>
      </c>
    </row>
    <row r="124" spans="1:31" s="18" customFormat="1" ht="21" x14ac:dyDescent="0.5">
      <c r="A124" s="18" t="s">
        <v>72</v>
      </c>
    </row>
    <row r="125" spans="1:31" s="20" customFormat="1" outlineLevel="1" x14ac:dyDescent="0.35">
      <c r="A125" s="19" t="s">
        <v>766</v>
      </c>
    </row>
    <row r="126" spans="1:31" s="16" customFormat="1" outlineLevel="1" x14ac:dyDescent="0.35">
      <c r="A126" s="21"/>
      <c r="AB126" s="15" t="s">
        <v>143</v>
      </c>
      <c r="AC126" s="16">
        <f>0.0000000028+0.0000000000000765</f>
        <v>2.8000764999999998E-9</v>
      </c>
      <c r="AD126" s="16" t="s">
        <v>142</v>
      </c>
      <c r="AE126" s="15" t="s">
        <v>714</v>
      </c>
    </row>
    <row r="127" spans="1:31" s="16" customFormat="1" outlineLevel="1" x14ac:dyDescent="0.35">
      <c r="A127" s="22" t="s">
        <v>565</v>
      </c>
      <c r="AC127" s="16">
        <f>AC126*1000</f>
        <v>2.8000765E-6</v>
      </c>
      <c r="AD127" s="16" t="s">
        <v>145</v>
      </c>
    </row>
    <row r="128" spans="1:31" s="16" customFormat="1" outlineLevel="1" x14ac:dyDescent="0.35">
      <c r="A128" s="22"/>
      <c r="AB128" s="16" t="s">
        <v>127</v>
      </c>
      <c r="AC128" s="16">
        <v>100</v>
      </c>
      <c r="AD128" s="16" t="s">
        <v>128</v>
      </c>
    </row>
    <row r="129" spans="1:53" s="16" customFormat="1" outlineLevel="1" x14ac:dyDescent="0.35">
      <c r="A129" s="230" t="s">
        <v>768</v>
      </c>
      <c r="AB129" s="16" t="s">
        <v>20</v>
      </c>
      <c r="AC129" s="16">
        <v>0.23</v>
      </c>
      <c r="AD129" s="16" t="s">
        <v>715</v>
      </c>
    </row>
    <row r="130" spans="1:53" s="16" customFormat="1" outlineLevel="1" x14ac:dyDescent="0.35">
      <c r="A130" s="22"/>
      <c r="AB130" s="16" t="s">
        <v>129</v>
      </c>
      <c r="AC130" s="16">
        <v>25</v>
      </c>
      <c r="AD130" s="16" t="s">
        <v>130</v>
      </c>
    </row>
    <row r="131" spans="1:53" outlineLevel="1" x14ac:dyDescent="0.35">
      <c r="B131" s="25">
        <v>2030</v>
      </c>
      <c r="C131" s="25">
        <v>2031</v>
      </c>
      <c r="D131" s="25">
        <v>2032</v>
      </c>
      <c r="E131" s="25">
        <v>2033</v>
      </c>
      <c r="F131" s="25">
        <v>2034</v>
      </c>
      <c r="G131" s="25">
        <v>2035</v>
      </c>
      <c r="H131" s="25">
        <v>2036</v>
      </c>
      <c r="I131" s="25">
        <v>2037</v>
      </c>
      <c r="J131" s="25">
        <v>2038</v>
      </c>
      <c r="K131" s="25">
        <v>2039</v>
      </c>
      <c r="L131" s="25">
        <v>2040</v>
      </c>
      <c r="M131" s="25">
        <v>2041</v>
      </c>
      <c r="N131" s="25">
        <v>2042</v>
      </c>
      <c r="O131" s="25">
        <v>2043</v>
      </c>
      <c r="P131" s="25">
        <v>2044</v>
      </c>
      <c r="Q131" s="25">
        <v>2045</v>
      </c>
      <c r="R131" s="25">
        <v>2046</v>
      </c>
      <c r="S131" s="25">
        <v>2047</v>
      </c>
      <c r="T131" s="25">
        <v>2048</v>
      </c>
      <c r="U131" s="25">
        <v>2049</v>
      </c>
      <c r="V131" s="25">
        <v>2050</v>
      </c>
      <c r="W131" s="25">
        <v>2051</v>
      </c>
      <c r="X131" s="25">
        <v>2052</v>
      </c>
      <c r="Y131" s="25">
        <v>2053</v>
      </c>
      <c r="Z131" s="25">
        <v>2054</v>
      </c>
      <c r="AC131" s="25">
        <v>2030</v>
      </c>
      <c r="AD131" s="25">
        <v>2031</v>
      </c>
      <c r="AE131" s="25">
        <v>2032</v>
      </c>
      <c r="AF131" s="25">
        <v>2033</v>
      </c>
      <c r="AG131" s="25">
        <v>2034</v>
      </c>
      <c r="AH131" s="25">
        <v>2035</v>
      </c>
      <c r="AI131" s="25">
        <v>2036</v>
      </c>
      <c r="AJ131" s="25">
        <v>2037</v>
      </c>
      <c r="AK131" s="25">
        <v>2038</v>
      </c>
      <c r="AL131" s="25">
        <v>2039</v>
      </c>
      <c r="AM131" s="25">
        <v>2040</v>
      </c>
      <c r="AN131" s="25">
        <v>2041</v>
      </c>
      <c r="AO131" s="25">
        <v>2042</v>
      </c>
      <c r="AP131" s="25">
        <v>2043</v>
      </c>
      <c r="AQ131" s="25">
        <v>2044</v>
      </c>
      <c r="AR131" s="25">
        <v>2045</v>
      </c>
      <c r="AS131" s="25">
        <v>2046</v>
      </c>
      <c r="AT131" s="25">
        <v>2047</v>
      </c>
      <c r="AU131" s="25">
        <v>2048</v>
      </c>
      <c r="AV131" s="25">
        <v>2049</v>
      </c>
      <c r="AW131" s="25">
        <v>2050</v>
      </c>
      <c r="AX131" s="25">
        <v>2051</v>
      </c>
      <c r="AY131" s="25">
        <v>2052</v>
      </c>
      <c r="AZ131" s="25">
        <v>2053</v>
      </c>
      <c r="BA131" s="25">
        <v>2054</v>
      </c>
    </row>
    <row r="132" spans="1:53" outlineLevel="1" x14ac:dyDescent="0.35">
      <c r="A132" s="6" t="s">
        <v>21</v>
      </c>
      <c r="B132" s="6">
        <f>'Results - raw data ReCiPe (H)'!AC5</f>
        <v>3.4065629385513331E-6</v>
      </c>
      <c r="AB132" s="6" t="s">
        <v>117</v>
      </c>
      <c r="AC132" s="6">
        <f>SUM(B132:B143)+B145</f>
        <v>1.9467533260507852E-4</v>
      </c>
    </row>
    <row r="133" spans="1:53" outlineLevel="1" x14ac:dyDescent="0.35">
      <c r="A133" s="6" t="s">
        <v>23</v>
      </c>
      <c r="B133" s="6">
        <f>'Results - raw data ReCiPe (H)'!AC6</f>
        <v>5.9775544476410673E-6</v>
      </c>
      <c r="AB133" s="6" t="s">
        <v>118</v>
      </c>
      <c r="AC133" s="6">
        <f>B144</f>
        <v>1.1362073373089257E-5</v>
      </c>
    </row>
    <row r="134" spans="1:53" outlineLevel="1" x14ac:dyDescent="0.35">
      <c r="A134" s="6" t="s">
        <v>26</v>
      </c>
      <c r="B134" s="6">
        <f>'Results - raw data ReCiPe (H)'!AC7</f>
        <v>1.5280120239729288E-5</v>
      </c>
      <c r="AB134" s="6" t="s">
        <v>119</v>
      </c>
      <c r="BA134" s="6">
        <f>SUM(Z146:Z157)</f>
        <v>2.8327516247168551E-6</v>
      </c>
    </row>
    <row r="135" spans="1:53" outlineLevel="1" x14ac:dyDescent="0.35">
      <c r="A135" s="6" t="s">
        <v>28</v>
      </c>
      <c r="B135" s="6">
        <f>'Results - raw data ReCiPe (H)'!AC8</f>
        <v>1.237356434915746E-5</v>
      </c>
      <c r="AB135" s="6" t="s">
        <v>120</v>
      </c>
      <c r="BA135" s="6">
        <f>Z158</f>
        <v>9.2615556283479631E-8</v>
      </c>
    </row>
    <row r="136" spans="1:53" outlineLevel="1" x14ac:dyDescent="0.35">
      <c r="A136" s="6" t="s">
        <v>29</v>
      </c>
      <c r="B136" s="6">
        <f>'Results - raw data ReCiPe (H)'!AC9</f>
        <v>9.6467851095061977E-6</v>
      </c>
      <c r="AB136" s="6" t="s">
        <v>121</v>
      </c>
      <c r="AC136" s="6">
        <f>B159</f>
        <v>4.5446143489064019E-6</v>
      </c>
      <c r="AF136" s="6">
        <f>E159</f>
        <v>4.4990771841472508E-6</v>
      </c>
      <c r="AI136" s="6">
        <f>H159</f>
        <v>4.4904228129143327E-6</v>
      </c>
      <c r="AL136" s="6">
        <f>K159</f>
        <v>4.4944994140002021E-6</v>
      </c>
      <c r="AO136" s="6">
        <f>N159</f>
        <v>4.5214378334785092E-6</v>
      </c>
      <c r="AR136" s="6">
        <f>Q159</f>
        <v>4.5497134383595956E-6</v>
      </c>
      <c r="AU136" s="6">
        <f>T159</f>
        <v>4.4955793454683717E-6</v>
      </c>
      <c r="AX136" s="6">
        <f>W159</f>
        <v>4.4518098931988601E-6</v>
      </c>
      <c r="BA136" s="6">
        <f>Z159</f>
        <v>4.3615476020125354E-6</v>
      </c>
    </row>
    <row r="137" spans="1:53" outlineLevel="1" x14ac:dyDescent="0.35">
      <c r="A137" s="6" t="s">
        <v>31</v>
      </c>
      <c r="B137" s="6">
        <f>'Results - raw data ReCiPe (H)'!AC10</f>
        <v>7.490794425870649E-6</v>
      </c>
      <c r="AB137" s="6" t="s">
        <v>122</v>
      </c>
      <c r="AC137" s="6">
        <f>B162+B161</f>
        <v>1.2609712408111751E-4</v>
      </c>
      <c r="AD137" s="6">
        <f t="shared" ref="AD137:BA137" si="15">C162+C161</f>
        <v>1.2561981054232138E-4</v>
      </c>
      <c r="AE137" s="6">
        <f t="shared" si="15"/>
        <v>1.2514152768895251E-4</v>
      </c>
      <c r="AF137" s="6">
        <f t="shared" si="15"/>
        <v>1.2453918917903461E-4</v>
      </c>
      <c r="AG137" s="6">
        <f t="shared" si="15"/>
        <v>1.240576804340914E-4</v>
      </c>
      <c r="AH137" s="6">
        <f t="shared" si="15"/>
        <v>1.2357469085938648E-4</v>
      </c>
      <c r="AI137" s="6">
        <f t="shared" si="15"/>
        <v>1.3204048212213683E-4</v>
      </c>
      <c r="AJ137" s="6">
        <f t="shared" si="15"/>
        <v>1.4049514393957337E-4</v>
      </c>
      <c r="AK137" s="6">
        <f t="shared" si="15"/>
        <v>1.4886759273517822E-4</v>
      </c>
      <c r="AL137" s="6">
        <f t="shared" si="15"/>
        <v>1.5730945561294408E-4</v>
      </c>
      <c r="AM137" s="6">
        <f t="shared" si="15"/>
        <v>1.6573576125827191E-4</v>
      </c>
      <c r="AN137" s="6">
        <f t="shared" si="15"/>
        <v>1.8163286251103754E-4</v>
      </c>
      <c r="AO137" s="6">
        <f t="shared" si="15"/>
        <v>1.9757185748234539E-4</v>
      </c>
      <c r="AP137" s="6">
        <f t="shared" si="15"/>
        <v>2.1353857022540711E-4</v>
      </c>
      <c r="AQ137" s="6">
        <f t="shared" si="15"/>
        <v>2.2956863122547394E-4</v>
      </c>
      <c r="AR137" s="6">
        <f t="shared" si="15"/>
        <v>2.4564852111216183E-4</v>
      </c>
      <c r="AS137" s="6">
        <f t="shared" si="15"/>
        <v>2.4736407694702907E-4</v>
      </c>
      <c r="AT137" s="6">
        <f t="shared" si="15"/>
        <v>2.4909873898929565E-4</v>
      </c>
      <c r="AU137" s="6">
        <f t="shared" si="15"/>
        <v>2.5083414466368513E-4</v>
      </c>
      <c r="AV137" s="6">
        <f t="shared" si="15"/>
        <v>2.5260133405196787E-4</v>
      </c>
      <c r="AW137" s="6">
        <f t="shared" si="15"/>
        <v>2.5438215810291237E-4</v>
      </c>
      <c r="AX137" s="6">
        <f t="shared" si="15"/>
        <v>2.5111953062878484E-4</v>
      </c>
      <c r="AY137" s="6">
        <f t="shared" si="15"/>
        <v>2.4411536205559085E-4</v>
      </c>
      <c r="AZ137" s="6">
        <f t="shared" si="15"/>
        <v>2.3708664520123195E-4</v>
      </c>
      <c r="BA137" s="6">
        <f t="shared" si="15"/>
        <v>2.3003317125281871E-4</v>
      </c>
    </row>
    <row r="138" spans="1:53" outlineLevel="1" x14ac:dyDescent="0.35">
      <c r="A138" s="6" t="s">
        <v>34</v>
      </c>
      <c r="B138" s="6">
        <f>'Results - raw data ReCiPe (H)'!AC11</f>
        <v>5.3054904136133011E-6</v>
      </c>
      <c r="AB138" s="6" t="s">
        <v>123</v>
      </c>
      <c r="AC138" s="6">
        <f t="shared" ref="AC138:BA138" si="16">B160</f>
        <v>4.9246351932424972E-8</v>
      </c>
      <c r="AD138" s="6">
        <f t="shared" si="16"/>
        <v>4.9096401214947981E-8</v>
      </c>
      <c r="AE138" s="6">
        <f t="shared" si="16"/>
        <v>4.8946485162264705E-8</v>
      </c>
      <c r="AF138" s="6">
        <f t="shared" si="16"/>
        <v>4.8768944437363166E-8</v>
      </c>
      <c r="AG138" s="6">
        <f t="shared" si="16"/>
        <v>4.8618773227028101E-8</v>
      </c>
      <c r="AH138" s="6">
        <f t="shared" si="16"/>
        <v>4.8468528753018203E-8</v>
      </c>
      <c r="AI138" s="6">
        <f t="shared" si="16"/>
        <v>5.0366568213734085E-8</v>
      </c>
      <c r="AJ138" s="6">
        <f t="shared" si="16"/>
        <v>5.2256519793137814E-8</v>
      </c>
      <c r="AK138" s="6">
        <f t="shared" si="16"/>
        <v>5.4122279002845554E-8</v>
      </c>
      <c r="AL138" s="6">
        <f t="shared" si="16"/>
        <v>5.5998296207773871E-8</v>
      </c>
      <c r="AM138" s="6">
        <f t="shared" si="16"/>
        <v>5.7865287131218987E-8</v>
      </c>
      <c r="AN138" s="6">
        <f t="shared" si="16"/>
        <v>6.1427419162412621E-8</v>
      </c>
      <c r="AO138" s="6">
        <f t="shared" si="16"/>
        <v>6.4990775352988838E-8</v>
      </c>
      <c r="AP138" s="6">
        <f t="shared" si="16"/>
        <v>6.8552083854363568E-8</v>
      </c>
      <c r="AQ138" s="6">
        <f t="shared" si="16"/>
        <v>7.2119499972016069E-8</v>
      </c>
      <c r="AR138" s="6">
        <f t="shared" si="16"/>
        <v>7.5689803461398313E-8</v>
      </c>
      <c r="AS138" s="6">
        <f t="shared" si="16"/>
        <v>7.602331889571039E-8</v>
      </c>
      <c r="AT138" s="6">
        <f t="shared" si="16"/>
        <v>7.6360321719172824E-8</v>
      </c>
      <c r="AU138" s="6">
        <f t="shared" si="16"/>
        <v>7.6696632980447138E-8</v>
      </c>
      <c r="AV138" s="6">
        <f t="shared" si="16"/>
        <v>7.7039330397763627E-8</v>
      </c>
      <c r="AW138" s="6">
        <f t="shared" si="16"/>
        <v>7.7384269897101088E-8</v>
      </c>
      <c r="AX138" s="6">
        <f t="shared" si="16"/>
        <v>7.6563945461364284E-8</v>
      </c>
      <c r="AY138" s="6">
        <f t="shared" si="16"/>
        <v>7.4892009110078879E-8</v>
      </c>
      <c r="AZ138" s="6">
        <f t="shared" si="16"/>
        <v>7.3220815974611205E-8</v>
      </c>
      <c r="BA138" s="6">
        <f t="shared" si="16"/>
        <v>7.1550334783920095E-8</v>
      </c>
    </row>
    <row r="139" spans="1:53" outlineLevel="1" x14ac:dyDescent="0.35">
      <c r="A139" s="6" t="s">
        <v>36</v>
      </c>
      <c r="B139" s="6">
        <f>'Results - raw data ReCiPe (H)'!AC12</f>
        <v>4.5452790891056938E-6</v>
      </c>
      <c r="AB139" s="6" t="s">
        <v>124</v>
      </c>
      <c r="AC139" s="6">
        <f>-$AC$6*$AC$7</f>
        <v>-2.8000764999999998E-4</v>
      </c>
      <c r="AD139" s="6">
        <f t="shared" ref="AD139:BA139" si="17">-$AC$6*$AC$7</f>
        <v>-2.8000764999999998E-4</v>
      </c>
      <c r="AE139" s="6">
        <f t="shared" si="17"/>
        <v>-2.8000764999999998E-4</v>
      </c>
      <c r="AF139" s="6">
        <f t="shared" si="17"/>
        <v>-2.8000764999999998E-4</v>
      </c>
      <c r="AG139" s="6">
        <f t="shared" si="17"/>
        <v>-2.8000764999999998E-4</v>
      </c>
      <c r="AH139" s="6">
        <f t="shared" si="17"/>
        <v>-2.8000764999999998E-4</v>
      </c>
      <c r="AI139" s="6">
        <f t="shared" si="17"/>
        <v>-2.8000764999999998E-4</v>
      </c>
      <c r="AJ139" s="6">
        <f t="shared" si="17"/>
        <v>-2.8000764999999998E-4</v>
      </c>
      <c r="AK139" s="6">
        <f t="shared" si="17"/>
        <v>-2.8000764999999998E-4</v>
      </c>
      <c r="AL139" s="6">
        <f t="shared" si="17"/>
        <v>-2.8000764999999998E-4</v>
      </c>
      <c r="AM139" s="6">
        <f t="shared" si="17"/>
        <v>-2.8000764999999998E-4</v>
      </c>
      <c r="AN139" s="6">
        <f t="shared" si="17"/>
        <v>-2.8000764999999998E-4</v>
      </c>
      <c r="AO139" s="6">
        <f t="shared" si="17"/>
        <v>-2.8000764999999998E-4</v>
      </c>
      <c r="AP139" s="6">
        <f t="shared" si="17"/>
        <v>-2.8000764999999998E-4</v>
      </c>
      <c r="AQ139" s="6">
        <f t="shared" si="17"/>
        <v>-2.8000764999999998E-4</v>
      </c>
      <c r="AR139" s="6">
        <f t="shared" si="17"/>
        <v>-2.8000764999999998E-4</v>
      </c>
      <c r="AS139" s="6">
        <f t="shared" si="17"/>
        <v>-2.8000764999999998E-4</v>
      </c>
      <c r="AT139" s="6">
        <f t="shared" si="17"/>
        <v>-2.8000764999999998E-4</v>
      </c>
      <c r="AU139" s="6">
        <f t="shared" si="17"/>
        <v>-2.8000764999999998E-4</v>
      </c>
      <c r="AV139" s="6">
        <f t="shared" si="17"/>
        <v>-2.8000764999999998E-4</v>
      </c>
      <c r="AW139" s="6">
        <f t="shared" si="17"/>
        <v>-2.8000764999999998E-4</v>
      </c>
      <c r="AX139" s="6">
        <f t="shared" si="17"/>
        <v>-2.8000764999999998E-4</v>
      </c>
      <c r="AY139" s="6">
        <f t="shared" si="17"/>
        <v>-2.8000764999999998E-4</v>
      </c>
      <c r="AZ139" s="6">
        <f t="shared" si="17"/>
        <v>-2.8000764999999998E-4</v>
      </c>
      <c r="BA139" s="6">
        <f t="shared" si="17"/>
        <v>-2.8000764999999998E-4</v>
      </c>
    </row>
    <row r="140" spans="1:53" outlineLevel="1" x14ac:dyDescent="0.35">
      <c r="A140" s="6" t="s">
        <v>38</v>
      </c>
      <c r="B140" s="6">
        <f>'Results - raw data ReCiPe (H)'!AC13</f>
        <v>2.519681743962088E-5</v>
      </c>
      <c r="AB140" s="23" t="s">
        <v>125</v>
      </c>
      <c r="AC140" s="17">
        <f t="shared" ref="AC140:BA140" si="18">SUM(AC132:AC139)</f>
        <v>5.6720740760124097E-5</v>
      </c>
      <c r="AD140" s="17">
        <f t="shared" si="18"/>
        <v>-1.5433874305646365E-4</v>
      </c>
      <c r="AE140" s="17">
        <f t="shared" si="18"/>
        <v>-1.548171758258852E-4</v>
      </c>
      <c r="AF140" s="17">
        <f t="shared" si="18"/>
        <v>-1.5092061469238076E-4</v>
      </c>
      <c r="AG140" s="17">
        <f t="shared" si="18"/>
        <v>-1.5590135079268156E-4</v>
      </c>
      <c r="AH140" s="17">
        <f t="shared" si="18"/>
        <v>-1.5638449061186049E-4</v>
      </c>
      <c r="AI140" s="17">
        <f t="shared" si="18"/>
        <v>-1.4342637849673509E-4</v>
      </c>
      <c r="AJ140" s="17">
        <f t="shared" si="18"/>
        <v>-1.3946024954063346E-4</v>
      </c>
      <c r="AK140" s="17">
        <f t="shared" si="18"/>
        <v>-1.3108593498581891E-4</v>
      </c>
      <c r="AL140" s="17">
        <f t="shared" si="18"/>
        <v>-1.1814769667684792E-4</v>
      </c>
      <c r="AM140" s="17">
        <f t="shared" si="18"/>
        <v>-1.1421402345459684E-4</v>
      </c>
      <c r="AN140" s="17">
        <f t="shared" si="18"/>
        <v>-9.8313360069800031E-5</v>
      </c>
      <c r="AO140" s="17">
        <f t="shared" si="18"/>
        <v>-7.7849363908823085E-5</v>
      </c>
      <c r="AP140" s="17">
        <f t="shared" si="18"/>
        <v>-6.6400527690738505E-5</v>
      </c>
      <c r="AQ140" s="17">
        <f t="shared" si="18"/>
        <v>-5.0366899274554032E-5</v>
      </c>
      <c r="AR140" s="17">
        <f t="shared" si="18"/>
        <v>-2.9733725646017119E-5</v>
      </c>
      <c r="AS140" s="17">
        <f t="shared" si="18"/>
        <v>-3.2567549734075212E-5</v>
      </c>
      <c r="AT140" s="17">
        <f t="shared" si="18"/>
        <v>-3.0832550688985141E-5</v>
      </c>
      <c r="AU140" s="17">
        <f t="shared" si="18"/>
        <v>-2.4601229357865996E-5</v>
      </c>
      <c r="AV140" s="17">
        <f t="shared" si="18"/>
        <v>-2.7329276617634379E-5</v>
      </c>
      <c r="AW140" s="17">
        <f t="shared" si="18"/>
        <v>-2.5548107627190492E-5</v>
      </c>
      <c r="AX140" s="17">
        <f t="shared" si="18"/>
        <v>-2.4359745532554909E-5</v>
      </c>
      <c r="AY140" s="17">
        <f t="shared" si="18"/>
        <v>-3.5817395935299032E-5</v>
      </c>
      <c r="AZ140" s="17">
        <f t="shared" si="18"/>
        <v>-4.2847783982793416E-5</v>
      </c>
      <c r="BA140" s="17">
        <f t="shared" si="18"/>
        <v>-4.26160136293845E-5</v>
      </c>
    </row>
    <row r="141" spans="1:53" outlineLevel="1" x14ac:dyDescent="0.35">
      <c r="A141" s="6" t="s">
        <v>39</v>
      </c>
      <c r="B141" s="6">
        <f>'Results - raw data ReCiPe (H)'!AC14</f>
        <v>7.3235179910091571E-5</v>
      </c>
    </row>
    <row r="142" spans="1:53" outlineLevel="1" x14ac:dyDescent="0.35">
      <c r="A142" s="6" t="s">
        <v>41</v>
      </c>
      <c r="B142" s="6">
        <f>'Results - raw data ReCiPe (H)'!AC15</f>
        <v>7.5090323051228674E-7</v>
      </c>
    </row>
    <row r="143" spans="1:53" outlineLevel="1" x14ac:dyDescent="0.35">
      <c r="A143" s="6" t="s">
        <v>43</v>
      </c>
      <c r="B143" s="6">
        <f>'Results - raw data ReCiPe (H)'!AC16</f>
        <v>2.0497787420389352E-6</v>
      </c>
      <c r="AB143" s="282"/>
      <c r="AC143" s="282"/>
      <c r="AD143" s="282"/>
      <c r="AE143" s="282"/>
      <c r="AF143" s="282"/>
      <c r="AG143" s="282"/>
      <c r="AH143" s="282"/>
      <c r="AI143" s="282"/>
      <c r="AJ143" s="282"/>
      <c r="AK143" s="282"/>
      <c r="AL143" s="282"/>
      <c r="AM143" s="282"/>
      <c r="AN143" s="282"/>
      <c r="AO143" s="282"/>
      <c r="AP143" s="282"/>
      <c r="AQ143" s="282"/>
      <c r="AR143" s="282"/>
      <c r="AS143" s="282"/>
      <c r="AT143" s="282"/>
      <c r="AU143" s="282"/>
      <c r="AV143" s="282"/>
      <c r="AW143" s="282"/>
      <c r="AX143" s="282"/>
      <c r="AY143" s="282"/>
      <c r="AZ143" s="282"/>
      <c r="BA143" s="282"/>
    </row>
    <row r="144" spans="1:53" outlineLevel="1" x14ac:dyDescent="0.35">
      <c r="A144" s="6" t="s">
        <v>44</v>
      </c>
      <c r="B144" s="6">
        <f>'Results - raw data ReCiPe (H)'!AC17*AC128*AC130</f>
        <v>1.1362073373089257E-5</v>
      </c>
      <c r="AB144" s="282"/>
      <c r="AC144" s="282"/>
      <c r="AD144" s="282"/>
      <c r="AE144" s="282"/>
      <c r="AF144" s="282"/>
      <c r="AG144" s="282"/>
      <c r="AH144" s="282"/>
      <c r="AI144" s="282"/>
      <c r="AJ144" s="282"/>
      <c r="AK144" s="282"/>
      <c r="AL144" s="282"/>
      <c r="AM144" s="282"/>
      <c r="AN144" s="282"/>
      <c r="AO144" s="282"/>
      <c r="AP144" s="282"/>
      <c r="AQ144" s="282"/>
      <c r="AR144" s="282"/>
      <c r="AS144" s="282"/>
      <c r="AT144" s="282"/>
      <c r="AU144" s="282"/>
      <c r="AV144" s="282"/>
      <c r="AW144" s="282"/>
      <c r="AX144" s="282"/>
      <c r="AY144" s="282"/>
      <c r="AZ144" s="282"/>
      <c r="BA144" s="282"/>
    </row>
    <row r="145" spans="1:53" outlineLevel="1" x14ac:dyDescent="0.35">
      <c r="A145" s="6" t="s">
        <v>757</v>
      </c>
      <c r="B145" s="6">
        <f>'Results - raw data ReCiPe (H)'!AC18*AC128*AC130</f>
        <v>2.9416502269639851E-5</v>
      </c>
      <c r="AB145" s="282"/>
      <c r="AC145" s="282"/>
      <c r="AD145" s="282"/>
      <c r="AE145" s="282"/>
      <c r="AF145" s="282"/>
      <c r="AG145" s="282"/>
      <c r="AH145" s="282"/>
      <c r="AI145" s="282"/>
      <c r="AJ145" s="282"/>
      <c r="AK145" s="282"/>
      <c r="AL145" s="282"/>
      <c r="AM145" s="282"/>
      <c r="AN145" s="282"/>
      <c r="AO145" s="282"/>
      <c r="AP145" s="282"/>
      <c r="AQ145" s="282"/>
      <c r="AR145" s="282"/>
      <c r="AS145" s="282"/>
      <c r="AT145" s="282"/>
      <c r="AU145" s="282"/>
      <c r="AV145" s="282"/>
      <c r="AW145" s="282"/>
      <c r="AX145" s="282"/>
      <c r="AY145" s="282"/>
      <c r="AZ145" s="282"/>
      <c r="BA145" s="282"/>
    </row>
    <row r="146" spans="1:53" outlineLevel="1" x14ac:dyDescent="0.35">
      <c r="A146" s="6" t="s">
        <v>22</v>
      </c>
      <c r="Z146" s="6">
        <f>'Results - raw data ReCiPe (H)'!BA19</f>
        <v>6.2658793463083337E-8</v>
      </c>
      <c r="AB146" s="282"/>
      <c r="AC146" s="282"/>
      <c r="AD146" s="282"/>
      <c r="AE146" s="282"/>
      <c r="AF146" s="282"/>
      <c r="AG146" s="282"/>
      <c r="AH146" s="282"/>
      <c r="AI146" s="282"/>
      <c r="AJ146" s="282"/>
      <c r="AK146" s="282"/>
      <c r="AL146" s="282"/>
      <c r="AM146" s="282"/>
      <c r="AN146" s="282"/>
      <c r="AO146" s="282"/>
      <c r="AP146" s="282"/>
      <c r="AQ146" s="282"/>
      <c r="AR146" s="282"/>
      <c r="AS146" s="282"/>
      <c r="AT146" s="282"/>
      <c r="AU146" s="282"/>
      <c r="AV146" s="282"/>
      <c r="AW146" s="282"/>
      <c r="AX146" s="282"/>
      <c r="AY146" s="282"/>
      <c r="AZ146" s="282"/>
      <c r="BA146" s="282"/>
    </row>
    <row r="147" spans="1:53" outlineLevel="1" x14ac:dyDescent="0.35">
      <c r="A147" s="6" t="s">
        <v>24</v>
      </c>
      <c r="Z147" s="6">
        <f>'Results - raw data ReCiPe (H)'!BA20</f>
        <v>3.0939913639353121E-8</v>
      </c>
      <c r="AB147" s="282"/>
      <c r="AC147" s="282"/>
      <c r="AD147" s="282"/>
      <c r="AE147" s="282"/>
      <c r="AF147" s="282"/>
      <c r="AG147" s="282"/>
      <c r="AH147" s="282"/>
      <c r="AI147" s="282"/>
      <c r="AJ147" s="282"/>
      <c r="AK147" s="282"/>
      <c r="AL147" s="282"/>
      <c r="AM147" s="282"/>
      <c r="AN147" s="282"/>
      <c r="AO147" s="282"/>
      <c r="AP147" s="282"/>
      <c r="AQ147" s="282"/>
      <c r="AR147" s="282"/>
      <c r="AS147" s="282"/>
      <c r="AT147" s="282"/>
      <c r="AU147" s="282"/>
      <c r="AV147" s="282"/>
      <c r="AW147" s="282"/>
      <c r="AX147" s="282"/>
      <c r="AY147" s="282"/>
      <c r="AZ147" s="282"/>
      <c r="BA147" s="282"/>
    </row>
    <row r="148" spans="1:53" outlineLevel="1" x14ac:dyDescent="0.35">
      <c r="A148" s="6" t="s">
        <v>25</v>
      </c>
      <c r="Z148" s="6">
        <f>'Results - raw data ReCiPe (H)'!BA21</f>
        <v>1.3113107499561001E-7</v>
      </c>
      <c r="AB148" s="282"/>
      <c r="AC148" s="282"/>
      <c r="AD148" s="282"/>
      <c r="AE148" s="282"/>
      <c r="AF148" s="282"/>
      <c r="AG148" s="282"/>
      <c r="AH148" s="282"/>
      <c r="AI148" s="282"/>
      <c r="AJ148" s="282"/>
      <c r="AK148" s="282"/>
      <c r="AL148" s="282"/>
      <c r="AM148" s="282"/>
      <c r="AN148" s="282"/>
      <c r="AO148" s="282"/>
      <c r="AP148" s="282"/>
      <c r="AQ148" s="282"/>
      <c r="AR148" s="282"/>
      <c r="AS148" s="282"/>
      <c r="AT148" s="282"/>
      <c r="AU148" s="282"/>
      <c r="AV148" s="282"/>
      <c r="AW148" s="282"/>
      <c r="AX148" s="282"/>
      <c r="AY148" s="282"/>
      <c r="AZ148" s="282"/>
      <c r="BA148" s="282"/>
    </row>
    <row r="149" spans="1:53" outlineLevel="1" x14ac:dyDescent="0.35">
      <c r="A149" s="6" t="s">
        <v>27</v>
      </c>
      <c r="Z149" s="6">
        <f>'Results - raw data ReCiPe (H)'!BA22</f>
        <v>4.6156121953184779E-8</v>
      </c>
      <c r="AB149" s="282"/>
      <c r="AC149" s="282"/>
      <c r="AD149" s="282"/>
      <c r="AE149" s="282"/>
      <c r="AF149" s="282"/>
      <c r="AG149" s="282"/>
      <c r="AH149" s="282"/>
      <c r="AI149" s="282"/>
      <c r="AJ149" s="282"/>
      <c r="AK149" s="282"/>
      <c r="AL149" s="282"/>
      <c r="AM149" s="282"/>
      <c r="AN149" s="282"/>
      <c r="AO149" s="282"/>
      <c r="AP149" s="282"/>
      <c r="AQ149" s="282"/>
      <c r="AR149" s="282"/>
      <c r="AS149" s="282"/>
      <c r="AT149" s="282"/>
      <c r="AU149" s="282"/>
      <c r="AV149" s="282"/>
      <c r="AW149" s="282"/>
      <c r="AX149" s="282"/>
      <c r="AY149" s="282"/>
      <c r="AZ149" s="282"/>
      <c r="BA149" s="282"/>
    </row>
    <row r="150" spans="1:53" outlineLevel="1" x14ac:dyDescent="0.35">
      <c r="A150" s="6" t="s">
        <v>30</v>
      </c>
      <c r="Z150" s="6">
        <f>'Results - raw data ReCiPe (H)'!BA23</f>
        <v>8.2652845953532874E-8</v>
      </c>
      <c r="AB150" s="282"/>
      <c r="AC150" s="282"/>
      <c r="AD150" s="282"/>
      <c r="AE150" s="282"/>
      <c r="AF150" s="282"/>
      <c r="AG150" s="282"/>
      <c r="AH150" s="282"/>
      <c r="AI150" s="282"/>
      <c r="AJ150" s="282"/>
      <c r="AK150" s="282"/>
      <c r="AL150" s="282"/>
      <c r="AM150" s="282"/>
      <c r="AN150" s="282"/>
      <c r="AO150" s="282"/>
      <c r="AP150" s="282"/>
      <c r="AQ150" s="282"/>
      <c r="AR150" s="282"/>
      <c r="AS150" s="282"/>
      <c r="AT150" s="282"/>
      <c r="AU150" s="282"/>
      <c r="AV150" s="282"/>
      <c r="AW150" s="282"/>
      <c r="AX150" s="282"/>
      <c r="AY150" s="282"/>
      <c r="AZ150" s="282"/>
      <c r="BA150" s="282"/>
    </row>
    <row r="151" spans="1:53" outlineLevel="1" x14ac:dyDescent="0.35">
      <c r="A151" s="6" t="s">
        <v>32</v>
      </c>
      <c r="Z151" s="6">
        <f>'Results - raw data ReCiPe (H)'!BA24</f>
        <v>7.097868543756944E-9</v>
      </c>
      <c r="AB151" s="282"/>
      <c r="AC151" s="282"/>
      <c r="AD151" s="282"/>
      <c r="AE151" s="282"/>
      <c r="AF151" s="282"/>
      <c r="AG151" s="282"/>
      <c r="AH151" s="282"/>
      <c r="AI151" s="282"/>
      <c r="AJ151" s="282"/>
      <c r="AK151" s="282"/>
      <c r="AL151" s="282"/>
      <c r="AM151" s="282"/>
      <c r="AN151" s="282"/>
      <c r="AO151" s="282"/>
      <c r="AP151" s="282"/>
      <c r="AQ151" s="282"/>
      <c r="AR151" s="282"/>
      <c r="AS151" s="282"/>
      <c r="AT151" s="282"/>
      <c r="AU151" s="282"/>
      <c r="AV151" s="282"/>
      <c r="AW151" s="282"/>
      <c r="AX151" s="282"/>
      <c r="AY151" s="282"/>
      <c r="AZ151" s="282"/>
      <c r="BA151" s="282"/>
    </row>
    <row r="152" spans="1:53" outlineLevel="1" x14ac:dyDescent="0.35">
      <c r="A152" s="6" t="s">
        <v>33</v>
      </c>
      <c r="Z152" s="6">
        <f>'Results - raw data ReCiPe (H)'!BA25</f>
        <v>2.110830182896093E-8</v>
      </c>
      <c r="AB152" s="282"/>
      <c r="AC152" s="282"/>
      <c r="AD152" s="282"/>
      <c r="AE152" s="282"/>
      <c r="AF152" s="282"/>
      <c r="AG152" s="282"/>
      <c r="AH152" s="282"/>
      <c r="AI152" s="282"/>
      <c r="AJ152" s="282"/>
      <c r="AK152" s="282"/>
      <c r="AL152" s="282"/>
      <c r="AM152" s="282"/>
      <c r="AN152" s="282"/>
      <c r="AO152" s="282"/>
      <c r="AP152" s="282"/>
      <c r="AQ152" s="282"/>
      <c r="AR152" s="282"/>
      <c r="AS152" s="282"/>
      <c r="AT152" s="282"/>
      <c r="AU152" s="282"/>
      <c r="AV152" s="282"/>
      <c r="AW152" s="282"/>
      <c r="AX152" s="282"/>
      <c r="AY152" s="282"/>
      <c r="AZ152" s="282"/>
      <c r="BA152" s="282"/>
    </row>
    <row r="153" spans="1:53" outlineLevel="1" x14ac:dyDescent="0.35">
      <c r="A153" s="6" t="s">
        <v>35</v>
      </c>
      <c r="Z153" s="6">
        <f>'Results - raw data ReCiPe (H)'!BA26</f>
        <v>4.2216603657921873E-8</v>
      </c>
      <c r="AB153" s="282"/>
      <c r="AC153" s="282"/>
      <c r="AD153" s="282"/>
      <c r="AE153" s="282"/>
      <c r="AF153" s="282"/>
      <c r="AG153" s="282"/>
      <c r="AH153" s="282"/>
      <c r="AI153" s="282"/>
      <c r="AJ153" s="282"/>
      <c r="AK153" s="282"/>
      <c r="AL153" s="282"/>
      <c r="AM153" s="282"/>
      <c r="AN153" s="282"/>
      <c r="AO153" s="282"/>
      <c r="AP153" s="282"/>
      <c r="AQ153" s="282"/>
      <c r="AR153" s="282"/>
      <c r="AS153" s="282"/>
      <c r="AT153" s="282"/>
      <c r="AU153" s="282"/>
      <c r="AV153" s="282"/>
      <c r="AW153" s="282"/>
      <c r="AX153" s="282"/>
      <c r="AY153" s="282"/>
      <c r="AZ153" s="282"/>
      <c r="BA153" s="282"/>
    </row>
    <row r="154" spans="1:53" outlineLevel="1" x14ac:dyDescent="0.35">
      <c r="A154" s="6" t="s">
        <v>37</v>
      </c>
      <c r="Z154" s="6">
        <f>'Results - raw data ReCiPe (H)'!BA27</f>
        <v>1.160130193626278E-7</v>
      </c>
      <c r="AB154" s="282"/>
      <c r="AC154" s="282"/>
      <c r="AD154" s="282"/>
      <c r="AE154" s="282"/>
      <c r="AF154" s="282"/>
      <c r="AG154" s="282"/>
      <c r="AH154" s="282"/>
      <c r="AI154" s="282"/>
      <c r="AJ154" s="282"/>
      <c r="AK154" s="282"/>
      <c r="AL154" s="282"/>
      <c r="AM154" s="282"/>
      <c r="AN154" s="282"/>
      <c r="AO154" s="282"/>
      <c r="AP154" s="282"/>
      <c r="AQ154" s="282"/>
      <c r="AR154" s="282"/>
      <c r="AS154" s="282"/>
      <c r="AT154" s="282"/>
      <c r="AU154" s="282"/>
      <c r="AV154" s="282"/>
      <c r="AW154" s="282"/>
      <c r="AX154" s="282"/>
      <c r="AY154" s="282"/>
      <c r="AZ154" s="282"/>
      <c r="BA154" s="282"/>
    </row>
    <row r="155" spans="1:53" outlineLevel="1" x14ac:dyDescent="0.35">
      <c r="A155" s="6" t="s">
        <v>40</v>
      </c>
      <c r="Z155" s="6">
        <f>'Results - raw data ReCiPe (H)'!BA28</f>
        <v>9.5709423987073597E-7</v>
      </c>
    </row>
    <row r="156" spans="1:53" outlineLevel="1" x14ac:dyDescent="0.35">
      <c r="A156" s="6" t="s">
        <v>42</v>
      </c>
      <c r="Z156" s="6">
        <f>'Results - raw data ReCiPe (H)'!BA29</f>
        <v>1.7656694459384321E-7</v>
      </c>
    </row>
    <row r="157" spans="1:53" outlineLevel="1" x14ac:dyDescent="0.35">
      <c r="A157" s="6" t="s">
        <v>115</v>
      </c>
      <c r="Z157" s="6">
        <f>'Results - raw data ReCiPe (H)'!BA30</f>
        <v>1.1591158968542441E-6</v>
      </c>
    </row>
    <row r="158" spans="1:53" outlineLevel="1" x14ac:dyDescent="0.35">
      <c r="A158" s="6" t="s">
        <v>45</v>
      </c>
      <c r="Z158" s="6">
        <f>'Results - raw data ReCiPe (H)'!BA31*AC128*AC130</f>
        <v>9.2615556283479631E-8</v>
      </c>
    </row>
    <row r="159" spans="1:53" outlineLevel="1" x14ac:dyDescent="0.35">
      <c r="A159" s="6" t="s">
        <v>116</v>
      </c>
      <c r="B159" s="6">
        <f>'Results - raw data ReCiPe (H)'!AC32</f>
        <v>4.5446143489064019E-6</v>
      </c>
      <c r="C159" s="6">
        <f>'Results - raw data ReCiPe (H)'!AD32</f>
        <v>4.5375318532980086E-6</v>
      </c>
      <c r="D159" s="6">
        <f>'Results - raw data ReCiPe (H)'!AE32</f>
        <v>4.5304734340900244E-6</v>
      </c>
      <c r="E159" s="6">
        <f>'Results - raw data ReCiPe (H)'!AF32</f>
        <v>4.4990771841472508E-6</v>
      </c>
      <c r="F159" s="6">
        <f>'Results - raw data ReCiPe (H)'!AG32</f>
        <v>4.4919915866917474E-6</v>
      </c>
      <c r="G159" s="6">
        <f>'Results - raw data ReCiPe (H)'!AH32</f>
        <v>4.4849171952101174E-6</v>
      </c>
      <c r="H159" s="6">
        <f>'Results - raw data ReCiPe (H)'!AI32</f>
        <v>4.4904228129143327E-6</v>
      </c>
      <c r="I159" s="6">
        <f>'Results - raw data ReCiPe (H)'!AJ32</f>
        <v>4.4959352490022174E-6</v>
      </c>
      <c r="J159" s="6">
        <f>'Results - raw data ReCiPe (H)'!AK32</f>
        <v>4.4889268251604726E-6</v>
      </c>
      <c r="K159" s="6">
        <f>'Results - raw data ReCiPe (H)'!AL32</f>
        <v>4.4944994140002021E-6</v>
      </c>
      <c r="L159" s="6">
        <f>'Results - raw data ReCiPe (H)'!AM32</f>
        <v>4.5000640197401953E-6</v>
      </c>
      <c r="M159" s="6">
        <f>'Results - raw data ReCiPe (H)'!AN32</f>
        <v>4.5107792253624839E-6</v>
      </c>
      <c r="N159" s="6">
        <f>'Results - raw data ReCiPe (H)'!AO32</f>
        <v>4.5214378334785092E-6</v>
      </c>
      <c r="O159" s="6">
        <f>'Results - raw data ReCiPe (H)'!AP32</f>
        <v>4.5283096521643754E-6</v>
      </c>
      <c r="P159" s="6">
        <f>'Results - raw data ReCiPe (H)'!AQ32</f>
        <v>4.5390097879665774E-6</v>
      </c>
      <c r="Q159" s="6">
        <f>'Results - raw data ReCiPe (H)'!AR32</f>
        <v>4.5497134383595956E-6</v>
      </c>
      <c r="R159" s="6">
        <f>'Results - raw data ReCiPe (H)'!AS32</f>
        <v>4.5331460721649742E-6</v>
      </c>
      <c r="S159" s="6">
        <f>'Results - raw data ReCiPe (H)'!AT32</f>
        <v>4.5163606296090708E-6</v>
      </c>
      <c r="T159" s="6">
        <f>'Results - raw data ReCiPe (H)'!AU32</f>
        <v>4.4955793454683717E-6</v>
      </c>
      <c r="U159" s="6">
        <f>'Results - raw data ReCiPe (H)'!AV32</f>
        <v>4.4784778933645077E-6</v>
      </c>
      <c r="V159" s="6">
        <f>'Results - raw data ReCiPe (H)'!AW32</f>
        <v>4.4612376012212993E-6</v>
      </c>
      <c r="W159" s="6">
        <f>'Results - raw data ReCiPe (H)'!AX32</f>
        <v>4.4518098931988601E-6</v>
      </c>
      <c r="X159" s="6">
        <f>'Results - raw data ReCiPe (H)'!AY32</f>
        <v>4.4218886582910254E-6</v>
      </c>
      <c r="Y159" s="6">
        <f>'Results - raw data ReCiPe (H)'!AZ32</f>
        <v>4.3918023831125164E-6</v>
      </c>
      <c r="Z159" s="6">
        <f>'Results - raw data ReCiPe (H)'!BA32</f>
        <v>4.3615476020125354E-6</v>
      </c>
    </row>
    <row r="160" spans="1:53" outlineLevel="1" x14ac:dyDescent="0.35">
      <c r="A160" s="6" t="s">
        <v>758</v>
      </c>
      <c r="B160" s="6">
        <f>'Results - raw data ReCiPe (H)'!AC167*$AC$129</f>
        <v>4.9246351932424972E-8</v>
      </c>
      <c r="C160" s="6">
        <f>'Results - raw data ReCiPe (H)'!AD167*$AC$129</f>
        <v>4.9096401214947981E-8</v>
      </c>
      <c r="D160" s="6">
        <f>'Results - raw data ReCiPe (H)'!AE167*$AC$129</f>
        <v>4.8946485162264705E-8</v>
      </c>
      <c r="E160" s="6">
        <f>'Results - raw data ReCiPe (H)'!AF167*$AC$129</f>
        <v>4.8768944437363166E-8</v>
      </c>
      <c r="F160" s="6">
        <f>'Results - raw data ReCiPe (H)'!AG167*$AC$129</f>
        <v>4.8618773227028101E-8</v>
      </c>
      <c r="G160" s="6">
        <f>'Results - raw data ReCiPe (H)'!AH167*$AC$129</f>
        <v>4.8468528753018203E-8</v>
      </c>
      <c r="H160" s="6">
        <f>'Results - raw data ReCiPe (H)'!AI167*$AC$129</f>
        <v>5.0366568213734085E-8</v>
      </c>
      <c r="I160" s="6">
        <f>'Results - raw data ReCiPe (H)'!AJ167*$AC$129</f>
        <v>5.2256519793137814E-8</v>
      </c>
      <c r="J160" s="6">
        <f>'Results - raw data ReCiPe (H)'!AK167*$AC$129</f>
        <v>5.4122279002845554E-8</v>
      </c>
      <c r="K160" s="6">
        <f>'Results - raw data ReCiPe (H)'!AL167*$AC$129</f>
        <v>5.5998296207773871E-8</v>
      </c>
      <c r="L160" s="6">
        <f>'Results - raw data ReCiPe (H)'!AM167*$AC$129</f>
        <v>5.7865287131218987E-8</v>
      </c>
      <c r="M160" s="6">
        <f>'Results - raw data ReCiPe (H)'!AN167*$AC$129</f>
        <v>6.1427419162412621E-8</v>
      </c>
      <c r="N160" s="6">
        <f>'Results - raw data ReCiPe (H)'!AO167*$AC$129</f>
        <v>6.4990775352988838E-8</v>
      </c>
      <c r="O160" s="6">
        <f>'Results - raw data ReCiPe (H)'!AP167*$AC$129</f>
        <v>6.8552083854363568E-8</v>
      </c>
      <c r="P160" s="6">
        <f>'Results - raw data ReCiPe (H)'!AQ167*$AC$129</f>
        <v>7.2119499972016069E-8</v>
      </c>
      <c r="Q160" s="6">
        <f>'Results - raw data ReCiPe (H)'!AR167*$AC$129</f>
        <v>7.5689803461398313E-8</v>
      </c>
      <c r="R160" s="6">
        <f>'Results - raw data ReCiPe (H)'!AS167*$AC$129</f>
        <v>7.602331889571039E-8</v>
      </c>
      <c r="S160" s="6">
        <f>'Results - raw data ReCiPe (H)'!AT167*$AC$129</f>
        <v>7.6360321719172824E-8</v>
      </c>
      <c r="T160" s="6">
        <f>'Results - raw data ReCiPe (H)'!AU167*$AC$129</f>
        <v>7.6696632980447138E-8</v>
      </c>
      <c r="U160" s="6">
        <f>'Results - raw data ReCiPe (H)'!AV167*$AC$129</f>
        <v>7.7039330397763627E-8</v>
      </c>
      <c r="V160" s="6">
        <f>'Results - raw data ReCiPe (H)'!AW167*$AC$129</f>
        <v>7.7384269897101088E-8</v>
      </c>
      <c r="W160" s="6">
        <f>'Results - raw data ReCiPe (H)'!AX167*$AC$129</f>
        <v>7.6563945461364284E-8</v>
      </c>
      <c r="X160" s="6">
        <f>'Results - raw data ReCiPe (H)'!AY167*$AC$129</f>
        <v>7.4892009110078879E-8</v>
      </c>
      <c r="Y160" s="6">
        <f>'Results - raw data ReCiPe (H)'!AZ167*$AC$129</f>
        <v>7.3220815974611205E-8</v>
      </c>
      <c r="Z160" s="6">
        <f>'Results - raw data ReCiPe (H)'!BA167*$AC$129</f>
        <v>7.1550334783920095E-8</v>
      </c>
    </row>
    <row r="161" spans="1:53" outlineLevel="1" x14ac:dyDescent="0.35">
      <c r="A161" s="6" t="s">
        <v>759</v>
      </c>
      <c r="B161" s="6">
        <f>'Results - raw data ReCiPe (H)'!AC34</f>
        <v>2.0736000294618859E-7</v>
      </c>
      <c r="C161" s="6">
        <f>'Results - raw data ReCiPe (H)'!AD34</f>
        <v>2.0736000294618859E-7</v>
      </c>
      <c r="D161" s="6">
        <f>'Results - raw data ReCiPe (H)'!AE34</f>
        <v>2.0736000294618859E-7</v>
      </c>
      <c r="E161" s="6">
        <f>'Results - raw data ReCiPe (H)'!AF34</f>
        <v>2.0736000294618859E-7</v>
      </c>
      <c r="F161" s="6">
        <f>'Results - raw data ReCiPe (H)'!AG34</f>
        <v>2.0736000294618859E-7</v>
      </c>
      <c r="G161" s="6">
        <f>'Results - raw data ReCiPe (H)'!AH34</f>
        <v>2.0736000294618859E-7</v>
      </c>
      <c r="H161" s="6">
        <f>'Results - raw data ReCiPe (H)'!AI34</f>
        <v>2.0736000294618859E-7</v>
      </c>
      <c r="I161" s="6">
        <f>'Results - raw data ReCiPe (H)'!AJ34</f>
        <v>2.0736000294618859E-7</v>
      </c>
      <c r="J161" s="6">
        <f>'Results - raw data ReCiPe (H)'!AK34</f>
        <v>2.0736000294618859E-7</v>
      </c>
      <c r="K161" s="6">
        <f>'Results - raw data ReCiPe (H)'!AL34</f>
        <v>2.0736000294618859E-7</v>
      </c>
      <c r="L161" s="6">
        <f>'Results - raw data ReCiPe (H)'!AM34</f>
        <v>2.0736000294618859E-7</v>
      </c>
      <c r="M161" s="6">
        <f>'Results - raw data ReCiPe (H)'!AN34</f>
        <v>2.0736000294618859E-7</v>
      </c>
      <c r="N161" s="6">
        <f>'Results - raw data ReCiPe (H)'!AO34</f>
        <v>2.0736000294618859E-7</v>
      </c>
      <c r="O161" s="6">
        <f>'Results - raw data ReCiPe (H)'!AP34</f>
        <v>2.0736000294618859E-7</v>
      </c>
      <c r="P161" s="6">
        <f>'Results - raw data ReCiPe (H)'!AQ34</f>
        <v>2.0736000294618859E-7</v>
      </c>
      <c r="Q161" s="6">
        <f>'Results - raw data ReCiPe (H)'!AR34</f>
        <v>2.0736000294618859E-7</v>
      </c>
      <c r="R161" s="6">
        <f>'Results - raw data ReCiPe (H)'!AS34</f>
        <v>2.0736000294618859E-7</v>
      </c>
      <c r="S161" s="6">
        <f>'Results - raw data ReCiPe (H)'!AT34</f>
        <v>2.0736000294618859E-7</v>
      </c>
      <c r="T161" s="6">
        <f>'Results - raw data ReCiPe (H)'!AU34</f>
        <v>2.0736000294618859E-7</v>
      </c>
      <c r="U161" s="6">
        <f>'Results - raw data ReCiPe (H)'!AV34</f>
        <v>2.0736000294618859E-7</v>
      </c>
      <c r="V161" s="6">
        <f>'Results - raw data ReCiPe (H)'!AW34</f>
        <v>2.0736000294618859E-7</v>
      </c>
      <c r="W161" s="6">
        <f>'Results - raw data ReCiPe (H)'!AX34</f>
        <v>2.0736000294618859E-7</v>
      </c>
      <c r="X161" s="6">
        <f>'Results - raw data ReCiPe (H)'!AY34</f>
        <v>2.0736000294618859E-7</v>
      </c>
      <c r="Y161" s="6">
        <f>'Results - raw data ReCiPe (H)'!AZ34</f>
        <v>2.0736000294618859E-7</v>
      </c>
      <c r="Z161" s="6">
        <f>'Results - raw data ReCiPe (H)'!BA34</f>
        <v>2.0736000294618859E-7</v>
      </c>
    </row>
    <row r="162" spans="1:53" outlineLevel="1" x14ac:dyDescent="0.35">
      <c r="A162" s="6" t="s">
        <v>760</v>
      </c>
      <c r="B162" s="6">
        <f>150000*($AC$129*'Results - raw data ReCiPe (H)'!AC114+(1-'Results ReCiPe (H) - HHD'!$AC$129)*'Results - raw data ReCiPe (H)'!AC115)</f>
        <v>1.2588976407817133E-4</v>
      </c>
      <c r="C162" s="6">
        <f>150000*($AC$129*'Results - raw data ReCiPe (H)'!AD114+(1-'Results ReCiPe (H) - HHD'!$AC$129)*'Results - raw data ReCiPe (H)'!AD115)</f>
        <v>1.2541245053937519E-4</v>
      </c>
      <c r="D162" s="6">
        <f>150000*($AC$129*'Results - raw data ReCiPe (H)'!AE114+(1-'Results ReCiPe (H) - HHD'!$AC$129)*'Results - raw data ReCiPe (H)'!AE115)</f>
        <v>1.2493416768600632E-4</v>
      </c>
      <c r="E162" s="6">
        <f>150000*($AC$129*'Results - raw data ReCiPe (H)'!AF114+(1-'Results ReCiPe (H) - HHD'!$AC$129)*'Results - raw data ReCiPe (H)'!AF115)</f>
        <v>1.2433182917608843E-4</v>
      </c>
      <c r="F162" s="6">
        <f>150000*($AC$129*'Results - raw data ReCiPe (H)'!AG114+(1-'Results ReCiPe (H) - HHD'!$AC$129)*'Results - raw data ReCiPe (H)'!AG115)</f>
        <v>1.2385032043114522E-4</v>
      </c>
      <c r="G162" s="6">
        <f>150000*($AC$129*'Results - raw data ReCiPe (H)'!AH114+(1-'Results ReCiPe (H) - HHD'!$AC$129)*'Results - raw data ReCiPe (H)'!AH115)</f>
        <v>1.2336733085644029E-4</v>
      </c>
      <c r="H162" s="6">
        <f>150000*($AC$129*'Results - raw data ReCiPe (H)'!AI114+(1-'Results ReCiPe (H) - HHD'!$AC$129)*'Results - raw data ReCiPe (H)'!AI115)</f>
        <v>1.3183312211919064E-4</v>
      </c>
      <c r="I162" s="6">
        <f>150000*($AC$129*'Results - raw data ReCiPe (H)'!AJ114+(1-'Results ReCiPe (H) - HHD'!$AC$129)*'Results - raw data ReCiPe (H)'!AJ115)</f>
        <v>1.4028778393662718E-4</v>
      </c>
      <c r="J162" s="6">
        <f>150000*($AC$129*'Results - raw data ReCiPe (H)'!AK114+(1-'Results ReCiPe (H) - HHD'!$AC$129)*'Results - raw data ReCiPe (H)'!AK115)</f>
        <v>1.4866023273223204E-4</v>
      </c>
      <c r="K162" s="6">
        <f>150000*($AC$129*'Results - raw data ReCiPe (H)'!AL114+(1-'Results ReCiPe (H) - HHD'!$AC$129)*'Results - raw data ReCiPe (H)'!AL115)</f>
        <v>1.5710209560999789E-4</v>
      </c>
      <c r="L162" s="6">
        <f>150000*($AC$129*'Results - raw data ReCiPe (H)'!AM114+(1-'Results ReCiPe (H) - HHD'!$AC$129)*'Results - raw data ReCiPe (H)'!AM115)</f>
        <v>1.6552840125532572E-4</v>
      </c>
      <c r="M162" s="6">
        <f>150000*($AC$129*'Results - raw data ReCiPe (H)'!AN114+(1-'Results ReCiPe (H) - HHD'!$AC$129)*'Results - raw data ReCiPe (H)'!AN115)</f>
        <v>1.8142550250809135E-4</v>
      </c>
      <c r="N162" s="6">
        <f>150000*($AC$129*'Results - raw data ReCiPe (H)'!AO114+(1-'Results ReCiPe (H) - HHD'!$AC$129)*'Results - raw data ReCiPe (H)'!AO115)</f>
        <v>1.973644974793992E-4</v>
      </c>
      <c r="O162" s="6">
        <f>150000*($AC$129*'Results - raw data ReCiPe (H)'!AP114+(1-'Results ReCiPe (H) - HHD'!$AC$129)*'Results - raw data ReCiPe (H)'!AP115)</f>
        <v>2.1333121022246092E-4</v>
      </c>
      <c r="P162" s="6">
        <f>150000*($AC$129*'Results - raw data ReCiPe (H)'!AQ114+(1-'Results ReCiPe (H) - HHD'!$AC$129)*'Results - raw data ReCiPe (H)'!AQ115)</f>
        <v>2.2936127122252776E-4</v>
      </c>
      <c r="Q162" s="6">
        <f>150000*($AC$129*'Results - raw data ReCiPe (H)'!AR114+(1-'Results ReCiPe (H) - HHD'!$AC$129)*'Results - raw data ReCiPe (H)'!AR115)</f>
        <v>2.4544116110921565E-4</v>
      </c>
      <c r="R162" s="6">
        <f>150000*($AC$129*'Results - raw data ReCiPe (H)'!AS114+(1-'Results ReCiPe (H) - HHD'!$AC$129)*'Results - raw data ReCiPe (H)'!AS115)</f>
        <v>2.4715671694408288E-4</v>
      </c>
      <c r="S162" s="6">
        <f>150000*($AC$129*'Results - raw data ReCiPe (H)'!AT114+(1-'Results ReCiPe (H) - HHD'!$AC$129)*'Results - raw data ReCiPe (H)'!AT115)</f>
        <v>2.4889137898634946E-4</v>
      </c>
      <c r="T162" s="6">
        <f>150000*($AC$129*'Results - raw data ReCiPe (H)'!AU114+(1-'Results ReCiPe (H) - HHD'!$AC$129)*'Results - raw data ReCiPe (H)'!AU115)</f>
        <v>2.5062678466073894E-4</v>
      </c>
      <c r="U162" s="6">
        <f>150000*($AC$129*'Results - raw data ReCiPe (H)'!AV114+(1-'Results ReCiPe (H) - HHD'!$AC$129)*'Results - raw data ReCiPe (H)'!AV115)</f>
        <v>2.5239397404902168E-4</v>
      </c>
      <c r="V162" s="6">
        <f>150000*($AC$129*'Results - raw data ReCiPe (H)'!AW114+(1-'Results ReCiPe (H) - HHD'!$AC$129)*'Results - raw data ReCiPe (H)'!AW115)</f>
        <v>2.5417479809996618E-4</v>
      </c>
      <c r="W162" s="6">
        <f>150000*($AC$129*'Results - raw data ReCiPe (H)'!AX114+(1-'Results ReCiPe (H) - HHD'!$AC$129)*'Results - raw data ReCiPe (H)'!AX115)</f>
        <v>2.5091217062583865E-4</v>
      </c>
      <c r="X162" s="6">
        <f>150000*($AC$129*'Results - raw data ReCiPe (H)'!AY114+(1-'Results ReCiPe (H) - HHD'!$AC$129)*'Results - raw data ReCiPe (H)'!AY115)</f>
        <v>2.4390800205264466E-4</v>
      </c>
      <c r="Y162" s="6">
        <f>150000*($AC$129*'Results - raw data ReCiPe (H)'!AZ114+(1-'Results ReCiPe (H) - HHD'!$AC$129)*'Results - raw data ReCiPe (H)'!AZ115)</f>
        <v>2.3687928519828576E-4</v>
      </c>
      <c r="Z162" s="6">
        <f>150000*($AC$129*'Results - raw data ReCiPe (H)'!BA114+(1-'Results ReCiPe (H) - HHD'!$AC$129)*'Results - raw data ReCiPe (H)'!BA115)</f>
        <v>2.2982581124987253E-4</v>
      </c>
    </row>
    <row r="163" spans="1:53" outlineLevel="1" x14ac:dyDescent="0.35">
      <c r="A163" s="23" t="s">
        <v>125</v>
      </c>
      <c r="B163" s="17">
        <f t="shared" ref="B163:Z163" si="19">SUM(B132:B162)</f>
        <v>3.3672839076012413E-4</v>
      </c>
      <c r="C163" s="17">
        <f t="shared" si="19"/>
        <v>1.3020643879683432E-4</v>
      </c>
      <c r="D163" s="17">
        <f t="shared" si="19"/>
        <v>1.2972094760820479E-4</v>
      </c>
      <c r="E163" s="17">
        <f t="shared" si="19"/>
        <v>1.2908703530761922E-4</v>
      </c>
      <c r="F163" s="17">
        <f t="shared" si="19"/>
        <v>1.2859829079401019E-4</v>
      </c>
      <c r="G163" s="17">
        <f t="shared" si="19"/>
        <v>1.2810807658334962E-4</v>
      </c>
      <c r="H163" s="17">
        <f t="shared" si="19"/>
        <v>1.365812715032649E-4</v>
      </c>
      <c r="I163" s="17">
        <f t="shared" si="19"/>
        <v>1.4504333570836874E-4</v>
      </c>
      <c r="J163" s="17">
        <f t="shared" si="19"/>
        <v>1.5341064183934153E-4</v>
      </c>
      <c r="K163" s="17">
        <f t="shared" si="19"/>
        <v>1.6185995332315206E-4</v>
      </c>
      <c r="L163" s="17">
        <f t="shared" si="19"/>
        <v>1.7029369056514334E-4</v>
      </c>
      <c r="M163" s="17">
        <f t="shared" si="19"/>
        <v>1.8620506915556243E-4</v>
      </c>
      <c r="N163" s="17">
        <f t="shared" si="19"/>
        <v>2.021582860911769E-4</v>
      </c>
      <c r="O163" s="17">
        <f t="shared" si="19"/>
        <v>2.1813543196142585E-4</v>
      </c>
      <c r="P163" s="17">
        <f t="shared" si="19"/>
        <v>2.3417976051341255E-4</v>
      </c>
      <c r="Q163" s="17">
        <f t="shared" si="19"/>
        <v>2.5027392435398281E-4</v>
      </c>
      <c r="R163" s="17">
        <f t="shared" si="19"/>
        <v>2.5197324633808975E-4</v>
      </c>
      <c r="S163" s="17">
        <f t="shared" si="19"/>
        <v>2.536914599406239E-4</v>
      </c>
      <c r="T163" s="17">
        <f t="shared" si="19"/>
        <v>2.5540642064213393E-4</v>
      </c>
      <c r="U163" s="17">
        <f t="shared" si="19"/>
        <v>2.5715685127573011E-4</v>
      </c>
      <c r="V163" s="17">
        <f t="shared" si="19"/>
        <v>2.5892077997403078E-4</v>
      </c>
      <c r="W163" s="17">
        <f t="shared" si="19"/>
        <v>2.5564790446744507E-4</v>
      </c>
      <c r="X163" s="17">
        <f t="shared" si="19"/>
        <v>2.4861214272299195E-4</v>
      </c>
      <c r="Y163" s="17">
        <f t="shared" si="19"/>
        <v>2.4155166840031907E-4</v>
      </c>
      <c r="Z163" s="17">
        <f t="shared" si="19"/>
        <v>2.3739163637061551E-4</v>
      </c>
    </row>
    <row r="164" spans="1:53" outlineLevel="1" x14ac:dyDescent="0.35"/>
    <row r="165" spans="1:53" s="18" customFormat="1" ht="21" x14ac:dyDescent="0.5">
      <c r="A165" s="18" t="s">
        <v>73</v>
      </c>
    </row>
    <row r="166" spans="1:53" s="20" customFormat="1" outlineLevel="1" x14ac:dyDescent="0.35">
      <c r="A166" s="19" t="s">
        <v>766</v>
      </c>
    </row>
    <row r="167" spans="1:53" s="16" customFormat="1" outlineLevel="1" x14ac:dyDescent="0.35">
      <c r="A167" s="21"/>
      <c r="AB167" s="15" t="s">
        <v>143</v>
      </c>
      <c r="AC167" s="16">
        <f>0.0000000028+0.0000000000000765</f>
        <v>2.8000764999999998E-9</v>
      </c>
      <c r="AD167" s="16" t="s">
        <v>142</v>
      </c>
      <c r="AE167" s="15" t="s">
        <v>714</v>
      </c>
    </row>
    <row r="168" spans="1:53" s="16" customFormat="1" outlineLevel="1" x14ac:dyDescent="0.35">
      <c r="A168" s="22" t="s">
        <v>565</v>
      </c>
      <c r="AC168" s="16">
        <f>AC167*1000</f>
        <v>2.8000765E-6</v>
      </c>
      <c r="AD168" s="16" t="s">
        <v>145</v>
      </c>
    </row>
    <row r="169" spans="1:53" s="16" customFormat="1" outlineLevel="1" x14ac:dyDescent="0.35">
      <c r="A169" s="22"/>
      <c r="AB169" s="16" t="s">
        <v>127</v>
      </c>
      <c r="AC169" s="16">
        <v>100</v>
      </c>
      <c r="AD169" s="16" t="s">
        <v>128</v>
      </c>
    </row>
    <row r="170" spans="1:53" s="16" customFormat="1" outlineLevel="1" x14ac:dyDescent="0.35">
      <c r="A170" s="230" t="s">
        <v>768</v>
      </c>
      <c r="AB170" s="16" t="s">
        <v>20</v>
      </c>
      <c r="AC170" s="16">
        <v>0.23</v>
      </c>
      <c r="AD170" s="16" t="s">
        <v>715</v>
      </c>
    </row>
    <row r="171" spans="1:53" s="16" customFormat="1" outlineLevel="1" x14ac:dyDescent="0.35">
      <c r="A171" s="22"/>
      <c r="AB171" s="16" t="s">
        <v>129</v>
      </c>
      <c r="AC171" s="16">
        <v>25</v>
      </c>
      <c r="AD171" s="16" t="s">
        <v>130</v>
      </c>
    </row>
    <row r="172" spans="1:53" outlineLevel="1" x14ac:dyDescent="0.35">
      <c r="B172" s="25">
        <v>2030</v>
      </c>
      <c r="C172" s="25">
        <v>2031</v>
      </c>
      <c r="D172" s="25">
        <v>2032</v>
      </c>
      <c r="E172" s="25">
        <v>2033</v>
      </c>
      <c r="F172" s="25">
        <v>2034</v>
      </c>
      <c r="G172" s="25">
        <v>2035</v>
      </c>
      <c r="H172" s="25">
        <v>2036</v>
      </c>
      <c r="I172" s="25">
        <v>2037</v>
      </c>
      <c r="J172" s="25">
        <v>2038</v>
      </c>
      <c r="K172" s="25">
        <v>2039</v>
      </c>
      <c r="L172" s="25">
        <v>2040</v>
      </c>
      <c r="M172" s="25">
        <v>2041</v>
      </c>
      <c r="N172" s="25">
        <v>2042</v>
      </c>
      <c r="O172" s="25">
        <v>2043</v>
      </c>
      <c r="P172" s="25">
        <v>2044</v>
      </c>
      <c r="Q172" s="25">
        <v>2045</v>
      </c>
      <c r="R172" s="25">
        <v>2046</v>
      </c>
      <c r="S172" s="25">
        <v>2047</v>
      </c>
      <c r="T172" s="25">
        <v>2048</v>
      </c>
      <c r="U172" s="25">
        <v>2049</v>
      </c>
      <c r="V172" s="25">
        <v>2050</v>
      </c>
      <c r="W172" s="25">
        <v>2051</v>
      </c>
      <c r="X172" s="25">
        <v>2052</v>
      </c>
      <c r="Y172" s="25">
        <v>2053</v>
      </c>
      <c r="Z172" s="25">
        <v>2054</v>
      </c>
      <c r="AC172" s="25">
        <v>2030</v>
      </c>
      <c r="AD172" s="25">
        <v>2031</v>
      </c>
      <c r="AE172" s="25">
        <v>2032</v>
      </c>
      <c r="AF172" s="25">
        <v>2033</v>
      </c>
      <c r="AG172" s="25">
        <v>2034</v>
      </c>
      <c r="AH172" s="25">
        <v>2035</v>
      </c>
      <c r="AI172" s="25">
        <v>2036</v>
      </c>
      <c r="AJ172" s="25">
        <v>2037</v>
      </c>
      <c r="AK172" s="25">
        <v>2038</v>
      </c>
      <c r="AL172" s="25">
        <v>2039</v>
      </c>
      <c r="AM172" s="25">
        <v>2040</v>
      </c>
      <c r="AN172" s="25">
        <v>2041</v>
      </c>
      <c r="AO172" s="25">
        <v>2042</v>
      </c>
      <c r="AP172" s="25">
        <v>2043</v>
      </c>
      <c r="AQ172" s="25">
        <v>2044</v>
      </c>
      <c r="AR172" s="25">
        <v>2045</v>
      </c>
      <c r="AS172" s="25">
        <v>2046</v>
      </c>
      <c r="AT172" s="25">
        <v>2047</v>
      </c>
      <c r="AU172" s="25">
        <v>2048</v>
      </c>
      <c r="AV172" s="25">
        <v>2049</v>
      </c>
      <c r="AW172" s="25">
        <v>2050</v>
      </c>
      <c r="AX172" s="25">
        <v>2051</v>
      </c>
      <c r="AY172" s="25">
        <v>2052</v>
      </c>
      <c r="AZ172" s="25">
        <v>2053</v>
      </c>
      <c r="BA172" s="25">
        <v>2054</v>
      </c>
    </row>
    <row r="173" spans="1:53" outlineLevel="1" x14ac:dyDescent="0.35">
      <c r="A173" s="6" t="s">
        <v>21</v>
      </c>
      <c r="B173" s="6">
        <f>'Results - raw data ReCiPe (H)'!AC41</f>
        <v>3.1244393966085418E-6</v>
      </c>
      <c r="AB173" s="6" t="s">
        <v>117</v>
      </c>
      <c r="AC173" s="6">
        <f>SUM(B173:B184)+B186</f>
        <v>1.8346526921509307E-4</v>
      </c>
    </row>
    <row r="174" spans="1:53" outlineLevel="1" x14ac:dyDescent="0.35">
      <c r="A174" s="6" t="s">
        <v>23</v>
      </c>
      <c r="B174" s="6">
        <f>'Results - raw data ReCiPe (H)'!AC42</f>
        <v>5.6429582916055214E-6</v>
      </c>
      <c r="AB174" s="6" t="s">
        <v>118</v>
      </c>
      <c r="AC174" s="6">
        <f>B185</f>
        <v>1.0765797689579158E-5</v>
      </c>
    </row>
    <row r="175" spans="1:53" outlineLevel="1" x14ac:dyDescent="0.35">
      <c r="A175" s="6" t="s">
        <v>26</v>
      </c>
      <c r="B175" s="6">
        <f>'Results - raw data ReCiPe (H)'!AC43</f>
        <v>1.418628247834127E-5</v>
      </c>
      <c r="AB175" s="6" t="s">
        <v>119</v>
      </c>
      <c r="BA175" s="6">
        <f>SUM(Z187:Z198)</f>
        <v>2.5814369390254752E-6</v>
      </c>
    </row>
    <row r="176" spans="1:53" outlineLevel="1" x14ac:dyDescent="0.35">
      <c r="A176" s="6" t="s">
        <v>28</v>
      </c>
      <c r="B176" s="6">
        <f>'Results - raw data ReCiPe (H)'!AC44</f>
        <v>1.150422510297097E-5</v>
      </c>
      <c r="AB176" s="6" t="s">
        <v>120</v>
      </c>
      <c r="BA176" s="6">
        <f>Z199</f>
        <v>8.9177657234606268E-8</v>
      </c>
    </row>
    <row r="177" spans="1:53" outlineLevel="1" x14ac:dyDescent="0.35">
      <c r="A177" s="6" t="s">
        <v>29</v>
      </c>
      <c r="B177" s="6">
        <f>'Results - raw data ReCiPe (H)'!AC45</f>
        <v>9.1719333838261594E-6</v>
      </c>
      <c r="AB177" s="6" t="s">
        <v>121</v>
      </c>
      <c r="AC177" s="6">
        <f>B200</f>
        <v>4.3941155135361717E-6</v>
      </c>
      <c r="AF177" s="6">
        <f>E200</f>
        <v>4.2507924568478764E-6</v>
      </c>
      <c r="AI177" s="6">
        <f>H200</f>
        <v>4.1207843305059888E-6</v>
      </c>
      <c r="AL177" s="6">
        <f>K200</f>
        <v>3.961479922998473E-6</v>
      </c>
      <c r="AO177" s="6">
        <f>N200</f>
        <v>3.782659921523485E-6</v>
      </c>
      <c r="AR177" s="6">
        <f>Q200</f>
        <v>3.5852486401048028E-6</v>
      </c>
      <c r="AU177" s="6">
        <f>T200</f>
        <v>3.4498744880293848E-6</v>
      </c>
      <c r="AX177" s="6">
        <f>W200</f>
        <v>3.372986237475297E-6</v>
      </c>
      <c r="BA177" s="6">
        <f>Z200</f>
        <v>3.3539861692443772E-6</v>
      </c>
    </row>
    <row r="178" spans="1:53" outlineLevel="1" x14ac:dyDescent="0.35">
      <c r="A178" s="6" t="s">
        <v>31</v>
      </c>
      <c r="B178" s="6">
        <f>'Results - raw data ReCiPe (H)'!AC46</f>
        <v>7.2421411651487134E-6</v>
      </c>
      <c r="AB178" s="6" t="s">
        <v>122</v>
      </c>
      <c r="AC178" s="6">
        <f>B203+B202</f>
        <v>1.0631386695713137E-4</v>
      </c>
      <c r="AD178" s="6">
        <f t="shared" ref="AD178:AV178" si="20">C203+C202</f>
        <v>9.9195492323323346E-5</v>
      </c>
      <c r="AE178" s="6">
        <f t="shared" si="20"/>
        <v>9.2071055427469641E-5</v>
      </c>
      <c r="AF178" s="6">
        <f t="shared" si="20"/>
        <v>8.480967982117366E-5</v>
      </c>
      <c r="AG178" s="6">
        <f t="shared" si="20"/>
        <v>7.7671362794186723E-5</v>
      </c>
      <c r="AH178" s="6">
        <f t="shared" si="20"/>
        <v>7.0526797329012271E-5</v>
      </c>
      <c r="AI178" s="6">
        <f t="shared" si="20"/>
        <v>6.6021432869089867E-5</v>
      </c>
      <c r="AJ178" s="6">
        <f t="shared" si="20"/>
        <v>6.1518250126262004E-5</v>
      </c>
      <c r="AK178" s="6">
        <f t="shared" si="20"/>
        <v>5.6915220684311279E-5</v>
      </c>
      <c r="AL178" s="6">
        <f t="shared" si="20"/>
        <v>5.2397405095628239E-5</v>
      </c>
      <c r="AM178" s="6">
        <f t="shared" si="20"/>
        <v>4.787080628765045E-5</v>
      </c>
      <c r="AN178" s="6">
        <f t="shared" si="20"/>
        <v>4.4823461488432227E-5</v>
      </c>
      <c r="AO178" s="6">
        <f t="shared" si="20"/>
        <v>4.1761576383950526E-5</v>
      </c>
      <c r="AP178" s="6">
        <f t="shared" si="20"/>
        <v>3.865316298722266E-5</v>
      </c>
      <c r="AQ178" s="6">
        <f t="shared" si="20"/>
        <v>3.5556269763647242E-5</v>
      </c>
      <c r="AR178" s="6">
        <f t="shared" si="20"/>
        <v>3.2445173908467337E-5</v>
      </c>
      <c r="AS178" s="6">
        <f t="shared" si="20"/>
        <v>3.1057485592137793E-5</v>
      </c>
      <c r="AT178" s="6">
        <f t="shared" si="20"/>
        <v>2.967422560339777E-5</v>
      </c>
      <c r="AU178" s="6">
        <f t="shared" si="20"/>
        <v>2.8268104320533644E-5</v>
      </c>
      <c r="AV178" s="6">
        <f t="shared" si="20"/>
        <v>2.6892810437179852E-5</v>
      </c>
      <c r="AW178" s="6">
        <f>V203</f>
        <v>2.5316103019982918E-5</v>
      </c>
      <c r="AX178" s="6">
        <f>W203</f>
        <v>2.5353384783025232E-5</v>
      </c>
      <c r="AY178" s="6">
        <f>X203</f>
        <v>2.4706877807295189E-5</v>
      </c>
      <c r="AZ178" s="6">
        <f>Y203</f>
        <v>2.405735843545893E-5</v>
      </c>
      <c r="BA178" s="6">
        <f>Z203</f>
        <v>2.340475868104593E-5</v>
      </c>
    </row>
    <row r="179" spans="1:53" outlineLevel="1" x14ac:dyDescent="0.35">
      <c r="A179" s="6" t="s">
        <v>34</v>
      </c>
      <c r="B179" s="6">
        <f>'Results - raw data ReCiPe (H)'!AC47</f>
        <v>5.0838586316427567E-6</v>
      </c>
      <c r="AB179" s="6" t="s">
        <v>123</v>
      </c>
      <c r="AC179" s="6">
        <f t="shared" ref="AC179:BA179" si="21">B201</f>
        <v>4.4599183429911463E-8</v>
      </c>
      <c r="AD179" s="6">
        <f t="shared" si="21"/>
        <v>4.2921055572741688E-8</v>
      </c>
      <c r="AE179" s="6">
        <f t="shared" si="21"/>
        <v>4.1248971144128296E-8</v>
      </c>
      <c r="AF179" s="6">
        <f t="shared" si="21"/>
        <v>3.9553479156818589E-8</v>
      </c>
      <c r="AG179" s="6">
        <f t="shared" si="21"/>
        <v>3.7893087942559588E-8</v>
      </c>
      <c r="AH179" s="6">
        <f t="shared" si="21"/>
        <v>3.623869508419666E-8</v>
      </c>
      <c r="AI179" s="6">
        <f t="shared" si="21"/>
        <v>3.5198452194382971E-8</v>
      </c>
      <c r="AJ179" s="6">
        <f t="shared" si="21"/>
        <v>3.4159916250607981E-8</v>
      </c>
      <c r="AK179" s="6">
        <f t="shared" si="21"/>
        <v>3.3100397587619832E-8</v>
      </c>
      <c r="AL179" s="6">
        <f t="shared" si="21"/>
        <v>3.2062250061703584E-8</v>
      </c>
      <c r="AM179" s="6">
        <f t="shared" si="21"/>
        <v>3.1024184307833054E-8</v>
      </c>
      <c r="AN179" s="6">
        <f t="shared" si="21"/>
        <v>3.0323495175756169E-8</v>
      </c>
      <c r="AO179" s="6">
        <f t="shared" si="21"/>
        <v>2.9619702685823993E-8</v>
      </c>
      <c r="AP179" s="6">
        <f t="shared" si="21"/>
        <v>2.8905555637098774E-8</v>
      </c>
      <c r="AQ179" s="6">
        <f t="shared" si="21"/>
        <v>2.81941579399165E-8</v>
      </c>
      <c r="AR179" s="6">
        <f t="shared" si="21"/>
        <v>2.7479642771978447E-8</v>
      </c>
      <c r="AS179" s="6">
        <f t="shared" si="21"/>
        <v>2.715961731985727E-8</v>
      </c>
      <c r="AT179" s="6">
        <f t="shared" si="21"/>
        <v>2.6839753454583142E-8</v>
      </c>
      <c r="AU179" s="6">
        <f t="shared" si="21"/>
        <v>2.6513885385237577E-8</v>
      </c>
      <c r="AV179" s="6">
        <f t="shared" si="21"/>
        <v>2.6193992684558678E-8</v>
      </c>
      <c r="AW179" s="6">
        <f t="shared" si="21"/>
        <v>2.5874298598832772E-8</v>
      </c>
      <c r="AX179" s="6">
        <f t="shared" si="21"/>
        <v>2.5898805793514236E-8</v>
      </c>
      <c r="AY179" s="6">
        <f t="shared" si="21"/>
        <v>2.5749556305529373E-8</v>
      </c>
      <c r="AZ179" s="6">
        <f t="shared" si="21"/>
        <v>2.5600064351468402E-8</v>
      </c>
      <c r="BA179" s="6">
        <f t="shared" si="21"/>
        <v>2.5450308404637885E-8</v>
      </c>
    </row>
    <row r="180" spans="1:53" outlineLevel="1" x14ac:dyDescent="0.35">
      <c r="A180" s="6" t="s">
        <v>36</v>
      </c>
      <c r="B180" s="6">
        <f>'Results - raw data ReCiPe (H)'!AC48</f>
        <v>4.2855500853218693E-6</v>
      </c>
      <c r="AB180" s="6" t="s">
        <v>124</v>
      </c>
      <c r="AC180" s="6">
        <f>-$AC$6*$AC$7</f>
        <v>-2.8000764999999998E-4</v>
      </c>
      <c r="AD180" s="6">
        <f t="shared" ref="AD180:BA180" si="22">-$AC$6*$AC$7</f>
        <v>-2.8000764999999998E-4</v>
      </c>
      <c r="AE180" s="6">
        <f t="shared" si="22"/>
        <v>-2.8000764999999998E-4</v>
      </c>
      <c r="AF180" s="6">
        <f t="shared" si="22"/>
        <v>-2.8000764999999998E-4</v>
      </c>
      <c r="AG180" s="6">
        <f t="shared" si="22"/>
        <v>-2.8000764999999998E-4</v>
      </c>
      <c r="AH180" s="6">
        <f t="shared" si="22"/>
        <v>-2.8000764999999998E-4</v>
      </c>
      <c r="AI180" s="6">
        <f t="shared" si="22"/>
        <v>-2.8000764999999998E-4</v>
      </c>
      <c r="AJ180" s="6">
        <f t="shared" si="22"/>
        <v>-2.8000764999999998E-4</v>
      </c>
      <c r="AK180" s="6">
        <f t="shared" si="22"/>
        <v>-2.8000764999999998E-4</v>
      </c>
      <c r="AL180" s="6">
        <f t="shared" si="22"/>
        <v>-2.8000764999999998E-4</v>
      </c>
      <c r="AM180" s="6">
        <f t="shared" si="22"/>
        <v>-2.8000764999999998E-4</v>
      </c>
      <c r="AN180" s="6">
        <f t="shared" si="22"/>
        <v>-2.8000764999999998E-4</v>
      </c>
      <c r="AO180" s="6">
        <f t="shared" si="22"/>
        <v>-2.8000764999999998E-4</v>
      </c>
      <c r="AP180" s="6">
        <f t="shared" si="22"/>
        <v>-2.8000764999999998E-4</v>
      </c>
      <c r="AQ180" s="6">
        <f t="shared" si="22"/>
        <v>-2.8000764999999998E-4</v>
      </c>
      <c r="AR180" s="6">
        <f t="shared" si="22"/>
        <v>-2.8000764999999998E-4</v>
      </c>
      <c r="AS180" s="6">
        <f t="shared" si="22"/>
        <v>-2.8000764999999998E-4</v>
      </c>
      <c r="AT180" s="6">
        <f t="shared" si="22"/>
        <v>-2.8000764999999998E-4</v>
      </c>
      <c r="AU180" s="6">
        <f t="shared" si="22"/>
        <v>-2.8000764999999998E-4</v>
      </c>
      <c r="AV180" s="6">
        <f t="shared" si="22"/>
        <v>-2.8000764999999998E-4</v>
      </c>
      <c r="AW180" s="6">
        <f t="shared" si="22"/>
        <v>-2.8000764999999998E-4</v>
      </c>
      <c r="AX180" s="6">
        <f t="shared" si="22"/>
        <v>-2.8000764999999998E-4</v>
      </c>
      <c r="AY180" s="6">
        <f t="shared" si="22"/>
        <v>-2.8000764999999998E-4</v>
      </c>
      <c r="AZ180" s="6">
        <f t="shared" si="22"/>
        <v>-2.8000764999999998E-4</v>
      </c>
      <c r="BA180" s="6">
        <f t="shared" si="22"/>
        <v>-2.8000764999999998E-4</v>
      </c>
    </row>
    <row r="181" spans="1:53" outlineLevel="1" x14ac:dyDescent="0.35">
      <c r="A181" s="6" t="s">
        <v>38</v>
      </c>
      <c r="B181" s="6">
        <f>'Results - raw data ReCiPe (H)'!AC49</f>
        <v>2.291638491689332E-5</v>
      </c>
      <c r="AB181" s="23" t="s">
        <v>125</v>
      </c>
      <c r="AC181" s="17">
        <f>SUM(AC173:AC180)</f>
        <v>2.4975998558769686E-5</v>
      </c>
      <c r="AD181" s="17">
        <f t="shared" ref="AD181:BA181" si="23">SUM(AD173:AD180)</f>
        <v>-1.807692366211039E-4</v>
      </c>
      <c r="AE181" s="17">
        <f t="shared" si="23"/>
        <v>-1.878953456013862E-4</v>
      </c>
      <c r="AF181" s="17">
        <f t="shared" si="23"/>
        <v>-1.9090762424282164E-4</v>
      </c>
      <c r="AG181" s="17">
        <f t="shared" si="23"/>
        <v>-2.022983941178707E-4</v>
      </c>
      <c r="AH181" s="17">
        <f t="shared" si="23"/>
        <v>-2.0944461397590352E-4</v>
      </c>
      <c r="AI181" s="17">
        <f t="shared" si="23"/>
        <v>-2.0983023434820974E-4</v>
      </c>
      <c r="AJ181" s="17">
        <f t="shared" si="23"/>
        <v>-2.1845523995748736E-4</v>
      </c>
      <c r="AK181" s="17">
        <f t="shared" si="23"/>
        <v>-2.230593289181011E-4</v>
      </c>
      <c r="AL181" s="17">
        <f t="shared" si="23"/>
        <v>-2.2361670273131156E-4</v>
      </c>
      <c r="AM181" s="17">
        <f t="shared" si="23"/>
        <v>-2.321058195280417E-4</v>
      </c>
      <c r="AN181" s="17">
        <f t="shared" si="23"/>
        <v>-2.35153865016392E-4</v>
      </c>
      <c r="AO181" s="17">
        <f t="shared" si="23"/>
        <v>-2.3443379399184014E-4</v>
      </c>
      <c r="AP181" s="17">
        <f t="shared" si="23"/>
        <v>-2.4132558145714022E-4</v>
      </c>
      <c r="AQ181" s="17">
        <f t="shared" si="23"/>
        <v>-2.4442318607841284E-4</v>
      </c>
      <c r="AR181" s="17">
        <f t="shared" si="23"/>
        <v>-2.4394974780865585E-4</v>
      </c>
      <c r="AS181" s="17">
        <f t="shared" si="23"/>
        <v>-2.4892300479054233E-4</v>
      </c>
      <c r="AT181" s="17">
        <f t="shared" si="23"/>
        <v>-2.5030658464314764E-4</v>
      </c>
      <c r="AU181" s="17">
        <f t="shared" si="23"/>
        <v>-2.4826315730605173E-4</v>
      </c>
      <c r="AV181" s="17">
        <f t="shared" si="23"/>
        <v>-2.530886455701356E-4</v>
      </c>
      <c r="AW181" s="17">
        <f t="shared" si="23"/>
        <v>-2.5466567268141822E-4</v>
      </c>
      <c r="AX181" s="17">
        <f t="shared" si="23"/>
        <v>-2.5125538017370592E-4</v>
      </c>
      <c r="AY181" s="17">
        <f t="shared" si="23"/>
        <v>-2.5527502263639928E-4</v>
      </c>
      <c r="AZ181" s="17">
        <f t="shared" si="23"/>
        <v>-2.5592469150018956E-4</v>
      </c>
      <c r="BA181" s="17">
        <f t="shared" si="23"/>
        <v>-2.5055284024504495E-4</v>
      </c>
    </row>
    <row r="182" spans="1:53" outlineLevel="1" x14ac:dyDescent="0.35">
      <c r="A182" s="6" t="s">
        <v>39</v>
      </c>
      <c r="B182" s="6">
        <f>'Results - raw data ReCiPe (H)'!AC50</f>
        <v>6.8369970539627651E-5</v>
      </c>
    </row>
    <row r="183" spans="1:53" outlineLevel="1" x14ac:dyDescent="0.35">
      <c r="A183" s="6" t="s">
        <v>41</v>
      </c>
      <c r="B183" s="6">
        <f>'Results - raw data ReCiPe (H)'!AC51</f>
        <v>7.1745132553752663E-7</v>
      </c>
    </row>
    <row r="184" spans="1:53" outlineLevel="1" x14ac:dyDescent="0.35">
      <c r="A184" s="6" t="s">
        <v>43</v>
      </c>
      <c r="B184" s="6">
        <f>'Results - raw data ReCiPe (H)'!AC52</f>
        <v>2.0194466025799359E-6</v>
      </c>
      <c r="AB184" s="282"/>
      <c r="AC184" s="282"/>
      <c r="AD184" s="282"/>
      <c r="AE184" s="282"/>
      <c r="AF184" s="282"/>
      <c r="AG184" s="282"/>
      <c r="AH184" s="282"/>
      <c r="AI184" s="282"/>
      <c r="AJ184" s="282"/>
      <c r="AK184" s="282"/>
      <c r="AL184" s="282"/>
      <c r="AM184" s="282"/>
      <c r="AN184" s="282"/>
      <c r="AO184" s="282"/>
      <c r="AP184" s="282"/>
      <c r="AQ184" s="282"/>
      <c r="AR184" s="282"/>
      <c r="AS184" s="282"/>
      <c r="AT184" s="282"/>
      <c r="AU184" s="282"/>
      <c r="AV184" s="282"/>
      <c r="AW184" s="282"/>
      <c r="AX184" s="282"/>
      <c r="AY184" s="282"/>
      <c r="AZ184" s="282"/>
      <c r="BA184" s="282"/>
    </row>
    <row r="185" spans="1:53" outlineLevel="1" x14ac:dyDescent="0.35">
      <c r="A185" s="6" t="s">
        <v>44</v>
      </c>
      <c r="B185" s="6">
        <f>'Results - raw data ReCiPe (H)'!AC53*AC169*AC171</f>
        <v>1.0765797689579158E-5</v>
      </c>
      <c r="AB185" s="282"/>
      <c r="AC185" s="282"/>
      <c r="AD185" s="282"/>
      <c r="AE185" s="282"/>
      <c r="AF185" s="282"/>
      <c r="AG185" s="282"/>
      <c r="AH185" s="282"/>
      <c r="AI185" s="282"/>
      <c r="AJ185" s="282"/>
      <c r="AK185" s="282"/>
      <c r="AL185" s="282"/>
      <c r="AM185" s="282"/>
      <c r="AN185" s="282"/>
      <c r="AO185" s="282"/>
      <c r="AP185" s="282"/>
      <c r="AQ185" s="282"/>
      <c r="AR185" s="282"/>
      <c r="AS185" s="282"/>
      <c r="AT185" s="282"/>
      <c r="AU185" s="282"/>
      <c r="AV185" s="282"/>
      <c r="AW185" s="282"/>
      <c r="AX185" s="282"/>
      <c r="AY185" s="282"/>
      <c r="AZ185" s="282"/>
      <c r="BA185" s="282"/>
    </row>
    <row r="186" spans="1:53" outlineLevel="1" x14ac:dyDescent="0.35">
      <c r="A186" s="6" t="s">
        <v>757</v>
      </c>
      <c r="B186" s="6">
        <f>'Results - raw data ReCiPe (H)'!AC54*AC169*AC171</f>
        <v>2.9200627294988823E-5</v>
      </c>
      <c r="AB186" s="282"/>
      <c r="AC186" s="282"/>
      <c r="AD186" s="282"/>
      <c r="AE186" s="282"/>
      <c r="AF186" s="282"/>
      <c r="AG186" s="282"/>
      <c r="AH186" s="282"/>
      <c r="AI186" s="282"/>
      <c r="AJ186" s="282"/>
      <c r="AK186" s="282"/>
      <c r="AL186" s="282"/>
      <c r="AM186" s="282"/>
      <c r="AN186" s="282"/>
      <c r="AO186" s="282"/>
      <c r="AP186" s="282"/>
      <c r="AQ186" s="282"/>
      <c r="AR186" s="282"/>
      <c r="AS186" s="282"/>
      <c r="AT186" s="282"/>
      <c r="AU186" s="282"/>
      <c r="AV186" s="282"/>
      <c r="AW186" s="282"/>
      <c r="AX186" s="282"/>
      <c r="AY186" s="282"/>
      <c r="AZ186" s="282"/>
      <c r="BA186" s="282"/>
    </row>
    <row r="187" spans="1:53" outlineLevel="1" x14ac:dyDescent="0.35">
      <c r="A187" s="6" t="s">
        <v>22</v>
      </c>
      <c r="Z187" s="6">
        <f>'Results - raw data ReCiPe (H)'!BA55</f>
        <v>6.1478607554612128E-8</v>
      </c>
      <c r="AB187" s="282"/>
      <c r="AC187" s="282"/>
      <c r="AD187" s="282"/>
      <c r="AE187" s="282"/>
      <c r="AF187" s="282"/>
      <c r="AG187" s="282"/>
      <c r="AH187" s="282"/>
      <c r="AI187" s="282"/>
      <c r="AJ187" s="282"/>
      <c r="AK187" s="282"/>
      <c r="AL187" s="282"/>
      <c r="AM187" s="282"/>
      <c r="AN187" s="282"/>
      <c r="AO187" s="282"/>
      <c r="AP187" s="282"/>
      <c r="AQ187" s="282"/>
      <c r="AR187" s="282"/>
      <c r="AS187" s="282"/>
      <c r="AT187" s="282"/>
      <c r="AU187" s="282"/>
      <c r="AV187" s="282"/>
      <c r="AW187" s="282"/>
      <c r="AX187" s="282"/>
      <c r="AY187" s="282"/>
      <c r="AZ187" s="282"/>
      <c r="BA187" s="282"/>
    </row>
    <row r="188" spans="1:53" outlineLevel="1" x14ac:dyDescent="0.35">
      <c r="A188" s="6" t="s">
        <v>24</v>
      </c>
      <c r="Z188" s="6">
        <f>'Results - raw data ReCiPe (H)'!BA56</f>
        <v>2.976482971528415E-8</v>
      </c>
      <c r="AB188" s="282"/>
      <c r="AC188" s="282"/>
      <c r="AD188" s="282"/>
      <c r="AE188" s="282"/>
      <c r="AF188" s="282"/>
      <c r="AG188" s="282"/>
      <c r="AH188" s="282"/>
      <c r="AI188" s="282"/>
      <c r="AJ188" s="282"/>
      <c r="AK188" s="282"/>
      <c r="AL188" s="282"/>
      <c r="AM188" s="282"/>
      <c r="AN188" s="282"/>
      <c r="AO188" s="282"/>
      <c r="AP188" s="282"/>
      <c r="AQ188" s="282"/>
      <c r="AR188" s="282"/>
      <c r="AS188" s="282"/>
      <c r="AT188" s="282"/>
      <c r="AU188" s="282"/>
      <c r="AV188" s="282"/>
      <c r="AW188" s="282"/>
      <c r="AX188" s="282"/>
      <c r="AY188" s="282"/>
      <c r="AZ188" s="282"/>
      <c r="BA188" s="282"/>
    </row>
    <row r="189" spans="1:53" outlineLevel="1" x14ac:dyDescent="0.35">
      <c r="A189" s="6" t="s">
        <v>25</v>
      </c>
      <c r="Z189" s="6">
        <f>'Results - raw data ReCiPe (H)'!BA57</f>
        <v>1.171837262399769E-7</v>
      </c>
      <c r="AB189" s="282"/>
      <c r="AC189" s="282"/>
      <c r="AD189" s="282"/>
      <c r="AE189" s="282"/>
      <c r="AF189" s="282"/>
      <c r="AG189" s="282"/>
      <c r="AH189" s="282"/>
      <c r="AI189" s="282"/>
      <c r="AJ189" s="282"/>
      <c r="AK189" s="282"/>
      <c r="AL189" s="282"/>
      <c r="AM189" s="282"/>
      <c r="AN189" s="282"/>
      <c r="AO189" s="282"/>
      <c r="AP189" s="282"/>
      <c r="AQ189" s="282"/>
      <c r="AR189" s="282"/>
      <c r="AS189" s="282"/>
      <c r="AT189" s="282"/>
      <c r="AU189" s="282"/>
      <c r="AV189" s="282"/>
      <c r="AW189" s="282"/>
      <c r="AX189" s="282"/>
      <c r="AY189" s="282"/>
      <c r="AZ189" s="282"/>
      <c r="BA189" s="282"/>
    </row>
    <row r="190" spans="1:53" outlineLevel="1" x14ac:dyDescent="0.35">
      <c r="A190" s="6" t="s">
        <v>27</v>
      </c>
      <c r="Z190" s="6">
        <f>'Results - raw data ReCiPe (H)'!BA58</f>
        <v>4.3609799371464648E-8</v>
      </c>
      <c r="AB190" s="282"/>
      <c r="AC190" s="282"/>
      <c r="AD190" s="282"/>
      <c r="AE190" s="282"/>
      <c r="AF190" s="282"/>
      <c r="AG190" s="282"/>
      <c r="AH190" s="282"/>
      <c r="AI190" s="282"/>
      <c r="AJ190" s="282"/>
      <c r="AK190" s="282"/>
      <c r="AL190" s="282"/>
      <c r="AM190" s="282"/>
      <c r="AN190" s="282"/>
      <c r="AO190" s="282"/>
      <c r="AP190" s="282"/>
      <c r="AQ190" s="282"/>
      <c r="AR190" s="282"/>
      <c r="AS190" s="282"/>
      <c r="AT190" s="282"/>
      <c r="AU190" s="282"/>
      <c r="AV190" s="282"/>
      <c r="AW190" s="282"/>
      <c r="AX190" s="282"/>
      <c r="AY190" s="282"/>
      <c r="AZ190" s="282"/>
      <c r="BA190" s="282"/>
    </row>
    <row r="191" spans="1:53" outlineLevel="1" x14ac:dyDescent="0.35">
      <c r="A191" s="6" t="s">
        <v>30</v>
      </c>
      <c r="Z191" s="6">
        <f>'Results - raw data ReCiPe (H)'!BA59</f>
        <v>8.1026310749086041E-8</v>
      </c>
      <c r="AB191" s="282"/>
      <c r="AC191" s="282"/>
      <c r="AD191" s="282"/>
      <c r="AE191" s="282"/>
      <c r="AF191" s="282"/>
      <c r="AG191" s="282"/>
      <c r="AH191" s="282"/>
      <c r="AI191" s="282"/>
      <c r="AJ191" s="282"/>
      <c r="AK191" s="282"/>
      <c r="AL191" s="282"/>
      <c r="AM191" s="282"/>
      <c r="AN191" s="282"/>
      <c r="AO191" s="282"/>
      <c r="AP191" s="282"/>
      <c r="AQ191" s="282"/>
      <c r="AR191" s="282"/>
      <c r="AS191" s="282"/>
      <c r="AT191" s="282"/>
      <c r="AU191" s="282"/>
      <c r="AV191" s="282"/>
      <c r="AW191" s="282"/>
      <c r="AX191" s="282"/>
      <c r="AY191" s="282"/>
      <c r="AZ191" s="282"/>
      <c r="BA191" s="282"/>
    </row>
    <row r="192" spans="1:53" outlineLevel="1" x14ac:dyDescent="0.35">
      <c r="A192" s="6" t="s">
        <v>32</v>
      </c>
      <c r="Z192" s="6">
        <f>'Results - raw data ReCiPe (H)'!BA60</f>
        <v>6.462583175159231E-9</v>
      </c>
      <c r="AB192" s="282"/>
      <c r="AC192" s="282"/>
      <c r="AD192" s="282"/>
      <c r="AE192" s="282"/>
      <c r="AF192" s="282"/>
      <c r="AG192" s="282"/>
      <c r="AH192" s="282"/>
      <c r="AI192" s="282"/>
      <c r="AJ192" s="282"/>
      <c r="AK192" s="282"/>
      <c r="AL192" s="282"/>
      <c r="AM192" s="282"/>
      <c r="AN192" s="282"/>
      <c r="AO192" s="282"/>
      <c r="AP192" s="282"/>
      <c r="AQ192" s="282"/>
      <c r="AR192" s="282"/>
      <c r="AS192" s="282"/>
      <c r="AT192" s="282"/>
      <c r="AU192" s="282"/>
      <c r="AV192" s="282"/>
      <c r="AW192" s="282"/>
      <c r="AX192" s="282"/>
      <c r="AY192" s="282"/>
      <c r="AZ192" s="282"/>
      <c r="BA192" s="282"/>
    </row>
    <row r="193" spans="1:53" outlineLevel="1" x14ac:dyDescent="0.35">
      <c r="A193" s="6" t="s">
        <v>33</v>
      </c>
      <c r="Z193" s="6">
        <f>'Results - raw data ReCiPe (H)'!BA61</f>
        <v>2.0587769966053419E-8</v>
      </c>
      <c r="AB193" s="282"/>
      <c r="AC193" s="282"/>
      <c r="AD193" s="282"/>
      <c r="AE193" s="282"/>
      <c r="AF193" s="282"/>
      <c r="AG193" s="282"/>
      <c r="AH193" s="282"/>
      <c r="AI193" s="282"/>
      <c r="AJ193" s="282"/>
      <c r="AK193" s="282"/>
      <c r="AL193" s="282"/>
      <c r="AM193" s="282"/>
      <c r="AN193" s="282"/>
      <c r="AO193" s="282"/>
      <c r="AP193" s="282"/>
      <c r="AQ193" s="282"/>
      <c r="AR193" s="282"/>
      <c r="AS193" s="282"/>
      <c r="AT193" s="282"/>
      <c r="AU193" s="282"/>
      <c r="AV193" s="282"/>
      <c r="AW193" s="282"/>
      <c r="AX193" s="282"/>
      <c r="AY193" s="282"/>
      <c r="AZ193" s="282"/>
      <c r="BA193" s="282"/>
    </row>
    <row r="194" spans="1:53" outlineLevel="1" x14ac:dyDescent="0.35">
      <c r="A194" s="6" t="s">
        <v>35</v>
      </c>
      <c r="Z194" s="6">
        <f>'Results - raw data ReCiPe (H)'!BA62</f>
        <v>4.1175539932106838E-8</v>
      </c>
      <c r="AB194" s="282"/>
      <c r="AC194" s="282"/>
      <c r="AD194" s="282"/>
      <c r="AE194" s="282"/>
      <c r="AF194" s="282"/>
      <c r="AG194" s="282"/>
      <c r="AH194" s="282"/>
      <c r="AI194" s="282"/>
      <c r="AJ194" s="282"/>
      <c r="AK194" s="282"/>
      <c r="AL194" s="282"/>
      <c r="AM194" s="282"/>
      <c r="AN194" s="282"/>
      <c r="AO194" s="282"/>
      <c r="AP194" s="282"/>
      <c r="AQ194" s="282"/>
      <c r="AR194" s="282"/>
      <c r="AS194" s="282"/>
      <c r="AT194" s="282"/>
      <c r="AU194" s="282"/>
      <c r="AV194" s="282"/>
      <c r="AW194" s="282"/>
      <c r="AX194" s="282"/>
      <c r="AY194" s="282"/>
      <c r="AZ194" s="282"/>
      <c r="BA194" s="282"/>
    </row>
    <row r="195" spans="1:53" outlineLevel="1" x14ac:dyDescent="0.35">
      <c r="A195" s="6" t="s">
        <v>37</v>
      </c>
      <c r="Z195" s="6">
        <f>'Results - raw data ReCiPe (H)'!BA63</f>
        <v>1.082893050409224E-7</v>
      </c>
      <c r="AB195" s="282"/>
      <c r="AC195" s="282"/>
      <c r="AD195" s="282"/>
      <c r="AE195" s="282"/>
      <c r="AF195" s="282"/>
      <c r="AG195" s="282"/>
      <c r="AH195" s="282"/>
      <c r="AI195" s="282"/>
      <c r="AJ195" s="282"/>
      <c r="AK195" s="282"/>
      <c r="AL195" s="282"/>
      <c r="AM195" s="282"/>
      <c r="AN195" s="282"/>
      <c r="AO195" s="282"/>
      <c r="AP195" s="282"/>
      <c r="AQ195" s="282"/>
      <c r="AR195" s="282"/>
      <c r="AS195" s="282"/>
      <c r="AT195" s="282"/>
      <c r="AU195" s="282"/>
      <c r="AV195" s="282"/>
      <c r="AW195" s="282"/>
      <c r="AX195" s="282"/>
      <c r="AY195" s="282"/>
      <c r="AZ195" s="282"/>
      <c r="BA195" s="282"/>
    </row>
    <row r="196" spans="1:53" outlineLevel="1" x14ac:dyDescent="0.35">
      <c r="A196" s="6" t="s">
        <v>40</v>
      </c>
      <c r="Z196" s="6">
        <f>'Results - raw data ReCiPe (H)'!BA64</f>
        <v>9.3290002951854711E-7</v>
      </c>
    </row>
    <row r="197" spans="1:53" outlineLevel="1" x14ac:dyDescent="0.35">
      <c r="A197" s="6" t="s">
        <v>42</v>
      </c>
      <c r="Z197" s="6">
        <f>'Results - raw data ReCiPe (H)'!BA65</f>
        <v>1.6127658943828059E-7</v>
      </c>
    </row>
    <row r="198" spans="1:53" outlineLevel="1" x14ac:dyDescent="0.35">
      <c r="A198" s="6" t="s">
        <v>115</v>
      </c>
      <c r="Z198" s="6">
        <f>'Results - raw data ReCiPe (H)'!BA66</f>
        <v>9.7768184832398183E-7</v>
      </c>
    </row>
    <row r="199" spans="1:53" outlineLevel="1" x14ac:dyDescent="0.35">
      <c r="A199" s="6" t="s">
        <v>45</v>
      </c>
      <c r="Z199" s="6">
        <f>'Results - raw data ReCiPe (H)'!BA67*AC169*AC171</f>
        <v>8.9177657234606268E-8</v>
      </c>
    </row>
    <row r="200" spans="1:53" outlineLevel="1" x14ac:dyDescent="0.35">
      <c r="A200" s="6" t="s">
        <v>116</v>
      </c>
      <c r="B200" s="6">
        <f>'Results - raw data ReCiPe (H)'!AC68</f>
        <v>4.3941155135361717E-6</v>
      </c>
      <c r="C200" s="6">
        <f>'Results - raw data ReCiPe (H)'!AD68</f>
        <v>4.3551339936524957E-6</v>
      </c>
      <c r="D200" s="6">
        <f>'Results - raw data ReCiPe (H)'!AE68</f>
        <v>4.3155764585668393E-6</v>
      </c>
      <c r="E200" s="6">
        <f>'Results - raw data ReCiPe (H)'!AF68</f>
        <v>4.2507924568478764E-6</v>
      </c>
      <c r="F200" s="6">
        <f>'Results - raw data ReCiPe (H)'!AG68</f>
        <v>4.2100362106520597E-6</v>
      </c>
      <c r="G200" s="6">
        <f>'Results - raw data ReCiPe (H)'!AH68</f>
        <v>4.1687095630562638E-6</v>
      </c>
      <c r="H200" s="6">
        <f>'Results - raw data ReCiPe (H)'!AI68</f>
        <v>4.1207843305059888E-6</v>
      </c>
      <c r="I200" s="6">
        <f>'Results - raw data ReCiPe (H)'!AJ68</f>
        <v>4.0725727703376247E-6</v>
      </c>
      <c r="J200" s="6">
        <f>'Results - raw data ReCiPe (H)'!AK68</f>
        <v>4.01062457106556E-6</v>
      </c>
      <c r="K200" s="6">
        <f>'Results - raw data ReCiPe (H)'!AL68</f>
        <v>3.961479922998473E-6</v>
      </c>
      <c r="L200" s="6">
        <f>'Results - raw data ReCiPe (H)'!AM68</f>
        <v>3.9118591966726191E-6</v>
      </c>
      <c r="M200" s="6">
        <f>'Results - raw data ReCiPe (H)'!AN68</f>
        <v>3.8471478244737326E-6</v>
      </c>
      <c r="N200" s="6">
        <f>'Results - raw data ReCiPe (H)'!AO68</f>
        <v>3.782659921523485E-6</v>
      </c>
      <c r="O200" s="6">
        <f>'Results - raw data ReCiPe (H)'!AP68</f>
        <v>3.713272756861E-6</v>
      </c>
      <c r="P200" s="6">
        <f>'Results - raw data ReCiPe (H)'!AQ68</f>
        <v>3.6491625076252609E-6</v>
      </c>
      <c r="Q200" s="6">
        <f>'Results - raw data ReCiPe (H)'!AR68</f>
        <v>3.5852486401048028E-6</v>
      </c>
      <c r="R200" s="6">
        <f>'Results - raw data ReCiPe (H)'!AS68</f>
        <v>3.541524251276272E-6</v>
      </c>
      <c r="S200" s="6">
        <f>'Results - raw data ReCiPe (H)'!AT68</f>
        <v>3.497920157316386E-6</v>
      </c>
      <c r="T200" s="6">
        <f>'Results - raw data ReCiPe (H)'!AU68</f>
        <v>3.4498744880293848E-6</v>
      </c>
      <c r="U200" s="6">
        <f>'Results - raw data ReCiPe (H)'!AV68</f>
        <v>3.40659234526044E-6</v>
      </c>
      <c r="V200" s="6">
        <f>'Results - raw data ReCiPe (H)'!AW68</f>
        <v>3.3635236817237319E-6</v>
      </c>
      <c r="W200" s="6">
        <f>'Results - raw data ReCiPe (H)'!AX68</f>
        <v>3.372986237475297E-6</v>
      </c>
      <c r="X200" s="6">
        <f>'Results - raw data ReCiPe (H)'!AY68</f>
        <v>3.366594014311087E-6</v>
      </c>
      <c r="Y200" s="6">
        <f>'Results - raw data ReCiPe (H)'!AZ68</f>
        <v>3.3602610921714248E-6</v>
      </c>
      <c r="Z200" s="6">
        <f>'Results - raw data ReCiPe (H)'!BA68</f>
        <v>3.3539861692443772E-6</v>
      </c>
    </row>
    <row r="201" spans="1:53" outlineLevel="1" x14ac:dyDescent="0.35">
      <c r="A201" s="6" t="s">
        <v>758</v>
      </c>
      <c r="B201" s="6">
        <f>'Results - raw data ReCiPe (H)'!AC173*$AC$170</f>
        <v>4.4599183429911463E-8</v>
      </c>
      <c r="C201" s="6">
        <f>'Results - raw data ReCiPe (H)'!AD173*$AC$170</f>
        <v>4.2921055572741688E-8</v>
      </c>
      <c r="D201" s="6">
        <f>'Results - raw data ReCiPe (H)'!AE173*$AC$170</f>
        <v>4.1248971144128296E-8</v>
      </c>
      <c r="E201" s="6">
        <f>'Results - raw data ReCiPe (H)'!AF173*$AC$170</f>
        <v>3.9553479156818589E-8</v>
      </c>
      <c r="F201" s="6">
        <f>'Results - raw data ReCiPe (H)'!AG173*$AC$170</f>
        <v>3.7893087942559588E-8</v>
      </c>
      <c r="G201" s="6">
        <f>'Results - raw data ReCiPe (H)'!AH173*$AC$170</f>
        <v>3.623869508419666E-8</v>
      </c>
      <c r="H201" s="6">
        <f>'Results - raw data ReCiPe (H)'!AI173*$AC$170</f>
        <v>3.5198452194382971E-8</v>
      </c>
      <c r="I201" s="6">
        <f>'Results - raw data ReCiPe (H)'!AJ173*$AC$170</f>
        <v>3.4159916250607981E-8</v>
      </c>
      <c r="J201" s="6">
        <f>'Results - raw data ReCiPe (H)'!AK173*$AC$170</f>
        <v>3.3100397587619832E-8</v>
      </c>
      <c r="K201" s="6">
        <f>'Results - raw data ReCiPe (H)'!AL173*$AC$170</f>
        <v>3.2062250061703584E-8</v>
      </c>
      <c r="L201" s="6">
        <f>'Results - raw data ReCiPe (H)'!AM173*$AC$170</f>
        <v>3.1024184307833054E-8</v>
      </c>
      <c r="M201" s="6">
        <f>'Results - raw data ReCiPe (H)'!AN173*$AC$170</f>
        <v>3.0323495175756169E-8</v>
      </c>
      <c r="N201" s="6">
        <f>'Results - raw data ReCiPe (H)'!AO173*$AC$170</f>
        <v>2.9619702685823993E-8</v>
      </c>
      <c r="O201" s="6">
        <f>'Results - raw data ReCiPe (H)'!AP173*$AC$170</f>
        <v>2.8905555637098774E-8</v>
      </c>
      <c r="P201" s="6">
        <f>'Results - raw data ReCiPe (H)'!AQ173*$AC$170</f>
        <v>2.81941579399165E-8</v>
      </c>
      <c r="Q201" s="6">
        <f>'Results - raw data ReCiPe (H)'!AR173*$AC$170</f>
        <v>2.7479642771978447E-8</v>
      </c>
      <c r="R201" s="6">
        <f>'Results - raw data ReCiPe (H)'!AS173*$AC$170</f>
        <v>2.715961731985727E-8</v>
      </c>
      <c r="S201" s="6">
        <f>'Results - raw data ReCiPe (H)'!AT173*$AC$170</f>
        <v>2.6839753454583142E-8</v>
      </c>
      <c r="T201" s="6">
        <f>'Results - raw data ReCiPe (H)'!AU173*$AC$170</f>
        <v>2.6513885385237577E-8</v>
      </c>
      <c r="U201" s="6">
        <f>'Results - raw data ReCiPe (H)'!AV173*$AC$170</f>
        <v>2.6193992684558678E-8</v>
      </c>
      <c r="V201" s="6">
        <f>'Results - raw data ReCiPe (H)'!AW173*$AC$170</f>
        <v>2.5874298598832772E-8</v>
      </c>
      <c r="W201" s="6">
        <f>'Results - raw data ReCiPe (H)'!AX173*$AC$170</f>
        <v>2.5898805793514236E-8</v>
      </c>
      <c r="X201" s="6">
        <f>'Results - raw data ReCiPe (H)'!AY173*$AC$170</f>
        <v>2.5749556305529373E-8</v>
      </c>
      <c r="Y201" s="6">
        <f>'Results - raw data ReCiPe (H)'!AZ173*$AC$170</f>
        <v>2.5600064351468402E-8</v>
      </c>
      <c r="Z201" s="6">
        <f>'Results - raw data ReCiPe (H)'!BA173*$AC$170</f>
        <v>2.5450308404637885E-8</v>
      </c>
    </row>
    <row r="202" spans="1:53" outlineLevel="1" x14ac:dyDescent="0.35">
      <c r="A202" s="6" t="s">
        <v>759</v>
      </c>
      <c r="B202" s="6">
        <f>'Results - raw data ReCiPe (H)'!AC70</f>
        <v>2.0736000294618859E-7</v>
      </c>
      <c r="C202" s="6">
        <f>'Results - raw data ReCiPe (H)'!AD70</f>
        <v>2.0736000294618859E-7</v>
      </c>
      <c r="D202" s="6">
        <f>'Results - raw data ReCiPe (H)'!AE70</f>
        <v>2.0736000294618859E-7</v>
      </c>
      <c r="E202" s="6">
        <f>'Results - raw data ReCiPe (H)'!AF70</f>
        <v>2.0736000294618859E-7</v>
      </c>
      <c r="F202" s="6">
        <f>'Results - raw data ReCiPe (H)'!AG70</f>
        <v>2.0736000294618859E-7</v>
      </c>
      <c r="G202" s="6">
        <f>'Results - raw data ReCiPe (H)'!AH70</f>
        <v>2.0736000294618859E-7</v>
      </c>
      <c r="H202" s="6">
        <f>'Results - raw data ReCiPe (H)'!AI70</f>
        <v>2.0736000294618859E-7</v>
      </c>
      <c r="I202" s="6">
        <f>'Results - raw data ReCiPe (H)'!AJ70</f>
        <v>2.0736000294618859E-7</v>
      </c>
      <c r="J202" s="6">
        <f>'Results - raw data ReCiPe (H)'!AK70</f>
        <v>2.0736000294618859E-7</v>
      </c>
      <c r="K202" s="6">
        <f>'Results - raw data ReCiPe (H)'!AL70</f>
        <v>2.0736000294618859E-7</v>
      </c>
      <c r="L202" s="6">
        <f>'Results - raw data ReCiPe (H)'!AM70</f>
        <v>2.0736000294618859E-7</v>
      </c>
      <c r="M202" s="6">
        <f>'Results - raw data ReCiPe (H)'!AN70</f>
        <v>2.0736000294618859E-7</v>
      </c>
      <c r="N202" s="6">
        <f>'Results - raw data ReCiPe (H)'!AO70</f>
        <v>2.0736000294618859E-7</v>
      </c>
      <c r="O202" s="6">
        <f>'Results - raw data ReCiPe (H)'!AP70</f>
        <v>2.0736000294618859E-7</v>
      </c>
      <c r="P202" s="6">
        <f>'Results - raw data ReCiPe (H)'!AQ70</f>
        <v>2.0736000294618859E-7</v>
      </c>
      <c r="Q202" s="6">
        <f>'Results - raw data ReCiPe (H)'!AR70</f>
        <v>2.0736000294618859E-7</v>
      </c>
      <c r="R202" s="6">
        <f>'Results - raw data ReCiPe (H)'!AS70</f>
        <v>2.0736000294618859E-7</v>
      </c>
      <c r="S202" s="6">
        <f>'Results - raw data ReCiPe (H)'!AT70</f>
        <v>2.0736000294618859E-7</v>
      </c>
      <c r="T202" s="6">
        <f>'Results - raw data ReCiPe (H)'!AU70</f>
        <v>2.0736000294618859E-7</v>
      </c>
      <c r="U202" s="6">
        <f>'Results - raw data ReCiPe (H)'!AV70</f>
        <v>2.0736000294618859E-7</v>
      </c>
      <c r="V202" s="6">
        <f>'Results - raw data ReCiPe (H)'!AW70</f>
        <v>2.0736000294618859E-7</v>
      </c>
      <c r="W202" s="6">
        <f>'Results - raw data ReCiPe (H)'!AX70</f>
        <v>2.0736000294618859E-7</v>
      </c>
      <c r="X202" s="6">
        <f>'Results - raw data ReCiPe (H)'!AY70</f>
        <v>2.0736000294618859E-7</v>
      </c>
      <c r="Y202" s="6">
        <f>'Results - raw data ReCiPe (H)'!AZ70</f>
        <v>2.0736000294618859E-7</v>
      </c>
      <c r="Z202" s="6">
        <f>'Results - raw data ReCiPe (H)'!BA70</f>
        <v>2.0736000294618859E-7</v>
      </c>
    </row>
    <row r="203" spans="1:53" outlineLevel="1" x14ac:dyDescent="0.35">
      <c r="A203" s="6" t="s">
        <v>760</v>
      </c>
      <c r="B203" s="6">
        <f>150000*($AC$170*'Results - raw data ReCiPe (H)'!AC121+(1-'Results ReCiPe (H) - HHD'!$AC$170)*'Results - raw data ReCiPe (H)'!AC122)</f>
        <v>1.0610650695418518E-4</v>
      </c>
      <c r="C203" s="6">
        <f>150000*($AC$170*'Results - raw data ReCiPe (H)'!AD121+(1-'Results ReCiPe (H) - HHD'!$AC$170)*'Results - raw data ReCiPe (H)'!AD122)</f>
        <v>9.8988132320377157E-5</v>
      </c>
      <c r="D203" s="6">
        <f>150000*($AC$170*'Results - raw data ReCiPe (H)'!AE121+(1-'Results ReCiPe (H) - HHD'!$AC$170)*'Results - raw data ReCiPe (H)'!AE122)</f>
        <v>9.1863695424523453E-5</v>
      </c>
      <c r="E203" s="6">
        <f>150000*($AC$170*'Results - raw data ReCiPe (H)'!AF121+(1-'Results ReCiPe (H) - HHD'!$AC$170)*'Results - raw data ReCiPe (H)'!AF122)</f>
        <v>8.4602319818227471E-5</v>
      </c>
      <c r="F203" s="6">
        <f>150000*($AC$170*'Results - raw data ReCiPe (H)'!AG121+(1-'Results ReCiPe (H) - HHD'!$AC$170)*'Results - raw data ReCiPe (H)'!AG122)</f>
        <v>7.7464002791240535E-5</v>
      </c>
      <c r="G203" s="6">
        <f>150000*($AC$170*'Results - raw data ReCiPe (H)'!AH121+(1-'Results ReCiPe (H) - HHD'!$AC$170)*'Results - raw data ReCiPe (H)'!AH122)</f>
        <v>7.0319437326066083E-5</v>
      </c>
      <c r="H203" s="6">
        <f>150000*($AC$170*'Results - raw data ReCiPe (H)'!AI121+(1-'Results ReCiPe (H) - HHD'!$AC$170)*'Results - raw data ReCiPe (H)'!AI122)</f>
        <v>6.5814072866143678E-5</v>
      </c>
      <c r="I203" s="6">
        <f>150000*($AC$170*'Results - raw data ReCiPe (H)'!AJ121+(1-'Results ReCiPe (H) - HHD'!$AC$170)*'Results - raw data ReCiPe (H)'!AJ122)</f>
        <v>6.1310890123315816E-5</v>
      </c>
      <c r="J203" s="6">
        <f>150000*($AC$170*'Results - raw data ReCiPe (H)'!AK121+(1-'Results ReCiPe (H) - HHD'!$AC$170)*'Results - raw data ReCiPe (H)'!AK122)</f>
        <v>5.670786068136509E-5</v>
      </c>
      <c r="K203" s="6">
        <f>150000*($AC$170*'Results - raw data ReCiPe (H)'!AL121+(1-'Results ReCiPe (H) - HHD'!$AC$170)*'Results - raw data ReCiPe (H)'!AL122)</f>
        <v>5.219004509268205E-5</v>
      </c>
      <c r="L203" s="6">
        <f>150000*($AC$170*'Results - raw data ReCiPe (H)'!AM121+(1-'Results ReCiPe (H) - HHD'!$AC$170)*'Results - raw data ReCiPe (H)'!AM122)</f>
        <v>4.7663446284704261E-5</v>
      </c>
      <c r="M203" s="6">
        <f>150000*($AC$170*'Results - raw data ReCiPe (H)'!AN121+(1-'Results ReCiPe (H) - HHD'!$AC$170)*'Results - raw data ReCiPe (H)'!AN122)</f>
        <v>4.4616101485486038E-5</v>
      </c>
      <c r="N203" s="6">
        <f>150000*($AC$170*'Results - raw data ReCiPe (H)'!AO121+(1-'Results ReCiPe (H) - HHD'!$AC$170)*'Results - raw data ReCiPe (H)'!AO122)</f>
        <v>4.1554216381004337E-5</v>
      </c>
      <c r="O203" s="6">
        <f>150000*($AC$170*'Results - raw data ReCiPe (H)'!AP121+(1-'Results ReCiPe (H) - HHD'!$AC$170)*'Results - raw data ReCiPe (H)'!AP122)</f>
        <v>3.8445802984276472E-5</v>
      </c>
      <c r="P203" s="6">
        <f>150000*($AC$170*'Results - raw data ReCiPe (H)'!AQ121+(1-'Results ReCiPe (H) - HHD'!$AC$170)*'Results - raw data ReCiPe (H)'!AQ122)</f>
        <v>3.5348909760701053E-5</v>
      </c>
      <c r="Q203" s="6">
        <f>150000*($AC$170*'Results - raw data ReCiPe (H)'!AR121+(1-'Results ReCiPe (H) - HHD'!$AC$170)*'Results - raw data ReCiPe (H)'!AR122)</f>
        <v>3.2237813905521149E-5</v>
      </c>
      <c r="R203" s="6">
        <f>150000*($AC$170*'Results - raw data ReCiPe (H)'!AS121+(1-'Results ReCiPe (H) - HHD'!$AC$170)*'Results - raw data ReCiPe (H)'!AS122)</f>
        <v>3.0850125589191605E-5</v>
      </c>
      <c r="S203" s="6">
        <f>150000*($AC$170*'Results - raw data ReCiPe (H)'!AT121+(1-'Results ReCiPe (H) - HHD'!$AC$170)*'Results - raw data ReCiPe (H)'!AT122)</f>
        <v>2.9466865600451582E-5</v>
      </c>
      <c r="T203" s="6">
        <f>150000*($AC$170*'Results - raw data ReCiPe (H)'!AU121+(1-'Results ReCiPe (H) - HHD'!$AC$170)*'Results - raw data ReCiPe (H)'!AU122)</f>
        <v>2.8060744317587456E-5</v>
      </c>
      <c r="U203" s="6">
        <f>150000*($AC$170*'Results - raw data ReCiPe (H)'!AV121+(1-'Results ReCiPe (H) - HHD'!$AC$170)*'Results - raw data ReCiPe (H)'!AV122)</f>
        <v>2.6685450434233663E-5</v>
      </c>
      <c r="V203" s="6">
        <f>150000*($AC$170*'Results - raw data ReCiPe (H)'!AW121+(1-'Results ReCiPe (H) - HHD'!$AC$170)*'Results - raw data ReCiPe (H)'!AW122)</f>
        <v>2.5316103019982918E-5</v>
      </c>
      <c r="W203" s="6">
        <f>150000*($AC$170*'Results - raw data ReCiPe (H)'!AX121+(1-'Results ReCiPe (H) - HHD'!$AC$170)*'Results - raw data ReCiPe (H)'!AX122)</f>
        <v>2.5353384783025232E-5</v>
      </c>
      <c r="X203" s="6">
        <f>150000*($AC$170*'Results - raw data ReCiPe (H)'!AY121+(1-'Results ReCiPe (H) - HHD'!$AC$170)*'Results - raw data ReCiPe (H)'!AY122)</f>
        <v>2.4706877807295189E-5</v>
      </c>
      <c r="Y203" s="6">
        <f>150000*($AC$170*'Results - raw data ReCiPe (H)'!AZ121+(1-'Results ReCiPe (H) - HHD'!$AC$170)*'Results - raw data ReCiPe (H)'!AZ122)</f>
        <v>2.405735843545893E-5</v>
      </c>
      <c r="Z203" s="6">
        <f>150000*($AC$170*'Results - raw data ReCiPe (H)'!BA121+(1-'Results ReCiPe (H) - HHD'!$AC$170)*'Results - raw data ReCiPe (H)'!BA122)</f>
        <v>2.340475868104593E-5</v>
      </c>
    </row>
    <row r="204" spans="1:53" outlineLevel="1" x14ac:dyDescent="0.35">
      <c r="A204" s="23" t="s">
        <v>125</v>
      </c>
      <c r="B204" s="17">
        <f>SUM(B173:B203)</f>
        <v>3.0498364855876967E-4</v>
      </c>
      <c r="C204" s="17">
        <f t="shared" ref="C204:Z204" si="24">SUM(C173:C203)</f>
        <v>1.0359354737254858E-4</v>
      </c>
      <c r="D204" s="17">
        <f t="shared" si="24"/>
        <v>9.6427880857180603E-5</v>
      </c>
      <c r="E204" s="17">
        <f t="shared" si="24"/>
        <v>8.9100025757178356E-5</v>
      </c>
      <c r="F204" s="17">
        <f t="shared" si="24"/>
        <v>8.1919292092781345E-5</v>
      </c>
      <c r="G204" s="17">
        <f t="shared" si="24"/>
        <v>7.4731745587152727E-5</v>
      </c>
      <c r="H204" s="17">
        <f t="shared" si="24"/>
        <v>7.0177415651790238E-5</v>
      </c>
      <c r="I204" s="17">
        <f t="shared" si="24"/>
        <v>6.5624982812850235E-5</v>
      </c>
      <c r="J204" s="17">
        <f t="shared" si="24"/>
        <v>6.0958945652964458E-5</v>
      </c>
      <c r="K204" s="17">
        <f t="shared" si="24"/>
        <v>5.6390947268688417E-5</v>
      </c>
      <c r="L204" s="17">
        <f t="shared" si="24"/>
        <v>5.18136896686309E-5</v>
      </c>
      <c r="M204" s="17">
        <f t="shared" si="24"/>
        <v>4.8700932808081718E-5</v>
      </c>
      <c r="N204" s="17">
        <f t="shared" si="24"/>
        <v>4.5573856008159835E-5</v>
      </c>
      <c r="O204" s="17">
        <f t="shared" si="24"/>
        <v>4.2395341299720761E-5</v>
      </c>
      <c r="P204" s="17">
        <f t="shared" si="24"/>
        <v>3.9233626429212419E-5</v>
      </c>
      <c r="Q204" s="17">
        <f t="shared" si="24"/>
        <v>3.6057902191344117E-5</v>
      </c>
      <c r="R204" s="17">
        <f t="shared" si="24"/>
        <v>3.4626169460733921E-5</v>
      </c>
      <c r="S204" s="17">
        <f t="shared" si="24"/>
        <v>3.3198985514168742E-5</v>
      </c>
      <c r="T204" s="17">
        <f t="shared" si="24"/>
        <v>3.1744492693948268E-5</v>
      </c>
      <c r="U204" s="17">
        <f t="shared" si="24"/>
        <v>3.032559677512485E-5</v>
      </c>
      <c r="V204" s="17">
        <f t="shared" si="24"/>
        <v>2.891286100325167E-5</v>
      </c>
      <c r="W204" s="17">
        <f t="shared" si="24"/>
        <v>2.8959629829240233E-5</v>
      </c>
      <c r="X204" s="17">
        <f t="shared" si="24"/>
        <v>2.8306581380857993E-5</v>
      </c>
      <c r="Y204" s="17">
        <f t="shared" si="24"/>
        <v>2.7650579594928012E-5</v>
      </c>
      <c r="Z204" s="17">
        <f t="shared" si="24"/>
        <v>2.9662169757901216E-5</v>
      </c>
    </row>
    <row r="205" spans="1:53" outlineLevel="1" x14ac:dyDescent="0.35"/>
    <row r="206" spans="1:53" s="18" customFormat="1" ht="21" x14ac:dyDescent="0.5">
      <c r="A206" s="18" t="s">
        <v>94</v>
      </c>
    </row>
    <row r="207" spans="1:53" s="20" customFormat="1" outlineLevel="1" x14ac:dyDescent="0.35">
      <c r="A207" s="19" t="s">
        <v>766</v>
      </c>
    </row>
    <row r="208" spans="1:53" s="16" customFormat="1" outlineLevel="1" x14ac:dyDescent="0.35">
      <c r="A208" s="21"/>
      <c r="AB208" s="15" t="s">
        <v>143</v>
      </c>
      <c r="AC208" s="16">
        <f>0.0000000028+0.0000000000000765</f>
        <v>2.8000764999999998E-9</v>
      </c>
      <c r="AD208" s="16" t="s">
        <v>142</v>
      </c>
      <c r="AE208" s="15" t="s">
        <v>714</v>
      </c>
    </row>
    <row r="209" spans="1:53" s="16" customFormat="1" outlineLevel="1" x14ac:dyDescent="0.35">
      <c r="A209" s="22" t="s">
        <v>565</v>
      </c>
      <c r="AC209" s="16">
        <f>AC208*1000</f>
        <v>2.8000765E-6</v>
      </c>
      <c r="AD209" s="16" t="s">
        <v>145</v>
      </c>
    </row>
    <row r="210" spans="1:53" s="16" customFormat="1" outlineLevel="1" x14ac:dyDescent="0.35">
      <c r="A210" s="22"/>
      <c r="AB210" s="16" t="s">
        <v>127</v>
      </c>
      <c r="AC210" s="16">
        <v>100</v>
      </c>
      <c r="AD210" s="16" t="s">
        <v>128</v>
      </c>
    </row>
    <row r="211" spans="1:53" s="16" customFormat="1" outlineLevel="1" x14ac:dyDescent="0.35">
      <c r="A211" s="230" t="s">
        <v>768</v>
      </c>
      <c r="AB211" s="16" t="s">
        <v>20</v>
      </c>
      <c r="AC211" s="16">
        <v>0.23</v>
      </c>
      <c r="AD211" s="16" t="s">
        <v>715</v>
      </c>
    </row>
    <row r="212" spans="1:53" s="16" customFormat="1" outlineLevel="1" x14ac:dyDescent="0.35">
      <c r="A212" s="22"/>
      <c r="AB212" s="16" t="s">
        <v>129</v>
      </c>
      <c r="AC212" s="16">
        <v>25</v>
      </c>
      <c r="AD212" s="16" t="s">
        <v>130</v>
      </c>
    </row>
    <row r="213" spans="1:53" outlineLevel="1" x14ac:dyDescent="0.35">
      <c r="B213" s="25">
        <v>2030</v>
      </c>
      <c r="C213" s="25">
        <v>2031</v>
      </c>
      <c r="D213" s="25">
        <v>2032</v>
      </c>
      <c r="E213" s="25">
        <v>2033</v>
      </c>
      <c r="F213" s="25">
        <v>2034</v>
      </c>
      <c r="G213" s="25">
        <v>2035</v>
      </c>
      <c r="H213" s="25">
        <v>2036</v>
      </c>
      <c r="I213" s="25">
        <v>2037</v>
      </c>
      <c r="J213" s="25">
        <v>2038</v>
      </c>
      <c r="K213" s="25">
        <v>2039</v>
      </c>
      <c r="L213" s="25">
        <v>2040</v>
      </c>
      <c r="M213" s="25">
        <v>2041</v>
      </c>
      <c r="N213" s="25">
        <v>2042</v>
      </c>
      <c r="O213" s="25">
        <v>2043</v>
      </c>
      <c r="P213" s="25">
        <v>2044</v>
      </c>
      <c r="Q213" s="25">
        <v>2045</v>
      </c>
      <c r="R213" s="25">
        <v>2046</v>
      </c>
      <c r="S213" s="25">
        <v>2047</v>
      </c>
      <c r="T213" s="25">
        <v>2048</v>
      </c>
      <c r="U213" s="25">
        <v>2049</v>
      </c>
      <c r="V213" s="25">
        <v>2050</v>
      </c>
      <c r="W213" s="25">
        <v>2051</v>
      </c>
      <c r="X213" s="25">
        <v>2052</v>
      </c>
      <c r="Y213" s="25">
        <v>2053</v>
      </c>
      <c r="Z213" s="25">
        <v>2054</v>
      </c>
      <c r="AC213" s="25">
        <v>2030</v>
      </c>
      <c r="AD213" s="25">
        <v>2031</v>
      </c>
      <c r="AE213" s="25">
        <v>2032</v>
      </c>
      <c r="AF213" s="25">
        <v>2033</v>
      </c>
      <c r="AG213" s="25">
        <v>2034</v>
      </c>
      <c r="AH213" s="25">
        <v>2035</v>
      </c>
      <c r="AI213" s="25">
        <v>2036</v>
      </c>
      <c r="AJ213" s="25">
        <v>2037</v>
      </c>
      <c r="AK213" s="25">
        <v>2038</v>
      </c>
      <c r="AL213" s="25">
        <v>2039</v>
      </c>
      <c r="AM213" s="25">
        <v>2040</v>
      </c>
      <c r="AN213" s="25">
        <v>2041</v>
      </c>
      <c r="AO213" s="25">
        <v>2042</v>
      </c>
      <c r="AP213" s="25">
        <v>2043</v>
      </c>
      <c r="AQ213" s="25">
        <v>2044</v>
      </c>
      <c r="AR213" s="25">
        <v>2045</v>
      </c>
      <c r="AS213" s="25">
        <v>2046</v>
      </c>
      <c r="AT213" s="25">
        <v>2047</v>
      </c>
      <c r="AU213" s="25">
        <v>2048</v>
      </c>
      <c r="AV213" s="25">
        <v>2049</v>
      </c>
      <c r="AW213" s="25">
        <v>2050</v>
      </c>
      <c r="AX213" s="25">
        <v>2051</v>
      </c>
      <c r="AY213" s="25">
        <v>2052</v>
      </c>
      <c r="AZ213" s="25">
        <v>2053</v>
      </c>
      <c r="BA213" s="25">
        <v>2054</v>
      </c>
    </row>
    <row r="214" spans="1:53" outlineLevel="1" x14ac:dyDescent="0.35">
      <c r="A214" s="6" t="s">
        <v>21</v>
      </c>
      <c r="B214" s="6">
        <f>'Results - raw data ReCiPe (H)'!AC77</f>
        <v>2.5730574523951919E-6</v>
      </c>
      <c r="AB214" s="6" t="s">
        <v>117</v>
      </c>
      <c r="AC214" s="6">
        <f>SUM(B214:B225)+B227</f>
        <v>1.5226911141711527E-4</v>
      </c>
    </row>
    <row r="215" spans="1:53" outlineLevel="1" x14ac:dyDescent="0.35">
      <c r="A215" s="6" t="s">
        <v>23</v>
      </c>
      <c r="B215" s="6">
        <f>'Results - raw data ReCiPe (H)'!AC78</f>
        <v>4.8920761983372821E-6</v>
      </c>
      <c r="AB215" s="6" t="s">
        <v>118</v>
      </c>
      <c r="AC215" s="6">
        <f>B226</f>
        <v>9.7865963272845992E-6</v>
      </c>
    </row>
    <row r="216" spans="1:53" outlineLevel="1" x14ac:dyDescent="0.35">
      <c r="A216" s="6" t="s">
        <v>26</v>
      </c>
      <c r="B216" s="6">
        <f>'Results - raw data ReCiPe (H)'!AC79</f>
        <v>1.2592987091342301E-5</v>
      </c>
      <c r="AB216" s="6" t="s">
        <v>119</v>
      </c>
      <c r="BA216" s="6">
        <f>SUM(Z228:Z239)</f>
        <v>2.4979772832792044E-6</v>
      </c>
    </row>
    <row r="217" spans="1:53" outlineLevel="1" x14ac:dyDescent="0.35">
      <c r="A217" s="6" t="s">
        <v>28</v>
      </c>
      <c r="B217" s="6">
        <f>'Results - raw data ReCiPe (H)'!AC80</f>
        <v>9.5688269134472151E-6</v>
      </c>
      <c r="AB217" s="6" t="s">
        <v>120</v>
      </c>
      <c r="BA217" s="6">
        <f>Z240</f>
        <v>8.9291412421487725E-8</v>
      </c>
    </row>
    <row r="218" spans="1:53" outlineLevel="1" x14ac:dyDescent="0.35">
      <c r="A218" s="6" t="s">
        <v>29</v>
      </c>
      <c r="B218" s="6">
        <f>'Results - raw data ReCiPe (H)'!AC81</f>
        <v>7.5789098247603887E-6</v>
      </c>
      <c r="AB218" s="6" t="s">
        <v>121</v>
      </c>
      <c r="AC218" s="6">
        <f>B241</f>
        <v>3.715731652454359E-6</v>
      </c>
      <c r="AF218" s="6">
        <f>E241</f>
        <v>3.5013590415283682E-6</v>
      </c>
      <c r="AI218" s="6">
        <f>H241</f>
        <v>3.359625974222981E-6</v>
      </c>
      <c r="AL218" s="6">
        <f>K241</f>
        <v>3.3222042704526711E-6</v>
      </c>
      <c r="AO218" s="6">
        <f>N241</f>
        <v>3.3098090978734569E-6</v>
      </c>
      <c r="AR218" s="6">
        <f>Q241</f>
        <v>3.2987119954850761E-6</v>
      </c>
      <c r="AU218" s="6">
        <f>T241</f>
        <v>3.278896138541998E-6</v>
      </c>
      <c r="AX218" s="6">
        <f>W241</f>
        <v>3.2828870256197742E-6</v>
      </c>
      <c r="BA218" s="6">
        <f>Z241</f>
        <v>3.2779455111866361E-6</v>
      </c>
    </row>
    <row r="219" spans="1:53" outlineLevel="1" x14ac:dyDescent="0.35">
      <c r="A219" s="6" t="s">
        <v>31</v>
      </c>
      <c r="B219" s="6">
        <f>'Results - raw data ReCiPe (H)'!AC82</f>
        <v>6.5339554735163091E-6</v>
      </c>
      <c r="AB219" s="6" t="s">
        <v>122</v>
      </c>
      <c r="AC219" s="6">
        <f>B244+B243</f>
        <v>5.2485260841158965E-5</v>
      </c>
      <c r="AD219" s="6">
        <f t="shared" ref="AD219:BA219" si="25">C244+C243</f>
        <v>4.6583975863190444E-5</v>
      </c>
      <c r="AE219" s="6">
        <f t="shared" si="25"/>
        <v>4.0663143243011243E-5</v>
      </c>
      <c r="AF219" s="6">
        <f t="shared" si="25"/>
        <v>3.4569009498929191E-5</v>
      </c>
      <c r="AG219" s="6">
        <f t="shared" si="25"/>
        <v>2.8598997412621645E-5</v>
      </c>
      <c r="AH219" s="6">
        <f t="shared" si="25"/>
        <v>2.2609504784310214E-5</v>
      </c>
      <c r="AI219" s="6">
        <f t="shared" si="25"/>
        <v>2.2122737058492591E-5</v>
      </c>
      <c r="AJ219" s="6">
        <f t="shared" si="25"/>
        <v>2.1628060529237967E-5</v>
      </c>
      <c r="AK219" s="6">
        <f t="shared" si="25"/>
        <v>2.09927647023118E-5</v>
      </c>
      <c r="AL219" s="6">
        <f t="shared" si="25"/>
        <v>2.0475342199917643E-5</v>
      </c>
      <c r="AM219" s="6">
        <f t="shared" si="25"/>
        <v>1.9949701852944732E-5</v>
      </c>
      <c r="AN219" s="6">
        <f t="shared" si="25"/>
        <v>1.9601621350894765E-5</v>
      </c>
      <c r="AO219" s="6">
        <f t="shared" si="25"/>
        <v>1.9252652744242143E-5</v>
      </c>
      <c r="AP219" s="6">
        <f t="shared" si="25"/>
        <v>1.8862663357652828E-5</v>
      </c>
      <c r="AQ219" s="6">
        <f t="shared" si="25"/>
        <v>1.850290418822944E-5</v>
      </c>
      <c r="AR219" s="6">
        <f t="shared" si="25"/>
        <v>1.8138975887903136E-5</v>
      </c>
      <c r="AS219" s="6">
        <f t="shared" si="25"/>
        <v>1.6766178772234577E-5</v>
      </c>
      <c r="AT219" s="6">
        <f t="shared" si="25"/>
        <v>1.5409740495097621E-5</v>
      </c>
      <c r="AU219" s="6">
        <f t="shared" si="25"/>
        <v>1.4037994594488492E-5</v>
      </c>
      <c r="AV219" s="6">
        <f t="shared" si="25"/>
        <v>1.2711488092123848E-5</v>
      </c>
      <c r="AW219" s="6">
        <f t="shared" si="25"/>
        <v>1.139266720179935E-5</v>
      </c>
      <c r="AX219" s="6">
        <f t="shared" si="25"/>
        <v>1.1217420733954137E-5</v>
      </c>
      <c r="AY219" s="6">
        <f t="shared" si="25"/>
        <v>1.0297012768990355E-5</v>
      </c>
      <c r="AZ219" s="6">
        <f t="shared" si="25"/>
        <v>9.3752170203539572E-6</v>
      </c>
      <c r="BA219" s="6">
        <f t="shared" si="25"/>
        <v>8.4518779018362923E-6</v>
      </c>
    </row>
    <row r="220" spans="1:53" outlineLevel="1" x14ac:dyDescent="0.35">
      <c r="A220" s="6" t="s">
        <v>34</v>
      </c>
      <c r="B220" s="6">
        <f>'Results - raw data ReCiPe (H)'!AC83</f>
        <v>4.3369769417194421E-6</v>
      </c>
      <c r="AB220" s="6" t="s">
        <v>123</v>
      </c>
      <c r="AC220" s="6">
        <f>B242</f>
        <v>3.2136306053053461E-8</v>
      </c>
      <c r="AD220" s="6">
        <f t="shared" ref="AD220:BA220" si="26">C242</f>
        <v>3.0758180315675132E-8</v>
      </c>
      <c r="AE220" s="6">
        <f t="shared" si="26"/>
        <v>2.9384345470531899E-8</v>
      </c>
      <c r="AF220" s="6">
        <f t="shared" si="26"/>
        <v>2.7980451208917948E-8</v>
      </c>
      <c r="AG220" s="6">
        <f t="shared" si="26"/>
        <v>2.6613306088206282E-8</v>
      </c>
      <c r="AH220" s="6">
        <f t="shared" si="26"/>
        <v>2.5250448176527686E-8</v>
      </c>
      <c r="AI220" s="6">
        <f t="shared" si="26"/>
        <v>2.513841584857147E-8</v>
      </c>
      <c r="AJ220" s="6">
        <f t="shared" si="26"/>
        <v>2.5024930926716515E-8</v>
      </c>
      <c r="AK220" s="6">
        <f t="shared" si="26"/>
        <v>2.4880239070882885E-8</v>
      </c>
      <c r="AL220" s="6">
        <f t="shared" si="26"/>
        <v>2.4762422464027812E-8</v>
      </c>
      <c r="AM220" s="6">
        <f t="shared" si="26"/>
        <v>2.4643106066598553E-8</v>
      </c>
      <c r="AN220" s="6">
        <f t="shared" si="26"/>
        <v>2.4563179007969224E-8</v>
      </c>
      <c r="AO220" s="6">
        <f t="shared" si="26"/>
        <v>2.4482963311311898E-8</v>
      </c>
      <c r="AP220" s="6">
        <f t="shared" si="26"/>
        <v>2.4393501370517513E-8</v>
      </c>
      <c r="AQ220" s="6">
        <f t="shared" si="26"/>
        <v>2.4310787092476496E-8</v>
      </c>
      <c r="AR220" s="6">
        <f t="shared" si="26"/>
        <v>2.4227129987752235E-8</v>
      </c>
      <c r="AS220" s="6">
        <f t="shared" si="26"/>
        <v>2.3912989590181532E-8</v>
      </c>
      <c r="AT220" s="6">
        <f t="shared" si="26"/>
        <v>2.3599781125175531E-8</v>
      </c>
      <c r="AU220" s="6">
        <f t="shared" si="26"/>
        <v>2.3280432970515226E-8</v>
      </c>
      <c r="AV220" s="6">
        <f t="shared" si="26"/>
        <v>2.2968629983959128E-8</v>
      </c>
      <c r="AW220" s="6">
        <f t="shared" si="26"/>
        <v>2.265653759238223E-8</v>
      </c>
      <c r="AX220" s="6">
        <f t="shared" si="26"/>
        <v>2.2637237278445487E-8</v>
      </c>
      <c r="AY220" s="6">
        <f t="shared" si="26"/>
        <v>2.2430418445590755E-8</v>
      </c>
      <c r="AZ220" s="6">
        <f t="shared" si="26"/>
        <v>2.2223902673526969E-8</v>
      </c>
      <c r="BA220" s="6">
        <f t="shared" si="26"/>
        <v>2.2017649042573636E-8</v>
      </c>
    </row>
    <row r="221" spans="1:53" outlineLevel="1" x14ac:dyDescent="0.35">
      <c r="A221" s="6" t="s">
        <v>36</v>
      </c>
      <c r="B221" s="6">
        <f>'Results - raw data ReCiPe (H)'!AC84</f>
        <v>3.5786050973205839E-6</v>
      </c>
      <c r="AB221" s="6" t="s">
        <v>124</v>
      </c>
      <c r="AC221" s="6">
        <f>-$AC$6*$AC$7</f>
        <v>-2.8000764999999998E-4</v>
      </c>
      <c r="AD221" s="6">
        <f t="shared" ref="AD221:BA221" si="27">-$AC$6*$AC$7</f>
        <v>-2.8000764999999998E-4</v>
      </c>
      <c r="AE221" s="6">
        <f t="shared" si="27"/>
        <v>-2.8000764999999998E-4</v>
      </c>
      <c r="AF221" s="6">
        <f t="shared" si="27"/>
        <v>-2.8000764999999998E-4</v>
      </c>
      <c r="AG221" s="6">
        <f t="shared" si="27"/>
        <v>-2.8000764999999998E-4</v>
      </c>
      <c r="AH221" s="6">
        <f t="shared" si="27"/>
        <v>-2.8000764999999998E-4</v>
      </c>
      <c r="AI221" s="6">
        <f t="shared" si="27"/>
        <v>-2.8000764999999998E-4</v>
      </c>
      <c r="AJ221" s="6">
        <f t="shared" si="27"/>
        <v>-2.8000764999999998E-4</v>
      </c>
      <c r="AK221" s="6">
        <f t="shared" si="27"/>
        <v>-2.8000764999999998E-4</v>
      </c>
      <c r="AL221" s="6">
        <f t="shared" si="27"/>
        <v>-2.8000764999999998E-4</v>
      </c>
      <c r="AM221" s="6">
        <f t="shared" si="27"/>
        <v>-2.8000764999999998E-4</v>
      </c>
      <c r="AN221" s="6">
        <f t="shared" si="27"/>
        <v>-2.8000764999999998E-4</v>
      </c>
      <c r="AO221" s="6">
        <f t="shared" si="27"/>
        <v>-2.8000764999999998E-4</v>
      </c>
      <c r="AP221" s="6">
        <f t="shared" si="27"/>
        <v>-2.8000764999999998E-4</v>
      </c>
      <c r="AQ221" s="6">
        <f t="shared" si="27"/>
        <v>-2.8000764999999998E-4</v>
      </c>
      <c r="AR221" s="6">
        <f t="shared" si="27"/>
        <v>-2.8000764999999998E-4</v>
      </c>
      <c r="AS221" s="6">
        <f t="shared" si="27"/>
        <v>-2.8000764999999998E-4</v>
      </c>
      <c r="AT221" s="6">
        <f t="shared" si="27"/>
        <v>-2.8000764999999998E-4</v>
      </c>
      <c r="AU221" s="6">
        <f t="shared" si="27"/>
        <v>-2.8000764999999998E-4</v>
      </c>
      <c r="AV221" s="6">
        <f t="shared" si="27"/>
        <v>-2.8000764999999998E-4</v>
      </c>
      <c r="AW221" s="6">
        <f t="shared" si="27"/>
        <v>-2.8000764999999998E-4</v>
      </c>
      <c r="AX221" s="6">
        <f t="shared" si="27"/>
        <v>-2.8000764999999998E-4</v>
      </c>
      <c r="AY221" s="6">
        <f t="shared" si="27"/>
        <v>-2.8000764999999998E-4</v>
      </c>
      <c r="AZ221" s="6">
        <f t="shared" si="27"/>
        <v>-2.8000764999999998E-4</v>
      </c>
      <c r="BA221" s="6">
        <f t="shared" si="27"/>
        <v>-2.8000764999999998E-4</v>
      </c>
    </row>
    <row r="222" spans="1:53" outlineLevel="1" x14ac:dyDescent="0.35">
      <c r="A222" s="6" t="s">
        <v>38</v>
      </c>
      <c r="B222" s="6">
        <f>'Results - raw data ReCiPe (H)'!AC85</f>
        <v>1.9755647666104199E-5</v>
      </c>
      <c r="AB222" s="23" t="s">
        <v>125</v>
      </c>
      <c r="AC222" s="17">
        <f>SUM(AC214:AC221)</f>
        <v>-6.1718813455933737E-5</v>
      </c>
      <c r="AD222" s="17">
        <f t="shared" ref="AD222:BA222" si="28">SUM(AD214:AD221)</f>
        <v>-2.3339291595649386E-4</v>
      </c>
      <c r="AE222" s="17">
        <f t="shared" si="28"/>
        <v>-2.3931512241151821E-4</v>
      </c>
      <c r="AF222" s="17">
        <f t="shared" si="28"/>
        <v>-2.419093010083335E-4</v>
      </c>
      <c r="AG222" s="17">
        <f t="shared" si="28"/>
        <v>-2.5138203928129011E-4</v>
      </c>
      <c r="AH222" s="17">
        <f t="shared" si="28"/>
        <v>-2.5737289476751324E-4</v>
      </c>
      <c r="AI222" s="17">
        <f t="shared" si="28"/>
        <v>-2.5450014855143586E-4</v>
      </c>
      <c r="AJ222" s="17">
        <f t="shared" si="28"/>
        <v>-2.5835456453983532E-4</v>
      </c>
      <c r="AK222" s="17">
        <f t="shared" si="28"/>
        <v>-2.5899000505861727E-4</v>
      </c>
      <c r="AL222" s="17">
        <f t="shared" si="28"/>
        <v>-2.5618534110716565E-4</v>
      </c>
      <c r="AM222" s="17">
        <f t="shared" si="28"/>
        <v>-2.6003330504098868E-4</v>
      </c>
      <c r="AN222" s="17">
        <f t="shared" si="28"/>
        <v>-2.6038146547009727E-4</v>
      </c>
      <c r="AO222" s="17">
        <f t="shared" si="28"/>
        <v>-2.5742070519457305E-4</v>
      </c>
      <c r="AP222" s="17">
        <f t="shared" si="28"/>
        <v>-2.6112059314097665E-4</v>
      </c>
      <c r="AQ222" s="17">
        <f t="shared" si="28"/>
        <v>-2.6148043502467809E-4</v>
      </c>
      <c r="AR222" s="17">
        <f t="shared" si="28"/>
        <v>-2.5854573498662402E-4</v>
      </c>
      <c r="AS222" s="17">
        <f t="shared" si="28"/>
        <v>-2.6321755823817525E-4</v>
      </c>
      <c r="AT222" s="17">
        <f t="shared" si="28"/>
        <v>-2.6457430972377718E-4</v>
      </c>
      <c r="AU222" s="17">
        <f t="shared" si="28"/>
        <v>-2.6266747883399899E-4</v>
      </c>
      <c r="AV222" s="17">
        <f t="shared" si="28"/>
        <v>-2.6727319327789217E-4</v>
      </c>
      <c r="AW222" s="17">
        <f t="shared" si="28"/>
        <v>-2.6859232626060827E-4</v>
      </c>
      <c r="AX222" s="17">
        <f t="shared" si="28"/>
        <v>-2.6548470500314763E-4</v>
      </c>
      <c r="AY222" s="17">
        <f t="shared" si="28"/>
        <v>-2.6968820681256406E-4</v>
      </c>
      <c r="AZ222" s="17">
        <f t="shared" si="28"/>
        <v>-2.7061020907697249E-4</v>
      </c>
      <c r="BA222" s="17">
        <f t="shared" si="28"/>
        <v>-2.6566854024223381E-4</v>
      </c>
    </row>
    <row r="223" spans="1:53" outlineLevel="1" x14ac:dyDescent="0.35">
      <c r="A223" s="6" t="s">
        <v>39</v>
      </c>
      <c r="B223" s="6">
        <f>'Results - raw data ReCiPe (H)'!AC86</f>
        <v>4.9672540671057758E-5</v>
      </c>
    </row>
    <row r="224" spans="1:53" outlineLevel="1" x14ac:dyDescent="0.35">
      <c r="A224" s="6" t="s">
        <v>41</v>
      </c>
      <c r="B224" s="6">
        <f>'Results - raw data ReCiPe (H)'!AC87</f>
        <v>6.7173966351855849E-7</v>
      </c>
    </row>
    <row r="225" spans="1:53" outlineLevel="1" x14ac:dyDescent="0.35">
      <c r="A225" s="6" t="s">
        <v>43</v>
      </c>
      <c r="B225" s="6">
        <f>'Results - raw data ReCiPe (H)'!AC88</f>
        <v>1.9363285429090501E-6</v>
      </c>
      <c r="AB225" s="282"/>
      <c r="AC225" s="282"/>
      <c r="AD225" s="282"/>
      <c r="AE225" s="282"/>
      <c r="AF225" s="282"/>
      <c r="AG225" s="282"/>
      <c r="AH225" s="282"/>
      <c r="AI225" s="282"/>
      <c r="AJ225" s="282"/>
      <c r="AK225" s="282"/>
      <c r="AL225" s="282"/>
      <c r="AM225" s="282"/>
      <c r="AN225" s="282"/>
      <c r="AO225" s="282"/>
      <c r="AP225" s="282"/>
      <c r="AQ225" s="282"/>
      <c r="AR225" s="282"/>
      <c r="AS225" s="282"/>
      <c r="AT225" s="282"/>
      <c r="AU225" s="282"/>
      <c r="AV225" s="282"/>
      <c r="AW225" s="282"/>
      <c r="AX225" s="282"/>
      <c r="AY225" s="282"/>
      <c r="AZ225" s="282"/>
      <c r="BA225" s="282"/>
    </row>
    <row r="226" spans="1:53" outlineLevel="1" x14ac:dyDescent="0.35">
      <c r="A226" s="6" t="s">
        <v>44</v>
      </c>
      <c r="B226" s="6">
        <f>'Results - raw data ReCiPe (H)'!AC89*AC210*AC212</f>
        <v>9.7865963272845992E-6</v>
      </c>
      <c r="AB226" s="282"/>
      <c r="AC226" s="282"/>
      <c r="AD226" s="282"/>
      <c r="AE226" s="282"/>
      <c r="AF226" s="282"/>
      <c r="AG226" s="282"/>
      <c r="AH226" s="282"/>
      <c r="AI226" s="282"/>
      <c r="AJ226" s="282"/>
      <c r="AK226" s="282"/>
      <c r="AL226" s="282"/>
      <c r="AM226" s="282"/>
      <c r="AN226" s="282"/>
      <c r="AO226" s="282"/>
      <c r="AP226" s="282"/>
      <c r="AQ226" s="282"/>
      <c r="AR226" s="282"/>
      <c r="AS226" s="282"/>
      <c r="AT226" s="282"/>
      <c r="AU226" s="282"/>
      <c r="AV226" s="282"/>
      <c r="AW226" s="282"/>
      <c r="AX226" s="282"/>
      <c r="AY226" s="282"/>
      <c r="AZ226" s="282"/>
      <c r="BA226" s="282"/>
    </row>
    <row r="227" spans="1:53" outlineLevel="1" x14ac:dyDescent="0.35">
      <c r="A227" s="6" t="s">
        <v>757</v>
      </c>
      <c r="B227" s="6">
        <f>'Results - raw data ReCiPe (H)'!AC90*AC210*AC212</f>
        <v>2.8577459880686999E-5</v>
      </c>
      <c r="AB227" s="282"/>
      <c r="AC227" s="282"/>
      <c r="AD227" s="282"/>
      <c r="AE227" s="282"/>
      <c r="AF227" s="282"/>
      <c r="AG227" s="282"/>
      <c r="AH227" s="282"/>
      <c r="AI227" s="282"/>
      <c r="AJ227" s="282"/>
      <c r="AK227" s="282"/>
      <c r="AL227" s="282"/>
      <c r="AM227" s="282"/>
      <c r="AN227" s="282"/>
      <c r="AO227" s="282"/>
      <c r="AP227" s="282"/>
      <c r="AQ227" s="282"/>
      <c r="AR227" s="282"/>
      <c r="AS227" s="282"/>
      <c r="AT227" s="282"/>
      <c r="AU227" s="282"/>
      <c r="AV227" s="282"/>
      <c r="AW227" s="282"/>
      <c r="AX227" s="282"/>
      <c r="AY227" s="282"/>
      <c r="AZ227" s="282"/>
      <c r="BA227" s="282"/>
    </row>
    <row r="228" spans="1:53" outlineLevel="1" x14ac:dyDescent="0.35">
      <c r="A228" s="6" t="s">
        <v>22</v>
      </c>
      <c r="Z228" s="6">
        <f>'Results - raw data ReCiPe (H)'!BA91</f>
        <v>6.1463287504351536E-8</v>
      </c>
      <c r="AB228" s="282"/>
      <c r="AC228" s="282"/>
      <c r="AD228" s="282"/>
      <c r="AE228" s="282"/>
      <c r="AF228" s="282"/>
      <c r="AG228" s="282"/>
      <c r="AH228" s="282"/>
      <c r="AI228" s="282"/>
      <c r="AJ228" s="282"/>
      <c r="AK228" s="282"/>
      <c r="AL228" s="282"/>
      <c r="AM228" s="282"/>
      <c r="AN228" s="282"/>
      <c r="AO228" s="282"/>
      <c r="AP228" s="282"/>
      <c r="AQ228" s="282"/>
      <c r="AR228" s="282"/>
      <c r="AS228" s="282"/>
      <c r="AT228" s="282"/>
      <c r="AU228" s="282"/>
      <c r="AV228" s="282"/>
      <c r="AW228" s="282"/>
      <c r="AX228" s="282"/>
      <c r="AY228" s="282"/>
      <c r="AZ228" s="282"/>
      <c r="BA228" s="282"/>
    </row>
    <row r="229" spans="1:53" outlineLevel="1" x14ac:dyDescent="0.35">
      <c r="A229" s="6" t="s">
        <v>24</v>
      </c>
      <c r="Z229" s="6">
        <f>'Results - raw data ReCiPe (H)'!BA92</f>
        <v>2.9780930154979231E-8</v>
      </c>
      <c r="AB229" s="282"/>
      <c r="AC229" s="282"/>
      <c r="AD229" s="282"/>
      <c r="AE229" s="282"/>
      <c r="AF229" s="282"/>
      <c r="AG229" s="282"/>
      <c r="AH229" s="282"/>
      <c r="AI229" s="282"/>
      <c r="AJ229" s="282"/>
      <c r="AK229" s="282"/>
      <c r="AL229" s="282"/>
      <c r="AM229" s="282"/>
      <c r="AN229" s="282"/>
      <c r="AO229" s="282"/>
      <c r="AP229" s="282"/>
      <c r="AQ229" s="282"/>
      <c r="AR229" s="282"/>
      <c r="AS229" s="282"/>
      <c r="AT229" s="282"/>
      <c r="AU229" s="282"/>
      <c r="AV229" s="282"/>
      <c r="AW229" s="282"/>
      <c r="AX229" s="282"/>
      <c r="AY229" s="282"/>
      <c r="AZ229" s="282"/>
      <c r="BA229" s="282"/>
    </row>
    <row r="230" spans="1:53" outlineLevel="1" x14ac:dyDescent="0.35">
      <c r="A230" s="6" t="s">
        <v>25</v>
      </c>
      <c r="Z230" s="6">
        <f>'Results - raw data ReCiPe (H)'!BA93</f>
        <v>1.1656149191787559E-7</v>
      </c>
      <c r="AB230" s="282"/>
      <c r="AC230" s="282"/>
      <c r="AD230" s="282"/>
      <c r="AE230" s="282"/>
      <c r="AF230" s="282"/>
      <c r="AG230" s="282"/>
      <c r="AH230" s="282"/>
      <c r="AI230" s="282"/>
      <c r="AJ230" s="282"/>
      <c r="AK230" s="282"/>
      <c r="AL230" s="282"/>
      <c r="AM230" s="282"/>
      <c r="AN230" s="282"/>
      <c r="AO230" s="282"/>
      <c r="AP230" s="282"/>
      <c r="AQ230" s="282"/>
      <c r="AR230" s="282"/>
      <c r="AS230" s="282"/>
      <c r="AT230" s="282"/>
      <c r="AU230" s="282"/>
      <c r="AV230" s="282"/>
      <c r="AW230" s="282"/>
      <c r="AX230" s="282"/>
      <c r="AY230" s="282"/>
      <c r="AZ230" s="282"/>
      <c r="BA230" s="282"/>
    </row>
    <row r="231" spans="1:53" outlineLevel="1" x14ac:dyDescent="0.35">
      <c r="A231" s="6" t="s">
        <v>27</v>
      </c>
      <c r="Z231" s="6">
        <f>'Results - raw data ReCiPe (H)'!BA94</f>
        <v>4.3717870155312199E-8</v>
      </c>
      <c r="AB231" s="282"/>
      <c r="AC231" s="282"/>
      <c r="AD231" s="282"/>
      <c r="AE231" s="282"/>
      <c r="AF231" s="282"/>
      <c r="AG231" s="282"/>
      <c r="AH231" s="282"/>
      <c r="AI231" s="282"/>
      <c r="AJ231" s="282"/>
      <c r="AK231" s="282"/>
      <c r="AL231" s="282"/>
      <c r="AM231" s="282"/>
      <c r="AN231" s="282"/>
      <c r="AO231" s="282"/>
      <c r="AP231" s="282"/>
      <c r="AQ231" s="282"/>
      <c r="AR231" s="282"/>
      <c r="AS231" s="282"/>
      <c r="AT231" s="282"/>
      <c r="AU231" s="282"/>
      <c r="AV231" s="282"/>
      <c r="AW231" s="282"/>
      <c r="AX231" s="282"/>
      <c r="AY231" s="282"/>
      <c r="AZ231" s="282"/>
      <c r="BA231" s="282"/>
    </row>
    <row r="232" spans="1:53" outlineLevel="1" x14ac:dyDescent="0.35">
      <c r="A232" s="6" t="s">
        <v>30</v>
      </c>
      <c r="Z232" s="6">
        <f>'Results - raw data ReCiPe (H)'!BA95</f>
        <v>8.0994806426941983E-8</v>
      </c>
      <c r="AB232" s="282"/>
      <c r="AC232" s="282"/>
      <c r="AD232" s="282"/>
      <c r="AE232" s="282"/>
      <c r="AF232" s="282"/>
      <c r="AG232" s="282"/>
      <c r="AH232" s="282"/>
      <c r="AI232" s="282"/>
      <c r="AJ232" s="282"/>
      <c r="AK232" s="282"/>
      <c r="AL232" s="282"/>
      <c r="AM232" s="282"/>
      <c r="AN232" s="282"/>
      <c r="AO232" s="282"/>
      <c r="AP232" s="282"/>
      <c r="AQ232" s="282"/>
      <c r="AR232" s="282"/>
      <c r="AS232" s="282"/>
      <c r="AT232" s="282"/>
      <c r="AU232" s="282"/>
      <c r="AV232" s="282"/>
      <c r="AW232" s="282"/>
      <c r="AX232" s="282"/>
      <c r="AY232" s="282"/>
      <c r="AZ232" s="282"/>
      <c r="BA232" s="282"/>
    </row>
    <row r="233" spans="1:53" outlineLevel="1" x14ac:dyDescent="0.35">
      <c r="A233" s="6" t="s">
        <v>32</v>
      </c>
      <c r="Z233" s="6">
        <f>'Results - raw data ReCiPe (H)'!BA96</f>
        <v>6.377197675436085E-9</v>
      </c>
      <c r="AB233" s="282"/>
      <c r="AC233" s="282"/>
      <c r="AD233" s="282"/>
      <c r="AE233" s="282"/>
      <c r="AF233" s="282"/>
      <c r="AG233" s="282"/>
      <c r="AH233" s="282"/>
      <c r="AI233" s="282"/>
      <c r="AJ233" s="282"/>
      <c r="AK233" s="282"/>
      <c r="AL233" s="282"/>
      <c r="AM233" s="282"/>
      <c r="AN233" s="282"/>
      <c r="AO233" s="282"/>
      <c r="AP233" s="282"/>
      <c r="AQ233" s="282"/>
      <c r="AR233" s="282"/>
      <c r="AS233" s="282"/>
      <c r="AT233" s="282"/>
      <c r="AU233" s="282"/>
      <c r="AV233" s="282"/>
      <c r="AW233" s="282"/>
      <c r="AX233" s="282"/>
      <c r="AY233" s="282"/>
      <c r="AZ233" s="282"/>
      <c r="BA233" s="282"/>
    </row>
    <row r="234" spans="1:53" outlineLevel="1" x14ac:dyDescent="0.35">
      <c r="A234" s="6" t="s">
        <v>33</v>
      </c>
      <c r="Z234" s="6">
        <f>'Results - raw data ReCiPe (H)'!BA97</f>
        <v>2.0574872161815658E-8</v>
      </c>
      <c r="AB234" s="282"/>
      <c r="AC234" s="282"/>
      <c r="AD234" s="282"/>
      <c r="AE234" s="282"/>
      <c r="AF234" s="282"/>
      <c r="AG234" s="282"/>
      <c r="AH234" s="282"/>
      <c r="AI234" s="282"/>
      <c r="AJ234" s="282"/>
      <c r="AK234" s="282"/>
      <c r="AL234" s="282"/>
      <c r="AM234" s="282"/>
      <c r="AN234" s="282"/>
      <c r="AO234" s="282"/>
      <c r="AP234" s="282"/>
      <c r="AQ234" s="282"/>
      <c r="AR234" s="282"/>
      <c r="AS234" s="282"/>
      <c r="AT234" s="282"/>
      <c r="AU234" s="282"/>
      <c r="AV234" s="282"/>
      <c r="AW234" s="282"/>
      <c r="AX234" s="282"/>
      <c r="AY234" s="282"/>
      <c r="AZ234" s="282"/>
      <c r="BA234" s="282"/>
    </row>
    <row r="235" spans="1:53" outlineLevel="1" x14ac:dyDescent="0.35">
      <c r="A235" s="6" t="s">
        <v>35</v>
      </c>
      <c r="Z235" s="6">
        <f>'Results - raw data ReCiPe (H)'!BA98</f>
        <v>4.114974432363133E-8</v>
      </c>
      <c r="AB235" s="282"/>
      <c r="AC235" s="282"/>
      <c r="AD235" s="282"/>
      <c r="AE235" s="282"/>
      <c r="AF235" s="282"/>
      <c r="AG235" s="282"/>
      <c r="AH235" s="282"/>
      <c r="AI235" s="282"/>
      <c r="AJ235" s="282"/>
      <c r="AK235" s="282"/>
      <c r="AL235" s="282"/>
      <c r="AM235" s="282"/>
      <c r="AN235" s="282"/>
      <c r="AO235" s="282"/>
      <c r="AP235" s="282"/>
      <c r="AQ235" s="282"/>
      <c r="AR235" s="282"/>
      <c r="AS235" s="282"/>
      <c r="AT235" s="282"/>
      <c r="AU235" s="282"/>
      <c r="AV235" s="282"/>
      <c r="AW235" s="282"/>
      <c r="AX235" s="282"/>
      <c r="AY235" s="282"/>
      <c r="AZ235" s="282"/>
      <c r="BA235" s="282"/>
    </row>
    <row r="236" spans="1:53" outlineLevel="1" x14ac:dyDescent="0.35">
      <c r="A236" s="6" t="s">
        <v>37</v>
      </c>
      <c r="Z236" s="6">
        <f>'Results - raw data ReCiPe (H)'!BA99</f>
        <v>1.0863148431932961E-7</v>
      </c>
      <c r="AB236" s="282"/>
      <c r="AC236" s="282"/>
      <c r="AD236" s="282"/>
      <c r="AE236" s="282"/>
      <c r="AF236" s="282"/>
      <c r="AG236" s="282"/>
      <c r="AH236" s="282"/>
      <c r="AI236" s="282"/>
      <c r="AJ236" s="282"/>
      <c r="AK236" s="282"/>
      <c r="AL236" s="282"/>
      <c r="AM236" s="282"/>
      <c r="AN236" s="282"/>
      <c r="AO236" s="282"/>
      <c r="AP236" s="282"/>
      <c r="AQ236" s="282"/>
      <c r="AR236" s="282"/>
      <c r="AS236" s="282"/>
      <c r="AT236" s="282"/>
      <c r="AU236" s="282"/>
      <c r="AV236" s="282"/>
      <c r="AW236" s="282"/>
      <c r="AX236" s="282"/>
      <c r="AY236" s="282"/>
      <c r="AZ236" s="282"/>
      <c r="BA236" s="282"/>
    </row>
    <row r="237" spans="1:53" outlineLevel="1" x14ac:dyDescent="0.35">
      <c r="A237" s="6" t="s">
        <v>40</v>
      </c>
      <c r="Z237" s="6">
        <f>'Results - raw data ReCiPe (H)'!BA100</f>
        <v>9.3099600369301554E-7</v>
      </c>
    </row>
    <row r="238" spans="1:53" outlineLevel="1" x14ac:dyDescent="0.35">
      <c r="A238" s="6" t="s">
        <v>42</v>
      </c>
      <c r="Z238" s="6">
        <f>'Results - raw data ReCiPe (H)'!BA101</f>
        <v>1.5771509757995021E-7</v>
      </c>
    </row>
    <row r="239" spans="1:53" outlineLevel="1" x14ac:dyDescent="0.35">
      <c r="A239" s="6" t="s">
        <v>115</v>
      </c>
      <c r="Z239" s="6">
        <f>'Results - raw data ReCiPe (H)'!BA102</f>
        <v>9.0001449736656561E-7</v>
      </c>
    </row>
    <row r="240" spans="1:53" outlineLevel="1" x14ac:dyDescent="0.35">
      <c r="A240" s="6" t="s">
        <v>45</v>
      </c>
      <c r="Z240" s="6">
        <f>'Results - raw data ReCiPe (H)'!BA103*AC210*AC212</f>
        <v>8.9291412421487725E-8</v>
      </c>
    </row>
    <row r="241" spans="1:26" outlineLevel="1" x14ac:dyDescent="0.35">
      <c r="A241" s="6" t="s">
        <v>116</v>
      </c>
      <c r="B241" s="6">
        <f>'Results - raw data ReCiPe (H)'!AC104</f>
        <v>3.715731652454359E-6</v>
      </c>
      <c r="C241" s="6">
        <f>'Results - raw data ReCiPe (H)'!AD104</f>
        <v>3.653971786261327E-6</v>
      </c>
      <c r="D241" s="6">
        <f>'Results - raw data ReCiPe (H)'!AE104</f>
        <v>3.590700222859685E-6</v>
      </c>
      <c r="E241" s="6">
        <f>'Results - raw data ReCiPe (H)'!AF104</f>
        <v>3.5013590415283682E-6</v>
      </c>
      <c r="F241" s="6">
        <f>'Results - raw data ReCiPe (H)'!AG104</f>
        <v>3.4350987731988199E-6</v>
      </c>
      <c r="G241" s="6">
        <f>'Results - raw data ReCiPe (H)'!AH104</f>
        <v>3.3672208371307779E-6</v>
      </c>
      <c r="H241" s="6">
        <f>'Results - raw data ReCiPe (H)'!AI104</f>
        <v>3.359625974222981E-6</v>
      </c>
      <c r="I241" s="6">
        <f>'Results - raw data ReCiPe (H)'!AJ104</f>
        <v>3.3517806086884919E-6</v>
      </c>
      <c r="J241" s="6">
        <f>'Results - raw data ReCiPe (H)'!AK104</f>
        <v>3.330478938302756E-6</v>
      </c>
      <c r="K241" s="6">
        <f>'Results - raw data ReCiPe (H)'!AL104</f>
        <v>3.3222042704526711E-6</v>
      </c>
      <c r="L241" s="6">
        <f>'Results - raw data ReCiPe (H)'!AM104</f>
        <v>3.3137581199034298E-6</v>
      </c>
      <c r="M241" s="6">
        <f>'Results - raw data ReCiPe (H)'!AN104</f>
        <v>3.3117835992973371E-6</v>
      </c>
      <c r="N241" s="6">
        <f>'Results - raw data ReCiPe (H)'!AO104</f>
        <v>3.3098090978734569E-6</v>
      </c>
      <c r="O241" s="6">
        <f>'Results - raw data ReCiPe (H)'!AP104</f>
        <v>3.3027531832062708E-6</v>
      </c>
      <c r="P241" s="6">
        <f>'Results - raw data ReCiPe (H)'!AQ104</f>
        <v>3.300744338648619E-6</v>
      </c>
      <c r="Q241" s="6">
        <f>'Results - raw data ReCiPe (H)'!AR104</f>
        <v>3.2987119954850761E-6</v>
      </c>
      <c r="R241" s="6">
        <f>'Results - raw data ReCiPe (H)'!AS104</f>
        <v>3.2935302766583081E-6</v>
      </c>
      <c r="S241" s="6">
        <f>'Results - raw data ReCiPe (H)'!AT104</f>
        <v>3.288392539742852E-6</v>
      </c>
      <c r="T241" s="6">
        <f>'Results - raw data ReCiPe (H)'!AU104</f>
        <v>3.278896138541998E-6</v>
      </c>
      <c r="U241" s="6">
        <f>'Results - raw data ReCiPe (H)'!AV104</f>
        <v>3.273848587933931E-6</v>
      </c>
      <c r="V241" s="6">
        <f>'Results - raw data ReCiPe (H)'!AW104</f>
        <v>3.268749516231205E-6</v>
      </c>
      <c r="W241" s="6">
        <f>'Results - raw data ReCiPe (H)'!AX104</f>
        <v>3.2828870256197742E-6</v>
      </c>
      <c r="X241" s="6">
        <f>'Results - raw data ReCiPe (H)'!AY104</f>
        <v>3.2812446458292191E-6</v>
      </c>
      <c r="Y241" s="6">
        <f>'Results - raw data ReCiPe (H)'!AZ104</f>
        <v>3.2795974630278679E-6</v>
      </c>
      <c r="Z241" s="6">
        <f>'Results - raw data ReCiPe (H)'!BA104</f>
        <v>3.2779455111866361E-6</v>
      </c>
    </row>
    <row r="242" spans="1:26" outlineLevel="1" x14ac:dyDescent="0.35">
      <c r="A242" s="6" t="s">
        <v>758</v>
      </c>
      <c r="B242" s="6">
        <f>'Results - raw data ReCiPe (H)'!AC179*$AC$211</f>
        <v>3.2136306053053461E-8</v>
      </c>
      <c r="C242" s="6">
        <f>'Results - raw data ReCiPe (H)'!AD179*$AC$211</f>
        <v>3.0758180315675132E-8</v>
      </c>
      <c r="D242" s="6">
        <f>'Results - raw data ReCiPe (H)'!AE179*$AC$211</f>
        <v>2.9384345470531899E-8</v>
      </c>
      <c r="E242" s="6">
        <f>'Results - raw data ReCiPe (H)'!AF179*$AC$211</f>
        <v>2.7980451208917948E-8</v>
      </c>
      <c r="F242" s="6">
        <f>'Results - raw data ReCiPe (H)'!AG179*$AC$211</f>
        <v>2.6613306088206282E-8</v>
      </c>
      <c r="G242" s="6">
        <f>'Results - raw data ReCiPe (H)'!AH179*$AC$211</f>
        <v>2.5250448176527686E-8</v>
      </c>
      <c r="H242" s="6">
        <f>'Results - raw data ReCiPe (H)'!AI179*$AC$211</f>
        <v>2.513841584857147E-8</v>
      </c>
      <c r="I242" s="6">
        <f>'Results - raw data ReCiPe (H)'!AJ179*$AC$211</f>
        <v>2.5024930926716515E-8</v>
      </c>
      <c r="J242" s="6">
        <f>'Results - raw data ReCiPe (H)'!AK179*$AC$211</f>
        <v>2.4880239070882885E-8</v>
      </c>
      <c r="K242" s="6">
        <f>'Results - raw data ReCiPe (H)'!AL179*$AC$211</f>
        <v>2.4762422464027812E-8</v>
      </c>
      <c r="L242" s="6">
        <f>'Results - raw data ReCiPe (H)'!AM179*$AC$211</f>
        <v>2.4643106066598553E-8</v>
      </c>
      <c r="M242" s="6">
        <f>'Results - raw data ReCiPe (H)'!AN179*$AC$211</f>
        <v>2.4563179007969224E-8</v>
      </c>
      <c r="N242" s="6">
        <f>'Results - raw data ReCiPe (H)'!AO179*$AC$211</f>
        <v>2.4482963311311898E-8</v>
      </c>
      <c r="O242" s="6">
        <f>'Results - raw data ReCiPe (H)'!AP179*$AC$211</f>
        <v>2.4393501370517513E-8</v>
      </c>
      <c r="P242" s="6">
        <f>'Results - raw data ReCiPe (H)'!AQ179*$AC$211</f>
        <v>2.4310787092476496E-8</v>
      </c>
      <c r="Q242" s="6">
        <f>'Results - raw data ReCiPe (H)'!AR179*$AC$211</f>
        <v>2.4227129987752235E-8</v>
      </c>
      <c r="R242" s="6">
        <f>'Results - raw data ReCiPe (H)'!AS179*$AC$211</f>
        <v>2.3912989590181532E-8</v>
      </c>
      <c r="S242" s="6">
        <f>'Results - raw data ReCiPe (H)'!AT179*$AC$211</f>
        <v>2.3599781125175531E-8</v>
      </c>
      <c r="T242" s="6">
        <f>'Results - raw data ReCiPe (H)'!AU179*$AC$211</f>
        <v>2.3280432970515226E-8</v>
      </c>
      <c r="U242" s="6">
        <f>'Results - raw data ReCiPe (H)'!AV179*$AC$211</f>
        <v>2.2968629983959128E-8</v>
      </c>
      <c r="V242" s="6">
        <f>'Results - raw data ReCiPe (H)'!AW179*$AC$211</f>
        <v>2.265653759238223E-8</v>
      </c>
      <c r="W242" s="6">
        <f>'Results - raw data ReCiPe (H)'!AX179*$AC$211</f>
        <v>2.2637237278445487E-8</v>
      </c>
      <c r="X242" s="6">
        <f>'Results - raw data ReCiPe (H)'!AY179*$AC$211</f>
        <v>2.2430418445590755E-8</v>
      </c>
      <c r="Y242" s="6">
        <f>'Results - raw data ReCiPe (H)'!AZ179*$AC$211</f>
        <v>2.2223902673526969E-8</v>
      </c>
      <c r="Z242" s="6">
        <f>'Results - raw data ReCiPe (H)'!BA179*$AC$211</f>
        <v>2.2017649042573636E-8</v>
      </c>
    </row>
    <row r="243" spans="1:26" outlineLevel="1" x14ac:dyDescent="0.35">
      <c r="A243" s="6" t="s">
        <v>759</v>
      </c>
      <c r="B243" s="6">
        <f>'Results - raw data ReCiPe (H)'!AC106</f>
        <v>2.0736000294618859E-7</v>
      </c>
      <c r="C243" s="6">
        <f>'Results - raw data ReCiPe (H)'!AD106</f>
        <v>2.0736000294618859E-7</v>
      </c>
      <c r="D243" s="6">
        <f>'Results - raw data ReCiPe (H)'!AE106</f>
        <v>2.0736000294618859E-7</v>
      </c>
      <c r="E243" s="6">
        <f>'Results - raw data ReCiPe (H)'!AF106</f>
        <v>2.0736000294618859E-7</v>
      </c>
      <c r="F243" s="6">
        <f>'Results - raw data ReCiPe (H)'!AG106</f>
        <v>2.0736000294618859E-7</v>
      </c>
      <c r="G243" s="6">
        <f>'Results - raw data ReCiPe (H)'!AH106</f>
        <v>2.0736000294618859E-7</v>
      </c>
      <c r="H243" s="6">
        <f>'Results - raw data ReCiPe (H)'!AI106</f>
        <v>2.0736000294618859E-7</v>
      </c>
      <c r="I243" s="6">
        <f>'Results - raw data ReCiPe (H)'!AJ106</f>
        <v>2.0736000294618859E-7</v>
      </c>
      <c r="J243" s="6">
        <f>'Results - raw data ReCiPe (H)'!AK106</f>
        <v>2.0736000294618859E-7</v>
      </c>
      <c r="K243" s="6">
        <f>'Results - raw data ReCiPe (H)'!AL106</f>
        <v>2.0736000294618859E-7</v>
      </c>
      <c r="L243" s="6">
        <f>'Results - raw data ReCiPe (H)'!AM106</f>
        <v>2.0736000294618859E-7</v>
      </c>
      <c r="M243" s="6">
        <f>'Results - raw data ReCiPe (H)'!AN106</f>
        <v>2.0736000294618859E-7</v>
      </c>
      <c r="N243" s="6">
        <f>'Results - raw data ReCiPe (H)'!AO106</f>
        <v>2.0736000294618859E-7</v>
      </c>
      <c r="O243" s="6">
        <f>'Results - raw data ReCiPe (H)'!AP106</f>
        <v>2.0736000294618859E-7</v>
      </c>
      <c r="P243" s="6">
        <f>'Results - raw data ReCiPe (H)'!AQ106</f>
        <v>2.0736000294618859E-7</v>
      </c>
      <c r="Q243" s="6">
        <f>'Results - raw data ReCiPe (H)'!AR106</f>
        <v>2.0736000294618859E-7</v>
      </c>
      <c r="R243" s="6">
        <f>'Results - raw data ReCiPe (H)'!AS106</f>
        <v>2.0736000294618859E-7</v>
      </c>
      <c r="S243" s="6">
        <f>'Results - raw data ReCiPe (H)'!AT106</f>
        <v>2.0736000294618859E-7</v>
      </c>
      <c r="T243" s="6">
        <f>'Results - raw data ReCiPe (H)'!AU106</f>
        <v>2.0736000294618859E-7</v>
      </c>
      <c r="U243" s="6">
        <f>'Results - raw data ReCiPe (H)'!AV106</f>
        <v>2.0736000294618859E-7</v>
      </c>
      <c r="V243" s="6">
        <f>'Results - raw data ReCiPe (H)'!AW106</f>
        <v>2.0736000294618859E-7</v>
      </c>
      <c r="W243" s="6">
        <f>'Results - raw data ReCiPe (H)'!AX106</f>
        <v>2.0736000294618859E-7</v>
      </c>
      <c r="X243" s="6">
        <f>'Results - raw data ReCiPe (H)'!AY106</f>
        <v>2.0736000294618859E-7</v>
      </c>
      <c r="Y243" s="6">
        <f>'Results - raw data ReCiPe (H)'!AZ106</f>
        <v>2.0736000294618859E-7</v>
      </c>
      <c r="Z243" s="6">
        <f>'Results - raw data ReCiPe (H)'!BA106</f>
        <v>2.0736000294618859E-7</v>
      </c>
    </row>
    <row r="244" spans="1:26" outlineLevel="1" x14ac:dyDescent="0.35">
      <c r="A244" s="6" t="s">
        <v>760</v>
      </c>
      <c r="B244" s="6">
        <f>150000*($AC$211*'Results - raw data ReCiPe (H)'!AC128+(1-$AC$211)*'Results - raw data ReCiPe (H)'!AC129)</f>
        <v>5.2277900838212776E-5</v>
      </c>
      <c r="C244" s="6">
        <f>150000*($AC$211*'Results - raw data ReCiPe (H)'!AD128+(1-$AC$211)*'Results - raw data ReCiPe (H)'!AD129)</f>
        <v>4.6376615860244256E-5</v>
      </c>
      <c r="D244" s="6">
        <f>150000*($AC$211*'Results - raw data ReCiPe (H)'!AE128+(1-$AC$211)*'Results - raw data ReCiPe (H)'!AE129)</f>
        <v>4.0455783240065055E-5</v>
      </c>
      <c r="E244" s="6">
        <f>150000*($AC$211*'Results - raw data ReCiPe (H)'!AF128+(1-$AC$211)*'Results - raw data ReCiPe (H)'!AF129)</f>
        <v>3.4361649495983002E-5</v>
      </c>
      <c r="F244" s="6">
        <f>150000*($AC$211*'Results - raw data ReCiPe (H)'!AG128+(1-$AC$211)*'Results - raw data ReCiPe (H)'!AG129)</f>
        <v>2.8391637409675456E-5</v>
      </c>
      <c r="G244" s="6">
        <f>150000*($AC$211*'Results - raw data ReCiPe (H)'!AH128+(1-$AC$211)*'Results - raw data ReCiPe (H)'!AH129)</f>
        <v>2.2402144781364025E-5</v>
      </c>
      <c r="H244" s="6">
        <f>150000*($AC$211*'Results - raw data ReCiPe (H)'!AI128+(1-$AC$211)*'Results - raw data ReCiPe (H)'!AI129)</f>
        <v>2.1915377055546402E-5</v>
      </c>
      <c r="I244" s="6">
        <f>150000*($AC$211*'Results - raw data ReCiPe (H)'!AJ128+(1-$AC$211)*'Results - raw data ReCiPe (H)'!AJ129)</f>
        <v>2.1420700526291778E-5</v>
      </c>
      <c r="J244" s="6">
        <f>150000*($AC$211*'Results - raw data ReCiPe (H)'!AK128+(1-$AC$211)*'Results - raw data ReCiPe (H)'!AK129)</f>
        <v>2.0785404699365611E-5</v>
      </c>
      <c r="K244" s="6">
        <f>150000*($AC$211*'Results - raw data ReCiPe (H)'!AL128+(1-$AC$211)*'Results - raw data ReCiPe (H)'!AL129)</f>
        <v>2.0267982196971454E-5</v>
      </c>
      <c r="L244" s="6">
        <f>150000*($AC$211*'Results - raw data ReCiPe (H)'!AM128+(1-$AC$211)*'Results - raw data ReCiPe (H)'!AM129)</f>
        <v>1.9742341849998543E-5</v>
      </c>
      <c r="M244" s="6">
        <f>150000*($AC$211*'Results - raw data ReCiPe (H)'!AN128+(1-$AC$211)*'Results - raw data ReCiPe (H)'!AN129)</f>
        <v>1.9394261347948577E-5</v>
      </c>
      <c r="N244" s="6">
        <f>150000*($AC$211*'Results - raw data ReCiPe (H)'!AO128+(1-$AC$211)*'Results - raw data ReCiPe (H)'!AO129)</f>
        <v>1.9045292741295954E-5</v>
      </c>
      <c r="O244" s="6">
        <f>150000*($AC$211*'Results - raw data ReCiPe (H)'!AP128+(1-$AC$211)*'Results - raw data ReCiPe (H)'!AP129)</f>
        <v>1.865530335470664E-5</v>
      </c>
      <c r="P244" s="6">
        <f>150000*($AC$211*'Results - raw data ReCiPe (H)'!AQ128+(1-$AC$211)*'Results - raw data ReCiPe (H)'!AQ129)</f>
        <v>1.8295544185283251E-5</v>
      </c>
      <c r="Q244" s="6">
        <f>150000*($AC$211*'Results - raw data ReCiPe (H)'!AR128+(1-$AC$211)*'Results - raw data ReCiPe (H)'!AR129)</f>
        <v>1.7931615884956947E-5</v>
      </c>
      <c r="R244" s="6">
        <f>150000*($AC$211*'Results - raw data ReCiPe (H)'!AS128+(1-$AC$211)*'Results - raw data ReCiPe (H)'!AS129)</f>
        <v>1.6558818769288388E-5</v>
      </c>
      <c r="S244" s="6">
        <f>150000*($AC$211*'Results - raw data ReCiPe (H)'!AT128+(1-$AC$211)*'Results - raw data ReCiPe (H)'!AT129)</f>
        <v>1.5202380492151432E-5</v>
      </c>
      <c r="T244" s="6">
        <f>150000*($AC$211*'Results - raw data ReCiPe (H)'!AU128+(1-$AC$211)*'Results - raw data ReCiPe (H)'!AU129)</f>
        <v>1.3830634591542304E-5</v>
      </c>
      <c r="U244" s="6">
        <f>150000*($AC$211*'Results - raw data ReCiPe (H)'!AV128+(1-$AC$211)*'Results - raw data ReCiPe (H)'!AV129)</f>
        <v>1.2504128089177659E-5</v>
      </c>
      <c r="V244" s="6">
        <f>150000*($AC$211*'Results - raw data ReCiPe (H)'!AW128+(1-$AC$211)*'Results - raw data ReCiPe (H)'!AW129)</f>
        <v>1.1185307198853162E-5</v>
      </c>
      <c r="W244" s="6">
        <f>150000*($AC$211*'Results - raw data ReCiPe (H)'!AX128+(1-$AC$211)*'Results - raw data ReCiPe (H)'!AX129)</f>
        <v>1.1010060731007948E-5</v>
      </c>
      <c r="X244" s="6">
        <f>150000*($AC$211*'Results - raw data ReCiPe (H)'!AY128+(1-$AC$211)*'Results - raw data ReCiPe (H)'!AY129)</f>
        <v>1.0089652766044166E-5</v>
      </c>
      <c r="Y244" s="6">
        <f>150000*($AC$211*'Results - raw data ReCiPe (H)'!AZ128+(1-$AC$211)*'Results - raw data ReCiPe (H)'!AZ129)</f>
        <v>9.1678570174077686E-6</v>
      </c>
      <c r="Z244" s="6">
        <f>150000*($AC$211*'Results - raw data ReCiPe (H)'!BA128+(1-$AC$211)*'Results - raw data ReCiPe (H)'!BA129)</f>
        <v>8.2445178988901036E-6</v>
      </c>
    </row>
    <row r="245" spans="1:26" outlineLevel="1" x14ac:dyDescent="0.35">
      <c r="A245" s="23" t="s">
        <v>125</v>
      </c>
      <c r="B245" s="17">
        <f>SUM(B214:B244)</f>
        <v>2.1828883654406624E-4</v>
      </c>
      <c r="C245" s="17">
        <f t="shared" ref="C245:Z245" si="29">SUM(C214:C244)</f>
        <v>5.026870582976745E-5</v>
      </c>
      <c r="D245" s="17">
        <f t="shared" si="29"/>
        <v>4.4283227811341463E-5</v>
      </c>
      <c r="E245" s="17">
        <f t="shared" si="29"/>
        <v>3.8098348991666478E-5</v>
      </c>
      <c r="F245" s="17">
        <f t="shared" si="29"/>
        <v>3.2060709491908673E-5</v>
      </c>
      <c r="G245" s="17">
        <f t="shared" si="29"/>
        <v>2.600197606961752E-5</v>
      </c>
      <c r="H245" s="17">
        <f t="shared" si="29"/>
        <v>2.5507501448564141E-5</v>
      </c>
      <c r="I245" s="17">
        <f t="shared" si="29"/>
        <v>2.5004866068853176E-5</v>
      </c>
      <c r="J245" s="17">
        <f t="shared" si="29"/>
        <v>2.4348123879685438E-5</v>
      </c>
      <c r="K245" s="17">
        <f t="shared" si="29"/>
        <v>2.3822308892834342E-5</v>
      </c>
      <c r="L245" s="17">
        <f t="shared" si="29"/>
        <v>2.3288103078914759E-5</v>
      </c>
      <c r="M245" s="17">
        <f t="shared" si="29"/>
        <v>2.2937968129200072E-5</v>
      </c>
      <c r="N245" s="17">
        <f t="shared" si="29"/>
        <v>2.2586944805426912E-5</v>
      </c>
      <c r="O245" s="17">
        <f t="shared" si="29"/>
        <v>2.2189810042229617E-5</v>
      </c>
      <c r="P245" s="17">
        <f t="shared" si="29"/>
        <v>2.1827959313970536E-5</v>
      </c>
      <c r="Q245" s="17">
        <f t="shared" si="29"/>
        <v>2.1461915013375964E-5</v>
      </c>
      <c r="R245" s="17">
        <f t="shared" si="29"/>
        <v>2.0083622038483067E-5</v>
      </c>
      <c r="S245" s="17">
        <f t="shared" si="29"/>
        <v>1.8721732815965647E-5</v>
      </c>
      <c r="T245" s="17">
        <f t="shared" si="29"/>
        <v>1.7340171166001007E-5</v>
      </c>
      <c r="U245" s="17">
        <f t="shared" si="29"/>
        <v>1.6008305310041737E-5</v>
      </c>
      <c r="V245" s="17">
        <f t="shared" si="29"/>
        <v>1.4684073255622937E-5</v>
      </c>
      <c r="W245" s="17">
        <f t="shared" si="29"/>
        <v>1.4522944996852357E-5</v>
      </c>
      <c r="X245" s="17">
        <f t="shared" si="29"/>
        <v>1.3600687833265165E-5</v>
      </c>
      <c r="Y245" s="17">
        <f t="shared" si="29"/>
        <v>1.2677038386055352E-5</v>
      </c>
      <c r="Z245" s="17">
        <f t="shared" si="29"/>
        <v>1.4339109757766194E-5</v>
      </c>
    </row>
    <row r="246" spans="1:26" s="26" customFormat="1" outlineLevel="1" x14ac:dyDescent="0.35">
      <c r="A246" s="233"/>
    </row>
    <row r="247" spans="1:26" s="221" customFormat="1" ht="21" x14ac:dyDescent="0.5">
      <c r="A247" s="229" t="s">
        <v>851</v>
      </c>
    </row>
    <row r="248" spans="1:26" s="18" customFormat="1" ht="21" x14ac:dyDescent="0.5">
      <c r="A248" s="18" t="s">
        <v>72</v>
      </c>
    </row>
    <row r="249" spans="1:26" s="20" customFormat="1" outlineLevel="1" x14ac:dyDescent="0.35">
      <c r="A249" s="19" t="s">
        <v>788</v>
      </c>
    </row>
    <row r="250" spans="1:26" s="20" customFormat="1" outlineLevel="1" x14ac:dyDescent="0.35">
      <c r="A250" s="273" t="s">
        <v>775</v>
      </c>
      <c r="B250" s="20">
        <v>1</v>
      </c>
      <c r="C250" s="274" t="s">
        <v>787</v>
      </c>
    </row>
    <row r="251" spans="1:26" s="20" customFormat="1" outlineLevel="1" x14ac:dyDescent="0.35">
      <c r="A251" s="273" t="s">
        <v>781</v>
      </c>
      <c r="B251" s="20">
        <v>100000</v>
      </c>
      <c r="C251" s="20" t="s">
        <v>782</v>
      </c>
      <c r="E251" s="274"/>
    </row>
    <row r="252" spans="1:26" s="20" customFormat="1" outlineLevel="1" x14ac:dyDescent="0.35">
      <c r="A252" s="273" t="s">
        <v>783</v>
      </c>
      <c r="B252" s="20">
        <v>1500</v>
      </c>
      <c r="C252" s="20" t="s">
        <v>592</v>
      </c>
    </row>
    <row r="253" spans="1:26" s="20" customFormat="1" outlineLevel="1" x14ac:dyDescent="0.35">
      <c r="A253" s="273" t="s">
        <v>784</v>
      </c>
      <c r="B253" s="20">
        <v>8760</v>
      </c>
      <c r="C253" s="20" t="s">
        <v>785</v>
      </c>
    </row>
    <row r="254" spans="1:26" s="20" customFormat="1" outlineLevel="1" x14ac:dyDescent="0.35">
      <c r="A254" s="273"/>
    </row>
    <row r="255" spans="1:26" s="20" customFormat="1" outlineLevel="1" x14ac:dyDescent="0.35">
      <c r="A255" s="275" t="s">
        <v>786</v>
      </c>
      <c r="B255" s="275">
        <f>(B251*B252)/(B253*B250)</f>
        <v>17123.287671232876</v>
      </c>
      <c r="C255" s="275" t="s">
        <v>749</v>
      </c>
    </row>
    <row r="256" spans="1:26" s="20" customFormat="1" outlineLevel="1" x14ac:dyDescent="0.35">
      <c r="A256" s="19"/>
    </row>
    <row r="257" spans="1:31" s="20" customFormat="1" outlineLevel="1" x14ac:dyDescent="0.35">
      <c r="A257" s="19" t="s">
        <v>793</v>
      </c>
    </row>
    <row r="258" spans="1:31" s="20" customFormat="1" outlineLevel="1" x14ac:dyDescent="0.35">
      <c r="A258" s="273" t="s">
        <v>789</v>
      </c>
      <c r="B258" s="20">
        <f>SUM('Results - raw data ReCiPe (H)'!AC136:AC137)+'Results - raw data ReCiPe (H)'!AC140+SUM('Results - raw data ReCiPe (H)'!AC138:AC139)*AC267</f>
        <v>8.2721334200090866E-6</v>
      </c>
      <c r="C258" s="20" t="s">
        <v>878</v>
      </c>
    </row>
    <row r="259" spans="1:31" s="20" customFormat="1" outlineLevel="1" x14ac:dyDescent="0.35">
      <c r="A259" s="20" t="s">
        <v>792</v>
      </c>
      <c r="B259" s="20">
        <f>B251*AC265</f>
        <v>50000</v>
      </c>
      <c r="C259" s="274" t="s">
        <v>795</v>
      </c>
    </row>
    <row r="260" spans="1:31" s="20" customFormat="1" outlineLevel="1" x14ac:dyDescent="0.35">
      <c r="A260" s="20" t="s">
        <v>791</v>
      </c>
      <c r="B260" s="20">
        <f>(B258*AC267*B255)/(B259*AC266)*(AC266/AC268)</f>
        <v>8.4987672123381026E-7</v>
      </c>
      <c r="C260" s="20" t="s">
        <v>879</v>
      </c>
      <c r="E260" s="274" t="s">
        <v>796</v>
      </c>
    </row>
    <row r="261" spans="1:31" s="20" customFormat="1" outlineLevel="1" x14ac:dyDescent="0.35">
      <c r="A261" s="19"/>
    </row>
    <row r="262" spans="1:31" s="16" customFormat="1" outlineLevel="1" x14ac:dyDescent="0.35">
      <c r="A262" s="21"/>
      <c r="AB262" s="15" t="s">
        <v>143</v>
      </c>
      <c r="AC262" s="16">
        <f>0.0000000028+0.0000000000000765</f>
        <v>2.8000764999999998E-9</v>
      </c>
      <c r="AD262" s="16" t="s">
        <v>142</v>
      </c>
      <c r="AE262" s="15" t="s">
        <v>714</v>
      </c>
    </row>
    <row r="263" spans="1:31" s="16" customFormat="1" outlineLevel="1" x14ac:dyDescent="0.35">
      <c r="A263" s="22" t="s">
        <v>871</v>
      </c>
      <c r="AC263" s="16">
        <f>AC262*1000</f>
        <v>2.8000765E-6</v>
      </c>
      <c r="AD263" s="16" t="s">
        <v>145</v>
      </c>
    </row>
    <row r="264" spans="1:31" s="16" customFormat="1" outlineLevel="1" x14ac:dyDescent="0.35">
      <c r="A264" s="22"/>
      <c r="AB264" s="16" t="s">
        <v>127</v>
      </c>
      <c r="AC264" s="276">
        <f>100*AC265</f>
        <v>50</v>
      </c>
      <c r="AD264" s="16" t="s">
        <v>128</v>
      </c>
    </row>
    <row r="265" spans="1:31" s="16" customFormat="1" outlineLevel="1" x14ac:dyDescent="0.35">
      <c r="A265" s="230"/>
      <c r="AB265" s="16" t="s">
        <v>776</v>
      </c>
      <c r="AC265" s="276">
        <v>0.5</v>
      </c>
    </row>
    <row r="266" spans="1:31" s="16" customFormat="1" outlineLevel="1" x14ac:dyDescent="0.35">
      <c r="A266" s="230"/>
      <c r="AB266" s="16" t="s">
        <v>129</v>
      </c>
      <c r="AC266" s="276">
        <v>25</v>
      </c>
      <c r="AD266" s="16" t="s">
        <v>130</v>
      </c>
    </row>
    <row r="267" spans="1:31" s="16" customFormat="1" outlineLevel="1" x14ac:dyDescent="0.35">
      <c r="A267" s="230"/>
      <c r="AB267" s="16" t="s">
        <v>777</v>
      </c>
      <c r="AC267" s="276">
        <v>6</v>
      </c>
      <c r="AD267" s="16" t="s">
        <v>779</v>
      </c>
    </row>
    <row r="268" spans="1:31" s="16" customFormat="1" outlineLevel="1" x14ac:dyDescent="0.35">
      <c r="A268" s="22"/>
      <c r="AB268" s="16" t="s">
        <v>778</v>
      </c>
      <c r="AC268" s="276">
        <v>20</v>
      </c>
      <c r="AD268" s="16" t="s">
        <v>130</v>
      </c>
    </row>
    <row r="269" spans="1:31" s="16" customFormat="1" outlineLevel="1" x14ac:dyDescent="0.35">
      <c r="A269" s="22"/>
      <c r="AB269" s="16" t="s">
        <v>780</v>
      </c>
      <c r="AC269" s="276">
        <f>B255</f>
        <v>17123.287671232876</v>
      </c>
      <c r="AD269" s="16" t="s">
        <v>749</v>
      </c>
    </row>
    <row r="270" spans="1:31" s="16" customFormat="1" outlineLevel="1" x14ac:dyDescent="0.35">
      <c r="A270" s="22"/>
      <c r="AB270" s="16" t="s">
        <v>820</v>
      </c>
      <c r="AC270" s="16">
        <v>0.5</v>
      </c>
    </row>
    <row r="271" spans="1:31" s="16" customFormat="1" outlineLevel="1" x14ac:dyDescent="0.35">
      <c r="A271" s="22"/>
      <c r="AB271" s="16" t="s">
        <v>798</v>
      </c>
      <c r="AC271" s="16">
        <v>0.25</v>
      </c>
    </row>
    <row r="272" spans="1:31" s="16" customFormat="1" outlineLevel="1" x14ac:dyDescent="0.35">
      <c r="A272" s="22"/>
      <c r="AB272" s="16" t="s">
        <v>799</v>
      </c>
      <c r="AC272" s="16">
        <v>0.9</v>
      </c>
    </row>
    <row r="273" spans="1:53" outlineLevel="1" x14ac:dyDescent="0.35">
      <c r="B273" s="25">
        <v>2030</v>
      </c>
      <c r="C273" s="25">
        <v>2031</v>
      </c>
      <c r="D273" s="25">
        <v>2032</v>
      </c>
      <c r="E273" s="25">
        <v>2033</v>
      </c>
      <c r="F273" s="25">
        <v>2034</v>
      </c>
      <c r="G273" s="25">
        <v>2035</v>
      </c>
      <c r="H273" s="25">
        <v>2036</v>
      </c>
      <c r="I273" s="25">
        <v>2037</v>
      </c>
      <c r="J273" s="25">
        <v>2038</v>
      </c>
      <c r="K273" s="25">
        <v>2039</v>
      </c>
      <c r="L273" s="25">
        <v>2040</v>
      </c>
      <c r="M273" s="25">
        <v>2041</v>
      </c>
      <c r="N273" s="25">
        <v>2042</v>
      </c>
      <c r="O273" s="25">
        <v>2043</v>
      </c>
      <c r="P273" s="25">
        <v>2044</v>
      </c>
      <c r="Q273" s="25">
        <v>2045</v>
      </c>
      <c r="R273" s="25">
        <v>2046</v>
      </c>
      <c r="S273" s="25">
        <v>2047</v>
      </c>
      <c r="T273" s="25">
        <v>2048</v>
      </c>
      <c r="U273" s="25">
        <v>2049</v>
      </c>
      <c r="V273" s="25">
        <v>2050</v>
      </c>
      <c r="W273" s="25">
        <v>2051</v>
      </c>
      <c r="X273" s="25">
        <v>2052</v>
      </c>
      <c r="Y273" s="25">
        <v>2053</v>
      </c>
      <c r="Z273" s="25">
        <v>2054</v>
      </c>
      <c r="AC273" s="25">
        <v>2030</v>
      </c>
      <c r="AD273" s="25">
        <v>2031</v>
      </c>
      <c r="AE273" s="25">
        <v>2032</v>
      </c>
      <c r="AF273" s="25">
        <v>2033</v>
      </c>
      <c r="AG273" s="25">
        <v>2034</v>
      </c>
      <c r="AH273" s="25">
        <v>2035</v>
      </c>
      <c r="AI273" s="25">
        <v>2036</v>
      </c>
      <c r="AJ273" s="25">
        <v>2037</v>
      </c>
      <c r="AK273" s="25">
        <v>2038</v>
      </c>
      <c r="AL273" s="25">
        <v>2039</v>
      </c>
      <c r="AM273" s="25">
        <v>2040</v>
      </c>
      <c r="AN273" s="25">
        <v>2041</v>
      </c>
      <c r="AO273" s="25">
        <v>2042</v>
      </c>
      <c r="AP273" s="25">
        <v>2043</v>
      </c>
      <c r="AQ273" s="25">
        <v>2044</v>
      </c>
      <c r="AR273" s="25">
        <v>2045</v>
      </c>
      <c r="AS273" s="25">
        <v>2046</v>
      </c>
      <c r="AT273" s="25">
        <v>2047</v>
      </c>
      <c r="AU273" s="25">
        <v>2048</v>
      </c>
      <c r="AV273" s="25">
        <v>2049</v>
      </c>
      <c r="AW273" s="25">
        <v>2050</v>
      </c>
      <c r="AX273" s="25">
        <v>2051</v>
      </c>
      <c r="AY273" s="25">
        <v>2052</v>
      </c>
      <c r="AZ273" s="25">
        <v>2053</v>
      </c>
      <c r="BA273" s="25">
        <v>2054</v>
      </c>
    </row>
    <row r="274" spans="1:53" outlineLevel="1" x14ac:dyDescent="0.35">
      <c r="A274" s="6" t="s">
        <v>21</v>
      </c>
      <c r="B274" s="6">
        <f t="shared" ref="B274:B285" si="30">B10</f>
        <v>3.4065629385513331E-6</v>
      </c>
      <c r="AB274" s="6" t="s">
        <v>117</v>
      </c>
      <c r="AC274" s="6">
        <f>SUM(B274:B285)+B287</f>
        <v>1.7996708147025861E-4</v>
      </c>
    </row>
    <row r="275" spans="1:53" outlineLevel="1" x14ac:dyDescent="0.35">
      <c r="A275" s="6" t="s">
        <v>23</v>
      </c>
      <c r="B275" s="6">
        <f t="shared" si="30"/>
        <v>5.9775544476410673E-6</v>
      </c>
      <c r="AB275" s="6" t="s">
        <v>118</v>
      </c>
      <c r="AC275" s="6">
        <f>B286</f>
        <v>5.6810366865446284E-6</v>
      </c>
    </row>
    <row r="276" spans="1:53" outlineLevel="1" x14ac:dyDescent="0.35">
      <c r="A276" s="6" t="s">
        <v>26</v>
      </c>
      <c r="B276" s="6">
        <f t="shared" si="30"/>
        <v>1.5280120239729288E-5</v>
      </c>
      <c r="AB276" s="6" t="s">
        <v>119</v>
      </c>
      <c r="BA276" s="6">
        <f>SUM(Z288:Z299)</f>
        <v>2.8327516247168551E-6</v>
      </c>
    </row>
    <row r="277" spans="1:53" outlineLevel="1" x14ac:dyDescent="0.35">
      <c r="A277" s="6" t="s">
        <v>28</v>
      </c>
      <c r="B277" s="6">
        <f t="shared" si="30"/>
        <v>1.237356434915746E-5</v>
      </c>
      <c r="AB277" s="6" t="s">
        <v>120</v>
      </c>
      <c r="BA277" s="6">
        <f>Z300</f>
        <v>4.6307778141739816E-8</v>
      </c>
    </row>
    <row r="278" spans="1:53" outlineLevel="1" x14ac:dyDescent="0.35">
      <c r="A278" s="6" t="s">
        <v>29</v>
      </c>
      <c r="B278" s="6">
        <f t="shared" si="30"/>
        <v>9.6467851095061977E-6</v>
      </c>
      <c r="AB278" s="6" t="s">
        <v>121</v>
      </c>
      <c r="AC278" s="6">
        <f>B301</f>
        <v>4.5446143489064019E-6</v>
      </c>
      <c r="AF278" s="6">
        <f>E301</f>
        <v>4.4990771841472508E-6</v>
      </c>
      <c r="AI278" s="6">
        <f>H301</f>
        <v>4.4904228129143327E-6</v>
      </c>
      <c r="AL278" s="6">
        <f>K301</f>
        <v>4.4944994140002021E-6</v>
      </c>
      <c r="AO278" s="6">
        <f>N301</f>
        <v>4.5214378334785092E-6</v>
      </c>
      <c r="AR278" s="6">
        <f>Q301</f>
        <v>4.5497134383595956E-6</v>
      </c>
      <c r="AU278" s="6">
        <f>T301</f>
        <v>4.4955793454683717E-6</v>
      </c>
      <c r="AX278" s="6">
        <f>W301</f>
        <v>4.4518098931988601E-6</v>
      </c>
      <c r="BA278" s="6">
        <f>Z301</f>
        <v>4.3615476020125354E-6</v>
      </c>
    </row>
    <row r="279" spans="1:53" outlineLevel="1" x14ac:dyDescent="0.35">
      <c r="A279" s="6" t="s">
        <v>31</v>
      </c>
      <c r="B279" s="6">
        <f t="shared" si="30"/>
        <v>7.490794425870649E-6</v>
      </c>
      <c r="AB279" s="6" t="s">
        <v>797</v>
      </c>
      <c r="AC279" s="6">
        <f>B305</f>
        <v>4.2493836061690516E-5</v>
      </c>
      <c r="AD279" s="6">
        <f t="shared" ref="AD279:BA279" si="31">C305</f>
        <v>4.2493836061690516E-5</v>
      </c>
      <c r="AE279" s="6">
        <f t="shared" si="31"/>
        <v>4.2493836061690516E-5</v>
      </c>
      <c r="AF279" s="6">
        <f t="shared" si="31"/>
        <v>4.2493836061690516E-5</v>
      </c>
      <c r="AG279" s="6">
        <f t="shared" si="31"/>
        <v>4.2493836061690516E-5</v>
      </c>
      <c r="AH279" s="6">
        <f t="shared" si="31"/>
        <v>4.2493836061690516E-5</v>
      </c>
      <c r="AI279" s="6">
        <f t="shared" si="31"/>
        <v>4.2493836061690516E-5</v>
      </c>
      <c r="AJ279" s="6">
        <f t="shared" si="31"/>
        <v>4.2493836061690516E-5</v>
      </c>
      <c r="AK279" s="6">
        <f t="shared" si="31"/>
        <v>4.2493836061690516E-5</v>
      </c>
      <c r="AL279" s="6">
        <f t="shared" si="31"/>
        <v>4.2493836061690516E-5</v>
      </c>
      <c r="AM279" s="6">
        <f t="shared" si="31"/>
        <v>4.2493836061690516E-5</v>
      </c>
      <c r="AN279" s="6">
        <f t="shared" si="31"/>
        <v>4.2493836061690516E-5</v>
      </c>
      <c r="AO279" s="6">
        <f t="shared" si="31"/>
        <v>4.2493836061690516E-5</v>
      </c>
      <c r="AP279" s="6">
        <f t="shared" si="31"/>
        <v>4.2493836061690516E-5</v>
      </c>
      <c r="AQ279" s="6">
        <f t="shared" si="31"/>
        <v>4.2493836061690516E-5</v>
      </c>
      <c r="AR279" s="6">
        <f t="shared" si="31"/>
        <v>4.2493836061690516E-5</v>
      </c>
      <c r="AS279" s="6">
        <f t="shared" si="31"/>
        <v>4.2493836061690516E-5</v>
      </c>
      <c r="AT279" s="6">
        <f t="shared" si="31"/>
        <v>4.2493836061690516E-5</v>
      </c>
      <c r="AU279" s="6">
        <f t="shared" si="31"/>
        <v>4.2493836061690516E-5</v>
      </c>
      <c r="AV279" s="6">
        <f t="shared" si="31"/>
        <v>4.2493836061690516E-5</v>
      </c>
      <c r="AW279" s="6">
        <f t="shared" si="31"/>
        <v>4.2493836061690516E-5</v>
      </c>
      <c r="AX279" s="6">
        <f t="shared" si="31"/>
        <v>4.2493836061690516E-5</v>
      </c>
      <c r="AY279" s="6">
        <f t="shared" si="31"/>
        <v>4.2493836061690516E-5</v>
      </c>
      <c r="AZ279" s="6">
        <f t="shared" si="31"/>
        <v>4.2493836061690516E-5</v>
      </c>
      <c r="BA279" s="6">
        <f t="shared" si="31"/>
        <v>4.2493836061690516E-5</v>
      </c>
    </row>
    <row r="280" spans="1:53" outlineLevel="1" x14ac:dyDescent="0.35">
      <c r="A280" s="6" t="s">
        <v>34</v>
      </c>
      <c r="B280" s="6">
        <f t="shared" si="30"/>
        <v>5.3054904136133011E-6</v>
      </c>
      <c r="AB280" s="6" t="s">
        <v>122</v>
      </c>
      <c r="AC280" s="6">
        <f t="shared" ref="AC280:BA280" si="32">B304+B303</f>
        <v>3.184798946166635E-5</v>
      </c>
      <c r="AD280" s="6">
        <f t="shared" si="32"/>
        <v>3.1806032877991928E-5</v>
      </c>
      <c r="AE280" s="6">
        <f t="shared" si="32"/>
        <v>3.1765312078523924E-5</v>
      </c>
      <c r="AF280" s="6">
        <f t="shared" si="32"/>
        <v>3.1606481672953891E-5</v>
      </c>
      <c r="AG280" s="6">
        <f t="shared" si="32"/>
        <v>3.1568126153756075E-5</v>
      </c>
      <c r="AH280" s="6">
        <f t="shared" si="32"/>
        <v>3.1530486474513787E-5</v>
      </c>
      <c r="AI280" s="6">
        <f t="shared" si="32"/>
        <v>3.1511761031868211E-5</v>
      </c>
      <c r="AJ280" s="6">
        <f t="shared" si="32"/>
        <v>3.1496425567667984E-5</v>
      </c>
      <c r="AK280" s="6">
        <f t="shared" si="32"/>
        <v>3.1420825663209868E-5</v>
      </c>
      <c r="AL280" s="6">
        <f t="shared" si="32"/>
        <v>3.1411240204703013E-5</v>
      </c>
      <c r="AM280" s="6">
        <f t="shared" si="32"/>
        <v>3.1403903493023348E-5</v>
      </c>
      <c r="AN280" s="6">
        <f t="shared" si="32"/>
        <v>3.1425309713637459E-5</v>
      </c>
      <c r="AO280" s="6">
        <f t="shared" si="32"/>
        <v>3.1448944412737935E-5</v>
      </c>
      <c r="AP280" s="6">
        <f t="shared" si="32"/>
        <v>3.145791964250943E-5</v>
      </c>
      <c r="AQ280" s="6">
        <f t="shared" si="32"/>
        <v>3.1486039859722046E-5</v>
      </c>
      <c r="AR280" s="6">
        <f t="shared" si="32"/>
        <v>3.1517756957661743E-5</v>
      </c>
      <c r="AS280" s="6">
        <f t="shared" si="32"/>
        <v>3.1463245411885644E-5</v>
      </c>
      <c r="AT280" s="6">
        <f t="shared" si="32"/>
        <v>3.1407925977443708E-5</v>
      </c>
      <c r="AU280" s="6">
        <f t="shared" si="32"/>
        <v>3.1334348442988149E-5</v>
      </c>
      <c r="AV280" s="6">
        <f t="shared" si="32"/>
        <v>3.1277501431985654E-5</v>
      </c>
      <c r="AW280" s="6">
        <f t="shared" si="32"/>
        <v>3.1219928460264509E-5</v>
      </c>
      <c r="AX280" s="6">
        <f t="shared" si="32"/>
        <v>3.128880014268202E-5</v>
      </c>
      <c r="AY280" s="6">
        <f t="shared" si="32"/>
        <v>3.1187723593284688E-5</v>
      </c>
      <c r="AZ280" s="6">
        <f t="shared" si="32"/>
        <v>3.1085884766006009E-5</v>
      </c>
      <c r="BA280" s="6">
        <f t="shared" si="32"/>
        <v>3.0983268037809624E-5</v>
      </c>
    </row>
    <row r="281" spans="1:53" outlineLevel="1" x14ac:dyDescent="0.35">
      <c r="A281" s="6" t="s">
        <v>36</v>
      </c>
      <c r="B281" s="6">
        <f t="shared" si="30"/>
        <v>4.5452790891056938E-6</v>
      </c>
      <c r="AB281" s="6" t="s">
        <v>123</v>
      </c>
      <c r="AC281" s="6">
        <f t="shared" ref="AC281:BA281" si="33">B302</f>
        <v>1.070572868096195E-5</v>
      </c>
      <c r="AD281" s="6">
        <f t="shared" si="33"/>
        <v>1.0673130698901735E-5</v>
      </c>
      <c r="AE281" s="6">
        <f t="shared" si="33"/>
        <v>1.064054025266624E-5</v>
      </c>
      <c r="AF281" s="6">
        <f t="shared" si="33"/>
        <v>1.0601944442905035E-5</v>
      </c>
      <c r="AG281" s="6">
        <f t="shared" si="33"/>
        <v>1.0569298527614804E-5</v>
      </c>
      <c r="AH281" s="6">
        <f t="shared" si="33"/>
        <v>1.0536636685438739E-5</v>
      </c>
      <c r="AI281" s="6">
        <f t="shared" si="33"/>
        <v>1.094925395950741E-5</v>
      </c>
      <c r="AJ281" s="6">
        <f t="shared" si="33"/>
        <v>1.136011299850822E-5</v>
      </c>
      <c r="AK281" s="6">
        <f t="shared" si="33"/>
        <v>1.1765712826705555E-5</v>
      </c>
      <c r="AL281" s="6">
        <f t="shared" si="33"/>
        <v>1.2173542653863885E-5</v>
      </c>
      <c r="AM281" s="6">
        <f t="shared" si="33"/>
        <v>1.2579410245917171E-5</v>
      </c>
      <c r="AN281" s="6">
        <f t="shared" si="33"/>
        <v>1.3353786774437527E-5</v>
      </c>
      <c r="AO281" s="6">
        <f t="shared" si="33"/>
        <v>1.4128429424562789E-5</v>
      </c>
      <c r="AP281" s="6">
        <f t="shared" si="33"/>
        <v>1.4902626924861644E-5</v>
      </c>
      <c r="AQ281" s="6">
        <f t="shared" si="33"/>
        <v>1.5678152167829581E-5</v>
      </c>
      <c r="AR281" s="6">
        <f t="shared" si="33"/>
        <v>1.6454305100303981E-5</v>
      </c>
      <c r="AS281" s="6">
        <f t="shared" si="33"/>
        <v>1.6526808455589215E-5</v>
      </c>
      <c r="AT281" s="6">
        <f t="shared" si="33"/>
        <v>1.6600069938950614E-5</v>
      </c>
      <c r="AU281" s="6">
        <f t="shared" si="33"/>
        <v>1.6673181082705899E-5</v>
      </c>
      <c r="AV281" s="6">
        <f t="shared" si="33"/>
        <v>1.674768052125296E-5</v>
      </c>
      <c r="AW281" s="6">
        <f t="shared" si="33"/>
        <v>1.6822667368935019E-5</v>
      </c>
      <c r="AX281" s="6">
        <f t="shared" si="33"/>
        <v>1.66443359698618E-5</v>
      </c>
      <c r="AY281" s="6">
        <f t="shared" si="33"/>
        <v>1.628087154566932E-5</v>
      </c>
      <c r="AZ281" s="6">
        <f t="shared" si="33"/>
        <v>1.5917568690132871E-5</v>
      </c>
      <c r="BA281" s="6">
        <f t="shared" si="33"/>
        <v>1.5554420605200022E-5</v>
      </c>
    </row>
    <row r="282" spans="1:53" outlineLevel="1" x14ac:dyDescent="0.35">
      <c r="A282" s="6" t="s">
        <v>38</v>
      </c>
      <c r="B282" s="6">
        <f t="shared" si="30"/>
        <v>2.519681743962088E-5</v>
      </c>
      <c r="AB282" s="6" t="s">
        <v>124</v>
      </c>
      <c r="AC282" s="6">
        <f>-$AC$264*$AC$263</f>
        <v>-1.4000382499999999E-4</v>
      </c>
      <c r="AD282" s="6">
        <f t="shared" ref="AD282:BA282" si="34">-$AC$264*$AC$263</f>
        <v>-1.4000382499999999E-4</v>
      </c>
      <c r="AE282" s="6">
        <f t="shared" si="34"/>
        <v>-1.4000382499999999E-4</v>
      </c>
      <c r="AF282" s="6">
        <f t="shared" si="34"/>
        <v>-1.4000382499999999E-4</v>
      </c>
      <c r="AG282" s="6">
        <f t="shared" si="34"/>
        <v>-1.4000382499999999E-4</v>
      </c>
      <c r="AH282" s="6">
        <f t="shared" si="34"/>
        <v>-1.4000382499999999E-4</v>
      </c>
      <c r="AI282" s="6">
        <f t="shared" si="34"/>
        <v>-1.4000382499999999E-4</v>
      </c>
      <c r="AJ282" s="6">
        <f t="shared" si="34"/>
        <v>-1.4000382499999999E-4</v>
      </c>
      <c r="AK282" s="6">
        <f t="shared" si="34"/>
        <v>-1.4000382499999999E-4</v>
      </c>
      <c r="AL282" s="6">
        <f t="shared" si="34"/>
        <v>-1.4000382499999999E-4</v>
      </c>
      <c r="AM282" s="6">
        <f t="shared" si="34"/>
        <v>-1.4000382499999999E-4</v>
      </c>
      <c r="AN282" s="6">
        <f t="shared" si="34"/>
        <v>-1.4000382499999999E-4</v>
      </c>
      <c r="AO282" s="6">
        <f t="shared" si="34"/>
        <v>-1.4000382499999999E-4</v>
      </c>
      <c r="AP282" s="6">
        <f t="shared" si="34"/>
        <v>-1.4000382499999999E-4</v>
      </c>
      <c r="AQ282" s="6">
        <f t="shared" si="34"/>
        <v>-1.4000382499999999E-4</v>
      </c>
      <c r="AR282" s="6">
        <f t="shared" si="34"/>
        <v>-1.4000382499999999E-4</v>
      </c>
      <c r="AS282" s="6">
        <f t="shared" si="34"/>
        <v>-1.4000382499999999E-4</v>
      </c>
      <c r="AT282" s="6">
        <f t="shared" si="34"/>
        <v>-1.4000382499999999E-4</v>
      </c>
      <c r="AU282" s="6">
        <f t="shared" si="34"/>
        <v>-1.4000382499999999E-4</v>
      </c>
      <c r="AV282" s="6">
        <f t="shared" si="34"/>
        <v>-1.4000382499999999E-4</v>
      </c>
      <c r="AW282" s="6">
        <f t="shared" si="34"/>
        <v>-1.4000382499999999E-4</v>
      </c>
      <c r="AX282" s="6">
        <f t="shared" si="34"/>
        <v>-1.4000382499999999E-4</v>
      </c>
      <c r="AY282" s="6">
        <f t="shared" si="34"/>
        <v>-1.4000382499999999E-4</v>
      </c>
      <c r="AZ282" s="6">
        <f t="shared" si="34"/>
        <v>-1.4000382499999999E-4</v>
      </c>
      <c r="BA282" s="6">
        <f t="shared" si="34"/>
        <v>-1.4000382499999999E-4</v>
      </c>
    </row>
    <row r="283" spans="1:53" outlineLevel="1" x14ac:dyDescent="0.35">
      <c r="A283" s="6" t="s">
        <v>39</v>
      </c>
      <c r="B283" s="6">
        <f t="shared" si="30"/>
        <v>7.3235179910091571E-5</v>
      </c>
      <c r="AB283" s="23" t="s">
        <v>125</v>
      </c>
      <c r="AC283" s="17">
        <f t="shared" ref="AC283:BA283" si="35">SUM(AC274:AC282)</f>
        <v>1.3523646171002845E-4</v>
      </c>
      <c r="AD283" s="17">
        <f t="shared" si="35"/>
        <v>-5.5030825361415816E-5</v>
      </c>
      <c r="AE283" s="17">
        <f t="shared" si="35"/>
        <v>-5.51041366071193E-5</v>
      </c>
      <c r="AF283" s="17">
        <f t="shared" si="35"/>
        <v>-5.08024856383033E-5</v>
      </c>
      <c r="AG283" s="17">
        <f t="shared" si="35"/>
        <v>-5.5372564256938602E-5</v>
      </c>
      <c r="AH283" s="17">
        <f t="shared" si="35"/>
        <v>-5.5442865778356954E-5</v>
      </c>
      <c r="AI283" s="17">
        <f t="shared" si="35"/>
        <v>-5.0558551134019511E-5</v>
      </c>
      <c r="AJ283" s="17">
        <f t="shared" si="35"/>
        <v>-5.4653450372133284E-5</v>
      </c>
      <c r="AK283" s="17">
        <f t="shared" si="35"/>
        <v>-5.432345044839404E-5</v>
      </c>
      <c r="AL283" s="17">
        <f t="shared" si="35"/>
        <v>-4.9430706665742381E-5</v>
      </c>
      <c r="AM283" s="17">
        <f t="shared" si="35"/>
        <v>-5.3526675199368952E-5</v>
      </c>
      <c r="AN283" s="17">
        <f t="shared" si="35"/>
        <v>-5.2730892450234486E-5</v>
      </c>
      <c r="AO283" s="17">
        <f t="shared" si="35"/>
        <v>-4.7411177267530242E-5</v>
      </c>
      <c r="AP283" s="17">
        <f t="shared" si="35"/>
        <v>-5.1149442370938391E-5</v>
      </c>
      <c r="AQ283" s="17">
        <f t="shared" si="35"/>
        <v>-5.0345796910757849E-5</v>
      </c>
      <c r="AR283" s="17">
        <f t="shared" si="35"/>
        <v>-4.4988213441984163E-5</v>
      </c>
      <c r="AS283" s="17">
        <f t="shared" si="35"/>
        <v>-4.9519935070834617E-5</v>
      </c>
      <c r="AT283" s="17">
        <f t="shared" si="35"/>
        <v>-4.9501993021915157E-5</v>
      </c>
      <c r="AU283" s="17">
        <f t="shared" si="35"/>
        <v>-4.5006880067147056E-5</v>
      </c>
      <c r="AV283" s="17">
        <f t="shared" si="35"/>
        <v>-4.9484806985070865E-5</v>
      </c>
      <c r="AW283" s="17">
        <f t="shared" si="35"/>
        <v>-4.946739310910994E-5</v>
      </c>
      <c r="AX283" s="17">
        <f t="shared" si="35"/>
        <v>-4.5125042932566789E-5</v>
      </c>
      <c r="AY283" s="17">
        <f t="shared" si="35"/>
        <v>-5.0041393799355474E-5</v>
      </c>
      <c r="AZ283" s="17">
        <f t="shared" si="35"/>
        <v>-5.0506535482170602E-5</v>
      </c>
      <c r="BA283" s="17">
        <f t="shared" si="35"/>
        <v>-4.3731693290428693E-5</v>
      </c>
    </row>
    <row r="284" spans="1:53" outlineLevel="1" x14ac:dyDescent="0.35">
      <c r="A284" s="6" t="s">
        <v>41</v>
      </c>
      <c r="B284" s="6">
        <f t="shared" si="30"/>
        <v>7.5090323051228674E-7</v>
      </c>
    </row>
    <row r="285" spans="1:53" outlineLevel="1" x14ac:dyDescent="0.35">
      <c r="A285" s="6" t="s">
        <v>43</v>
      </c>
      <c r="B285" s="6">
        <f t="shared" si="30"/>
        <v>2.0497787420389352E-6</v>
      </c>
      <c r="AB285" s="282"/>
      <c r="AC285" s="282"/>
      <c r="AD285" s="282"/>
      <c r="AE285" s="282"/>
      <c r="AF285" s="282"/>
      <c r="AG285" s="282"/>
      <c r="AH285" s="282"/>
      <c r="AI285" s="282"/>
      <c r="AJ285" s="282"/>
      <c r="AK285" s="282"/>
      <c r="AL285" s="282"/>
      <c r="AM285" s="282"/>
      <c r="AN285" s="282"/>
      <c r="AO285" s="282"/>
      <c r="AP285" s="282"/>
      <c r="AQ285" s="282"/>
      <c r="AR285" s="282"/>
      <c r="AS285" s="282"/>
      <c r="AT285" s="282"/>
      <c r="AU285" s="282"/>
      <c r="AV285" s="282"/>
      <c r="AW285" s="282"/>
      <c r="AX285" s="282"/>
      <c r="AY285" s="282"/>
      <c r="AZ285" s="282"/>
      <c r="BA285" s="282"/>
    </row>
    <row r="286" spans="1:53" outlineLevel="1" x14ac:dyDescent="0.35">
      <c r="A286" s="6" t="s">
        <v>44</v>
      </c>
      <c r="B286" s="6">
        <f>B22*AC265</f>
        <v>5.6810366865446284E-6</v>
      </c>
      <c r="AB286" s="282"/>
      <c r="AC286" s="282"/>
      <c r="AD286" s="282"/>
      <c r="AE286" s="282"/>
      <c r="AF286" s="282"/>
      <c r="AG286" s="282"/>
      <c r="AH286" s="282"/>
      <c r="AI286" s="282"/>
      <c r="AJ286" s="282"/>
      <c r="AK286" s="282"/>
      <c r="AL286" s="282"/>
      <c r="AM286" s="282"/>
      <c r="AN286" s="282"/>
      <c r="AO286" s="282"/>
      <c r="AP286" s="282"/>
      <c r="AQ286" s="282"/>
      <c r="AR286" s="282"/>
      <c r="AS286" s="282"/>
      <c r="AT286" s="282"/>
      <c r="AU286" s="282"/>
      <c r="AV286" s="282"/>
      <c r="AW286" s="282"/>
      <c r="AX286" s="282"/>
      <c r="AY286" s="282"/>
      <c r="AZ286" s="282"/>
      <c r="BA286" s="282"/>
    </row>
    <row r="287" spans="1:53" outlineLevel="1" x14ac:dyDescent="0.35">
      <c r="A287" s="6" t="s">
        <v>757</v>
      </c>
      <c r="B287" s="6">
        <f>B23*AC265</f>
        <v>1.4708251134819926E-5</v>
      </c>
      <c r="AB287" s="282"/>
      <c r="AC287" s="282"/>
      <c r="AD287" s="282"/>
      <c r="AE287" s="282"/>
      <c r="AF287" s="282"/>
      <c r="AG287" s="282"/>
      <c r="AH287" s="282"/>
      <c r="AI287" s="282"/>
      <c r="AJ287" s="282"/>
      <c r="AK287" s="282"/>
      <c r="AL287" s="282"/>
      <c r="AM287" s="282"/>
      <c r="AN287" s="282"/>
      <c r="AO287" s="282"/>
      <c r="AP287" s="282"/>
      <c r="AQ287" s="282"/>
      <c r="AR287" s="282"/>
      <c r="AS287" s="282"/>
      <c r="AT287" s="282"/>
      <c r="AU287" s="282"/>
      <c r="AV287" s="282"/>
      <c r="AW287" s="282"/>
      <c r="AX287" s="282"/>
      <c r="AY287" s="282"/>
      <c r="AZ287" s="282"/>
      <c r="BA287" s="282"/>
    </row>
    <row r="288" spans="1:53" outlineLevel="1" x14ac:dyDescent="0.35">
      <c r="A288" s="6" t="s">
        <v>22</v>
      </c>
      <c r="Z288" s="6">
        <f t="shared" ref="Z288:Z299" si="36">Z24</f>
        <v>6.2658793463083337E-8</v>
      </c>
      <c r="AB288" s="282"/>
      <c r="AC288" s="282"/>
      <c r="AD288" s="282"/>
      <c r="AE288" s="282"/>
      <c r="AF288" s="282"/>
      <c r="AG288" s="282"/>
      <c r="AH288" s="282"/>
      <c r="AI288" s="282"/>
      <c r="AJ288" s="282"/>
      <c r="AK288" s="282"/>
      <c r="AL288" s="282"/>
      <c r="AM288" s="282"/>
      <c r="AN288" s="282"/>
      <c r="AO288" s="282"/>
      <c r="AP288" s="282"/>
      <c r="AQ288" s="282"/>
      <c r="AR288" s="282"/>
      <c r="AS288" s="282"/>
      <c r="AT288" s="282"/>
      <c r="AU288" s="282"/>
      <c r="AV288" s="282"/>
      <c r="AW288" s="282"/>
      <c r="AX288" s="282"/>
      <c r="AY288" s="282"/>
      <c r="AZ288" s="282"/>
      <c r="BA288" s="282"/>
    </row>
    <row r="289" spans="1:53" outlineLevel="1" x14ac:dyDescent="0.35">
      <c r="A289" s="6" t="s">
        <v>24</v>
      </c>
      <c r="Z289" s="6">
        <f t="shared" si="36"/>
        <v>3.0939913639353121E-8</v>
      </c>
      <c r="AB289" s="282"/>
      <c r="AC289" s="282"/>
      <c r="AD289" s="282"/>
      <c r="AE289" s="282"/>
      <c r="AF289" s="282"/>
      <c r="AG289" s="282"/>
      <c r="AH289" s="282"/>
      <c r="AI289" s="282"/>
      <c r="AJ289" s="282"/>
      <c r="AK289" s="282"/>
      <c r="AL289" s="282"/>
      <c r="AM289" s="282"/>
      <c r="AN289" s="282"/>
      <c r="AO289" s="282"/>
      <c r="AP289" s="282"/>
      <c r="AQ289" s="282"/>
      <c r="AR289" s="282"/>
      <c r="AS289" s="282"/>
      <c r="AT289" s="282"/>
      <c r="AU289" s="282"/>
      <c r="AV289" s="282"/>
      <c r="AW289" s="282"/>
      <c r="AX289" s="282"/>
      <c r="AY289" s="282"/>
      <c r="AZ289" s="282"/>
      <c r="BA289" s="282"/>
    </row>
    <row r="290" spans="1:53" outlineLevel="1" x14ac:dyDescent="0.35">
      <c r="A290" s="6" t="s">
        <v>25</v>
      </c>
      <c r="Z290" s="6">
        <f t="shared" si="36"/>
        <v>1.3113107499561001E-7</v>
      </c>
      <c r="AB290" s="282"/>
      <c r="AC290" s="282"/>
      <c r="AD290" s="282"/>
      <c r="AE290" s="282"/>
      <c r="AF290" s="282"/>
      <c r="AG290" s="282"/>
      <c r="AH290" s="282"/>
      <c r="AI290" s="282"/>
      <c r="AJ290" s="282"/>
      <c r="AK290" s="282"/>
      <c r="AL290" s="282"/>
      <c r="AM290" s="282"/>
      <c r="AN290" s="282"/>
      <c r="AO290" s="282"/>
      <c r="AP290" s="282"/>
      <c r="AQ290" s="282"/>
      <c r="AR290" s="282"/>
      <c r="AS290" s="282"/>
      <c r="AT290" s="282"/>
      <c r="AU290" s="282"/>
      <c r="AV290" s="282"/>
      <c r="AW290" s="282"/>
      <c r="AX290" s="282"/>
      <c r="AY290" s="282"/>
      <c r="AZ290" s="282"/>
      <c r="BA290" s="282"/>
    </row>
    <row r="291" spans="1:53" outlineLevel="1" x14ac:dyDescent="0.35">
      <c r="A291" s="6" t="s">
        <v>27</v>
      </c>
      <c r="Z291" s="6">
        <f t="shared" si="36"/>
        <v>4.6156121953184779E-8</v>
      </c>
      <c r="AB291" s="282"/>
      <c r="AC291" s="282"/>
      <c r="AD291" s="282"/>
      <c r="AE291" s="282"/>
      <c r="AF291" s="282"/>
      <c r="AG291" s="282"/>
      <c r="AH291" s="282"/>
      <c r="AI291" s="282"/>
      <c r="AJ291" s="282"/>
      <c r="AK291" s="282"/>
      <c r="AL291" s="282"/>
      <c r="AM291" s="282"/>
      <c r="AN291" s="282"/>
      <c r="AO291" s="282"/>
      <c r="AP291" s="282"/>
      <c r="AQ291" s="282"/>
      <c r="AR291" s="282"/>
      <c r="AS291" s="282"/>
      <c r="AT291" s="282"/>
      <c r="AU291" s="282"/>
      <c r="AV291" s="282"/>
      <c r="AW291" s="282"/>
      <c r="AX291" s="282"/>
      <c r="AY291" s="282"/>
      <c r="AZ291" s="282"/>
      <c r="BA291" s="282"/>
    </row>
    <row r="292" spans="1:53" outlineLevel="1" x14ac:dyDescent="0.35">
      <c r="A292" s="6" t="s">
        <v>30</v>
      </c>
      <c r="Z292" s="6">
        <f t="shared" si="36"/>
        <v>8.2652845953532874E-8</v>
      </c>
      <c r="AB292" s="282"/>
      <c r="AC292" s="282"/>
      <c r="AD292" s="282"/>
      <c r="AE292" s="282"/>
      <c r="AF292" s="282"/>
      <c r="AG292" s="282"/>
      <c r="AH292" s="282"/>
      <c r="AI292" s="282"/>
      <c r="AJ292" s="282"/>
      <c r="AK292" s="282"/>
      <c r="AL292" s="282"/>
      <c r="AM292" s="282"/>
      <c r="AN292" s="282"/>
      <c r="AO292" s="282"/>
      <c r="AP292" s="282"/>
      <c r="AQ292" s="282"/>
      <c r="AR292" s="282"/>
      <c r="AS292" s="282"/>
      <c r="AT292" s="282"/>
      <c r="AU292" s="282"/>
      <c r="AV292" s="282"/>
      <c r="AW292" s="282"/>
      <c r="AX292" s="282"/>
      <c r="AY292" s="282"/>
      <c r="AZ292" s="282"/>
      <c r="BA292" s="282"/>
    </row>
    <row r="293" spans="1:53" outlineLevel="1" x14ac:dyDescent="0.35">
      <c r="A293" s="6" t="s">
        <v>32</v>
      </c>
      <c r="Z293" s="6">
        <f t="shared" si="36"/>
        <v>7.097868543756944E-9</v>
      </c>
      <c r="AB293" s="282"/>
      <c r="AC293" s="282"/>
      <c r="AD293" s="282"/>
      <c r="AE293" s="282"/>
      <c r="AF293" s="282"/>
      <c r="AG293" s="282"/>
      <c r="AH293" s="282"/>
      <c r="AI293" s="282"/>
      <c r="AJ293" s="282"/>
      <c r="AK293" s="282"/>
      <c r="AL293" s="282"/>
      <c r="AM293" s="282"/>
      <c r="AN293" s="282"/>
      <c r="AO293" s="282"/>
      <c r="AP293" s="282"/>
      <c r="AQ293" s="282"/>
      <c r="AR293" s="282"/>
      <c r="AS293" s="282"/>
      <c r="AT293" s="282"/>
      <c r="AU293" s="282"/>
      <c r="AV293" s="282"/>
      <c r="AW293" s="282"/>
      <c r="AX293" s="282"/>
      <c r="AY293" s="282"/>
      <c r="AZ293" s="282"/>
      <c r="BA293" s="282"/>
    </row>
    <row r="294" spans="1:53" outlineLevel="1" x14ac:dyDescent="0.35">
      <c r="A294" s="6" t="s">
        <v>33</v>
      </c>
      <c r="Z294" s="6">
        <f t="shared" si="36"/>
        <v>2.110830182896093E-8</v>
      </c>
      <c r="AB294" s="282"/>
      <c r="AC294" s="282"/>
      <c r="AD294" s="282"/>
      <c r="AE294" s="282"/>
      <c r="AF294" s="282"/>
      <c r="AG294" s="282"/>
      <c r="AH294" s="282"/>
      <c r="AI294" s="282"/>
      <c r="AJ294" s="282"/>
      <c r="AK294" s="282"/>
      <c r="AL294" s="282"/>
      <c r="AM294" s="282"/>
      <c r="AN294" s="282"/>
      <c r="AO294" s="282"/>
      <c r="AP294" s="282"/>
      <c r="AQ294" s="282"/>
      <c r="AR294" s="282"/>
      <c r="AS294" s="282"/>
      <c r="AT294" s="282"/>
      <c r="AU294" s="282"/>
      <c r="AV294" s="282"/>
      <c r="AW294" s="282"/>
      <c r="AX294" s="282"/>
      <c r="AY294" s="282"/>
      <c r="AZ294" s="282"/>
      <c r="BA294" s="282"/>
    </row>
    <row r="295" spans="1:53" outlineLevel="1" x14ac:dyDescent="0.35">
      <c r="A295" s="6" t="s">
        <v>35</v>
      </c>
      <c r="Z295" s="6">
        <f t="shared" si="36"/>
        <v>4.2216603657921873E-8</v>
      </c>
      <c r="AB295" s="282"/>
      <c r="AC295" s="282"/>
      <c r="AD295" s="282"/>
      <c r="AE295" s="282"/>
      <c r="AF295" s="282"/>
      <c r="AG295" s="282"/>
      <c r="AH295" s="282"/>
      <c r="AI295" s="282"/>
      <c r="AJ295" s="282"/>
      <c r="AK295" s="282"/>
      <c r="AL295" s="282"/>
      <c r="AM295" s="282"/>
      <c r="AN295" s="282"/>
      <c r="AO295" s="282"/>
      <c r="AP295" s="282"/>
      <c r="AQ295" s="282"/>
      <c r="AR295" s="282"/>
      <c r="AS295" s="282"/>
      <c r="AT295" s="282"/>
      <c r="AU295" s="282"/>
      <c r="AV295" s="282"/>
      <c r="AW295" s="282"/>
      <c r="AX295" s="282"/>
      <c r="AY295" s="282"/>
      <c r="AZ295" s="282"/>
      <c r="BA295" s="282"/>
    </row>
    <row r="296" spans="1:53" outlineLevel="1" x14ac:dyDescent="0.35">
      <c r="A296" s="6" t="s">
        <v>37</v>
      </c>
      <c r="Z296" s="6">
        <f t="shared" si="36"/>
        <v>1.160130193626278E-7</v>
      </c>
      <c r="AB296" s="282"/>
      <c r="AC296" s="282"/>
      <c r="AD296" s="282"/>
      <c r="AE296" s="282"/>
      <c r="AF296" s="282"/>
      <c r="AG296" s="282"/>
      <c r="AH296" s="282"/>
      <c r="AI296" s="282"/>
      <c r="AJ296" s="282"/>
      <c r="AK296" s="282"/>
      <c r="AL296" s="282"/>
      <c r="AM296" s="282"/>
      <c r="AN296" s="282"/>
      <c r="AO296" s="282"/>
      <c r="AP296" s="282"/>
      <c r="AQ296" s="282"/>
      <c r="AR296" s="282"/>
      <c r="AS296" s="282"/>
      <c r="AT296" s="282"/>
      <c r="AU296" s="282"/>
      <c r="AV296" s="282"/>
      <c r="AW296" s="282"/>
      <c r="AX296" s="282"/>
      <c r="AY296" s="282"/>
      <c r="AZ296" s="282"/>
      <c r="BA296" s="282"/>
    </row>
    <row r="297" spans="1:53" outlineLevel="1" x14ac:dyDescent="0.35">
      <c r="A297" s="6" t="s">
        <v>40</v>
      </c>
      <c r="Z297" s="6">
        <f t="shared" si="36"/>
        <v>9.5709423987073597E-7</v>
      </c>
    </row>
    <row r="298" spans="1:53" outlineLevel="1" x14ac:dyDescent="0.35">
      <c r="A298" s="6" t="s">
        <v>42</v>
      </c>
      <c r="Z298" s="6">
        <f t="shared" si="36"/>
        <v>1.7656694459384321E-7</v>
      </c>
    </row>
    <row r="299" spans="1:53" outlineLevel="1" x14ac:dyDescent="0.35">
      <c r="A299" s="6" t="s">
        <v>115</v>
      </c>
      <c r="Z299" s="6">
        <f t="shared" si="36"/>
        <v>1.1591158968542441E-6</v>
      </c>
    </row>
    <row r="300" spans="1:53" outlineLevel="1" x14ac:dyDescent="0.35">
      <c r="A300" s="6" t="s">
        <v>45</v>
      </c>
      <c r="Z300" s="6">
        <f>Z36*AC265</f>
        <v>4.6307778141739816E-8</v>
      </c>
    </row>
    <row r="301" spans="1:53" outlineLevel="1" x14ac:dyDescent="0.35">
      <c r="A301" s="6" t="s">
        <v>116</v>
      </c>
      <c r="B301" s="6">
        <f>B37</f>
        <v>4.5446143489064019E-6</v>
      </c>
      <c r="C301" s="6">
        <f t="shared" ref="C301:Z301" si="37">C37</f>
        <v>4.5375318532980086E-6</v>
      </c>
      <c r="D301" s="6">
        <f t="shared" si="37"/>
        <v>4.5304734340900244E-6</v>
      </c>
      <c r="E301" s="6">
        <f t="shared" si="37"/>
        <v>4.4990771841472508E-6</v>
      </c>
      <c r="F301" s="6">
        <f t="shared" si="37"/>
        <v>4.4919915866917474E-6</v>
      </c>
      <c r="G301" s="6">
        <f t="shared" si="37"/>
        <v>4.4849171952101174E-6</v>
      </c>
      <c r="H301" s="6">
        <f t="shared" si="37"/>
        <v>4.4904228129143327E-6</v>
      </c>
      <c r="I301" s="6">
        <f t="shared" si="37"/>
        <v>4.4959352490022174E-6</v>
      </c>
      <c r="J301" s="6">
        <f t="shared" si="37"/>
        <v>4.4889268251604726E-6</v>
      </c>
      <c r="K301" s="6">
        <f t="shared" si="37"/>
        <v>4.4944994140002021E-6</v>
      </c>
      <c r="L301" s="6">
        <f t="shared" si="37"/>
        <v>4.5000640197401953E-6</v>
      </c>
      <c r="M301" s="6">
        <f t="shared" si="37"/>
        <v>4.5107792253624839E-6</v>
      </c>
      <c r="N301" s="6">
        <f t="shared" si="37"/>
        <v>4.5214378334785092E-6</v>
      </c>
      <c r="O301" s="6">
        <f t="shared" si="37"/>
        <v>4.5283096521643754E-6</v>
      </c>
      <c r="P301" s="6">
        <f t="shared" si="37"/>
        <v>4.5390097879665774E-6</v>
      </c>
      <c r="Q301" s="6">
        <f t="shared" si="37"/>
        <v>4.5497134383595956E-6</v>
      </c>
      <c r="R301" s="6">
        <f t="shared" si="37"/>
        <v>4.5331460721649742E-6</v>
      </c>
      <c r="S301" s="6">
        <f t="shared" si="37"/>
        <v>4.5163606296090708E-6</v>
      </c>
      <c r="T301" s="6">
        <f t="shared" si="37"/>
        <v>4.4955793454683717E-6</v>
      </c>
      <c r="U301" s="6">
        <f t="shared" si="37"/>
        <v>4.4784778933645077E-6</v>
      </c>
      <c r="V301" s="6">
        <f t="shared" si="37"/>
        <v>4.4612376012212993E-6</v>
      </c>
      <c r="W301" s="6">
        <f t="shared" si="37"/>
        <v>4.4518098931988601E-6</v>
      </c>
      <c r="X301" s="6">
        <f t="shared" si="37"/>
        <v>4.4218886582910254E-6</v>
      </c>
      <c r="Y301" s="6">
        <f t="shared" si="37"/>
        <v>4.3918023831125164E-6</v>
      </c>
      <c r="Z301" s="6">
        <f t="shared" si="37"/>
        <v>4.3615476020125354E-6</v>
      </c>
    </row>
    <row r="302" spans="1:53" outlineLevel="1" x14ac:dyDescent="0.35">
      <c r="A302" s="6" t="s">
        <v>758</v>
      </c>
      <c r="B302" s="6">
        <f>B38*$AC$265</f>
        <v>1.070572868096195E-5</v>
      </c>
      <c r="C302" s="6">
        <f t="shared" ref="C302:Z303" si="38">C38*$AC$265</f>
        <v>1.0673130698901735E-5</v>
      </c>
      <c r="D302" s="6">
        <f t="shared" si="38"/>
        <v>1.064054025266624E-5</v>
      </c>
      <c r="E302" s="6">
        <f t="shared" si="38"/>
        <v>1.0601944442905035E-5</v>
      </c>
      <c r="F302" s="6">
        <f t="shared" si="38"/>
        <v>1.0569298527614804E-5</v>
      </c>
      <c r="G302" s="6">
        <f t="shared" si="38"/>
        <v>1.0536636685438739E-5</v>
      </c>
      <c r="H302" s="6">
        <f t="shared" si="38"/>
        <v>1.094925395950741E-5</v>
      </c>
      <c r="I302" s="6">
        <f t="shared" si="38"/>
        <v>1.136011299850822E-5</v>
      </c>
      <c r="J302" s="6">
        <f t="shared" si="38"/>
        <v>1.1765712826705555E-5</v>
      </c>
      <c r="K302" s="6">
        <f t="shared" si="38"/>
        <v>1.2173542653863885E-5</v>
      </c>
      <c r="L302" s="6">
        <f t="shared" si="38"/>
        <v>1.2579410245917171E-5</v>
      </c>
      <c r="M302" s="6">
        <f t="shared" si="38"/>
        <v>1.3353786774437527E-5</v>
      </c>
      <c r="N302" s="6">
        <f t="shared" si="38"/>
        <v>1.4128429424562789E-5</v>
      </c>
      <c r="O302" s="6">
        <f t="shared" si="38"/>
        <v>1.4902626924861644E-5</v>
      </c>
      <c r="P302" s="6">
        <f t="shared" si="38"/>
        <v>1.5678152167829581E-5</v>
      </c>
      <c r="Q302" s="6">
        <f t="shared" si="38"/>
        <v>1.6454305100303981E-5</v>
      </c>
      <c r="R302" s="6">
        <f t="shared" si="38"/>
        <v>1.6526808455589215E-5</v>
      </c>
      <c r="S302" s="6">
        <f t="shared" si="38"/>
        <v>1.6600069938950614E-5</v>
      </c>
      <c r="T302" s="6">
        <f t="shared" si="38"/>
        <v>1.6673181082705899E-5</v>
      </c>
      <c r="U302" s="6">
        <f t="shared" si="38"/>
        <v>1.674768052125296E-5</v>
      </c>
      <c r="V302" s="6">
        <f t="shared" si="38"/>
        <v>1.6822667368935019E-5</v>
      </c>
      <c r="W302" s="6">
        <f t="shared" si="38"/>
        <v>1.66443359698618E-5</v>
      </c>
      <c r="X302" s="6">
        <f t="shared" si="38"/>
        <v>1.628087154566932E-5</v>
      </c>
      <c r="Y302" s="6">
        <f t="shared" si="38"/>
        <v>1.5917568690132871E-5</v>
      </c>
      <c r="Z302" s="6">
        <f t="shared" si="38"/>
        <v>1.5554420605200022E-5</v>
      </c>
    </row>
    <row r="303" spans="1:53" outlineLevel="1" x14ac:dyDescent="0.35">
      <c r="A303" s="6" t="s">
        <v>759</v>
      </c>
      <c r="B303" s="6">
        <f>B39*$AC$265</f>
        <v>1.0368000147309429E-7</v>
      </c>
      <c r="C303" s="6">
        <f t="shared" si="38"/>
        <v>1.0368000147309429E-7</v>
      </c>
      <c r="D303" s="6">
        <f t="shared" si="38"/>
        <v>1.0368000147309429E-7</v>
      </c>
      <c r="E303" s="6">
        <f t="shared" si="38"/>
        <v>1.0368000147309429E-7</v>
      </c>
      <c r="F303" s="6">
        <f t="shared" si="38"/>
        <v>1.0368000147309429E-7</v>
      </c>
      <c r="G303" s="6">
        <f t="shared" si="38"/>
        <v>1.0368000147309429E-7</v>
      </c>
      <c r="H303" s="6">
        <f t="shared" si="38"/>
        <v>1.0368000147309429E-7</v>
      </c>
      <c r="I303" s="6">
        <f t="shared" si="38"/>
        <v>1.0368000147309429E-7</v>
      </c>
      <c r="J303" s="6">
        <f t="shared" si="38"/>
        <v>1.0368000147309429E-7</v>
      </c>
      <c r="K303" s="6">
        <f t="shared" si="38"/>
        <v>1.0368000147309429E-7</v>
      </c>
      <c r="L303" s="6">
        <f t="shared" si="38"/>
        <v>1.0368000147309429E-7</v>
      </c>
      <c r="M303" s="6">
        <f t="shared" si="38"/>
        <v>1.0368000147309429E-7</v>
      </c>
      <c r="N303" s="6">
        <f t="shared" si="38"/>
        <v>1.0368000147309429E-7</v>
      </c>
      <c r="O303" s="6">
        <f t="shared" si="38"/>
        <v>1.0368000147309429E-7</v>
      </c>
      <c r="P303" s="6">
        <f t="shared" si="38"/>
        <v>1.0368000147309429E-7</v>
      </c>
      <c r="Q303" s="6">
        <f t="shared" si="38"/>
        <v>1.0368000147309429E-7</v>
      </c>
      <c r="R303" s="6">
        <f t="shared" si="38"/>
        <v>1.0368000147309429E-7</v>
      </c>
      <c r="S303" s="6">
        <f t="shared" si="38"/>
        <v>1.0368000147309429E-7</v>
      </c>
      <c r="T303" s="6">
        <f t="shared" si="38"/>
        <v>1.0368000147309429E-7</v>
      </c>
      <c r="U303" s="6">
        <f t="shared" si="38"/>
        <v>1.0368000147309429E-7</v>
      </c>
      <c r="V303" s="6">
        <f t="shared" si="38"/>
        <v>1.0368000147309429E-7</v>
      </c>
      <c r="W303" s="6">
        <f t="shared" si="38"/>
        <v>1.0368000147309429E-7</v>
      </c>
      <c r="X303" s="6">
        <f t="shared" si="38"/>
        <v>1.0368000147309429E-7</v>
      </c>
      <c r="Y303" s="6">
        <f t="shared" si="38"/>
        <v>1.0368000147309429E-7</v>
      </c>
      <c r="Z303" s="6">
        <f t="shared" si="38"/>
        <v>1.0368000147309429E-7</v>
      </c>
    </row>
    <row r="304" spans="1:53" outlineLevel="1" x14ac:dyDescent="0.35">
      <c r="A304" s="6" t="s">
        <v>760</v>
      </c>
      <c r="B304" s="6">
        <f>$B$252*$AC$264*'Results - raw data ReCiPe (H)'!AC114/(1-$AC$270)*(1+'Results ReCiPe (H) - HHD'!$AC$271/'Results ReCiPe (H) - HHD'!$AC$272-'Results ReCiPe (H) - HHD'!$AC$271)</f>
        <v>3.1744309460193256E-5</v>
      </c>
      <c r="C304" s="6">
        <f>$B$252*$AC$264*'Results - raw data ReCiPe (H)'!AD114/(1-$AC$270)*(1+'Results ReCiPe (H) - HHD'!$AC$271/'Results ReCiPe (H) - HHD'!$AC$272-'Results ReCiPe (H) - HHD'!$AC$271)</f>
        <v>3.1702352876518834E-5</v>
      </c>
      <c r="D304" s="6">
        <f>$B$252*$AC$264*'Results - raw data ReCiPe (H)'!AE114/(1-$AC$270)*(1+'Results ReCiPe (H) - HHD'!$AC$271/'Results ReCiPe (H) - HHD'!$AC$272-'Results ReCiPe (H) - HHD'!$AC$271)</f>
        <v>3.1661632077050829E-5</v>
      </c>
      <c r="E304" s="6">
        <f>$B$252*$AC$264*'Results - raw data ReCiPe (H)'!AF114/(1-$AC$270)*(1+'Results ReCiPe (H) - HHD'!$AC$271/'Results ReCiPe (H) - HHD'!$AC$272-'Results ReCiPe (H) - HHD'!$AC$271)</f>
        <v>3.1502801671480797E-5</v>
      </c>
      <c r="F304" s="6">
        <f>$B$252*$AC$264*'Results - raw data ReCiPe (H)'!AG114/(1-$AC$270)*(1+'Results ReCiPe (H) - HHD'!$AC$271/'Results ReCiPe (H) - HHD'!$AC$272-'Results ReCiPe (H) - HHD'!$AC$271)</f>
        <v>3.1464446152282981E-5</v>
      </c>
      <c r="G304" s="6">
        <f>$B$252*$AC$264*'Results - raw data ReCiPe (H)'!AH114/(1-$AC$270)*(1+'Results ReCiPe (H) - HHD'!$AC$271/'Results ReCiPe (H) - HHD'!$AC$272-'Results ReCiPe (H) - HHD'!$AC$271)</f>
        <v>3.1426806473040693E-5</v>
      </c>
      <c r="H304" s="6">
        <f>$B$252*$AC$264*'Results - raw data ReCiPe (H)'!AI114/(1-$AC$270)*(1+'Results ReCiPe (H) - HHD'!$AC$271/'Results ReCiPe (H) - HHD'!$AC$272-'Results ReCiPe (H) - HHD'!$AC$271)</f>
        <v>3.1408081030395116E-5</v>
      </c>
      <c r="I304" s="6">
        <f>$B$252*$AC$264*'Results - raw data ReCiPe (H)'!AJ114/(1-$AC$270)*(1+'Results ReCiPe (H) - HHD'!$AC$271/'Results ReCiPe (H) - HHD'!$AC$272-'Results ReCiPe (H) - HHD'!$AC$271)</f>
        <v>3.1392745566194889E-5</v>
      </c>
      <c r="J304" s="6">
        <f>$B$252*$AC$264*'Results - raw data ReCiPe (H)'!AK114/(1-$AC$270)*(1+'Results ReCiPe (H) - HHD'!$AC$271/'Results ReCiPe (H) - HHD'!$AC$272-'Results ReCiPe (H) - HHD'!$AC$271)</f>
        <v>3.1317145661736774E-5</v>
      </c>
      <c r="K304" s="6">
        <f>$B$252*$AC$264*'Results - raw data ReCiPe (H)'!AL114/(1-$AC$270)*(1+'Results ReCiPe (H) - HHD'!$AC$271/'Results ReCiPe (H) - HHD'!$AC$272-'Results ReCiPe (H) - HHD'!$AC$271)</f>
        <v>3.1307560203229918E-5</v>
      </c>
      <c r="L304" s="6">
        <f>$B$252*$AC$264*'Results - raw data ReCiPe (H)'!AM114/(1-$AC$270)*(1+'Results ReCiPe (H) - HHD'!$AC$271/'Results ReCiPe (H) - HHD'!$AC$272-'Results ReCiPe (H) - HHD'!$AC$271)</f>
        <v>3.1300223491550253E-5</v>
      </c>
      <c r="M304" s="6">
        <f>$B$252*$AC$264*'Results - raw data ReCiPe (H)'!AN114/(1-$AC$270)*(1+'Results ReCiPe (H) - HHD'!$AC$271/'Results ReCiPe (H) - HHD'!$AC$272-'Results ReCiPe (H) - HHD'!$AC$271)</f>
        <v>3.1321629712164365E-5</v>
      </c>
      <c r="N304" s="6">
        <f>$B$252*$AC$264*'Results - raw data ReCiPe (H)'!AO114/(1-$AC$270)*(1+'Results ReCiPe (H) - HHD'!$AC$271/'Results ReCiPe (H) - HHD'!$AC$272-'Results ReCiPe (H) - HHD'!$AC$271)</f>
        <v>3.1345264411264841E-5</v>
      </c>
      <c r="O304" s="6">
        <f>$B$252*$AC$264*'Results - raw data ReCiPe (H)'!AP114/(1-$AC$270)*(1+'Results ReCiPe (H) - HHD'!$AC$271/'Results ReCiPe (H) - HHD'!$AC$272-'Results ReCiPe (H) - HHD'!$AC$271)</f>
        <v>3.1354239641036336E-5</v>
      </c>
      <c r="P304" s="6">
        <f>$B$252*$AC$264*'Results - raw data ReCiPe (H)'!AQ114/(1-$AC$270)*(1+'Results ReCiPe (H) - HHD'!$AC$271/'Results ReCiPe (H) - HHD'!$AC$272-'Results ReCiPe (H) - HHD'!$AC$271)</f>
        <v>3.1382359858248952E-5</v>
      </c>
      <c r="Q304" s="6">
        <f>$B$252*$AC$264*'Results - raw data ReCiPe (H)'!AR114/(1-$AC$270)*(1+'Results ReCiPe (H) - HHD'!$AC$271/'Results ReCiPe (H) - HHD'!$AC$272-'Results ReCiPe (H) - HHD'!$AC$271)</f>
        <v>3.1414076956188649E-5</v>
      </c>
      <c r="R304" s="6">
        <f>$B$252*$AC$264*'Results - raw data ReCiPe (H)'!AS114/(1-$AC$270)*(1+'Results ReCiPe (H) - HHD'!$AC$271/'Results ReCiPe (H) - HHD'!$AC$272-'Results ReCiPe (H) - HHD'!$AC$271)</f>
        <v>3.135956541041255E-5</v>
      </c>
      <c r="S304" s="6">
        <f>$B$252*$AC$264*'Results - raw data ReCiPe (H)'!AT114/(1-$AC$270)*(1+'Results ReCiPe (H) - HHD'!$AC$271/'Results ReCiPe (H) - HHD'!$AC$272-'Results ReCiPe (H) - HHD'!$AC$271)</f>
        <v>3.1304245975970614E-5</v>
      </c>
      <c r="T304" s="6">
        <f>$B$252*$AC$264*'Results - raw data ReCiPe (H)'!AU114/(1-$AC$270)*(1+'Results ReCiPe (H) - HHD'!$AC$271/'Results ReCiPe (H) - HHD'!$AC$272-'Results ReCiPe (H) - HHD'!$AC$271)</f>
        <v>3.1230668441515055E-5</v>
      </c>
      <c r="U304" s="6">
        <f>$B$252*$AC$264*'Results - raw data ReCiPe (H)'!AV114/(1-$AC$270)*(1+'Results ReCiPe (H) - HHD'!$AC$271/'Results ReCiPe (H) - HHD'!$AC$272-'Results ReCiPe (H) - HHD'!$AC$271)</f>
        <v>3.117382143051256E-5</v>
      </c>
      <c r="V304" s="6">
        <f>$B$252*$AC$264*'Results - raw data ReCiPe (H)'!AW114/(1-$AC$270)*(1+'Results ReCiPe (H) - HHD'!$AC$271/'Results ReCiPe (H) - HHD'!$AC$272-'Results ReCiPe (H) - HHD'!$AC$271)</f>
        <v>3.1116248458791415E-5</v>
      </c>
      <c r="W304" s="6">
        <f>$B$252*$AC$264*'Results - raw data ReCiPe (H)'!AX114/(1-$AC$270)*(1+'Results ReCiPe (H) - HHD'!$AC$271/'Results ReCiPe (H) - HHD'!$AC$272-'Results ReCiPe (H) - HHD'!$AC$271)</f>
        <v>3.1185120141208926E-5</v>
      </c>
      <c r="X304" s="6">
        <f>$B$252*$AC$264*'Results - raw data ReCiPe (H)'!AY114/(1-$AC$270)*(1+'Results ReCiPe (H) - HHD'!$AC$271/'Results ReCiPe (H) - HHD'!$AC$272-'Results ReCiPe (H) - HHD'!$AC$271)</f>
        <v>3.1084043591811593E-5</v>
      </c>
      <c r="Y304" s="6">
        <f>$B$252*$AC$264*'Results - raw data ReCiPe (H)'!AZ114/(1-$AC$270)*(1+'Results ReCiPe (H) - HHD'!$AC$271/'Results ReCiPe (H) - HHD'!$AC$272-'Results ReCiPe (H) - HHD'!$AC$271)</f>
        <v>3.0982204764532915E-5</v>
      </c>
      <c r="Z304" s="6">
        <f>$B$252*$AC$264*'Results - raw data ReCiPe (H)'!BA114/(1-$AC$270)*(1+'Results ReCiPe (H) - HHD'!$AC$271/'Results ReCiPe (H) - HHD'!$AC$272-'Results ReCiPe (H) - HHD'!$AC$271)</f>
        <v>3.087958803633653E-5</v>
      </c>
    </row>
    <row r="305" spans="1:26" outlineLevel="1" x14ac:dyDescent="0.35">
      <c r="A305" s="6" t="s">
        <v>797</v>
      </c>
      <c r="B305" s="6">
        <f>$B$260*$AC$264</f>
        <v>4.2493836061690516E-5</v>
      </c>
      <c r="C305" s="6">
        <f t="shared" ref="C305:Z305" si="39">$B$260*$AC$264</f>
        <v>4.2493836061690516E-5</v>
      </c>
      <c r="D305" s="6">
        <f t="shared" si="39"/>
        <v>4.2493836061690516E-5</v>
      </c>
      <c r="E305" s="6">
        <f t="shared" si="39"/>
        <v>4.2493836061690516E-5</v>
      </c>
      <c r="F305" s="6">
        <f t="shared" si="39"/>
        <v>4.2493836061690516E-5</v>
      </c>
      <c r="G305" s="6">
        <f t="shared" si="39"/>
        <v>4.2493836061690516E-5</v>
      </c>
      <c r="H305" s="6">
        <f t="shared" si="39"/>
        <v>4.2493836061690516E-5</v>
      </c>
      <c r="I305" s="6">
        <f t="shared" si="39"/>
        <v>4.2493836061690516E-5</v>
      </c>
      <c r="J305" s="6">
        <f t="shared" si="39"/>
        <v>4.2493836061690516E-5</v>
      </c>
      <c r="K305" s="6">
        <f t="shared" si="39"/>
        <v>4.2493836061690516E-5</v>
      </c>
      <c r="L305" s="6">
        <f t="shared" si="39"/>
        <v>4.2493836061690516E-5</v>
      </c>
      <c r="M305" s="6">
        <f t="shared" si="39"/>
        <v>4.2493836061690516E-5</v>
      </c>
      <c r="N305" s="6">
        <f t="shared" si="39"/>
        <v>4.2493836061690516E-5</v>
      </c>
      <c r="O305" s="6">
        <f t="shared" si="39"/>
        <v>4.2493836061690516E-5</v>
      </c>
      <c r="P305" s="6">
        <f t="shared" si="39"/>
        <v>4.2493836061690516E-5</v>
      </c>
      <c r="Q305" s="6">
        <f t="shared" si="39"/>
        <v>4.2493836061690516E-5</v>
      </c>
      <c r="R305" s="6">
        <f t="shared" si="39"/>
        <v>4.2493836061690516E-5</v>
      </c>
      <c r="S305" s="6">
        <f t="shared" si="39"/>
        <v>4.2493836061690516E-5</v>
      </c>
      <c r="T305" s="6">
        <f t="shared" si="39"/>
        <v>4.2493836061690516E-5</v>
      </c>
      <c r="U305" s="6">
        <f t="shared" si="39"/>
        <v>4.2493836061690516E-5</v>
      </c>
      <c r="V305" s="6">
        <f t="shared" si="39"/>
        <v>4.2493836061690516E-5</v>
      </c>
      <c r="W305" s="6">
        <f t="shared" si="39"/>
        <v>4.2493836061690516E-5</v>
      </c>
      <c r="X305" s="6">
        <f t="shared" si="39"/>
        <v>4.2493836061690516E-5</v>
      </c>
      <c r="Y305" s="6">
        <f t="shared" si="39"/>
        <v>4.2493836061690516E-5</v>
      </c>
      <c r="Z305" s="6">
        <f t="shared" si="39"/>
        <v>4.2493836061690516E-5</v>
      </c>
    </row>
    <row r="306" spans="1:26" outlineLevel="1" x14ac:dyDescent="0.35">
      <c r="A306" s="23" t="s">
        <v>125</v>
      </c>
      <c r="B306" s="17">
        <f t="shared" ref="B306:Z306" si="40">SUM(B274:B304)</f>
        <v>2.3274645064833788E-4</v>
      </c>
      <c r="C306" s="17">
        <f t="shared" si="40"/>
        <v>4.7016695430191676E-5</v>
      </c>
      <c r="D306" s="17">
        <f t="shared" si="40"/>
        <v>4.6936325765280188E-5</v>
      </c>
      <c r="E306" s="17">
        <f t="shared" si="40"/>
        <v>4.6707503300006176E-5</v>
      </c>
      <c r="F306" s="17">
        <f t="shared" si="40"/>
        <v>4.6629416268062626E-5</v>
      </c>
      <c r="G306" s="17">
        <f t="shared" si="40"/>
        <v>4.6552040355162643E-5</v>
      </c>
      <c r="H306" s="17">
        <f t="shared" si="40"/>
        <v>4.6951437804289951E-5</v>
      </c>
      <c r="I306" s="17">
        <f t="shared" si="40"/>
        <v>4.735247381517842E-5</v>
      </c>
      <c r="J306" s="17">
        <f t="shared" si="40"/>
        <v>4.7675465315075892E-5</v>
      </c>
      <c r="K306" s="17">
        <f t="shared" si="40"/>
        <v>4.8079282272567101E-5</v>
      </c>
      <c r="L306" s="17">
        <f t="shared" si="40"/>
        <v>4.8483377758680717E-5</v>
      </c>
      <c r="M306" s="17">
        <f t="shared" si="40"/>
        <v>4.928987571343747E-5</v>
      </c>
      <c r="N306" s="17">
        <f t="shared" si="40"/>
        <v>5.0098811670779234E-5</v>
      </c>
      <c r="O306" s="17">
        <f t="shared" si="40"/>
        <v>5.0888856219535449E-5</v>
      </c>
      <c r="P306" s="17">
        <f t="shared" si="40"/>
        <v>5.1703201815518205E-5</v>
      </c>
      <c r="Q306" s="17">
        <f t="shared" si="40"/>
        <v>5.2521775496325319E-5</v>
      </c>
      <c r="R306" s="17">
        <f t="shared" si="40"/>
        <v>5.2523199939639835E-5</v>
      </c>
      <c r="S306" s="17">
        <f t="shared" si="40"/>
        <v>5.2524356546003388E-5</v>
      </c>
      <c r="T306" s="17">
        <f t="shared" si="40"/>
        <v>5.250310887116242E-5</v>
      </c>
      <c r="U306" s="17">
        <f t="shared" si="40"/>
        <v>5.250365984660312E-5</v>
      </c>
      <c r="V306" s="17">
        <f t="shared" si="40"/>
        <v>5.250383343042083E-5</v>
      </c>
      <c r="W306" s="17">
        <f t="shared" si="40"/>
        <v>5.238494600574268E-5</v>
      </c>
      <c r="X306" s="17">
        <f t="shared" si="40"/>
        <v>5.1890483797245029E-5</v>
      </c>
      <c r="Y306" s="17">
        <f t="shared" si="40"/>
        <v>5.1395255839251401E-5</v>
      </c>
      <c r="Z306" s="17">
        <f t="shared" si="40"/>
        <v>5.3778295647880776E-5</v>
      </c>
    </row>
    <row r="307" spans="1:26" outlineLevel="1" x14ac:dyDescent="0.35"/>
    <row r="308" spans="1:26" s="18" customFormat="1" ht="21" x14ac:dyDescent="0.5">
      <c r="A308" s="18" t="s">
        <v>73</v>
      </c>
    </row>
    <row r="309" spans="1:26" s="20" customFormat="1" outlineLevel="1" x14ac:dyDescent="0.35">
      <c r="A309" s="19" t="s">
        <v>788</v>
      </c>
    </row>
    <row r="310" spans="1:26" s="20" customFormat="1" outlineLevel="1" x14ac:dyDescent="0.35">
      <c r="A310" s="273" t="s">
        <v>775</v>
      </c>
      <c r="B310" s="20">
        <v>1</v>
      </c>
      <c r="C310" s="274" t="s">
        <v>787</v>
      </c>
    </row>
    <row r="311" spans="1:26" s="20" customFormat="1" outlineLevel="1" x14ac:dyDescent="0.35">
      <c r="A311" s="273" t="s">
        <v>781</v>
      </c>
      <c r="B311" s="20">
        <v>100000</v>
      </c>
      <c r="C311" s="20" t="s">
        <v>782</v>
      </c>
      <c r="E311" s="274"/>
    </row>
    <row r="312" spans="1:26" s="20" customFormat="1" outlineLevel="1" x14ac:dyDescent="0.35">
      <c r="A312" s="273" t="s">
        <v>783</v>
      </c>
      <c r="B312" s="20">
        <v>1500</v>
      </c>
      <c r="C312" s="20" t="s">
        <v>592</v>
      </c>
    </row>
    <row r="313" spans="1:26" s="20" customFormat="1" outlineLevel="1" x14ac:dyDescent="0.35">
      <c r="A313" s="273" t="s">
        <v>784</v>
      </c>
      <c r="B313" s="20">
        <v>8760</v>
      </c>
      <c r="C313" s="20" t="s">
        <v>785</v>
      </c>
    </row>
    <row r="314" spans="1:26" s="20" customFormat="1" outlineLevel="1" x14ac:dyDescent="0.35">
      <c r="A314" s="273"/>
    </row>
    <row r="315" spans="1:26" s="20" customFormat="1" outlineLevel="1" x14ac:dyDescent="0.35">
      <c r="A315" s="275" t="s">
        <v>786</v>
      </c>
      <c r="B315" s="275">
        <f>(B311*B312)/(B313*B310)</f>
        <v>17123.287671232876</v>
      </c>
      <c r="C315" s="275" t="s">
        <v>749</v>
      </c>
    </row>
    <row r="316" spans="1:26" s="20" customFormat="1" outlineLevel="1" x14ac:dyDescent="0.35">
      <c r="A316" s="19"/>
    </row>
    <row r="317" spans="1:26" s="20" customFormat="1" outlineLevel="1" x14ac:dyDescent="0.35">
      <c r="A317" s="19" t="s">
        <v>793</v>
      </c>
    </row>
    <row r="318" spans="1:26" s="20" customFormat="1" outlineLevel="1" x14ac:dyDescent="0.35">
      <c r="A318" s="273" t="s">
        <v>789</v>
      </c>
      <c r="B318" s="20">
        <f>SUM('Results - raw data ReCiPe (H)'!AC146:AC147)+'Results - raw data ReCiPe (H)'!AC150+SUM('Results - raw data ReCiPe (H)'!AC148:AC149)*AC267</f>
        <v>7.9563695882550822E-6</v>
      </c>
      <c r="C318" s="20" t="s">
        <v>878</v>
      </c>
    </row>
    <row r="319" spans="1:26" s="20" customFormat="1" outlineLevel="1" x14ac:dyDescent="0.35">
      <c r="A319" s="20" t="s">
        <v>792</v>
      </c>
      <c r="B319" s="20">
        <f>B311*AC325</f>
        <v>50000</v>
      </c>
      <c r="C319" s="274" t="s">
        <v>795</v>
      </c>
    </row>
    <row r="320" spans="1:26" s="20" customFormat="1" outlineLevel="1" x14ac:dyDescent="0.35">
      <c r="A320" s="20" t="s">
        <v>791</v>
      </c>
      <c r="B320" s="20">
        <f>(B318*AC327*B315)/(B319*AC326)*(AC326/AC328)</f>
        <v>8.1743523167004256E-7</v>
      </c>
      <c r="C320" s="20" t="s">
        <v>879</v>
      </c>
      <c r="E320" s="274" t="s">
        <v>796</v>
      </c>
    </row>
    <row r="321" spans="1:53" s="20" customFormat="1" outlineLevel="1" x14ac:dyDescent="0.35">
      <c r="A321" s="19"/>
    </row>
    <row r="322" spans="1:53" s="16" customFormat="1" outlineLevel="1" x14ac:dyDescent="0.35">
      <c r="A322" s="21"/>
      <c r="AB322" s="15" t="s">
        <v>143</v>
      </c>
      <c r="AC322" s="16">
        <f>0.0000000028+0.0000000000000765</f>
        <v>2.8000764999999998E-9</v>
      </c>
      <c r="AD322" s="16" t="s">
        <v>142</v>
      </c>
      <c r="AE322" s="15" t="s">
        <v>714</v>
      </c>
    </row>
    <row r="323" spans="1:53" s="16" customFormat="1" outlineLevel="1" x14ac:dyDescent="0.35">
      <c r="A323" s="22" t="s">
        <v>871</v>
      </c>
      <c r="AC323" s="16">
        <f>AC322*1000</f>
        <v>2.8000765E-6</v>
      </c>
      <c r="AD323" s="16" t="s">
        <v>145</v>
      </c>
    </row>
    <row r="324" spans="1:53" s="16" customFormat="1" outlineLevel="1" x14ac:dyDescent="0.35">
      <c r="A324" s="22"/>
      <c r="AB324" s="16" t="s">
        <v>127</v>
      </c>
      <c r="AC324" s="16">
        <f>100*AC325</f>
        <v>50</v>
      </c>
      <c r="AD324" s="16" t="s">
        <v>128</v>
      </c>
    </row>
    <row r="325" spans="1:53" s="16" customFormat="1" outlineLevel="1" x14ac:dyDescent="0.35">
      <c r="A325" s="230"/>
      <c r="AB325" s="16" t="s">
        <v>776</v>
      </c>
      <c r="AC325" s="16">
        <v>0.5</v>
      </c>
    </row>
    <row r="326" spans="1:53" s="16" customFormat="1" outlineLevel="1" x14ac:dyDescent="0.35">
      <c r="A326" s="21"/>
      <c r="AB326" s="16" t="s">
        <v>129</v>
      </c>
      <c r="AC326" s="16">
        <v>25</v>
      </c>
      <c r="AD326" s="16" t="s">
        <v>130</v>
      </c>
    </row>
    <row r="327" spans="1:53" s="16" customFormat="1" outlineLevel="1" x14ac:dyDescent="0.35">
      <c r="A327" s="21"/>
      <c r="AB327" s="16" t="s">
        <v>777</v>
      </c>
      <c r="AC327" s="16">
        <v>6</v>
      </c>
      <c r="AD327" s="16" t="s">
        <v>779</v>
      </c>
    </row>
    <row r="328" spans="1:53" s="16" customFormat="1" outlineLevel="1" x14ac:dyDescent="0.35">
      <c r="A328" s="21"/>
      <c r="AB328" s="16" t="s">
        <v>778</v>
      </c>
      <c r="AC328" s="16">
        <v>20</v>
      </c>
      <c r="AD328" s="16" t="s">
        <v>130</v>
      </c>
    </row>
    <row r="329" spans="1:53" s="16" customFormat="1" outlineLevel="1" x14ac:dyDescent="0.35">
      <c r="AB329" s="16" t="s">
        <v>780</v>
      </c>
      <c r="AC329" s="16">
        <f>B315</f>
        <v>17123.287671232876</v>
      </c>
      <c r="AD329" s="16" t="s">
        <v>749</v>
      </c>
    </row>
    <row r="330" spans="1:53" s="16" customFormat="1" outlineLevel="1" x14ac:dyDescent="0.35">
      <c r="AB330" s="16" t="s">
        <v>820</v>
      </c>
      <c r="AC330" s="16">
        <v>0.5</v>
      </c>
    </row>
    <row r="331" spans="1:53" s="16" customFormat="1" outlineLevel="1" x14ac:dyDescent="0.35">
      <c r="AB331" s="16" t="s">
        <v>798</v>
      </c>
      <c r="AC331" s="16">
        <v>0.25</v>
      </c>
    </row>
    <row r="332" spans="1:53" s="16" customFormat="1" outlineLevel="1" x14ac:dyDescent="0.35">
      <c r="A332" s="22"/>
      <c r="AB332" s="16" t="s">
        <v>799</v>
      </c>
      <c r="AC332" s="16">
        <v>0.9</v>
      </c>
    </row>
    <row r="333" spans="1:53" outlineLevel="1" x14ac:dyDescent="0.35">
      <c r="B333" s="25">
        <v>2030</v>
      </c>
      <c r="C333" s="25">
        <v>2031</v>
      </c>
      <c r="D333" s="25">
        <v>2032</v>
      </c>
      <c r="E333" s="25">
        <v>2033</v>
      </c>
      <c r="F333" s="25">
        <v>2034</v>
      </c>
      <c r="G333" s="25">
        <v>2035</v>
      </c>
      <c r="H333" s="25">
        <v>2036</v>
      </c>
      <c r="I333" s="25">
        <v>2037</v>
      </c>
      <c r="J333" s="25">
        <v>2038</v>
      </c>
      <c r="K333" s="25">
        <v>2039</v>
      </c>
      <c r="L333" s="25">
        <v>2040</v>
      </c>
      <c r="M333" s="25">
        <v>2041</v>
      </c>
      <c r="N333" s="25">
        <v>2042</v>
      </c>
      <c r="O333" s="25">
        <v>2043</v>
      </c>
      <c r="P333" s="25">
        <v>2044</v>
      </c>
      <c r="Q333" s="25">
        <v>2045</v>
      </c>
      <c r="R333" s="25">
        <v>2046</v>
      </c>
      <c r="S333" s="25">
        <v>2047</v>
      </c>
      <c r="T333" s="25">
        <v>2048</v>
      </c>
      <c r="U333" s="25">
        <v>2049</v>
      </c>
      <c r="V333" s="25">
        <v>2050</v>
      </c>
      <c r="W333" s="25">
        <v>2051</v>
      </c>
      <c r="X333" s="25">
        <v>2052</v>
      </c>
      <c r="Y333" s="25">
        <v>2053</v>
      </c>
      <c r="Z333" s="25">
        <v>2054</v>
      </c>
      <c r="AC333" s="25">
        <v>2030</v>
      </c>
      <c r="AD333" s="25">
        <v>2031</v>
      </c>
      <c r="AE333" s="25">
        <v>2032</v>
      </c>
      <c r="AF333" s="25">
        <v>2033</v>
      </c>
      <c r="AG333" s="25">
        <v>2034</v>
      </c>
      <c r="AH333" s="25">
        <v>2035</v>
      </c>
      <c r="AI333" s="25">
        <v>2036</v>
      </c>
      <c r="AJ333" s="25">
        <v>2037</v>
      </c>
      <c r="AK333" s="25">
        <v>2038</v>
      </c>
      <c r="AL333" s="25">
        <v>2039</v>
      </c>
      <c r="AM333" s="25">
        <v>2040</v>
      </c>
      <c r="AN333" s="25">
        <v>2041</v>
      </c>
      <c r="AO333" s="25">
        <v>2042</v>
      </c>
      <c r="AP333" s="25">
        <v>2043</v>
      </c>
      <c r="AQ333" s="25">
        <v>2044</v>
      </c>
      <c r="AR333" s="25">
        <v>2045</v>
      </c>
      <c r="AS333" s="25">
        <v>2046</v>
      </c>
      <c r="AT333" s="25">
        <v>2047</v>
      </c>
      <c r="AU333" s="25">
        <v>2048</v>
      </c>
      <c r="AV333" s="25">
        <v>2049</v>
      </c>
      <c r="AW333" s="25">
        <v>2050</v>
      </c>
      <c r="AX333" s="25">
        <v>2051</v>
      </c>
      <c r="AY333" s="25">
        <v>2052</v>
      </c>
      <c r="AZ333" s="25">
        <v>2053</v>
      </c>
      <c r="BA333" s="25">
        <v>2054</v>
      </c>
    </row>
    <row r="334" spans="1:53" outlineLevel="1" x14ac:dyDescent="0.35">
      <c r="A334" s="6" t="s">
        <v>21</v>
      </c>
      <c r="B334" s="6">
        <f>B50</f>
        <v>3.1244393966085418E-6</v>
      </c>
      <c r="AB334" s="6" t="s">
        <v>117</v>
      </c>
      <c r="AC334" s="6">
        <f>SUM(B334:B345)+B347</f>
        <v>1.6886495556759864E-4</v>
      </c>
    </row>
    <row r="335" spans="1:53" outlineLevel="1" x14ac:dyDescent="0.35">
      <c r="A335" s="6" t="s">
        <v>23</v>
      </c>
      <c r="B335" s="6">
        <f t="shared" ref="B335:B345" si="41">B51</f>
        <v>5.6429582916055214E-6</v>
      </c>
      <c r="AB335" s="6" t="s">
        <v>118</v>
      </c>
      <c r="AC335" s="6">
        <f>B346</f>
        <v>5.3828988447895789E-6</v>
      </c>
    </row>
    <row r="336" spans="1:53" outlineLevel="1" x14ac:dyDescent="0.35">
      <c r="A336" s="6" t="s">
        <v>26</v>
      </c>
      <c r="B336" s="6">
        <f t="shared" si="41"/>
        <v>1.418628247834127E-5</v>
      </c>
      <c r="AB336" s="6" t="s">
        <v>119</v>
      </c>
      <c r="BA336" s="6">
        <f>SUM(Z348:Z359)</f>
        <v>2.5814369390254752E-6</v>
      </c>
    </row>
    <row r="337" spans="1:53" outlineLevel="1" x14ac:dyDescent="0.35">
      <c r="A337" s="6" t="s">
        <v>28</v>
      </c>
      <c r="B337" s="6">
        <f t="shared" si="41"/>
        <v>1.150422510297097E-5</v>
      </c>
      <c r="AB337" s="6" t="s">
        <v>120</v>
      </c>
      <c r="BA337" s="6">
        <f>Z360</f>
        <v>4.4588828617303134E-8</v>
      </c>
    </row>
    <row r="338" spans="1:53" outlineLevel="1" x14ac:dyDescent="0.35">
      <c r="A338" s="6" t="s">
        <v>29</v>
      </c>
      <c r="B338" s="6">
        <f t="shared" si="41"/>
        <v>9.1719333838261594E-6</v>
      </c>
      <c r="AB338" s="6" t="s">
        <v>121</v>
      </c>
      <c r="AC338" s="6">
        <f>B361</f>
        <v>4.3941155135361717E-6</v>
      </c>
      <c r="AF338" s="6">
        <f>E361</f>
        <v>4.2507924568478764E-6</v>
      </c>
      <c r="AI338" s="6">
        <f>H361</f>
        <v>4.1207843305059888E-6</v>
      </c>
      <c r="AL338" s="6">
        <f>K361</f>
        <v>3.961479922998473E-6</v>
      </c>
      <c r="AO338" s="6">
        <f>N361</f>
        <v>3.782659921523485E-6</v>
      </c>
      <c r="AR338" s="6">
        <f>Q361</f>
        <v>3.5852486401048028E-6</v>
      </c>
      <c r="AU338" s="6">
        <f>T361</f>
        <v>3.4498744880293848E-6</v>
      </c>
      <c r="AX338" s="6">
        <f>W361</f>
        <v>3.372986237475297E-6</v>
      </c>
      <c r="BA338" s="6">
        <f>Z361</f>
        <v>3.3539861692443772E-6</v>
      </c>
    </row>
    <row r="339" spans="1:53" outlineLevel="1" x14ac:dyDescent="0.35">
      <c r="A339" s="6" t="s">
        <v>31</v>
      </c>
      <c r="B339" s="6">
        <f t="shared" si="41"/>
        <v>7.2421411651487134E-6</v>
      </c>
      <c r="AB339" s="6" t="s">
        <v>797</v>
      </c>
      <c r="AC339" s="6">
        <f>B365</f>
        <v>4.0871761583502129E-5</v>
      </c>
      <c r="AD339" s="6">
        <f t="shared" ref="AD339:BA339" si="42">C365</f>
        <v>4.0871761583502129E-5</v>
      </c>
      <c r="AE339" s="6">
        <f t="shared" si="42"/>
        <v>4.0871761583502129E-5</v>
      </c>
      <c r="AF339" s="6">
        <f t="shared" si="42"/>
        <v>4.0871761583502129E-5</v>
      </c>
      <c r="AG339" s="6">
        <f t="shared" si="42"/>
        <v>4.0871761583502129E-5</v>
      </c>
      <c r="AH339" s="6">
        <f t="shared" si="42"/>
        <v>4.0871761583502129E-5</v>
      </c>
      <c r="AI339" s="6">
        <f t="shared" si="42"/>
        <v>4.0871761583502129E-5</v>
      </c>
      <c r="AJ339" s="6">
        <f t="shared" si="42"/>
        <v>4.0871761583502129E-5</v>
      </c>
      <c r="AK339" s="6">
        <f t="shared" si="42"/>
        <v>4.0871761583502129E-5</v>
      </c>
      <c r="AL339" s="6">
        <f t="shared" si="42"/>
        <v>4.0871761583502129E-5</v>
      </c>
      <c r="AM339" s="6">
        <f t="shared" si="42"/>
        <v>4.0871761583502129E-5</v>
      </c>
      <c r="AN339" s="6">
        <f t="shared" si="42"/>
        <v>4.0871761583502129E-5</v>
      </c>
      <c r="AO339" s="6">
        <f t="shared" si="42"/>
        <v>4.0871761583502129E-5</v>
      </c>
      <c r="AP339" s="6">
        <f t="shared" si="42"/>
        <v>4.0871761583502129E-5</v>
      </c>
      <c r="AQ339" s="6">
        <f t="shared" si="42"/>
        <v>4.0871761583502129E-5</v>
      </c>
      <c r="AR339" s="6">
        <f t="shared" si="42"/>
        <v>4.0871761583502129E-5</v>
      </c>
      <c r="AS339" s="6">
        <f t="shared" si="42"/>
        <v>4.0871761583502129E-5</v>
      </c>
      <c r="AT339" s="6">
        <f t="shared" si="42"/>
        <v>4.0871761583502129E-5</v>
      </c>
      <c r="AU339" s="6">
        <f t="shared" si="42"/>
        <v>4.0871761583502129E-5</v>
      </c>
      <c r="AV339" s="6">
        <f t="shared" si="42"/>
        <v>4.0871761583502129E-5</v>
      </c>
      <c r="AW339" s="6">
        <f t="shared" si="42"/>
        <v>4.0871761583502129E-5</v>
      </c>
      <c r="AX339" s="6">
        <f t="shared" si="42"/>
        <v>4.0871761583502129E-5</v>
      </c>
      <c r="AY339" s="6">
        <f t="shared" si="42"/>
        <v>4.0871761583502129E-5</v>
      </c>
      <c r="AZ339" s="6">
        <f t="shared" si="42"/>
        <v>4.0871761583502129E-5</v>
      </c>
      <c r="BA339" s="6">
        <f t="shared" si="42"/>
        <v>4.0871761583502129E-5</v>
      </c>
    </row>
    <row r="340" spans="1:53" outlineLevel="1" x14ac:dyDescent="0.35">
      <c r="A340" s="6" t="s">
        <v>34</v>
      </c>
      <c r="B340" s="6">
        <f t="shared" si="41"/>
        <v>5.0838586316427567E-6</v>
      </c>
      <c r="AB340" s="6" t="s">
        <v>122</v>
      </c>
      <c r="AC340" s="6">
        <f t="shared" ref="AC340:AV340" si="43">B364+B363</f>
        <v>3.0579456005944634E-5</v>
      </c>
      <c r="AD340" s="6">
        <f t="shared" si="43"/>
        <v>3.0315643832565207E-5</v>
      </c>
      <c r="AE340" s="6">
        <f t="shared" si="43"/>
        <v>3.0046365533739365E-5</v>
      </c>
      <c r="AF340" s="6">
        <f t="shared" si="43"/>
        <v>2.9653165190446102E-5</v>
      </c>
      <c r="AG340" s="6">
        <f t="shared" si="43"/>
        <v>2.9373937522208305E-5</v>
      </c>
      <c r="AH340" s="6">
        <f t="shared" si="43"/>
        <v>2.9089544483119878E-5</v>
      </c>
      <c r="AI340" s="6">
        <f t="shared" si="43"/>
        <v>2.8840085357698996E-5</v>
      </c>
      <c r="AJ340" s="6">
        <f t="shared" si="43"/>
        <v>2.8608301239059106E-5</v>
      </c>
      <c r="AK340" s="6">
        <f t="shared" si="43"/>
        <v>2.831758934022452E-5</v>
      </c>
      <c r="AL340" s="6">
        <f t="shared" si="43"/>
        <v>2.8090522022836749E-5</v>
      </c>
      <c r="AM340" s="6">
        <f t="shared" si="43"/>
        <v>2.7860475996081412E-5</v>
      </c>
      <c r="AN340" s="6">
        <f t="shared" si="43"/>
        <v>2.766695455824348E-5</v>
      </c>
      <c r="AO340" s="6">
        <f t="shared" si="43"/>
        <v>2.7475377909819686E-5</v>
      </c>
      <c r="AP340" s="6">
        <f t="shared" si="43"/>
        <v>2.7262409843764254E-5</v>
      </c>
      <c r="AQ340" s="6">
        <f t="shared" si="43"/>
        <v>2.7074838495933675E-5</v>
      </c>
      <c r="AR340" s="6">
        <f t="shared" si="43"/>
        <v>2.6890005070460946E-5</v>
      </c>
      <c r="AS340" s="6">
        <f t="shared" si="43"/>
        <v>2.6770678435611011E-5</v>
      </c>
      <c r="AT340" s="6">
        <f t="shared" si="43"/>
        <v>2.665474441709669E-5</v>
      </c>
      <c r="AU340" s="6">
        <f t="shared" si="43"/>
        <v>2.652096826349867E-5</v>
      </c>
      <c r="AV340" s="6">
        <f t="shared" si="43"/>
        <v>2.6414375250292009E-5</v>
      </c>
      <c r="AW340" s="6">
        <f>V364</f>
        <v>2.6213526345897014E-5</v>
      </c>
      <c r="AX340" s="6">
        <f>W364</f>
        <v>2.6339167912679071E-5</v>
      </c>
      <c r="AY340" s="6">
        <f>X364</f>
        <v>2.6313040975251445E-5</v>
      </c>
      <c r="AZ340" s="6">
        <f>Y364</f>
        <v>2.6287217030870466E-5</v>
      </c>
      <c r="BA340" s="6">
        <f>Z364</f>
        <v>2.6261726102380168E-5</v>
      </c>
    </row>
    <row r="341" spans="1:53" outlineLevel="1" x14ac:dyDescent="0.35">
      <c r="A341" s="6" t="s">
        <v>36</v>
      </c>
      <c r="B341" s="6">
        <f t="shared" si="41"/>
        <v>4.2855500853218693E-6</v>
      </c>
      <c r="AB341" s="6" t="s">
        <v>123</v>
      </c>
      <c r="AC341" s="6">
        <f t="shared" ref="AC341:BA341" si="44">B362</f>
        <v>9.6954746586764057E-6</v>
      </c>
      <c r="AD341" s="6">
        <f t="shared" si="44"/>
        <v>9.3306642549438442E-6</v>
      </c>
      <c r="AE341" s="6">
        <f t="shared" si="44"/>
        <v>8.9671676400278909E-6</v>
      </c>
      <c r="AF341" s="6">
        <f t="shared" si="44"/>
        <v>8.5985824253953452E-6</v>
      </c>
      <c r="AG341" s="6">
        <f t="shared" si="44"/>
        <v>8.2376278135999108E-6</v>
      </c>
      <c r="AH341" s="6">
        <f t="shared" si="44"/>
        <v>7.8779771922166652E-6</v>
      </c>
      <c r="AI341" s="6">
        <f t="shared" si="44"/>
        <v>7.651837433561515E-6</v>
      </c>
      <c r="AJ341" s="6">
        <f t="shared" si="44"/>
        <v>7.4260687501321696E-6</v>
      </c>
      <c r="AK341" s="6">
        <f t="shared" si="44"/>
        <v>7.1957386060043106E-6</v>
      </c>
      <c r="AL341" s="6">
        <f t="shared" si="44"/>
        <v>6.9700543612399097E-6</v>
      </c>
      <c r="AM341" s="6">
        <f t="shared" si="44"/>
        <v>6.7443878930071847E-6</v>
      </c>
      <c r="AN341" s="6">
        <f t="shared" si="44"/>
        <v>6.5920641686426452E-6</v>
      </c>
      <c r="AO341" s="6">
        <f t="shared" si="44"/>
        <v>6.4390658012660851E-6</v>
      </c>
      <c r="AP341" s="6">
        <f t="shared" si="44"/>
        <v>6.2838164428475598E-6</v>
      </c>
      <c r="AQ341" s="6">
        <f t="shared" si="44"/>
        <v>6.1291647695470648E-6</v>
      </c>
      <c r="AR341" s="6">
        <f t="shared" si="44"/>
        <v>5.9738353852127054E-6</v>
      </c>
      <c r="AS341" s="6">
        <f t="shared" si="44"/>
        <v>5.9042646347515797E-6</v>
      </c>
      <c r="AT341" s="6">
        <f t="shared" si="44"/>
        <v>5.8347290118658995E-6</v>
      </c>
      <c r="AU341" s="6">
        <f t="shared" si="44"/>
        <v>5.7638881272255604E-6</v>
      </c>
      <c r="AV341" s="6">
        <f t="shared" si="44"/>
        <v>5.6943462357736248E-6</v>
      </c>
      <c r="AW341" s="6">
        <f t="shared" si="44"/>
        <v>5.6248475214853853E-6</v>
      </c>
      <c r="AX341" s="6">
        <f t="shared" si="44"/>
        <v>5.6301751725030944E-6</v>
      </c>
      <c r="AY341" s="6">
        <f t="shared" si="44"/>
        <v>5.5977296316368199E-6</v>
      </c>
      <c r="AZ341" s="6">
        <f t="shared" si="44"/>
        <v>5.5652313807540004E-6</v>
      </c>
      <c r="BA341" s="6">
        <f t="shared" si="44"/>
        <v>5.5326757401386704E-6</v>
      </c>
    </row>
    <row r="342" spans="1:53" outlineLevel="1" x14ac:dyDescent="0.35">
      <c r="A342" s="6" t="s">
        <v>38</v>
      </c>
      <c r="B342" s="6">
        <f t="shared" si="41"/>
        <v>2.291638491689332E-5</v>
      </c>
      <c r="AB342" s="6" t="s">
        <v>124</v>
      </c>
      <c r="AC342" s="6">
        <f>-$AC$323*$AC$324</f>
        <v>-1.4000382499999999E-4</v>
      </c>
      <c r="AD342" s="6">
        <f t="shared" ref="AD342:BA342" si="45">-$AC$323*$AC$324</f>
        <v>-1.4000382499999999E-4</v>
      </c>
      <c r="AE342" s="6">
        <f t="shared" si="45"/>
        <v>-1.4000382499999999E-4</v>
      </c>
      <c r="AF342" s="6">
        <f t="shared" si="45"/>
        <v>-1.4000382499999999E-4</v>
      </c>
      <c r="AG342" s="6">
        <f t="shared" si="45"/>
        <v>-1.4000382499999999E-4</v>
      </c>
      <c r="AH342" s="6">
        <f t="shared" si="45"/>
        <v>-1.4000382499999999E-4</v>
      </c>
      <c r="AI342" s="6">
        <f t="shared" si="45"/>
        <v>-1.4000382499999999E-4</v>
      </c>
      <c r="AJ342" s="6">
        <f t="shared" si="45"/>
        <v>-1.4000382499999999E-4</v>
      </c>
      <c r="AK342" s="6">
        <f t="shared" si="45"/>
        <v>-1.4000382499999999E-4</v>
      </c>
      <c r="AL342" s="6">
        <f t="shared" si="45"/>
        <v>-1.4000382499999999E-4</v>
      </c>
      <c r="AM342" s="6">
        <f t="shared" si="45"/>
        <v>-1.4000382499999999E-4</v>
      </c>
      <c r="AN342" s="6">
        <f t="shared" si="45"/>
        <v>-1.4000382499999999E-4</v>
      </c>
      <c r="AO342" s="6">
        <f t="shared" si="45"/>
        <v>-1.4000382499999999E-4</v>
      </c>
      <c r="AP342" s="6">
        <f t="shared" si="45"/>
        <v>-1.4000382499999999E-4</v>
      </c>
      <c r="AQ342" s="6">
        <f t="shared" si="45"/>
        <v>-1.4000382499999999E-4</v>
      </c>
      <c r="AR342" s="6">
        <f t="shared" si="45"/>
        <v>-1.4000382499999999E-4</v>
      </c>
      <c r="AS342" s="6">
        <f t="shared" si="45"/>
        <v>-1.4000382499999999E-4</v>
      </c>
      <c r="AT342" s="6">
        <f t="shared" si="45"/>
        <v>-1.4000382499999999E-4</v>
      </c>
      <c r="AU342" s="6">
        <f t="shared" si="45"/>
        <v>-1.4000382499999999E-4</v>
      </c>
      <c r="AV342" s="6">
        <f t="shared" si="45"/>
        <v>-1.4000382499999999E-4</v>
      </c>
      <c r="AW342" s="6">
        <f t="shared" si="45"/>
        <v>-1.4000382499999999E-4</v>
      </c>
      <c r="AX342" s="6">
        <f t="shared" si="45"/>
        <v>-1.4000382499999999E-4</v>
      </c>
      <c r="AY342" s="6">
        <f t="shared" si="45"/>
        <v>-1.4000382499999999E-4</v>
      </c>
      <c r="AZ342" s="6">
        <f t="shared" si="45"/>
        <v>-1.4000382499999999E-4</v>
      </c>
      <c r="BA342" s="6">
        <f t="shared" si="45"/>
        <v>-1.4000382499999999E-4</v>
      </c>
    </row>
    <row r="343" spans="1:53" outlineLevel="1" x14ac:dyDescent="0.35">
      <c r="A343" s="6" t="s">
        <v>39</v>
      </c>
      <c r="B343" s="6">
        <f t="shared" si="41"/>
        <v>6.8369970539627651E-5</v>
      </c>
      <c r="AB343" s="23" t="s">
        <v>125</v>
      </c>
      <c r="AC343" s="17">
        <f t="shared" ref="AC343:BA343" si="46">SUM(AC334:AC342)</f>
        <v>1.1978483717404754E-4</v>
      </c>
      <c r="AD343" s="17">
        <f t="shared" si="46"/>
        <v>-5.9485755328988799E-5</v>
      </c>
      <c r="AE343" s="17">
        <f t="shared" si="46"/>
        <v>-6.0118530242730606E-5</v>
      </c>
      <c r="AF343" s="17">
        <f t="shared" si="46"/>
        <v>-5.6629523343808532E-5</v>
      </c>
      <c r="AG343" s="17">
        <f t="shared" si="46"/>
        <v>-6.1520498080689642E-5</v>
      </c>
      <c r="AH343" s="17">
        <f t="shared" si="46"/>
        <v>-6.2164541741161326E-5</v>
      </c>
      <c r="AI343" s="17">
        <f t="shared" si="46"/>
        <v>-5.8519356294731362E-5</v>
      </c>
      <c r="AJ343" s="17">
        <f t="shared" si="46"/>
        <v>-6.3097693427306592E-5</v>
      </c>
      <c r="AK343" s="17">
        <f t="shared" si="46"/>
        <v>-6.3618735470269037E-5</v>
      </c>
      <c r="AL343" s="17">
        <f t="shared" si="46"/>
        <v>-6.0110007109422729E-5</v>
      </c>
      <c r="AM343" s="17">
        <f t="shared" si="46"/>
        <v>-6.4527199527409271E-5</v>
      </c>
      <c r="AN343" s="17">
        <f t="shared" si="46"/>
        <v>-6.4873044689611739E-5</v>
      </c>
      <c r="AO343" s="17">
        <f t="shared" si="46"/>
        <v>-6.1434959783888604E-5</v>
      </c>
      <c r="AP343" s="17">
        <f t="shared" si="46"/>
        <v>-6.5585837129886058E-5</v>
      </c>
      <c r="AQ343" s="17">
        <f t="shared" si="46"/>
        <v>-6.5928060151017112E-5</v>
      </c>
      <c r="AR343" s="17">
        <f t="shared" si="46"/>
        <v>-6.2682974320719395E-5</v>
      </c>
      <c r="AS343" s="17">
        <f t="shared" si="46"/>
        <v>-6.6457120346135283E-5</v>
      </c>
      <c r="AT343" s="17">
        <f t="shared" si="46"/>
        <v>-6.664258998753527E-5</v>
      </c>
      <c r="AU343" s="17">
        <f t="shared" si="46"/>
        <v>-6.3397332537744238E-5</v>
      </c>
      <c r="AV343" s="17">
        <f t="shared" si="46"/>
        <v>-6.7023341930432223E-5</v>
      </c>
      <c r="AW343" s="17">
        <f t="shared" si="46"/>
        <v>-6.729368954911546E-5</v>
      </c>
      <c r="AX343" s="17">
        <f t="shared" si="46"/>
        <v>-6.3789734093840398E-5</v>
      </c>
      <c r="AY343" s="17">
        <f t="shared" si="46"/>
        <v>-6.7221292809609606E-5</v>
      </c>
      <c r="AZ343" s="17">
        <f t="shared" si="46"/>
        <v>-6.7279615004873394E-5</v>
      </c>
      <c r="BA343" s="17">
        <f t="shared" si="46"/>
        <v>-6.1357649637091871E-5</v>
      </c>
    </row>
    <row r="344" spans="1:53" outlineLevel="1" x14ac:dyDescent="0.35">
      <c r="A344" s="6" t="s">
        <v>41</v>
      </c>
      <c r="B344" s="6">
        <f t="shared" si="41"/>
        <v>7.1745132553752663E-7</v>
      </c>
    </row>
    <row r="345" spans="1:53" outlineLevel="1" x14ac:dyDescent="0.35">
      <c r="A345" s="6" t="s">
        <v>43</v>
      </c>
      <c r="B345" s="6">
        <f t="shared" si="41"/>
        <v>2.0194466025799359E-6</v>
      </c>
      <c r="AB345" s="282"/>
      <c r="AC345" s="282"/>
      <c r="AD345" s="282"/>
      <c r="AE345" s="282"/>
      <c r="AF345" s="282"/>
      <c r="AG345" s="282"/>
      <c r="AH345" s="282"/>
      <c r="AI345" s="282"/>
      <c r="AJ345" s="282"/>
      <c r="AK345" s="282"/>
      <c r="AL345" s="282"/>
      <c r="AM345" s="282"/>
      <c r="AN345" s="282"/>
      <c r="AO345" s="282"/>
      <c r="AP345" s="282"/>
      <c r="AQ345" s="282"/>
      <c r="AR345" s="282"/>
      <c r="AS345" s="282"/>
      <c r="AT345" s="282"/>
      <c r="AU345" s="282"/>
      <c r="AV345" s="282"/>
      <c r="AW345" s="282"/>
      <c r="AX345" s="282"/>
      <c r="AY345" s="282"/>
      <c r="AZ345" s="282"/>
      <c r="BA345" s="282"/>
    </row>
    <row r="346" spans="1:53" outlineLevel="1" x14ac:dyDescent="0.35">
      <c r="A346" s="6" t="s">
        <v>44</v>
      </c>
      <c r="B346" s="6">
        <f>B62*AC325</f>
        <v>5.3828988447895789E-6</v>
      </c>
      <c r="AB346" s="282"/>
      <c r="AC346" s="282"/>
      <c r="AD346" s="282"/>
      <c r="AE346" s="282"/>
      <c r="AF346" s="282"/>
      <c r="AG346" s="282"/>
      <c r="AH346" s="282"/>
      <c r="AI346" s="282"/>
      <c r="AJ346" s="282"/>
      <c r="AK346" s="282"/>
      <c r="AL346" s="282"/>
      <c r="AM346" s="282"/>
      <c r="AN346" s="282"/>
      <c r="AO346" s="282"/>
      <c r="AP346" s="282"/>
      <c r="AQ346" s="282"/>
      <c r="AR346" s="282"/>
      <c r="AS346" s="282"/>
      <c r="AT346" s="282"/>
      <c r="AU346" s="282"/>
      <c r="AV346" s="282"/>
      <c r="AW346" s="282"/>
      <c r="AX346" s="282"/>
      <c r="AY346" s="282"/>
      <c r="AZ346" s="282"/>
      <c r="BA346" s="282"/>
    </row>
    <row r="347" spans="1:53" outlineLevel="1" x14ac:dyDescent="0.35">
      <c r="A347" s="6" t="s">
        <v>757</v>
      </c>
      <c r="B347" s="6">
        <f>B63*AC325</f>
        <v>1.4600313647494411E-5</v>
      </c>
      <c r="AB347" s="282"/>
      <c r="AC347" s="282"/>
      <c r="AD347" s="282"/>
      <c r="AE347" s="282"/>
      <c r="AF347" s="282"/>
      <c r="AG347" s="282"/>
      <c r="AH347" s="282"/>
      <c r="AI347" s="282"/>
      <c r="AJ347" s="282"/>
      <c r="AK347" s="282"/>
      <c r="AL347" s="282"/>
      <c r="AM347" s="282"/>
      <c r="AN347" s="282"/>
      <c r="AO347" s="282"/>
      <c r="AP347" s="282"/>
      <c r="AQ347" s="282"/>
      <c r="AR347" s="282"/>
      <c r="AS347" s="282"/>
      <c r="AT347" s="282"/>
      <c r="AU347" s="282"/>
      <c r="AV347" s="282"/>
      <c r="AW347" s="282"/>
      <c r="AX347" s="282"/>
      <c r="AY347" s="282"/>
      <c r="AZ347" s="282"/>
      <c r="BA347" s="282"/>
    </row>
    <row r="348" spans="1:53" outlineLevel="1" x14ac:dyDescent="0.35">
      <c r="A348" s="6" t="s">
        <v>22</v>
      </c>
      <c r="Z348" s="6">
        <f>Z64</f>
        <v>6.1478607554612128E-8</v>
      </c>
      <c r="AB348" s="282"/>
      <c r="AC348" s="282"/>
      <c r="AD348" s="282"/>
      <c r="AE348" s="282"/>
      <c r="AF348" s="282"/>
      <c r="AG348" s="282"/>
      <c r="AH348" s="282"/>
      <c r="AI348" s="282"/>
      <c r="AJ348" s="282"/>
      <c r="AK348" s="282"/>
      <c r="AL348" s="282"/>
      <c r="AM348" s="282"/>
      <c r="AN348" s="282"/>
      <c r="AO348" s="282"/>
      <c r="AP348" s="282"/>
      <c r="AQ348" s="282"/>
      <c r="AR348" s="282"/>
      <c r="AS348" s="282"/>
      <c r="AT348" s="282"/>
      <c r="AU348" s="282"/>
      <c r="AV348" s="282"/>
      <c r="AW348" s="282"/>
      <c r="AX348" s="282"/>
      <c r="AY348" s="282"/>
      <c r="AZ348" s="282"/>
      <c r="BA348" s="282"/>
    </row>
    <row r="349" spans="1:53" outlineLevel="1" x14ac:dyDescent="0.35">
      <c r="A349" s="6" t="s">
        <v>24</v>
      </c>
      <c r="Z349" s="6">
        <f t="shared" ref="Z349:Z359" si="47">Z65</f>
        <v>2.976482971528415E-8</v>
      </c>
      <c r="AB349" s="282"/>
      <c r="AC349" s="282"/>
      <c r="AD349" s="282"/>
      <c r="AE349" s="282"/>
      <c r="AF349" s="282"/>
      <c r="AG349" s="282"/>
      <c r="AH349" s="282"/>
      <c r="AI349" s="282"/>
      <c r="AJ349" s="282"/>
      <c r="AK349" s="282"/>
      <c r="AL349" s="282"/>
      <c r="AM349" s="282"/>
      <c r="AN349" s="282"/>
      <c r="AO349" s="282"/>
      <c r="AP349" s="282"/>
      <c r="AQ349" s="282"/>
      <c r="AR349" s="282"/>
      <c r="AS349" s="282"/>
      <c r="AT349" s="282"/>
      <c r="AU349" s="282"/>
      <c r="AV349" s="282"/>
      <c r="AW349" s="282"/>
      <c r="AX349" s="282"/>
      <c r="AY349" s="282"/>
      <c r="AZ349" s="282"/>
      <c r="BA349" s="282"/>
    </row>
    <row r="350" spans="1:53" outlineLevel="1" x14ac:dyDescent="0.35">
      <c r="A350" s="6" t="s">
        <v>25</v>
      </c>
      <c r="Z350" s="6">
        <f t="shared" si="47"/>
        <v>1.171837262399769E-7</v>
      </c>
      <c r="AB350" s="282"/>
      <c r="AC350" s="282"/>
      <c r="AD350" s="282"/>
      <c r="AE350" s="282"/>
      <c r="AF350" s="282"/>
      <c r="AG350" s="282"/>
      <c r="AH350" s="282"/>
      <c r="AI350" s="282"/>
      <c r="AJ350" s="282"/>
      <c r="AK350" s="282"/>
      <c r="AL350" s="282"/>
      <c r="AM350" s="282"/>
      <c r="AN350" s="282"/>
      <c r="AO350" s="282"/>
      <c r="AP350" s="282"/>
      <c r="AQ350" s="282"/>
      <c r="AR350" s="282"/>
      <c r="AS350" s="282"/>
      <c r="AT350" s="282"/>
      <c r="AU350" s="282"/>
      <c r="AV350" s="282"/>
      <c r="AW350" s="282"/>
      <c r="AX350" s="282"/>
      <c r="AY350" s="282"/>
      <c r="AZ350" s="282"/>
      <c r="BA350" s="282"/>
    </row>
    <row r="351" spans="1:53" outlineLevel="1" x14ac:dyDescent="0.35">
      <c r="A351" s="6" t="s">
        <v>27</v>
      </c>
      <c r="Z351" s="6">
        <f t="shared" si="47"/>
        <v>4.3609799371464648E-8</v>
      </c>
      <c r="AB351" s="282"/>
      <c r="AC351" s="282"/>
      <c r="AD351" s="282"/>
      <c r="AE351" s="282"/>
      <c r="AF351" s="282"/>
      <c r="AG351" s="282"/>
      <c r="AH351" s="282"/>
      <c r="AI351" s="282"/>
      <c r="AJ351" s="282"/>
      <c r="AK351" s="282"/>
      <c r="AL351" s="282"/>
      <c r="AM351" s="282"/>
      <c r="AN351" s="282"/>
      <c r="AO351" s="282"/>
      <c r="AP351" s="282"/>
      <c r="AQ351" s="282"/>
      <c r="AR351" s="282"/>
      <c r="AS351" s="282"/>
      <c r="AT351" s="282"/>
      <c r="AU351" s="282"/>
      <c r="AV351" s="282"/>
      <c r="AW351" s="282"/>
      <c r="AX351" s="282"/>
      <c r="AY351" s="282"/>
      <c r="AZ351" s="282"/>
      <c r="BA351" s="282"/>
    </row>
    <row r="352" spans="1:53" outlineLevel="1" x14ac:dyDescent="0.35">
      <c r="A352" s="6" t="s">
        <v>30</v>
      </c>
      <c r="Z352" s="6">
        <f t="shared" si="47"/>
        <v>8.1026310749086041E-8</v>
      </c>
      <c r="AB352" s="282"/>
      <c r="AC352" s="282"/>
      <c r="AD352" s="282"/>
      <c r="AE352" s="282"/>
      <c r="AF352" s="282"/>
      <c r="AG352" s="282"/>
      <c r="AH352" s="282"/>
      <c r="AI352" s="282"/>
      <c r="AJ352" s="282"/>
      <c r="AK352" s="282"/>
      <c r="AL352" s="282"/>
      <c r="AM352" s="282"/>
      <c r="AN352" s="282"/>
      <c r="AO352" s="282"/>
      <c r="AP352" s="282"/>
      <c r="AQ352" s="282"/>
      <c r="AR352" s="282"/>
      <c r="AS352" s="282"/>
      <c r="AT352" s="282"/>
      <c r="AU352" s="282"/>
      <c r="AV352" s="282"/>
      <c r="AW352" s="282"/>
      <c r="AX352" s="282"/>
      <c r="AY352" s="282"/>
      <c r="AZ352" s="282"/>
      <c r="BA352" s="282"/>
    </row>
    <row r="353" spans="1:53" outlineLevel="1" x14ac:dyDescent="0.35">
      <c r="A353" s="6" t="s">
        <v>32</v>
      </c>
      <c r="Z353" s="6">
        <f t="shared" si="47"/>
        <v>6.462583175159231E-9</v>
      </c>
      <c r="AB353" s="282"/>
      <c r="AC353" s="282"/>
      <c r="AD353" s="282"/>
      <c r="AE353" s="282"/>
      <c r="AF353" s="282"/>
      <c r="AG353" s="282"/>
      <c r="AH353" s="282"/>
      <c r="AI353" s="282"/>
      <c r="AJ353" s="282"/>
      <c r="AK353" s="282"/>
      <c r="AL353" s="282"/>
      <c r="AM353" s="282"/>
      <c r="AN353" s="282"/>
      <c r="AO353" s="282"/>
      <c r="AP353" s="282"/>
      <c r="AQ353" s="282"/>
      <c r="AR353" s="282"/>
      <c r="AS353" s="282"/>
      <c r="AT353" s="282"/>
      <c r="AU353" s="282"/>
      <c r="AV353" s="282"/>
      <c r="AW353" s="282"/>
      <c r="AX353" s="282"/>
      <c r="AY353" s="282"/>
      <c r="AZ353" s="282"/>
      <c r="BA353" s="282"/>
    </row>
    <row r="354" spans="1:53" outlineLevel="1" x14ac:dyDescent="0.35">
      <c r="A354" s="6" t="s">
        <v>33</v>
      </c>
      <c r="Z354" s="6">
        <f t="shared" si="47"/>
        <v>2.0587769966053419E-8</v>
      </c>
      <c r="AB354" s="282"/>
      <c r="AC354" s="282"/>
      <c r="AD354" s="282"/>
      <c r="AE354" s="282"/>
      <c r="AF354" s="282"/>
      <c r="AG354" s="282"/>
      <c r="AH354" s="282"/>
      <c r="AI354" s="282"/>
      <c r="AJ354" s="282"/>
      <c r="AK354" s="282"/>
      <c r="AL354" s="282"/>
      <c r="AM354" s="282"/>
      <c r="AN354" s="282"/>
      <c r="AO354" s="282"/>
      <c r="AP354" s="282"/>
      <c r="AQ354" s="282"/>
      <c r="AR354" s="282"/>
      <c r="AS354" s="282"/>
      <c r="AT354" s="282"/>
      <c r="AU354" s="282"/>
      <c r="AV354" s="282"/>
      <c r="AW354" s="282"/>
      <c r="AX354" s="282"/>
      <c r="AY354" s="282"/>
      <c r="AZ354" s="282"/>
      <c r="BA354" s="282"/>
    </row>
    <row r="355" spans="1:53" outlineLevel="1" x14ac:dyDescent="0.35">
      <c r="A355" s="6" t="s">
        <v>35</v>
      </c>
      <c r="Z355" s="6">
        <f t="shared" si="47"/>
        <v>4.1175539932106838E-8</v>
      </c>
      <c r="AB355" s="282"/>
      <c r="AC355" s="282"/>
      <c r="AD355" s="282"/>
      <c r="AE355" s="282"/>
      <c r="AF355" s="282"/>
      <c r="AG355" s="282"/>
      <c r="AH355" s="282"/>
      <c r="AI355" s="282"/>
      <c r="AJ355" s="282"/>
      <c r="AK355" s="282"/>
      <c r="AL355" s="282"/>
      <c r="AM355" s="282"/>
      <c r="AN355" s="282"/>
      <c r="AO355" s="282"/>
      <c r="AP355" s="282"/>
      <c r="AQ355" s="282"/>
      <c r="AR355" s="282"/>
      <c r="AS355" s="282"/>
      <c r="AT355" s="282"/>
      <c r="AU355" s="282"/>
      <c r="AV355" s="282"/>
      <c r="AW355" s="282"/>
      <c r="AX355" s="282"/>
      <c r="AY355" s="282"/>
      <c r="AZ355" s="282"/>
      <c r="BA355" s="282"/>
    </row>
    <row r="356" spans="1:53" outlineLevel="1" x14ac:dyDescent="0.35">
      <c r="A356" s="6" t="s">
        <v>37</v>
      </c>
      <c r="Z356" s="6">
        <f t="shared" si="47"/>
        <v>1.082893050409224E-7</v>
      </c>
      <c r="AB356" s="282"/>
      <c r="AC356" s="282"/>
      <c r="AD356" s="282"/>
      <c r="AE356" s="282"/>
      <c r="AF356" s="282"/>
      <c r="AG356" s="282"/>
      <c r="AH356" s="282"/>
      <c r="AI356" s="282"/>
      <c r="AJ356" s="282"/>
      <c r="AK356" s="282"/>
      <c r="AL356" s="282"/>
      <c r="AM356" s="282"/>
      <c r="AN356" s="282"/>
      <c r="AO356" s="282"/>
      <c r="AP356" s="282"/>
      <c r="AQ356" s="282"/>
      <c r="AR356" s="282"/>
      <c r="AS356" s="282"/>
      <c r="AT356" s="282"/>
      <c r="AU356" s="282"/>
      <c r="AV356" s="282"/>
      <c r="AW356" s="282"/>
      <c r="AX356" s="282"/>
      <c r="AY356" s="282"/>
      <c r="AZ356" s="282"/>
      <c r="BA356" s="282"/>
    </row>
    <row r="357" spans="1:53" outlineLevel="1" x14ac:dyDescent="0.35">
      <c r="A357" s="6" t="s">
        <v>40</v>
      </c>
      <c r="Z357" s="6">
        <f t="shared" si="47"/>
        <v>9.3290002951854711E-7</v>
      </c>
    </row>
    <row r="358" spans="1:53" outlineLevel="1" x14ac:dyDescent="0.35">
      <c r="A358" s="6" t="s">
        <v>42</v>
      </c>
      <c r="Z358" s="6">
        <f t="shared" si="47"/>
        <v>1.6127658943828059E-7</v>
      </c>
    </row>
    <row r="359" spans="1:53" outlineLevel="1" x14ac:dyDescent="0.35">
      <c r="A359" s="6" t="s">
        <v>115</v>
      </c>
      <c r="Z359" s="6">
        <f t="shared" si="47"/>
        <v>9.7768184832398183E-7</v>
      </c>
    </row>
    <row r="360" spans="1:53" outlineLevel="1" x14ac:dyDescent="0.35">
      <c r="A360" s="6" t="s">
        <v>45</v>
      </c>
      <c r="Z360" s="6">
        <f>Z76*AC325</f>
        <v>4.4588828617303134E-8</v>
      </c>
    </row>
    <row r="361" spans="1:53" outlineLevel="1" x14ac:dyDescent="0.35">
      <c r="A361" s="6" t="s">
        <v>116</v>
      </c>
      <c r="B361" s="6">
        <f>B77</f>
        <v>4.3941155135361717E-6</v>
      </c>
      <c r="C361" s="6">
        <f t="shared" ref="C361:Z361" si="48">C77</f>
        <v>4.3551339936524957E-6</v>
      </c>
      <c r="D361" s="6">
        <f t="shared" si="48"/>
        <v>4.3155764585668393E-6</v>
      </c>
      <c r="E361" s="6">
        <f t="shared" si="48"/>
        <v>4.2507924568478764E-6</v>
      </c>
      <c r="F361" s="6">
        <f t="shared" si="48"/>
        <v>4.2100362106520597E-6</v>
      </c>
      <c r="G361" s="6">
        <f t="shared" si="48"/>
        <v>4.1687095630562638E-6</v>
      </c>
      <c r="H361" s="6">
        <f t="shared" si="48"/>
        <v>4.1207843305059888E-6</v>
      </c>
      <c r="I361" s="6">
        <f t="shared" si="48"/>
        <v>4.0725727703376247E-6</v>
      </c>
      <c r="J361" s="6">
        <f t="shared" si="48"/>
        <v>4.01062457106556E-6</v>
      </c>
      <c r="K361" s="6">
        <f t="shared" si="48"/>
        <v>3.961479922998473E-6</v>
      </c>
      <c r="L361" s="6">
        <f t="shared" si="48"/>
        <v>3.9118591966726191E-6</v>
      </c>
      <c r="M361" s="6">
        <f t="shared" si="48"/>
        <v>3.8471478244737326E-6</v>
      </c>
      <c r="N361" s="6">
        <f t="shared" si="48"/>
        <v>3.782659921523485E-6</v>
      </c>
      <c r="O361" s="6">
        <f t="shared" si="48"/>
        <v>3.713272756861E-6</v>
      </c>
      <c r="P361" s="6">
        <f t="shared" si="48"/>
        <v>3.6491625076252609E-6</v>
      </c>
      <c r="Q361" s="6">
        <f t="shared" si="48"/>
        <v>3.5852486401048028E-6</v>
      </c>
      <c r="R361" s="6">
        <f t="shared" si="48"/>
        <v>3.541524251276272E-6</v>
      </c>
      <c r="S361" s="6">
        <f t="shared" si="48"/>
        <v>3.497920157316386E-6</v>
      </c>
      <c r="T361" s="6">
        <f t="shared" si="48"/>
        <v>3.4498744880293848E-6</v>
      </c>
      <c r="U361" s="6">
        <f t="shared" si="48"/>
        <v>3.40659234526044E-6</v>
      </c>
      <c r="V361" s="6">
        <f t="shared" si="48"/>
        <v>3.3635236817237319E-6</v>
      </c>
      <c r="W361" s="6">
        <f t="shared" si="48"/>
        <v>3.372986237475297E-6</v>
      </c>
      <c r="X361" s="6">
        <f t="shared" si="48"/>
        <v>3.366594014311087E-6</v>
      </c>
      <c r="Y361" s="6">
        <f t="shared" si="48"/>
        <v>3.3602610921714248E-6</v>
      </c>
      <c r="Z361" s="6">
        <f t="shared" si="48"/>
        <v>3.3539861692443772E-6</v>
      </c>
    </row>
    <row r="362" spans="1:53" outlineLevel="1" x14ac:dyDescent="0.35">
      <c r="A362" s="6" t="s">
        <v>758</v>
      </c>
      <c r="B362" s="6">
        <f>B78*$AC$325</f>
        <v>9.6954746586764057E-6</v>
      </c>
      <c r="C362" s="6">
        <f t="shared" ref="C362:Z363" si="49">C78*$AC$325</f>
        <v>9.3306642549438442E-6</v>
      </c>
      <c r="D362" s="6">
        <f t="shared" si="49"/>
        <v>8.9671676400278909E-6</v>
      </c>
      <c r="E362" s="6">
        <f t="shared" si="49"/>
        <v>8.5985824253953452E-6</v>
      </c>
      <c r="F362" s="6">
        <f t="shared" si="49"/>
        <v>8.2376278135999108E-6</v>
      </c>
      <c r="G362" s="6">
        <f t="shared" si="49"/>
        <v>7.8779771922166652E-6</v>
      </c>
      <c r="H362" s="6">
        <f t="shared" si="49"/>
        <v>7.651837433561515E-6</v>
      </c>
      <c r="I362" s="6">
        <f t="shared" si="49"/>
        <v>7.4260687501321696E-6</v>
      </c>
      <c r="J362" s="6">
        <f t="shared" si="49"/>
        <v>7.1957386060043106E-6</v>
      </c>
      <c r="K362" s="6">
        <f t="shared" si="49"/>
        <v>6.9700543612399097E-6</v>
      </c>
      <c r="L362" s="6">
        <f t="shared" si="49"/>
        <v>6.7443878930071847E-6</v>
      </c>
      <c r="M362" s="6">
        <f t="shared" si="49"/>
        <v>6.5920641686426452E-6</v>
      </c>
      <c r="N362" s="6">
        <f t="shared" si="49"/>
        <v>6.4390658012660851E-6</v>
      </c>
      <c r="O362" s="6">
        <f t="shared" si="49"/>
        <v>6.2838164428475598E-6</v>
      </c>
      <c r="P362" s="6">
        <f t="shared" si="49"/>
        <v>6.1291647695470648E-6</v>
      </c>
      <c r="Q362" s="6">
        <f t="shared" si="49"/>
        <v>5.9738353852127054E-6</v>
      </c>
      <c r="R362" s="6">
        <f t="shared" si="49"/>
        <v>5.9042646347515797E-6</v>
      </c>
      <c r="S362" s="6">
        <f t="shared" si="49"/>
        <v>5.8347290118658995E-6</v>
      </c>
      <c r="T362" s="6">
        <f t="shared" si="49"/>
        <v>5.7638881272255604E-6</v>
      </c>
      <c r="U362" s="6">
        <f t="shared" si="49"/>
        <v>5.6943462357736248E-6</v>
      </c>
      <c r="V362" s="6">
        <f t="shared" si="49"/>
        <v>5.6248475214853853E-6</v>
      </c>
      <c r="W362" s="6">
        <f t="shared" si="49"/>
        <v>5.6301751725030944E-6</v>
      </c>
      <c r="X362" s="6">
        <f t="shared" si="49"/>
        <v>5.5977296316368199E-6</v>
      </c>
      <c r="Y362" s="6">
        <f t="shared" si="49"/>
        <v>5.5652313807540004E-6</v>
      </c>
      <c r="Z362" s="6">
        <f t="shared" si="49"/>
        <v>5.5326757401386704E-6</v>
      </c>
    </row>
    <row r="363" spans="1:53" outlineLevel="1" x14ac:dyDescent="0.35">
      <c r="A363" s="6" t="s">
        <v>759</v>
      </c>
      <c r="B363" s="6">
        <f>B79*$AC$325</f>
        <v>1.0368000147309429E-7</v>
      </c>
      <c r="C363" s="6">
        <f t="shared" si="49"/>
        <v>1.0368000147309429E-7</v>
      </c>
      <c r="D363" s="6">
        <f t="shared" si="49"/>
        <v>1.0368000147309429E-7</v>
      </c>
      <c r="E363" s="6">
        <f t="shared" si="49"/>
        <v>1.0368000147309429E-7</v>
      </c>
      <c r="F363" s="6">
        <f t="shared" si="49"/>
        <v>1.0368000147309429E-7</v>
      </c>
      <c r="G363" s="6">
        <f t="shared" si="49"/>
        <v>1.0368000147309429E-7</v>
      </c>
      <c r="H363" s="6">
        <f t="shared" si="49"/>
        <v>1.0368000147309429E-7</v>
      </c>
      <c r="I363" s="6">
        <f t="shared" si="49"/>
        <v>1.0368000147309429E-7</v>
      </c>
      <c r="J363" s="6">
        <f t="shared" si="49"/>
        <v>1.0368000147309429E-7</v>
      </c>
      <c r="K363" s="6">
        <f t="shared" si="49"/>
        <v>1.0368000147309429E-7</v>
      </c>
      <c r="L363" s="6">
        <f t="shared" si="49"/>
        <v>1.0368000147309429E-7</v>
      </c>
      <c r="M363" s="6">
        <f t="shared" si="49"/>
        <v>1.0368000147309429E-7</v>
      </c>
      <c r="N363" s="6">
        <f t="shared" si="49"/>
        <v>1.0368000147309429E-7</v>
      </c>
      <c r="O363" s="6">
        <f t="shared" si="49"/>
        <v>1.0368000147309429E-7</v>
      </c>
      <c r="P363" s="6">
        <f t="shared" si="49"/>
        <v>1.0368000147309429E-7</v>
      </c>
      <c r="Q363" s="6">
        <f t="shared" si="49"/>
        <v>1.0368000147309429E-7</v>
      </c>
      <c r="R363" s="6">
        <f t="shared" si="49"/>
        <v>1.0368000147309429E-7</v>
      </c>
      <c r="S363" s="6">
        <f t="shared" si="49"/>
        <v>1.0368000147309429E-7</v>
      </c>
      <c r="T363" s="6">
        <f t="shared" si="49"/>
        <v>1.0368000147309429E-7</v>
      </c>
      <c r="U363" s="6">
        <f t="shared" si="49"/>
        <v>1.0368000147309429E-7</v>
      </c>
      <c r="V363" s="6">
        <f t="shared" si="49"/>
        <v>1.0368000147309429E-7</v>
      </c>
      <c r="W363" s="6">
        <f t="shared" si="49"/>
        <v>1.0368000147309429E-7</v>
      </c>
      <c r="X363" s="6">
        <f t="shared" si="49"/>
        <v>1.0368000147309429E-7</v>
      </c>
      <c r="Y363" s="6">
        <f t="shared" si="49"/>
        <v>1.0368000147309429E-7</v>
      </c>
      <c r="Z363" s="6">
        <f t="shared" si="49"/>
        <v>1.0368000147309429E-7</v>
      </c>
    </row>
    <row r="364" spans="1:53" outlineLevel="1" x14ac:dyDescent="0.35">
      <c r="A364" s="6" t="s">
        <v>760</v>
      </c>
      <c r="B364" s="6">
        <f>$B$252*$AC$324*'Results - raw data ReCiPe (H)'!AC121/(1-$AC$330)*(1+'Results ReCiPe (H) - HHD'!$AC$271/'Results ReCiPe (H) - HHD'!$AC$272-'Results ReCiPe (H) - HHD'!$AC$271)</f>
        <v>3.0475776004471539E-5</v>
      </c>
      <c r="C364" s="6">
        <f>$B$252*$AC$324*'Results - raw data ReCiPe (H)'!AD121/(1-$AC$330)*(1+'Results ReCiPe (H) - HHD'!$AC$271/'Results ReCiPe (H) - HHD'!$AC$272-'Results ReCiPe (H) - HHD'!$AC$271)</f>
        <v>3.0211963831092113E-5</v>
      </c>
      <c r="D364" s="6">
        <f>$B$252*$AC$324*'Results - raw data ReCiPe (H)'!AE121/(1-$AC$330)*(1+'Results ReCiPe (H) - HHD'!$AC$271/'Results ReCiPe (H) - HHD'!$AC$272-'Results ReCiPe (H) - HHD'!$AC$271)</f>
        <v>2.9942685532266271E-5</v>
      </c>
      <c r="E364" s="6">
        <f>$B$252*$AC$324*'Results - raw data ReCiPe (H)'!AF121/(1-$AC$330)*(1+'Results ReCiPe (H) - HHD'!$AC$271/'Results ReCiPe (H) - HHD'!$AC$272-'Results ReCiPe (H) - HHD'!$AC$271)</f>
        <v>2.9549485188973008E-5</v>
      </c>
      <c r="F364" s="6">
        <f>$B$252*$AC$324*'Results - raw data ReCiPe (H)'!AG121/(1-$AC$330)*(1+'Results ReCiPe (H) - HHD'!$AC$271/'Results ReCiPe (H) - HHD'!$AC$272-'Results ReCiPe (H) - HHD'!$AC$271)</f>
        <v>2.9270257520735211E-5</v>
      </c>
      <c r="G364" s="6">
        <f>$B$252*$AC$324*'Results - raw data ReCiPe (H)'!AH121/(1-$AC$330)*(1+'Results ReCiPe (H) - HHD'!$AC$271/'Results ReCiPe (H) - HHD'!$AC$272-'Results ReCiPe (H) - HHD'!$AC$271)</f>
        <v>2.8985864481646784E-5</v>
      </c>
      <c r="H364" s="6">
        <f>$B$252*$AC$324*'Results - raw data ReCiPe (H)'!AI121/(1-$AC$330)*(1+'Results ReCiPe (H) - HHD'!$AC$271/'Results ReCiPe (H) - HHD'!$AC$272-'Results ReCiPe (H) - HHD'!$AC$271)</f>
        <v>2.8736405356225901E-5</v>
      </c>
      <c r="I364" s="6">
        <f>$B$252*$AC$324*'Results - raw data ReCiPe (H)'!AJ121/(1-$AC$330)*(1+'Results ReCiPe (H) - HHD'!$AC$271/'Results ReCiPe (H) - HHD'!$AC$272-'Results ReCiPe (H) - HHD'!$AC$271)</f>
        <v>2.8504621237586012E-5</v>
      </c>
      <c r="J364" s="6">
        <f>$B$252*$AC$324*'Results - raw data ReCiPe (H)'!AK121/(1-$AC$330)*(1+'Results ReCiPe (H) - HHD'!$AC$271/'Results ReCiPe (H) - HHD'!$AC$272-'Results ReCiPe (H) - HHD'!$AC$271)</f>
        <v>2.8213909338751426E-5</v>
      </c>
      <c r="K364" s="6">
        <f>$B$252*$AC$324*'Results - raw data ReCiPe (H)'!AL121/(1-$AC$330)*(1+'Results ReCiPe (H) - HHD'!$AC$271/'Results ReCiPe (H) - HHD'!$AC$272-'Results ReCiPe (H) - HHD'!$AC$271)</f>
        <v>2.7986842021363654E-5</v>
      </c>
      <c r="L364" s="6">
        <f>$B$252*$AC$324*'Results - raw data ReCiPe (H)'!AM121/(1-$AC$330)*(1+'Results ReCiPe (H) - HHD'!$AC$271/'Results ReCiPe (H) - HHD'!$AC$272-'Results ReCiPe (H) - HHD'!$AC$271)</f>
        <v>2.7756795994608317E-5</v>
      </c>
      <c r="M364" s="6">
        <f>$B$252*$AC$324*'Results - raw data ReCiPe (H)'!AN121/(1-$AC$330)*(1+'Results ReCiPe (H) - HHD'!$AC$271/'Results ReCiPe (H) - HHD'!$AC$272-'Results ReCiPe (H) - HHD'!$AC$271)</f>
        <v>2.7563274556770385E-5</v>
      </c>
      <c r="N364" s="6">
        <f>$B$252*$AC$324*'Results - raw data ReCiPe (H)'!AO121/(1-$AC$330)*(1+'Results ReCiPe (H) - HHD'!$AC$271/'Results ReCiPe (H) - HHD'!$AC$272-'Results ReCiPe (H) - HHD'!$AC$271)</f>
        <v>2.7371697908346592E-5</v>
      </c>
      <c r="O364" s="6">
        <f>$B$252*$AC$324*'Results - raw data ReCiPe (H)'!AP121/(1-$AC$330)*(1+'Results ReCiPe (H) - HHD'!$AC$271/'Results ReCiPe (H) - HHD'!$AC$272-'Results ReCiPe (H) - HHD'!$AC$271)</f>
        <v>2.7158729842291159E-5</v>
      </c>
      <c r="P364" s="6">
        <f>$B$252*$AC$324*'Results - raw data ReCiPe (H)'!AQ121/(1-$AC$330)*(1+'Results ReCiPe (H) - HHD'!$AC$271/'Results ReCiPe (H) - HHD'!$AC$272-'Results ReCiPe (H) - HHD'!$AC$271)</f>
        <v>2.6971158494460581E-5</v>
      </c>
      <c r="Q364" s="6">
        <f>$B$252*$AC$324*'Results - raw data ReCiPe (H)'!AR121/(1-$AC$330)*(1+'Results ReCiPe (H) - HHD'!$AC$271/'Results ReCiPe (H) - HHD'!$AC$272-'Results ReCiPe (H) - HHD'!$AC$271)</f>
        <v>2.6786325068987852E-5</v>
      </c>
      <c r="R364" s="6">
        <f>$B$252*$AC$324*'Results - raw data ReCiPe (H)'!AS121/(1-$AC$330)*(1+'Results ReCiPe (H) - HHD'!$AC$271/'Results ReCiPe (H) - HHD'!$AC$272-'Results ReCiPe (H) - HHD'!$AC$271)</f>
        <v>2.6666998434137916E-5</v>
      </c>
      <c r="S364" s="6">
        <f>$B$252*$AC$324*'Results - raw data ReCiPe (H)'!AT121/(1-$AC$330)*(1+'Results ReCiPe (H) - HHD'!$AC$271/'Results ReCiPe (H) - HHD'!$AC$272-'Results ReCiPe (H) - HHD'!$AC$271)</f>
        <v>2.6551064415623596E-5</v>
      </c>
      <c r="T364" s="6">
        <f>$B$252*$AC$324*'Results - raw data ReCiPe (H)'!AU121/(1-$AC$330)*(1+'Results ReCiPe (H) - HHD'!$AC$271/'Results ReCiPe (H) - HHD'!$AC$272-'Results ReCiPe (H) - HHD'!$AC$271)</f>
        <v>2.6417288262025576E-5</v>
      </c>
      <c r="U364" s="6">
        <f>$B$252*$AC$324*'Results - raw data ReCiPe (H)'!AV121/(1-$AC$330)*(1+'Results ReCiPe (H) - HHD'!$AC$271/'Results ReCiPe (H) - HHD'!$AC$272-'Results ReCiPe (H) - HHD'!$AC$271)</f>
        <v>2.6310695248818915E-5</v>
      </c>
      <c r="V364" s="6">
        <f>$B$252*$AC$324*'Results - raw data ReCiPe (H)'!AW121/(1-$AC$330)*(1+'Results ReCiPe (H) - HHD'!$AC$271/'Results ReCiPe (H) - HHD'!$AC$272-'Results ReCiPe (H) - HHD'!$AC$271)</f>
        <v>2.6213526345897014E-5</v>
      </c>
      <c r="W364" s="6">
        <f>$B$252*$AC$324*'Results - raw data ReCiPe (H)'!AX121/(1-$AC$330)*(1+'Results ReCiPe (H) - HHD'!$AC$271/'Results ReCiPe (H) - HHD'!$AC$272-'Results ReCiPe (H) - HHD'!$AC$271)</f>
        <v>2.6339167912679071E-5</v>
      </c>
      <c r="X364" s="6">
        <f>$B$252*$AC$324*'Results - raw data ReCiPe (H)'!AY121/(1-$AC$330)*(1+'Results ReCiPe (H) - HHD'!$AC$271/'Results ReCiPe (H) - HHD'!$AC$272-'Results ReCiPe (H) - HHD'!$AC$271)</f>
        <v>2.6313040975251445E-5</v>
      </c>
      <c r="Y364" s="6">
        <f>$B$252*$AC$324*'Results - raw data ReCiPe (H)'!AZ121/(1-$AC$330)*(1+'Results ReCiPe (H) - HHD'!$AC$271/'Results ReCiPe (H) - HHD'!$AC$272-'Results ReCiPe (H) - HHD'!$AC$271)</f>
        <v>2.6287217030870466E-5</v>
      </c>
      <c r="Z364" s="6">
        <f>$B$252*$AC$324*'Results - raw data ReCiPe (H)'!BA121/(1-$AC$330)*(1+'Results ReCiPe (H) - HHD'!$AC$271/'Results ReCiPe (H) - HHD'!$AC$272-'Results ReCiPe (H) - HHD'!$AC$271)</f>
        <v>2.6261726102380168E-5</v>
      </c>
    </row>
    <row r="365" spans="1:53" outlineLevel="1" x14ac:dyDescent="0.35">
      <c r="A365" s="6" t="s">
        <v>797</v>
      </c>
      <c r="B365" s="6">
        <f>$B$320*$AC$324</f>
        <v>4.0871761583502129E-5</v>
      </c>
      <c r="C365" s="6">
        <f t="shared" ref="C365:Z365" si="50">$B$320*$AC$324</f>
        <v>4.0871761583502129E-5</v>
      </c>
      <c r="D365" s="6">
        <f t="shared" si="50"/>
        <v>4.0871761583502129E-5</v>
      </c>
      <c r="E365" s="6">
        <f t="shared" si="50"/>
        <v>4.0871761583502129E-5</v>
      </c>
      <c r="F365" s="6">
        <f t="shared" si="50"/>
        <v>4.0871761583502129E-5</v>
      </c>
      <c r="G365" s="6">
        <f t="shared" si="50"/>
        <v>4.0871761583502129E-5</v>
      </c>
      <c r="H365" s="6">
        <f t="shared" si="50"/>
        <v>4.0871761583502129E-5</v>
      </c>
      <c r="I365" s="6">
        <f t="shared" si="50"/>
        <v>4.0871761583502129E-5</v>
      </c>
      <c r="J365" s="6">
        <f t="shared" si="50"/>
        <v>4.0871761583502129E-5</v>
      </c>
      <c r="K365" s="6">
        <f t="shared" si="50"/>
        <v>4.0871761583502129E-5</v>
      </c>
      <c r="L365" s="6">
        <f t="shared" si="50"/>
        <v>4.0871761583502129E-5</v>
      </c>
      <c r="M365" s="6">
        <f t="shared" si="50"/>
        <v>4.0871761583502129E-5</v>
      </c>
      <c r="N365" s="6">
        <f t="shared" si="50"/>
        <v>4.0871761583502129E-5</v>
      </c>
      <c r="O365" s="6">
        <f t="shared" si="50"/>
        <v>4.0871761583502129E-5</v>
      </c>
      <c r="P365" s="6">
        <f t="shared" si="50"/>
        <v>4.0871761583502129E-5</v>
      </c>
      <c r="Q365" s="6">
        <f t="shared" si="50"/>
        <v>4.0871761583502129E-5</v>
      </c>
      <c r="R365" s="6">
        <f t="shared" si="50"/>
        <v>4.0871761583502129E-5</v>
      </c>
      <c r="S365" s="6">
        <f t="shared" si="50"/>
        <v>4.0871761583502129E-5</v>
      </c>
      <c r="T365" s="6">
        <f t="shared" si="50"/>
        <v>4.0871761583502129E-5</v>
      </c>
      <c r="U365" s="6">
        <f t="shared" si="50"/>
        <v>4.0871761583502129E-5</v>
      </c>
      <c r="V365" s="6">
        <f t="shared" si="50"/>
        <v>4.0871761583502129E-5</v>
      </c>
      <c r="W365" s="6">
        <f t="shared" si="50"/>
        <v>4.0871761583502129E-5</v>
      </c>
      <c r="X365" s="6">
        <f t="shared" si="50"/>
        <v>4.0871761583502129E-5</v>
      </c>
      <c r="Y365" s="6">
        <f t="shared" si="50"/>
        <v>4.0871761583502129E-5</v>
      </c>
      <c r="Z365" s="6">
        <f t="shared" si="50"/>
        <v>4.0871761583502129E-5</v>
      </c>
    </row>
    <row r="366" spans="1:53" outlineLevel="1" x14ac:dyDescent="0.35">
      <c r="A366" s="23" t="s">
        <v>125</v>
      </c>
      <c r="B366" s="17">
        <f>SUM(B334:B364)</f>
        <v>2.1891690059054541E-4</v>
      </c>
      <c r="C366" s="17">
        <f t="shared" ref="C366:Z366" si="51">SUM(C334:C364)</f>
        <v>4.4001442081161549E-5</v>
      </c>
      <c r="D366" s="17">
        <f t="shared" si="51"/>
        <v>4.33291096323341E-5</v>
      </c>
      <c r="E366" s="17">
        <f t="shared" si="51"/>
        <v>4.2502540072689323E-5</v>
      </c>
      <c r="F366" s="17">
        <f t="shared" si="51"/>
        <v>4.1821601546460272E-5</v>
      </c>
      <c r="G366" s="17">
        <f t="shared" si="51"/>
        <v>4.1136231238392807E-5</v>
      </c>
      <c r="H366" s="17">
        <f t="shared" si="51"/>
        <v>4.0612707121766499E-5</v>
      </c>
      <c r="I366" s="17">
        <f t="shared" si="51"/>
        <v>4.0106942759528903E-5</v>
      </c>
      <c r="J366" s="17">
        <f t="shared" si="51"/>
        <v>3.952395251729439E-5</v>
      </c>
      <c r="K366" s="17">
        <f t="shared" si="51"/>
        <v>3.9022056307075132E-5</v>
      </c>
      <c r="L366" s="17">
        <f t="shared" si="51"/>
        <v>3.8516723085761211E-5</v>
      </c>
      <c r="M366" s="17">
        <f t="shared" si="51"/>
        <v>3.8106166551359859E-5</v>
      </c>
      <c r="N366" s="17">
        <f t="shared" si="51"/>
        <v>3.7697103632609257E-5</v>
      </c>
      <c r="O366" s="17">
        <f t="shared" si="51"/>
        <v>3.7259499043472809E-5</v>
      </c>
      <c r="P366" s="17">
        <f t="shared" si="51"/>
        <v>3.6853165773105998E-5</v>
      </c>
      <c r="Q366" s="17">
        <f t="shared" si="51"/>
        <v>3.6449089095778453E-5</v>
      </c>
      <c r="R366" s="17">
        <f t="shared" si="51"/>
        <v>3.6216467321638858E-5</v>
      </c>
      <c r="S366" s="17">
        <f t="shared" si="51"/>
        <v>3.5987393586278972E-5</v>
      </c>
      <c r="T366" s="17">
        <f t="shared" si="51"/>
        <v>3.5734730878753617E-5</v>
      </c>
      <c r="U366" s="17">
        <f t="shared" si="51"/>
        <v>3.5515313831326074E-5</v>
      </c>
      <c r="V366" s="17">
        <f t="shared" si="51"/>
        <v>3.5305577550579222E-5</v>
      </c>
      <c r="W366" s="17">
        <f t="shared" si="51"/>
        <v>3.5446009324130558E-5</v>
      </c>
      <c r="X366" s="17">
        <f t="shared" si="51"/>
        <v>3.5381044622672445E-5</v>
      </c>
      <c r="Y366" s="17">
        <f t="shared" si="51"/>
        <v>3.5316389505268986E-5</v>
      </c>
      <c r="Z366" s="17">
        <f t="shared" si="51"/>
        <v>3.7878093780879091E-5</v>
      </c>
    </row>
    <row r="367" spans="1:53" outlineLevel="1" x14ac:dyDescent="0.35"/>
    <row r="368" spans="1:53" s="18" customFormat="1" ht="21" x14ac:dyDescent="0.5">
      <c r="A368" s="18" t="s">
        <v>94</v>
      </c>
    </row>
    <row r="369" spans="1:31" s="20" customFormat="1" outlineLevel="1" x14ac:dyDescent="0.35">
      <c r="A369" s="19" t="s">
        <v>788</v>
      </c>
    </row>
    <row r="370" spans="1:31" s="20" customFormat="1" outlineLevel="1" x14ac:dyDescent="0.35">
      <c r="A370" s="273" t="s">
        <v>775</v>
      </c>
      <c r="B370" s="20">
        <v>1</v>
      </c>
      <c r="C370" s="274" t="s">
        <v>787</v>
      </c>
    </row>
    <row r="371" spans="1:31" s="20" customFormat="1" outlineLevel="1" x14ac:dyDescent="0.35">
      <c r="A371" s="273" t="s">
        <v>781</v>
      </c>
      <c r="B371" s="20">
        <v>100000</v>
      </c>
      <c r="C371" s="20" t="s">
        <v>782</v>
      </c>
      <c r="E371" s="274"/>
    </row>
    <row r="372" spans="1:31" s="20" customFormat="1" outlineLevel="1" x14ac:dyDescent="0.35">
      <c r="A372" s="273" t="s">
        <v>783</v>
      </c>
      <c r="B372" s="20">
        <v>1500</v>
      </c>
      <c r="C372" s="20" t="s">
        <v>592</v>
      </c>
    </row>
    <row r="373" spans="1:31" s="20" customFormat="1" outlineLevel="1" x14ac:dyDescent="0.35">
      <c r="A373" s="273" t="s">
        <v>784</v>
      </c>
      <c r="B373" s="20">
        <v>8760</v>
      </c>
      <c r="C373" s="20" t="s">
        <v>785</v>
      </c>
    </row>
    <row r="374" spans="1:31" s="20" customFormat="1" outlineLevel="1" x14ac:dyDescent="0.35">
      <c r="A374" s="273"/>
    </row>
    <row r="375" spans="1:31" s="20" customFormat="1" outlineLevel="1" x14ac:dyDescent="0.35">
      <c r="A375" s="275" t="s">
        <v>786</v>
      </c>
      <c r="B375" s="275">
        <f>(B371*B372)/(B373*B370)</f>
        <v>17123.287671232876</v>
      </c>
      <c r="C375" s="275" t="s">
        <v>749</v>
      </c>
    </row>
    <row r="376" spans="1:31" s="20" customFormat="1" outlineLevel="1" x14ac:dyDescent="0.35">
      <c r="A376" s="19"/>
    </row>
    <row r="377" spans="1:31" s="20" customFormat="1" outlineLevel="1" x14ac:dyDescent="0.35">
      <c r="A377" s="19" t="s">
        <v>793</v>
      </c>
    </row>
    <row r="378" spans="1:31" s="20" customFormat="1" outlineLevel="1" x14ac:dyDescent="0.35">
      <c r="A378" s="273" t="s">
        <v>789</v>
      </c>
      <c r="B378" s="20">
        <f>SUM('Results - raw data ReCiPe (H)'!AC156:AC157)+'Results - raw data ReCiPe (H)'!AC160+SUM('Results - raw data ReCiPe (H)'!AC158:AC159)*AC387</f>
        <v>6.889611199566791E-6</v>
      </c>
      <c r="C378" s="20" t="s">
        <v>878</v>
      </c>
    </row>
    <row r="379" spans="1:31" s="20" customFormat="1" outlineLevel="1" x14ac:dyDescent="0.35">
      <c r="A379" s="20" t="s">
        <v>792</v>
      </c>
      <c r="B379" s="20">
        <f>B371*AC385</f>
        <v>50000</v>
      </c>
      <c r="C379" s="274" t="s">
        <v>795</v>
      </c>
    </row>
    <row r="380" spans="1:31" s="20" customFormat="1" outlineLevel="1" x14ac:dyDescent="0.35">
      <c r="A380" s="20" t="s">
        <v>791</v>
      </c>
      <c r="B380" s="20">
        <f>(B378*AC387*B375)/(B379*AC386)*(AC386/AC388)</f>
        <v>7.0783676707877988E-7</v>
      </c>
      <c r="C380" s="20" t="s">
        <v>879</v>
      </c>
      <c r="E380" s="274" t="s">
        <v>796</v>
      </c>
    </row>
    <row r="381" spans="1:31" s="20" customFormat="1" outlineLevel="1" x14ac:dyDescent="0.35">
      <c r="A381" s="19"/>
    </row>
    <row r="382" spans="1:31" s="16" customFormat="1" outlineLevel="1" x14ac:dyDescent="0.35">
      <c r="A382" s="21"/>
      <c r="AB382" s="15" t="s">
        <v>143</v>
      </c>
      <c r="AC382" s="16">
        <f>0.0000000028+0.0000000000000765</f>
        <v>2.8000764999999998E-9</v>
      </c>
      <c r="AD382" s="16" t="s">
        <v>142</v>
      </c>
      <c r="AE382" s="15" t="s">
        <v>714</v>
      </c>
    </row>
    <row r="383" spans="1:31" s="16" customFormat="1" outlineLevel="1" x14ac:dyDescent="0.35">
      <c r="A383" s="22" t="s">
        <v>871</v>
      </c>
      <c r="AC383" s="16">
        <f>AC382*1000</f>
        <v>2.8000765E-6</v>
      </c>
      <c r="AD383" s="16" t="s">
        <v>145</v>
      </c>
    </row>
    <row r="384" spans="1:31" s="16" customFormat="1" outlineLevel="1" x14ac:dyDescent="0.35">
      <c r="A384" s="22"/>
      <c r="AB384" s="16" t="s">
        <v>127</v>
      </c>
      <c r="AC384" s="16">
        <f>100*AC385</f>
        <v>50</v>
      </c>
      <c r="AD384" s="16" t="s">
        <v>128</v>
      </c>
    </row>
    <row r="385" spans="1:53" s="16" customFormat="1" outlineLevel="1" x14ac:dyDescent="0.35">
      <c r="A385" s="230"/>
      <c r="AB385" s="16" t="s">
        <v>776</v>
      </c>
      <c r="AC385" s="16">
        <v>0.5</v>
      </c>
    </row>
    <row r="386" spans="1:53" s="16" customFormat="1" outlineLevel="1" x14ac:dyDescent="0.35">
      <c r="A386" s="21"/>
      <c r="AB386" s="16" t="s">
        <v>129</v>
      </c>
      <c r="AC386" s="16">
        <v>25</v>
      </c>
      <c r="AD386" s="16" t="s">
        <v>130</v>
      </c>
    </row>
    <row r="387" spans="1:53" s="16" customFormat="1" outlineLevel="1" x14ac:dyDescent="0.35">
      <c r="A387" s="21"/>
      <c r="AB387" s="16" t="s">
        <v>777</v>
      </c>
      <c r="AC387" s="16">
        <v>6</v>
      </c>
      <c r="AD387" s="16" t="s">
        <v>779</v>
      </c>
    </row>
    <row r="388" spans="1:53" s="16" customFormat="1" outlineLevel="1" x14ac:dyDescent="0.35">
      <c r="A388" s="21"/>
      <c r="AB388" s="16" t="s">
        <v>778</v>
      </c>
      <c r="AC388" s="16">
        <v>20</v>
      </c>
      <c r="AD388" s="16" t="s">
        <v>130</v>
      </c>
    </row>
    <row r="389" spans="1:53" s="16" customFormat="1" outlineLevel="1" x14ac:dyDescent="0.35">
      <c r="AB389" s="16" t="s">
        <v>780</v>
      </c>
      <c r="AC389" s="16">
        <f>B375</f>
        <v>17123.287671232876</v>
      </c>
      <c r="AD389" s="16" t="s">
        <v>749</v>
      </c>
    </row>
    <row r="390" spans="1:53" s="16" customFormat="1" outlineLevel="1" x14ac:dyDescent="0.35">
      <c r="AB390" s="16" t="s">
        <v>820</v>
      </c>
      <c r="AC390" s="16">
        <v>0.5</v>
      </c>
    </row>
    <row r="391" spans="1:53" s="16" customFormat="1" outlineLevel="1" x14ac:dyDescent="0.35">
      <c r="AB391" s="16" t="s">
        <v>798</v>
      </c>
      <c r="AC391" s="16">
        <v>0.25</v>
      </c>
    </row>
    <row r="392" spans="1:53" s="16" customFormat="1" outlineLevel="1" x14ac:dyDescent="0.35">
      <c r="A392" s="22"/>
      <c r="AB392" s="16" t="s">
        <v>799</v>
      </c>
      <c r="AC392" s="16">
        <v>0.9</v>
      </c>
    </row>
    <row r="393" spans="1:53" s="16" customFormat="1" outlineLevel="1" x14ac:dyDescent="0.35">
      <c r="A393" s="22"/>
    </row>
    <row r="394" spans="1:53" outlineLevel="1" x14ac:dyDescent="0.35">
      <c r="B394" s="25">
        <v>2030</v>
      </c>
      <c r="C394" s="25">
        <v>2031</v>
      </c>
      <c r="D394" s="25">
        <v>2032</v>
      </c>
      <c r="E394" s="25">
        <v>2033</v>
      </c>
      <c r="F394" s="25">
        <v>2034</v>
      </c>
      <c r="G394" s="25">
        <v>2035</v>
      </c>
      <c r="H394" s="25">
        <v>2036</v>
      </c>
      <c r="I394" s="25">
        <v>2037</v>
      </c>
      <c r="J394" s="25">
        <v>2038</v>
      </c>
      <c r="K394" s="25">
        <v>2039</v>
      </c>
      <c r="L394" s="25">
        <v>2040</v>
      </c>
      <c r="M394" s="25">
        <v>2041</v>
      </c>
      <c r="N394" s="25">
        <v>2042</v>
      </c>
      <c r="O394" s="25">
        <v>2043</v>
      </c>
      <c r="P394" s="25">
        <v>2044</v>
      </c>
      <c r="Q394" s="25">
        <v>2045</v>
      </c>
      <c r="R394" s="25">
        <v>2046</v>
      </c>
      <c r="S394" s="25">
        <v>2047</v>
      </c>
      <c r="T394" s="25">
        <v>2048</v>
      </c>
      <c r="U394" s="25">
        <v>2049</v>
      </c>
      <c r="V394" s="25">
        <v>2050</v>
      </c>
      <c r="W394" s="25">
        <v>2051</v>
      </c>
      <c r="X394" s="25">
        <v>2052</v>
      </c>
      <c r="Y394" s="25">
        <v>2053</v>
      </c>
      <c r="Z394" s="25">
        <v>2054</v>
      </c>
      <c r="AC394" s="25">
        <v>2030</v>
      </c>
      <c r="AD394" s="25">
        <v>2031</v>
      </c>
      <c r="AE394" s="25">
        <v>2032</v>
      </c>
      <c r="AF394" s="25">
        <v>2033</v>
      </c>
      <c r="AG394" s="25">
        <v>2034</v>
      </c>
      <c r="AH394" s="25">
        <v>2035</v>
      </c>
      <c r="AI394" s="25">
        <v>2036</v>
      </c>
      <c r="AJ394" s="25">
        <v>2037</v>
      </c>
      <c r="AK394" s="25">
        <v>2038</v>
      </c>
      <c r="AL394" s="25">
        <v>2039</v>
      </c>
      <c r="AM394" s="25">
        <v>2040</v>
      </c>
      <c r="AN394" s="25">
        <v>2041</v>
      </c>
      <c r="AO394" s="25">
        <v>2042</v>
      </c>
      <c r="AP394" s="25">
        <v>2043</v>
      </c>
      <c r="AQ394" s="25">
        <v>2044</v>
      </c>
      <c r="AR394" s="25">
        <v>2045</v>
      </c>
      <c r="AS394" s="25">
        <v>2046</v>
      </c>
      <c r="AT394" s="25">
        <v>2047</v>
      </c>
      <c r="AU394" s="25">
        <v>2048</v>
      </c>
      <c r="AV394" s="25">
        <v>2049</v>
      </c>
      <c r="AW394" s="25">
        <v>2050</v>
      </c>
      <c r="AX394" s="25">
        <v>2051</v>
      </c>
      <c r="AY394" s="25">
        <v>2052</v>
      </c>
      <c r="AZ394" s="25">
        <v>2053</v>
      </c>
      <c r="BA394" s="25">
        <v>2054</v>
      </c>
    </row>
    <row r="395" spans="1:53" outlineLevel="1" x14ac:dyDescent="0.35">
      <c r="A395" s="6" t="s">
        <v>21</v>
      </c>
      <c r="B395" s="6">
        <f>B90</f>
        <v>2.5730574523951919E-6</v>
      </c>
      <c r="AB395" s="6" t="s">
        <v>117</v>
      </c>
      <c r="AC395" s="6">
        <f>SUM(B395:B406)+B408</f>
        <v>1.3798038147677175E-4</v>
      </c>
    </row>
    <row r="396" spans="1:53" outlineLevel="1" x14ac:dyDescent="0.35">
      <c r="A396" s="6" t="s">
        <v>23</v>
      </c>
      <c r="B396" s="6">
        <f t="shared" ref="B396:B406" si="52">B91</f>
        <v>4.8920761983372821E-6</v>
      </c>
      <c r="AB396" s="6" t="s">
        <v>118</v>
      </c>
      <c r="AC396" s="6">
        <f>B407</f>
        <v>4.8932981636422996E-6</v>
      </c>
    </row>
    <row r="397" spans="1:53" outlineLevel="1" x14ac:dyDescent="0.35">
      <c r="A397" s="6" t="s">
        <v>26</v>
      </c>
      <c r="B397" s="6">
        <f t="shared" si="52"/>
        <v>1.2592987091342301E-5</v>
      </c>
      <c r="AB397" s="6" t="s">
        <v>119</v>
      </c>
      <c r="BA397" s="6">
        <f>SUM(Z409:Z420)</f>
        <v>2.4979772832792044E-6</v>
      </c>
    </row>
    <row r="398" spans="1:53" outlineLevel="1" x14ac:dyDescent="0.35">
      <c r="A398" s="6" t="s">
        <v>28</v>
      </c>
      <c r="B398" s="6">
        <f t="shared" si="52"/>
        <v>9.5688269134472151E-6</v>
      </c>
      <c r="AB398" s="6" t="s">
        <v>120</v>
      </c>
      <c r="BA398" s="6">
        <f>Z421</f>
        <v>4.4645706210743862E-8</v>
      </c>
    </row>
    <row r="399" spans="1:53" outlineLevel="1" x14ac:dyDescent="0.35">
      <c r="A399" s="6" t="s">
        <v>29</v>
      </c>
      <c r="B399" s="6">
        <f t="shared" si="52"/>
        <v>7.5789098247603887E-6</v>
      </c>
      <c r="AB399" s="6" t="s">
        <v>121</v>
      </c>
      <c r="AC399" s="6">
        <f>B422</f>
        <v>3.715731652454359E-6</v>
      </c>
      <c r="AF399" s="6">
        <f>E422</f>
        <v>3.5013590415283682E-6</v>
      </c>
      <c r="AI399" s="6">
        <f>H422</f>
        <v>3.359625974222981E-6</v>
      </c>
      <c r="AL399" s="6">
        <f>K422</f>
        <v>3.3222042704526711E-6</v>
      </c>
      <c r="AO399" s="6">
        <f>N422</f>
        <v>3.3098090978734569E-6</v>
      </c>
      <c r="AR399" s="6">
        <f>Q422</f>
        <v>3.2987119954850761E-6</v>
      </c>
      <c r="AU399" s="6">
        <f>T422</f>
        <v>3.278896138541998E-6</v>
      </c>
      <c r="AX399" s="6">
        <f>W422</f>
        <v>3.2828870256197742E-6</v>
      </c>
      <c r="BA399" s="6">
        <f>Z422</f>
        <v>3.2779455111866361E-6</v>
      </c>
    </row>
    <row r="400" spans="1:53" outlineLevel="1" x14ac:dyDescent="0.35">
      <c r="A400" s="6" t="s">
        <v>31</v>
      </c>
      <c r="B400" s="6">
        <f t="shared" si="52"/>
        <v>6.5339554735163091E-6</v>
      </c>
      <c r="AB400" s="6" t="s">
        <v>797</v>
      </c>
      <c r="AC400" s="6">
        <f>B426</f>
        <v>3.5391838353938991E-5</v>
      </c>
      <c r="AD400" s="6">
        <f t="shared" ref="AD400:BA400" si="53">C426</f>
        <v>3.5391838353938991E-5</v>
      </c>
      <c r="AE400" s="6">
        <f t="shared" si="53"/>
        <v>3.5391838353938991E-5</v>
      </c>
      <c r="AF400" s="6">
        <f t="shared" si="53"/>
        <v>3.5391838353938991E-5</v>
      </c>
      <c r="AG400" s="6">
        <f t="shared" si="53"/>
        <v>3.5391838353938991E-5</v>
      </c>
      <c r="AH400" s="6">
        <f t="shared" si="53"/>
        <v>3.5391838353938991E-5</v>
      </c>
      <c r="AI400" s="6">
        <f t="shared" si="53"/>
        <v>3.5391838353938991E-5</v>
      </c>
      <c r="AJ400" s="6">
        <f t="shared" si="53"/>
        <v>3.5391838353938991E-5</v>
      </c>
      <c r="AK400" s="6">
        <f t="shared" si="53"/>
        <v>3.5391838353938991E-5</v>
      </c>
      <c r="AL400" s="6">
        <f t="shared" si="53"/>
        <v>3.5391838353938991E-5</v>
      </c>
      <c r="AM400" s="6">
        <f t="shared" si="53"/>
        <v>3.5391838353938991E-5</v>
      </c>
      <c r="AN400" s="6">
        <f t="shared" si="53"/>
        <v>3.5391838353938991E-5</v>
      </c>
      <c r="AO400" s="6">
        <f t="shared" si="53"/>
        <v>3.5391838353938991E-5</v>
      </c>
      <c r="AP400" s="6">
        <f t="shared" si="53"/>
        <v>3.5391838353938991E-5</v>
      </c>
      <c r="AQ400" s="6">
        <f t="shared" si="53"/>
        <v>3.5391838353938991E-5</v>
      </c>
      <c r="AR400" s="6">
        <f t="shared" si="53"/>
        <v>3.5391838353938991E-5</v>
      </c>
      <c r="AS400" s="6">
        <f t="shared" si="53"/>
        <v>3.5391838353938991E-5</v>
      </c>
      <c r="AT400" s="6">
        <f t="shared" si="53"/>
        <v>3.5391838353938991E-5</v>
      </c>
      <c r="AU400" s="6">
        <f t="shared" si="53"/>
        <v>3.5391838353938991E-5</v>
      </c>
      <c r="AV400" s="6">
        <f t="shared" si="53"/>
        <v>3.5391838353938991E-5</v>
      </c>
      <c r="AW400" s="6">
        <f t="shared" si="53"/>
        <v>3.5391838353938991E-5</v>
      </c>
      <c r="AX400" s="6">
        <f t="shared" si="53"/>
        <v>3.5391838353938991E-5</v>
      </c>
      <c r="AY400" s="6">
        <f t="shared" si="53"/>
        <v>3.5391838353938991E-5</v>
      </c>
      <c r="AZ400" s="6">
        <f t="shared" si="53"/>
        <v>3.5391838353938991E-5</v>
      </c>
      <c r="BA400" s="6">
        <f t="shared" si="53"/>
        <v>3.5391838353938991E-5</v>
      </c>
    </row>
    <row r="401" spans="1:53" outlineLevel="1" x14ac:dyDescent="0.35">
      <c r="A401" s="6" t="s">
        <v>34</v>
      </c>
      <c r="B401" s="6">
        <f t="shared" si="52"/>
        <v>4.3369769417194421E-6</v>
      </c>
      <c r="AB401" s="6" t="s">
        <v>122</v>
      </c>
      <c r="AC401" s="6">
        <f t="shared" ref="AC401:BA401" si="54">B425+B424</f>
        <v>2.799474380680289E-5</v>
      </c>
      <c r="AD401" s="6">
        <f t="shared" si="54"/>
        <v>2.7678158887883355E-5</v>
      </c>
      <c r="AE401" s="6">
        <f t="shared" si="54"/>
        <v>2.7356905758340147E-5</v>
      </c>
      <c r="AF401" s="6">
        <f t="shared" si="54"/>
        <v>2.6908114255842618E-5</v>
      </c>
      <c r="AG401" s="6">
        <f t="shared" si="54"/>
        <v>2.6570793414369379E-5</v>
      </c>
      <c r="AH401" s="6">
        <f t="shared" si="54"/>
        <v>2.6228782386745567E-5</v>
      </c>
      <c r="AI401" s="6">
        <f t="shared" si="54"/>
        <v>2.6162431768583067E-5</v>
      </c>
      <c r="AJ401" s="6">
        <f t="shared" si="54"/>
        <v>2.6095891012387027E-5</v>
      </c>
      <c r="AK401" s="6">
        <f t="shared" si="54"/>
        <v>2.5962917182790027E-5</v>
      </c>
      <c r="AL401" s="6">
        <f t="shared" si="54"/>
        <v>2.5895776925025042E-5</v>
      </c>
      <c r="AM401" s="6">
        <f t="shared" si="54"/>
        <v>2.5829312673375157E-5</v>
      </c>
      <c r="AN401" s="6">
        <f t="shared" si="54"/>
        <v>2.5804262908942239E-5</v>
      </c>
      <c r="AO401" s="6">
        <f t="shared" si="54"/>
        <v>2.5780459778227925E-5</v>
      </c>
      <c r="AP401" s="6">
        <f t="shared" si="54"/>
        <v>2.5733670272860495E-5</v>
      </c>
      <c r="AQ401" s="6">
        <f t="shared" si="54"/>
        <v>2.5709867187306292E-5</v>
      </c>
      <c r="AR401" s="6">
        <f t="shared" si="54"/>
        <v>2.5685162055894327E-5</v>
      </c>
      <c r="AS401" s="6">
        <f t="shared" si="54"/>
        <v>2.5655767215887149E-5</v>
      </c>
      <c r="AT401" s="6">
        <f t="shared" si="54"/>
        <v>2.5626884571953715E-5</v>
      </c>
      <c r="AU401" s="6">
        <f t="shared" si="54"/>
        <v>2.5577541066413494E-5</v>
      </c>
      <c r="AV401" s="6">
        <f t="shared" si="54"/>
        <v>2.5548471842133846E-5</v>
      </c>
      <c r="AW401" s="6">
        <f t="shared" si="54"/>
        <v>2.5506543880165256E-5</v>
      </c>
      <c r="AX401" s="6">
        <f t="shared" si="54"/>
        <v>2.5665889134127306E-5</v>
      </c>
      <c r="AY401" s="6">
        <f t="shared" si="54"/>
        <v>2.5659663863316576E-5</v>
      </c>
      <c r="AZ401" s="6">
        <f t="shared" si="54"/>
        <v>2.5653454404168285E-5</v>
      </c>
      <c r="BA401" s="6">
        <f t="shared" si="54"/>
        <v>2.5647258080522851E-5</v>
      </c>
    </row>
    <row r="402" spans="1:53" outlineLevel="1" x14ac:dyDescent="0.35">
      <c r="A402" s="6" t="s">
        <v>36</v>
      </c>
      <c r="B402" s="6">
        <f t="shared" si="52"/>
        <v>3.5786050973205839E-6</v>
      </c>
      <c r="AB402" s="6" t="s">
        <v>123</v>
      </c>
      <c r="AC402" s="6">
        <f t="shared" ref="AC402:BA402" si="55">B423</f>
        <v>6.98615348979423E-6</v>
      </c>
      <c r="AD402" s="6">
        <f t="shared" si="55"/>
        <v>6.6865609381902453E-6</v>
      </c>
      <c r="AE402" s="6">
        <f t="shared" si="55"/>
        <v>6.387901189246065E-6</v>
      </c>
      <c r="AF402" s="6">
        <f t="shared" si="55"/>
        <v>6.0827067845473792E-6</v>
      </c>
      <c r="AG402" s="6">
        <f t="shared" si="55"/>
        <v>5.7855013235231044E-6</v>
      </c>
      <c r="AH402" s="6">
        <f t="shared" si="55"/>
        <v>5.4892278644625403E-6</v>
      </c>
      <c r="AI402" s="6">
        <f t="shared" si="55"/>
        <v>5.4648730105590148E-6</v>
      </c>
      <c r="AJ402" s="6">
        <f t="shared" si="55"/>
        <v>5.4402023753731551E-6</v>
      </c>
      <c r="AK402" s="6">
        <f t="shared" si="55"/>
        <v>5.4087476241049749E-6</v>
      </c>
      <c r="AL402" s="6">
        <f t="shared" si="55"/>
        <v>5.3831353182669151E-6</v>
      </c>
      <c r="AM402" s="6">
        <f t="shared" si="55"/>
        <v>5.3571969709996852E-6</v>
      </c>
      <c r="AN402" s="6">
        <f t="shared" si="55"/>
        <v>5.3398215234715699E-6</v>
      </c>
      <c r="AO402" s="6">
        <f t="shared" si="55"/>
        <v>5.3223833285460649E-6</v>
      </c>
      <c r="AP402" s="6">
        <f t="shared" si="55"/>
        <v>5.3029350805472848E-6</v>
      </c>
      <c r="AQ402" s="6">
        <f t="shared" si="55"/>
        <v>5.2849537157557602E-6</v>
      </c>
      <c r="AR402" s="6">
        <f t="shared" si="55"/>
        <v>5.2667673886417901E-6</v>
      </c>
      <c r="AS402" s="6">
        <f t="shared" si="55"/>
        <v>5.1984759978655503E-6</v>
      </c>
      <c r="AT402" s="6">
        <f t="shared" si="55"/>
        <v>5.1303872011251149E-6</v>
      </c>
      <c r="AU402" s="6">
        <f t="shared" si="55"/>
        <v>5.0609636892424405E-6</v>
      </c>
      <c r="AV402" s="6">
        <f t="shared" si="55"/>
        <v>4.9931804312954626E-6</v>
      </c>
      <c r="AW402" s="6">
        <f t="shared" si="55"/>
        <v>4.9253342592135276E-6</v>
      </c>
      <c r="AX402" s="6">
        <f t="shared" si="55"/>
        <v>4.9211385387924968E-6</v>
      </c>
      <c r="AY402" s="6">
        <f t="shared" si="55"/>
        <v>4.8761779229545114E-6</v>
      </c>
      <c r="AZ402" s="6">
        <f t="shared" si="55"/>
        <v>4.8312831898971668E-6</v>
      </c>
      <c r="BA402" s="6">
        <f t="shared" si="55"/>
        <v>4.7864454440377469E-6</v>
      </c>
    </row>
    <row r="403" spans="1:53" outlineLevel="1" x14ac:dyDescent="0.35">
      <c r="A403" s="6" t="s">
        <v>38</v>
      </c>
      <c r="B403" s="6">
        <f t="shared" si="52"/>
        <v>1.9755647666104199E-5</v>
      </c>
      <c r="AB403" s="6" t="s">
        <v>124</v>
      </c>
      <c r="AC403" s="6">
        <f>-$AC$384*$AC$383</f>
        <v>-1.4000382499999999E-4</v>
      </c>
      <c r="AD403" s="6">
        <f t="shared" ref="AD403:BA403" si="56">-$AC$384*$AC$383</f>
        <v>-1.4000382499999999E-4</v>
      </c>
      <c r="AE403" s="6">
        <f t="shared" si="56"/>
        <v>-1.4000382499999999E-4</v>
      </c>
      <c r="AF403" s="6">
        <f t="shared" si="56"/>
        <v>-1.4000382499999999E-4</v>
      </c>
      <c r="AG403" s="6">
        <f t="shared" si="56"/>
        <v>-1.4000382499999999E-4</v>
      </c>
      <c r="AH403" s="6">
        <f t="shared" si="56"/>
        <v>-1.4000382499999999E-4</v>
      </c>
      <c r="AI403" s="6">
        <f t="shared" si="56"/>
        <v>-1.4000382499999999E-4</v>
      </c>
      <c r="AJ403" s="6">
        <f t="shared" si="56"/>
        <v>-1.4000382499999999E-4</v>
      </c>
      <c r="AK403" s="6">
        <f t="shared" si="56"/>
        <v>-1.4000382499999999E-4</v>
      </c>
      <c r="AL403" s="6">
        <f t="shared" si="56"/>
        <v>-1.4000382499999999E-4</v>
      </c>
      <c r="AM403" s="6">
        <f t="shared" si="56"/>
        <v>-1.4000382499999999E-4</v>
      </c>
      <c r="AN403" s="6">
        <f t="shared" si="56"/>
        <v>-1.4000382499999999E-4</v>
      </c>
      <c r="AO403" s="6">
        <f t="shared" si="56"/>
        <v>-1.4000382499999999E-4</v>
      </c>
      <c r="AP403" s="6">
        <f t="shared" si="56"/>
        <v>-1.4000382499999999E-4</v>
      </c>
      <c r="AQ403" s="6">
        <f t="shared" si="56"/>
        <v>-1.4000382499999999E-4</v>
      </c>
      <c r="AR403" s="6">
        <f t="shared" si="56"/>
        <v>-1.4000382499999999E-4</v>
      </c>
      <c r="AS403" s="6">
        <f t="shared" si="56"/>
        <v>-1.4000382499999999E-4</v>
      </c>
      <c r="AT403" s="6">
        <f t="shared" si="56"/>
        <v>-1.4000382499999999E-4</v>
      </c>
      <c r="AU403" s="6">
        <f t="shared" si="56"/>
        <v>-1.4000382499999999E-4</v>
      </c>
      <c r="AV403" s="6">
        <f t="shared" si="56"/>
        <v>-1.4000382499999999E-4</v>
      </c>
      <c r="AW403" s="6">
        <f t="shared" si="56"/>
        <v>-1.4000382499999999E-4</v>
      </c>
      <c r="AX403" s="6">
        <f t="shared" si="56"/>
        <v>-1.4000382499999999E-4</v>
      </c>
      <c r="AY403" s="6">
        <f t="shared" si="56"/>
        <v>-1.4000382499999999E-4</v>
      </c>
      <c r="AZ403" s="6">
        <f t="shared" si="56"/>
        <v>-1.4000382499999999E-4</v>
      </c>
      <c r="BA403" s="6">
        <f t="shared" si="56"/>
        <v>-1.4000382499999999E-4</v>
      </c>
    </row>
    <row r="404" spans="1:53" outlineLevel="1" x14ac:dyDescent="0.35">
      <c r="A404" s="6" t="s">
        <v>39</v>
      </c>
      <c r="B404" s="6">
        <f t="shared" si="52"/>
        <v>4.9672540671057758E-5</v>
      </c>
      <c r="AB404" s="23" t="s">
        <v>125</v>
      </c>
      <c r="AC404" s="17">
        <f t="shared" ref="AC404:BA404" si="57">SUM(AC395:AC403)</f>
        <v>7.6958321943404543E-5</v>
      </c>
      <c r="AD404" s="17">
        <f t="shared" si="57"/>
        <v>-7.0247266819987403E-5</v>
      </c>
      <c r="AE404" s="17">
        <f t="shared" si="57"/>
        <v>-7.0867179698474794E-5</v>
      </c>
      <c r="AF404" s="17">
        <f t="shared" si="57"/>
        <v>-6.811980656414264E-5</v>
      </c>
      <c r="AG404" s="17">
        <f t="shared" si="57"/>
        <v>-7.2255691908168528E-5</v>
      </c>
      <c r="AH404" s="17">
        <f t="shared" si="57"/>
        <v>-7.289397639485289E-5</v>
      </c>
      <c r="AI404" s="17">
        <f t="shared" si="57"/>
        <v>-6.9625055892695933E-5</v>
      </c>
      <c r="AJ404" s="17">
        <f t="shared" si="57"/>
        <v>-7.3075893258300824E-5</v>
      </c>
      <c r="AK404" s="17">
        <f t="shared" si="57"/>
        <v>-7.3240321839166005E-5</v>
      </c>
      <c r="AL404" s="17">
        <f t="shared" si="57"/>
        <v>-7.0010870132316381E-5</v>
      </c>
      <c r="AM404" s="17">
        <f t="shared" si="57"/>
        <v>-7.3425477001686152E-5</v>
      </c>
      <c r="AN404" s="17">
        <f t="shared" si="57"/>
        <v>-7.3467902213647182E-5</v>
      </c>
      <c r="AO404" s="17">
        <f t="shared" si="57"/>
        <v>-7.0199334441413552E-5</v>
      </c>
      <c r="AP404" s="17">
        <f t="shared" si="57"/>
        <v>-7.3575381292653226E-5</v>
      </c>
      <c r="AQ404" s="17">
        <f t="shared" si="57"/>
        <v>-7.3617165742998953E-5</v>
      </c>
      <c r="AR404" s="17">
        <f t="shared" si="57"/>
        <v>-7.0361345206039805E-5</v>
      </c>
      <c r="AS404" s="17">
        <f t="shared" si="57"/>
        <v>-7.3757743432308301E-5</v>
      </c>
      <c r="AT404" s="17">
        <f t="shared" si="57"/>
        <v>-7.3854714872982169E-5</v>
      </c>
      <c r="AU404" s="17">
        <f t="shared" si="57"/>
        <v>-7.0694585751863068E-5</v>
      </c>
      <c r="AV404" s="17">
        <f t="shared" si="57"/>
        <v>-7.4070334372631689E-5</v>
      </c>
      <c r="AW404" s="17">
        <f t="shared" si="57"/>
        <v>-7.4180108506682221E-5</v>
      </c>
      <c r="AX404" s="17">
        <f t="shared" si="57"/>
        <v>-7.0742071947521421E-5</v>
      </c>
      <c r="AY404" s="17">
        <f t="shared" si="57"/>
        <v>-7.4076144859789908E-5</v>
      </c>
      <c r="AZ404" s="17">
        <f t="shared" si="57"/>
        <v>-7.4127249051995542E-5</v>
      </c>
      <c r="BA404" s="17">
        <f t="shared" si="57"/>
        <v>-6.8357714620823816E-5</v>
      </c>
    </row>
    <row r="405" spans="1:53" outlineLevel="1" x14ac:dyDescent="0.35">
      <c r="A405" s="6" t="s">
        <v>41</v>
      </c>
      <c r="B405" s="6">
        <f t="shared" si="52"/>
        <v>6.7173966351855849E-7</v>
      </c>
    </row>
    <row r="406" spans="1:53" outlineLevel="1" x14ac:dyDescent="0.35">
      <c r="A406" s="6" t="s">
        <v>43</v>
      </c>
      <c r="B406" s="6">
        <f t="shared" si="52"/>
        <v>1.9363285429090501E-6</v>
      </c>
      <c r="AB406" s="282"/>
      <c r="AC406" s="282"/>
      <c r="AD406" s="282"/>
      <c r="AE406" s="282"/>
      <c r="AF406" s="282"/>
      <c r="AG406" s="282"/>
      <c r="AH406" s="282"/>
      <c r="AI406" s="282"/>
      <c r="AJ406" s="282"/>
      <c r="AK406" s="282"/>
      <c r="AL406" s="282"/>
      <c r="AM406" s="282"/>
      <c r="AN406" s="282"/>
      <c r="AO406" s="282"/>
      <c r="AP406" s="282"/>
      <c r="AQ406" s="282"/>
      <c r="AR406" s="282"/>
      <c r="AS406" s="282"/>
      <c r="AT406" s="282"/>
      <c r="AU406" s="282"/>
      <c r="AV406" s="282"/>
      <c r="AW406" s="282"/>
      <c r="AX406" s="282"/>
      <c r="AY406" s="282"/>
      <c r="AZ406" s="282"/>
      <c r="BA406" s="282"/>
    </row>
    <row r="407" spans="1:53" outlineLevel="1" x14ac:dyDescent="0.35">
      <c r="A407" s="6" t="s">
        <v>44</v>
      </c>
      <c r="B407" s="6">
        <f>B102*AC385</f>
        <v>4.8932981636422996E-6</v>
      </c>
      <c r="AB407" s="282"/>
      <c r="AC407" s="282"/>
      <c r="AD407" s="282"/>
      <c r="AE407" s="282"/>
      <c r="AF407" s="282"/>
      <c r="AG407" s="282"/>
      <c r="AH407" s="282"/>
      <c r="AI407" s="282"/>
      <c r="AJ407" s="282"/>
      <c r="AK407" s="282"/>
      <c r="AL407" s="282"/>
      <c r="AM407" s="282"/>
      <c r="AN407" s="282"/>
      <c r="AO407" s="282"/>
      <c r="AP407" s="282"/>
      <c r="AQ407" s="282"/>
      <c r="AR407" s="282"/>
      <c r="AS407" s="282"/>
      <c r="AT407" s="282"/>
      <c r="AU407" s="282"/>
      <c r="AV407" s="282"/>
      <c r="AW407" s="282"/>
      <c r="AX407" s="282"/>
      <c r="AY407" s="282"/>
      <c r="AZ407" s="282"/>
      <c r="BA407" s="282"/>
    </row>
    <row r="408" spans="1:53" outlineLevel="1" x14ac:dyDescent="0.35">
      <c r="A408" s="6" t="s">
        <v>757</v>
      </c>
      <c r="B408" s="6">
        <f>B103*AC385</f>
        <v>1.42887299403435E-5</v>
      </c>
      <c r="AB408" s="282"/>
      <c r="AC408" s="282"/>
      <c r="AD408" s="282"/>
      <c r="AE408" s="282"/>
      <c r="AF408" s="282"/>
      <c r="AG408" s="282"/>
      <c r="AH408" s="282"/>
      <c r="AI408" s="282"/>
      <c r="AJ408" s="282"/>
      <c r="AK408" s="282"/>
      <c r="AL408" s="282"/>
      <c r="AM408" s="282"/>
      <c r="AN408" s="282"/>
      <c r="AO408" s="282"/>
      <c r="AP408" s="282"/>
      <c r="AQ408" s="282"/>
      <c r="AR408" s="282"/>
      <c r="AS408" s="282"/>
      <c r="AT408" s="282"/>
      <c r="AU408" s="282"/>
      <c r="AV408" s="282"/>
      <c r="AW408" s="282"/>
      <c r="AX408" s="282"/>
      <c r="AY408" s="282"/>
      <c r="AZ408" s="282"/>
      <c r="BA408" s="282"/>
    </row>
    <row r="409" spans="1:53" outlineLevel="1" x14ac:dyDescent="0.35">
      <c r="A409" s="6" t="s">
        <v>22</v>
      </c>
      <c r="Z409" s="6">
        <f>Z104</f>
        <v>6.1463287504351536E-8</v>
      </c>
      <c r="AB409" s="282"/>
      <c r="AC409" s="282"/>
      <c r="AD409" s="282"/>
      <c r="AE409" s="282"/>
      <c r="AF409" s="282"/>
      <c r="AG409" s="282"/>
      <c r="AH409" s="282"/>
      <c r="AI409" s="282"/>
      <c r="AJ409" s="282"/>
      <c r="AK409" s="282"/>
      <c r="AL409" s="282"/>
      <c r="AM409" s="282"/>
      <c r="AN409" s="282"/>
      <c r="AO409" s="282"/>
      <c r="AP409" s="282"/>
      <c r="AQ409" s="282"/>
      <c r="AR409" s="282"/>
      <c r="AS409" s="282"/>
      <c r="AT409" s="282"/>
      <c r="AU409" s="282"/>
      <c r="AV409" s="282"/>
      <c r="AW409" s="282"/>
      <c r="AX409" s="282"/>
      <c r="AY409" s="282"/>
      <c r="AZ409" s="282"/>
      <c r="BA409" s="282"/>
    </row>
    <row r="410" spans="1:53" outlineLevel="1" x14ac:dyDescent="0.35">
      <c r="A410" s="6" t="s">
        <v>24</v>
      </c>
      <c r="Z410" s="6">
        <f t="shared" ref="Z410:Z420" si="58">Z105</f>
        <v>2.9780930154979231E-8</v>
      </c>
      <c r="AB410" s="282"/>
      <c r="AC410" s="282"/>
      <c r="AD410" s="282"/>
      <c r="AE410" s="282"/>
      <c r="AF410" s="282"/>
      <c r="AG410" s="282"/>
      <c r="AH410" s="282"/>
      <c r="AI410" s="282"/>
      <c r="AJ410" s="282"/>
      <c r="AK410" s="282"/>
      <c r="AL410" s="282"/>
      <c r="AM410" s="282"/>
      <c r="AN410" s="282"/>
      <c r="AO410" s="282"/>
      <c r="AP410" s="282"/>
      <c r="AQ410" s="282"/>
      <c r="AR410" s="282"/>
      <c r="AS410" s="282"/>
      <c r="AT410" s="282"/>
      <c r="AU410" s="282"/>
      <c r="AV410" s="282"/>
      <c r="AW410" s="282"/>
      <c r="AX410" s="282"/>
      <c r="AY410" s="282"/>
      <c r="AZ410" s="282"/>
      <c r="BA410" s="282"/>
    </row>
    <row r="411" spans="1:53" outlineLevel="1" x14ac:dyDescent="0.35">
      <c r="A411" s="6" t="s">
        <v>25</v>
      </c>
      <c r="Z411" s="6">
        <f t="shared" si="58"/>
        <v>1.1656149191787559E-7</v>
      </c>
      <c r="AB411" s="282"/>
      <c r="AC411" s="282"/>
      <c r="AD411" s="282"/>
      <c r="AE411" s="282"/>
      <c r="AF411" s="282"/>
      <c r="AG411" s="282"/>
      <c r="AH411" s="282"/>
      <c r="AI411" s="282"/>
      <c r="AJ411" s="282"/>
      <c r="AK411" s="282"/>
      <c r="AL411" s="282"/>
      <c r="AM411" s="282"/>
      <c r="AN411" s="282"/>
      <c r="AO411" s="282"/>
      <c r="AP411" s="282"/>
      <c r="AQ411" s="282"/>
      <c r="AR411" s="282"/>
      <c r="AS411" s="282"/>
      <c r="AT411" s="282"/>
      <c r="AU411" s="282"/>
      <c r="AV411" s="282"/>
      <c r="AW411" s="282"/>
      <c r="AX411" s="282"/>
      <c r="AY411" s="282"/>
      <c r="AZ411" s="282"/>
      <c r="BA411" s="282"/>
    </row>
    <row r="412" spans="1:53" outlineLevel="1" x14ac:dyDescent="0.35">
      <c r="A412" s="6" t="s">
        <v>27</v>
      </c>
      <c r="Z412" s="6">
        <f t="shared" si="58"/>
        <v>4.3717870155312199E-8</v>
      </c>
      <c r="AB412" s="282"/>
      <c r="AC412" s="282"/>
      <c r="AD412" s="282"/>
      <c r="AE412" s="282"/>
      <c r="AF412" s="282"/>
      <c r="AG412" s="282"/>
      <c r="AH412" s="282"/>
      <c r="AI412" s="282"/>
      <c r="AJ412" s="282"/>
      <c r="AK412" s="282"/>
      <c r="AL412" s="282"/>
      <c r="AM412" s="282"/>
      <c r="AN412" s="282"/>
      <c r="AO412" s="282"/>
      <c r="AP412" s="282"/>
      <c r="AQ412" s="282"/>
      <c r="AR412" s="282"/>
      <c r="AS412" s="282"/>
      <c r="AT412" s="282"/>
      <c r="AU412" s="282"/>
      <c r="AV412" s="282"/>
      <c r="AW412" s="282"/>
      <c r="AX412" s="282"/>
      <c r="AY412" s="282"/>
      <c r="AZ412" s="282"/>
      <c r="BA412" s="282"/>
    </row>
    <row r="413" spans="1:53" outlineLevel="1" x14ac:dyDescent="0.35">
      <c r="A413" s="6" t="s">
        <v>30</v>
      </c>
      <c r="Z413" s="6">
        <f t="shared" si="58"/>
        <v>8.0994806426941983E-8</v>
      </c>
      <c r="AB413" s="282"/>
      <c r="AC413" s="282"/>
      <c r="AD413" s="282"/>
      <c r="AE413" s="282"/>
      <c r="AF413" s="282"/>
      <c r="AG413" s="282"/>
      <c r="AH413" s="282"/>
      <c r="AI413" s="282"/>
      <c r="AJ413" s="282"/>
      <c r="AK413" s="282"/>
      <c r="AL413" s="282"/>
      <c r="AM413" s="282"/>
      <c r="AN413" s="282"/>
      <c r="AO413" s="282"/>
      <c r="AP413" s="282"/>
      <c r="AQ413" s="282"/>
      <c r="AR413" s="282"/>
      <c r="AS413" s="282"/>
      <c r="AT413" s="282"/>
      <c r="AU413" s="282"/>
      <c r="AV413" s="282"/>
      <c r="AW413" s="282"/>
      <c r="AX413" s="282"/>
      <c r="AY413" s="282"/>
      <c r="AZ413" s="282"/>
      <c r="BA413" s="282"/>
    </row>
    <row r="414" spans="1:53" outlineLevel="1" x14ac:dyDescent="0.35">
      <c r="A414" s="6" t="s">
        <v>32</v>
      </c>
      <c r="Z414" s="6">
        <f t="shared" si="58"/>
        <v>6.377197675436085E-9</v>
      </c>
      <c r="AB414" s="282"/>
      <c r="AC414" s="282"/>
      <c r="AD414" s="282"/>
      <c r="AE414" s="282"/>
      <c r="AF414" s="282"/>
      <c r="AG414" s="282"/>
      <c r="AH414" s="282"/>
      <c r="AI414" s="282"/>
      <c r="AJ414" s="282"/>
      <c r="AK414" s="282"/>
      <c r="AL414" s="282"/>
      <c r="AM414" s="282"/>
      <c r="AN414" s="282"/>
      <c r="AO414" s="282"/>
      <c r="AP414" s="282"/>
      <c r="AQ414" s="282"/>
      <c r="AR414" s="282"/>
      <c r="AS414" s="282"/>
      <c r="AT414" s="282"/>
      <c r="AU414" s="282"/>
      <c r="AV414" s="282"/>
      <c r="AW414" s="282"/>
      <c r="AX414" s="282"/>
      <c r="AY414" s="282"/>
      <c r="AZ414" s="282"/>
      <c r="BA414" s="282"/>
    </row>
    <row r="415" spans="1:53" outlineLevel="1" x14ac:dyDescent="0.35">
      <c r="A415" s="6" t="s">
        <v>33</v>
      </c>
      <c r="Z415" s="6">
        <f t="shared" si="58"/>
        <v>2.0574872161815658E-8</v>
      </c>
      <c r="AB415" s="282"/>
      <c r="AC415" s="282"/>
      <c r="AD415" s="282"/>
      <c r="AE415" s="282"/>
      <c r="AF415" s="282"/>
      <c r="AG415" s="282"/>
      <c r="AH415" s="282"/>
      <c r="AI415" s="282"/>
      <c r="AJ415" s="282"/>
      <c r="AK415" s="282"/>
      <c r="AL415" s="282"/>
      <c r="AM415" s="282"/>
      <c r="AN415" s="282"/>
      <c r="AO415" s="282"/>
      <c r="AP415" s="282"/>
      <c r="AQ415" s="282"/>
      <c r="AR415" s="282"/>
      <c r="AS415" s="282"/>
      <c r="AT415" s="282"/>
      <c r="AU415" s="282"/>
      <c r="AV415" s="282"/>
      <c r="AW415" s="282"/>
      <c r="AX415" s="282"/>
      <c r="AY415" s="282"/>
      <c r="AZ415" s="282"/>
      <c r="BA415" s="282"/>
    </row>
    <row r="416" spans="1:53" outlineLevel="1" x14ac:dyDescent="0.35">
      <c r="A416" s="6" t="s">
        <v>35</v>
      </c>
      <c r="Z416" s="6">
        <f t="shared" si="58"/>
        <v>4.114974432363133E-8</v>
      </c>
      <c r="AB416" s="282"/>
      <c r="AC416" s="282"/>
      <c r="AD416" s="282"/>
      <c r="AE416" s="282"/>
      <c r="AF416" s="282"/>
      <c r="AG416" s="282"/>
      <c r="AH416" s="282"/>
      <c r="AI416" s="282"/>
      <c r="AJ416" s="282"/>
      <c r="AK416" s="282"/>
      <c r="AL416" s="282"/>
      <c r="AM416" s="282"/>
      <c r="AN416" s="282"/>
      <c r="AO416" s="282"/>
      <c r="AP416" s="282"/>
      <c r="AQ416" s="282"/>
      <c r="AR416" s="282"/>
      <c r="AS416" s="282"/>
      <c r="AT416" s="282"/>
      <c r="AU416" s="282"/>
      <c r="AV416" s="282"/>
      <c r="AW416" s="282"/>
      <c r="AX416" s="282"/>
      <c r="AY416" s="282"/>
      <c r="AZ416" s="282"/>
      <c r="BA416" s="282"/>
    </row>
    <row r="417" spans="1:53" outlineLevel="1" x14ac:dyDescent="0.35">
      <c r="A417" s="6" t="s">
        <v>37</v>
      </c>
      <c r="Z417" s="6">
        <f t="shared" si="58"/>
        <v>1.0863148431932961E-7</v>
      </c>
      <c r="AB417" s="282"/>
      <c r="AC417" s="282"/>
      <c r="AD417" s="282"/>
      <c r="AE417" s="282"/>
      <c r="AF417" s="282"/>
      <c r="AG417" s="282"/>
      <c r="AH417" s="282"/>
      <c r="AI417" s="282"/>
      <c r="AJ417" s="282"/>
      <c r="AK417" s="282"/>
      <c r="AL417" s="282"/>
      <c r="AM417" s="282"/>
      <c r="AN417" s="282"/>
      <c r="AO417" s="282"/>
      <c r="AP417" s="282"/>
      <c r="AQ417" s="282"/>
      <c r="AR417" s="282"/>
      <c r="AS417" s="282"/>
      <c r="AT417" s="282"/>
      <c r="AU417" s="282"/>
      <c r="AV417" s="282"/>
      <c r="AW417" s="282"/>
      <c r="AX417" s="282"/>
      <c r="AY417" s="282"/>
      <c r="AZ417" s="282"/>
      <c r="BA417" s="282"/>
    </row>
    <row r="418" spans="1:53" outlineLevel="1" x14ac:dyDescent="0.35">
      <c r="A418" s="6" t="s">
        <v>40</v>
      </c>
      <c r="Z418" s="6">
        <f t="shared" si="58"/>
        <v>9.3099600369301554E-7</v>
      </c>
    </row>
    <row r="419" spans="1:53" outlineLevel="1" x14ac:dyDescent="0.35">
      <c r="A419" s="6" t="s">
        <v>42</v>
      </c>
      <c r="Z419" s="6">
        <f t="shared" si="58"/>
        <v>1.5771509757995021E-7</v>
      </c>
    </row>
    <row r="420" spans="1:53" outlineLevel="1" x14ac:dyDescent="0.35">
      <c r="A420" s="6" t="s">
        <v>115</v>
      </c>
      <c r="Z420" s="6">
        <f t="shared" si="58"/>
        <v>9.0001449736656561E-7</v>
      </c>
    </row>
    <row r="421" spans="1:53" outlineLevel="1" x14ac:dyDescent="0.35">
      <c r="A421" s="6" t="s">
        <v>45</v>
      </c>
      <c r="Z421" s="6">
        <f>Z116*AC385</f>
        <v>4.4645706210743862E-8</v>
      </c>
    </row>
    <row r="422" spans="1:53" outlineLevel="1" x14ac:dyDescent="0.35">
      <c r="A422" s="6" t="s">
        <v>116</v>
      </c>
      <c r="B422" s="6">
        <f>B117</f>
        <v>3.715731652454359E-6</v>
      </c>
      <c r="C422" s="6">
        <f t="shared" ref="C422:Z422" si="59">C117</f>
        <v>3.653971786261327E-6</v>
      </c>
      <c r="D422" s="6">
        <f t="shared" si="59"/>
        <v>3.590700222859685E-6</v>
      </c>
      <c r="E422" s="6">
        <f t="shared" si="59"/>
        <v>3.5013590415283682E-6</v>
      </c>
      <c r="F422" s="6">
        <f t="shared" si="59"/>
        <v>3.4350987731988199E-6</v>
      </c>
      <c r="G422" s="6">
        <f t="shared" si="59"/>
        <v>3.3672208371307779E-6</v>
      </c>
      <c r="H422" s="6">
        <f t="shared" si="59"/>
        <v>3.359625974222981E-6</v>
      </c>
      <c r="I422" s="6">
        <f t="shared" si="59"/>
        <v>3.3517806086884919E-6</v>
      </c>
      <c r="J422" s="6">
        <f t="shared" si="59"/>
        <v>3.330478938302756E-6</v>
      </c>
      <c r="K422" s="6">
        <f t="shared" si="59"/>
        <v>3.3222042704526711E-6</v>
      </c>
      <c r="L422" s="6">
        <f t="shared" si="59"/>
        <v>3.3137581199034298E-6</v>
      </c>
      <c r="M422" s="6">
        <f t="shared" si="59"/>
        <v>3.3117835992973371E-6</v>
      </c>
      <c r="N422" s="6">
        <f t="shared" si="59"/>
        <v>3.3098090978734569E-6</v>
      </c>
      <c r="O422" s="6">
        <f t="shared" si="59"/>
        <v>3.3027531832062708E-6</v>
      </c>
      <c r="P422" s="6">
        <f t="shared" si="59"/>
        <v>3.300744338648619E-6</v>
      </c>
      <c r="Q422" s="6">
        <f t="shared" si="59"/>
        <v>3.2987119954850761E-6</v>
      </c>
      <c r="R422" s="6">
        <f t="shared" si="59"/>
        <v>3.2935302766583081E-6</v>
      </c>
      <c r="S422" s="6">
        <f t="shared" si="59"/>
        <v>3.288392539742852E-6</v>
      </c>
      <c r="T422" s="6">
        <f t="shared" si="59"/>
        <v>3.278896138541998E-6</v>
      </c>
      <c r="U422" s="6">
        <f t="shared" si="59"/>
        <v>3.273848587933931E-6</v>
      </c>
      <c r="V422" s="6">
        <f t="shared" si="59"/>
        <v>3.268749516231205E-6</v>
      </c>
      <c r="W422" s="6">
        <f t="shared" si="59"/>
        <v>3.2828870256197742E-6</v>
      </c>
      <c r="X422" s="6">
        <f t="shared" si="59"/>
        <v>3.2812446458292191E-6</v>
      </c>
      <c r="Y422" s="6">
        <f t="shared" si="59"/>
        <v>3.2795974630278679E-6</v>
      </c>
      <c r="Z422" s="6">
        <f t="shared" si="59"/>
        <v>3.2779455111866361E-6</v>
      </c>
    </row>
    <row r="423" spans="1:53" outlineLevel="1" x14ac:dyDescent="0.35">
      <c r="A423" s="6" t="s">
        <v>758</v>
      </c>
      <c r="B423" s="6">
        <f>B118*$AC$385</f>
        <v>6.98615348979423E-6</v>
      </c>
      <c r="C423" s="6">
        <f t="shared" ref="C423:Z424" si="60">C118*$AC$385</f>
        <v>6.6865609381902453E-6</v>
      </c>
      <c r="D423" s="6">
        <f t="shared" si="60"/>
        <v>6.387901189246065E-6</v>
      </c>
      <c r="E423" s="6">
        <f t="shared" si="60"/>
        <v>6.0827067845473792E-6</v>
      </c>
      <c r="F423" s="6">
        <f t="shared" si="60"/>
        <v>5.7855013235231044E-6</v>
      </c>
      <c r="G423" s="6">
        <f t="shared" si="60"/>
        <v>5.4892278644625403E-6</v>
      </c>
      <c r="H423" s="6">
        <f t="shared" si="60"/>
        <v>5.4648730105590148E-6</v>
      </c>
      <c r="I423" s="6">
        <f t="shared" si="60"/>
        <v>5.4402023753731551E-6</v>
      </c>
      <c r="J423" s="6">
        <f t="shared" si="60"/>
        <v>5.4087476241049749E-6</v>
      </c>
      <c r="K423" s="6">
        <f t="shared" si="60"/>
        <v>5.3831353182669151E-6</v>
      </c>
      <c r="L423" s="6">
        <f t="shared" si="60"/>
        <v>5.3571969709996852E-6</v>
      </c>
      <c r="M423" s="6">
        <f t="shared" si="60"/>
        <v>5.3398215234715699E-6</v>
      </c>
      <c r="N423" s="6">
        <f t="shared" si="60"/>
        <v>5.3223833285460649E-6</v>
      </c>
      <c r="O423" s="6">
        <f t="shared" si="60"/>
        <v>5.3029350805472848E-6</v>
      </c>
      <c r="P423" s="6">
        <f t="shared" si="60"/>
        <v>5.2849537157557602E-6</v>
      </c>
      <c r="Q423" s="6">
        <f t="shared" si="60"/>
        <v>5.2667673886417901E-6</v>
      </c>
      <c r="R423" s="6">
        <f t="shared" si="60"/>
        <v>5.1984759978655503E-6</v>
      </c>
      <c r="S423" s="6">
        <f t="shared" si="60"/>
        <v>5.1303872011251149E-6</v>
      </c>
      <c r="T423" s="6">
        <f t="shared" si="60"/>
        <v>5.0609636892424405E-6</v>
      </c>
      <c r="U423" s="6">
        <f t="shared" si="60"/>
        <v>4.9931804312954626E-6</v>
      </c>
      <c r="V423" s="6">
        <f t="shared" si="60"/>
        <v>4.9253342592135276E-6</v>
      </c>
      <c r="W423" s="6">
        <f t="shared" si="60"/>
        <v>4.9211385387924968E-6</v>
      </c>
      <c r="X423" s="6">
        <f t="shared" si="60"/>
        <v>4.8761779229545114E-6</v>
      </c>
      <c r="Y423" s="6">
        <f t="shared" si="60"/>
        <v>4.8312831898971668E-6</v>
      </c>
      <c r="Z423" s="6">
        <f t="shared" si="60"/>
        <v>4.7864454440377469E-6</v>
      </c>
    </row>
    <row r="424" spans="1:53" outlineLevel="1" x14ac:dyDescent="0.35">
      <c r="A424" s="6" t="s">
        <v>759</v>
      </c>
      <c r="B424" s="6">
        <f>B119*$AC$385</f>
        <v>1.0368000147309429E-7</v>
      </c>
      <c r="C424" s="6">
        <f t="shared" si="60"/>
        <v>1.0368000147309429E-7</v>
      </c>
      <c r="D424" s="6">
        <f t="shared" si="60"/>
        <v>1.0368000147309429E-7</v>
      </c>
      <c r="E424" s="6">
        <f t="shared" si="60"/>
        <v>1.0368000147309429E-7</v>
      </c>
      <c r="F424" s="6">
        <f t="shared" si="60"/>
        <v>1.0368000147309429E-7</v>
      </c>
      <c r="G424" s="6">
        <f t="shared" si="60"/>
        <v>1.0368000147309429E-7</v>
      </c>
      <c r="H424" s="6">
        <f t="shared" si="60"/>
        <v>1.0368000147309429E-7</v>
      </c>
      <c r="I424" s="6">
        <f t="shared" si="60"/>
        <v>1.0368000147309429E-7</v>
      </c>
      <c r="J424" s="6">
        <f t="shared" si="60"/>
        <v>1.0368000147309429E-7</v>
      </c>
      <c r="K424" s="6">
        <f t="shared" si="60"/>
        <v>1.0368000147309429E-7</v>
      </c>
      <c r="L424" s="6">
        <f t="shared" si="60"/>
        <v>1.0368000147309429E-7</v>
      </c>
      <c r="M424" s="6">
        <f t="shared" si="60"/>
        <v>1.0368000147309429E-7</v>
      </c>
      <c r="N424" s="6">
        <f t="shared" si="60"/>
        <v>1.0368000147309429E-7</v>
      </c>
      <c r="O424" s="6">
        <f t="shared" si="60"/>
        <v>1.0368000147309429E-7</v>
      </c>
      <c r="P424" s="6">
        <f t="shared" si="60"/>
        <v>1.0368000147309429E-7</v>
      </c>
      <c r="Q424" s="6">
        <f t="shared" si="60"/>
        <v>1.0368000147309429E-7</v>
      </c>
      <c r="R424" s="6">
        <f t="shared" si="60"/>
        <v>1.0368000147309429E-7</v>
      </c>
      <c r="S424" s="6">
        <f t="shared" si="60"/>
        <v>1.0368000147309429E-7</v>
      </c>
      <c r="T424" s="6">
        <f t="shared" si="60"/>
        <v>1.0368000147309429E-7</v>
      </c>
      <c r="U424" s="6">
        <f t="shared" si="60"/>
        <v>1.0368000147309429E-7</v>
      </c>
      <c r="V424" s="6">
        <f t="shared" si="60"/>
        <v>1.0368000147309429E-7</v>
      </c>
      <c r="W424" s="6">
        <f t="shared" si="60"/>
        <v>1.0368000147309429E-7</v>
      </c>
      <c r="X424" s="6">
        <f t="shared" si="60"/>
        <v>1.0368000147309429E-7</v>
      </c>
      <c r="Y424" s="6">
        <f t="shared" si="60"/>
        <v>1.0368000147309429E-7</v>
      </c>
      <c r="Z424" s="6">
        <f t="shared" si="60"/>
        <v>1.0368000147309429E-7</v>
      </c>
    </row>
    <row r="425" spans="1:53" outlineLevel="1" x14ac:dyDescent="0.35">
      <c r="A425" s="6" t="s">
        <v>760</v>
      </c>
      <c r="B425" s="6">
        <f>$B$252*$AC$384*'Results - raw data ReCiPe (H)'!AC128/(1-$AC$390)*(1+'Results ReCiPe (H) - HHD'!$AC$271/'Results ReCiPe (H) - HHD'!$AC$272-'Results ReCiPe (H) - HHD'!$AC$271)</f>
        <v>2.7891063805329795E-5</v>
      </c>
      <c r="C425" s="6">
        <f>$B$252*$AC$384*'Results - raw data ReCiPe (H)'!AD128/(1-$AC$390)*(1+'Results ReCiPe (H) - HHD'!$AC$271/'Results ReCiPe (H) - HHD'!$AC$272-'Results ReCiPe (H) - HHD'!$AC$271)</f>
        <v>2.757447888641026E-5</v>
      </c>
      <c r="D425" s="6">
        <f>$B$252*$AC$384*'Results - raw data ReCiPe (H)'!AE128/(1-$AC$390)*(1+'Results ReCiPe (H) - HHD'!$AC$271/'Results ReCiPe (H) - HHD'!$AC$272-'Results ReCiPe (H) - HHD'!$AC$271)</f>
        <v>2.7253225756867053E-5</v>
      </c>
      <c r="E425" s="6">
        <f>$B$252*$AC$384*'Results - raw data ReCiPe (H)'!AF128/(1-$AC$390)*(1+'Results ReCiPe (H) - HHD'!$AC$271/'Results ReCiPe (H) - HHD'!$AC$272-'Results ReCiPe (H) - HHD'!$AC$271)</f>
        <v>2.6804434254369524E-5</v>
      </c>
      <c r="F425" s="6">
        <f>$B$252*$AC$384*'Results - raw data ReCiPe (H)'!AG128/(1-$AC$390)*(1+'Results ReCiPe (H) - HHD'!$AC$271/'Results ReCiPe (H) - HHD'!$AC$272-'Results ReCiPe (H) - HHD'!$AC$271)</f>
        <v>2.6467113412896285E-5</v>
      </c>
      <c r="G425" s="6">
        <f>$B$252*$AC$384*'Results - raw data ReCiPe (H)'!AH128/(1-$AC$390)*(1+'Results ReCiPe (H) - HHD'!$AC$271/'Results ReCiPe (H) - HHD'!$AC$272-'Results ReCiPe (H) - HHD'!$AC$271)</f>
        <v>2.6125102385272472E-5</v>
      </c>
      <c r="H425" s="6">
        <f>$B$252*$AC$384*'Results - raw data ReCiPe (H)'!AI128/(1-$AC$390)*(1+'Results ReCiPe (H) - HHD'!$AC$271/'Results ReCiPe (H) - HHD'!$AC$272-'Results ReCiPe (H) - HHD'!$AC$271)</f>
        <v>2.6058751767109972E-5</v>
      </c>
      <c r="I425" s="6">
        <f>$B$252*$AC$384*'Results - raw data ReCiPe (H)'!AJ128/(1-$AC$390)*(1+'Results ReCiPe (H) - HHD'!$AC$271/'Results ReCiPe (H) - HHD'!$AC$272-'Results ReCiPe (H) - HHD'!$AC$271)</f>
        <v>2.5992211010913933E-5</v>
      </c>
      <c r="J425" s="6">
        <f>$B$252*$AC$384*'Results - raw data ReCiPe (H)'!AK128/(1-$AC$390)*(1+'Results ReCiPe (H) - HHD'!$AC$271/'Results ReCiPe (H) - HHD'!$AC$272-'Results ReCiPe (H) - HHD'!$AC$271)</f>
        <v>2.5859237181316932E-5</v>
      </c>
      <c r="K425" s="6">
        <f>$B$252*$AC$384*'Results - raw data ReCiPe (H)'!AL128/(1-$AC$390)*(1+'Results ReCiPe (H) - HHD'!$AC$271/'Results ReCiPe (H) - HHD'!$AC$272-'Results ReCiPe (H) - HHD'!$AC$271)</f>
        <v>2.5792096923551948E-5</v>
      </c>
      <c r="L425" s="6">
        <f>$B$252*$AC$384*'Results - raw data ReCiPe (H)'!AM128/(1-$AC$390)*(1+'Results ReCiPe (H) - HHD'!$AC$271/'Results ReCiPe (H) - HHD'!$AC$272-'Results ReCiPe (H) - HHD'!$AC$271)</f>
        <v>2.5725632671902062E-5</v>
      </c>
      <c r="M425" s="6">
        <f>$B$252*$AC$384*'Results - raw data ReCiPe (H)'!AN128/(1-$AC$390)*(1+'Results ReCiPe (H) - HHD'!$AC$271/'Results ReCiPe (H) - HHD'!$AC$272-'Results ReCiPe (H) - HHD'!$AC$271)</f>
        <v>2.5700582907469144E-5</v>
      </c>
      <c r="N425" s="6">
        <f>$B$252*$AC$384*'Results - raw data ReCiPe (H)'!AO128/(1-$AC$390)*(1+'Results ReCiPe (H) - HHD'!$AC$271/'Results ReCiPe (H) - HHD'!$AC$272-'Results ReCiPe (H) - HHD'!$AC$271)</f>
        <v>2.5676779776754831E-5</v>
      </c>
      <c r="O425" s="6">
        <f>$B$252*$AC$384*'Results - raw data ReCiPe (H)'!AP128/(1-$AC$390)*(1+'Results ReCiPe (H) - HHD'!$AC$271/'Results ReCiPe (H) - HHD'!$AC$272-'Results ReCiPe (H) - HHD'!$AC$271)</f>
        <v>2.5629990271387401E-5</v>
      </c>
      <c r="P425" s="6">
        <f>$B$252*$AC$384*'Results - raw data ReCiPe (H)'!AQ128/(1-$AC$390)*(1+'Results ReCiPe (H) - HHD'!$AC$271/'Results ReCiPe (H) - HHD'!$AC$272-'Results ReCiPe (H) - HHD'!$AC$271)</f>
        <v>2.5606187185833198E-5</v>
      </c>
      <c r="Q425" s="6">
        <f>$B$252*$AC$384*'Results - raw data ReCiPe (H)'!AR128/(1-$AC$390)*(1+'Results ReCiPe (H) - HHD'!$AC$271/'Results ReCiPe (H) - HHD'!$AC$272-'Results ReCiPe (H) - HHD'!$AC$271)</f>
        <v>2.5581482054421233E-5</v>
      </c>
      <c r="R425" s="6">
        <f>$B$252*$AC$384*'Results - raw data ReCiPe (H)'!AS128/(1-$AC$390)*(1+'Results ReCiPe (H) - HHD'!$AC$271/'Results ReCiPe (H) - HHD'!$AC$272-'Results ReCiPe (H) - HHD'!$AC$271)</f>
        <v>2.5552087214414054E-5</v>
      </c>
      <c r="S425" s="6">
        <f>$B$252*$AC$384*'Results - raw data ReCiPe (H)'!AT128/(1-$AC$390)*(1+'Results ReCiPe (H) - HHD'!$AC$271/'Results ReCiPe (H) - HHD'!$AC$272-'Results ReCiPe (H) - HHD'!$AC$271)</f>
        <v>2.5523204570480621E-5</v>
      </c>
      <c r="T425" s="6">
        <f>$B$252*$AC$384*'Results - raw data ReCiPe (H)'!AU128/(1-$AC$390)*(1+'Results ReCiPe (H) - HHD'!$AC$271/'Results ReCiPe (H) - HHD'!$AC$272-'Results ReCiPe (H) - HHD'!$AC$271)</f>
        <v>2.54738610649404E-5</v>
      </c>
      <c r="U425" s="6">
        <f>$B$252*$AC$384*'Results - raw data ReCiPe (H)'!AV128/(1-$AC$390)*(1+'Results ReCiPe (H) - HHD'!$AC$271/'Results ReCiPe (H) - HHD'!$AC$272-'Results ReCiPe (H) - HHD'!$AC$271)</f>
        <v>2.5444791840660752E-5</v>
      </c>
      <c r="V425" s="6">
        <f>$B$252*$AC$384*'Results - raw data ReCiPe (H)'!AW128/(1-$AC$390)*(1+'Results ReCiPe (H) - HHD'!$AC$271/'Results ReCiPe (H) - HHD'!$AC$272-'Results ReCiPe (H) - HHD'!$AC$271)</f>
        <v>2.5402863878692161E-5</v>
      </c>
      <c r="W425" s="6">
        <f>$B$252*$AC$384*'Results - raw data ReCiPe (H)'!AX128/(1-$AC$390)*(1+'Results ReCiPe (H) - HHD'!$AC$271/'Results ReCiPe (H) - HHD'!$AC$272-'Results ReCiPe (H) - HHD'!$AC$271)</f>
        <v>2.5562209132654211E-5</v>
      </c>
      <c r="X425" s="6">
        <f>$B$252*$AC$384*'Results - raw data ReCiPe (H)'!AY128/(1-$AC$390)*(1+'Results ReCiPe (H) - HHD'!$AC$271/'Results ReCiPe (H) - HHD'!$AC$272-'Results ReCiPe (H) - HHD'!$AC$271)</f>
        <v>2.5555983861843482E-5</v>
      </c>
      <c r="Y425" s="6">
        <f>$B$252*$AC$384*'Results - raw data ReCiPe (H)'!AZ128/(1-$AC$390)*(1+'Results ReCiPe (H) - HHD'!$AC$271/'Results ReCiPe (H) - HHD'!$AC$272-'Results ReCiPe (H) - HHD'!$AC$271)</f>
        <v>2.554977440269519E-5</v>
      </c>
      <c r="Z425" s="6">
        <f>$B$252*$AC$384*'Results - raw data ReCiPe (H)'!BA128/(1-$AC$390)*(1+'Results ReCiPe (H) - HHD'!$AC$271/'Results ReCiPe (H) - HHD'!$AC$272-'Results ReCiPe (H) - HHD'!$AC$271)</f>
        <v>2.5543578079049757E-5</v>
      </c>
    </row>
    <row r="426" spans="1:53" outlineLevel="1" x14ac:dyDescent="0.35">
      <c r="A426" s="6" t="s">
        <v>797</v>
      </c>
      <c r="B426" s="6">
        <f>$B$380*$AC$384</f>
        <v>3.5391838353938991E-5</v>
      </c>
      <c r="C426" s="6">
        <f t="shared" ref="C426:Z426" si="61">$B$380*$AC$384</f>
        <v>3.5391838353938991E-5</v>
      </c>
      <c r="D426" s="6">
        <f t="shared" si="61"/>
        <v>3.5391838353938991E-5</v>
      </c>
      <c r="E426" s="6">
        <f t="shared" si="61"/>
        <v>3.5391838353938991E-5</v>
      </c>
      <c r="F426" s="6">
        <f t="shared" si="61"/>
        <v>3.5391838353938991E-5</v>
      </c>
      <c r="G426" s="6">
        <f t="shared" si="61"/>
        <v>3.5391838353938991E-5</v>
      </c>
      <c r="H426" s="6">
        <f t="shared" si="61"/>
        <v>3.5391838353938991E-5</v>
      </c>
      <c r="I426" s="6">
        <f t="shared" si="61"/>
        <v>3.5391838353938991E-5</v>
      </c>
      <c r="J426" s="6">
        <f t="shared" si="61"/>
        <v>3.5391838353938991E-5</v>
      </c>
      <c r="K426" s="6">
        <f t="shared" si="61"/>
        <v>3.5391838353938991E-5</v>
      </c>
      <c r="L426" s="6">
        <f t="shared" si="61"/>
        <v>3.5391838353938991E-5</v>
      </c>
      <c r="M426" s="6">
        <f t="shared" si="61"/>
        <v>3.5391838353938991E-5</v>
      </c>
      <c r="N426" s="6">
        <f t="shared" si="61"/>
        <v>3.5391838353938991E-5</v>
      </c>
      <c r="O426" s="6">
        <f t="shared" si="61"/>
        <v>3.5391838353938991E-5</v>
      </c>
      <c r="P426" s="6">
        <f t="shared" si="61"/>
        <v>3.5391838353938991E-5</v>
      </c>
      <c r="Q426" s="6">
        <f t="shared" si="61"/>
        <v>3.5391838353938991E-5</v>
      </c>
      <c r="R426" s="6">
        <f t="shared" si="61"/>
        <v>3.5391838353938991E-5</v>
      </c>
      <c r="S426" s="6">
        <f t="shared" si="61"/>
        <v>3.5391838353938991E-5</v>
      </c>
      <c r="T426" s="6">
        <f t="shared" si="61"/>
        <v>3.5391838353938991E-5</v>
      </c>
      <c r="U426" s="6">
        <f t="shared" si="61"/>
        <v>3.5391838353938991E-5</v>
      </c>
      <c r="V426" s="6">
        <f t="shared" si="61"/>
        <v>3.5391838353938991E-5</v>
      </c>
      <c r="W426" s="6">
        <f t="shared" si="61"/>
        <v>3.5391838353938991E-5</v>
      </c>
      <c r="X426" s="6">
        <f t="shared" si="61"/>
        <v>3.5391838353938991E-5</v>
      </c>
      <c r="Y426" s="6">
        <f t="shared" si="61"/>
        <v>3.5391838353938991E-5</v>
      </c>
      <c r="Z426" s="6">
        <f t="shared" si="61"/>
        <v>3.5391838353938991E-5</v>
      </c>
    </row>
    <row r="427" spans="1:53" outlineLevel="1" x14ac:dyDescent="0.35">
      <c r="A427" s="23" t="s">
        <v>125</v>
      </c>
      <c r="B427" s="17">
        <f>SUM(B395:B425)</f>
        <v>1.8157030858946554E-4</v>
      </c>
      <c r="C427" s="17">
        <f t="shared" ref="C427:Z427" si="62">SUM(C395:C425)</f>
        <v>3.8018691612334928E-5</v>
      </c>
      <c r="D427" s="17">
        <f t="shared" si="62"/>
        <v>3.7335507170445893E-5</v>
      </c>
      <c r="E427" s="17">
        <f t="shared" si="62"/>
        <v>3.6492180081918367E-5</v>
      </c>
      <c r="F427" s="17">
        <f t="shared" si="62"/>
        <v>3.5791393511091303E-5</v>
      </c>
      <c r="G427" s="17">
        <f t="shared" si="62"/>
        <v>3.5085231088338888E-5</v>
      </c>
      <c r="H427" s="17">
        <f t="shared" si="62"/>
        <v>3.4986930753365067E-5</v>
      </c>
      <c r="I427" s="17">
        <f t="shared" si="62"/>
        <v>3.4887873996448673E-5</v>
      </c>
      <c r="J427" s="17">
        <f t="shared" si="62"/>
        <v>3.4702143745197759E-5</v>
      </c>
      <c r="K427" s="17">
        <f t="shared" si="62"/>
        <v>3.4601116513744632E-5</v>
      </c>
      <c r="L427" s="17">
        <f t="shared" si="62"/>
        <v>3.4500267764278271E-5</v>
      </c>
      <c r="M427" s="17">
        <f t="shared" si="62"/>
        <v>3.4455868031711147E-5</v>
      </c>
      <c r="N427" s="17">
        <f t="shared" si="62"/>
        <v>3.4412652204647448E-5</v>
      </c>
      <c r="O427" s="17">
        <f t="shared" si="62"/>
        <v>3.4339358536614051E-5</v>
      </c>
      <c r="P427" s="17">
        <f t="shared" si="62"/>
        <v>3.4295565241710672E-5</v>
      </c>
      <c r="Q427" s="17">
        <f t="shared" si="62"/>
        <v>3.4250641440021194E-5</v>
      </c>
      <c r="R427" s="17">
        <f t="shared" si="62"/>
        <v>3.4147773490411007E-5</v>
      </c>
      <c r="S427" s="17">
        <f t="shared" si="62"/>
        <v>3.4045664312821681E-5</v>
      </c>
      <c r="T427" s="17">
        <f t="shared" si="62"/>
        <v>3.3917400894197932E-5</v>
      </c>
      <c r="U427" s="17">
        <f t="shared" si="62"/>
        <v>3.3815500861363235E-5</v>
      </c>
      <c r="V427" s="17">
        <f t="shared" si="62"/>
        <v>3.3700627655609987E-5</v>
      </c>
      <c r="W427" s="17">
        <f t="shared" si="62"/>
        <v>3.3869914698539578E-5</v>
      </c>
      <c r="X427" s="17">
        <f t="shared" si="62"/>
        <v>3.3817086432100306E-5</v>
      </c>
      <c r="Y427" s="17">
        <f t="shared" si="62"/>
        <v>3.3764335057093321E-5</v>
      </c>
      <c r="Z427" s="17">
        <f t="shared" si="62"/>
        <v>3.6254272025237184E-5</v>
      </c>
    </row>
    <row r="428" spans="1:53" s="26" customFormat="1" outlineLevel="1" x14ac:dyDescent="0.35"/>
    <row r="429" spans="1:53" s="236" customFormat="1" ht="21" x14ac:dyDescent="0.5">
      <c r="A429" s="236" t="s">
        <v>136</v>
      </c>
    </row>
    <row r="432" spans="1:53" x14ac:dyDescent="0.35">
      <c r="A432" s="331" t="s">
        <v>131</v>
      </c>
      <c r="B432" s="331"/>
      <c r="C432" s="331"/>
      <c r="D432" s="331"/>
      <c r="E432" s="331"/>
      <c r="F432" s="331"/>
      <c r="G432" s="331"/>
      <c r="H432" s="331"/>
      <c r="I432" s="331"/>
      <c r="J432" s="331"/>
      <c r="K432" s="331"/>
    </row>
    <row r="433" spans="1:11" x14ac:dyDescent="0.35">
      <c r="A433" s="6" t="s">
        <v>880</v>
      </c>
    </row>
    <row r="434" spans="1:11" x14ac:dyDescent="0.35">
      <c r="B434" s="6" t="s">
        <v>889</v>
      </c>
      <c r="C434" s="6" t="s">
        <v>891</v>
      </c>
      <c r="D434" s="6" t="s">
        <v>890</v>
      </c>
      <c r="E434" s="6" t="s">
        <v>892</v>
      </c>
      <c r="F434" s="6" t="s">
        <v>893</v>
      </c>
      <c r="G434" s="6" t="s">
        <v>894</v>
      </c>
      <c r="H434" s="6" t="s">
        <v>896</v>
      </c>
      <c r="I434" s="6" t="s">
        <v>897</v>
      </c>
      <c r="J434" s="6" t="s">
        <v>895</v>
      </c>
    </row>
    <row r="435" spans="1:11" x14ac:dyDescent="0.35">
      <c r="A435" s="6" t="s">
        <v>117</v>
      </c>
      <c r="B435" s="6">
        <f>SUM(AC10:BA10)</f>
        <v>1.9467533260507852E-4</v>
      </c>
      <c r="C435" s="6">
        <f>SUM(AC50:BA50)</f>
        <v>1.8346526921509307E-4</v>
      </c>
      <c r="D435" s="6">
        <f>SUM(AC90:BA90)</f>
        <v>1.5226911141711527E-4</v>
      </c>
      <c r="E435" s="6">
        <f>SUM(AC132:BA132)</f>
        <v>1.9467533260507852E-4</v>
      </c>
      <c r="F435" s="6">
        <f>SUM(AC173:BA173)</f>
        <v>1.8346526921509307E-4</v>
      </c>
      <c r="G435" s="6">
        <f>SUM(AC214:BA214)</f>
        <v>1.5226911141711527E-4</v>
      </c>
      <c r="H435" s="6">
        <f>SUM(AC274:BA274)</f>
        <v>1.7996708147025861E-4</v>
      </c>
      <c r="I435" s="6">
        <f>SUM(AC334:BA334)</f>
        <v>1.6886495556759864E-4</v>
      </c>
      <c r="J435" s="6">
        <f>SUM(AC395:BA395)</f>
        <v>1.3798038147677175E-4</v>
      </c>
    </row>
    <row r="436" spans="1:11" x14ac:dyDescent="0.35">
      <c r="A436" s="6" t="s">
        <v>118</v>
      </c>
      <c r="B436" s="6">
        <f>SUM(AC11:BA11)</f>
        <v>1.1362073373089257E-5</v>
      </c>
      <c r="C436" s="6">
        <f>SUM(AC51:BA51)</f>
        <v>1.0765797689579158E-5</v>
      </c>
      <c r="D436" s="6">
        <f>SUM(AC91:BA91)</f>
        <v>9.7865963272845992E-6</v>
      </c>
      <c r="E436" s="6">
        <f>SUM(AC133:BA133)</f>
        <v>1.1362073373089257E-5</v>
      </c>
      <c r="F436" s="6">
        <f>SUM(AC174:BA174)</f>
        <v>1.0765797689579158E-5</v>
      </c>
      <c r="G436" s="6">
        <f>SUM(AC215:BA215)</f>
        <v>9.7865963272845992E-6</v>
      </c>
      <c r="H436" s="6">
        <f t="shared" ref="H436:H444" si="63">SUM(AC275:BA275)</f>
        <v>5.6810366865446284E-6</v>
      </c>
      <c r="I436" s="6">
        <f t="shared" ref="I436:I444" si="64">SUM(AC335:BA335)</f>
        <v>5.3828988447895789E-6</v>
      </c>
      <c r="J436" s="6">
        <f t="shared" ref="J436:J444" si="65">SUM(AC396:BA396)</f>
        <v>4.8932981636422996E-6</v>
      </c>
    </row>
    <row r="437" spans="1:11" x14ac:dyDescent="0.35">
      <c r="A437" s="6" t="s">
        <v>119</v>
      </c>
      <c r="B437" s="6">
        <f>SUM(AC12:BA12)</f>
        <v>2.8327516247168551E-6</v>
      </c>
      <c r="C437" s="6">
        <f>SUM(AC52:BA52)</f>
        <v>2.5814369390254752E-6</v>
      </c>
      <c r="D437" s="6">
        <f>SUM(AC92:BA92)</f>
        <v>2.4979772832792044E-6</v>
      </c>
      <c r="E437" s="6">
        <f>SUM(AC134:BA134)</f>
        <v>2.8327516247168551E-6</v>
      </c>
      <c r="F437" s="6">
        <f>SUM(AC175:BA175)</f>
        <v>2.5814369390254752E-6</v>
      </c>
      <c r="G437" s="6">
        <f>SUM(AC216:BA216)</f>
        <v>2.4979772832792044E-6</v>
      </c>
      <c r="H437" s="6">
        <f t="shared" si="63"/>
        <v>2.8327516247168551E-6</v>
      </c>
      <c r="I437" s="6">
        <f t="shared" si="64"/>
        <v>2.5814369390254752E-6</v>
      </c>
      <c r="J437" s="6">
        <f t="shared" si="65"/>
        <v>2.4979772832792044E-6</v>
      </c>
    </row>
    <row r="438" spans="1:11" x14ac:dyDescent="0.35">
      <c r="A438" s="6" t="s">
        <v>120</v>
      </c>
      <c r="B438" s="6">
        <f>SUM(AC13:BA13)</f>
        <v>9.2615556283479631E-8</v>
      </c>
      <c r="C438" s="6">
        <f>SUM(AC53:BA53)</f>
        <v>8.9177657234606268E-8</v>
      </c>
      <c r="D438" s="6">
        <f>SUM(AC93:BA93)</f>
        <v>8.9291412421487725E-8</v>
      </c>
      <c r="E438" s="6">
        <f>SUM(AC135:BA135)</f>
        <v>9.2615556283479631E-8</v>
      </c>
      <c r="F438" s="6">
        <f>SUM(AC176:BA176)</f>
        <v>8.9177657234606268E-8</v>
      </c>
      <c r="G438" s="6">
        <f>SUM(AC217:BA217)</f>
        <v>8.9291412421487725E-8</v>
      </c>
      <c r="H438" s="6">
        <f t="shared" si="63"/>
        <v>4.6307778141739816E-8</v>
      </c>
      <c r="I438" s="6">
        <f t="shared" si="64"/>
        <v>4.4588828617303134E-8</v>
      </c>
      <c r="J438" s="6">
        <f t="shared" si="65"/>
        <v>4.4645706210743862E-8</v>
      </c>
    </row>
    <row r="439" spans="1:11" x14ac:dyDescent="0.35">
      <c r="A439" s="6" t="s">
        <v>121</v>
      </c>
      <c r="B439" s="6">
        <f>SUM(AC14:BA14)</f>
        <v>4.0408701872486058E-5</v>
      </c>
      <c r="C439" s="6">
        <f>SUM(AC54:BA54)</f>
        <v>3.4271927680265855E-5</v>
      </c>
      <c r="D439" s="6">
        <f>SUM(AC94:BA94)</f>
        <v>3.0347170707365323E-5</v>
      </c>
      <c r="E439" s="6">
        <f>SUM(AC136:BA136)</f>
        <v>4.0408701872486058E-5</v>
      </c>
      <c r="F439" s="6">
        <f>SUM(AC177:BA177)</f>
        <v>3.4271927680265855E-5</v>
      </c>
      <c r="G439" s="6">
        <f>SUM(AC218:BA218)</f>
        <v>3.0347170707365323E-5</v>
      </c>
      <c r="H439" s="6">
        <f t="shared" si="63"/>
        <v>4.0408701872486058E-5</v>
      </c>
      <c r="I439" s="6">
        <f t="shared" si="64"/>
        <v>3.4271927680265855E-5</v>
      </c>
      <c r="J439" s="6">
        <f t="shared" si="65"/>
        <v>3.0347170707365323E-5</v>
      </c>
    </row>
    <row r="440" spans="1:11" x14ac:dyDescent="0.35">
      <c r="A440" s="6" t="s">
        <v>800</v>
      </c>
      <c r="H440" s="6">
        <f t="shared" si="63"/>
        <v>1.0623459015422626E-3</v>
      </c>
      <c r="I440" s="6">
        <f t="shared" si="64"/>
        <v>1.0217940395875534E-3</v>
      </c>
      <c r="J440" s="6">
        <f t="shared" si="65"/>
        <v>8.8479595884847432E-4</v>
      </c>
    </row>
    <row r="441" spans="1:11" x14ac:dyDescent="0.35">
      <c r="A441" s="6" t="s">
        <v>122</v>
      </c>
      <c r="B441" s="6">
        <f>SUM(AC15:BA15)</f>
        <v>6.1138143586717594E-3</v>
      </c>
      <c r="C441" s="6">
        <f>SUM(AC55:BA55)</f>
        <v>1.5105550858886749E-3</v>
      </c>
      <c r="D441" s="6">
        <f>SUM(AC95:BA95)</f>
        <v>5.8647718217122848E-4</v>
      </c>
      <c r="E441" s="6">
        <f>SUM(AC137:BA137)</f>
        <v>4.7780740629027501E-3</v>
      </c>
      <c r="F441" s="6">
        <f>SUM(AC178:BA178)</f>
        <v>1.2472821229270162E-3</v>
      </c>
      <c r="G441" s="6">
        <f>SUM(AC219:BA219)</f>
        <v>5.3469691309592751E-4</v>
      </c>
      <c r="H441" s="6">
        <f t="shared" si="63"/>
        <v>7.8595318153049706E-4</v>
      </c>
      <c r="I441" s="6">
        <f t="shared" si="64"/>
        <v>6.949201171357228E-4</v>
      </c>
      <c r="J441" s="6">
        <f t="shared" si="65"/>
        <v>6.5193872433406399E-4</v>
      </c>
    </row>
    <row r="442" spans="1:11" x14ac:dyDescent="0.35">
      <c r="A442" s="6" t="s">
        <v>123</v>
      </c>
      <c r="B442" s="6">
        <f>SUM(AC16:BA16)</f>
        <v>6.8968043308656804E-4</v>
      </c>
      <c r="C442" s="6">
        <f>SUM(AC56:BA56)</f>
        <v>3.4252283010491173E-4</v>
      </c>
      <c r="D442" s="6">
        <f>SUM(AC96:BA96)</f>
        <v>2.7142490920090758E-4</v>
      </c>
      <c r="E442" s="6">
        <f>SUM(AC138:BA138)</f>
        <v>1.5862649960991063E-6</v>
      </c>
      <c r="F442" s="6">
        <f>SUM(AC179:BA179)</f>
        <v>7.8780250924129702E-7</v>
      </c>
      <c r="G442" s="6">
        <f>SUM(AC220:BA220)</f>
        <v>6.2427729116208748E-7</v>
      </c>
      <c r="H442" s="6">
        <f t="shared" si="63"/>
        <v>3.4484021654328402E-4</v>
      </c>
      <c r="I442" s="6">
        <f t="shared" si="64"/>
        <v>1.7126141505245586E-4</v>
      </c>
      <c r="J442" s="6">
        <f t="shared" si="65"/>
        <v>1.3571245460045379E-4</v>
      </c>
    </row>
    <row r="443" spans="1:11" x14ac:dyDescent="0.35">
      <c r="A443" s="6" t="s">
        <v>124</v>
      </c>
      <c r="B443" s="6">
        <f>SUM(AC17:BA17)</f>
        <v>-7.0001912499999966E-3</v>
      </c>
      <c r="C443" s="6">
        <f>SUM(AC57:BA57)</f>
        <v>-7.0001912499999966E-3</v>
      </c>
      <c r="D443" s="6">
        <f>SUM(AC97:BA97)</f>
        <v>-7.0001912499999966E-3</v>
      </c>
      <c r="E443" s="6">
        <f>SUM(AC139:BA139)</f>
        <v>-7.0001912499999966E-3</v>
      </c>
      <c r="F443" s="6">
        <f>SUM(AC180:BA180)</f>
        <v>-7.0001912499999966E-3</v>
      </c>
      <c r="G443" s="6">
        <f>SUM(AC221:BA221)</f>
        <v>-7.0001912499999966E-3</v>
      </c>
      <c r="H443" s="6">
        <f t="shared" si="63"/>
        <v>-3.5000956249999983E-3</v>
      </c>
      <c r="I443" s="6">
        <f t="shared" si="64"/>
        <v>-3.5000956249999983E-3</v>
      </c>
      <c r="J443" s="6">
        <f t="shared" si="65"/>
        <v>-3.5000956249999983E-3</v>
      </c>
    </row>
    <row r="444" spans="1:11" x14ac:dyDescent="0.35">
      <c r="A444" s="6" t="s">
        <v>137</v>
      </c>
      <c r="B444" s="6">
        <f>SUM(AC18:BA18)</f>
        <v>5.2675016789981968E-5</v>
      </c>
      <c r="C444" s="6">
        <f>SUM(AC58:BA58)</f>
        <v>-4.915939724825214E-3</v>
      </c>
      <c r="D444" s="6">
        <f>SUM(AC98:BA98)</f>
        <v>-5.9472990114803987E-3</v>
      </c>
      <c r="E444" s="6">
        <f>SUM(AC140:BA140)</f>
        <v>-1.9711594470694952E-3</v>
      </c>
      <c r="F444" s="6">
        <f>SUM(AC181:BA181)</f>
        <v>-5.5209477153825449E-3</v>
      </c>
      <c r="G444" s="6">
        <f>SUM(AC222:BA222)</f>
        <v>-6.2698799124654451E-3</v>
      </c>
      <c r="H444" s="6">
        <f t="shared" si="63"/>
        <v>-1.0780204459518081E-3</v>
      </c>
      <c r="I444" s="6">
        <f t="shared" si="64"/>
        <v>-1.400974245363971E-3</v>
      </c>
      <c r="J444" s="6">
        <f t="shared" si="65"/>
        <v>-1.6518850138797381E-3</v>
      </c>
    </row>
    <row r="446" spans="1:11" x14ac:dyDescent="0.35">
      <c r="A446" s="331" t="s">
        <v>133</v>
      </c>
      <c r="B446" s="331"/>
      <c r="C446" s="331"/>
      <c r="D446" s="331"/>
      <c r="E446" s="331"/>
      <c r="F446" s="331"/>
      <c r="G446" s="331"/>
      <c r="H446" s="331"/>
      <c r="I446" s="331"/>
      <c r="J446" s="331"/>
      <c r="K446" s="331"/>
    </row>
    <row r="447" spans="1:11" x14ac:dyDescent="0.35">
      <c r="A447" s="6" t="s">
        <v>881</v>
      </c>
    </row>
    <row r="448" spans="1:11" x14ac:dyDescent="0.35">
      <c r="B448" s="6" t="s">
        <v>889</v>
      </c>
      <c r="C448" s="6" t="s">
        <v>891</v>
      </c>
      <c r="D448" s="6" t="s">
        <v>890</v>
      </c>
      <c r="E448" s="6" t="s">
        <v>892</v>
      </c>
      <c r="F448" s="6" t="s">
        <v>893</v>
      </c>
      <c r="G448" s="6" t="s">
        <v>894</v>
      </c>
      <c r="H448" s="6" t="s">
        <v>896</v>
      </c>
      <c r="I448" s="6" t="s">
        <v>897</v>
      </c>
      <c r="J448" s="6" t="s">
        <v>895</v>
      </c>
    </row>
    <row r="449" spans="1:11" x14ac:dyDescent="0.35">
      <c r="A449" s="6" t="s">
        <v>117</v>
      </c>
      <c r="B449" s="6">
        <f>B435/25</f>
        <v>7.7870133042031407E-6</v>
      </c>
      <c r="C449" s="6">
        <f t="shared" ref="C449:J449" si="66">C435/25</f>
        <v>7.3386107686037223E-6</v>
      </c>
      <c r="D449" s="6">
        <f t="shared" si="66"/>
        <v>6.090764456684611E-6</v>
      </c>
      <c r="E449" s="6">
        <f t="shared" si="66"/>
        <v>7.7870133042031407E-6</v>
      </c>
      <c r="F449" s="6">
        <f t="shared" si="66"/>
        <v>7.3386107686037223E-6</v>
      </c>
      <c r="G449" s="6">
        <f t="shared" si="66"/>
        <v>6.090764456684611E-6</v>
      </c>
      <c r="H449" s="6">
        <f t="shared" si="66"/>
        <v>7.198683258810344E-6</v>
      </c>
      <c r="I449" s="6">
        <f t="shared" si="66"/>
        <v>6.7545982227039456E-6</v>
      </c>
      <c r="J449" s="6">
        <f t="shared" si="66"/>
        <v>5.5192152590708704E-6</v>
      </c>
    </row>
    <row r="450" spans="1:11" x14ac:dyDescent="0.35">
      <c r="A450" s="6" t="s">
        <v>118</v>
      </c>
      <c r="B450" s="6">
        <f t="shared" ref="B450:J458" si="67">B436/25</f>
        <v>4.5448293492357029E-7</v>
      </c>
      <c r="C450" s="6">
        <f t="shared" si="67"/>
        <v>4.3063190758316632E-7</v>
      </c>
      <c r="D450" s="6">
        <f t="shared" si="67"/>
        <v>3.9146385309138399E-7</v>
      </c>
      <c r="E450" s="6">
        <f t="shared" si="67"/>
        <v>4.5448293492357029E-7</v>
      </c>
      <c r="F450" s="6">
        <f t="shared" si="67"/>
        <v>4.3063190758316632E-7</v>
      </c>
      <c r="G450" s="6">
        <f t="shared" si="67"/>
        <v>3.9146385309138399E-7</v>
      </c>
      <c r="H450" s="6">
        <f t="shared" si="67"/>
        <v>2.2724146746178515E-7</v>
      </c>
      <c r="I450" s="6">
        <f t="shared" si="67"/>
        <v>2.1531595379158316E-7</v>
      </c>
      <c r="J450" s="6">
        <f t="shared" si="67"/>
        <v>1.9573192654569199E-7</v>
      </c>
    </row>
    <row r="451" spans="1:11" x14ac:dyDescent="0.35">
      <c r="A451" s="6" t="s">
        <v>119</v>
      </c>
      <c r="B451" s="6">
        <f t="shared" si="67"/>
        <v>1.133100649886742E-7</v>
      </c>
      <c r="C451" s="6">
        <f t="shared" si="67"/>
        <v>1.03257477561019E-7</v>
      </c>
      <c r="D451" s="6">
        <f t="shared" si="67"/>
        <v>9.9919091331168173E-8</v>
      </c>
      <c r="E451" s="6">
        <f t="shared" si="67"/>
        <v>1.133100649886742E-7</v>
      </c>
      <c r="F451" s="6">
        <f t="shared" si="67"/>
        <v>1.03257477561019E-7</v>
      </c>
      <c r="G451" s="6">
        <f t="shared" si="67"/>
        <v>9.9919091331168173E-8</v>
      </c>
      <c r="H451" s="6">
        <f t="shared" si="67"/>
        <v>1.133100649886742E-7</v>
      </c>
      <c r="I451" s="6">
        <f t="shared" si="67"/>
        <v>1.03257477561019E-7</v>
      </c>
      <c r="J451" s="6">
        <f t="shared" si="67"/>
        <v>9.9919091331168173E-8</v>
      </c>
    </row>
    <row r="452" spans="1:11" x14ac:dyDescent="0.35">
      <c r="A452" s="6" t="s">
        <v>120</v>
      </c>
      <c r="B452" s="6">
        <f t="shared" si="67"/>
        <v>3.7046222513391854E-9</v>
      </c>
      <c r="C452" s="6">
        <f t="shared" si="67"/>
        <v>3.5671062893842508E-9</v>
      </c>
      <c r="D452" s="6">
        <f t="shared" si="67"/>
        <v>3.5716564968595089E-9</v>
      </c>
      <c r="E452" s="6">
        <f t="shared" si="67"/>
        <v>3.7046222513391854E-9</v>
      </c>
      <c r="F452" s="6">
        <f t="shared" si="67"/>
        <v>3.5671062893842508E-9</v>
      </c>
      <c r="G452" s="6">
        <f t="shared" si="67"/>
        <v>3.5716564968595089E-9</v>
      </c>
      <c r="H452" s="6">
        <f t="shared" si="67"/>
        <v>1.8523111256695927E-9</v>
      </c>
      <c r="I452" s="6">
        <f t="shared" si="67"/>
        <v>1.7835531446921254E-9</v>
      </c>
      <c r="J452" s="6">
        <f t="shared" si="67"/>
        <v>1.7858282484297544E-9</v>
      </c>
    </row>
    <row r="453" spans="1:11" x14ac:dyDescent="0.35">
      <c r="A453" s="6" t="s">
        <v>121</v>
      </c>
      <c r="B453" s="6">
        <f t="shared" si="67"/>
        <v>1.6163480748994423E-6</v>
      </c>
      <c r="C453" s="6">
        <f t="shared" si="67"/>
        <v>1.3708771072106342E-6</v>
      </c>
      <c r="D453" s="6">
        <f t="shared" si="67"/>
        <v>1.2138868282946129E-6</v>
      </c>
      <c r="E453" s="6">
        <f t="shared" si="67"/>
        <v>1.6163480748994423E-6</v>
      </c>
      <c r="F453" s="6">
        <f t="shared" si="67"/>
        <v>1.3708771072106342E-6</v>
      </c>
      <c r="G453" s="6">
        <f t="shared" si="67"/>
        <v>1.2138868282946129E-6</v>
      </c>
      <c r="H453" s="6">
        <f t="shared" si="67"/>
        <v>1.6163480748994423E-6</v>
      </c>
      <c r="I453" s="6">
        <f t="shared" si="67"/>
        <v>1.3708771072106342E-6</v>
      </c>
      <c r="J453" s="6">
        <f t="shared" si="67"/>
        <v>1.2138868282946129E-6</v>
      </c>
    </row>
    <row r="454" spans="1:11" x14ac:dyDescent="0.35">
      <c r="A454" s="6" t="s">
        <v>800</v>
      </c>
      <c r="B454" s="6">
        <f t="shared" si="67"/>
        <v>0</v>
      </c>
      <c r="C454" s="6">
        <f t="shared" si="67"/>
        <v>0</v>
      </c>
      <c r="D454" s="6">
        <f t="shared" si="67"/>
        <v>0</v>
      </c>
      <c r="E454" s="6">
        <f t="shared" si="67"/>
        <v>0</v>
      </c>
      <c r="F454" s="6">
        <f t="shared" si="67"/>
        <v>0</v>
      </c>
      <c r="G454" s="6">
        <f t="shared" si="67"/>
        <v>0</v>
      </c>
      <c r="H454" s="6">
        <f t="shared" si="67"/>
        <v>4.2493836061690502E-5</v>
      </c>
      <c r="I454" s="6">
        <f t="shared" si="67"/>
        <v>4.0871761583502136E-5</v>
      </c>
      <c r="J454" s="6">
        <f t="shared" si="67"/>
        <v>3.5391838353938971E-5</v>
      </c>
    </row>
    <row r="455" spans="1:11" x14ac:dyDescent="0.35">
      <c r="A455" s="6" t="s">
        <v>122</v>
      </c>
      <c r="B455" s="6">
        <f t="shared" si="67"/>
        <v>2.445525743468704E-4</v>
      </c>
      <c r="C455" s="6">
        <f t="shared" si="67"/>
        <v>6.0422203435546998E-5</v>
      </c>
      <c r="D455" s="6">
        <f t="shared" si="67"/>
        <v>2.3459087286849139E-5</v>
      </c>
      <c r="E455" s="6">
        <f t="shared" si="67"/>
        <v>1.9112296251611E-4</v>
      </c>
      <c r="F455" s="6">
        <f t="shared" si="67"/>
        <v>4.9891284917080645E-5</v>
      </c>
      <c r="G455" s="6">
        <f t="shared" si="67"/>
        <v>2.1387876523837101E-5</v>
      </c>
      <c r="H455" s="6">
        <f t="shared" si="67"/>
        <v>3.1438127261219879E-5</v>
      </c>
      <c r="I455" s="6">
        <f t="shared" si="67"/>
        <v>2.7796804685428912E-5</v>
      </c>
      <c r="J455" s="6">
        <f t="shared" si="67"/>
        <v>2.6077548973362558E-5</v>
      </c>
    </row>
    <row r="456" spans="1:11" x14ac:dyDescent="0.35">
      <c r="A456" s="6" t="s">
        <v>123</v>
      </c>
      <c r="B456" s="6">
        <f t="shared" si="67"/>
        <v>2.7587217323462722E-5</v>
      </c>
      <c r="C456" s="6">
        <f t="shared" si="67"/>
        <v>1.3700913204196469E-5</v>
      </c>
      <c r="D456" s="6">
        <f t="shared" si="67"/>
        <v>1.0856996368036304E-5</v>
      </c>
      <c r="E456" s="6">
        <f t="shared" si="67"/>
        <v>6.3450599843964257E-8</v>
      </c>
      <c r="F456" s="6">
        <f t="shared" si="67"/>
        <v>3.1512100369651878E-8</v>
      </c>
      <c r="G456" s="6">
        <f t="shared" si="67"/>
        <v>2.4971091646483499E-8</v>
      </c>
      <c r="H456" s="6">
        <f t="shared" si="67"/>
        <v>1.3793608661731361E-5</v>
      </c>
      <c r="I456" s="6">
        <f t="shared" si="67"/>
        <v>6.8504566020982344E-6</v>
      </c>
      <c r="J456" s="6">
        <f t="shared" si="67"/>
        <v>5.4284981840181519E-6</v>
      </c>
    </row>
    <row r="457" spans="1:11" x14ac:dyDescent="0.35">
      <c r="A457" s="6" t="s">
        <v>124</v>
      </c>
      <c r="B457" s="6">
        <f t="shared" si="67"/>
        <v>-2.8000764999999987E-4</v>
      </c>
      <c r="C457" s="6">
        <f t="shared" si="67"/>
        <v>-2.8000764999999987E-4</v>
      </c>
      <c r="D457" s="6">
        <f t="shared" si="67"/>
        <v>-2.8000764999999987E-4</v>
      </c>
      <c r="E457" s="6">
        <f t="shared" si="67"/>
        <v>-2.8000764999999987E-4</v>
      </c>
      <c r="F457" s="6">
        <f t="shared" si="67"/>
        <v>-2.8000764999999987E-4</v>
      </c>
      <c r="G457" s="6">
        <f t="shared" si="67"/>
        <v>-2.8000764999999987E-4</v>
      </c>
      <c r="H457" s="6">
        <f t="shared" si="67"/>
        <v>-1.4000382499999994E-4</v>
      </c>
      <c r="I457" s="6">
        <f t="shared" si="67"/>
        <v>-1.4000382499999994E-4</v>
      </c>
      <c r="J457" s="6">
        <f t="shared" si="67"/>
        <v>-1.4000382499999994E-4</v>
      </c>
    </row>
    <row r="458" spans="1:11" x14ac:dyDescent="0.35">
      <c r="A458" s="6" t="s">
        <v>137</v>
      </c>
      <c r="B458" s="6">
        <f t="shared" si="67"/>
        <v>2.1070006715992787E-6</v>
      </c>
      <c r="C458" s="6">
        <f t="shared" si="67"/>
        <v>-1.9663758899300855E-4</v>
      </c>
      <c r="D458" s="6">
        <f t="shared" si="67"/>
        <v>-2.3789196045921596E-4</v>
      </c>
      <c r="E458" s="6">
        <f t="shared" si="67"/>
        <v>-7.8846377882779806E-5</v>
      </c>
      <c r="F458" s="6">
        <f t="shared" si="67"/>
        <v>-2.208379086153018E-4</v>
      </c>
      <c r="G458" s="6">
        <f t="shared" si="67"/>
        <v>-2.5079519649861778E-4</v>
      </c>
      <c r="H458" s="6">
        <f t="shared" si="67"/>
        <v>-4.3120817838072323E-5</v>
      </c>
      <c r="I458" s="6">
        <f t="shared" si="67"/>
        <v>-5.6038969814558841E-5</v>
      </c>
      <c r="J458" s="6">
        <f t="shared" si="67"/>
        <v>-6.6075400555189528E-5</v>
      </c>
    </row>
    <row r="461" spans="1:11" x14ac:dyDescent="0.35">
      <c r="A461" s="331" t="s">
        <v>135</v>
      </c>
      <c r="B461" s="331"/>
      <c r="C461" s="331"/>
      <c r="D461" s="331"/>
      <c r="E461" s="331"/>
      <c r="F461" s="331"/>
      <c r="G461" s="331"/>
      <c r="H461" s="331"/>
      <c r="I461" s="331"/>
      <c r="J461" s="331"/>
      <c r="K461" s="331"/>
    </row>
    <row r="462" spans="1:11" x14ac:dyDescent="0.35">
      <c r="A462" s="6" t="s">
        <v>882</v>
      </c>
    </row>
    <row r="463" spans="1:11" x14ac:dyDescent="0.35">
      <c r="A463" s="6" t="s">
        <v>139</v>
      </c>
      <c r="B463" s="6">
        <v>100</v>
      </c>
      <c r="C463" s="6" t="s">
        <v>128</v>
      </c>
    </row>
    <row r="464" spans="1:11" x14ac:dyDescent="0.35">
      <c r="A464" s="6" t="s">
        <v>140</v>
      </c>
      <c r="B464" s="6">
        <v>50</v>
      </c>
      <c r="C464" s="6" t="s">
        <v>128</v>
      </c>
    </row>
    <row r="466" spans="1:10" x14ac:dyDescent="0.35">
      <c r="B466" s="6" t="s">
        <v>889</v>
      </c>
      <c r="C466" s="6" t="s">
        <v>891</v>
      </c>
      <c r="D466" s="6" t="s">
        <v>890</v>
      </c>
      <c r="E466" s="6" t="s">
        <v>892</v>
      </c>
      <c r="F466" s="6" t="s">
        <v>893</v>
      </c>
      <c r="G466" s="6" t="s">
        <v>894</v>
      </c>
      <c r="H466" s="6" t="s">
        <v>896</v>
      </c>
      <c r="I466" s="6" t="s">
        <v>897</v>
      </c>
      <c r="J466" s="6" t="s">
        <v>895</v>
      </c>
    </row>
    <row r="467" spans="1:10" x14ac:dyDescent="0.35">
      <c r="A467" s="6" t="s">
        <v>117</v>
      </c>
      <c r="B467" s="6">
        <f t="shared" ref="B467:G475" si="68">B449/$B$463</f>
        <v>7.7870133042031404E-8</v>
      </c>
      <c r="C467" s="6">
        <f t="shared" si="68"/>
        <v>7.338610768603722E-8</v>
      </c>
      <c r="D467" s="6">
        <f t="shared" si="68"/>
        <v>6.0907644566846106E-8</v>
      </c>
      <c r="E467" s="6">
        <f t="shared" si="68"/>
        <v>7.7870133042031404E-8</v>
      </c>
      <c r="F467" s="6">
        <f t="shared" si="68"/>
        <v>7.338610768603722E-8</v>
      </c>
      <c r="G467" s="6">
        <f t="shared" si="68"/>
        <v>6.0907644566846106E-8</v>
      </c>
      <c r="H467" s="6">
        <f>H449/$B$464</f>
        <v>1.4397366517620688E-7</v>
      </c>
      <c r="I467" s="6">
        <f>I449/$B$464</f>
        <v>1.3509196445407891E-7</v>
      </c>
      <c r="J467" s="6">
        <f>J449/$B$464</f>
        <v>1.1038430518141741E-7</v>
      </c>
    </row>
    <row r="468" spans="1:10" x14ac:dyDescent="0.35">
      <c r="A468" s="6" t="s">
        <v>118</v>
      </c>
      <c r="B468" s="6">
        <f t="shared" si="68"/>
        <v>4.544829349235703E-9</v>
      </c>
      <c r="C468" s="6">
        <f t="shared" si="68"/>
        <v>4.3063190758316633E-9</v>
      </c>
      <c r="D468" s="6">
        <f t="shared" si="68"/>
        <v>3.9146385309138401E-9</v>
      </c>
      <c r="E468" s="6">
        <f t="shared" si="68"/>
        <v>4.544829349235703E-9</v>
      </c>
      <c r="F468" s="6">
        <f t="shared" si="68"/>
        <v>4.3063190758316633E-9</v>
      </c>
      <c r="G468" s="6">
        <f t="shared" si="68"/>
        <v>3.9146385309138401E-9</v>
      </c>
      <c r="H468" s="6">
        <f t="shared" ref="H468:J475" si="69">H450/$B$464</f>
        <v>4.544829349235703E-9</v>
      </c>
      <c r="I468" s="6">
        <f t="shared" si="69"/>
        <v>4.3063190758316633E-9</v>
      </c>
      <c r="J468" s="6">
        <f t="shared" si="69"/>
        <v>3.9146385309138401E-9</v>
      </c>
    </row>
    <row r="469" spans="1:10" x14ac:dyDescent="0.35">
      <c r="A469" s="6" t="s">
        <v>119</v>
      </c>
      <c r="B469" s="6">
        <f t="shared" si="68"/>
        <v>1.133100649886742E-9</v>
      </c>
      <c r="C469" s="6">
        <f t="shared" si="68"/>
        <v>1.03257477561019E-9</v>
      </c>
      <c r="D469" s="6">
        <f t="shared" si="68"/>
        <v>9.9919091331168175E-10</v>
      </c>
      <c r="E469" s="6">
        <f t="shared" si="68"/>
        <v>1.133100649886742E-9</v>
      </c>
      <c r="F469" s="6">
        <f t="shared" si="68"/>
        <v>1.03257477561019E-9</v>
      </c>
      <c r="G469" s="6">
        <f t="shared" si="68"/>
        <v>9.9919091331168175E-10</v>
      </c>
      <c r="H469" s="6">
        <f t="shared" si="69"/>
        <v>2.2662012997734839E-9</v>
      </c>
      <c r="I469" s="6">
        <f t="shared" si="69"/>
        <v>2.06514955122038E-9</v>
      </c>
      <c r="J469" s="6">
        <f t="shared" si="69"/>
        <v>1.9983818266233635E-9</v>
      </c>
    </row>
    <row r="470" spans="1:10" x14ac:dyDescent="0.35">
      <c r="A470" s="6" t="s">
        <v>120</v>
      </c>
      <c r="B470" s="6">
        <f t="shared" si="68"/>
        <v>3.7046222513391852E-11</v>
      </c>
      <c r="C470" s="6">
        <f t="shared" si="68"/>
        <v>3.5671062893842507E-11</v>
      </c>
      <c r="D470" s="6">
        <f t="shared" si="68"/>
        <v>3.5716564968595088E-11</v>
      </c>
      <c r="E470" s="6">
        <f t="shared" si="68"/>
        <v>3.7046222513391852E-11</v>
      </c>
      <c r="F470" s="6">
        <f t="shared" si="68"/>
        <v>3.5671062893842507E-11</v>
      </c>
      <c r="G470" s="6">
        <f t="shared" si="68"/>
        <v>3.5716564968595088E-11</v>
      </c>
      <c r="H470" s="6">
        <f t="shared" si="69"/>
        <v>3.7046222513391852E-11</v>
      </c>
      <c r="I470" s="6">
        <f t="shared" si="69"/>
        <v>3.5671062893842507E-11</v>
      </c>
      <c r="J470" s="6">
        <f t="shared" si="69"/>
        <v>3.5716564968595088E-11</v>
      </c>
    </row>
    <row r="471" spans="1:10" x14ac:dyDescent="0.35">
      <c r="A471" s="6" t="s">
        <v>121</v>
      </c>
      <c r="B471" s="6">
        <f t="shared" si="68"/>
        <v>1.6163480748994424E-8</v>
      </c>
      <c r="C471" s="6">
        <f t="shared" si="68"/>
        <v>1.3708771072106342E-8</v>
      </c>
      <c r="D471" s="6">
        <f t="shared" si="68"/>
        <v>1.213886828294613E-8</v>
      </c>
      <c r="E471" s="6">
        <f t="shared" si="68"/>
        <v>1.6163480748994424E-8</v>
      </c>
      <c r="F471" s="6">
        <f t="shared" si="68"/>
        <v>1.3708771072106342E-8</v>
      </c>
      <c r="G471" s="6">
        <f t="shared" si="68"/>
        <v>1.213886828294613E-8</v>
      </c>
      <c r="H471" s="6">
        <f t="shared" si="69"/>
        <v>3.2326961497988848E-8</v>
      </c>
      <c r="I471" s="6">
        <f t="shared" si="69"/>
        <v>2.7417542144212684E-8</v>
      </c>
      <c r="J471" s="6">
        <f t="shared" si="69"/>
        <v>2.4277736565892259E-8</v>
      </c>
    </row>
    <row r="472" spans="1:10" x14ac:dyDescent="0.35">
      <c r="A472" s="6" t="s">
        <v>800</v>
      </c>
      <c r="B472" s="6">
        <f t="shared" si="68"/>
        <v>0</v>
      </c>
      <c r="C472" s="6">
        <f t="shared" si="68"/>
        <v>0</v>
      </c>
      <c r="D472" s="6">
        <f t="shared" si="68"/>
        <v>0</v>
      </c>
      <c r="E472" s="6">
        <f t="shared" si="68"/>
        <v>0</v>
      </c>
      <c r="F472" s="6">
        <f t="shared" si="68"/>
        <v>0</v>
      </c>
      <c r="G472" s="6">
        <f t="shared" si="68"/>
        <v>0</v>
      </c>
      <c r="H472" s="6">
        <f t="shared" si="69"/>
        <v>8.4987672123381005E-7</v>
      </c>
      <c r="I472" s="6">
        <f t="shared" si="69"/>
        <v>8.1743523167004277E-7</v>
      </c>
      <c r="J472" s="6">
        <f t="shared" si="69"/>
        <v>7.0783676707877945E-7</v>
      </c>
    </row>
    <row r="473" spans="1:10" x14ac:dyDescent="0.35">
      <c r="A473" s="6" t="s">
        <v>122</v>
      </c>
      <c r="B473" s="6">
        <f t="shared" si="68"/>
        <v>2.445525743468704E-6</v>
      </c>
      <c r="C473" s="6">
        <f t="shared" si="68"/>
        <v>6.0422203435546994E-7</v>
      </c>
      <c r="D473" s="6">
        <f t="shared" si="68"/>
        <v>2.3459087286849139E-7</v>
      </c>
      <c r="E473" s="6">
        <f t="shared" si="68"/>
        <v>1.9112296251611E-6</v>
      </c>
      <c r="F473" s="6">
        <f t="shared" si="68"/>
        <v>4.9891284917080644E-7</v>
      </c>
      <c r="G473" s="6">
        <f t="shared" si="68"/>
        <v>2.1387876523837101E-7</v>
      </c>
      <c r="H473" s="6">
        <f t="shared" si="69"/>
        <v>6.2876254522439755E-7</v>
      </c>
      <c r="I473" s="6">
        <f t="shared" si="69"/>
        <v>5.5593609370857821E-7</v>
      </c>
      <c r="J473" s="6">
        <f t="shared" si="69"/>
        <v>5.2155097946725118E-7</v>
      </c>
    </row>
    <row r="474" spans="1:10" x14ac:dyDescent="0.35">
      <c r="A474" s="6" t="s">
        <v>123</v>
      </c>
      <c r="B474" s="6">
        <f t="shared" si="68"/>
        <v>2.7587217323462722E-7</v>
      </c>
      <c r="C474" s="6">
        <f t="shared" si="68"/>
        <v>1.3700913204196469E-7</v>
      </c>
      <c r="D474" s="6">
        <f t="shared" si="68"/>
        <v>1.0856996368036304E-7</v>
      </c>
      <c r="E474" s="6">
        <f t="shared" si="68"/>
        <v>6.3450599843964256E-10</v>
      </c>
      <c r="F474" s="6">
        <f t="shared" si="68"/>
        <v>3.1512100369651879E-10</v>
      </c>
      <c r="G474" s="6">
        <f t="shared" si="68"/>
        <v>2.4971091646483497E-10</v>
      </c>
      <c r="H474" s="6">
        <f t="shared" si="69"/>
        <v>2.7587217323462722E-7</v>
      </c>
      <c r="I474" s="6">
        <f t="shared" si="69"/>
        <v>1.3700913204196469E-7</v>
      </c>
      <c r="J474" s="6">
        <f t="shared" si="69"/>
        <v>1.0856996368036304E-7</v>
      </c>
    </row>
    <row r="475" spans="1:10" x14ac:dyDescent="0.35">
      <c r="A475" s="6" t="s">
        <v>124</v>
      </c>
      <c r="B475" s="6">
        <f t="shared" si="68"/>
        <v>-2.8000764999999987E-6</v>
      </c>
      <c r="C475" s="6">
        <f t="shared" si="68"/>
        <v>-2.8000764999999987E-6</v>
      </c>
      <c r="D475" s="6">
        <f t="shared" si="68"/>
        <v>-2.8000764999999987E-6</v>
      </c>
      <c r="E475" s="6">
        <f t="shared" si="68"/>
        <v>-2.8000764999999987E-6</v>
      </c>
      <c r="F475" s="6">
        <f t="shared" si="68"/>
        <v>-2.8000764999999987E-6</v>
      </c>
      <c r="G475" s="6">
        <f t="shared" si="68"/>
        <v>-2.8000764999999987E-6</v>
      </c>
      <c r="H475" s="6">
        <f t="shared" si="69"/>
        <v>-2.8000764999999987E-6</v>
      </c>
      <c r="I475" s="6">
        <f t="shared" si="69"/>
        <v>-2.8000764999999987E-6</v>
      </c>
      <c r="J475" s="6">
        <f t="shared" si="69"/>
        <v>-2.8000764999999987E-6</v>
      </c>
    </row>
    <row r="476" spans="1:10" s="283" customFormat="1" x14ac:dyDescent="0.35">
      <c r="A476" s="283" t="s">
        <v>137</v>
      </c>
      <c r="B476" s="298">
        <f>SUM(B467:B474)</f>
        <v>2.821146506715993E-6</v>
      </c>
      <c r="C476" s="298">
        <f t="shared" ref="C476:J476" si="70">SUM(C467:C474)</f>
        <v>8.3370061006991383E-7</v>
      </c>
      <c r="D476" s="298">
        <f t="shared" si="70"/>
        <v>4.2115689540784076E-7</v>
      </c>
      <c r="E476" s="298">
        <f t="shared" si="70"/>
        <v>2.0116127211722016E-6</v>
      </c>
      <c r="F476" s="298">
        <f t="shared" si="70"/>
        <v>5.9169741384698215E-7</v>
      </c>
      <c r="G476" s="298">
        <f t="shared" si="70"/>
        <v>2.9212453501382219E-7</v>
      </c>
      <c r="H476" s="298">
        <f t="shared" si="70"/>
        <v>1.9376601432385529E-6</v>
      </c>
      <c r="I476" s="298">
        <f t="shared" si="70"/>
        <v>1.6792971037088231E-6</v>
      </c>
      <c r="J476" s="298">
        <f t="shared" si="70"/>
        <v>1.4785684888962091E-6</v>
      </c>
    </row>
    <row r="478" spans="1:10" x14ac:dyDescent="0.35">
      <c r="B478" s="299"/>
      <c r="C478" s="299"/>
      <c r="D478" s="299"/>
      <c r="E478" s="299"/>
      <c r="F478" s="299"/>
      <c r="G478" s="299"/>
      <c r="H478" s="299"/>
      <c r="I478" s="299"/>
      <c r="J478" s="299"/>
    </row>
  </sheetData>
  <mergeCells count="3">
    <mergeCell ref="A432:K432"/>
    <mergeCell ref="A446:K446"/>
    <mergeCell ref="A461:K461"/>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AF875-B5FB-422C-B3F3-1CBF3050986A}">
  <sheetPr>
    <tabColor theme="6" tint="0.79998168889431442"/>
  </sheetPr>
  <dimension ref="A1:BB478"/>
  <sheetViews>
    <sheetView topLeftCell="A436" zoomScale="60" zoomScaleNormal="60" workbookViewId="0">
      <selection activeCell="L463" sqref="L463:Y478"/>
    </sheetView>
  </sheetViews>
  <sheetFormatPr defaultColWidth="8.54296875" defaultRowHeight="14.5" outlineLevelRow="1" x14ac:dyDescent="0.35"/>
  <cols>
    <col min="1" max="1" width="45.08984375" style="6" customWidth="1"/>
    <col min="2" max="2" width="16.453125" style="6" bestFit="1" customWidth="1"/>
    <col min="3" max="14" width="10.54296875" style="6" bestFit="1" customWidth="1"/>
    <col min="15" max="16" width="10.1796875" style="6" bestFit="1" customWidth="1"/>
    <col min="17" max="24" width="10.54296875" style="6" bestFit="1" customWidth="1"/>
    <col min="25" max="25" width="10.1796875" style="6" bestFit="1" customWidth="1"/>
    <col min="26" max="26" width="16.453125" style="6" bestFit="1" customWidth="1"/>
    <col min="27" max="27" width="8.54296875" style="6"/>
    <col min="28" max="28" width="35" style="6" bestFit="1" customWidth="1"/>
    <col min="29" max="29" width="16.453125" style="6" bestFit="1" customWidth="1"/>
    <col min="30" max="30" width="16.54296875" style="6" customWidth="1"/>
    <col min="31" max="53" width="12.81640625" style="6" bestFit="1" customWidth="1"/>
    <col min="54" max="16384" width="8.54296875" style="6"/>
  </cols>
  <sheetData>
    <row r="1" spans="1:53" s="139" customFormat="1" ht="21" x14ac:dyDescent="0.5">
      <c r="A1" s="138" t="s">
        <v>926</v>
      </c>
    </row>
    <row r="2" spans="1:53" s="221" customFormat="1" ht="21" x14ac:dyDescent="0.5">
      <c r="A2" s="229" t="s">
        <v>849</v>
      </c>
    </row>
    <row r="3" spans="1:53" s="18" customFormat="1" ht="21" x14ac:dyDescent="0.5">
      <c r="A3" s="18" t="s">
        <v>72</v>
      </c>
    </row>
    <row r="4" spans="1:53" s="20" customFormat="1" outlineLevel="1" x14ac:dyDescent="0.35">
      <c r="A4" s="19" t="s">
        <v>767</v>
      </c>
    </row>
    <row r="5" spans="1:53" s="16" customFormat="1" outlineLevel="1" x14ac:dyDescent="0.35">
      <c r="A5" s="21"/>
      <c r="AE5" s="15"/>
    </row>
    <row r="6" spans="1:53" s="16" customFormat="1" outlineLevel="1" x14ac:dyDescent="0.35">
      <c r="A6" s="22" t="s">
        <v>761</v>
      </c>
    </row>
    <row r="7" spans="1:53" s="16" customFormat="1" outlineLevel="1" x14ac:dyDescent="0.35">
      <c r="A7" s="22"/>
      <c r="AB7" s="16" t="s">
        <v>127</v>
      </c>
      <c r="AC7" s="16">
        <v>100</v>
      </c>
      <c r="AD7" s="16" t="s">
        <v>128</v>
      </c>
    </row>
    <row r="8" spans="1:53" s="16" customFormat="1" outlineLevel="1" x14ac:dyDescent="0.35">
      <c r="A8" s="22"/>
      <c r="AB8" s="16" t="s">
        <v>129</v>
      </c>
      <c r="AC8" s="16">
        <v>25</v>
      </c>
      <c r="AD8" s="16" t="s">
        <v>130</v>
      </c>
    </row>
    <row r="9" spans="1:53" outlineLevel="1" x14ac:dyDescent="0.35">
      <c r="B9" s="25">
        <v>2030</v>
      </c>
      <c r="C9" s="25">
        <v>2031</v>
      </c>
      <c r="D9" s="25">
        <v>2032</v>
      </c>
      <c r="E9" s="25">
        <v>2033</v>
      </c>
      <c r="F9" s="25">
        <v>2034</v>
      </c>
      <c r="G9" s="25">
        <v>2035</v>
      </c>
      <c r="H9" s="25">
        <v>2036</v>
      </c>
      <c r="I9" s="25">
        <v>2037</v>
      </c>
      <c r="J9" s="25">
        <v>2038</v>
      </c>
      <c r="K9" s="25">
        <v>2039</v>
      </c>
      <c r="L9" s="25">
        <v>2040</v>
      </c>
      <c r="M9" s="25">
        <v>2041</v>
      </c>
      <c r="N9" s="25">
        <v>2042</v>
      </c>
      <c r="O9" s="25">
        <v>2043</v>
      </c>
      <c r="P9" s="25">
        <v>2044</v>
      </c>
      <c r="Q9" s="25">
        <v>2045</v>
      </c>
      <c r="R9" s="25">
        <v>2046</v>
      </c>
      <c r="S9" s="25">
        <v>2047</v>
      </c>
      <c r="T9" s="25">
        <v>2048</v>
      </c>
      <c r="U9" s="25">
        <v>2049</v>
      </c>
      <c r="V9" s="25">
        <v>2050</v>
      </c>
      <c r="W9" s="25">
        <v>2051</v>
      </c>
      <c r="X9" s="25">
        <v>2052</v>
      </c>
      <c r="Y9" s="25">
        <v>2053</v>
      </c>
      <c r="Z9" s="25">
        <v>2054</v>
      </c>
      <c r="AC9" s="25">
        <v>2030</v>
      </c>
      <c r="AD9" s="25">
        <v>2031</v>
      </c>
      <c r="AE9" s="25">
        <v>2032</v>
      </c>
      <c r="AF9" s="25">
        <v>2033</v>
      </c>
      <c r="AG9" s="25">
        <v>2034</v>
      </c>
      <c r="AH9" s="25">
        <v>2035</v>
      </c>
      <c r="AI9" s="25">
        <v>2036</v>
      </c>
      <c r="AJ9" s="25">
        <v>2037</v>
      </c>
      <c r="AK9" s="25">
        <v>2038</v>
      </c>
      <c r="AL9" s="25">
        <v>2039</v>
      </c>
      <c r="AM9" s="25">
        <v>2040</v>
      </c>
      <c r="AN9" s="25">
        <v>2041</v>
      </c>
      <c r="AO9" s="25">
        <v>2042</v>
      </c>
      <c r="AP9" s="25">
        <v>2043</v>
      </c>
      <c r="AQ9" s="25">
        <v>2044</v>
      </c>
      <c r="AR9" s="25">
        <v>2045</v>
      </c>
      <c r="AS9" s="25">
        <v>2046</v>
      </c>
      <c r="AT9" s="25">
        <v>2047</v>
      </c>
      <c r="AU9" s="25">
        <v>2048</v>
      </c>
      <c r="AV9" s="25">
        <v>2049</v>
      </c>
      <c r="AW9" s="25">
        <v>2050</v>
      </c>
      <c r="AX9" s="25">
        <v>2051</v>
      </c>
      <c r="AY9" s="25">
        <v>2052</v>
      </c>
      <c r="AZ9" s="25">
        <v>2053</v>
      </c>
      <c r="BA9" s="25">
        <v>2054</v>
      </c>
    </row>
    <row r="10" spans="1:53" outlineLevel="1" x14ac:dyDescent="0.35">
      <c r="A10" s="6" t="s">
        <v>21</v>
      </c>
      <c r="B10" s="6">
        <f>'Results - raw data ReCiPe (H)'!BC5</f>
        <v>75.900107259729808</v>
      </c>
      <c r="AB10" s="6" t="s">
        <v>117</v>
      </c>
      <c r="AC10" s="6">
        <f>SUM(B10:B21)+B23</f>
        <v>2893.1840673783981</v>
      </c>
    </row>
    <row r="11" spans="1:53" outlineLevel="1" x14ac:dyDescent="0.35">
      <c r="A11" s="6" t="s">
        <v>23</v>
      </c>
      <c r="B11" s="6">
        <f>'Results - raw data ReCiPe (H)'!BC6</f>
        <v>315.32647070950878</v>
      </c>
      <c r="AB11" s="6" t="s">
        <v>118</v>
      </c>
      <c r="AC11" s="6">
        <f>B22</f>
        <v>269.67676540478124</v>
      </c>
    </row>
    <row r="12" spans="1:53" outlineLevel="1" x14ac:dyDescent="0.35">
      <c r="A12" s="6" t="s">
        <v>26</v>
      </c>
      <c r="B12" s="6">
        <f>'Results - raw data ReCiPe (H)'!BC7</f>
        <v>320.06211166534263</v>
      </c>
      <c r="AB12" s="6" t="s">
        <v>119</v>
      </c>
      <c r="BA12" s="6">
        <f>SUM(Z24:Z35)</f>
        <v>45.635874346592793</v>
      </c>
    </row>
    <row r="13" spans="1:53" outlineLevel="1" x14ac:dyDescent="0.35">
      <c r="A13" s="6" t="s">
        <v>28</v>
      </c>
      <c r="B13" s="6">
        <f>'Results - raw data ReCiPe (H)'!BC8</f>
        <v>246.9725509849394</v>
      </c>
      <c r="AB13" s="6" t="s">
        <v>120</v>
      </c>
      <c r="BA13" s="6">
        <f>Z36</f>
        <v>5.3706297748739608E-4</v>
      </c>
    </row>
    <row r="14" spans="1:53" outlineLevel="1" x14ac:dyDescent="0.35">
      <c r="A14" s="6" t="s">
        <v>29</v>
      </c>
      <c r="B14" s="6">
        <f>'Results - raw data ReCiPe (H)'!BC9</f>
        <v>121.9560327138697</v>
      </c>
      <c r="AB14" s="6" t="s">
        <v>121</v>
      </c>
      <c r="AC14" s="6">
        <f>B37</f>
        <v>118.1930543229993</v>
      </c>
      <c r="AF14" s="6">
        <f>E37</f>
        <v>117.3708968791351</v>
      </c>
      <c r="AI14" s="6">
        <f>H37</f>
        <v>117.2479070799383</v>
      </c>
      <c r="AL14" s="6">
        <f>K37</f>
        <v>116.65080958776529</v>
      </c>
      <c r="AO14" s="6">
        <f>N37</f>
        <v>116.5694194979278</v>
      </c>
      <c r="AR14" s="6">
        <f>Q37</f>
        <v>116.3562974875733</v>
      </c>
      <c r="AU14" s="6">
        <f>T37</f>
        <v>116.0610845903859</v>
      </c>
      <c r="AX14" s="6">
        <f>W37</f>
        <v>115.9379738654637</v>
      </c>
      <c r="BA14" s="6">
        <f>Z37</f>
        <v>115.8757111011497</v>
      </c>
    </row>
    <row r="15" spans="1:53" outlineLevel="1" x14ac:dyDescent="0.35">
      <c r="A15" s="6" t="s">
        <v>31</v>
      </c>
      <c r="B15" s="6">
        <f>'Results - raw data ReCiPe (H)'!BC10</f>
        <v>86.300562327748125</v>
      </c>
      <c r="AB15" s="6" t="s">
        <v>122</v>
      </c>
      <c r="AC15" s="6">
        <f>B40+B39</f>
        <v>2322.1156028821961</v>
      </c>
      <c r="AD15" s="6">
        <f t="shared" ref="AD15:BA15" si="0">C40+C39</f>
        <v>2332.8507557548551</v>
      </c>
      <c r="AE15" s="6">
        <f t="shared" si="0"/>
        <v>2343.6747205671109</v>
      </c>
      <c r="AF15" s="6">
        <f t="shared" si="0"/>
        <v>2350.4325473014642</v>
      </c>
      <c r="AG15" s="6">
        <f t="shared" si="0"/>
        <v>2361.4920858946348</v>
      </c>
      <c r="AH15" s="6">
        <f t="shared" si="0"/>
        <v>2372.6374563349809</v>
      </c>
      <c r="AI15" s="6">
        <f t="shared" si="0"/>
        <v>2414.344422470358</v>
      </c>
      <c r="AJ15" s="6">
        <f t="shared" si="0"/>
        <v>2455.9963773549689</v>
      </c>
      <c r="AK15" s="6">
        <f t="shared" si="0"/>
        <v>2494.5087850326322</v>
      </c>
      <c r="AL15" s="6">
        <f t="shared" si="0"/>
        <v>2536.1990872373349</v>
      </c>
      <c r="AM15" s="6">
        <f t="shared" si="0"/>
        <v>2577.858450231492</v>
      </c>
      <c r="AN15" s="6">
        <f t="shared" si="0"/>
        <v>2582.8506304151101</v>
      </c>
      <c r="AO15" s="6">
        <f t="shared" si="0"/>
        <v>2587.7225433079388</v>
      </c>
      <c r="AP15" s="6">
        <f t="shared" si="0"/>
        <v>2591.7642004254149</v>
      </c>
      <c r="AQ15" s="6">
        <f t="shared" si="0"/>
        <v>2596.3863005575281</v>
      </c>
      <c r="AR15" s="6">
        <f t="shared" si="0"/>
        <v>2600.8698419603979</v>
      </c>
      <c r="AS15" s="6">
        <f t="shared" si="0"/>
        <v>2696.0408363239512</v>
      </c>
      <c r="AT15" s="6">
        <f t="shared" si="0"/>
        <v>2791.256276568382</v>
      </c>
      <c r="AU15" s="6">
        <f t="shared" si="0"/>
        <v>2885.9126654099659</v>
      </c>
      <c r="AV15" s="6">
        <f t="shared" si="0"/>
        <v>2981.278530338298</v>
      </c>
      <c r="AW15" s="6">
        <f t="shared" si="0"/>
        <v>3076.7277878244122</v>
      </c>
      <c r="AX15" s="6">
        <f t="shared" si="0"/>
        <v>3096.471757898084</v>
      </c>
      <c r="AY15" s="6">
        <f t="shared" si="0"/>
        <v>3116.3989502358882</v>
      </c>
      <c r="AZ15" s="6">
        <f t="shared" si="0"/>
        <v>3136.458086324692</v>
      </c>
      <c r="BA15" s="6">
        <f t="shared" si="0"/>
        <v>3156.6485629656809</v>
      </c>
    </row>
    <row r="16" spans="1:53" outlineLevel="1" x14ac:dyDescent="0.35">
      <c r="A16" s="6" t="s">
        <v>34</v>
      </c>
      <c r="B16" s="6">
        <f>'Results - raw data ReCiPe (H)'!BC11</f>
        <v>58.252905588334869</v>
      </c>
      <c r="AB16" s="6" t="s">
        <v>123</v>
      </c>
      <c r="AC16" s="6">
        <f>B38</f>
        <v>195.76172255046851</v>
      </c>
      <c r="AD16" s="6">
        <f t="shared" ref="AD16:BA16" si="1">C38</f>
        <v>196.30148589353811</v>
      </c>
      <c r="AE16" s="6">
        <f t="shared" si="1"/>
        <v>196.84487569979018</v>
      </c>
      <c r="AF16" s="6">
        <f t="shared" si="1"/>
        <v>197.01108349836508</v>
      </c>
      <c r="AG16" s="6">
        <f t="shared" si="1"/>
        <v>197.56637214637439</v>
      </c>
      <c r="AH16" s="6">
        <f t="shared" si="1"/>
        <v>198.1248505113056</v>
      </c>
      <c r="AI16" s="6">
        <f t="shared" si="1"/>
        <v>201.0336327118896</v>
      </c>
      <c r="AJ16" s="6">
        <f t="shared" si="1"/>
        <v>203.9293270335265</v>
      </c>
      <c r="AK16" s="6">
        <f t="shared" si="1"/>
        <v>206.53164214593019</v>
      </c>
      <c r="AL16" s="6">
        <f t="shared" si="1"/>
        <v>209.41288864898362</v>
      </c>
      <c r="AM16" s="6">
        <f t="shared" si="1"/>
        <v>212.2828472532</v>
      </c>
      <c r="AN16" s="6">
        <f t="shared" si="1"/>
        <v>212.45450292244698</v>
      </c>
      <c r="AO16" s="6">
        <f t="shared" si="1"/>
        <v>212.61635025047849</v>
      </c>
      <c r="AP16" s="6">
        <f t="shared" si="1"/>
        <v>212.70125871557372</v>
      </c>
      <c r="AQ16" s="6">
        <f t="shared" si="1"/>
        <v>212.84301969916569</v>
      </c>
      <c r="AR16" s="6">
        <f t="shared" si="1"/>
        <v>212.97372093898539</v>
      </c>
      <c r="AS16" s="6">
        <f t="shared" si="1"/>
        <v>219.89336175473932</v>
      </c>
      <c r="AT16" s="6">
        <f t="shared" si="1"/>
        <v>226.8026118924702</v>
      </c>
      <c r="AU16" s="6">
        <f t="shared" si="1"/>
        <v>233.64305368362221</v>
      </c>
      <c r="AV16" s="6">
        <f t="shared" si="1"/>
        <v>240.53623405225241</v>
      </c>
      <c r="AW16" s="6">
        <f t="shared" si="1"/>
        <v>247.42187369609371</v>
      </c>
      <c r="AX16" s="6">
        <f t="shared" si="1"/>
        <v>248.45751871708993</v>
      </c>
      <c r="AY16" s="6">
        <f t="shared" si="1"/>
        <v>249.50527150164211</v>
      </c>
      <c r="AZ16" s="6">
        <f t="shared" si="1"/>
        <v>250.55677353235589</v>
      </c>
      <c r="BA16" s="6">
        <f t="shared" si="1"/>
        <v>251.61182169995388</v>
      </c>
    </row>
    <row r="17" spans="1:53" outlineLevel="1" x14ac:dyDescent="0.35">
      <c r="A17" s="6" t="s">
        <v>36</v>
      </c>
      <c r="B17" s="6">
        <f>'Results - raw data ReCiPe (H)'!BC12</f>
        <v>61.36907317967863</v>
      </c>
      <c r="AB17" s="6" t="s">
        <v>124</v>
      </c>
      <c r="AC17" s="6">
        <f>-$AC$7*$AC$6</f>
        <v>0</v>
      </c>
      <c r="AD17" s="6">
        <f t="shared" ref="AD17:BA17" si="2">-$AC$7*$AC$6</f>
        <v>0</v>
      </c>
      <c r="AE17" s="6">
        <f t="shared" si="2"/>
        <v>0</v>
      </c>
      <c r="AF17" s="6">
        <f t="shared" si="2"/>
        <v>0</v>
      </c>
      <c r="AG17" s="6">
        <f t="shared" si="2"/>
        <v>0</v>
      </c>
      <c r="AH17" s="6">
        <f t="shared" si="2"/>
        <v>0</v>
      </c>
      <c r="AI17" s="6">
        <f t="shared" si="2"/>
        <v>0</v>
      </c>
      <c r="AJ17" s="6">
        <f t="shared" si="2"/>
        <v>0</v>
      </c>
      <c r="AK17" s="6">
        <f t="shared" si="2"/>
        <v>0</v>
      </c>
      <c r="AL17" s="6">
        <f t="shared" si="2"/>
        <v>0</v>
      </c>
      <c r="AM17" s="6">
        <f t="shared" si="2"/>
        <v>0</v>
      </c>
      <c r="AN17" s="6">
        <f t="shared" si="2"/>
        <v>0</v>
      </c>
      <c r="AO17" s="6">
        <f t="shared" si="2"/>
        <v>0</v>
      </c>
      <c r="AP17" s="6">
        <f t="shared" si="2"/>
        <v>0</v>
      </c>
      <c r="AQ17" s="6">
        <f t="shared" si="2"/>
        <v>0</v>
      </c>
      <c r="AR17" s="6">
        <f t="shared" si="2"/>
        <v>0</v>
      </c>
      <c r="AS17" s="6">
        <f t="shared" si="2"/>
        <v>0</v>
      </c>
      <c r="AT17" s="6">
        <f t="shared" si="2"/>
        <v>0</v>
      </c>
      <c r="AU17" s="6">
        <f t="shared" si="2"/>
        <v>0</v>
      </c>
      <c r="AV17" s="6">
        <f t="shared" si="2"/>
        <v>0</v>
      </c>
      <c r="AW17" s="6">
        <f t="shared" si="2"/>
        <v>0</v>
      </c>
      <c r="AX17" s="6">
        <f t="shared" si="2"/>
        <v>0</v>
      </c>
      <c r="AY17" s="6">
        <f t="shared" si="2"/>
        <v>0</v>
      </c>
      <c r="AZ17" s="6">
        <f t="shared" si="2"/>
        <v>0</v>
      </c>
      <c r="BA17" s="6">
        <f t="shared" si="2"/>
        <v>0</v>
      </c>
    </row>
    <row r="18" spans="1:53" outlineLevel="1" x14ac:dyDescent="0.35">
      <c r="A18" s="6" t="s">
        <v>38</v>
      </c>
      <c r="B18" s="6">
        <f>'Results - raw data ReCiPe (H)'!BC13</f>
        <v>664.60788560352216</v>
      </c>
      <c r="AB18" s="23" t="s">
        <v>125</v>
      </c>
      <c r="AC18" s="17">
        <f>SUM(AC10:AC17)</f>
        <v>5798.9312125388433</v>
      </c>
      <c r="AD18" s="17">
        <f t="shared" ref="AD18:BA18" si="3">SUM(AD10:AD17)</f>
        <v>2529.1522416483931</v>
      </c>
      <c r="AE18" s="17">
        <f t="shared" si="3"/>
        <v>2540.5195962669009</v>
      </c>
      <c r="AF18" s="17">
        <f t="shared" si="3"/>
        <v>2664.8145276789646</v>
      </c>
      <c r="AG18" s="17">
        <f t="shared" si="3"/>
        <v>2559.0584580410091</v>
      </c>
      <c r="AH18" s="17">
        <f t="shared" si="3"/>
        <v>2570.7623068462867</v>
      </c>
      <c r="AI18" s="17">
        <f t="shared" si="3"/>
        <v>2732.6259622621856</v>
      </c>
      <c r="AJ18" s="17">
        <f t="shared" si="3"/>
        <v>2659.9257043884954</v>
      </c>
      <c r="AK18" s="17">
        <f t="shared" si="3"/>
        <v>2701.0404271785624</v>
      </c>
      <c r="AL18" s="17">
        <f t="shared" si="3"/>
        <v>2862.2627854740836</v>
      </c>
      <c r="AM18" s="17">
        <f t="shared" si="3"/>
        <v>2790.1412974846921</v>
      </c>
      <c r="AN18" s="17">
        <f t="shared" si="3"/>
        <v>2795.305133337557</v>
      </c>
      <c r="AO18" s="17">
        <f t="shared" si="3"/>
        <v>2916.9083130563449</v>
      </c>
      <c r="AP18" s="17">
        <f t="shared" si="3"/>
        <v>2804.4654591409885</v>
      </c>
      <c r="AQ18" s="17">
        <f t="shared" si="3"/>
        <v>2809.2293202566939</v>
      </c>
      <c r="AR18" s="17">
        <f t="shared" si="3"/>
        <v>2930.1998603869565</v>
      </c>
      <c r="AS18" s="17">
        <f t="shared" si="3"/>
        <v>2915.9341980786903</v>
      </c>
      <c r="AT18" s="17">
        <f t="shared" si="3"/>
        <v>3018.0588884608524</v>
      </c>
      <c r="AU18" s="17">
        <f t="shared" si="3"/>
        <v>3235.616803683974</v>
      </c>
      <c r="AV18" s="17">
        <f t="shared" si="3"/>
        <v>3221.8147643905504</v>
      </c>
      <c r="AW18" s="17">
        <f t="shared" si="3"/>
        <v>3324.149661520506</v>
      </c>
      <c r="AX18" s="17">
        <f t="shared" si="3"/>
        <v>3460.8672504806377</v>
      </c>
      <c r="AY18" s="17">
        <f t="shared" si="3"/>
        <v>3365.9042217375304</v>
      </c>
      <c r="AZ18" s="17">
        <f t="shared" si="3"/>
        <v>3387.0148598570477</v>
      </c>
      <c r="BA18" s="17">
        <f t="shared" si="3"/>
        <v>3569.7725071763548</v>
      </c>
    </row>
    <row r="19" spans="1:53" outlineLevel="1" x14ac:dyDescent="0.35">
      <c r="A19" s="6" t="s">
        <v>39</v>
      </c>
      <c r="B19" s="6">
        <f>'Results - raw data ReCiPe (H)'!BC14</f>
        <v>720.62977688043634</v>
      </c>
    </row>
    <row r="20" spans="1:53" outlineLevel="1" x14ac:dyDescent="0.35">
      <c r="A20" s="6" t="s">
        <v>41</v>
      </c>
      <c r="B20" s="6">
        <f>'Results - raw data ReCiPe (H)'!BC15</f>
        <v>53.333868076658177</v>
      </c>
    </row>
    <row r="21" spans="1:53" outlineLevel="1" x14ac:dyDescent="0.35">
      <c r="A21" s="6" t="s">
        <v>43</v>
      </c>
      <c r="B21" s="6">
        <f>'Results - raw data ReCiPe (H)'!BC16</f>
        <v>73.573799866942238</v>
      </c>
      <c r="AB21" s="282"/>
      <c r="AC21" s="282"/>
      <c r="AD21" s="282"/>
      <c r="AE21" s="282"/>
      <c r="AF21" s="282"/>
      <c r="AG21" s="282"/>
      <c r="AH21" s="282"/>
      <c r="AI21" s="282"/>
      <c r="AJ21" s="282"/>
      <c r="AK21" s="282"/>
      <c r="AL21" s="282"/>
      <c r="AM21" s="282"/>
      <c r="AN21" s="282"/>
      <c r="AO21" s="282"/>
      <c r="AP21" s="282"/>
      <c r="AQ21" s="282"/>
      <c r="AR21" s="282"/>
      <c r="AS21" s="282"/>
      <c r="AT21" s="282"/>
      <c r="AU21" s="282"/>
      <c r="AV21" s="282"/>
      <c r="AW21" s="282"/>
      <c r="AX21" s="282"/>
      <c r="AY21" s="282"/>
      <c r="AZ21" s="282"/>
      <c r="BA21" s="282"/>
    </row>
    <row r="22" spans="1:53" outlineLevel="1" x14ac:dyDescent="0.35">
      <c r="A22" s="6" t="s">
        <v>44</v>
      </c>
      <c r="B22" s="6">
        <f>'Results - raw data ReCiPe (H)'!BC17*AC7*AC8</f>
        <v>269.67676540478124</v>
      </c>
      <c r="AB22" s="282"/>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row>
    <row r="23" spans="1:53" outlineLevel="1" x14ac:dyDescent="0.35">
      <c r="A23" s="6" t="s">
        <v>757</v>
      </c>
      <c r="B23" s="6">
        <f>'Results - raw data ReCiPe (H)'!BC18*AC7*AC8</f>
        <v>94.898922521686899</v>
      </c>
      <c r="AB23" s="282"/>
      <c r="AC23" s="282"/>
      <c r="AD23" s="282"/>
      <c r="AE23" s="282"/>
      <c r="AF23" s="282"/>
      <c r="AG23" s="282"/>
      <c r="AH23" s="282"/>
      <c r="AI23" s="282"/>
      <c r="AJ23" s="282"/>
      <c r="AK23" s="282"/>
      <c r="AL23" s="282"/>
      <c r="AM23" s="282"/>
      <c r="AN23" s="282"/>
      <c r="AO23" s="282"/>
      <c r="AP23" s="282"/>
      <c r="AQ23" s="282"/>
      <c r="AR23" s="282"/>
      <c r="AS23" s="282"/>
      <c r="AT23" s="282"/>
      <c r="AU23" s="282"/>
      <c r="AV23" s="282"/>
      <c r="AW23" s="282"/>
      <c r="AX23" s="282"/>
      <c r="AY23" s="282"/>
      <c r="AZ23" s="282"/>
      <c r="BA23" s="282"/>
    </row>
    <row r="24" spans="1:53" outlineLevel="1" x14ac:dyDescent="0.35">
      <c r="A24" s="6" t="s">
        <v>22</v>
      </c>
      <c r="Z24" s="6">
        <f>'Results - raw data ReCiPe (H)'!CA19</f>
        <v>0.33395801233910632</v>
      </c>
      <c r="AB24" s="282"/>
      <c r="AC24" s="282"/>
      <c r="AD24" s="282"/>
      <c r="AE24" s="282"/>
      <c r="AF24" s="282"/>
      <c r="AG24" s="282"/>
      <c r="AH24" s="282"/>
      <c r="AI24" s="282"/>
      <c r="AJ24" s="282"/>
      <c r="AK24" s="282"/>
      <c r="AL24" s="282"/>
      <c r="AM24" s="282"/>
      <c r="AN24" s="282"/>
      <c r="AO24" s="282"/>
      <c r="AP24" s="282"/>
      <c r="AQ24" s="282"/>
      <c r="AR24" s="282"/>
      <c r="AS24" s="282"/>
      <c r="AT24" s="282"/>
      <c r="AU24" s="282"/>
      <c r="AV24" s="282"/>
      <c r="AW24" s="282"/>
      <c r="AX24" s="282"/>
      <c r="AY24" s="282"/>
      <c r="AZ24" s="282"/>
      <c r="BA24" s="282"/>
    </row>
    <row r="25" spans="1:53" outlineLevel="1" x14ac:dyDescent="0.35">
      <c r="A25" s="6" t="s">
        <v>24</v>
      </c>
      <c r="Z25" s="6">
        <f>'Results - raw data ReCiPe (H)'!CA20</f>
        <v>0.37173071983864131</v>
      </c>
      <c r="AB25" s="282"/>
      <c r="AC25" s="282"/>
      <c r="AD25" s="282"/>
      <c r="AE25" s="282"/>
      <c r="AF25" s="282"/>
      <c r="AG25" s="282"/>
      <c r="AH25" s="282"/>
      <c r="AI25" s="282"/>
      <c r="AJ25" s="282"/>
      <c r="AK25" s="282"/>
      <c r="AL25" s="282"/>
      <c r="AM25" s="282"/>
      <c r="AN25" s="282"/>
      <c r="AO25" s="282"/>
      <c r="AP25" s="282"/>
      <c r="AQ25" s="282"/>
      <c r="AR25" s="282"/>
      <c r="AS25" s="282"/>
      <c r="AT25" s="282"/>
      <c r="AU25" s="282"/>
      <c r="AV25" s="282"/>
      <c r="AW25" s="282"/>
      <c r="AX25" s="282"/>
      <c r="AY25" s="282"/>
      <c r="AZ25" s="282"/>
      <c r="BA25" s="282"/>
    </row>
    <row r="26" spans="1:53" outlineLevel="1" x14ac:dyDescent="0.35">
      <c r="A26" s="6" t="s">
        <v>25</v>
      </c>
      <c r="Z26" s="6">
        <f>'Results - raw data ReCiPe (H)'!CA21</f>
        <v>1.714035723002332</v>
      </c>
      <c r="AB26" s="282"/>
      <c r="AC26" s="282"/>
      <c r="AD26" s="282"/>
      <c r="AE26" s="282"/>
      <c r="AF26" s="282"/>
      <c r="AG26" s="282"/>
      <c r="AH26" s="282"/>
      <c r="AI26" s="282"/>
      <c r="AJ26" s="282"/>
      <c r="AK26" s="282"/>
      <c r="AL26" s="282"/>
      <c r="AM26" s="282"/>
      <c r="AN26" s="282"/>
      <c r="AO26" s="282"/>
      <c r="AP26" s="282"/>
      <c r="AQ26" s="282"/>
      <c r="AR26" s="282"/>
      <c r="AS26" s="282"/>
      <c r="AT26" s="282"/>
      <c r="AU26" s="282"/>
      <c r="AV26" s="282"/>
      <c r="AW26" s="282"/>
      <c r="AX26" s="282"/>
      <c r="AY26" s="282"/>
      <c r="AZ26" s="282"/>
      <c r="BA26" s="282"/>
    </row>
    <row r="27" spans="1:53" outlineLevel="1" x14ac:dyDescent="0.35">
      <c r="A27" s="6" t="s">
        <v>27</v>
      </c>
      <c r="Z27" s="6">
        <f>'Results - raw data ReCiPe (H)'!CA22</f>
        <v>1.0332091254007969</v>
      </c>
      <c r="AB27" s="282"/>
      <c r="AC27" s="282"/>
      <c r="AD27" s="282"/>
      <c r="AE27" s="282"/>
      <c r="AF27" s="282"/>
      <c r="AG27" s="282"/>
      <c r="AH27" s="282"/>
      <c r="AI27" s="282"/>
      <c r="AJ27" s="282"/>
      <c r="AK27" s="282"/>
      <c r="AL27" s="282"/>
      <c r="AM27" s="282"/>
      <c r="AN27" s="282"/>
      <c r="AO27" s="282"/>
      <c r="AP27" s="282"/>
      <c r="AQ27" s="282"/>
      <c r="AR27" s="282"/>
      <c r="AS27" s="282"/>
      <c r="AT27" s="282"/>
      <c r="AU27" s="282"/>
      <c r="AV27" s="282"/>
      <c r="AW27" s="282"/>
      <c r="AX27" s="282"/>
      <c r="AY27" s="282"/>
      <c r="AZ27" s="282"/>
      <c r="BA27" s="282"/>
    </row>
    <row r="28" spans="1:53" outlineLevel="1" x14ac:dyDescent="0.35">
      <c r="A28" s="6" t="s">
        <v>30</v>
      </c>
      <c r="Z28" s="6">
        <f>'Results - raw data ReCiPe (H)'!CA23</f>
        <v>0.41012544069368462</v>
      </c>
      <c r="AB28" s="282"/>
      <c r="AC28" s="282"/>
      <c r="AD28" s="282"/>
      <c r="AE28" s="282"/>
      <c r="AF28" s="282"/>
      <c r="AG28" s="282"/>
      <c r="AH28" s="282"/>
      <c r="AI28" s="282"/>
      <c r="AJ28" s="282"/>
      <c r="AK28" s="282"/>
      <c r="AL28" s="282"/>
      <c r="AM28" s="282"/>
      <c r="AN28" s="282"/>
      <c r="AO28" s="282"/>
      <c r="AP28" s="282"/>
      <c r="AQ28" s="282"/>
      <c r="AR28" s="282"/>
      <c r="AS28" s="282"/>
      <c r="AT28" s="282"/>
      <c r="AU28" s="282"/>
      <c r="AV28" s="282"/>
      <c r="AW28" s="282"/>
      <c r="AX28" s="282"/>
      <c r="AY28" s="282"/>
      <c r="AZ28" s="282"/>
      <c r="BA28" s="282"/>
    </row>
    <row r="29" spans="1:53" outlineLevel="1" x14ac:dyDescent="0.35">
      <c r="A29" s="6" t="s">
        <v>32</v>
      </c>
      <c r="Z29" s="6">
        <f>'Results - raw data ReCiPe (H)'!CA24</f>
        <v>0.18408066799283429</v>
      </c>
      <c r="AB29" s="282"/>
      <c r="AC29" s="282"/>
      <c r="AD29" s="282"/>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row>
    <row r="30" spans="1:53" outlineLevel="1" x14ac:dyDescent="0.35">
      <c r="A30" s="6" t="s">
        <v>33</v>
      </c>
      <c r="Z30" s="6">
        <f>'Results - raw data ReCiPe (H)'!CA25</f>
        <v>0.10625470952361479</v>
      </c>
      <c r="AB30" s="282"/>
      <c r="AC30" s="282"/>
      <c r="AD30" s="282"/>
      <c r="AE30" s="282"/>
      <c r="AF30" s="282"/>
      <c r="AG30" s="282"/>
      <c r="AH30" s="282"/>
      <c r="AI30" s="282"/>
      <c r="AJ30" s="282"/>
      <c r="AK30" s="282"/>
      <c r="AL30" s="282"/>
      <c r="AM30" s="282"/>
      <c r="AN30" s="282"/>
      <c r="AO30" s="282"/>
      <c r="AP30" s="282"/>
      <c r="AQ30" s="282"/>
      <c r="AR30" s="282"/>
      <c r="AS30" s="282"/>
      <c r="AT30" s="282"/>
      <c r="AU30" s="282"/>
      <c r="AV30" s="282"/>
      <c r="AW30" s="282"/>
      <c r="AX30" s="282"/>
      <c r="AY30" s="282"/>
      <c r="AZ30" s="282"/>
      <c r="BA30" s="282"/>
    </row>
    <row r="31" spans="1:53" outlineLevel="1" x14ac:dyDescent="0.35">
      <c r="A31" s="6" t="s">
        <v>35</v>
      </c>
      <c r="Z31" s="6">
        <f>'Results - raw data ReCiPe (H)'!CA26</f>
        <v>0.21250941904722959</v>
      </c>
      <c r="AB31" s="282"/>
      <c r="AC31" s="282"/>
      <c r="AD31" s="282"/>
      <c r="AE31" s="282"/>
      <c r="AF31" s="282"/>
      <c r="AG31" s="282"/>
      <c r="AH31" s="282"/>
      <c r="AI31" s="282"/>
      <c r="AJ31" s="282"/>
      <c r="AK31" s="282"/>
      <c r="AL31" s="282"/>
      <c r="AM31" s="282"/>
      <c r="AN31" s="282"/>
      <c r="AO31" s="282"/>
      <c r="AP31" s="282"/>
      <c r="AQ31" s="282"/>
      <c r="AR31" s="282"/>
      <c r="AS31" s="282"/>
      <c r="AT31" s="282"/>
      <c r="AU31" s="282"/>
      <c r="AV31" s="282"/>
      <c r="AW31" s="282"/>
      <c r="AX31" s="282"/>
      <c r="AY31" s="282"/>
      <c r="AZ31" s="282"/>
      <c r="BA31" s="282"/>
    </row>
    <row r="32" spans="1:53" outlineLevel="1" x14ac:dyDescent="0.35">
      <c r="A32" s="6" t="s">
        <v>37</v>
      </c>
      <c r="Z32" s="6">
        <f>'Results - raw data ReCiPe (H)'!CA27</f>
        <v>3.1326169217173172</v>
      </c>
      <c r="AB32" s="282"/>
      <c r="AC32" s="282"/>
      <c r="AD32" s="282"/>
      <c r="AE32" s="282"/>
      <c r="AF32" s="282"/>
      <c r="AG32" s="282"/>
      <c r="AH32" s="282"/>
      <c r="AI32" s="282"/>
      <c r="AJ32" s="282"/>
      <c r="AK32" s="282"/>
      <c r="AL32" s="282"/>
      <c r="AM32" s="282"/>
      <c r="AN32" s="282"/>
      <c r="AO32" s="282"/>
      <c r="AP32" s="282"/>
      <c r="AQ32" s="282"/>
      <c r="AR32" s="282"/>
      <c r="AS32" s="282"/>
      <c r="AT32" s="282"/>
      <c r="AU32" s="282"/>
      <c r="AV32" s="282"/>
      <c r="AW32" s="282"/>
      <c r="AX32" s="282"/>
      <c r="AY32" s="282"/>
      <c r="AZ32" s="282"/>
      <c r="BA32" s="282"/>
    </row>
    <row r="33" spans="1:53" outlineLevel="1" x14ac:dyDescent="0.35">
      <c r="A33" s="6" t="s">
        <v>40</v>
      </c>
      <c r="Z33" s="6">
        <f>'Results - raw data ReCiPe (H)'!CA28</f>
        <v>1.4887444792608839</v>
      </c>
      <c r="AB33" s="282"/>
      <c r="AC33" s="282"/>
      <c r="AD33" s="282"/>
      <c r="AE33" s="282"/>
      <c r="AF33" s="282"/>
      <c r="AG33" s="282"/>
      <c r="AH33" s="282"/>
      <c r="AI33" s="282"/>
      <c r="AJ33" s="282"/>
      <c r="AK33" s="282"/>
      <c r="AL33" s="282"/>
      <c r="AM33" s="282"/>
      <c r="AN33" s="282"/>
      <c r="AO33" s="282"/>
      <c r="AP33" s="282"/>
      <c r="AQ33" s="282"/>
      <c r="AR33" s="282"/>
      <c r="AS33" s="282"/>
      <c r="AT33" s="282"/>
      <c r="AU33" s="282"/>
      <c r="AV33" s="282"/>
      <c r="AW33" s="282"/>
      <c r="AX33" s="282"/>
      <c r="AY33" s="282"/>
      <c r="AZ33" s="282"/>
      <c r="BA33" s="282"/>
    </row>
    <row r="34" spans="1:53" outlineLevel="1" x14ac:dyDescent="0.35">
      <c r="A34" s="6" t="s">
        <v>42</v>
      </c>
      <c r="Z34" s="6">
        <f>'Results - raw data ReCiPe (H)'!CA29</f>
        <v>3.9196001600090971</v>
      </c>
      <c r="AB34" s="282"/>
      <c r="AC34" s="282"/>
      <c r="AD34" s="282"/>
      <c r="AE34" s="282"/>
      <c r="AF34" s="282"/>
      <c r="AG34" s="282"/>
      <c r="AH34" s="282"/>
      <c r="AI34" s="282"/>
      <c r="AJ34" s="282"/>
      <c r="AK34" s="282"/>
      <c r="AL34" s="282"/>
      <c r="AM34" s="282"/>
      <c r="AN34" s="282"/>
      <c r="AO34" s="282"/>
      <c r="AP34" s="282"/>
      <c r="AQ34" s="282"/>
      <c r="AR34" s="282"/>
      <c r="AS34" s="282"/>
      <c r="AT34" s="282"/>
      <c r="AU34" s="282"/>
      <c r="AV34" s="282"/>
      <c r="AW34" s="282"/>
      <c r="AX34" s="282"/>
      <c r="AY34" s="282"/>
      <c r="AZ34" s="282"/>
      <c r="BA34" s="282"/>
    </row>
    <row r="35" spans="1:53" outlineLevel="1" x14ac:dyDescent="0.35">
      <c r="A35" s="6" t="s">
        <v>115</v>
      </c>
      <c r="Z35" s="6">
        <f>'Results - raw data ReCiPe (H)'!CA30</f>
        <v>32.729008967767257</v>
      </c>
      <c r="AB35" s="282"/>
      <c r="AC35" s="282"/>
      <c r="AD35" s="282"/>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row>
    <row r="36" spans="1:53" outlineLevel="1" x14ac:dyDescent="0.35">
      <c r="A36" s="6" t="s">
        <v>45</v>
      </c>
      <c r="Z36" s="6">
        <f>'Results - raw data ReCiPe (H)'!CA31</f>
        <v>5.3706297748739608E-4</v>
      </c>
    </row>
    <row r="37" spans="1:53" outlineLevel="1" x14ac:dyDescent="0.35">
      <c r="A37" s="6" t="s">
        <v>116</v>
      </c>
      <c r="B37" s="6">
        <f>'Results - raw data ReCiPe (H)'!BC32</f>
        <v>118.1930543229993</v>
      </c>
      <c r="C37" s="6">
        <f>'Results - raw data ReCiPe (H)'!BD32</f>
        <v>118.1495509706713</v>
      </c>
      <c r="D37" s="6">
        <f>'Results - raw data ReCiPe (H)'!BE32</f>
        <v>118.1066016748573</v>
      </c>
      <c r="E37" s="6">
        <f>'Results - raw data ReCiPe (H)'!BF32</f>
        <v>117.3708968791351</v>
      </c>
      <c r="F37" s="6">
        <f>'Results - raw data ReCiPe (H)'!BG32</f>
        <v>117.330317151248</v>
      </c>
      <c r="G37" s="6">
        <f>'Results - raw data ReCiPe (H)'!BH32</f>
        <v>117.29005129331981</v>
      </c>
      <c r="H37" s="6">
        <f>'Results - raw data ReCiPe (H)'!BI32</f>
        <v>117.2479070799383</v>
      </c>
      <c r="I37" s="6">
        <f>'Results - raw data ReCiPe (H)'!BJ32</f>
        <v>117.20587296292381</v>
      </c>
      <c r="J37" s="6">
        <f>'Results - raw data ReCiPe (H)'!BK32</f>
        <v>116.689582257802</v>
      </c>
      <c r="K37" s="6">
        <f>'Results - raw data ReCiPe (H)'!BL32</f>
        <v>116.65080958776529</v>
      </c>
      <c r="L37" s="6">
        <f>'Results - raw data ReCiPe (H)'!BM32</f>
        <v>116.6120881785565</v>
      </c>
      <c r="M37" s="6">
        <f>'Results - raw data ReCiPe (H)'!BN32</f>
        <v>116.59106485862949</v>
      </c>
      <c r="N37" s="6">
        <f>'Results - raw data ReCiPe (H)'!BO32</f>
        <v>116.5694194979278</v>
      </c>
      <c r="O37" s="6">
        <f>'Results - raw data ReCiPe (H)'!BP32</f>
        <v>116.40036881478591</v>
      </c>
      <c r="P37" s="6">
        <f>'Results - raw data ReCiPe (H)'!BQ32</f>
        <v>116.37866001322909</v>
      </c>
      <c r="Q37" s="6">
        <f>'Results - raw data ReCiPe (H)'!BR32</f>
        <v>116.3562974875733</v>
      </c>
      <c r="R37" s="6">
        <f>'Results - raw data ReCiPe (H)'!BS32</f>
        <v>116.3054484089124</v>
      </c>
      <c r="S37" s="6">
        <f>'Results - raw data ReCiPe (H)'!BT32</f>
        <v>116.25416343781561</v>
      </c>
      <c r="T37" s="6">
        <f>'Results - raw data ReCiPe (H)'!BU32</f>
        <v>116.0610845903859</v>
      </c>
      <c r="U37" s="6">
        <f>'Results - raw data ReCiPe (H)'!BV32</f>
        <v>116.0105572281381</v>
      </c>
      <c r="V37" s="6">
        <f>'Results - raw data ReCiPe (H)'!BW32</f>
        <v>115.959651673077</v>
      </c>
      <c r="W37" s="6">
        <f>'Results - raw data ReCiPe (H)'!BX32</f>
        <v>115.9379738654637</v>
      </c>
      <c r="X37" s="6">
        <f>'Results - raw data ReCiPe (H)'!BY32</f>
        <v>115.91683277888509</v>
      </c>
      <c r="Y37" s="6">
        <f>'Results - raw data ReCiPe (H)'!BZ32</f>
        <v>115.8960785606388</v>
      </c>
      <c r="Z37" s="6">
        <f>'Results - raw data ReCiPe (H)'!CA32</f>
        <v>115.8757111011497</v>
      </c>
    </row>
    <row r="38" spans="1:53" outlineLevel="1" x14ac:dyDescent="0.35">
      <c r="A38" s="6" t="s">
        <v>758</v>
      </c>
      <c r="B38" s="6">
        <f>'Results - raw data ReCiPe (H)'!BC167*$AC$7</f>
        <v>195.76172255046851</v>
      </c>
      <c r="C38" s="6">
        <f>'Results - raw data ReCiPe (H)'!BD167*$AC$7</f>
        <v>196.30148589353811</v>
      </c>
      <c r="D38" s="6">
        <f>'Results - raw data ReCiPe (H)'!BE167*$AC$7</f>
        <v>196.84487569979018</v>
      </c>
      <c r="E38" s="6">
        <f>'Results - raw data ReCiPe (H)'!BF167*$AC$7</f>
        <v>197.01108349836508</v>
      </c>
      <c r="F38" s="6">
        <f>'Results - raw data ReCiPe (H)'!BG167*$AC$7</f>
        <v>197.56637214637439</v>
      </c>
      <c r="G38" s="6">
        <f>'Results - raw data ReCiPe (H)'!BH167*$AC$7</f>
        <v>198.1248505113056</v>
      </c>
      <c r="H38" s="6">
        <f>'Results - raw data ReCiPe (H)'!BI167*$AC$7</f>
        <v>201.0336327118896</v>
      </c>
      <c r="I38" s="6">
        <f>'Results - raw data ReCiPe (H)'!BJ167*$AC$7</f>
        <v>203.9293270335265</v>
      </c>
      <c r="J38" s="6">
        <f>'Results - raw data ReCiPe (H)'!BK167*$AC$7</f>
        <v>206.53164214593019</v>
      </c>
      <c r="K38" s="6">
        <f>'Results - raw data ReCiPe (H)'!BL167*$AC$7</f>
        <v>209.41288864898362</v>
      </c>
      <c r="L38" s="6">
        <f>'Results - raw data ReCiPe (H)'!BM167*$AC$7</f>
        <v>212.2828472532</v>
      </c>
      <c r="M38" s="6">
        <f>'Results - raw data ReCiPe (H)'!BN167*$AC$7</f>
        <v>212.45450292244698</v>
      </c>
      <c r="N38" s="6">
        <f>'Results - raw data ReCiPe (H)'!BO167*$AC$7</f>
        <v>212.61635025047849</v>
      </c>
      <c r="O38" s="6">
        <f>'Results - raw data ReCiPe (H)'!BP167*$AC$7</f>
        <v>212.70125871557372</v>
      </c>
      <c r="P38" s="6">
        <f>'Results - raw data ReCiPe (H)'!BQ167*$AC$7</f>
        <v>212.84301969916569</v>
      </c>
      <c r="Q38" s="6">
        <f>'Results - raw data ReCiPe (H)'!BR167*$AC$7</f>
        <v>212.97372093898539</v>
      </c>
      <c r="R38" s="6">
        <f>'Results - raw data ReCiPe (H)'!BS167*$AC$7</f>
        <v>219.89336175473932</v>
      </c>
      <c r="S38" s="6">
        <f>'Results - raw data ReCiPe (H)'!BT167*$AC$7</f>
        <v>226.8026118924702</v>
      </c>
      <c r="T38" s="6">
        <f>'Results - raw data ReCiPe (H)'!BU167*$AC$7</f>
        <v>233.64305368362221</v>
      </c>
      <c r="U38" s="6">
        <f>'Results - raw data ReCiPe (H)'!BV167*$AC$7</f>
        <v>240.53623405225241</v>
      </c>
      <c r="V38" s="6">
        <f>'Results - raw data ReCiPe (H)'!BW167*$AC$7</f>
        <v>247.42187369609371</v>
      </c>
      <c r="W38" s="6">
        <f>'Results - raw data ReCiPe (H)'!BX167*$AC$7</f>
        <v>248.45751871708993</v>
      </c>
      <c r="X38" s="6">
        <f>'Results - raw data ReCiPe (H)'!BY167*$AC$7</f>
        <v>249.50527150164211</v>
      </c>
      <c r="Y38" s="6">
        <f>'Results - raw data ReCiPe (H)'!BZ167*$AC$7</f>
        <v>250.55677353235589</v>
      </c>
      <c r="Z38" s="6">
        <f>'Results - raw data ReCiPe (H)'!CA167*$AC$7</f>
        <v>251.61182169995388</v>
      </c>
    </row>
    <row r="39" spans="1:53" outlineLevel="1" x14ac:dyDescent="0.35">
      <c r="A39" s="6" t="s">
        <v>759</v>
      </c>
      <c r="B39" s="6">
        <f>'Results - raw data ReCiPe (H)'!BC34</f>
        <v>0</v>
      </c>
      <c r="C39" s="6">
        <f>'Results - raw data ReCiPe (H)'!BD34</f>
        <v>0</v>
      </c>
      <c r="D39" s="6">
        <f>'Results - raw data ReCiPe (H)'!BE34</f>
        <v>0</v>
      </c>
      <c r="E39" s="6">
        <f>'Results - raw data ReCiPe (H)'!BF34</f>
        <v>0</v>
      </c>
      <c r="F39" s="6">
        <f>'Results - raw data ReCiPe (H)'!BG34</f>
        <v>0</v>
      </c>
      <c r="G39" s="6">
        <f>'Results - raw data ReCiPe (H)'!BH34</f>
        <v>0</v>
      </c>
      <c r="H39" s="6">
        <f>'Results - raw data ReCiPe (H)'!BI34</f>
        <v>0</v>
      </c>
      <c r="I39" s="6">
        <f>'Results - raw data ReCiPe (H)'!BJ34</f>
        <v>0</v>
      </c>
      <c r="J39" s="6">
        <f>'Results - raw data ReCiPe (H)'!BK34</f>
        <v>0</v>
      </c>
      <c r="K39" s="6">
        <f>'Results - raw data ReCiPe (H)'!BL34</f>
        <v>0</v>
      </c>
      <c r="L39" s="6">
        <f>'Results - raw data ReCiPe (H)'!BM34</f>
        <v>0</v>
      </c>
      <c r="M39" s="6">
        <f>'Results - raw data ReCiPe (H)'!BN34</f>
        <v>0</v>
      </c>
      <c r="N39" s="6">
        <f>'Results - raw data ReCiPe (H)'!BO34</f>
        <v>0</v>
      </c>
      <c r="O39" s="6">
        <f>'Results - raw data ReCiPe (H)'!BP34</f>
        <v>0</v>
      </c>
      <c r="P39" s="6">
        <f>'Results - raw data ReCiPe (H)'!BQ34</f>
        <v>0</v>
      </c>
      <c r="Q39" s="6">
        <f>'Results - raw data ReCiPe (H)'!BR34</f>
        <v>0</v>
      </c>
      <c r="R39" s="6">
        <f>'Results - raw data ReCiPe (H)'!BS34</f>
        <v>0</v>
      </c>
      <c r="S39" s="6">
        <f>'Results - raw data ReCiPe (H)'!BT34</f>
        <v>0</v>
      </c>
      <c r="T39" s="6">
        <f>'Results - raw data ReCiPe (H)'!BU34</f>
        <v>0</v>
      </c>
      <c r="U39" s="6">
        <f>'Results - raw data ReCiPe (H)'!BV34</f>
        <v>0</v>
      </c>
      <c r="V39" s="6">
        <f>'Results - raw data ReCiPe (H)'!BW34</f>
        <v>0</v>
      </c>
      <c r="W39" s="6">
        <f>'Results - raw data ReCiPe (H)'!BX34</f>
        <v>0</v>
      </c>
      <c r="X39" s="6">
        <f>'Results - raw data ReCiPe (H)'!BY34</f>
        <v>0</v>
      </c>
      <c r="Y39" s="6">
        <f>'Results - raw data ReCiPe (H)'!BZ34</f>
        <v>0</v>
      </c>
      <c r="Z39" s="6">
        <f>'Results - raw data ReCiPe (H)'!CA34</f>
        <v>0</v>
      </c>
    </row>
    <row r="40" spans="1:53" outlineLevel="1" x14ac:dyDescent="0.35">
      <c r="A40" s="6" t="s">
        <v>760</v>
      </c>
      <c r="B40" s="6">
        <f>'Results - raw data ReCiPe (H)'!BC35</f>
        <v>2322.1156028821961</v>
      </c>
      <c r="C40" s="6">
        <f>'Results - raw data ReCiPe (H)'!BD35</f>
        <v>2332.8507557548551</v>
      </c>
      <c r="D40" s="6">
        <f>'Results - raw data ReCiPe (H)'!BE35</f>
        <v>2343.6747205671109</v>
      </c>
      <c r="E40" s="6">
        <f>'Results - raw data ReCiPe (H)'!BF35</f>
        <v>2350.4325473014642</v>
      </c>
      <c r="F40" s="6">
        <f>'Results - raw data ReCiPe (H)'!BG35</f>
        <v>2361.4920858946348</v>
      </c>
      <c r="G40" s="6">
        <f>'Results - raw data ReCiPe (H)'!BH35</f>
        <v>2372.6374563349809</v>
      </c>
      <c r="H40" s="6">
        <f>'Results - raw data ReCiPe (H)'!BI35</f>
        <v>2414.344422470358</v>
      </c>
      <c r="I40" s="6">
        <f>'Results - raw data ReCiPe (H)'!BJ35</f>
        <v>2455.9963773549689</v>
      </c>
      <c r="J40" s="6">
        <f>'Results - raw data ReCiPe (H)'!BK35</f>
        <v>2494.5087850326322</v>
      </c>
      <c r="K40" s="6">
        <f>'Results - raw data ReCiPe (H)'!BL35</f>
        <v>2536.1990872373349</v>
      </c>
      <c r="L40" s="6">
        <f>'Results - raw data ReCiPe (H)'!BM35</f>
        <v>2577.858450231492</v>
      </c>
      <c r="M40" s="6">
        <f>'Results - raw data ReCiPe (H)'!BN35</f>
        <v>2582.8506304151101</v>
      </c>
      <c r="N40" s="6">
        <f>'Results - raw data ReCiPe (H)'!BO35</f>
        <v>2587.7225433079388</v>
      </c>
      <c r="O40" s="6">
        <f>'Results - raw data ReCiPe (H)'!BP35</f>
        <v>2591.7642004254149</v>
      </c>
      <c r="P40" s="6">
        <f>'Results - raw data ReCiPe (H)'!BQ35</f>
        <v>2596.3863005575281</v>
      </c>
      <c r="Q40" s="6">
        <f>'Results - raw data ReCiPe (H)'!BR35</f>
        <v>2600.8698419603979</v>
      </c>
      <c r="R40" s="6">
        <f>'Results - raw data ReCiPe (H)'!BS35</f>
        <v>2696.0408363239512</v>
      </c>
      <c r="S40" s="6">
        <f>'Results - raw data ReCiPe (H)'!BT35</f>
        <v>2791.256276568382</v>
      </c>
      <c r="T40" s="6">
        <f>'Results - raw data ReCiPe (H)'!BU35</f>
        <v>2885.9126654099659</v>
      </c>
      <c r="U40" s="6">
        <f>'Results - raw data ReCiPe (H)'!BV35</f>
        <v>2981.278530338298</v>
      </c>
      <c r="V40" s="6">
        <f>'Results - raw data ReCiPe (H)'!BW35</f>
        <v>3076.7277878244122</v>
      </c>
      <c r="W40" s="6">
        <f>'Results - raw data ReCiPe (H)'!BX35</f>
        <v>3096.471757898084</v>
      </c>
      <c r="X40" s="6">
        <f>'Results - raw data ReCiPe (H)'!BY35</f>
        <v>3116.3989502358882</v>
      </c>
      <c r="Y40" s="6">
        <f>'Results - raw data ReCiPe (H)'!BZ35</f>
        <v>3136.458086324692</v>
      </c>
      <c r="Z40" s="6">
        <f>'Results - raw data ReCiPe (H)'!CA35</f>
        <v>3156.6485629656809</v>
      </c>
    </row>
    <row r="41" spans="1:53" outlineLevel="1" x14ac:dyDescent="0.35">
      <c r="A41" s="23" t="s">
        <v>125</v>
      </c>
      <c r="B41" s="17">
        <f>SUM(B10:B40)</f>
        <v>5798.9312125388433</v>
      </c>
      <c r="C41" s="17">
        <f>SUM(C10:C40)</f>
        <v>2647.3017926190646</v>
      </c>
      <c r="D41" s="17">
        <f>SUM(D10:D40)</f>
        <v>2658.6261979417582</v>
      </c>
      <c r="E41" s="17">
        <f>SUM(E10:E40)</f>
        <v>2664.8145276789646</v>
      </c>
      <c r="F41" s="17">
        <f>SUM(F10:F40)</f>
        <v>2676.3887751922571</v>
      </c>
      <c r="G41" s="17">
        <f t="shared" ref="G41:Z41" si="4">SUM(G10:G40)</f>
        <v>2688.0523581396064</v>
      </c>
      <c r="H41" s="17">
        <f t="shared" si="4"/>
        <v>2732.625962262186</v>
      </c>
      <c r="I41" s="17">
        <f t="shared" si="4"/>
        <v>2777.1315773514193</v>
      </c>
      <c r="J41" s="17">
        <f t="shared" si="4"/>
        <v>2817.7300094363645</v>
      </c>
      <c r="K41" s="17">
        <f t="shared" si="4"/>
        <v>2862.262785474084</v>
      </c>
      <c r="L41" s="17">
        <f t="shared" si="4"/>
        <v>2906.7533856632485</v>
      </c>
      <c r="M41" s="17">
        <f t="shared" si="4"/>
        <v>2911.8961981961866</v>
      </c>
      <c r="N41" s="17">
        <f t="shared" si="4"/>
        <v>2916.9083130563449</v>
      </c>
      <c r="O41" s="17">
        <f t="shared" si="4"/>
        <v>2920.8658279557744</v>
      </c>
      <c r="P41" s="17">
        <f t="shared" si="4"/>
        <v>2925.6079802699228</v>
      </c>
      <c r="Q41" s="17">
        <f t="shared" si="4"/>
        <v>2930.1998603869565</v>
      </c>
      <c r="R41" s="17">
        <f t="shared" si="4"/>
        <v>3032.2396464876028</v>
      </c>
      <c r="S41" s="17">
        <f t="shared" si="4"/>
        <v>3134.3130518986677</v>
      </c>
      <c r="T41" s="17">
        <f t="shared" si="4"/>
        <v>3235.616803683974</v>
      </c>
      <c r="U41" s="17">
        <f t="shared" si="4"/>
        <v>3337.8253216186886</v>
      </c>
      <c r="V41" s="17">
        <f t="shared" si="4"/>
        <v>3440.1093131935831</v>
      </c>
      <c r="W41" s="17">
        <f t="shared" si="4"/>
        <v>3460.8672504806377</v>
      </c>
      <c r="X41" s="17">
        <f t="shared" si="4"/>
        <v>3481.8210545164152</v>
      </c>
      <c r="Y41" s="17">
        <f t="shared" si="4"/>
        <v>3502.9109384176868</v>
      </c>
      <c r="Z41" s="17">
        <f t="shared" si="4"/>
        <v>3569.7725071763548</v>
      </c>
    </row>
    <row r="42" spans="1:53" outlineLevel="1" x14ac:dyDescent="0.35"/>
    <row r="43" spans="1:53" s="18" customFormat="1" ht="21" x14ac:dyDescent="0.5">
      <c r="A43" s="18" t="s">
        <v>73</v>
      </c>
    </row>
    <row r="44" spans="1:53" s="20" customFormat="1" outlineLevel="1" x14ac:dyDescent="0.35">
      <c r="A44" s="19" t="s">
        <v>767</v>
      </c>
    </row>
    <row r="45" spans="1:53" s="16" customFormat="1" outlineLevel="1" x14ac:dyDescent="0.35">
      <c r="A45" s="21"/>
      <c r="AE45" s="15"/>
    </row>
    <row r="46" spans="1:53" s="16" customFormat="1" outlineLevel="1" x14ac:dyDescent="0.35">
      <c r="A46" s="22" t="s">
        <v>761</v>
      </c>
    </row>
    <row r="47" spans="1:53" s="16" customFormat="1" outlineLevel="1" x14ac:dyDescent="0.35">
      <c r="A47" s="22"/>
      <c r="AB47" s="16" t="s">
        <v>127</v>
      </c>
      <c r="AC47" s="16">
        <v>100</v>
      </c>
      <c r="AD47" s="16" t="s">
        <v>128</v>
      </c>
    </row>
    <row r="48" spans="1:53" s="16" customFormat="1" outlineLevel="1" x14ac:dyDescent="0.35">
      <c r="A48" s="22"/>
      <c r="AB48" s="16" t="s">
        <v>129</v>
      </c>
      <c r="AC48" s="16">
        <v>25</v>
      </c>
      <c r="AD48" s="16" t="s">
        <v>130</v>
      </c>
    </row>
    <row r="49" spans="1:54" outlineLevel="1" x14ac:dyDescent="0.35">
      <c r="B49" s="25">
        <v>2030</v>
      </c>
      <c r="C49" s="25">
        <v>2031</v>
      </c>
      <c r="D49" s="25">
        <v>2032</v>
      </c>
      <c r="E49" s="25">
        <v>2033</v>
      </c>
      <c r="F49" s="25">
        <v>2034</v>
      </c>
      <c r="G49" s="25">
        <v>2035</v>
      </c>
      <c r="H49" s="25">
        <v>2036</v>
      </c>
      <c r="I49" s="25">
        <v>2037</v>
      </c>
      <c r="J49" s="25">
        <v>2038</v>
      </c>
      <c r="K49" s="25">
        <v>2039</v>
      </c>
      <c r="L49" s="25">
        <v>2040</v>
      </c>
      <c r="M49" s="25">
        <v>2041</v>
      </c>
      <c r="N49" s="25">
        <v>2042</v>
      </c>
      <c r="O49" s="25">
        <v>2043</v>
      </c>
      <c r="P49" s="25">
        <v>2044</v>
      </c>
      <c r="Q49" s="25">
        <v>2045</v>
      </c>
      <c r="R49" s="25">
        <v>2046</v>
      </c>
      <c r="S49" s="25">
        <v>2047</v>
      </c>
      <c r="T49" s="25">
        <v>2048</v>
      </c>
      <c r="U49" s="25">
        <v>2049</v>
      </c>
      <c r="V49" s="25">
        <v>2050</v>
      </c>
      <c r="W49" s="25">
        <v>2051</v>
      </c>
      <c r="X49" s="25">
        <v>2052</v>
      </c>
      <c r="Y49" s="25">
        <v>2053</v>
      </c>
      <c r="Z49" s="25">
        <v>2054</v>
      </c>
      <c r="AC49" s="25">
        <v>2030</v>
      </c>
      <c r="AD49" s="25">
        <v>2031</v>
      </c>
      <c r="AE49" s="25">
        <v>2032</v>
      </c>
      <c r="AF49" s="25">
        <v>2033</v>
      </c>
      <c r="AG49" s="25">
        <v>2034</v>
      </c>
      <c r="AH49" s="25">
        <v>2035</v>
      </c>
      <c r="AI49" s="25">
        <v>2036</v>
      </c>
      <c r="AJ49" s="25">
        <v>2037</v>
      </c>
      <c r="AK49" s="25">
        <v>2038</v>
      </c>
      <c r="AL49" s="25">
        <v>2039</v>
      </c>
      <c r="AM49" s="25">
        <v>2040</v>
      </c>
      <c r="AN49" s="25">
        <v>2041</v>
      </c>
      <c r="AO49" s="25">
        <v>2042</v>
      </c>
      <c r="AP49" s="25">
        <v>2043</v>
      </c>
      <c r="AQ49" s="25">
        <v>2044</v>
      </c>
      <c r="AR49" s="25">
        <v>2045</v>
      </c>
      <c r="AS49" s="25">
        <v>2046</v>
      </c>
      <c r="AT49" s="25">
        <v>2047</v>
      </c>
      <c r="AU49" s="25">
        <v>2048</v>
      </c>
      <c r="AV49" s="25">
        <v>2049</v>
      </c>
      <c r="AW49" s="25">
        <v>2050</v>
      </c>
      <c r="AX49" s="25">
        <v>2051</v>
      </c>
      <c r="AY49" s="25">
        <v>2052</v>
      </c>
      <c r="AZ49" s="25">
        <v>2053</v>
      </c>
      <c r="BA49" s="25">
        <v>2054</v>
      </c>
    </row>
    <row r="50" spans="1:54" outlineLevel="1" x14ac:dyDescent="0.35">
      <c r="A50" s="6" t="s">
        <v>21</v>
      </c>
      <c r="B50" s="6">
        <f>'Results - raw data ReCiPe (H)'!BC41</f>
        <v>74.575809260309001</v>
      </c>
      <c r="AB50" s="6" t="s">
        <v>117</v>
      </c>
      <c r="AC50" s="6">
        <f>SUM(B50:B61)+B63</f>
        <v>2837.5515154411646</v>
      </c>
    </row>
    <row r="51" spans="1:54" outlineLevel="1" x14ac:dyDescent="0.35">
      <c r="A51" s="6" t="s">
        <v>23</v>
      </c>
      <c r="B51" s="6">
        <f>'Results - raw data ReCiPe (H)'!BC42</f>
        <v>313.82231223638792</v>
      </c>
      <c r="AB51" s="6" t="s">
        <v>118</v>
      </c>
      <c r="AC51" s="6">
        <f>B62</f>
        <v>266.94496473340826</v>
      </c>
    </row>
    <row r="52" spans="1:54" outlineLevel="1" x14ac:dyDescent="0.35">
      <c r="A52" s="6" t="s">
        <v>26</v>
      </c>
      <c r="B52" s="6">
        <f>'Results - raw data ReCiPe (H)'!BC43</f>
        <v>315.02558376823708</v>
      </c>
      <c r="AB52" s="6" t="s">
        <v>119</v>
      </c>
      <c r="BA52" s="6">
        <f>SUM(Z64:Z75)</f>
        <v>41.794125692809452</v>
      </c>
    </row>
    <row r="53" spans="1:54" outlineLevel="1" x14ac:dyDescent="0.35">
      <c r="A53" s="6" t="s">
        <v>28</v>
      </c>
      <c r="B53" s="6">
        <f>'Results - raw data ReCiPe (H)'!BC44</f>
        <v>243.43520206801139</v>
      </c>
      <c r="AB53" s="6" t="s">
        <v>120</v>
      </c>
      <c r="BA53" s="6">
        <f>Z76</f>
        <v>1.2962860497828945</v>
      </c>
    </row>
    <row r="54" spans="1:54" outlineLevel="1" x14ac:dyDescent="0.35">
      <c r="A54" s="6" t="s">
        <v>29</v>
      </c>
      <c r="B54" s="6">
        <f>'Results - raw data ReCiPe (H)'!BC45</f>
        <v>119.8877128712579</v>
      </c>
      <c r="AB54" s="6" t="s">
        <v>121</v>
      </c>
      <c r="AC54" s="6">
        <f>B77</f>
        <v>117.4164153447413</v>
      </c>
      <c r="AF54" s="6">
        <f>E77</f>
        <v>116.14482404943</v>
      </c>
      <c r="AI54" s="6">
        <f>H77</f>
        <v>115.85431461269189</v>
      </c>
      <c r="AL54" s="6">
        <f>K77</f>
        <v>115.7060268138878</v>
      </c>
      <c r="AO54" s="6">
        <f>N77</f>
        <v>115.22430296168601</v>
      </c>
      <c r="AR54" s="6">
        <f>Q77</f>
        <v>114.21787004973891</v>
      </c>
      <c r="AU54" s="6">
        <f>T77</f>
        <v>113.3881732416237</v>
      </c>
      <c r="AX54" s="6">
        <f>W77</f>
        <v>112.8508899058024</v>
      </c>
      <c r="BA54" s="6">
        <f>Z77</f>
        <v>112.6235531268987</v>
      </c>
    </row>
    <row r="55" spans="1:54" outlineLevel="1" x14ac:dyDescent="0.35">
      <c r="A55" s="6" t="s">
        <v>31</v>
      </c>
      <c r="B55" s="6">
        <f>'Results - raw data ReCiPe (H)'!BC46</f>
        <v>85.211147912787794</v>
      </c>
      <c r="AB55" s="6" t="s">
        <v>122</v>
      </c>
      <c r="AC55" s="6">
        <f>B80+B79</f>
        <v>2397.063593199709</v>
      </c>
      <c r="AD55" s="6">
        <f t="shared" ref="AD55:BA55" si="5">C80+C79</f>
        <v>2379.6134774011311</v>
      </c>
      <c r="AE55" s="6">
        <f t="shared" si="5"/>
        <v>2362.188629716703</v>
      </c>
      <c r="AF55" s="6">
        <f t="shared" si="5"/>
        <v>2340.3044915874762</v>
      </c>
      <c r="AG55" s="6">
        <f t="shared" si="5"/>
        <v>2322.9440845460231</v>
      </c>
      <c r="AH55" s="6">
        <f t="shared" si="5"/>
        <v>2305.605553690335</v>
      </c>
      <c r="AI55" s="6">
        <f t="shared" si="5"/>
        <v>2300.808644434393</v>
      </c>
      <c r="AJ55" s="6">
        <f t="shared" si="5"/>
        <v>2295.8854356329139</v>
      </c>
      <c r="AK55" s="6">
        <f t="shared" si="5"/>
        <v>2286.8703410958919</v>
      </c>
      <c r="AL55" s="6">
        <f t="shared" si="5"/>
        <v>2281.515543203242</v>
      </c>
      <c r="AM55" s="6">
        <f t="shared" si="5"/>
        <v>2275.968512933965</v>
      </c>
      <c r="AN55" s="6">
        <f t="shared" si="5"/>
        <v>2261.0406552066361</v>
      </c>
      <c r="AO55" s="6">
        <f t="shared" si="5"/>
        <v>2245.842790154612</v>
      </c>
      <c r="AP55" s="6">
        <f t="shared" si="5"/>
        <v>2229.4525728716731</v>
      </c>
      <c r="AQ55" s="6">
        <f t="shared" si="5"/>
        <v>2213.7291686234798</v>
      </c>
      <c r="AR55" s="6">
        <f t="shared" si="5"/>
        <v>2197.7407664790348</v>
      </c>
      <c r="AS55" s="6">
        <f t="shared" si="5"/>
        <v>2211.2953173476822</v>
      </c>
      <c r="AT55" s="6">
        <f t="shared" si="5"/>
        <v>2224.5851349859472</v>
      </c>
      <c r="AU55" s="6">
        <f t="shared" si="5"/>
        <v>2236.7044559808719</v>
      </c>
      <c r="AV55" s="6">
        <f t="shared" si="5"/>
        <v>2249.4766981934999</v>
      </c>
      <c r="AW55" s="6">
        <f t="shared" si="5"/>
        <v>2261.9944338859809</v>
      </c>
      <c r="AX55" s="6">
        <f t="shared" si="5"/>
        <v>2240.5891057678832</v>
      </c>
      <c r="AY55" s="6">
        <f t="shared" si="5"/>
        <v>2219.186363062181</v>
      </c>
      <c r="AZ55" s="6">
        <f t="shared" si="5"/>
        <v>2197.694707669616</v>
      </c>
      <c r="BA55" s="6">
        <f t="shared" si="5"/>
        <v>2176.1108391783118</v>
      </c>
    </row>
    <row r="56" spans="1:54" outlineLevel="1" x14ac:dyDescent="0.35">
      <c r="A56" s="6" t="s">
        <v>34</v>
      </c>
      <c r="B56" s="6">
        <f>'Results - raw data ReCiPe (H)'!BC47</f>
        <v>57.213045992396857</v>
      </c>
      <c r="AB56" s="6" t="s">
        <v>123</v>
      </c>
      <c r="AC56" s="6">
        <f t="shared" ref="AC56:BA56" si="6">B78</f>
        <v>200.64428013390173</v>
      </c>
      <c r="AD56" s="6">
        <f t="shared" si="6"/>
        <v>198.88987102701171</v>
      </c>
      <c r="AE56" s="6">
        <f t="shared" si="6"/>
        <v>197.14183434126971</v>
      </c>
      <c r="AF56" s="6">
        <f t="shared" si="6"/>
        <v>194.9959183591115</v>
      </c>
      <c r="AG56" s="6">
        <f t="shared" si="6"/>
        <v>193.2624144529706</v>
      </c>
      <c r="AH56" s="6">
        <f t="shared" si="6"/>
        <v>191.53490018423719</v>
      </c>
      <c r="AI56" s="6">
        <f t="shared" si="6"/>
        <v>190.9975749317953</v>
      </c>
      <c r="AJ56" s="6">
        <f t="shared" si="6"/>
        <v>190.4517415185353</v>
      </c>
      <c r="AK56" s="6">
        <f t="shared" si="6"/>
        <v>189.55284221781989</v>
      </c>
      <c r="AL56" s="6">
        <f t="shared" si="6"/>
        <v>188.9767026724202</v>
      </c>
      <c r="AM56" s="6">
        <f t="shared" si="6"/>
        <v>188.38664248840891</v>
      </c>
      <c r="AN56" s="6">
        <f t="shared" si="6"/>
        <v>187.22532996797722</v>
      </c>
      <c r="AO56" s="6">
        <f t="shared" si="6"/>
        <v>186.04470531712519</v>
      </c>
      <c r="AP56" s="6">
        <f t="shared" si="6"/>
        <v>184.7625314071924</v>
      </c>
      <c r="AQ56" s="6">
        <f t="shared" si="6"/>
        <v>183.54449771318281</v>
      </c>
      <c r="AR56" s="6">
        <f t="shared" si="6"/>
        <v>182.30739946394971</v>
      </c>
      <c r="AS56" s="6">
        <f t="shared" si="6"/>
        <v>183.5566604619637</v>
      </c>
      <c r="AT56" s="6">
        <f t="shared" si="6"/>
        <v>184.79229458687769</v>
      </c>
      <c r="AU56" s="6">
        <f t="shared" si="6"/>
        <v>185.9338856299583</v>
      </c>
      <c r="AV56" s="6">
        <f t="shared" si="6"/>
        <v>187.14268841019211</v>
      </c>
      <c r="AW56" s="6">
        <f t="shared" si="6"/>
        <v>188.3380573783914</v>
      </c>
      <c r="AX56" s="6">
        <f t="shared" si="6"/>
        <v>186.4779317854391</v>
      </c>
      <c r="AY56" s="6">
        <f t="shared" si="6"/>
        <v>184.62669982481441</v>
      </c>
      <c r="AZ56" s="6">
        <f t="shared" si="6"/>
        <v>182.77386974818862</v>
      </c>
      <c r="BA56" s="6">
        <f t="shared" si="6"/>
        <v>180.91913840904829</v>
      </c>
    </row>
    <row r="57" spans="1:54" outlineLevel="1" x14ac:dyDescent="0.35">
      <c r="A57" s="6" t="s">
        <v>36</v>
      </c>
      <c r="B57" s="6">
        <f>'Results - raw data ReCiPe (H)'!BC48</f>
        <v>60.149320712686112</v>
      </c>
      <c r="AB57" s="6" t="s">
        <v>124</v>
      </c>
      <c r="AC57" s="6">
        <f>-$AC$7*$AC$6</f>
        <v>0</v>
      </c>
      <c r="AD57" s="6">
        <f t="shared" ref="AD57:BA57" si="7">-$AC$7*$AC$6</f>
        <v>0</v>
      </c>
      <c r="AE57" s="6">
        <f t="shared" si="7"/>
        <v>0</v>
      </c>
      <c r="AF57" s="6">
        <f t="shared" si="7"/>
        <v>0</v>
      </c>
      <c r="AG57" s="6">
        <f t="shared" si="7"/>
        <v>0</v>
      </c>
      <c r="AH57" s="6">
        <f t="shared" si="7"/>
        <v>0</v>
      </c>
      <c r="AI57" s="6">
        <f t="shared" si="7"/>
        <v>0</v>
      </c>
      <c r="AJ57" s="6">
        <f t="shared" si="7"/>
        <v>0</v>
      </c>
      <c r="AK57" s="6">
        <f t="shared" si="7"/>
        <v>0</v>
      </c>
      <c r="AL57" s="6">
        <f t="shared" si="7"/>
        <v>0</v>
      </c>
      <c r="AM57" s="6">
        <f t="shared" si="7"/>
        <v>0</v>
      </c>
      <c r="AN57" s="6">
        <f t="shared" si="7"/>
        <v>0</v>
      </c>
      <c r="AO57" s="6">
        <f t="shared" si="7"/>
        <v>0</v>
      </c>
      <c r="AP57" s="6">
        <f t="shared" si="7"/>
        <v>0</v>
      </c>
      <c r="AQ57" s="6">
        <f t="shared" si="7"/>
        <v>0</v>
      </c>
      <c r="AR57" s="6">
        <f t="shared" si="7"/>
        <v>0</v>
      </c>
      <c r="AS57" s="6">
        <f t="shared" si="7"/>
        <v>0</v>
      </c>
      <c r="AT57" s="6">
        <f t="shared" si="7"/>
        <v>0</v>
      </c>
      <c r="AU57" s="6">
        <f t="shared" si="7"/>
        <v>0</v>
      </c>
      <c r="AV57" s="6">
        <f t="shared" si="7"/>
        <v>0</v>
      </c>
      <c r="AW57" s="6">
        <f t="shared" si="7"/>
        <v>0</v>
      </c>
      <c r="AX57" s="6">
        <f t="shared" si="7"/>
        <v>0</v>
      </c>
      <c r="AY57" s="6">
        <f t="shared" si="7"/>
        <v>0</v>
      </c>
      <c r="AZ57" s="6">
        <f t="shared" si="7"/>
        <v>0</v>
      </c>
      <c r="BA57" s="6">
        <f t="shared" si="7"/>
        <v>0</v>
      </c>
    </row>
    <row r="58" spans="1:54" outlineLevel="1" x14ac:dyDescent="0.35">
      <c r="A58" s="6" t="s">
        <v>38</v>
      </c>
      <c r="B58" s="6">
        <f>'Results - raw data ReCiPe (H)'!BC49</f>
        <v>654.34504301961317</v>
      </c>
      <c r="AB58" s="23" t="s">
        <v>125</v>
      </c>
      <c r="AC58" s="17">
        <f t="shared" ref="AC58:BA58" si="8">SUM(AC50:AC57)</f>
        <v>5819.6207688529248</v>
      </c>
      <c r="AD58" s="17">
        <f t="shared" si="8"/>
        <v>2578.503348428143</v>
      </c>
      <c r="AE58" s="17">
        <f t="shared" si="8"/>
        <v>2559.3304640579727</v>
      </c>
      <c r="AF58" s="17">
        <f t="shared" si="8"/>
        <v>2651.4452339960176</v>
      </c>
      <c r="AG58" s="17">
        <f t="shared" si="8"/>
        <v>2516.2064989989935</v>
      </c>
      <c r="AH58" s="17">
        <f t="shared" si="8"/>
        <v>2497.1404538745724</v>
      </c>
      <c r="AI58" s="17">
        <f t="shared" si="8"/>
        <v>2607.6605339788803</v>
      </c>
      <c r="AJ58" s="17">
        <f t="shared" si="8"/>
        <v>2486.3371771514494</v>
      </c>
      <c r="AK58" s="17">
        <f t="shared" si="8"/>
        <v>2476.4231833137119</v>
      </c>
      <c r="AL58" s="17">
        <f t="shared" si="8"/>
        <v>2586.1982726895503</v>
      </c>
      <c r="AM58" s="17">
        <f t="shared" si="8"/>
        <v>2464.3551554223741</v>
      </c>
      <c r="AN58" s="17">
        <f t="shared" si="8"/>
        <v>2448.2659851746134</v>
      </c>
      <c r="AO58" s="17">
        <f t="shared" si="8"/>
        <v>2547.1117984334232</v>
      </c>
      <c r="AP58" s="17">
        <f t="shared" si="8"/>
        <v>2414.2151042788655</v>
      </c>
      <c r="AQ58" s="17">
        <f t="shared" si="8"/>
        <v>2397.2736663366627</v>
      </c>
      <c r="AR58" s="17">
        <f t="shared" si="8"/>
        <v>2494.2660359927236</v>
      </c>
      <c r="AS58" s="17">
        <f t="shared" si="8"/>
        <v>2394.8519778096461</v>
      </c>
      <c r="AT58" s="17">
        <f t="shared" si="8"/>
        <v>2409.3774295728249</v>
      </c>
      <c r="AU58" s="17">
        <f t="shared" si="8"/>
        <v>2536.0265148524541</v>
      </c>
      <c r="AV58" s="17">
        <f t="shared" si="8"/>
        <v>2436.619386603692</v>
      </c>
      <c r="AW58" s="17">
        <f t="shared" si="8"/>
        <v>2450.3324912643725</v>
      </c>
      <c r="AX58" s="17">
        <f t="shared" si="8"/>
        <v>2539.9179274591247</v>
      </c>
      <c r="AY58" s="17">
        <f t="shared" si="8"/>
        <v>2403.8130628869953</v>
      </c>
      <c r="AZ58" s="17">
        <f t="shared" si="8"/>
        <v>2380.4685774178047</v>
      </c>
      <c r="BA58" s="17">
        <f t="shared" si="8"/>
        <v>2512.7439424568511</v>
      </c>
    </row>
    <row r="59" spans="1:54" outlineLevel="1" x14ac:dyDescent="0.35">
      <c r="A59" s="6" t="s">
        <v>39</v>
      </c>
      <c r="B59" s="6">
        <f>'Results - raw data ReCiPe (H)'!BC50</f>
        <v>693.55879573755169</v>
      </c>
    </row>
    <row r="60" spans="1:54" outlineLevel="1" x14ac:dyDescent="0.35">
      <c r="A60" s="6" t="s">
        <v>41</v>
      </c>
      <c r="B60" s="6">
        <f>'Results - raw data ReCiPe (H)'!BC51</f>
        <v>53.610983579825508</v>
      </c>
    </row>
    <row r="61" spans="1:54" outlineLevel="1" x14ac:dyDescent="0.35">
      <c r="A61" s="6" t="s">
        <v>43</v>
      </c>
      <c r="B61" s="6">
        <f>'Results - raw data ReCiPe (H)'!BC52</f>
        <v>73.167744204374856</v>
      </c>
      <c r="AB61" s="282"/>
      <c r="AC61" s="282"/>
      <c r="AD61" s="282"/>
      <c r="AE61" s="282"/>
      <c r="AF61" s="282"/>
      <c r="AG61" s="282"/>
      <c r="AH61" s="282"/>
      <c r="AI61" s="282"/>
      <c r="AJ61" s="282"/>
      <c r="AK61" s="282"/>
      <c r="AL61" s="282"/>
      <c r="AM61" s="282"/>
      <c r="AN61" s="282"/>
      <c r="AO61" s="282"/>
      <c r="AP61" s="282"/>
      <c r="AQ61" s="282"/>
      <c r="AR61" s="282"/>
      <c r="AS61" s="282"/>
      <c r="AT61" s="282"/>
      <c r="AU61" s="282"/>
      <c r="AV61" s="282"/>
      <c r="AW61" s="282"/>
      <c r="AX61" s="282"/>
      <c r="AY61" s="282"/>
      <c r="AZ61" s="282"/>
      <c r="BA61" s="282"/>
      <c r="BB61" s="282"/>
    </row>
    <row r="62" spans="1:54" outlineLevel="1" x14ac:dyDescent="0.35">
      <c r="A62" s="6" t="s">
        <v>44</v>
      </c>
      <c r="B62" s="6">
        <f>'Results - raw data ReCiPe (H)'!BC53*AC47*AC48</f>
        <v>266.94496473340826</v>
      </c>
      <c r="AB62" s="282"/>
      <c r="AC62" s="282"/>
      <c r="AD62" s="282"/>
      <c r="AE62" s="282"/>
      <c r="AF62" s="282"/>
      <c r="AG62" s="282"/>
      <c r="AH62" s="282"/>
      <c r="AI62" s="282"/>
      <c r="AJ62" s="282"/>
      <c r="AK62" s="282"/>
      <c r="AL62" s="282"/>
      <c r="AM62" s="282"/>
      <c r="AN62" s="282"/>
      <c r="AO62" s="282"/>
      <c r="AP62" s="282"/>
      <c r="AQ62" s="282"/>
      <c r="AR62" s="282"/>
      <c r="AS62" s="282"/>
      <c r="AT62" s="282"/>
      <c r="AU62" s="282"/>
      <c r="AV62" s="282"/>
      <c r="AW62" s="282"/>
      <c r="AX62" s="282"/>
      <c r="AY62" s="282"/>
      <c r="AZ62" s="282"/>
      <c r="BA62" s="282"/>
      <c r="BB62" s="282"/>
    </row>
    <row r="63" spans="1:54" outlineLevel="1" x14ac:dyDescent="0.35">
      <c r="A63" s="6" t="s">
        <v>757</v>
      </c>
      <c r="B63" s="6">
        <f>'Results - raw data ReCiPe (H)'!BC54*AC47*AC48</f>
        <v>93.54881407772514</v>
      </c>
      <c r="AB63" s="282"/>
      <c r="AC63" s="282"/>
      <c r="AD63" s="282"/>
      <c r="AE63" s="282"/>
      <c r="AF63" s="282"/>
      <c r="AG63" s="282"/>
      <c r="AH63" s="282"/>
      <c r="AI63" s="282"/>
      <c r="AJ63" s="282"/>
      <c r="AK63" s="282"/>
      <c r="AL63" s="282"/>
      <c r="AM63" s="282"/>
      <c r="AN63" s="282"/>
      <c r="AO63" s="282"/>
      <c r="AP63" s="282"/>
      <c r="AQ63" s="282"/>
      <c r="AR63" s="282"/>
      <c r="AS63" s="282"/>
      <c r="AT63" s="282"/>
      <c r="AU63" s="282"/>
      <c r="AV63" s="282"/>
      <c r="AW63" s="282"/>
      <c r="AX63" s="282"/>
      <c r="AY63" s="282"/>
      <c r="AZ63" s="282"/>
      <c r="BA63" s="282"/>
      <c r="BB63" s="282"/>
    </row>
    <row r="64" spans="1:54" outlineLevel="1" x14ac:dyDescent="0.35">
      <c r="A64" s="6" t="s">
        <v>22</v>
      </c>
      <c r="Z64" s="6">
        <f>'Results - raw data ReCiPe (H)'!CA55</f>
        <v>0.32233715306889849</v>
      </c>
      <c r="AB64" s="282"/>
      <c r="AC64" s="282"/>
      <c r="AD64" s="282"/>
      <c r="AE64" s="282"/>
      <c r="AF64" s="282"/>
      <c r="AG64" s="282"/>
      <c r="AH64" s="282"/>
      <c r="AI64" s="282"/>
      <c r="AJ64" s="282"/>
      <c r="AK64" s="282"/>
      <c r="AL64" s="282"/>
      <c r="AM64" s="282"/>
      <c r="AN64" s="282"/>
      <c r="AO64" s="282"/>
      <c r="AP64" s="282"/>
      <c r="AQ64" s="282"/>
      <c r="AR64" s="282"/>
      <c r="AS64" s="282"/>
      <c r="AT64" s="282"/>
      <c r="AU64" s="282"/>
      <c r="AV64" s="282"/>
      <c r="AW64" s="282"/>
      <c r="AX64" s="282"/>
      <c r="AY64" s="282"/>
      <c r="AZ64" s="282"/>
      <c r="BA64" s="282"/>
      <c r="BB64" s="282"/>
    </row>
    <row r="65" spans="1:54" outlineLevel="1" x14ac:dyDescent="0.35">
      <c r="A65" s="6" t="s">
        <v>24</v>
      </c>
      <c r="Z65" s="6">
        <f>'Results - raw data ReCiPe (H)'!CA56</f>
        <v>0.35838182732894691</v>
      </c>
      <c r="AB65" s="282"/>
      <c r="AC65" s="282"/>
      <c r="AD65" s="282"/>
      <c r="AE65" s="282"/>
      <c r="AF65" s="282"/>
      <c r="AG65" s="282"/>
      <c r="AH65" s="282"/>
      <c r="AI65" s="282"/>
      <c r="AJ65" s="282"/>
      <c r="AK65" s="282"/>
      <c r="AL65" s="282"/>
      <c r="AM65" s="282"/>
      <c r="AN65" s="282"/>
      <c r="AO65" s="282"/>
      <c r="AP65" s="282"/>
      <c r="AQ65" s="282"/>
      <c r="AR65" s="282"/>
      <c r="AS65" s="282"/>
      <c r="AT65" s="282"/>
      <c r="AU65" s="282"/>
      <c r="AV65" s="282"/>
      <c r="AW65" s="282"/>
      <c r="AX65" s="282"/>
      <c r="AY65" s="282"/>
      <c r="AZ65" s="282"/>
      <c r="BA65" s="282"/>
      <c r="BB65" s="282"/>
    </row>
    <row r="66" spans="1:54" outlineLevel="1" x14ac:dyDescent="0.35">
      <c r="A66" s="6" t="s">
        <v>25</v>
      </c>
      <c r="Z66" s="6">
        <f>'Results - raw data ReCiPe (H)'!CA57</f>
        <v>1.6303359130110771</v>
      </c>
      <c r="AB66" s="282"/>
      <c r="AC66" s="282"/>
      <c r="AD66" s="282"/>
      <c r="AE66" s="282"/>
      <c r="AF66" s="282"/>
      <c r="AG66" s="282"/>
      <c r="AH66" s="282"/>
      <c r="AI66" s="282"/>
      <c r="AJ66" s="282"/>
      <c r="AK66" s="282"/>
      <c r="AL66" s="282"/>
      <c r="AM66" s="282"/>
      <c r="AN66" s="282"/>
      <c r="AO66" s="282"/>
      <c r="AP66" s="282"/>
      <c r="AQ66" s="282"/>
      <c r="AR66" s="282"/>
      <c r="AS66" s="282"/>
      <c r="AT66" s="282"/>
      <c r="AU66" s="282"/>
      <c r="AV66" s="282"/>
      <c r="AW66" s="282"/>
      <c r="AX66" s="282"/>
      <c r="AY66" s="282"/>
      <c r="AZ66" s="282"/>
      <c r="BA66" s="282"/>
      <c r="BB66" s="282"/>
    </row>
    <row r="67" spans="1:54" outlineLevel="1" x14ac:dyDescent="0.35">
      <c r="A67" s="6" t="s">
        <v>27</v>
      </c>
      <c r="Z67" s="6">
        <f>'Results - raw data ReCiPe (H)'!CA58</f>
        <v>0.99750299663896524</v>
      </c>
      <c r="AB67" s="282"/>
      <c r="AC67" s="282"/>
      <c r="AD67" s="282"/>
      <c r="AE67" s="282"/>
      <c r="AF67" s="282"/>
      <c r="AG67" s="282"/>
      <c r="AH67" s="282"/>
      <c r="AI67" s="282"/>
      <c r="AJ67" s="282"/>
      <c r="AK67" s="282"/>
      <c r="AL67" s="282"/>
      <c r="AM67" s="282"/>
      <c r="AN67" s="282"/>
      <c r="AO67" s="282"/>
      <c r="AP67" s="282"/>
      <c r="AQ67" s="282"/>
      <c r="AR67" s="282"/>
      <c r="AS67" s="282"/>
      <c r="AT67" s="282"/>
      <c r="AU67" s="282"/>
      <c r="AV67" s="282"/>
      <c r="AW67" s="282"/>
      <c r="AX67" s="282"/>
      <c r="AY67" s="282"/>
      <c r="AZ67" s="282"/>
      <c r="BA67" s="282"/>
      <c r="BB67" s="282"/>
    </row>
    <row r="68" spans="1:54" outlineLevel="1" x14ac:dyDescent="0.35">
      <c r="A68" s="6" t="s">
        <v>30</v>
      </c>
      <c r="Z68" s="6">
        <f>'Results - raw data ReCiPe (H)'!CA59</f>
        <v>0.39549334266602593</v>
      </c>
      <c r="AB68" s="282"/>
      <c r="AC68" s="282"/>
      <c r="AD68" s="282"/>
      <c r="AE68" s="282"/>
      <c r="AF68" s="282"/>
      <c r="AG68" s="282"/>
      <c r="AH68" s="282"/>
      <c r="AI68" s="282"/>
      <c r="AJ68" s="282"/>
      <c r="AK68" s="282"/>
      <c r="AL68" s="282"/>
      <c r="AM68" s="282"/>
      <c r="AN68" s="282"/>
      <c r="AO68" s="282"/>
      <c r="AP68" s="282"/>
      <c r="AQ68" s="282"/>
      <c r="AR68" s="282"/>
      <c r="AS68" s="282"/>
      <c r="AT68" s="282"/>
      <c r="AU68" s="282"/>
      <c r="AV68" s="282"/>
      <c r="AW68" s="282"/>
      <c r="AX68" s="282"/>
      <c r="AY68" s="282"/>
      <c r="AZ68" s="282"/>
      <c r="BA68" s="282"/>
      <c r="BB68" s="282"/>
    </row>
    <row r="69" spans="1:54" outlineLevel="1" x14ac:dyDescent="0.35">
      <c r="A69" s="6" t="s">
        <v>32</v>
      </c>
      <c r="Z69" s="6">
        <f>'Results - raw data ReCiPe (H)'!CA60</f>
        <v>0.17713632900602139</v>
      </c>
      <c r="AB69" s="282"/>
      <c r="AC69" s="282"/>
      <c r="AD69" s="282"/>
      <c r="AE69" s="282"/>
      <c r="AF69" s="282"/>
      <c r="AG69" s="282"/>
      <c r="AH69" s="282"/>
      <c r="AI69" s="282"/>
      <c r="AJ69" s="282"/>
      <c r="AK69" s="282"/>
      <c r="AL69" s="282"/>
      <c r="AM69" s="282"/>
      <c r="AN69" s="282"/>
      <c r="AO69" s="282"/>
      <c r="AP69" s="282"/>
      <c r="AQ69" s="282"/>
      <c r="AR69" s="282"/>
      <c r="AS69" s="282"/>
      <c r="AT69" s="282"/>
      <c r="AU69" s="282"/>
      <c r="AV69" s="282"/>
      <c r="AW69" s="282"/>
      <c r="AX69" s="282"/>
      <c r="AY69" s="282"/>
      <c r="AZ69" s="282"/>
      <c r="BA69" s="282"/>
      <c r="BB69" s="282"/>
    </row>
    <row r="70" spans="1:54" outlineLevel="1" x14ac:dyDescent="0.35">
      <c r="A70" s="6" t="s">
        <v>33</v>
      </c>
      <c r="Z70" s="6">
        <f>'Results - raw data ReCiPe (H)'!CA61</f>
        <v>0.1021911347554563</v>
      </c>
      <c r="AB70" s="282"/>
      <c r="AC70" s="282"/>
      <c r="AD70" s="282"/>
      <c r="AE70" s="282"/>
      <c r="AF70" s="282"/>
      <c r="AG70" s="282"/>
      <c r="AH70" s="282"/>
      <c r="AI70" s="282"/>
      <c r="AJ70" s="282"/>
      <c r="AK70" s="282"/>
      <c r="AL70" s="282"/>
      <c r="AM70" s="282"/>
      <c r="AN70" s="282"/>
      <c r="AO70" s="282"/>
      <c r="AP70" s="282"/>
      <c r="AQ70" s="282"/>
      <c r="AR70" s="282"/>
      <c r="AS70" s="282"/>
      <c r="AT70" s="282"/>
      <c r="AU70" s="282"/>
      <c r="AV70" s="282"/>
      <c r="AW70" s="282"/>
      <c r="AX70" s="282"/>
      <c r="AY70" s="282"/>
      <c r="AZ70" s="282"/>
      <c r="BA70" s="282"/>
      <c r="BB70" s="282"/>
    </row>
    <row r="71" spans="1:54" outlineLevel="1" x14ac:dyDescent="0.35">
      <c r="A71" s="6" t="s">
        <v>35</v>
      </c>
      <c r="Z71" s="6">
        <f>'Results - raw data ReCiPe (H)'!CA62</f>
        <v>0.20438226951091251</v>
      </c>
      <c r="AB71" s="282"/>
      <c r="AC71" s="282"/>
      <c r="AD71" s="282"/>
      <c r="AE71" s="282"/>
      <c r="AF71" s="282"/>
      <c r="AG71" s="282"/>
      <c r="AH71" s="282"/>
      <c r="AI71" s="282"/>
      <c r="AJ71" s="282"/>
      <c r="AK71" s="282"/>
      <c r="AL71" s="282"/>
      <c r="AM71" s="282"/>
      <c r="AN71" s="282"/>
      <c r="AO71" s="282"/>
      <c r="AP71" s="282"/>
      <c r="AQ71" s="282"/>
      <c r="AR71" s="282"/>
      <c r="AS71" s="282"/>
      <c r="AT71" s="282"/>
      <c r="AU71" s="282"/>
      <c r="AV71" s="282"/>
      <c r="AW71" s="282"/>
      <c r="AX71" s="282"/>
      <c r="AY71" s="282"/>
      <c r="AZ71" s="282"/>
      <c r="BA71" s="282"/>
      <c r="BB71" s="282"/>
    </row>
    <row r="72" spans="1:54" outlineLevel="1" x14ac:dyDescent="0.35">
      <c r="A72" s="6" t="s">
        <v>37</v>
      </c>
      <c r="Z72" s="6">
        <f>'Results - raw data ReCiPe (H)'!CA63</f>
        <v>3.0230501723671872</v>
      </c>
      <c r="AB72" s="282"/>
      <c r="AC72" s="282"/>
      <c r="AD72" s="282"/>
      <c r="AE72" s="282"/>
      <c r="AF72" s="282"/>
      <c r="AG72" s="282"/>
      <c r="AH72" s="282"/>
      <c r="AI72" s="282"/>
      <c r="AJ72" s="282"/>
      <c r="AK72" s="282"/>
      <c r="AL72" s="282"/>
      <c r="AM72" s="282"/>
      <c r="AN72" s="282"/>
      <c r="AO72" s="282"/>
      <c r="AP72" s="282"/>
      <c r="AQ72" s="282"/>
      <c r="AR72" s="282"/>
      <c r="AS72" s="282"/>
      <c r="AT72" s="282"/>
      <c r="AU72" s="282"/>
      <c r="AV72" s="282"/>
      <c r="AW72" s="282"/>
      <c r="AX72" s="282"/>
      <c r="AY72" s="282"/>
      <c r="AZ72" s="282"/>
      <c r="BA72" s="282"/>
      <c r="BB72" s="282"/>
    </row>
    <row r="73" spans="1:54" outlineLevel="1" x14ac:dyDescent="0.35">
      <c r="A73" s="6" t="s">
        <v>40</v>
      </c>
      <c r="Z73" s="6">
        <f>'Results - raw data ReCiPe (H)'!CA64</f>
        <v>1.399154055783115</v>
      </c>
    </row>
    <row r="74" spans="1:54" outlineLevel="1" x14ac:dyDescent="0.35">
      <c r="A74" s="6" t="s">
        <v>42</v>
      </c>
      <c r="Z74" s="6">
        <f>'Results - raw data ReCiPe (H)'!CA65</f>
        <v>3.7454886419278992</v>
      </c>
    </row>
    <row r="75" spans="1:54" outlineLevel="1" x14ac:dyDescent="0.35">
      <c r="A75" s="6" t="s">
        <v>115</v>
      </c>
      <c r="Z75" s="6">
        <f>'Results - raw data ReCiPe (H)'!CA66</f>
        <v>29.43867185674495</v>
      </c>
    </row>
    <row r="76" spans="1:54" outlineLevel="1" x14ac:dyDescent="0.35">
      <c r="A76" s="6" t="s">
        <v>45</v>
      </c>
      <c r="Z76" s="6">
        <f>'Results - raw data ReCiPe (H)'!CA67*AC47*AC48</f>
        <v>1.2962860497828945</v>
      </c>
    </row>
    <row r="77" spans="1:54" outlineLevel="1" x14ac:dyDescent="0.35">
      <c r="A77" s="6" t="s">
        <v>116</v>
      </c>
      <c r="B77" s="6">
        <f>'Results - raw data ReCiPe (H)'!BC68</f>
        <v>117.4164153447413</v>
      </c>
      <c r="C77" s="6">
        <f>'Results - raw data ReCiPe (H)'!BD68</f>
        <v>117.22450567272359</v>
      </c>
      <c r="D77" s="6">
        <f>'Results - raw data ReCiPe (H)'!BE68</f>
        <v>117.0302875893984</v>
      </c>
      <c r="E77" s="6">
        <f>'Results - raw data ReCiPe (H)'!BF68</f>
        <v>116.14482404943</v>
      </c>
      <c r="F77" s="6">
        <f>'Results - raw data ReCiPe (H)'!BG68</f>
        <v>115.9485520514929</v>
      </c>
      <c r="G77" s="6">
        <f>'Results - raw data ReCiPe (H)'!BH68</f>
        <v>115.7497578563647</v>
      </c>
      <c r="H77" s="6">
        <f>'Results - raw data ReCiPe (H)'!BI68</f>
        <v>115.85431461269189</v>
      </c>
      <c r="I77" s="6">
        <f>'Results - raw data ReCiPe (H)'!BJ68</f>
        <v>115.9586781641881</v>
      </c>
      <c r="J77" s="6">
        <f>'Results - raw data ReCiPe (H)'!BK68</f>
        <v>115.5987692292539</v>
      </c>
      <c r="K77" s="6">
        <f>'Results - raw data ReCiPe (H)'!BL68</f>
        <v>115.7060268138878</v>
      </c>
      <c r="L77" s="6">
        <f>'Results - raw data ReCiPe (H)'!BM68</f>
        <v>115.8115094107404</v>
      </c>
      <c r="M77" s="6">
        <f>'Results - raw data ReCiPe (H)'!BN68</f>
        <v>115.5173498619511</v>
      </c>
      <c r="N77" s="6">
        <f>'Results - raw data ReCiPe (H)'!BO68</f>
        <v>115.22430296168601</v>
      </c>
      <c r="O77" s="6">
        <f>'Results - raw data ReCiPe (H)'!BP68</f>
        <v>114.7936526068347</v>
      </c>
      <c r="P77" s="6">
        <f>'Results - raw data ReCiPe (H)'!BQ68</f>
        <v>114.5052775721217</v>
      </c>
      <c r="Q77" s="6">
        <f>'Results - raw data ReCiPe (H)'!BR68</f>
        <v>114.21787004973891</v>
      </c>
      <c r="R77" s="6">
        <f>'Results - raw data ReCiPe (H)'!BS68</f>
        <v>113.9841517876385</v>
      </c>
      <c r="S77" s="6">
        <f>'Results - raw data ReCiPe (H)'!BT68</f>
        <v>113.7508966638362</v>
      </c>
      <c r="T77" s="6">
        <f>'Results - raw data ReCiPe (H)'!BU68</f>
        <v>113.3881732416237</v>
      </c>
      <c r="U77" s="6">
        <f>'Results - raw data ReCiPe (H)'!BV68</f>
        <v>113.15789542976781</v>
      </c>
      <c r="V77" s="6">
        <f>'Results - raw data ReCiPe (H)'!BW68</f>
        <v>112.9279936934194</v>
      </c>
      <c r="W77" s="6">
        <f>'Results - raw data ReCiPe (H)'!BX68</f>
        <v>112.8508899058024</v>
      </c>
      <c r="X77" s="6">
        <f>'Results - raw data ReCiPe (H)'!BY68</f>
        <v>112.7745546080785</v>
      </c>
      <c r="Y77" s="6">
        <f>'Results - raw data ReCiPe (H)'!BZ68</f>
        <v>112.6987835438154</v>
      </c>
      <c r="Z77" s="6">
        <f>'Results - raw data ReCiPe (H)'!CA68</f>
        <v>112.6235531268987</v>
      </c>
    </row>
    <row r="78" spans="1:54" outlineLevel="1" x14ac:dyDescent="0.35">
      <c r="A78" s="6" t="s">
        <v>758</v>
      </c>
      <c r="B78" s="6">
        <f>'Results - raw data ReCiPe (H)'!BC173*$AC$47</f>
        <v>200.64428013390173</v>
      </c>
      <c r="C78" s="6">
        <f>'Results - raw data ReCiPe (H)'!BD173*$AC$47</f>
        <v>198.88987102701171</v>
      </c>
      <c r="D78" s="6">
        <f>'Results - raw data ReCiPe (H)'!BE173*$AC$47</f>
        <v>197.14183434126971</v>
      </c>
      <c r="E78" s="6">
        <f>'Results - raw data ReCiPe (H)'!BF173*$AC$47</f>
        <v>194.9959183591115</v>
      </c>
      <c r="F78" s="6">
        <f>'Results - raw data ReCiPe (H)'!BG173*$AC$47</f>
        <v>193.2624144529706</v>
      </c>
      <c r="G78" s="6">
        <f>'Results - raw data ReCiPe (H)'!BH173*$AC$47</f>
        <v>191.53490018423719</v>
      </c>
      <c r="H78" s="6">
        <f>'Results - raw data ReCiPe (H)'!BI173*$AC$47</f>
        <v>190.9975749317953</v>
      </c>
      <c r="I78" s="6">
        <f>'Results - raw data ReCiPe (H)'!BJ173*$AC$47</f>
        <v>190.4517415185353</v>
      </c>
      <c r="J78" s="6">
        <f>'Results - raw data ReCiPe (H)'!BK173*$AC$47</f>
        <v>189.55284221781989</v>
      </c>
      <c r="K78" s="6">
        <f>'Results - raw data ReCiPe (H)'!BL173*$AC$47</f>
        <v>188.9767026724202</v>
      </c>
      <c r="L78" s="6">
        <f>'Results - raw data ReCiPe (H)'!BM173*$AC$47</f>
        <v>188.38664248840891</v>
      </c>
      <c r="M78" s="6">
        <f>'Results - raw data ReCiPe (H)'!BN173*$AC$47</f>
        <v>187.22532996797722</v>
      </c>
      <c r="N78" s="6">
        <f>'Results - raw data ReCiPe (H)'!BO173*$AC$47</f>
        <v>186.04470531712519</v>
      </c>
      <c r="O78" s="6">
        <f>'Results - raw data ReCiPe (H)'!BP173*$AC$47</f>
        <v>184.7625314071924</v>
      </c>
      <c r="P78" s="6">
        <f>'Results - raw data ReCiPe (H)'!BQ173*$AC$47</f>
        <v>183.54449771318281</v>
      </c>
      <c r="Q78" s="6">
        <f>'Results - raw data ReCiPe (H)'!BR173*$AC$47</f>
        <v>182.30739946394971</v>
      </c>
      <c r="R78" s="6">
        <f>'Results - raw data ReCiPe (H)'!BS173*$AC$47</f>
        <v>183.5566604619637</v>
      </c>
      <c r="S78" s="6">
        <f>'Results - raw data ReCiPe (H)'!BT173*$AC$47</f>
        <v>184.79229458687769</v>
      </c>
      <c r="T78" s="6">
        <f>'Results - raw data ReCiPe (H)'!BU173*$AC$47</f>
        <v>185.9338856299583</v>
      </c>
      <c r="U78" s="6">
        <f>'Results - raw data ReCiPe (H)'!BV173*$AC$47</f>
        <v>187.14268841019211</v>
      </c>
      <c r="V78" s="6">
        <f>'Results - raw data ReCiPe (H)'!BW173*$AC$47</f>
        <v>188.3380573783914</v>
      </c>
      <c r="W78" s="6">
        <f>'Results - raw data ReCiPe (H)'!BX173*$AC$47</f>
        <v>186.4779317854391</v>
      </c>
      <c r="X78" s="6">
        <f>'Results - raw data ReCiPe (H)'!BY173*$AC$47</f>
        <v>184.62669982481441</v>
      </c>
      <c r="Y78" s="6">
        <f>'Results - raw data ReCiPe (H)'!BZ173*$AC$47</f>
        <v>182.77386974818862</v>
      </c>
      <c r="Z78" s="6">
        <f>'Results - raw data ReCiPe (H)'!CA173*$AC$47</f>
        <v>180.91913840904829</v>
      </c>
    </row>
    <row r="79" spans="1:54" outlineLevel="1" x14ac:dyDescent="0.35">
      <c r="A79" s="6" t="s">
        <v>759</v>
      </c>
      <c r="B79" s="6">
        <f>'Results - raw data ReCiPe (H)'!BC70</f>
        <v>0</v>
      </c>
      <c r="C79" s="6">
        <f>'Results - raw data ReCiPe (H)'!BD70</f>
        <v>0</v>
      </c>
      <c r="D79" s="6">
        <f>'Results - raw data ReCiPe (H)'!BE70</f>
        <v>0</v>
      </c>
      <c r="E79" s="6">
        <f>'Results - raw data ReCiPe (H)'!BF70</f>
        <v>0</v>
      </c>
      <c r="F79" s="6">
        <f>'Results - raw data ReCiPe (H)'!BG70</f>
        <v>0</v>
      </c>
      <c r="G79" s="6">
        <f>'Results - raw data ReCiPe (H)'!BH70</f>
        <v>0</v>
      </c>
      <c r="H79" s="6">
        <f>'Results - raw data ReCiPe (H)'!BI70</f>
        <v>0</v>
      </c>
      <c r="I79" s="6">
        <f>'Results - raw data ReCiPe (H)'!BJ70</f>
        <v>0</v>
      </c>
      <c r="J79" s="6">
        <f>'Results - raw data ReCiPe (H)'!BK70</f>
        <v>0</v>
      </c>
      <c r="K79" s="6">
        <f>'Results - raw data ReCiPe (H)'!BL70</f>
        <v>0</v>
      </c>
      <c r="L79" s="6">
        <f>'Results - raw data ReCiPe (H)'!BM70</f>
        <v>0</v>
      </c>
      <c r="M79" s="6">
        <f>'Results - raw data ReCiPe (H)'!BN70</f>
        <v>0</v>
      </c>
      <c r="N79" s="6">
        <f>'Results - raw data ReCiPe (H)'!BO70</f>
        <v>0</v>
      </c>
      <c r="O79" s="6">
        <f>'Results - raw data ReCiPe (H)'!BP70</f>
        <v>0</v>
      </c>
      <c r="P79" s="6">
        <f>'Results - raw data ReCiPe (H)'!BQ70</f>
        <v>0</v>
      </c>
      <c r="Q79" s="6">
        <f>'Results - raw data ReCiPe (H)'!BR70</f>
        <v>0</v>
      </c>
      <c r="R79" s="6">
        <f>'Results - raw data ReCiPe (H)'!BS70</f>
        <v>0</v>
      </c>
      <c r="S79" s="6">
        <f>'Results - raw data ReCiPe (H)'!BT70</f>
        <v>0</v>
      </c>
      <c r="T79" s="6">
        <f>'Results - raw data ReCiPe (H)'!BU70</f>
        <v>0</v>
      </c>
      <c r="U79" s="6">
        <f>'Results - raw data ReCiPe (H)'!BV70</f>
        <v>0</v>
      </c>
      <c r="V79" s="6">
        <f>'Results - raw data ReCiPe (H)'!BW70</f>
        <v>0</v>
      </c>
      <c r="W79" s="6">
        <f>'Results - raw data ReCiPe (H)'!BX70</f>
        <v>0</v>
      </c>
      <c r="X79" s="6">
        <f>'Results - raw data ReCiPe (H)'!BY70</f>
        <v>0</v>
      </c>
      <c r="Y79" s="6">
        <f>'Results - raw data ReCiPe (H)'!BZ70</f>
        <v>0</v>
      </c>
      <c r="Z79" s="6">
        <f>'Results - raw data ReCiPe (H)'!CA70</f>
        <v>0</v>
      </c>
    </row>
    <row r="80" spans="1:54" outlineLevel="1" x14ac:dyDescent="0.35">
      <c r="A80" s="6" t="s">
        <v>760</v>
      </c>
      <c r="B80" s="6">
        <f>'Results - raw data ReCiPe (H)'!BC71</f>
        <v>2397.063593199709</v>
      </c>
      <c r="C80" s="6">
        <f>'Results - raw data ReCiPe (H)'!BD71</f>
        <v>2379.6134774011311</v>
      </c>
      <c r="D80" s="6">
        <f>'Results - raw data ReCiPe (H)'!BE71</f>
        <v>2362.188629716703</v>
      </c>
      <c r="E80" s="6">
        <f>'Results - raw data ReCiPe (H)'!BF71</f>
        <v>2340.3044915874762</v>
      </c>
      <c r="F80" s="6">
        <f>'Results - raw data ReCiPe (H)'!BG71</f>
        <v>2322.9440845460231</v>
      </c>
      <c r="G80" s="6">
        <f>'Results - raw data ReCiPe (H)'!BH71</f>
        <v>2305.605553690335</v>
      </c>
      <c r="H80" s="6">
        <f>'Results - raw data ReCiPe (H)'!BI71</f>
        <v>2300.808644434393</v>
      </c>
      <c r="I80" s="6">
        <f>'Results - raw data ReCiPe (H)'!BJ71</f>
        <v>2295.8854356329139</v>
      </c>
      <c r="J80" s="6">
        <f>'Results - raw data ReCiPe (H)'!BK71</f>
        <v>2286.8703410958919</v>
      </c>
      <c r="K80" s="6">
        <f>'Results - raw data ReCiPe (H)'!BL71</f>
        <v>2281.515543203242</v>
      </c>
      <c r="L80" s="6">
        <f>'Results - raw data ReCiPe (H)'!BM71</f>
        <v>2275.968512933965</v>
      </c>
      <c r="M80" s="6">
        <f>'Results - raw data ReCiPe (H)'!BN71</f>
        <v>2261.0406552066361</v>
      </c>
      <c r="N80" s="6">
        <f>'Results - raw data ReCiPe (H)'!BO71</f>
        <v>2245.842790154612</v>
      </c>
      <c r="O80" s="6">
        <f>'Results - raw data ReCiPe (H)'!BP71</f>
        <v>2229.4525728716731</v>
      </c>
      <c r="P80" s="6">
        <f>'Results - raw data ReCiPe (H)'!BQ71</f>
        <v>2213.7291686234798</v>
      </c>
      <c r="Q80" s="6">
        <f>'Results - raw data ReCiPe (H)'!BR71</f>
        <v>2197.7407664790348</v>
      </c>
      <c r="R80" s="6">
        <f>'Results - raw data ReCiPe (H)'!BS71</f>
        <v>2211.2953173476822</v>
      </c>
      <c r="S80" s="6">
        <f>'Results - raw data ReCiPe (H)'!BT71</f>
        <v>2224.5851349859472</v>
      </c>
      <c r="T80" s="6">
        <f>'Results - raw data ReCiPe (H)'!BU71</f>
        <v>2236.7044559808719</v>
      </c>
      <c r="U80" s="6">
        <f>'Results - raw data ReCiPe (H)'!BV71</f>
        <v>2249.4766981934999</v>
      </c>
      <c r="V80" s="6">
        <f>'Results - raw data ReCiPe (H)'!BW71</f>
        <v>2261.9944338859809</v>
      </c>
      <c r="W80" s="6">
        <f>'Results - raw data ReCiPe (H)'!BX71</f>
        <v>2240.5891057678832</v>
      </c>
      <c r="X80" s="6">
        <f>'Results - raw data ReCiPe (H)'!BY71</f>
        <v>2219.186363062181</v>
      </c>
      <c r="Y80" s="6">
        <f>'Results - raw data ReCiPe (H)'!BZ71</f>
        <v>2197.694707669616</v>
      </c>
      <c r="Z80" s="6">
        <f>'Results - raw data ReCiPe (H)'!CA71</f>
        <v>2176.1108391783118</v>
      </c>
    </row>
    <row r="81" spans="1:53" outlineLevel="1" x14ac:dyDescent="0.35">
      <c r="A81" s="23" t="s">
        <v>125</v>
      </c>
      <c r="B81" s="17">
        <f t="shared" ref="B81:Z81" si="9">SUM(B50:B80)</f>
        <v>5819.6207688529248</v>
      </c>
      <c r="C81" s="17">
        <f t="shared" si="9"/>
        <v>2695.7278541008664</v>
      </c>
      <c r="D81" s="17">
        <f t="shared" si="9"/>
        <v>2676.3607516473712</v>
      </c>
      <c r="E81" s="17">
        <f t="shared" si="9"/>
        <v>2651.4452339960176</v>
      </c>
      <c r="F81" s="17">
        <f t="shared" si="9"/>
        <v>2632.1550510504867</v>
      </c>
      <c r="G81" s="17">
        <f t="shared" si="9"/>
        <v>2612.8902117309367</v>
      </c>
      <c r="H81" s="17">
        <f t="shared" si="9"/>
        <v>2607.6605339788803</v>
      </c>
      <c r="I81" s="17">
        <f t="shared" si="9"/>
        <v>2602.2958553156373</v>
      </c>
      <c r="J81" s="17">
        <f t="shared" si="9"/>
        <v>2592.0219525429657</v>
      </c>
      <c r="K81" s="17">
        <f t="shared" si="9"/>
        <v>2586.1982726895499</v>
      </c>
      <c r="L81" s="17">
        <f t="shared" si="9"/>
        <v>2580.1666648331143</v>
      </c>
      <c r="M81" s="17">
        <f t="shared" si="9"/>
        <v>2563.7833350365645</v>
      </c>
      <c r="N81" s="17">
        <f t="shared" si="9"/>
        <v>2547.1117984334232</v>
      </c>
      <c r="O81" s="17">
        <f t="shared" si="9"/>
        <v>2529.0087568857002</v>
      </c>
      <c r="P81" s="17">
        <f t="shared" si="9"/>
        <v>2511.7789439087842</v>
      </c>
      <c r="Q81" s="17">
        <f t="shared" si="9"/>
        <v>2494.2660359927236</v>
      </c>
      <c r="R81" s="17">
        <f t="shared" si="9"/>
        <v>2508.8361295972845</v>
      </c>
      <c r="S81" s="17">
        <f t="shared" si="9"/>
        <v>2523.128326236661</v>
      </c>
      <c r="T81" s="17">
        <f t="shared" si="9"/>
        <v>2536.0265148524541</v>
      </c>
      <c r="U81" s="17">
        <f t="shared" si="9"/>
        <v>2549.7772820334599</v>
      </c>
      <c r="V81" s="17">
        <f t="shared" si="9"/>
        <v>2563.260484957792</v>
      </c>
      <c r="W81" s="17">
        <f t="shared" si="9"/>
        <v>2539.9179274591247</v>
      </c>
      <c r="X81" s="17">
        <f t="shared" si="9"/>
        <v>2516.587617495074</v>
      </c>
      <c r="Y81" s="17">
        <f t="shared" si="9"/>
        <v>2493.16736096162</v>
      </c>
      <c r="Z81" s="17">
        <f t="shared" si="9"/>
        <v>2512.7439424568511</v>
      </c>
    </row>
    <row r="82" spans="1:53" outlineLevel="1" x14ac:dyDescent="0.35"/>
    <row r="83" spans="1:53" s="18" customFormat="1" ht="21" x14ac:dyDescent="0.5">
      <c r="A83" s="18" t="s">
        <v>94</v>
      </c>
    </row>
    <row r="84" spans="1:53" s="20" customFormat="1" outlineLevel="1" x14ac:dyDescent="0.35">
      <c r="A84" s="19" t="s">
        <v>767</v>
      </c>
    </row>
    <row r="85" spans="1:53" s="16" customFormat="1" outlineLevel="1" x14ac:dyDescent="0.35">
      <c r="A85" s="21"/>
      <c r="AE85" s="15"/>
    </row>
    <row r="86" spans="1:53" s="16" customFormat="1" outlineLevel="1" x14ac:dyDescent="0.35">
      <c r="A86" s="22" t="s">
        <v>761</v>
      </c>
    </row>
    <row r="87" spans="1:53" s="16" customFormat="1" outlineLevel="1" x14ac:dyDescent="0.35">
      <c r="A87" s="22"/>
      <c r="AB87" s="16" t="s">
        <v>127</v>
      </c>
      <c r="AC87" s="16">
        <v>100</v>
      </c>
      <c r="AD87" s="16" t="s">
        <v>128</v>
      </c>
    </row>
    <row r="88" spans="1:53" s="16" customFormat="1" outlineLevel="1" x14ac:dyDescent="0.35">
      <c r="A88" s="22"/>
      <c r="AB88" s="16" t="s">
        <v>129</v>
      </c>
      <c r="AC88" s="16">
        <v>25</v>
      </c>
      <c r="AD88" s="16" t="s">
        <v>130</v>
      </c>
    </row>
    <row r="89" spans="1:53" outlineLevel="1" x14ac:dyDescent="0.35">
      <c r="B89" s="25">
        <v>2030</v>
      </c>
      <c r="C89" s="25">
        <v>2031</v>
      </c>
      <c r="D89" s="25">
        <v>2032</v>
      </c>
      <c r="E89" s="25">
        <v>2033</v>
      </c>
      <c r="F89" s="25">
        <v>2034</v>
      </c>
      <c r="G89" s="25">
        <v>2035</v>
      </c>
      <c r="H89" s="25">
        <v>2036</v>
      </c>
      <c r="I89" s="25">
        <v>2037</v>
      </c>
      <c r="J89" s="25">
        <v>2038</v>
      </c>
      <c r="K89" s="25">
        <v>2039</v>
      </c>
      <c r="L89" s="25">
        <v>2040</v>
      </c>
      <c r="M89" s="25">
        <v>2041</v>
      </c>
      <c r="N89" s="25">
        <v>2042</v>
      </c>
      <c r="O89" s="25">
        <v>2043</v>
      </c>
      <c r="P89" s="25">
        <v>2044</v>
      </c>
      <c r="Q89" s="25">
        <v>2045</v>
      </c>
      <c r="R89" s="25">
        <v>2046</v>
      </c>
      <c r="S89" s="25">
        <v>2047</v>
      </c>
      <c r="T89" s="25">
        <v>2048</v>
      </c>
      <c r="U89" s="25">
        <v>2049</v>
      </c>
      <c r="V89" s="25">
        <v>2050</v>
      </c>
      <c r="W89" s="25">
        <v>2051</v>
      </c>
      <c r="X89" s="25">
        <v>2052</v>
      </c>
      <c r="Y89" s="25">
        <v>2053</v>
      </c>
      <c r="Z89" s="25">
        <v>2054</v>
      </c>
      <c r="AC89" s="25">
        <v>2030</v>
      </c>
      <c r="AD89" s="25">
        <v>2031</v>
      </c>
      <c r="AE89" s="25">
        <v>2032</v>
      </c>
      <c r="AF89" s="25">
        <v>2033</v>
      </c>
      <c r="AG89" s="25">
        <v>2034</v>
      </c>
      <c r="AH89" s="25">
        <v>2035</v>
      </c>
      <c r="AI89" s="25">
        <v>2036</v>
      </c>
      <c r="AJ89" s="25">
        <v>2037</v>
      </c>
      <c r="AK89" s="25">
        <v>2038</v>
      </c>
      <c r="AL89" s="25">
        <v>2039</v>
      </c>
      <c r="AM89" s="25">
        <v>2040</v>
      </c>
      <c r="AN89" s="25">
        <v>2041</v>
      </c>
      <c r="AO89" s="25">
        <v>2042</v>
      </c>
      <c r="AP89" s="25">
        <v>2043</v>
      </c>
      <c r="AQ89" s="25">
        <v>2044</v>
      </c>
      <c r="AR89" s="25">
        <v>2045</v>
      </c>
      <c r="AS89" s="25">
        <v>2046</v>
      </c>
      <c r="AT89" s="25">
        <v>2047</v>
      </c>
      <c r="AU89" s="25">
        <v>2048</v>
      </c>
      <c r="AV89" s="25">
        <v>2049</v>
      </c>
      <c r="AW89" s="25">
        <v>2050</v>
      </c>
      <c r="AX89" s="25">
        <v>2051</v>
      </c>
      <c r="AY89" s="25">
        <v>2052</v>
      </c>
      <c r="AZ89" s="25">
        <v>2053</v>
      </c>
      <c r="BA89" s="25">
        <v>2054</v>
      </c>
    </row>
    <row r="90" spans="1:53" outlineLevel="1" x14ac:dyDescent="0.35">
      <c r="A90" s="6" t="s">
        <v>21</v>
      </c>
      <c r="B90" s="6">
        <f>'Results - raw data ReCiPe (H)'!BC77</f>
        <v>71.38267553879804</v>
      </c>
      <c r="AB90" s="6" t="s">
        <v>117</v>
      </c>
      <c r="AC90" s="6">
        <f>SUM(B90:B101)+B103</f>
        <v>2681.9296561792253</v>
      </c>
    </row>
    <row r="91" spans="1:53" outlineLevel="1" x14ac:dyDescent="0.35">
      <c r="A91" s="6" t="s">
        <v>23</v>
      </c>
      <c r="B91" s="6">
        <f>'Results - raw data ReCiPe (H)'!BC78</f>
        <v>309.39379081190958</v>
      </c>
      <c r="AB91" s="6" t="s">
        <v>118</v>
      </c>
      <c r="AC91" s="6">
        <f>B102</f>
        <v>258.88808240632699</v>
      </c>
    </row>
    <row r="92" spans="1:53" outlineLevel="1" x14ac:dyDescent="0.35">
      <c r="A92" s="6" t="s">
        <v>26</v>
      </c>
      <c r="B92" s="6">
        <f>'Results - raw data ReCiPe (H)'!BC79</f>
        <v>304.2681794288975</v>
      </c>
      <c r="AB92" s="6" t="s">
        <v>119</v>
      </c>
      <c r="BA92" s="6">
        <f>SUM(Z104:Z115)</f>
        <v>38.789621318581062</v>
      </c>
    </row>
    <row r="93" spans="1:53" outlineLevel="1" x14ac:dyDescent="0.35">
      <c r="A93" s="6" t="s">
        <v>28</v>
      </c>
      <c r="B93" s="6">
        <f>'Results - raw data ReCiPe (H)'!BC80</f>
        <v>232.33757803762921</v>
      </c>
      <c r="AB93" s="6" t="s">
        <v>120</v>
      </c>
      <c r="BA93" s="6">
        <f>Z116</f>
        <v>1.2288061080708204</v>
      </c>
    </row>
    <row r="94" spans="1:53" outlineLevel="1" x14ac:dyDescent="0.35">
      <c r="A94" s="6" t="s">
        <v>29</v>
      </c>
      <c r="B94" s="6">
        <f>'Results - raw data ReCiPe (H)'!BC81</f>
        <v>112.28629490364889</v>
      </c>
      <c r="AB94" s="6" t="s">
        <v>121</v>
      </c>
      <c r="AC94" s="6">
        <f>B117</f>
        <v>114.06781731957111</v>
      </c>
      <c r="AF94" s="6">
        <f>E117</f>
        <v>112.3911675049322</v>
      </c>
      <c r="AI94" s="6">
        <f>H117</f>
        <v>112.2010947204887</v>
      </c>
      <c r="AL94" s="6">
        <f>K117</f>
        <v>113.21958271568749</v>
      </c>
      <c r="AO94" s="6">
        <f>N117</f>
        <v>113.61473943331841</v>
      </c>
      <c r="AR94" s="6">
        <f>Q117</f>
        <v>113.3787859326078</v>
      </c>
      <c r="AU94" s="6">
        <f>T117</f>
        <v>112.2791950057142</v>
      </c>
      <c r="AX94" s="6">
        <f>W117</f>
        <v>111.5739444092645</v>
      </c>
      <c r="BA94" s="6">
        <f>Z117</f>
        <v>111.3824079888096</v>
      </c>
    </row>
    <row r="95" spans="1:53" outlineLevel="1" x14ac:dyDescent="0.35">
      <c r="A95" s="6" t="s">
        <v>31</v>
      </c>
      <c r="B95" s="6">
        <f>'Results - raw data ReCiPe (H)'!BC82</f>
        <v>81.434527823734626</v>
      </c>
      <c r="AB95" s="6" t="s">
        <v>122</v>
      </c>
      <c r="AC95" s="6">
        <f>B120+B119</f>
        <v>1455.687748477927</v>
      </c>
      <c r="AD95" s="6">
        <f t="shared" ref="AD95:BA95" si="10">C120+C119</f>
        <v>1339.645737547816</v>
      </c>
      <c r="AE95" s="6">
        <f t="shared" si="10"/>
        <v>1222.675011660074</v>
      </c>
      <c r="AF95" s="6">
        <f t="shared" si="10"/>
        <v>1099.534974399809</v>
      </c>
      <c r="AG95" s="6">
        <f t="shared" si="10"/>
        <v>980.47081032114079</v>
      </c>
      <c r="AH95" s="6">
        <f t="shared" si="10"/>
        <v>860.4793665866838</v>
      </c>
      <c r="AI95" s="6">
        <f t="shared" si="10"/>
        <v>1005.289588531566</v>
      </c>
      <c r="AJ95" s="6">
        <f t="shared" si="10"/>
        <v>1149.7418175598309</v>
      </c>
      <c r="AK95" s="6">
        <f t="shared" si="10"/>
        <v>1288.456695966383</v>
      </c>
      <c r="AL95" s="6">
        <f t="shared" si="10"/>
        <v>1431.999072853238</v>
      </c>
      <c r="AM95" s="6">
        <f t="shared" si="10"/>
        <v>1575.21075673582</v>
      </c>
      <c r="AN95" s="6">
        <f t="shared" si="10"/>
        <v>1753.703160579762</v>
      </c>
      <c r="AO95" s="6">
        <f t="shared" si="10"/>
        <v>1931.6196135305711</v>
      </c>
      <c r="AP95" s="6">
        <f t="shared" si="10"/>
        <v>2107.76787666581</v>
      </c>
      <c r="AQ95" s="6">
        <f t="shared" si="10"/>
        <v>2284.5657414806878</v>
      </c>
      <c r="AR95" s="6">
        <f t="shared" si="10"/>
        <v>2460.785537350293</v>
      </c>
      <c r="AS95" s="6">
        <f t="shared" si="10"/>
        <v>2396.8942909969978</v>
      </c>
      <c r="AT95" s="6">
        <f t="shared" si="10"/>
        <v>2333.3347117691819</v>
      </c>
      <c r="AU95" s="6">
        <f t="shared" si="10"/>
        <v>2269.02736425892</v>
      </c>
      <c r="AV95" s="6">
        <f t="shared" si="10"/>
        <v>2206.1493943655678</v>
      </c>
      <c r="AW95" s="6">
        <f t="shared" si="10"/>
        <v>2143.5839547228379</v>
      </c>
      <c r="AX95" s="6">
        <f t="shared" si="10"/>
        <v>2144.336140023961</v>
      </c>
      <c r="AY95" s="6">
        <f t="shared" si="10"/>
        <v>2145.1607906176441</v>
      </c>
      <c r="AZ95" s="6">
        <f t="shared" si="10"/>
        <v>2145.969509880611</v>
      </c>
      <c r="BA95" s="6">
        <f t="shared" si="10"/>
        <v>2146.7604743306729</v>
      </c>
    </row>
    <row r="96" spans="1:53" outlineLevel="1" x14ac:dyDescent="0.35">
      <c r="A96" s="6" t="s">
        <v>34</v>
      </c>
      <c r="B96" s="6">
        <f>'Results - raw data ReCiPe (H)'!BC83</f>
        <v>53.72069534285378</v>
      </c>
      <c r="AB96" s="6" t="s">
        <v>123</v>
      </c>
      <c r="AC96" s="6">
        <f t="shared" ref="AC96:BA96" si="11">B118</f>
        <v>128.68401908039701</v>
      </c>
      <c r="AD96" s="6">
        <f t="shared" si="11"/>
        <v>119.5221661741754</v>
      </c>
      <c r="AE96" s="6">
        <f t="shared" si="11"/>
        <v>110.35343288106161</v>
      </c>
      <c r="AF96" s="6">
        <f t="shared" si="11"/>
        <v>100.7215182281773</v>
      </c>
      <c r="AG96" s="6">
        <f t="shared" si="11"/>
        <v>91.524926758190233</v>
      </c>
      <c r="AH96" s="6">
        <f t="shared" si="11"/>
        <v>82.32383877996152</v>
      </c>
      <c r="AI96" s="6">
        <f t="shared" si="11"/>
        <v>93.038612238311615</v>
      </c>
      <c r="AJ96" s="6">
        <f t="shared" si="11"/>
        <v>103.67938855423571</v>
      </c>
      <c r="AK96" s="6">
        <f t="shared" si="11"/>
        <v>113.8024674145238</v>
      </c>
      <c r="AL96" s="6">
        <f t="shared" si="11"/>
        <v>124.2828023219223</v>
      </c>
      <c r="AM96" s="6">
        <f t="shared" si="11"/>
        <v>134.6917389739364</v>
      </c>
      <c r="AN96" s="6">
        <f t="shared" si="11"/>
        <v>147.88730688274839</v>
      </c>
      <c r="AO96" s="6">
        <f t="shared" si="11"/>
        <v>161.0628829723077</v>
      </c>
      <c r="AP96" s="6">
        <f t="shared" si="11"/>
        <v>174.1174858065788</v>
      </c>
      <c r="AQ96" s="6">
        <f t="shared" si="11"/>
        <v>187.25531929984768</v>
      </c>
      <c r="AR96" s="6">
        <f t="shared" si="11"/>
        <v>200.37255741549239</v>
      </c>
      <c r="AS96" s="6">
        <f t="shared" si="11"/>
        <v>196.32347547824619</v>
      </c>
      <c r="AT96" s="6">
        <f t="shared" si="11"/>
        <v>192.25719066101561</v>
      </c>
      <c r="AU96" s="6">
        <f t="shared" si="11"/>
        <v>188.08141295488582</v>
      </c>
      <c r="AV96" s="6">
        <f t="shared" si="11"/>
        <v>183.98266935640538</v>
      </c>
      <c r="AW96" s="6">
        <f t="shared" si="11"/>
        <v>179.86585576332291</v>
      </c>
      <c r="AX96" s="6">
        <f t="shared" si="11"/>
        <v>179.70009713751529</v>
      </c>
      <c r="AY96" s="6">
        <f t="shared" si="11"/>
        <v>179.54299604813738</v>
      </c>
      <c r="AZ96" s="6">
        <f t="shared" si="11"/>
        <v>179.3844806004744</v>
      </c>
      <c r="BA96" s="6">
        <f t="shared" si="11"/>
        <v>179.22434128810602</v>
      </c>
    </row>
    <row r="97" spans="1:53" outlineLevel="1" x14ac:dyDescent="0.35">
      <c r="A97" s="6" t="s">
        <v>36</v>
      </c>
      <c r="B97" s="6">
        <f>'Results - raw data ReCiPe (H)'!BC84</f>
        <v>56.4741510532414</v>
      </c>
      <c r="AB97" s="6" t="s">
        <v>124</v>
      </c>
      <c r="AC97" s="6">
        <f>-$AC$7*$AC$6</f>
        <v>0</v>
      </c>
      <c r="AD97" s="6">
        <f t="shared" ref="AD97:BA97" si="12">-$AC$7*$AC$6</f>
        <v>0</v>
      </c>
      <c r="AE97" s="6">
        <f t="shared" si="12"/>
        <v>0</v>
      </c>
      <c r="AF97" s="6">
        <f t="shared" si="12"/>
        <v>0</v>
      </c>
      <c r="AG97" s="6">
        <f t="shared" si="12"/>
        <v>0</v>
      </c>
      <c r="AH97" s="6">
        <f t="shared" si="12"/>
        <v>0</v>
      </c>
      <c r="AI97" s="6">
        <f t="shared" si="12"/>
        <v>0</v>
      </c>
      <c r="AJ97" s="6">
        <f t="shared" si="12"/>
        <v>0</v>
      </c>
      <c r="AK97" s="6">
        <f t="shared" si="12"/>
        <v>0</v>
      </c>
      <c r="AL97" s="6">
        <f t="shared" si="12"/>
        <v>0</v>
      </c>
      <c r="AM97" s="6">
        <f t="shared" si="12"/>
        <v>0</v>
      </c>
      <c r="AN97" s="6">
        <f t="shared" si="12"/>
        <v>0</v>
      </c>
      <c r="AO97" s="6">
        <f t="shared" si="12"/>
        <v>0</v>
      </c>
      <c r="AP97" s="6">
        <f t="shared" si="12"/>
        <v>0</v>
      </c>
      <c r="AQ97" s="6">
        <f t="shared" si="12"/>
        <v>0</v>
      </c>
      <c r="AR97" s="6">
        <f t="shared" si="12"/>
        <v>0</v>
      </c>
      <c r="AS97" s="6">
        <f t="shared" si="12"/>
        <v>0</v>
      </c>
      <c r="AT97" s="6">
        <f t="shared" si="12"/>
        <v>0</v>
      </c>
      <c r="AU97" s="6">
        <f t="shared" si="12"/>
        <v>0</v>
      </c>
      <c r="AV97" s="6">
        <f t="shared" si="12"/>
        <v>0</v>
      </c>
      <c r="AW97" s="6">
        <f t="shared" si="12"/>
        <v>0</v>
      </c>
      <c r="AX97" s="6">
        <f t="shared" si="12"/>
        <v>0</v>
      </c>
      <c r="AY97" s="6">
        <f t="shared" si="12"/>
        <v>0</v>
      </c>
      <c r="AZ97" s="6">
        <f t="shared" si="12"/>
        <v>0</v>
      </c>
      <c r="BA97" s="6">
        <f t="shared" si="12"/>
        <v>0</v>
      </c>
    </row>
    <row r="98" spans="1:53" outlineLevel="1" x14ac:dyDescent="0.35">
      <c r="A98" s="6" t="s">
        <v>38</v>
      </c>
      <c r="B98" s="6">
        <f>'Results - raw data ReCiPe (H)'!BC85</f>
        <v>632.20465263923336</v>
      </c>
      <c r="AB98" s="23" t="s">
        <v>125</v>
      </c>
      <c r="AC98" s="17">
        <f t="shared" ref="AC98:BA98" si="13">SUM(AC90:AC97)</f>
        <v>4639.2573234634474</v>
      </c>
      <c r="AD98" s="17">
        <f t="shared" si="13"/>
        <v>1459.1679037219915</v>
      </c>
      <c r="AE98" s="17">
        <f t="shared" si="13"/>
        <v>1333.0284445411355</v>
      </c>
      <c r="AF98" s="17">
        <f t="shared" si="13"/>
        <v>1312.6476601329184</v>
      </c>
      <c r="AG98" s="17">
        <f t="shared" si="13"/>
        <v>1071.9957370793311</v>
      </c>
      <c r="AH98" s="17">
        <f t="shared" si="13"/>
        <v>942.80320536664533</v>
      </c>
      <c r="AI98" s="17">
        <f t="shared" si="13"/>
        <v>1210.5292954903662</v>
      </c>
      <c r="AJ98" s="17">
        <f t="shared" si="13"/>
        <v>1253.4212061140665</v>
      </c>
      <c r="AK98" s="17">
        <f t="shared" si="13"/>
        <v>1402.2591633809068</v>
      </c>
      <c r="AL98" s="17">
        <f t="shared" si="13"/>
        <v>1669.5014578908476</v>
      </c>
      <c r="AM98" s="17">
        <f t="shared" si="13"/>
        <v>1709.9024957097565</v>
      </c>
      <c r="AN98" s="17">
        <f t="shared" si="13"/>
        <v>1901.5904674625103</v>
      </c>
      <c r="AO98" s="17">
        <f t="shared" si="13"/>
        <v>2206.297235936197</v>
      </c>
      <c r="AP98" s="17">
        <f t="shared" si="13"/>
        <v>2281.8853624723888</v>
      </c>
      <c r="AQ98" s="17">
        <f t="shared" si="13"/>
        <v>2471.8210607805354</v>
      </c>
      <c r="AR98" s="17">
        <f t="shared" si="13"/>
        <v>2774.5368806983934</v>
      </c>
      <c r="AS98" s="17">
        <f t="shared" si="13"/>
        <v>2593.2177664752439</v>
      </c>
      <c r="AT98" s="17">
        <f t="shared" si="13"/>
        <v>2525.5919024301975</v>
      </c>
      <c r="AU98" s="17">
        <f t="shared" si="13"/>
        <v>2569.3879722195202</v>
      </c>
      <c r="AV98" s="17">
        <f t="shared" si="13"/>
        <v>2390.1320637219733</v>
      </c>
      <c r="AW98" s="17">
        <f t="shared" si="13"/>
        <v>2323.4498104861609</v>
      </c>
      <c r="AX98" s="17">
        <f t="shared" si="13"/>
        <v>2435.6101815707407</v>
      </c>
      <c r="AY98" s="17">
        <f t="shared" si="13"/>
        <v>2324.7037866657815</v>
      </c>
      <c r="AZ98" s="17">
        <f t="shared" si="13"/>
        <v>2325.3539904810855</v>
      </c>
      <c r="BA98" s="17">
        <f t="shared" si="13"/>
        <v>2477.3856510342407</v>
      </c>
    </row>
    <row r="99" spans="1:53" outlineLevel="1" x14ac:dyDescent="0.35">
      <c r="A99" s="6" t="s">
        <v>39</v>
      </c>
      <c r="B99" s="6">
        <f>'Results - raw data ReCiPe (H)'!BC86</f>
        <v>613.14460127904488</v>
      </c>
    </row>
    <row r="100" spans="1:53" outlineLevel="1" x14ac:dyDescent="0.35">
      <c r="A100" s="6" t="s">
        <v>41</v>
      </c>
      <c r="B100" s="6">
        <f>'Results - raw data ReCiPe (H)'!BC87</f>
        <v>53.80292885804797</v>
      </c>
      <c r="AB100" s="282"/>
      <c r="AC100" s="282"/>
      <c r="AD100" s="282"/>
      <c r="AE100" s="282"/>
      <c r="AF100" s="282"/>
      <c r="AG100" s="282"/>
      <c r="AH100" s="282"/>
      <c r="AI100" s="282"/>
      <c r="AJ100" s="282"/>
      <c r="AK100" s="282"/>
      <c r="AL100" s="282"/>
      <c r="AM100" s="282"/>
      <c r="AN100" s="282"/>
      <c r="AO100" s="282"/>
      <c r="AP100" s="282"/>
      <c r="AQ100" s="282"/>
      <c r="AR100" s="282"/>
      <c r="AS100" s="282"/>
      <c r="AT100" s="282"/>
      <c r="AU100" s="282"/>
      <c r="AV100" s="282"/>
      <c r="AW100" s="282"/>
      <c r="AX100" s="282"/>
      <c r="AY100" s="282"/>
      <c r="AZ100" s="282"/>
      <c r="BA100" s="282"/>
    </row>
    <row r="101" spans="1:53" outlineLevel="1" x14ac:dyDescent="0.35">
      <c r="A101" s="6" t="s">
        <v>43</v>
      </c>
      <c r="B101" s="6">
        <f>'Results - raw data ReCiPe (H)'!BC88</f>
        <v>70.811968393392803</v>
      </c>
      <c r="AB101" s="282"/>
      <c r="AC101" s="282"/>
      <c r="AD101" s="282"/>
      <c r="AE101" s="282"/>
      <c r="AF101" s="282"/>
      <c r="AG101" s="282"/>
      <c r="AH101" s="282"/>
      <c r="AI101" s="282"/>
      <c r="AJ101" s="282"/>
      <c r="AK101" s="282"/>
      <c r="AL101" s="282"/>
      <c r="AM101" s="282"/>
      <c r="AN101" s="282"/>
      <c r="AO101" s="282"/>
      <c r="AP101" s="282"/>
      <c r="AQ101" s="282"/>
      <c r="AR101" s="282"/>
      <c r="AS101" s="282"/>
      <c r="AT101" s="282"/>
      <c r="AU101" s="282"/>
      <c r="AV101" s="282"/>
      <c r="AW101" s="282"/>
      <c r="AX101" s="282"/>
      <c r="AY101" s="282"/>
      <c r="AZ101" s="282"/>
      <c r="BA101" s="282"/>
    </row>
    <row r="102" spans="1:53" outlineLevel="1" x14ac:dyDescent="0.35">
      <c r="A102" s="6" t="s">
        <v>44</v>
      </c>
      <c r="B102" s="6">
        <f>'Results - raw data ReCiPe (H)'!BC89*AC87*AC88</f>
        <v>258.88808240632699</v>
      </c>
      <c r="AB102" s="282"/>
      <c r="AC102" s="282"/>
      <c r="AD102" s="282"/>
      <c r="AE102" s="282"/>
      <c r="AF102" s="282"/>
      <c r="AG102" s="282"/>
      <c r="AH102" s="282"/>
      <c r="AI102" s="282"/>
      <c r="AJ102" s="282"/>
      <c r="AK102" s="282"/>
      <c r="AL102" s="282"/>
      <c r="AM102" s="282"/>
      <c r="AN102" s="282"/>
      <c r="AO102" s="282"/>
      <c r="AP102" s="282"/>
      <c r="AQ102" s="282"/>
      <c r="AR102" s="282"/>
      <c r="AS102" s="282"/>
      <c r="AT102" s="282"/>
      <c r="AU102" s="282"/>
      <c r="AV102" s="282"/>
      <c r="AW102" s="282"/>
      <c r="AX102" s="282"/>
      <c r="AY102" s="282"/>
      <c r="AZ102" s="282"/>
      <c r="BA102" s="282"/>
    </row>
    <row r="103" spans="1:53" outlineLevel="1" x14ac:dyDescent="0.35">
      <c r="A103" s="6" t="s">
        <v>757</v>
      </c>
      <c r="B103" s="6">
        <f>'Results - raw data ReCiPe (H)'!BC90*AC87*AC88</f>
        <v>90.667612068793431</v>
      </c>
      <c r="AB103" s="282"/>
      <c r="AC103" s="282"/>
      <c r="AD103" s="282"/>
      <c r="AE103" s="282"/>
      <c r="AF103" s="282"/>
      <c r="AG103" s="282"/>
      <c r="AH103" s="282"/>
      <c r="AI103" s="282"/>
      <c r="AJ103" s="282"/>
      <c r="AK103" s="282"/>
      <c r="AL103" s="282"/>
      <c r="AM103" s="282"/>
      <c r="AN103" s="282"/>
      <c r="AO103" s="282"/>
      <c r="AP103" s="282"/>
      <c r="AQ103" s="282"/>
      <c r="AR103" s="282"/>
      <c r="AS103" s="282"/>
      <c r="AT103" s="282"/>
      <c r="AU103" s="282"/>
      <c r="AV103" s="282"/>
      <c r="AW103" s="282"/>
      <c r="AX103" s="282"/>
      <c r="AY103" s="282"/>
      <c r="AZ103" s="282"/>
      <c r="BA103" s="282"/>
    </row>
    <row r="104" spans="1:53" outlineLevel="1" x14ac:dyDescent="0.35">
      <c r="A104" s="6" t="s">
        <v>22</v>
      </c>
      <c r="Z104" s="6">
        <f>'Results - raw data ReCiPe (H)'!CA91</f>
        <v>0.30634226930476899</v>
      </c>
      <c r="AB104" s="282"/>
      <c r="AC104" s="282"/>
      <c r="AD104" s="282"/>
      <c r="AE104" s="282"/>
      <c r="AF104" s="282"/>
      <c r="AG104" s="282"/>
      <c r="AH104" s="282"/>
      <c r="AI104" s="282"/>
      <c r="AJ104" s="282"/>
      <c r="AK104" s="282"/>
      <c r="AL104" s="282"/>
      <c r="AM104" s="282"/>
      <c r="AN104" s="282"/>
      <c r="AO104" s="282"/>
      <c r="AP104" s="282"/>
      <c r="AQ104" s="282"/>
      <c r="AR104" s="282"/>
      <c r="AS104" s="282"/>
      <c r="AT104" s="282"/>
      <c r="AU104" s="282"/>
      <c r="AV104" s="282"/>
      <c r="AW104" s="282"/>
      <c r="AX104" s="282"/>
      <c r="AY104" s="282"/>
      <c r="AZ104" s="282"/>
      <c r="BA104" s="282"/>
    </row>
    <row r="105" spans="1:53" outlineLevel="1" x14ac:dyDescent="0.35">
      <c r="A105" s="6" t="s">
        <v>24</v>
      </c>
      <c r="Z105" s="6">
        <f>'Results - raw data ReCiPe (H)'!CA92</f>
        <v>0.33987786273119752</v>
      </c>
      <c r="AB105" s="282"/>
      <c r="AC105" s="282"/>
      <c r="AD105" s="282"/>
      <c r="AE105" s="282"/>
      <c r="AF105" s="282"/>
      <c r="AG105" s="282"/>
      <c r="AH105" s="282"/>
      <c r="AI105" s="282"/>
      <c r="AJ105" s="282"/>
      <c r="AK105" s="282"/>
      <c r="AL105" s="282"/>
      <c r="AM105" s="282"/>
      <c r="AN105" s="282"/>
      <c r="AO105" s="282"/>
      <c r="AP105" s="282"/>
      <c r="AQ105" s="282"/>
      <c r="AR105" s="282"/>
      <c r="AS105" s="282"/>
      <c r="AT105" s="282"/>
      <c r="AU105" s="282"/>
      <c r="AV105" s="282"/>
      <c r="AW105" s="282"/>
      <c r="AX105" s="282"/>
      <c r="AY105" s="282"/>
      <c r="AZ105" s="282"/>
      <c r="BA105" s="282"/>
    </row>
    <row r="106" spans="1:53" outlineLevel="1" x14ac:dyDescent="0.35">
      <c r="A106" s="6" t="s">
        <v>25</v>
      </c>
      <c r="Z106" s="6">
        <f>'Results - raw data ReCiPe (H)'!CA93</f>
        <v>1.54613057891552</v>
      </c>
      <c r="AB106" s="282"/>
      <c r="AC106" s="282"/>
      <c r="AD106" s="282"/>
      <c r="AE106" s="282"/>
      <c r="AF106" s="282"/>
      <c r="AG106" s="282"/>
      <c r="AH106" s="282"/>
      <c r="AI106" s="282"/>
      <c r="AJ106" s="282"/>
      <c r="AK106" s="282"/>
      <c r="AL106" s="282"/>
      <c r="AM106" s="282"/>
      <c r="AN106" s="282"/>
      <c r="AO106" s="282"/>
      <c r="AP106" s="282"/>
      <c r="AQ106" s="282"/>
      <c r="AR106" s="282"/>
      <c r="AS106" s="282"/>
      <c r="AT106" s="282"/>
      <c r="AU106" s="282"/>
      <c r="AV106" s="282"/>
      <c r="AW106" s="282"/>
      <c r="AX106" s="282"/>
      <c r="AY106" s="282"/>
      <c r="AZ106" s="282"/>
      <c r="BA106" s="282"/>
    </row>
    <row r="107" spans="1:53" outlineLevel="1" x14ac:dyDescent="0.35">
      <c r="A107" s="6" t="s">
        <v>27</v>
      </c>
      <c r="Z107" s="6">
        <f>'Results - raw data ReCiPe (H)'!CA94</f>
        <v>0.94564416196411627</v>
      </c>
      <c r="AB107" s="282"/>
      <c r="AC107" s="282"/>
      <c r="AD107" s="282"/>
      <c r="AE107" s="282"/>
      <c r="AF107" s="282"/>
      <c r="AG107" s="282"/>
      <c r="AH107" s="282"/>
      <c r="AI107" s="282"/>
      <c r="AJ107" s="282"/>
      <c r="AK107" s="282"/>
      <c r="AL107" s="282"/>
      <c r="AM107" s="282"/>
      <c r="AN107" s="282"/>
      <c r="AO107" s="282"/>
      <c r="AP107" s="282"/>
      <c r="AQ107" s="282"/>
      <c r="AR107" s="282"/>
      <c r="AS107" s="282"/>
      <c r="AT107" s="282"/>
      <c r="AU107" s="282"/>
      <c r="AV107" s="282"/>
      <c r="AW107" s="282"/>
      <c r="AX107" s="282"/>
      <c r="AY107" s="282"/>
      <c r="AZ107" s="282"/>
      <c r="BA107" s="282"/>
    </row>
    <row r="108" spans="1:53" outlineLevel="1" x14ac:dyDescent="0.35">
      <c r="A108" s="6" t="s">
        <v>30</v>
      </c>
      <c r="Z108" s="6">
        <f>'Results - raw data ReCiPe (H)'!CA95</f>
        <v>0.37601872100948219</v>
      </c>
      <c r="AB108" s="282"/>
      <c r="AC108" s="282"/>
      <c r="AD108" s="282"/>
      <c r="AE108" s="282"/>
      <c r="AF108" s="282"/>
      <c r="AG108" s="282"/>
      <c r="AH108" s="282"/>
      <c r="AI108" s="282"/>
      <c r="AJ108" s="282"/>
      <c r="AK108" s="282"/>
      <c r="AL108" s="282"/>
      <c r="AM108" s="282"/>
      <c r="AN108" s="282"/>
      <c r="AO108" s="282"/>
      <c r="AP108" s="282"/>
      <c r="AQ108" s="282"/>
      <c r="AR108" s="282"/>
      <c r="AS108" s="282"/>
      <c r="AT108" s="282"/>
      <c r="AU108" s="282"/>
      <c r="AV108" s="282"/>
      <c r="AW108" s="282"/>
      <c r="AX108" s="282"/>
      <c r="AY108" s="282"/>
      <c r="AZ108" s="282"/>
      <c r="BA108" s="282"/>
    </row>
    <row r="109" spans="1:53" outlineLevel="1" x14ac:dyDescent="0.35">
      <c r="A109" s="6" t="s">
        <v>32</v>
      </c>
      <c r="Z109" s="6">
        <f>'Results - raw data ReCiPe (H)'!CA96</f>
        <v>0.1689291870015715</v>
      </c>
      <c r="AB109" s="282"/>
      <c r="AC109" s="282"/>
      <c r="AD109" s="282"/>
      <c r="AE109" s="282"/>
      <c r="AF109" s="282"/>
      <c r="AG109" s="282"/>
      <c r="AH109" s="282"/>
      <c r="AI109" s="282"/>
      <c r="AJ109" s="282"/>
      <c r="AK109" s="282"/>
      <c r="AL109" s="282"/>
      <c r="AM109" s="282"/>
      <c r="AN109" s="282"/>
      <c r="AO109" s="282"/>
      <c r="AP109" s="282"/>
      <c r="AQ109" s="282"/>
      <c r="AR109" s="282"/>
      <c r="AS109" s="282"/>
      <c r="AT109" s="282"/>
      <c r="AU109" s="282"/>
      <c r="AV109" s="282"/>
      <c r="AW109" s="282"/>
      <c r="AX109" s="282"/>
      <c r="AY109" s="282"/>
      <c r="AZ109" s="282"/>
      <c r="BA109" s="282"/>
    </row>
    <row r="110" spans="1:53" outlineLevel="1" x14ac:dyDescent="0.35">
      <c r="A110" s="6" t="s">
        <v>33</v>
      </c>
      <c r="Z110" s="6">
        <f>'Results - raw data ReCiPe (H)'!CA97</f>
        <v>9.7181984563696311E-2</v>
      </c>
      <c r="AB110" s="282"/>
      <c r="AC110" s="282"/>
      <c r="AD110" s="282"/>
      <c r="AE110" s="282"/>
      <c r="AF110" s="282"/>
      <c r="AG110" s="282"/>
      <c r="AH110" s="282"/>
      <c r="AI110" s="282"/>
      <c r="AJ110" s="282"/>
      <c r="AK110" s="282"/>
      <c r="AL110" s="282"/>
      <c r="AM110" s="282"/>
      <c r="AN110" s="282"/>
      <c r="AO110" s="282"/>
      <c r="AP110" s="282"/>
      <c r="AQ110" s="282"/>
      <c r="AR110" s="282"/>
      <c r="AS110" s="282"/>
      <c r="AT110" s="282"/>
      <c r="AU110" s="282"/>
      <c r="AV110" s="282"/>
      <c r="AW110" s="282"/>
      <c r="AX110" s="282"/>
      <c r="AY110" s="282"/>
      <c r="AZ110" s="282"/>
      <c r="BA110" s="282"/>
    </row>
    <row r="111" spans="1:53" outlineLevel="1" x14ac:dyDescent="0.35">
      <c r="A111" s="6" t="s">
        <v>35</v>
      </c>
      <c r="Z111" s="6">
        <f>'Results - raw data ReCiPe (H)'!CA98</f>
        <v>0.19436396912739259</v>
      </c>
      <c r="AB111" s="282"/>
      <c r="AC111" s="282"/>
      <c r="AD111" s="282"/>
      <c r="AE111" s="282"/>
      <c r="AF111" s="282"/>
      <c r="AG111" s="282"/>
      <c r="AH111" s="282"/>
      <c r="AI111" s="282"/>
      <c r="AJ111" s="282"/>
      <c r="AK111" s="282"/>
      <c r="AL111" s="282"/>
      <c r="AM111" s="282"/>
      <c r="AN111" s="282"/>
      <c r="AO111" s="282"/>
      <c r="AP111" s="282"/>
      <c r="AQ111" s="282"/>
      <c r="AR111" s="282"/>
      <c r="AS111" s="282"/>
      <c r="AT111" s="282"/>
      <c r="AU111" s="282"/>
      <c r="AV111" s="282"/>
      <c r="AW111" s="282"/>
      <c r="AX111" s="282"/>
      <c r="AY111" s="282"/>
      <c r="AZ111" s="282"/>
      <c r="BA111" s="282"/>
    </row>
    <row r="112" spans="1:53" outlineLevel="1" x14ac:dyDescent="0.35">
      <c r="A112" s="6" t="s">
        <v>37</v>
      </c>
      <c r="Z112" s="6">
        <f>'Results - raw data ReCiPe (H)'!CA99</f>
        <v>2.8638113623765111</v>
      </c>
      <c r="AB112" s="282"/>
      <c r="AC112" s="282"/>
      <c r="AD112" s="282"/>
      <c r="AE112" s="282"/>
      <c r="AF112" s="282"/>
      <c r="AG112" s="282"/>
      <c r="AH112" s="282"/>
      <c r="AI112" s="282"/>
      <c r="AJ112" s="282"/>
      <c r="AK112" s="282"/>
      <c r="AL112" s="282"/>
      <c r="AM112" s="282"/>
      <c r="AN112" s="282"/>
      <c r="AO112" s="282"/>
      <c r="AP112" s="282"/>
      <c r="AQ112" s="282"/>
      <c r="AR112" s="282"/>
      <c r="AS112" s="282"/>
      <c r="AT112" s="282"/>
      <c r="AU112" s="282"/>
      <c r="AV112" s="282"/>
      <c r="AW112" s="282"/>
      <c r="AX112" s="282"/>
      <c r="AY112" s="282"/>
      <c r="AZ112" s="282"/>
      <c r="BA112" s="282"/>
    </row>
    <row r="113" spans="1:31" outlineLevel="1" x14ac:dyDescent="0.35">
      <c r="A113" s="6" t="s">
        <v>40</v>
      </c>
      <c r="Z113" s="6">
        <f>'Results - raw data ReCiPe (H)'!CA100</f>
        <v>1.3377114098727929</v>
      </c>
    </row>
    <row r="114" spans="1:31" outlineLevel="1" x14ac:dyDescent="0.35">
      <c r="A114" s="6" t="s">
        <v>42</v>
      </c>
      <c r="Z114" s="6">
        <f>'Results - raw data ReCiPe (H)'!CA101</f>
        <v>3.6060080522679621</v>
      </c>
    </row>
    <row r="115" spans="1:31" outlineLevel="1" x14ac:dyDescent="0.35">
      <c r="A115" s="6" t="s">
        <v>115</v>
      </c>
      <c r="Z115" s="6">
        <f>'Results - raw data ReCiPe (H)'!CA102</f>
        <v>27.00760175944605</v>
      </c>
    </row>
    <row r="116" spans="1:31" outlineLevel="1" x14ac:dyDescent="0.35">
      <c r="A116" s="6" t="s">
        <v>45</v>
      </c>
      <c r="Z116" s="6">
        <f>'Results - raw data ReCiPe (H)'!CA103*AC87*AC88</f>
        <v>1.2288061080708204</v>
      </c>
    </row>
    <row r="117" spans="1:31" outlineLevel="1" x14ac:dyDescent="0.35">
      <c r="A117" s="6" t="s">
        <v>116</v>
      </c>
      <c r="B117" s="6">
        <f>'Results - raw data ReCiPe (H)'!BC104</f>
        <v>114.06781731957111</v>
      </c>
      <c r="C117" s="6">
        <f>'Results - raw data ReCiPe (H)'!BD104</f>
        <v>113.7328675530224</v>
      </c>
      <c r="D117" s="6">
        <f>'Results - raw data ReCiPe (H)'!BE104</f>
        <v>113.3929663091527</v>
      </c>
      <c r="E117" s="6">
        <f>'Results - raw data ReCiPe (H)'!BF104</f>
        <v>112.3911675049322</v>
      </c>
      <c r="F117" s="6">
        <f>'Results - raw data ReCiPe (H)'!BG104</f>
        <v>112.0478306078531</v>
      </c>
      <c r="G117" s="6">
        <f>'Results - raw data ReCiPe (H)'!BH104</f>
        <v>111.69872823537609</v>
      </c>
      <c r="H117" s="6">
        <f>'Results - raw data ReCiPe (H)'!BI104</f>
        <v>112.2010947204887</v>
      </c>
      <c r="I117" s="6">
        <f>'Results - raw data ReCiPe (H)'!BJ104</f>
        <v>112.69351643430041</v>
      </c>
      <c r="J117" s="6">
        <f>'Results - raw data ReCiPe (H)'!BK104</f>
        <v>112.74009000216979</v>
      </c>
      <c r="K117" s="6">
        <f>'Results - raw data ReCiPe (H)'!BL104</f>
        <v>113.21958271568749</v>
      </c>
      <c r="L117" s="6">
        <f>'Results - raw data ReCiPe (H)'!BM104</f>
        <v>113.6897765530383</v>
      </c>
      <c r="M117" s="6">
        <f>'Results - raw data ReCiPe (H)'!BN104</f>
        <v>113.65222917100461</v>
      </c>
      <c r="N117" s="6">
        <f>'Results - raw data ReCiPe (H)'!BO104</f>
        <v>113.61473943331841</v>
      </c>
      <c r="O117" s="6">
        <f>'Results - raw data ReCiPe (H)'!BP104</f>
        <v>113.44770784519361</v>
      </c>
      <c r="P117" s="6">
        <f>'Results - raw data ReCiPe (H)'!BQ104</f>
        <v>113.41332719801061</v>
      </c>
      <c r="Q117" s="6">
        <f>'Results - raw data ReCiPe (H)'!BR104</f>
        <v>113.3787859326078</v>
      </c>
      <c r="R117" s="6">
        <f>'Results - raw data ReCiPe (H)'!BS104</f>
        <v>113.0512155274629</v>
      </c>
      <c r="S117" s="6">
        <f>'Results - raw data ReCiPe (H)'!BT104</f>
        <v>112.7253429675897</v>
      </c>
      <c r="T117" s="6">
        <f>'Results - raw data ReCiPe (H)'!BU104</f>
        <v>112.2791950057142</v>
      </c>
      <c r="U117" s="6">
        <f>'Results - raw data ReCiPe (H)'!BV104</f>
        <v>111.9583975303494</v>
      </c>
      <c r="V117" s="6">
        <f>'Results - raw data ReCiPe (H)'!BW104</f>
        <v>111.6387040996559</v>
      </c>
      <c r="W117" s="6">
        <f>'Results - raw data ReCiPe (H)'!BX104</f>
        <v>111.5739444092645</v>
      </c>
      <c r="X117" s="6">
        <f>'Results - raw data ReCiPe (H)'!BY104</f>
        <v>111.50977454615681</v>
      </c>
      <c r="Y117" s="6">
        <f>'Results - raw data ReCiPe (H)'!BZ104</f>
        <v>111.4459321675379</v>
      </c>
      <c r="Z117" s="6">
        <f>'Results - raw data ReCiPe (H)'!CA104</f>
        <v>111.3824079888096</v>
      </c>
    </row>
    <row r="118" spans="1:31" outlineLevel="1" x14ac:dyDescent="0.35">
      <c r="A118" s="6" t="s">
        <v>758</v>
      </c>
      <c r="B118" s="6">
        <f>'Results - raw data ReCiPe (H)'!BC179*$AC$87</f>
        <v>128.68401908039701</v>
      </c>
      <c r="C118" s="6">
        <f>'Results - raw data ReCiPe (H)'!BD179*$AC$87</f>
        <v>119.5221661741754</v>
      </c>
      <c r="D118" s="6">
        <f>'Results - raw data ReCiPe (H)'!BE179*$AC$87</f>
        <v>110.35343288106161</v>
      </c>
      <c r="E118" s="6">
        <f>'Results - raw data ReCiPe (H)'!BF179*$AC$87</f>
        <v>100.7215182281773</v>
      </c>
      <c r="F118" s="6">
        <f>'Results - raw data ReCiPe (H)'!BG179*$AC$87</f>
        <v>91.524926758190233</v>
      </c>
      <c r="G118" s="6">
        <f>'Results - raw data ReCiPe (H)'!BH179*$AC$87</f>
        <v>82.32383877996152</v>
      </c>
      <c r="H118" s="6">
        <f>'Results - raw data ReCiPe (H)'!BI179*$AC$87</f>
        <v>93.038612238311615</v>
      </c>
      <c r="I118" s="6">
        <f>'Results - raw data ReCiPe (H)'!BJ179*$AC$87</f>
        <v>103.67938855423571</v>
      </c>
      <c r="J118" s="6">
        <f>'Results - raw data ReCiPe (H)'!BK179*$AC$87</f>
        <v>113.8024674145238</v>
      </c>
      <c r="K118" s="6">
        <f>'Results - raw data ReCiPe (H)'!BL179*$AC$87</f>
        <v>124.2828023219223</v>
      </c>
      <c r="L118" s="6">
        <f>'Results - raw data ReCiPe (H)'!BM179*$AC$87</f>
        <v>134.6917389739364</v>
      </c>
      <c r="M118" s="6">
        <f>'Results - raw data ReCiPe (H)'!BN179*$AC$87</f>
        <v>147.88730688274839</v>
      </c>
      <c r="N118" s="6">
        <f>'Results - raw data ReCiPe (H)'!BO179*$AC$87</f>
        <v>161.0628829723077</v>
      </c>
      <c r="O118" s="6">
        <f>'Results - raw data ReCiPe (H)'!BP179*$AC$87</f>
        <v>174.1174858065788</v>
      </c>
      <c r="P118" s="6">
        <f>'Results - raw data ReCiPe (H)'!BQ179*$AC$87</f>
        <v>187.25531929984768</v>
      </c>
      <c r="Q118" s="6">
        <f>'Results - raw data ReCiPe (H)'!BR179*$AC$87</f>
        <v>200.37255741549239</v>
      </c>
      <c r="R118" s="6">
        <f>'Results - raw data ReCiPe (H)'!BS179*$AC$87</f>
        <v>196.32347547824619</v>
      </c>
      <c r="S118" s="6">
        <f>'Results - raw data ReCiPe (H)'!BT179*$AC$87</f>
        <v>192.25719066101561</v>
      </c>
      <c r="T118" s="6">
        <f>'Results - raw data ReCiPe (H)'!BU179*$AC$87</f>
        <v>188.08141295488582</v>
      </c>
      <c r="U118" s="6">
        <f>'Results - raw data ReCiPe (H)'!BV179*$AC$87</f>
        <v>183.98266935640538</v>
      </c>
      <c r="V118" s="6">
        <f>'Results - raw data ReCiPe (H)'!BW179*$AC$87</f>
        <v>179.86585576332291</v>
      </c>
      <c r="W118" s="6">
        <f>'Results - raw data ReCiPe (H)'!BX179*$AC$87</f>
        <v>179.70009713751529</v>
      </c>
      <c r="X118" s="6">
        <f>'Results - raw data ReCiPe (H)'!BY179*$AC$87</f>
        <v>179.54299604813738</v>
      </c>
      <c r="Y118" s="6">
        <f>'Results - raw data ReCiPe (H)'!BZ179*$AC$87</f>
        <v>179.3844806004744</v>
      </c>
      <c r="Z118" s="6">
        <f>'Results - raw data ReCiPe (H)'!CA179*$AC$87</f>
        <v>179.22434128810602</v>
      </c>
    </row>
    <row r="119" spans="1:31" outlineLevel="1" x14ac:dyDescent="0.35">
      <c r="A119" s="6" t="s">
        <v>759</v>
      </c>
      <c r="B119" s="6">
        <f>'Results - raw data ReCiPe (H)'!BC106</f>
        <v>0</v>
      </c>
      <c r="C119" s="6">
        <f>'Results - raw data ReCiPe (H)'!BD106</f>
        <v>0</v>
      </c>
      <c r="D119" s="6">
        <f>'Results - raw data ReCiPe (H)'!BE106</f>
        <v>0</v>
      </c>
      <c r="E119" s="6">
        <f>'Results - raw data ReCiPe (H)'!BF106</f>
        <v>0</v>
      </c>
      <c r="F119" s="6">
        <f>'Results - raw data ReCiPe (H)'!BG106</f>
        <v>0</v>
      </c>
      <c r="G119" s="6">
        <f>'Results - raw data ReCiPe (H)'!BH106</f>
        <v>0</v>
      </c>
      <c r="H119" s="6">
        <f>'Results - raw data ReCiPe (H)'!BI106</f>
        <v>0</v>
      </c>
      <c r="I119" s="6">
        <f>'Results - raw data ReCiPe (H)'!BJ106</f>
        <v>0</v>
      </c>
      <c r="J119" s="6">
        <f>'Results - raw data ReCiPe (H)'!BK106</f>
        <v>0</v>
      </c>
      <c r="K119" s="6">
        <f>'Results - raw data ReCiPe (H)'!BL106</f>
        <v>0</v>
      </c>
      <c r="L119" s="6">
        <f>'Results - raw data ReCiPe (H)'!BM106</f>
        <v>0</v>
      </c>
      <c r="M119" s="6">
        <f>'Results - raw data ReCiPe (H)'!BN106</f>
        <v>0</v>
      </c>
      <c r="N119" s="6">
        <f>'Results - raw data ReCiPe (H)'!BO106</f>
        <v>0</v>
      </c>
      <c r="O119" s="6">
        <f>'Results - raw data ReCiPe (H)'!BP106</f>
        <v>0</v>
      </c>
      <c r="P119" s="6">
        <f>'Results - raw data ReCiPe (H)'!BQ106</f>
        <v>0</v>
      </c>
      <c r="Q119" s="6">
        <f>'Results - raw data ReCiPe (H)'!BR106</f>
        <v>0</v>
      </c>
      <c r="R119" s="6">
        <f>'Results - raw data ReCiPe (H)'!BS106</f>
        <v>0</v>
      </c>
      <c r="S119" s="6">
        <f>'Results - raw data ReCiPe (H)'!BT106</f>
        <v>0</v>
      </c>
      <c r="T119" s="6">
        <f>'Results - raw data ReCiPe (H)'!BU106</f>
        <v>0</v>
      </c>
      <c r="U119" s="6">
        <f>'Results - raw data ReCiPe (H)'!BV106</f>
        <v>0</v>
      </c>
      <c r="V119" s="6">
        <f>'Results - raw data ReCiPe (H)'!BW106</f>
        <v>0</v>
      </c>
      <c r="W119" s="6">
        <f>'Results - raw data ReCiPe (H)'!BX106</f>
        <v>0</v>
      </c>
      <c r="X119" s="6">
        <f>'Results - raw data ReCiPe (H)'!BY106</f>
        <v>0</v>
      </c>
      <c r="Y119" s="6">
        <f>'Results - raw data ReCiPe (H)'!BZ106</f>
        <v>0</v>
      </c>
      <c r="Z119" s="6">
        <f>'Results - raw data ReCiPe (H)'!CA106</f>
        <v>0</v>
      </c>
    </row>
    <row r="120" spans="1:31" outlineLevel="1" x14ac:dyDescent="0.35">
      <c r="A120" s="6" t="s">
        <v>760</v>
      </c>
      <c r="B120" s="6">
        <f>'Results - raw data ReCiPe (H)'!BC107</f>
        <v>1455.687748477927</v>
      </c>
      <c r="C120" s="6">
        <f>'Results - raw data ReCiPe (H)'!BD107</f>
        <v>1339.645737547816</v>
      </c>
      <c r="D120" s="6">
        <f>'Results - raw data ReCiPe (H)'!BE107</f>
        <v>1222.675011660074</v>
      </c>
      <c r="E120" s="6">
        <f>'Results - raw data ReCiPe (H)'!BF107</f>
        <v>1099.534974399809</v>
      </c>
      <c r="F120" s="6">
        <f>'Results - raw data ReCiPe (H)'!BG107</f>
        <v>980.47081032114079</v>
      </c>
      <c r="G120" s="6">
        <f>'Results - raw data ReCiPe (H)'!BH107</f>
        <v>860.4793665866838</v>
      </c>
      <c r="H120" s="6">
        <f>'Results - raw data ReCiPe (H)'!BI107</f>
        <v>1005.289588531566</v>
      </c>
      <c r="I120" s="6">
        <f>'Results - raw data ReCiPe (H)'!BJ107</f>
        <v>1149.7418175598309</v>
      </c>
      <c r="J120" s="6">
        <f>'Results - raw data ReCiPe (H)'!BK107</f>
        <v>1288.456695966383</v>
      </c>
      <c r="K120" s="6">
        <f>'Results - raw data ReCiPe (H)'!BL107</f>
        <v>1431.999072853238</v>
      </c>
      <c r="L120" s="6">
        <f>'Results - raw data ReCiPe (H)'!BM107</f>
        <v>1575.21075673582</v>
      </c>
      <c r="M120" s="6">
        <f>'Results - raw data ReCiPe (H)'!BN107</f>
        <v>1753.703160579762</v>
      </c>
      <c r="N120" s="6">
        <f>'Results - raw data ReCiPe (H)'!BO107</f>
        <v>1931.6196135305711</v>
      </c>
      <c r="O120" s="6">
        <f>'Results - raw data ReCiPe (H)'!BP107</f>
        <v>2107.76787666581</v>
      </c>
      <c r="P120" s="6">
        <f>'Results - raw data ReCiPe (H)'!BQ107</f>
        <v>2284.5657414806878</v>
      </c>
      <c r="Q120" s="6">
        <f>'Results - raw data ReCiPe (H)'!BR107</f>
        <v>2460.785537350293</v>
      </c>
      <c r="R120" s="6">
        <f>'Results - raw data ReCiPe (H)'!BS107</f>
        <v>2396.8942909969978</v>
      </c>
      <c r="S120" s="6">
        <f>'Results - raw data ReCiPe (H)'!BT107</f>
        <v>2333.3347117691819</v>
      </c>
      <c r="T120" s="6">
        <f>'Results - raw data ReCiPe (H)'!BU107</f>
        <v>2269.02736425892</v>
      </c>
      <c r="U120" s="6">
        <f>'Results - raw data ReCiPe (H)'!BV107</f>
        <v>2206.1493943655678</v>
      </c>
      <c r="V120" s="6">
        <f>'Results - raw data ReCiPe (H)'!BW107</f>
        <v>2143.5839547228379</v>
      </c>
      <c r="W120" s="6">
        <f>'Results - raw data ReCiPe (H)'!BX107</f>
        <v>2144.336140023961</v>
      </c>
      <c r="X120" s="6">
        <f>'Results - raw data ReCiPe (H)'!BY107</f>
        <v>2145.1607906176441</v>
      </c>
      <c r="Y120" s="6">
        <f>'Results - raw data ReCiPe (H)'!BZ107</f>
        <v>2145.969509880611</v>
      </c>
      <c r="Z120" s="6">
        <f>'Results - raw data ReCiPe (H)'!CA107</f>
        <v>2146.7604743306729</v>
      </c>
    </row>
    <row r="121" spans="1:31" outlineLevel="1" x14ac:dyDescent="0.35">
      <c r="A121" s="23" t="s">
        <v>125</v>
      </c>
      <c r="B121" s="17">
        <f t="shared" ref="B121:Z121" si="14">SUM(B90:B120)</f>
        <v>4639.2573234634474</v>
      </c>
      <c r="C121" s="17">
        <f t="shared" si="14"/>
        <v>1572.9007712750138</v>
      </c>
      <c r="D121" s="17">
        <f t="shared" si="14"/>
        <v>1446.4214108502883</v>
      </c>
      <c r="E121" s="17">
        <f t="shared" si="14"/>
        <v>1312.6476601329186</v>
      </c>
      <c r="F121" s="17">
        <f t="shared" si="14"/>
        <v>1184.0435676871841</v>
      </c>
      <c r="G121" s="17">
        <f t="shared" si="14"/>
        <v>1054.5019336020214</v>
      </c>
      <c r="H121" s="17">
        <f t="shared" si="14"/>
        <v>1210.5292954903662</v>
      </c>
      <c r="I121" s="17">
        <f t="shared" si="14"/>
        <v>1366.1147225483669</v>
      </c>
      <c r="J121" s="17">
        <f t="shared" si="14"/>
        <v>1514.9992533830766</v>
      </c>
      <c r="K121" s="17">
        <f t="shared" si="14"/>
        <v>1669.5014578908479</v>
      </c>
      <c r="L121" s="17">
        <f t="shared" si="14"/>
        <v>1823.5922722627947</v>
      </c>
      <c r="M121" s="17">
        <f t="shared" si="14"/>
        <v>2015.2426966335149</v>
      </c>
      <c r="N121" s="17">
        <f t="shared" si="14"/>
        <v>2206.297235936197</v>
      </c>
      <c r="O121" s="17">
        <f t="shared" si="14"/>
        <v>2395.3330703175825</v>
      </c>
      <c r="P121" s="17">
        <f t="shared" si="14"/>
        <v>2585.2343879785462</v>
      </c>
      <c r="Q121" s="17">
        <f t="shared" si="14"/>
        <v>2774.5368806983934</v>
      </c>
      <c r="R121" s="17">
        <f t="shared" si="14"/>
        <v>2706.2689820027072</v>
      </c>
      <c r="S121" s="17">
        <f t="shared" si="14"/>
        <v>2638.3172453977872</v>
      </c>
      <c r="T121" s="17">
        <f t="shared" si="14"/>
        <v>2569.3879722195202</v>
      </c>
      <c r="U121" s="17">
        <f t="shared" si="14"/>
        <v>2502.0904612523227</v>
      </c>
      <c r="V121" s="17">
        <f t="shared" si="14"/>
        <v>2435.0885145858165</v>
      </c>
      <c r="W121" s="17">
        <f t="shared" si="14"/>
        <v>2435.6101815707407</v>
      </c>
      <c r="X121" s="17">
        <f t="shared" si="14"/>
        <v>2436.2135612119382</v>
      </c>
      <c r="Y121" s="17">
        <f t="shared" si="14"/>
        <v>2436.7999226486231</v>
      </c>
      <c r="Z121" s="17">
        <f t="shared" si="14"/>
        <v>2477.3856510342403</v>
      </c>
    </row>
    <row r="122" spans="1:31" s="26" customFormat="1" outlineLevel="1" x14ac:dyDescent="0.35"/>
    <row r="123" spans="1:31" s="221" customFormat="1" ht="21" x14ac:dyDescent="0.5">
      <c r="A123" s="229" t="s">
        <v>850</v>
      </c>
    </row>
    <row r="124" spans="1:31" s="18" customFormat="1" ht="21" x14ac:dyDescent="0.5">
      <c r="A124" s="18" t="s">
        <v>72</v>
      </c>
    </row>
    <row r="125" spans="1:31" s="20" customFormat="1" outlineLevel="1" x14ac:dyDescent="0.35">
      <c r="A125" s="19" t="s">
        <v>766</v>
      </c>
    </row>
    <row r="126" spans="1:31" s="16" customFormat="1" outlineLevel="1" x14ac:dyDescent="0.35">
      <c r="A126" s="21"/>
      <c r="AE126" s="15"/>
    </row>
    <row r="127" spans="1:31" s="16" customFormat="1" outlineLevel="1" x14ac:dyDescent="0.35">
      <c r="A127" s="22" t="s">
        <v>761</v>
      </c>
    </row>
    <row r="128" spans="1:31" s="16" customFormat="1" outlineLevel="1" x14ac:dyDescent="0.35">
      <c r="A128" s="22"/>
      <c r="AB128" s="16" t="s">
        <v>127</v>
      </c>
      <c r="AC128" s="16">
        <v>100</v>
      </c>
      <c r="AD128" s="16" t="s">
        <v>128</v>
      </c>
    </row>
    <row r="129" spans="1:53" s="16" customFormat="1" outlineLevel="1" x14ac:dyDescent="0.35">
      <c r="A129" s="230" t="s">
        <v>768</v>
      </c>
      <c r="AB129" s="16" t="s">
        <v>20</v>
      </c>
      <c r="AC129" s="16">
        <v>0.23</v>
      </c>
      <c r="AD129" s="16" t="s">
        <v>715</v>
      </c>
    </row>
    <row r="130" spans="1:53" s="16" customFormat="1" outlineLevel="1" x14ac:dyDescent="0.35">
      <c r="A130" s="22"/>
      <c r="AB130" s="16" t="s">
        <v>129</v>
      </c>
      <c r="AC130" s="16">
        <v>25</v>
      </c>
      <c r="AD130" s="16" t="s">
        <v>130</v>
      </c>
    </row>
    <row r="131" spans="1:53" outlineLevel="1" x14ac:dyDescent="0.35">
      <c r="B131" s="25">
        <v>2030</v>
      </c>
      <c r="C131" s="25">
        <v>2031</v>
      </c>
      <c r="D131" s="25">
        <v>2032</v>
      </c>
      <c r="E131" s="25">
        <v>2033</v>
      </c>
      <c r="F131" s="25">
        <v>2034</v>
      </c>
      <c r="G131" s="25">
        <v>2035</v>
      </c>
      <c r="H131" s="25">
        <v>2036</v>
      </c>
      <c r="I131" s="25">
        <v>2037</v>
      </c>
      <c r="J131" s="25">
        <v>2038</v>
      </c>
      <c r="K131" s="25">
        <v>2039</v>
      </c>
      <c r="L131" s="25">
        <v>2040</v>
      </c>
      <c r="M131" s="25">
        <v>2041</v>
      </c>
      <c r="N131" s="25">
        <v>2042</v>
      </c>
      <c r="O131" s="25">
        <v>2043</v>
      </c>
      <c r="P131" s="25">
        <v>2044</v>
      </c>
      <c r="Q131" s="25">
        <v>2045</v>
      </c>
      <c r="R131" s="25">
        <v>2046</v>
      </c>
      <c r="S131" s="25">
        <v>2047</v>
      </c>
      <c r="T131" s="25">
        <v>2048</v>
      </c>
      <c r="U131" s="25">
        <v>2049</v>
      </c>
      <c r="V131" s="25">
        <v>2050</v>
      </c>
      <c r="W131" s="25">
        <v>2051</v>
      </c>
      <c r="X131" s="25">
        <v>2052</v>
      </c>
      <c r="Y131" s="25">
        <v>2053</v>
      </c>
      <c r="Z131" s="25">
        <v>2054</v>
      </c>
      <c r="AC131" s="25">
        <v>2030</v>
      </c>
      <c r="AD131" s="25">
        <v>2031</v>
      </c>
      <c r="AE131" s="25">
        <v>2032</v>
      </c>
      <c r="AF131" s="25">
        <v>2033</v>
      </c>
      <c r="AG131" s="25">
        <v>2034</v>
      </c>
      <c r="AH131" s="25">
        <v>2035</v>
      </c>
      <c r="AI131" s="25">
        <v>2036</v>
      </c>
      <c r="AJ131" s="25">
        <v>2037</v>
      </c>
      <c r="AK131" s="25">
        <v>2038</v>
      </c>
      <c r="AL131" s="25">
        <v>2039</v>
      </c>
      <c r="AM131" s="25">
        <v>2040</v>
      </c>
      <c r="AN131" s="25">
        <v>2041</v>
      </c>
      <c r="AO131" s="25">
        <v>2042</v>
      </c>
      <c r="AP131" s="25">
        <v>2043</v>
      </c>
      <c r="AQ131" s="25">
        <v>2044</v>
      </c>
      <c r="AR131" s="25">
        <v>2045</v>
      </c>
      <c r="AS131" s="25">
        <v>2046</v>
      </c>
      <c r="AT131" s="25">
        <v>2047</v>
      </c>
      <c r="AU131" s="25">
        <v>2048</v>
      </c>
      <c r="AV131" s="25">
        <v>2049</v>
      </c>
      <c r="AW131" s="25">
        <v>2050</v>
      </c>
      <c r="AX131" s="25">
        <v>2051</v>
      </c>
      <c r="AY131" s="25">
        <v>2052</v>
      </c>
      <c r="AZ131" s="25">
        <v>2053</v>
      </c>
      <c r="BA131" s="25">
        <v>2054</v>
      </c>
    </row>
    <row r="132" spans="1:53" outlineLevel="1" x14ac:dyDescent="0.35">
      <c r="A132" s="6" t="s">
        <v>21</v>
      </c>
      <c r="B132" s="6">
        <f>'Results - raw data ReCiPe (H)'!BC5</f>
        <v>75.900107259729808</v>
      </c>
      <c r="AB132" s="6" t="s">
        <v>117</v>
      </c>
      <c r="AC132" s="6">
        <f>SUM(B132:B143)+B145</f>
        <v>2893.1840673783981</v>
      </c>
    </row>
    <row r="133" spans="1:53" outlineLevel="1" x14ac:dyDescent="0.35">
      <c r="A133" s="6" t="s">
        <v>23</v>
      </c>
      <c r="B133" s="6">
        <f>'Results - raw data ReCiPe (H)'!BC6</f>
        <v>315.32647070950878</v>
      </c>
      <c r="AB133" s="6" t="s">
        <v>118</v>
      </c>
      <c r="AC133" s="6">
        <f>B144</f>
        <v>269.67676540478124</v>
      </c>
    </row>
    <row r="134" spans="1:53" outlineLevel="1" x14ac:dyDescent="0.35">
      <c r="A134" s="6" t="s">
        <v>26</v>
      </c>
      <c r="B134" s="6">
        <f>'Results - raw data ReCiPe (H)'!BC7</f>
        <v>320.06211166534263</v>
      </c>
      <c r="AB134" s="6" t="s">
        <v>119</v>
      </c>
      <c r="BA134" s="6">
        <f>SUM(Z146:Z157)</f>
        <v>45.635874346592793</v>
      </c>
    </row>
    <row r="135" spans="1:53" outlineLevel="1" x14ac:dyDescent="0.35">
      <c r="A135" s="6" t="s">
        <v>28</v>
      </c>
      <c r="B135" s="6">
        <f>'Results - raw data ReCiPe (H)'!BC8</f>
        <v>246.9725509849394</v>
      </c>
      <c r="AB135" s="6" t="s">
        <v>120</v>
      </c>
      <c r="BA135" s="6">
        <f>Z158</f>
        <v>1.3426574437184902</v>
      </c>
    </row>
    <row r="136" spans="1:53" outlineLevel="1" x14ac:dyDescent="0.35">
      <c r="A136" s="6" t="s">
        <v>29</v>
      </c>
      <c r="B136" s="6">
        <f>'Results - raw data ReCiPe (H)'!BC9</f>
        <v>121.9560327138697</v>
      </c>
      <c r="AB136" s="6" t="s">
        <v>121</v>
      </c>
      <c r="AC136" s="6">
        <f>B159</f>
        <v>118.1930543229993</v>
      </c>
      <c r="AF136" s="6">
        <f>E159</f>
        <v>117.3708968791351</v>
      </c>
      <c r="AI136" s="6">
        <f>H159</f>
        <v>117.2479070799383</v>
      </c>
      <c r="AL136" s="6">
        <f>K159</f>
        <v>116.65080958776529</v>
      </c>
      <c r="AO136" s="6">
        <f>N159</f>
        <v>116.5694194979278</v>
      </c>
      <c r="AR136" s="6">
        <f>Q159</f>
        <v>116.3562974875733</v>
      </c>
      <c r="AU136" s="6">
        <f>T159</f>
        <v>116.0610845903859</v>
      </c>
      <c r="AX136" s="6">
        <f>W159</f>
        <v>115.9379738654637</v>
      </c>
      <c r="BA136" s="6">
        <f>Z159</f>
        <v>115.8757111011497</v>
      </c>
    </row>
    <row r="137" spans="1:53" outlineLevel="1" x14ac:dyDescent="0.35">
      <c r="A137" s="6" t="s">
        <v>31</v>
      </c>
      <c r="B137" s="6">
        <f>'Results - raw data ReCiPe (H)'!BC10</f>
        <v>86.300562327748125</v>
      </c>
      <c r="AB137" s="6" t="s">
        <v>122</v>
      </c>
      <c r="AC137" s="6">
        <f>B162+B161</f>
        <v>1839.3449357343477</v>
      </c>
      <c r="AD137" s="6">
        <f t="shared" ref="AD137:BA137" si="15">C162+C161</f>
        <v>1847.3513936994136</v>
      </c>
      <c r="AE137" s="6">
        <f t="shared" si="15"/>
        <v>1855.4295959568169</v>
      </c>
      <c r="AF137" s="6">
        <f t="shared" si="15"/>
        <v>1859.703558427419</v>
      </c>
      <c r="AG137" s="6">
        <f t="shared" si="15"/>
        <v>1867.9709163799405</v>
      </c>
      <c r="AH137" s="6">
        <f t="shared" si="15"/>
        <v>1876.306514134126</v>
      </c>
      <c r="AI137" s="6">
        <f t="shared" si="15"/>
        <v>1907.948299444816</v>
      </c>
      <c r="AJ137" s="6">
        <f t="shared" si="15"/>
        <v>1939.5544371942856</v>
      </c>
      <c r="AK137" s="6">
        <f t="shared" si="15"/>
        <v>1968.282277329135</v>
      </c>
      <c r="AL137" s="6">
        <f t="shared" si="15"/>
        <v>1999.9319314688889</v>
      </c>
      <c r="AM137" s="6">
        <f t="shared" si="15"/>
        <v>2031.5627063350501</v>
      </c>
      <c r="AN137" s="6">
        <f t="shared" si="15"/>
        <v>2035.2554294482479</v>
      </c>
      <c r="AO137" s="6">
        <f t="shared" si="15"/>
        <v>2038.8616388868502</v>
      </c>
      <c r="AP137" s="6">
        <f t="shared" si="15"/>
        <v>2041.6999854561732</v>
      </c>
      <c r="AQ137" s="6">
        <f t="shared" si="15"/>
        <v>2045.1258920077817</v>
      </c>
      <c r="AR137" s="6">
        <f t="shared" si="15"/>
        <v>2048.4529491289159</v>
      </c>
      <c r="AS137" s="6">
        <f t="shared" si="15"/>
        <v>2120.9738547707802</v>
      </c>
      <c r="AT137" s="6">
        <f t="shared" si="15"/>
        <v>2193.5292893363185</v>
      </c>
      <c r="AU137" s="6">
        <f t="shared" si="15"/>
        <v>2265.5241417441844</v>
      </c>
      <c r="AV137" s="6">
        <f t="shared" si="15"/>
        <v>2338.1968350458656</v>
      </c>
      <c r="AW137" s="6">
        <f t="shared" si="15"/>
        <v>2410.9335818739069</v>
      </c>
      <c r="AX137" s="6">
        <f t="shared" si="15"/>
        <v>2425.9539149219522</v>
      </c>
      <c r="AY137" s="6">
        <f t="shared" si="15"/>
        <v>2441.1153330716429</v>
      </c>
      <c r="AZ137" s="6">
        <f t="shared" si="15"/>
        <v>2456.378620962304</v>
      </c>
      <c r="BA137" s="6">
        <f t="shared" si="15"/>
        <v>2471.7432703896347</v>
      </c>
    </row>
    <row r="138" spans="1:53" outlineLevel="1" x14ac:dyDescent="0.35">
      <c r="A138" s="6" t="s">
        <v>34</v>
      </c>
      <c r="B138" s="6">
        <f>'Results - raw data ReCiPe (H)'!BC11</f>
        <v>58.252905588334869</v>
      </c>
      <c r="AB138" s="6" t="s">
        <v>123</v>
      </c>
      <c r="AC138" s="6">
        <f t="shared" ref="AC138:BA138" si="16">B160</f>
        <v>195.76172255046851</v>
      </c>
      <c r="AD138" s="6">
        <f t="shared" si="16"/>
        <v>196.30148589353811</v>
      </c>
      <c r="AE138" s="6">
        <f t="shared" si="16"/>
        <v>196.84487569979018</v>
      </c>
      <c r="AF138" s="6">
        <f t="shared" si="16"/>
        <v>197.01108349836508</v>
      </c>
      <c r="AG138" s="6">
        <f t="shared" si="16"/>
        <v>197.56637214637439</v>
      </c>
      <c r="AH138" s="6">
        <f t="shared" si="16"/>
        <v>198.1248505113056</v>
      </c>
      <c r="AI138" s="6">
        <f t="shared" si="16"/>
        <v>201.0336327118896</v>
      </c>
      <c r="AJ138" s="6">
        <f t="shared" si="16"/>
        <v>203.9293270335265</v>
      </c>
      <c r="AK138" s="6">
        <f t="shared" si="16"/>
        <v>206.53164214593019</v>
      </c>
      <c r="AL138" s="6">
        <f t="shared" si="16"/>
        <v>209.41288864898362</v>
      </c>
      <c r="AM138" s="6">
        <f t="shared" si="16"/>
        <v>212.2828472532</v>
      </c>
      <c r="AN138" s="6">
        <f t="shared" si="16"/>
        <v>212.45450292244698</v>
      </c>
      <c r="AO138" s="6">
        <f t="shared" si="16"/>
        <v>212.61635025047849</v>
      </c>
      <c r="AP138" s="6">
        <f t="shared" si="16"/>
        <v>212.70125871557372</v>
      </c>
      <c r="AQ138" s="6">
        <f t="shared" si="16"/>
        <v>212.84301969916569</v>
      </c>
      <c r="AR138" s="6">
        <f t="shared" si="16"/>
        <v>212.97372093898539</v>
      </c>
      <c r="AS138" s="6">
        <f t="shared" si="16"/>
        <v>219.89336175473932</v>
      </c>
      <c r="AT138" s="6">
        <f t="shared" si="16"/>
        <v>226.8026118924702</v>
      </c>
      <c r="AU138" s="6">
        <f t="shared" si="16"/>
        <v>233.64305368362221</v>
      </c>
      <c r="AV138" s="6">
        <f t="shared" si="16"/>
        <v>240.53623405225241</v>
      </c>
      <c r="AW138" s="6">
        <f t="shared" si="16"/>
        <v>247.42187369609371</v>
      </c>
      <c r="AX138" s="6">
        <f t="shared" si="16"/>
        <v>248.45751871708993</v>
      </c>
      <c r="AY138" s="6">
        <f t="shared" si="16"/>
        <v>249.50527150164211</v>
      </c>
      <c r="AZ138" s="6">
        <f t="shared" si="16"/>
        <v>250.55677353235589</v>
      </c>
      <c r="BA138" s="6">
        <f t="shared" si="16"/>
        <v>251.61182169995388</v>
      </c>
    </row>
    <row r="139" spans="1:53" outlineLevel="1" x14ac:dyDescent="0.35">
      <c r="A139" s="6" t="s">
        <v>36</v>
      </c>
      <c r="B139" s="6">
        <f>'Results - raw data ReCiPe (H)'!BC12</f>
        <v>61.36907317967863</v>
      </c>
      <c r="AB139" s="6" t="s">
        <v>124</v>
      </c>
    </row>
    <row r="140" spans="1:53" outlineLevel="1" x14ac:dyDescent="0.35">
      <c r="A140" s="6" t="s">
        <v>38</v>
      </c>
      <c r="B140" s="6">
        <f>'Results - raw data ReCiPe (H)'!BC13</f>
        <v>664.60788560352216</v>
      </c>
      <c r="AB140" s="23" t="s">
        <v>125</v>
      </c>
      <c r="AC140" s="17">
        <f t="shared" ref="AC140:BA140" si="17">SUM(AC132:AC139)</f>
        <v>5316.1605453909942</v>
      </c>
      <c r="AD140" s="17">
        <f t="shared" si="17"/>
        <v>2043.6528795929516</v>
      </c>
      <c r="AE140" s="17">
        <f t="shared" si="17"/>
        <v>2052.2744716566071</v>
      </c>
      <c r="AF140" s="17">
        <f t="shared" si="17"/>
        <v>2174.0855388049195</v>
      </c>
      <c r="AG140" s="17">
        <f t="shared" si="17"/>
        <v>2065.537288526315</v>
      </c>
      <c r="AH140" s="17">
        <f t="shared" si="17"/>
        <v>2074.4313646454316</v>
      </c>
      <c r="AI140" s="17">
        <f t="shared" si="17"/>
        <v>2226.2298392366438</v>
      </c>
      <c r="AJ140" s="17">
        <f t="shared" si="17"/>
        <v>2143.4837642278121</v>
      </c>
      <c r="AK140" s="17">
        <f t="shared" si="17"/>
        <v>2174.8139194750652</v>
      </c>
      <c r="AL140" s="17">
        <f t="shared" si="17"/>
        <v>2325.9956297056378</v>
      </c>
      <c r="AM140" s="17">
        <f t="shared" si="17"/>
        <v>2243.8455535882499</v>
      </c>
      <c r="AN140" s="17">
        <f t="shared" si="17"/>
        <v>2247.7099323706948</v>
      </c>
      <c r="AO140" s="17">
        <f t="shared" si="17"/>
        <v>2368.047408635256</v>
      </c>
      <c r="AP140" s="17">
        <f t="shared" si="17"/>
        <v>2254.4012441717468</v>
      </c>
      <c r="AQ140" s="17">
        <f t="shared" si="17"/>
        <v>2257.9689117069474</v>
      </c>
      <c r="AR140" s="17">
        <f t="shared" si="17"/>
        <v>2377.7829675554744</v>
      </c>
      <c r="AS140" s="17">
        <f t="shared" si="17"/>
        <v>2340.8672165255193</v>
      </c>
      <c r="AT140" s="17">
        <f t="shared" si="17"/>
        <v>2420.3319012287889</v>
      </c>
      <c r="AU140" s="17">
        <f t="shared" si="17"/>
        <v>2615.2282800181924</v>
      </c>
      <c r="AV140" s="17">
        <f t="shared" si="17"/>
        <v>2578.733069098118</v>
      </c>
      <c r="AW140" s="17">
        <f t="shared" si="17"/>
        <v>2658.3554555700007</v>
      </c>
      <c r="AX140" s="17">
        <f t="shared" si="17"/>
        <v>2790.349407504506</v>
      </c>
      <c r="AY140" s="17">
        <f t="shared" si="17"/>
        <v>2690.6206045732852</v>
      </c>
      <c r="AZ140" s="17">
        <f t="shared" si="17"/>
        <v>2706.9353944946597</v>
      </c>
      <c r="BA140" s="17">
        <f t="shared" si="17"/>
        <v>2886.2093349810498</v>
      </c>
    </row>
    <row r="141" spans="1:53" outlineLevel="1" x14ac:dyDescent="0.35">
      <c r="A141" s="6" t="s">
        <v>39</v>
      </c>
      <c r="B141" s="6">
        <f>'Results - raw data ReCiPe (H)'!BC14</f>
        <v>720.62977688043634</v>
      </c>
    </row>
    <row r="142" spans="1:53" outlineLevel="1" x14ac:dyDescent="0.35">
      <c r="A142" s="6" t="s">
        <v>41</v>
      </c>
      <c r="B142" s="6">
        <f>'Results - raw data ReCiPe (H)'!BC15</f>
        <v>53.333868076658177</v>
      </c>
    </row>
    <row r="143" spans="1:53" outlineLevel="1" x14ac:dyDescent="0.35">
      <c r="A143" s="6" t="s">
        <v>43</v>
      </c>
      <c r="B143" s="6">
        <f>'Results - raw data ReCiPe (H)'!BC16</f>
        <v>73.573799866942238</v>
      </c>
      <c r="AB143" s="282"/>
      <c r="AC143" s="282"/>
      <c r="AD143" s="282"/>
      <c r="AE143" s="282"/>
      <c r="AF143" s="282"/>
      <c r="AG143" s="282"/>
      <c r="AH143" s="282"/>
      <c r="AI143" s="282"/>
      <c r="AJ143" s="282"/>
      <c r="AK143" s="282"/>
      <c r="AL143" s="282"/>
      <c r="AM143" s="282"/>
      <c r="AN143" s="282"/>
      <c r="AO143" s="282"/>
      <c r="AP143" s="282"/>
      <c r="AQ143" s="282"/>
      <c r="AR143" s="282"/>
      <c r="AS143" s="282"/>
      <c r="AT143" s="282"/>
      <c r="AU143" s="282"/>
      <c r="AV143" s="282"/>
      <c r="AW143" s="282"/>
      <c r="AX143" s="282"/>
      <c r="AY143" s="282"/>
      <c r="AZ143" s="282"/>
      <c r="BA143" s="282"/>
    </row>
    <row r="144" spans="1:53" outlineLevel="1" x14ac:dyDescent="0.35">
      <c r="A144" s="6" t="s">
        <v>44</v>
      </c>
      <c r="B144" s="6">
        <f>'Results - raw data ReCiPe (H)'!BC17*AC128*AC130</f>
        <v>269.67676540478124</v>
      </c>
      <c r="AB144" s="282"/>
      <c r="AC144" s="282"/>
      <c r="AD144" s="282"/>
      <c r="AE144" s="282"/>
      <c r="AF144" s="282"/>
      <c r="AG144" s="282"/>
      <c r="AH144" s="282"/>
      <c r="AI144" s="282"/>
      <c r="AJ144" s="282"/>
      <c r="AK144" s="282"/>
      <c r="AL144" s="282"/>
      <c r="AM144" s="282"/>
      <c r="AN144" s="282"/>
      <c r="AO144" s="282"/>
      <c r="AP144" s="282"/>
      <c r="AQ144" s="282"/>
      <c r="AR144" s="282"/>
      <c r="AS144" s="282"/>
      <c r="AT144" s="282"/>
      <c r="AU144" s="282"/>
      <c r="AV144" s="282"/>
      <c r="AW144" s="282"/>
      <c r="AX144" s="282"/>
      <c r="AY144" s="282"/>
      <c r="AZ144" s="282"/>
      <c r="BA144" s="282"/>
    </row>
    <row r="145" spans="1:53" outlineLevel="1" x14ac:dyDescent="0.35">
      <c r="A145" s="6" t="s">
        <v>757</v>
      </c>
      <c r="B145" s="6">
        <f>'Results - raw data ReCiPe (H)'!BC18*AC128*AC130</f>
        <v>94.898922521686899</v>
      </c>
      <c r="AB145" s="282"/>
      <c r="AC145" s="282"/>
      <c r="AD145" s="282"/>
      <c r="AE145" s="282"/>
      <c r="AF145" s="282"/>
      <c r="AG145" s="282"/>
      <c r="AH145" s="282"/>
      <c r="AI145" s="282"/>
      <c r="AJ145" s="282"/>
      <c r="AK145" s="282"/>
      <c r="AL145" s="282"/>
      <c r="AM145" s="282"/>
      <c r="AN145" s="282"/>
      <c r="AO145" s="282"/>
      <c r="AP145" s="282"/>
      <c r="AQ145" s="282"/>
      <c r="AR145" s="282"/>
      <c r="AS145" s="282"/>
      <c r="AT145" s="282"/>
      <c r="AU145" s="282"/>
      <c r="AV145" s="282"/>
      <c r="AW145" s="282"/>
      <c r="AX145" s="282"/>
      <c r="AY145" s="282"/>
      <c r="AZ145" s="282"/>
      <c r="BA145" s="282"/>
    </row>
    <row r="146" spans="1:53" outlineLevel="1" x14ac:dyDescent="0.35">
      <c r="A146" s="6" t="s">
        <v>22</v>
      </c>
      <c r="Z146" s="6">
        <f>'Results - raw data ReCiPe (H)'!CA19</f>
        <v>0.33395801233910632</v>
      </c>
      <c r="AB146" s="282"/>
      <c r="AC146" s="282"/>
      <c r="AD146" s="282"/>
      <c r="AE146" s="282"/>
      <c r="AF146" s="282"/>
      <c r="AG146" s="282"/>
      <c r="AH146" s="282"/>
      <c r="AI146" s="282"/>
      <c r="AJ146" s="282"/>
      <c r="AK146" s="282"/>
      <c r="AL146" s="282"/>
      <c r="AM146" s="282"/>
      <c r="AN146" s="282"/>
      <c r="AO146" s="282"/>
      <c r="AP146" s="282"/>
      <c r="AQ146" s="282"/>
      <c r="AR146" s="282"/>
      <c r="AS146" s="282"/>
      <c r="AT146" s="282"/>
      <c r="AU146" s="282"/>
      <c r="AV146" s="282"/>
      <c r="AW146" s="282"/>
      <c r="AX146" s="282"/>
      <c r="AY146" s="282"/>
      <c r="AZ146" s="282"/>
      <c r="BA146" s="282"/>
    </row>
    <row r="147" spans="1:53" outlineLevel="1" x14ac:dyDescent="0.35">
      <c r="A147" s="6" t="s">
        <v>24</v>
      </c>
      <c r="Z147" s="6">
        <f>'Results - raw data ReCiPe (H)'!CA20</f>
        <v>0.37173071983864131</v>
      </c>
      <c r="AB147" s="282"/>
      <c r="AC147" s="282"/>
      <c r="AD147" s="282"/>
      <c r="AE147" s="282"/>
      <c r="AF147" s="282"/>
      <c r="AG147" s="282"/>
      <c r="AH147" s="282"/>
      <c r="AI147" s="282"/>
      <c r="AJ147" s="282"/>
      <c r="AK147" s="282"/>
      <c r="AL147" s="282"/>
      <c r="AM147" s="282"/>
      <c r="AN147" s="282"/>
      <c r="AO147" s="282"/>
      <c r="AP147" s="282"/>
      <c r="AQ147" s="282"/>
      <c r="AR147" s="282"/>
      <c r="AS147" s="282"/>
      <c r="AT147" s="282"/>
      <c r="AU147" s="282"/>
      <c r="AV147" s="282"/>
      <c r="AW147" s="282"/>
      <c r="AX147" s="282"/>
      <c r="AY147" s="282"/>
      <c r="AZ147" s="282"/>
      <c r="BA147" s="282"/>
    </row>
    <row r="148" spans="1:53" outlineLevel="1" x14ac:dyDescent="0.35">
      <c r="A148" s="6" t="s">
        <v>25</v>
      </c>
      <c r="Z148" s="6">
        <f>'Results - raw data ReCiPe (H)'!CA21</f>
        <v>1.714035723002332</v>
      </c>
      <c r="AB148" s="282"/>
      <c r="AC148" s="282"/>
      <c r="AD148" s="282"/>
      <c r="AE148" s="282"/>
      <c r="AF148" s="282"/>
      <c r="AG148" s="282"/>
      <c r="AH148" s="282"/>
      <c r="AI148" s="282"/>
      <c r="AJ148" s="282"/>
      <c r="AK148" s="282"/>
      <c r="AL148" s="282"/>
      <c r="AM148" s="282"/>
      <c r="AN148" s="282"/>
      <c r="AO148" s="282"/>
      <c r="AP148" s="282"/>
      <c r="AQ148" s="282"/>
      <c r="AR148" s="282"/>
      <c r="AS148" s="282"/>
      <c r="AT148" s="282"/>
      <c r="AU148" s="282"/>
      <c r="AV148" s="282"/>
      <c r="AW148" s="282"/>
      <c r="AX148" s="282"/>
      <c r="AY148" s="282"/>
      <c r="AZ148" s="282"/>
      <c r="BA148" s="282"/>
    </row>
    <row r="149" spans="1:53" outlineLevel="1" x14ac:dyDescent="0.35">
      <c r="A149" s="6" t="s">
        <v>27</v>
      </c>
      <c r="Z149" s="6">
        <f>'Results - raw data ReCiPe (H)'!CA22</f>
        <v>1.0332091254007969</v>
      </c>
      <c r="AB149" s="282"/>
      <c r="AC149" s="282"/>
      <c r="AD149" s="282"/>
      <c r="AE149" s="282"/>
      <c r="AF149" s="282"/>
      <c r="AG149" s="282"/>
      <c r="AH149" s="282"/>
      <c r="AI149" s="282"/>
      <c r="AJ149" s="282"/>
      <c r="AK149" s="282"/>
      <c r="AL149" s="282"/>
      <c r="AM149" s="282"/>
      <c r="AN149" s="282"/>
      <c r="AO149" s="282"/>
      <c r="AP149" s="282"/>
      <c r="AQ149" s="282"/>
      <c r="AR149" s="282"/>
      <c r="AS149" s="282"/>
      <c r="AT149" s="282"/>
      <c r="AU149" s="282"/>
      <c r="AV149" s="282"/>
      <c r="AW149" s="282"/>
      <c r="AX149" s="282"/>
      <c r="AY149" s="282"/>
      <c r="AZ149" s="282"/>
      <c r="BA149" s="282"/>
    </row>
    <row r="150" spans="1:53" outlineLevel="1" x14ac:dyDescent="0.35">
      <c r="A150" s="6" t="s">
        <v>30</v>
      </c>
      <c r="Z150" s="6">
        <f>'Results - raw data ReCiPe (H)'!CA23</f>
        <v>0.41012544069368462</v>
      </c>
      <c r="AB150" s="282"/>
      <c r="AC150" s="282"/>
      <c r="AD150" s="282"/>
      <c r="AE150" s="282"/>
      <c r="AF150" s="282"/>
      <c r="AG150" s="282"/>
      <c r="AH150" s="282"/>
      <c r="AI150" s="282"/>
      <c r="AJ150" s="282"/>
      <c r="AK150" s="282"/>
      <c r="AL150" s="282"/>
      <c r="AM150" s="282"/>
      <c r="AN150" s="282"/>
      <c r="AO150" s="282"/>
      <c r="AP150" s="282"/>
      <c r="AQ150" s="282"/>
      <c r="AR150" s="282"/>
      <c r="AS150" s="282"/>
      <c r="AT150" s="282"/>
      <c r="AU150" s="282"/>
      <c r="AV150" s="282"/>
      <c r="AW150" s="282"/>
      <c r="AX150" s="282"/>
      <c r="AY150" s="282"/>
      <c r="AZ150" s="282"/>
      <c r="BA150" s="282"/>
    </row>
    <row r="151" spans="1:53" outlineLevel="1" x14ac:dyDescent="0.35">
      <c r="A151" s="6" t="s">
        <v>32</v>
      </c>
      <c r="Z151" s="6">
        <f>'Results - raw data ReCiPe (H)'!CA24</f>
        <v>0.18408066799283429</v>
      </c>
      <c r="AB151" s="282"/>
      <c r="AC151" s="282"/>
      <c r="AD151" s="282"/>
      <c r="AE151" s="282"/>
      <c r="AF151" s="282"/>
      <c r="AG151" s="282"/>
      <c r="AH151" s="282"/>
      <c r="AI151" s="282"/>
      <c r="AJ151" s="282"/>
      <c r="AK151" s="282"/>
      <c r="AL151" s="282"/>
      <c r="AM151" s="282"/>
      <c r="AN151" s="282"/>
      <c r="AO151" s="282"/>
      <c r="AP151" s="282"/>
      <c r="AQ151" s="282"/>
      <c r="AR151" s="282"/>
      <c r="AS151" s="282"/>
      <c r="AT151" s="282"/>
      <c r="AU151" s="282"/>
      <c r="AV151" s="282"/>
      <c r="AW151" s="282"/>
      <c r="AX151" s="282"/>
      <c r="AY151" s="282"/>
      <c r="AZ151" s="282"/>
      <c r="BA151" s="282"/>
    </row>
    <row r="152" spans="1:53" outlineLevel="1" x14ac:dyDescent="0.35">
      <c r="A152" s="6" t="s">
        <v>33</v>
      </c>
      <c r="Z152" s="6">
        <f>'Results - raw data ReCiPe (H)'!CA25</f>
        <v>0.10625470952361479</v>
      </c>
      <c r="AB152" s="282"/>
      <c r="AC152" s="282"/>
      <c r="AD152" s="282"/>
      <c r="AE152" s="282"/>
      <c r="AF152" s="282"/>
      <c r="AG152" s="282"/>
      <c r="AH152" s="282"/>
      <c r="AI152" s="282"/>
      <c r="AJ152" s="282"/>
      <c r="AK152" s="282"/>
      <c r="AL152" s="282"/>
      <c r="AM152" s="282"/>
      <c r="AN152" s="282"/>
      <c r="AO152" s="282"/>
      <c r="AP152" s="282"/>
      <c r="AQ152" s="282"/>
      <c r="AR152" s="282"/>
      <c r="AS152" s="282"/>
      <c r="AT152" s="282"/>
      <c r="AU152" s="282"/>
      <c r="AV152" s="282"/>
      <c r="AW152" s="282"/>
      <c r="AX152" s="282"/>
      <c r="AY152" s="282"/>
      <c r="AZ152" s="282"/>
      <c r="BA152" s="282"/>
    </row>
    <row r="153" spans="1:53" outlineLevel="1" x14ac:dyDescent="0.35">
      <c r="A153" s="6" t="s">
        <v>35</v>
      </c>
      <c r="Z153" s="6">
        <f>'Results - raw data ReCiPe (H)'!CA26</f>
        <v>0.21250941904722959</v>
      </c>
      <c r="AB153" s="282"/>
      <c r="AC153" s="282"/>
      <c r="AD153" s="282"/>
      <c r="AE153" s="282"/>
      <c r="AF153" s="282"/>
      <c r="AG153" s="282"/>
      <c r="AH153" s="282"/>
      <c r="AI153" s="282"/>
      <c r="AJ153" s="282"/>
      <c r="AK153" s="282"/>
      <c r="AL153" s="282"/>
      <c r="AM153" s="282"/>
      <c r="AN153" s="282"/>
      <c r="AO153" s="282"/>
      <c r="AP153" s="282"/>
      <c r="AQ153" s="282"/>
      <c r="AR153" s="282"/>
      <c r="AS153" s="282"/>
      <c r="AT153" s="282"/>
      <c r="AU153" s="282"/>
      <c r="AV153" s="282"/>
      <c r="AW153" s="282"/>
      <c r="AX153" s="282"/>
      <c r="AY153" s="282"/>
      <c r="AZ153" s="282"/>
      <c r="BA153" s="282"/>
    </row>
    <row r="154" spans="1:53" outlineLevel="1" x14ac:dyDescent="0.35">
      <c r="A154" s="6" t="s">
        <v>37</v>
      </c>
      <c r="Z154" s="6">
        <f>'Results - raw data ReCiPe (H)'!CA27</f>
        <v>3.1326169217173172</v>
      </c>
      <c r="AB154" s="282"/>
      <c r="AC154" s="282"/>
      <c r="AD154" s="282"/>
      <c r="AE154" s="282"/>
      <c r="AF154" s="282"/>
      <c r="AG154" s="282"/>
      <c r="AH154" s="282"/>
      <c r="AI154" s="282"/>
      <c r="AJ154" s="282"/>
      <c r="AK154" s="282"/>
      <c r="AL154" s="282"/>
      <c r="AM154" s="282"/>
      <c r="AN154" s="282"/>
      <c r="AO154" s="282"/>
      <c r="AP154" s="282"/>
      <c r="AQ154" s="282"/>
      <c r="AR154" s="282"/>
      <c r="AS154" s="282"/>
      <c r="AT154" s="282"/>
      <c r="AU154" s="282"/>
      <c r="AV154" s="282"/>
      <c r="AW154" s="282"/>
      <c r="AX154" s="282"/>
      <c r="AY154" s="282"/>
      <c r="AZ154" s="282"/>
      <c r="BA154" s="282"/>
    </row>
    <row r="155" spans="1:53" outlineLevel="1" x14ac:dyDescent="0.35">
      <c r="A155" s="6" t="s">
        <v>40</v>
      </c>
      <c r="Z155" s="6">
        <f>'Results - raw data ReCiPe (H)'!CA28</f>
        <v>1.4887444792608839</v>
      </c>
    </row>
    <row r="156" spans="1:53" outlineLevel="1" x14ac:dyDescent="0.35">
      <c r="A156" s="6" t="s">
        <v>42</v>
      </c>
      <c r="Z156" s="6">
        <f>'Results - raw data ReCiPe (H)'!CA29</f>
        <v>3.9196001600090971</v>
      </c>
    </row>
    <row r="157" spans="1:53" outlineLevel="1" x14ac:dyDescent="0.35">
      <c r="A157" s="6" t="s">
        <v>115</v>
      </c>
      <c r="Z157" s="6">
        <f>'Results - raw data ReCiPe (H)'!CA30</f>
        <v>32.729008967767257</v>
      </c>
    </row>
    <row r="158" spans="1:53" outlineLevel="1" x14ac:dyDescent="0.35">
      <c r="A158" s="6" t="s">
        <v>45</v>
      </c>
      <c r="Z158" s="6">
        <f>'Results - raw data ReCiPe (H)'!CA31*AC128*AC130</f>
        <v>1.3426574437184902</v>
      </c>
    </row>
    <row r="159" spans="1:53" outlineLevel="1" x14ac:dyDescent="0.35">
      <c r="A159" s="6" t="s">
        <v>116</v>
      </c>
      <c r="B159" s="6">
        <f>'Results - raw data ReCiPe (H)'!BC32</f>
        <v>118.1930543229993</v>
      </c>
      <c r="C159" s="6">
        <f>'Results - raw data ReCiPe (H)'!BD32</f>
        <v>118.1495509706713</v>
      </c>
      <c r="D159" s="6">
        <f>'Results - raw data ReCiPe (H)'!BE32</f>
        <v>118.1066016748573</v>
      </c>
      <c r="E159" s="6">
        <f>'Results - raw data ReCiPe (H)'!BF32</f>
        <v>117.3708968791351</v>
      </c>
      <c r="F159" s="6">
        <f>'Results - raw data ReCiPe (H)'!BG32</f>
        <v>117.330317151248</v>
      </c>
      <c r="G159" s="6">
        <f>'Results - raw data ReCiPe (H)'!BH32</f>
        <v>117.29005129331981</v>
      </c>
      <c r="H159" s="6">
        <f>'Results - raw data ReCiPe (H)'!BI32</f>
        <v>117.2479070799383</v>
      </c>
      <c r="I159" s="6">
        <f>'Results - raw data ReCiPe (H)'!BJ32</f>
        <v>117.20587296292381</v>
      </c>
      <c r="J159" s="6">
        <f>'Results - raw data ReCiPe (H)'!BK32</f>
        <v>116.689582257802</v>
      </c>
      <c r="K159" s="6">
        <f>'Results - raw data ReCiPe (H)'!BL32</f>
        <v>116.65080958776529</v>
      </c>
      <c r="L159" s="6">
        <f>'Results - raw data ReCiPe (H)'!BM32</f>
        <v>116.6120881785565</v>
      </c>
      <c r="M159" s="6">
        <f>'Results - raw data ReCiPe (H)'!BN32</f>
        <v>116.59106485862949</v>
      </c>
      <c r="N159" s="6">
        <f>'Results - raw data ReCiPe (H)'!BO32</f>
        <v>116.5694194979278</v>
      </c>
      <c r="O159" s="6">
        <f>'Results - raw data ReCiPe (H)'!BP32</f>
        <v>116.40036881478591</v>
      </c>
      <c r="P159" s="6">
        <f>'Results - raw data ReCiPe (H)'!BQ32</f>
        <v>116.37866001322909</v>
      </c>
      <c r="Q159" s="6">
        <f>'Results - raw data ReCiPe (H)'!BR32</f>
        <v>116.3562974875733</v>
      </c>
      <c r="R159" s="6">
        <f>'Results - raw data ReCiPe (H)'!BS32</f>
        <v>116.3054484089124</v>
      </c>
      <c r="S159" s="6">
        <f>'Results - raw data ReCiPe (H)'!BT32</f>
        <v>116.25416343781561</v>
      </c>
      <c r="T159" s="6">
        <f>'Results - raw data ReCiPe (H)'!BU32</f>
        <v>116.0610845903859</v>
      </c>
      <c r="U159" s="6">
        <f>'Results - raw data ReCiPe (H)'!BV32</f>
        <v>116.0105572281381</v>
      </c>
      <c r="V159" s="6">
        <f>'Results - raw data ReCiPe (H)'!BW32</f>
        <v>115.959651673077</v>
      </c>
      <c r="W159" s="6">
        <f>'Results - raw data ReCiPe (H)'!BX32</f>
        <v>115.9379738654637</v>
      </c>
      <c r="X159" s="6">
        <f>'Results - raw data ReCiPe (H)'!BY32</f>
        <v>115.91683277888509</v>
      </c>
      <c r="Y159" s="6">
        <f>'Results - raw data ReCiPe (H)'!BZ32</f>
        <v>115.8960785606388</v>
      </c>
      <c r="Z159" s="6">
        <f>'Results - raw data ReCiPe (H)'!CA32</f>
        <v>115.8757111011497</v>
      </c>
    </row>
    <row r="160" spans="1:53" outlineLevel="1" x14ac:dyDescent="0.35">
      <c r="A160" s="6" t="s">
        <v>758</v>
      </c>
      <c r="B160" s="6">
        <f>'Results - raw data ReCiPe (H)'!BC167*$AC$128</f>
        <v>195.76172255046851</v>
      </c>
      <c r="C160" s="6">
        <f>'Results - raw data ReCiPe (H)'!BD167*$AC$128</f>
        <v>196.30148589353811</v>
      </c>
      <c r="D160" s="6">
        <f>'Results - raw data ReCiPe (H)'!BE167*$AC$128</f>
        <v>196.84487569979018</v>
      </c>
      <c r="E160" s="6">
        <f>'Results - raw data ReCiPe (H)'!BF167*$AC$128</f>
        <v>197.01108349836508</v>
      </c>
      <c r="F160" s="6">
        <f>'Results - raw data ReCiPe (H)'!BG167*$AC$128</f>
        <v>197.56637214637439</v>
      </c>
      <c r="G160" s="6">
        <f>'Results - raw data ReCiPe (H)'!BH167*$AC$128</f>
        <v>198.1248505113056</v>
      </c>
      <c r="H160" s="6">
        <f>'Results - raw data ReCiPe (H)'!BI167*$AC$128</f>
        <v>201.0336327118896</v>
      </c>
      <c r="I160" s="6">
        <f>'Results - raw data ReCiPe (H)'!BJ167*$AC$128</f>
        <v>203.9293270335265</v>
      </c>
      <c r="J160" s="6">
        <f>'Results - raw data ReCiPe (H)'!BK167*$AC$128</f>
        <v>206.53164214593019</v>
      </c>
      <c r="K160" s="6">
        <f>'Results - raw data ReCiPe (H)'!BL167*$AC$128</f>
        <v>209.41288864898362</v>
      </c>
      <c r="L160" s="6">
        <f>'Results - raw data ReCiPe (H)'!BM167*$AC$128</f>
        <v>212.2828472532</v>
      </c>
      <c r="M160" s="6">
        <f>'Results - raw data ReCiPe (H)'!BN167*$AC$128</f>
        <v>212.45450292244698</v>
      </c>
      <c r="N160" s="6">
        <f>'Results - raw data ReCiPe (H)'!BO167*$AC$128</f>
        <v>212.61635025047849</v>
      </c>
      <c r="O160" s="6">
        <f>'Results - raw data ReCiPe (H)'!BP167*$AC$128</f>
        <v>212.70125871557372</v>
      </c>
      <c r="P160" s="6">
        <f>'Results - raw data ReCiPe (H)'!BQ167*$AC$128</f>
        <v>212.84301969916569</v>
      </c>
      <c r="Q160" s="6">
        <f>'Results - raw data ReCiPe (H)'!BR167*$AC$128</f>
        <v>212.97372093898539</v>
      </c>
      <c r="R160" s="6">
        <f>'Results - raw data ReCiPe (H)'!BS167*$AC$128</f>
        <v>219.89336175473932</v>
      </c>
      <c r="S160" s="6">
        <f>'Results - raw data ReCiPe (H)'!BT167*$AC$128</f>
        <v>226.8026118924702</v>
      </c>
      <c r="T160" s="6">
        <f>'Results - raw data ReCiPe (H)'!BU167*$AC$128</f>
        <v>233.64305368362221</v>
      </c>
      <c r="U160" s="6">
        <f>'Results - raw data ReCiPe (H)'!BV167*$AC$128</f>
        <v>240.53623405225241</v>
      </c>
      <c r="V160" s="6">
        <f>'Results - raw data ReCiPe (H)'!BW167*$AC$128</f>
        <v>247.42187369609371</v>
      </c>
      <c r="W160" s="6">
        <f>'Results - raw data ReCiPe (H)'!BX167*$AC$128</f>
        <v>248.45751871708993</v>
      </c>
      <c r="X160" s="6">
        <f>'Results - raw data ReCiPe (H)'!BY167*$AC$128</f>
        <v>249.50527150164211</v>
      </c>
      <c r="Y160" s="6">
        <f>'Results - raw data ReCiPe (H)'!BZ167*$AC$128</f>
        <v>250.55677353235589</v>
      </c>
      <c r="Z160" s="6">
        <f>'Results - raw data ReCiPe (H)'!CA167*$AC$128</f>
        <v>251.61182169995388</v>
      </c>
    </row>
    <row r="161" spans="1:53" outlineLevel="1" x14ac:dyDescent="0.35">
      <c r="A161" s="6" t="s">
        <v>759</v>
      </c>
      <c r="B161" s="6">
        <f>'Results - raw data ReCiPe (H)'!BC34</f>
        <v>0</v>
      </c>
      <c r="C161" s="6">
        <f>'Results - raw data ReCiPe (H)'!BD34</f>
        <v>0</v>
      </c>
      <c r="D161" s="6">
        <f>'Results - raw data ReCiPe (H)'!BE34</f>
        <v>0</v>
      </c>
      <c r="E161" s="6">
        <f>'Results - raw data ReCiPe (H)'!BF34</f>
        <v>0</v>
      </c>
      <c r="F161" s="6">
        <f>'Results - raw data ReCiPe (H)'!BG34</f>
        <v>0</v>
      </c>
      <c r="G161" s="6">
        <f>'Results - raw data ReCiPe (H)'!BH34</f>
        <v>0</v>
      </c>
      <c r="H161" s="6">
        <f>'Results - raw data ReCiPe (H)'!BI34</f>
        <v>0</v>
      </c>
      <c r="I161" s="6">
        <f>'Results - raw data ReCiPe (H)'!BJ34</f>
        <v>0</v>
      </c>
      <c r="J161" s="6">
        <f>'Results - raw data ReCiPe (H)'!BK34</f>
        <v>0</v>
      </c>
      <c r="K161" s="6">
        <f>'Results - raw data ReCiPe (H)'!BL34</f>
        <v>0</v>
      </c>
      <c r="L161" s="6">
        <f>'Results - raw data ReCiPe (H)'!BM34</f>
        <v>0</v>
      </c>
      <c r="M161" s="6">
        <f>'Results - raw data ReCiPe (H)'!BN34</f>
        <v>0</v>
      </c>
      <c r="N161" s="6">
        <f>'Results - raw data ReCiPe (H)'!BO34</f>
        <v>0</v>
      </c>
      <c r="O161" s="6">
        <f>'Results - raw data ReCiPe (H)'!BP34</f>
        <v>0</v>
      </c>
      <c r="P161" s="6">
        <f>'Results - raw data ReCiPe (H)'!BQ34</f>
        <v>0</v>
      </c>
      <c r="Q161" s="6">
        <f>'Results - raw data ReCiPe (H)'!BR34</f>
        <v>0</v>
      </c>
      <c r="R161" s="6">
        <f>'Results - raw data ReCiPe (H)'!BS34</f>
        <v>0</v>
      </c>
      <c r="S161" s="6">
        <f>'Results - raw data ReCiPe (H)'!BT34</f>
        <v>0</v>
      </c>
      <c r="T161" s="6">
        <f>'Results - raw data ReCiPe (H)'!BU34</f>
        <v>0</v>
      </c>
      <c r="U161" s="6">
        <f>'Results - raw data ReCiPe (H)'!BV34</f>
        <v>0</v>
      </c>
      <c r="V161" s="6">
        <f>'Results - raw data ReCiPe (H)'!BW34</f>
        <v>0</v>
      </c>
      <c r="W161" s="6">
        <f>'Results - raw data ReCiPe (H)'!BX34</f>
        <v>0</v>
      </c>
      <c r="X161" s="6">
        <f>'Results - raw data ReCiPe (H)'!BY34</f>
        <v>0</v>
      </c>
      <c r="Y161" s="6">
        <f>'Results - raw data ReCiPe (H)'!BZ34</f>
        <v>0</v>
      </c>
      <c r="Z161" s="6">
        <f>'Results - raw data ReCiPe (H)'!CA34</f>
        <v>0</v>
      </c>
    </row>
    <row r="162" spans="1:53" outlineLevel="1" x14ac:dyDescent="0.35">
      <c r="A162" s="6" t="s">
        <v>760</v>
      </c>
      <c r="B162" s="6">
        <f>150000*($AC$129*'Results - raw data ReCiPe (H)'!BC114+(1-'Results ReCiPe (H) - HHD'!$AC$129)*'Results - raw data ReCiPe (H)'!BC115)</f>
        <v>1839.3449357343477</v>
      </c>
      <c r="C162" s="6">
        <f>150000*($AC$129*'Results - raw data ReCiPe (H)'!BD114+(1-'Results ReCiPe (H) - HHD'!$AC$129)*'Results - raw data ReCiPe (H)'!BD115)</f>
        <v>1847.3513936994136</v>
      </c>
      <c r="D162" s="6">
        <f>150000*($AC$129*'Results - raw data ReCiPe (H)'!BE114+(1-'Results ReCiPe (H) - HHD'!$AC$129)*'Results - raw data ReCiPe (H)'!BE115)</f>
        <v>1855.4295959568169</v>
      </c>
      <c r="E162" s="6">
        <f>150000*($AC$129*'Results - raw data ReCiPe (H)'!BF114+(1-'Results ReCiPe (H) - HHD'!$AC$129)*'Results - raw data ReCiPe (H)'!BF115)</f>
        <v>1859.703558427419</v>
      </c>
      <c r="F162" s="6">
        <f>150000*($AC$129*'Results - raw data ReCiPe (H)'!BG114+(1-'Results ReCiPe (H) - HHD'!$AC$129)*'Results - raw data ReCiPe (H)'!BG115)</f>
        <v>1867.9709163799405</v>
      </c>
      <c r="G162" s="6">
        <f>150000*($AC$129*'Results - raw data ReCiPe (H)'!BH114+(1-'Results ReCiPe (H) - HHD'!$AC$129)*'Results - raw data ReCiPe (H)'!BH115)</f>
        <v>1876.306514134126</v>
      </c>
      <c r="H162" s="6">
        <f>150000*($AC$129*'Results - raw data ReCiPe (H)'!BI114+(1-'Results ReCiPe (H) - HHD'!$AC$129)*'Results - raw data ReCiPe (H)'!BI115)</f>
        <v>1907.948299444816</v>
      </c>
      <c r="I162" s="6">
        <f>150000*($AC$129*'Results - raw data ReCiPe (H)'!BJ114+(1-'Results ReCiPe (H) - HHD'!$AC$129)*'Results - raw data ReCiPe (H)'!BJ115)</f>
        <v>1939.5544371942856</v>
      </c>
      <c r="J162" s="6">
        <f>150000*($AC$129*'Results - raw data ReCiPe (H)'!BK114+(1-'Results ReCiPe (H) - HHD'!$AC$129)*'Results - raw data ReCiPe (H)'!BK115)</f>
        <v>1968.282277329135</v>
      </c>
      <c r="K162" s="6">
        <f>150000*($AC$129*'Results - raw data ReCiPe (H)'!BL114+(1-'Results ReCiPe (H) - HHD'!$AC$129)*'Results - raw data ReCiPe (H)'!BL115)</f>
        <v>1999.9319314688889</v>
      </c>
      <c r="L162" s="6">
        <f>150000*($AC$129*'Results - raw data ReCiPe (H)'!BM114+(1-'Results ReCiPe (H) - HHD'!$AC$129)*'Results - raw data ReCiPe (H)'!BM115)</f>
        <v>2031.5627063350501</v>
      </c>
      <c r="M162" s="6">
        <f>150000*($AC$129*'Results - raw data ReCiPe (H)'!BN114+(1-'Results ReCiPe (H) - HHD'!$AC$129)*'Results - raw data ReCiPe (H)'!BN115)</f>
        <v>2035.2554294482479</v>
      </c>
      <c r="N162" s="6">
        <f>150000*($AC$129*'Results - raw data ReCiPe (H)'!BO114+(1-'Results ReCiPe (H) - HHD'!$AC$129)*'Results - raw data ReCiPe (H)'!BO115)</f>
        <v>2038.8616388868502</v>
      </c>
      <c r="O162" s="6">
        <f>150000*($AC$129*'Results - raw data ReCiPe (H)'!BP114+(1-'Results ReCiPe (H) - HHD'!$AC$129)*'Results - raw data ReCiPe (H)'!BP115)</f>
        <v>2041.6999854561732</v>
      </c>
      <c r="P162" s="6">
        <f>150000*($AC$129*'Results - raw data ReCiPe (H)'!BQ114+(1-'Results ReCiPe (H) - HHD'!$AC$129)*'Results - raw data ReCiPe (H)'!BQ115)</f>
        <v>2045.1258920077817</v>
      </c>
      <c r="Q162" s="6">
        <f>150000*($AC$129*'Results - raw data ReCiPe (H)'!BR114+(1-'Results ReCiPe (H) - HHD'!$AC$129)*'Results - raw data ReCiPe (H)'!BR115)</f>
        <v>2048.4529491289159</v>
      </c>
      <c r="R162" s="6">
        <f>150000*($AC$129*'Results - raw data ReCiPe (H)'!BS114+(1-'Results ReCiPe (H) - HHD'!$AC$129)*'Results - raw data ReCiPe (H)'!BS115)</f>
        <v>2120.9738547707802</v>
      </c>
      <c r="S162" s="6">
        <f>150000*($AC$129*'Results - raw data ReCiPe (H)'!BT114+(1-'Results ReCiPe (H) - HHD'!$AC$129)*'Results - raw data ReCiPe (H)'!BT115)</f>
        <v>2193.5292893363185</v>
      </c>
      <c r="T162" s="6">
        <f>150000*($AC$129*'Results - raw data ReCiPe (H)'!BU114+(1-'Results ReCiPe (H) - HHD'!$AC$129)*'Results - raw data ReCiPe (H)'!BU115)</f>
        <v>2265.5241417441844</v>
      </c>
      <c r="U162" s="6">
        <f>150000*($AC$129*'Results - raw data ReCiPe (H)'!BV114+(1-'Results ReCiPe (H) - HHD'!$AC$129)*'Results - raw data ReCiPe (H)'!BV115)</f>
        <v>2338.1968350458656</v>
      </c>
      <c r="V162" s="6">
        <f>150000*($AC$129*'Results - raw data ReCiPe (H)'!BW114+(1-'Results ReCiPe (H) - HHD'!$AC$129)*'Results - raw data ReCiPe (H)'!BW115)</f>
        <v>2410.9335818739069</v>
      </c>
      <c r="W162" s="6">
        <f>150000*($AC$129*'Results - raw data ReCiPe (H)'!BX114+(1-'Results ReCiPe (H) - HHD'!$AC$129)*'Results - raw data ReCiPe (H)'!BX115)</f>
        <v>2425.9539149219522</v>
      </c>
      <c r="X162" s="6">
        <f>150000*($AC$129*'Results - raw data ReCiPe (H)'!BY114+(1-'Results ReCiPe (H) - HHD'!$AC$129)*'Results - raw data ReCiPe (H)'!BY115)</f>
        <v>2441.1153330716429</v>
      </c>
      <c r="Y162" s="6">
        <f>150000*($AC$129*'Results - raw data ReCiPe (H)'!BZ114+(1-'Results ReCiPe (H) - HHD'!$AC$129)*'Results - raw data ReCiPe (H)'!BZ115)</f>
        <v>2456.378620962304</v>
      </c>
      <c r="Z162" s="6">
        <f>150000*($AC$129*'Results - raw data ReCiPe (H)'!CA114+(1-'Results ReCiPe (H) - HHD'!$AC$129)*'Results - raw data ReCiPe (H)'!CA115)</f>
        <v>2471.7432703896347</v>
      </c>
    </row>
    <row r="163" spans="1:53" outlineLevel="1" x14ac:dyDescent="0.35">
      <c r="A163" s="23" t="s">
        <v>125</v>
      </c>
      <c r="B163" s="17">
        <f t="shared" ref="B163:Z163" si="18">SUM(B132:B162)</f>
        <v>5316.1605453909951</v>
      </c>
      <c r="C163" s="17">
        <f t="shared" si="18"/>
        <v>2161.8024305636231</v>
      </c>
      <c r="D163" s="17">
        <f t="shared" si="18"/>
        <v>2170.3810733314644</v>
      </c>
      <c r="E163" s="17">
        <f t="shared" si="18"/>
        <v>2174.0855388049195</v>
      </c>
      <c r="F163" s="17">
        <f t="shared" si="18"/>
        <v>2182.867605677563</v>
      </c>
      <c r="G163" s="17">
        <f t="shared" si="18"/>
        <v>2191.7214159387513</v>
      </c>
      <c r="H163" s="17">
        <f t="shared" si="18"/>
        <v>2226.2298392366438</v>
      </c>
      <c r="I163" s="17">
        <f t="shared" si="18"/>
        <v>2260.689637190736</v>
      </c>
      <c r="J163" s="17">
        <f t="shared" si="18"/>
        <v>2291.5035017328673</v>
      </c>
      <c r="K163" s="17">
        <f t="shared" si="18"/>
        <v>2325.9956297056378</v>
      </c>
      <c r="L163" s="17">
        <f t="shared" si="18"/>
        <v>2360.4576417668068</v>
      </c>
      <c r="M163" s="17">
        <f t="shared" si="18"/>
        <v>2364.3009972293244</v>
      </c>
      <c r="N163" s="17">
        <f t="shared" si="18"/>
        <v>2368.0474086352565</v>
      </c>
      <c r="O163" s="17">
        <f t="shared" si="18"/>
        <v>2370.8016129865327</v>
      </c>
      <c r="P163" s="17">
        <f t="shared" si="18"/>
        <v>2374.3475717201763</v>
      </c>
      <c r="Q163" s="17">
        <f t="shared" si="18"/>
        <v>2377.7829675554744</v>
      </c>
      <c r="R163" s="17">
        <f t="shared" si="18"/>
        <v>2457.1726649344319</v>
      </c>
      <c r="S163" s="17">
        <f t="shared" si="18"/>
        <v>2536.5860646666042</v>
      </c>
      <c r="T163" s="17">
        <f t="shared" si="18"/>
        <v>2615.2282800181924</v>
      </c>
      <c r="U163" s="17">
        <f t="shared" si="18"/>
        <v>2694.7436263262562</v>
      </c>
      <c r="V163" s="17">
        <f t="shared" si="18"/>
        <v>2774.3151072430774</v>
      </c>
      <c r="W163" s="17">
        <f t="shared" si="18"/>
        <v>2790.349407504506</v>
      </c>
      <c r="X163" s="17">
        <f t="shared" si="18"/>
        <v>2806.5374373521699</v>
      </c>
      <c r="Y163" s="17">
        <f t="shared" si="18"/>
        <v>2822.8314730552988</v>
      </c>
      <c r="Z163" s="17">
        <f t="shared" si="18"/>
        <v>2886.2093349810498</v>
      </c>
    </row>
    <row r="164" spans="1:53" outlineLevel="1" x14ac:dyDescent="0.35"/>
    <row r="165" spans="1:53" s="18" customFormat="1" ht="21" x14ac:dyDescent="0.5">
      <c r="A165" s="18" t="s">
        <v>73</v>
      </c>
    </row>
    <row r="166" spans="1:53" s="20" customFormat="1" outlineLevel="1" x14ac:dyDescent="0.35">
      <c r="A166" s="19" t="s">
        <v>766</v>
      </c>
    </row>
    <row r="167" spans="1:53" s="16" customFormat="1" outlineLevel="1" x14ac:dyDescent="0.35">
      <c r="A167" s="21"/>
      <c r="AE167" s="15"/>
    </row>
    <row r="168" spans="1:53" s="16" customFormat="1" outlineLevel="1" x14ac:dyDescent="0.35">
      <c r="A168" s="22" t="s">
        <v>761</v>
      </c>
    </row>
    <row r="169" spans="1:53" s="16" customFormat="1" outlineLevel="1" x14ac:dyDescent="0.35">
      <c r="A169" s="22"/>
      <c r="AB169" s="16" t="s">
        <v>127</v>
      </c>
      <c r="AC169" s="16">
        <v>100</v>
      </c>
      <c r="AD169" s="16" t="s">
        <v>128</v>
      </c>
    </row>
    <row r="170" spans="1:53" s="16" customFormat="1" outlineLevel="1" x14ac:dyDescent="0.35">
      <c r="A170" s="230" t="s">
        <v>768</v>
      </c>
      <c r="AB170" s="16" t="s">
        <v>20</v>
      </c>
      <c r="AC170" s="16">
        <v>0.23</v>
      </c>
      <c r="AD170" s="16" t="s">
        <v>715</v>
      </c>
    </row>
    <row r="171" spans="1:53" s="16" customFormat="1" outlineLevel="1" x14ac:dyDescent="0.35">
      <c r="A171" s="22"/>
      <c r="AB171" s="16" t="s">
        <v>129</v>
      </c>
      <c r="AC171" s="16">
        <v>25</v>
      </c>
      <c r="AD171" s="16" t="s">
        <v>130</v>
      </c>
    </row>
    <row r="172" spans="1:53" outlineLevel="1" x14ac:dyDescent="0.35">
      <c r="B172" s="25">
        <v>2030</v>
      </c>
      <c r="C172" s="25">
        <v>2031</v>
      </c>
      <c r="D172" s="25">
        <v>2032</v>
      </c>
      <c r="E172" s="25">
        <v>2033</v>
      </c>
      <c r="F172" s="25">
        <v>2034</v>
      </c>
      <c r="G172" s="25">
        <v>2035</v>
      </c>
      <c r="H172" s="25">
        <v>2036</v>
      </c>
      <c r="I172" s="25">
        <v>2037</v>
      </c>
      <c r="J172" s="25">
        <v>2038</v>
      </c>
      <c r="K172" s="25">
        <v>2039</v>
      </c>
      <c r="L172" s="25">
        <v>2040</v>
      </c>
      <c r="M172" s="25">
        <v>2041</v>
      </c>
      <c r="N172" s="25">
        <v>2042</v>
      </c>
      <c r="O172" s="25">
        <v>2043</v>
      </c>
      <c r="P172" s="25">
        <v>2044</v>
      </c>
      <c r="Q172" s="25">
        <v>2045</v>
      </c>
      <c r="R172" s="25">
        <v>2046</v>
      </c>
      <c r="S172" s="25">
        <v>2047</v>
      </c>
      <c r="T172" s="25">
        <v>2048</v>
      </c>
      <c r="U172" s="25">
        <v>2049</v>
      </c>
      <c r="V172" s="25">
        <v>2050</v>
      </c>
      <c r="W172" s="25">
        <v>2051</v>
      </c>
      <c r="X172" s="25">
        <v>2052</v>
      </c>
      <c r="Y172" s="25">
        <v>2053</v>
      </c>
      <c r="Z172" s="25">
        <v>2054</v>
      </c>
      <c r="AC172" s="25">
        <v>2030</v>
      </c>
      <c r="AD172" s="25">
        <v>2031</v>
      </c>
      <c r="AE172" s="25">
        <v>2032</v>
      </c>
      <c r="AF172" s="25">
        <v>2033</v>
      </c>
      <c r="AG172" s="25">
        <v>2034</v>
      </c>
      <c r="AH172" s="25">
        <v>2035</v>
      </c>
      <c r="AI172" s="25">
        <v>2036</v>
      </c>
      <c r="AJ172" s="25">
        <v>2037</v>
      </c>
      <c r="AK172" s="25">
        <v>2038</v>
      </c>
      <c r="AL172" s="25">
        <v>2039</v>
      </c>
      <c r="AM172" s="25">
        <v>2040</v>
      </c>
      <c r="AN172" s="25">
        <v>2041</v>
      </c>
      <c r="AO172" s="25">
        <v>2042</v>
      </c>
      <c r="AP172" s="25">
        <v>2043</v>
      </c>
      <c r="AQ172" s="25">
        <v>2044</v>
      </c>
      <c r="AR172" s="25">
        <v>2045</v>
      </c>
      <c r="AS172" s="25">
        <v>2046</v>
      </c>
      <c r="AT172" s="25">
        <v>2047</v>
      </c>
      <c r="AU172" s="25">
        <v>2048</v>
      </c>
      <c r="AV172" s="25">
        <v>2049</v>
      </c>
      <c r="AW172" s="25">
        <v>2050</v>
      </c>
      <c r="AX172" s="25">
        <v>2051</v>
      </c>
      <c r="AY172" s="25">
        <v>2052</v>
      </c>
      <c r="AZ172" s="25">
        <v>2053</v>
      </c>
      <c r="BA172" s="25">
        <v>2054</v>
      </c>
    </row>
    <row r="173" spans="1:53" outlineLevel="1" x14ac:dyDescent="0.35">
      <c r="A173" s="6" t="s">
        <v>21</v>
      </c>
      <c r="B173" s="6">
        <f>'Results - raw data ReCiPe (H)'!BC41</f>
        <v>74.575809260309001</v>
      </c>
      <c r="AB173" s="6" t="s">
        <v>117</v>
      </c>
      <c r="AC173" s="6">
        <f>SUM(B173:B184)+B186</f>
        <v>2837.5515154411646</v>
      </c>
    </row>
    <row r="174" spans="1:53" outlineLevel="1" x14ac:dyDescent="0.35">
      <c r="A174" s="6" t="s">
        <v>23</v>
      </c>
      <c r="B174" s="6">
        <f>'Results - raw data ReCiPe (H)'!BC42</f>
        <v>313.82231223638792</v>
      </c>
      <c r="AB174" s="6" t="s">
        <v>118</v>
      </c>
      <c r="AC174" s="6">
        <f>B185</f>
        <v>266.94496473340826</v>
      </c>
    </row>
    <row r="175" spans="1:53" outlineLevel="1" x14ac:dyDescent="0.35">
      <c r="A175" s="6" t="s">
        <v>26</v>
      </c>
      <c r="B175" s="6">
        <f>'Results - raw data ReCiPe (H)'!BC43</f>
        <v>315.02558376823708</v>
      </c>
      <c r="AB175" s="6" t="s">
        <v>119</v>
      </c>
      <c r="BA175" s="6">
        <f>SUM(Z187:Z198)</f>
        <v>41.794125692809452</v>
      </c>
    </row>
    <row r="176" spans="1:53" outlineLevel="1" x14ac:dyDescent="0.35">
      <c r="A176" s="6" t="s">
        <v>28</v>
      </c>
      <c r="B176" s="6">
        <f>'Results - raw data ReCiPe (H)'!BC44</f>
        <v>243.43520206801139</v>
      </c>
      <c r="AB176" s="6" t="s">
        <v>120</v>
      </c>
      <c r="BA176" s="6">
        <f>Z199</f>
        <v>1.2962860497828945</v>
      </c>
    </row>
    <row r="177" spans="1:53" outlineLevel="1" x14ac:dyDescent="0.35">
      <c r="A177" s="6" t="s">
        <v>29</v>
      </c>
      <c r="B177" s="6">
        <f>'Results - raw data ReCiPe (H)'!BC45</f>
        <v>119.8877128712579</v>
      </c>
      <c r="AB177" s="6" t="s">
        <v>121</v>
      </c>
      <c r="AC177" s="6">
        <f>B200</f>
        <v>117.4164153447413</v>
      </c>
      <c r="AF177" s="6">
        <f>E200</f>
        <v>116.14482404943</v>
      </c>
      <c r="AI177" s="6">
        <f>H200</f>
        <v>115.85431461269189</v>
      </c>
      <c r="AL177" s="6">
        <f>K200</f>
        <v>115.7060268138878</v>
      </c>
      <c r="AO177" s="6">
        <f>N200</f>
        <v>115.22430296168601</v>
      </c>
      <c r="AR177" s="6">
        <f>Q200</f>
        <v>114.21787004973891</v>
      </c>
      <c r="AU177" s="6">
        <f>T200</f>
        <v>113.3881732416237</v>
      </c>
      <c r="AX177" s="6">
        <f>W200</f>
        <v>112.8508899058024</v>
      </c>
      <c r="BA177" s="6">
        <f>Z200</f>
        <v>112.6235531268987</v>
      </c>
    </row>
    <row r="178" spans="1:53" outlineLevel="1" x14ac:dyDescent="0.35">
      <c r="A178" s="6" t="s">
        <v>31</v>
      </c>
      <c r="B178" s="6">
        <f>'Results - raw data ReCiPe (H)'!BC46</f>
        <v>85.211147912787794</v>
      </c>
      <c r="AB178" s="6" t="s">
        <v>122</v>
      </c>
      <c r="AC178" s="6">
        <f>B203+B202</f>
        <v>1896.4731859753776</v>
      </c>
      <c r="AD178" s="6">
        <f t="shared" ref="AD178:AV178" si="19">C203+C202</f>
        <v>1883.0280045309073</v>
      </c>
      <c r="AE178" s="6">
        <f t="shared" si="19"/>
        <v>1869.5947872097088</v>
      </c>
      <c r="AF178" s="6">
        <f t="shared" si="19"/>
        <v>1852.0556255314921</v>
      </c>
      <c r="AG178" s="6">
        <f t="shared" si="19"/>
        <v>1838.6596783462332</v>
      </c>
      <c r="AH178" s="6">
        <f t="shared" si="19"/>
        <v>1825.2704563907971</v>
      </c>
      <c r="AI178" s="6">
        <f t="shared" si="19"/>
        <v>1821.4805795570646</v>
      </c>
      <c r="AJ178" s="6">
        <f t="shared" si="19"/>
        <v>1817.6236908543658</v>
      </c>
      <c r="AK178" s="6">
        <f t="shared" si="19"/>
        <v>1810.183649328512</v>
      </c>
      <c r="AL178" s="6">
        <f t="shared" si="19"/>
        <v>1806.0149675403545</v>
      </c>
      <c r="AM178" s="6">
        <f t="shared" si="19"/>
        <v>1801.6963338431206</v>
      </c>
      <c r="AN178" s="6">
        <f t="shared" si="19"/>
        <v>1790.0305919538512</v>
      </c>
      <c r="AO178" s="6">
        <f t="shared" si="19"/>
        <v>1778.1616071811923</v>
      </c>
      <c r="AP178" s="6">
        <f t="shared" si="19"/>
        <v>1765.2538378409279</v>
      </c>
      <c r="AQ178" s="6">
        <f t="shared" si="19"/>
        <v>1752.9904831156948</v>
      </c>
      <c r="AR178" s="6">
        <f t="shared" si="19"/>
        <v>1740.5260527134133</v>
      </c>
      <c r="AS178" s="6">
        <f t="shared" si="19"/>
        <v>1750.6190305006162</v>
      </c>
      <c r="AT178" s="6">
        <f t="shared" si="19"/>
        <v>1760.5135391731683</v>
      </c>
      <c r="AU178" s="6">
        <f t="shared" si="19"/>
        <v>1769.3936271178084</v>
      </c>
      <c r="AV178" s="6">
        <f t="shared" si="19"/>
        <v>1778.9029692110787</v>
      </c>
      <c r="AW178" s="6">
        <f>V203</f>
        <v>1788.2181978358021</v>
      </c>
      <c r="AX178" s="6">
        <f>W203</f>
        <v>1771.8327195018851</v>
      </c>
      <c r="AY178" s="6">
        <f>X203</f>
        <v>1755.4500545425747</v>
      </c>
      <c r="AZ178" s="6">
        <f>Y203</f>
        <v>1739.0002212587565</v>
      </c>
      <c r="BA178" s="6">
        <f>Z203</f>
        <v>1722.4806429923171</v>
      </c>
    </row>
    <row r="179" spans="1:53" outlineLevel="1" x14ac:dyDescent="0.35">
      <c r="A179" s="6" t="s">
        <v>34</v>
      </c>
      <c r="B179" s="6">
        <f>'Results - raw data ReCiPe (H)'!BC47</f>
        <v>57.213045992396857</v>
      </c>
      <c r="AB179" s="6" t="s">
        <v>123</v>
      </c>
      <c r="AC179" s="6">
        <f t="shared" ref="AC179:BA179" si="20">B201</f>
        <v>200.64428013390173</v>
      </c>
      <c r="AD179" s="6">
        <f t="shared" si="20"/>
        <v>198.88987102701171</v>
      </c>
      <c r="AE179" s="6">
        <f t="shared" si="20"/>
        <v>197.14183434126971</v>
      </c>
      <c r="AF179" s="6">
        <f t="shared" si="20"/>
        <v>194.9959183591115</v>
      </c>
      <c r="AG179" s="6">
        <f t="shared" si="20"/>
        <v>193.2624144529706</v>
      </c>
      <c r="AH179" s="6">
        <f t="shared" si="20"/>
        <v>191.53490018423719</v>
      </c>
      <c r="AI179" s="6">
        <f t="shared" si="20"/>
        <v>190.9975749317953</v>
      </c>
      <c r="AJ179" s="6">
        <f t="shared" si="20"/>
        <v>190.4517415185353</v>
      </c>
      <c r="AK179" s="6">
        <f t="shared" si="20"/>
        <v>189.55284221781989</v>
      </c>
      <c r="AL179" s="6">
        <f t="shared" si="20"/>
        <v>188.9767026724202</v>
      </c>
      <c r="AM179" s="6">
        <f t="shared" si="20"/>
        <v>188.38664248840891</v>
      </c>
      <c r="AN179" s="6">
        <f t="shared" si="20"/>
        <v>187.22532996797722</v>
      </c>
      <c r="AO179" s="6">
        <f t="shared" si="20"/>
        <v>186.04470531712519</v>
      </c>
      <c r="AP179" s="6">
        <f t="shared" si="20"/>
        <v>184.7625314071924</v>
      </c>
      <c r="AQ179" s="6">
        <f t="shared" si="20"/>
        <v>183.54449771318281</v>
      </c>
      <c r="AR179" s="6">
        <f t="shared" si="20"/>
        <v>182.30739946394971</v>
      </c>
      <c r="AS179" s="6">
        <f t="shared" si="20"/>
        <v>183.5566604619637</v>
      </c>
      <c r="AT179" s="6">
        <f t="shared" si="20"/>
        <v>184.79229458687769</v>
      </c>
      <c r="AU179" s="6">
        <f t="shared" si="20"/>
        <v>185.9338856299583</v>
      </c>
      <c r="AV179" s="6">
        <f t="shared" si="20"/>
        <v>187.14268841019211</v>
      </c>
      <c r="AW179" s="6">
        <f t="shared" si="20"/>
        <v>188.3380573783914</v>
      </c>
      <c r="AX179" s="6">
        <f t="shared" si="20"/>
        <v>186.4779317854391</v>
      </c>
      <c r="AY179" s="6">
        <f t="shared" si="20"/>
        <v>184.62669982481441</v>
      </c>
      <c r="AZ179" s="6">
        <f t="shared" si="20"/>
        <v>182.77386974818862</v>
      </c>
      <c r="BA179" s="6">
        <f t="shared" si="20"/>
        <v>180.91913840904829</v>
      </c>
    </row>
    <row r="180" spans="1:53" outlineLevel="1" x14ac:dyDescent="0.35">
      <c r="A180" s="6" t="s">
        <v>36</v>
      </c>
      <c r="B180" s="6">
        <f>'Results - raw data ReCiPe (H)'!BC48</f>
        <v>60.149320712686112</v>
      </c>
      <c r="AB180" s="6" t="s">
        <v>124</v>
      </c>
    </row>
    <row r="181" spans="1:53" outlineLevel="1" x14ac:dyDescent="0.35">
      <c r="A181" s="6" t="s">
        <v>38</v>
      </c>
      <c r="B181" s="6">
        <f>'Results - raw data ReCiPe (H)'!BC49</f>
        <v>654.34504301961317</v>
      </c>
      <c r="AB181" s="23" t="s">
        <v>125</v>
      </c>
      <c r="AC181" s="17">
        <f>SUM(AC173:AC180)</f>
        <v>5319.0303616285937</v>
      </c>
      <c r="AD181" s="17">
        <f t="shared" ref="AD181:BA181" si="21">SUM(AD173:AD180)</f>
        <v>2081.9178755579192</v>
      </c>
      <c r="AE181" s="17">
        <f t="shared" si="21"/>
        <v>2066.7366215509783</v>
      </c>
      <c r="AF181" s="17">
        <f t="shared" si="21"/>
        <v>2163.1963679400337</v>
      </c>
      <c r="AG181" s="17">
        <f t="shared" si="21"/>
        <v>2031.9220927992039</v>
      </c>
      <c r="AH181" s="17">
        <f t="shared" si="21"/>
        <v>2016.8053565750342</v>
      </c>
      <c r="AI181" s="17">
        <f t="shared" si="21"/>
        <v>2128.3324691015519</v>
      </c>
      <c r="AJ181" s="17">
        <f t="shared" si="21"/>
        <v>2008.0754323729011</v>
      </c>
      <c r="AK181" s="17">
        <f t="shared" si="21"/>
        <v>1999.736491546332</v>
      </c>
      <c r="AL181" s="17">
        <f t="shared" si="21"/>
        <v>2110.6976970266624</v>
      </c>
      <c r="AM181" s="17">
        <f t="shared" si="21"/>
        <v>1990.0829763315294</v>
      </c>
      <c r="AN181" s="17">
        <f t="shared" si="21"/>
        <v>1977.2559219218283</v>
      </c>
      <c r="AO181" s="17">
        <f t="shared" si="21"/>
        <v>2079.4306154600035</v>
      </c>
      <c r="AP181" s="17">
        <f t="shared" si="21"/>
        <v>1950.0163692481203</v>
      </c>
      <c r="AQ181" s="17">
        <f t="shared" si="21"/>
        <v>1936.5349808288777</v>
      </c>
      <c r="AR181" s="17">
        <f t="shared" si="21"/>
        <v>2037.0513222271018</v>
      </c>
      <c r="AS181" s="17">
        <f t="shared" si="21"/>
        <v>1934.1756909625799</v>
      </c>
      <c r="AT181" s="17">
        <f t="shared" si="21"/>
        <v>1945.305833760046</v>
      </c>
      <c r="AU181" s="17">
        <f t="shared" si="21"/>
        <v>2068.7156859893903</v>
      </c>
      <c r="AV181" s="17">
        <f t="shared" si="21"/>
        <v>1966.0456576212707</v>
      </c>
      <c r="AW181" s="17">
        <f t="shared" si="21"/>
        <v>1976.5562552141935</v>
      </c>
      <c r="AX181" s="17">
        <f t="shared" si="21"/>
        <v>2071.1615411931266</v>
      </c>
      <c r="AY181" s="17">
        <f t="shared" si="21"/>
        <v>1940.0767543673892</v>
      </c>
      <c r="AZ181" s="17">
        <f t="shared" si="21"/>
        <v>1921.7740910069451</v>
      </c>
      <c r="BA181" s="17">
        <f t="shared" si="21"/>
        <v>2059.1137462708566</v>
      </c>
    </row>
    <row r="182" spans="1:53" outlineLevel="1" x14ac:dyDescent="0.35">
      <c r="A182" s="6" t="s">
        <v>39</v>
      </c>
      <c r="B182" s="6">
        <f>'Results - raw data ReCiPe (H)'!BC50</f>
        <v>693.55879573755169</v>
      </c>
    </row>
    <row r="183" spans="1:53" outlineLevel="1" x14ac:dyDescent="0.35">
      <c r="A183" s="6" t="s">
        <v>41</v>
      </c>
      <c r="B183" s="6">
        <f>'Results - raw data ReCiPe (H)'!BC51</f>
        <v>53.610983579825508</v>
      </c>
    </row>
    <row r="184" spans="1:53" outlineLevel="1" x14ac:dyDescent="0.35">
      <c r="A184" s="6" t="s">
        <v>43</v>
      </c>
      <c r="B184" s="6">
        <f>'Results - raw data ReCiPe (H)'!BC52</f>
        <v>73.167744204374856</v>
      </c>
      <c r="AB184" s="282"/>
      <c r="AC184" s="282"/>
      <c r="AD184" s="282"/>
      <c r="AE184" s="282"/>
      <c r="AF184" s="282"/>
      <c r="AG184" s="282"/>
      <c r="AH184" s="282"/>
      <c r="AI184" s="282"/>
      <c r="AJ184" s="282"/>
      <c r="AK184" s="282"/>
      <c r="AL184" s="282"/>
      <c r="AM184" s="282"/>
      <c r="AN184" s="282"/>
      <c r="AO184" s="282"/>
      <c r="AP184" s="282"/>
      <c r="AQ184" s="282"/>
      <c r="AR184" s="282"/>
      <c r="AS184" s="282"/>
      <c r="AT184" s="282"/>
      <c r="AU184" s="282"/>
      <c r="AV184" s="282"/>
      <c r="AW184" s="282"/>
      <c r="AX184" s="282"/>
      <c r="AY184" s="282"/>
      <c r="AZ184" s="282"/>
      <c r="BA184" s="282"/>
    </row>
    <row r="185" spans="1:53" outlineLevel="1" x14ac:dyDescent="0.35">
      <c r="A185" s="6" t="s">
        <v>44</v>
      </c>
      <c r="B185" s="6">
        <f>'Results - raw data ReCiPe (H)'!BC53*AC169*AC171</f>
        <v>266.94496473340826</v>
      </c>
      <c r="AB185" s="282"/>
      <c r="AC185" s="282"/>
      <c r="AD185" s="282"/>
      <c r="AE185" s="282"/>
      <c r="AF185" s="282"/>
      <c r="AG185" s="282"/>
      <c r="AH185" s="282"/>
      <c r="AI185" s="282"/>
      <c r="AJ185" s="282"/>
      <c r="AK185" s="282"/>
      <c r="AL185" s="282"/>
      <c r="AM185" s="282"/>
      <c r="AN185" s="282"/>
      <c r="AO185" s="282"/>
      <c r="AP185" s="282"/>
      <c r="AQ185" s="282"/>
      <c r="AR185" s="282"/>
      <c r="AS185" s="282"/>
      <c r="AT185" s="282"/>
      <c r="AU185" s="282"/>
      <c r="AV185" s="282"/>
      <c r="AW185" s="282"/>
      <c r="AX185" s="282"/>
      <c r="AY185" s="282"/>
      <c r="AZ185" s="282"/>
      <c r="BA185" s="282"/>
    </row>
    <row r="186" spans="1:53" outlineLevel="1" x14ac:dyDescent="0.35">
      <c r="A186" s="6" t="s">
        <v>757</v>
      </c>
      <c r="B186" s="6">
        <f>'Results - raw data ReCiPe (H)'!BC54*AC169*AC171</f>
        <v>93.54881407772514</v>
      </c>
      <c r="AB186" s="282"/>
      <c r="AC186" s="282"/>
      <c r="AD186" s="282"/>
      <c r="AE186" s="282"/>
      <c r="AF186" s="282"/>
      <c r="AG186" s="282"/>
      <c r="AH186" s="282"/>
      <c r="AI186" s="282"/>
      <c r="AJ186" s="282"/>
      <c r="AK186" s="282"/>
      <c r="AL186" s="282"/>
      <c r="AM186" s="282"/>
      <c r="AN186" s="282"/>
      <c r="AO186" s="282"/>
      <c r="AP186" s="282"/>
      <c r="AQ186" s="282"/>
      <c r="AR186" s="282"/>
      <c r="AS186" s="282"/>
      <c r="AT186" s="282"/>
      <c r="AU186" s="282"/>
      <c r="AV186" s="282"/>
      <c r="AW186" s="282"/>
      <c r="AX186" s="282"/>
      <c r="AY186" s="282"/>
      <c r="AZ186" s="282"/>
      <c r="BA186" s="282"/>
    </row>
    <row r="187" spans="1:53" outlineLevel="1" x14ac:dyDescent="0.35">
      <c r="A187" s="6" t="s">
        <v>22</v>
      </c>
      <c r="Z187" s="6">
        <f>'Results - raw data ReCiPe (H)'!CA55</f>
        <v>0.32233715306889849</v>
      </c>
      <c r="AB187" s="282"/>
      <c r="AC187" s="282"/>
      <c r="AD187" s="282"/>
      <c r="AE187" s="282"/>
      <c r="AF187" s="282"/>
      <c r="AG187" s="282"/>
      <c r="AH187" s="282"/>
      <c r="AI187" s="282"/>
      <c r="AJ187" s="282"/>
      <c r="AK187" s="282"/>
      <c r="AL187" s="282"/>
      <c r="AM187" s="282"/>
      <c r="AN187" s="282"/>
      <c r="AO187" s="282"/>
      <c r="AP187" s="282"/>
      <c r="AQ187" s="282"/>
      <c r="AR187" s="282"/>
      <c r="AS187" s="282"/>
      <c r="AT187" s="282"/>
      <c r="AU187" s="282"/>
      <c r="AV187" s="282"/>
      <c r="AW187" s="282"/>
      <c r="AX187" s="282"/>
      <c r="AY187" s="282"/>
      <c r="AZ187" s="282"/>
      <c r="BA187" s="282"/>
    </row>
    <row r="188" spans="1:53" outlineLevel="1" x14ac:dyDescent="0.35">
      <c r="A188" s="6" t="s">
        <v>24</v>
      </c>
      <c r="Z188" s="6">
        <f>'Results - raw data ReCiPe (H)'!CA56</f>
        <v>0.35838182732894691</v>
      </c>
      <c r="AB188" s="282"/>
      <c r="AC188" s="282"/>
      <c r="AD188" s="282"/>
      <c r="AE188" s="282"/>
      <c r="AF188" s="282"/>
      <c r="AG188" s="282"/>
      <c r="AH188" s="282"/>
      <c r="AI188" s="282"/>
      <c r="AJ188" s="282"/>
      <c r="AK188" s="282"/>
      <c r="AL188" s="282"/>
      <c r="AM188" s="282"/>
      <c r="AN188" s="282"/>
      <c r="AO188" s="282"/>
      <c r="AP188" s="282"/>
      <c r="AQ188" s="282"/>
      <c r="AR188" s="282"/>
      <c r="AS188" s="282"/>
      <c r="AT188" s="282"/>
      <c r="AU188" s="282"/>
      <c r="AV188" s="282"/>
      <c r="AW188" s="282"/>
      <c r="AX188" s="282"/>
      <c r="AY188" s="282"/>
      <c r="AZ188" s="282"/>
      <c r="BA188" s="282"/>
    </row>
    <row r="189" spans="1:53" outlineLevel="1" x14ac:dyDescent="0.35">
      <c r="A189" s="6" t="s">
        <v>25</v>
      </c>
      <c r="Z189" s="6">
        <f>'Results - raw data ReCiPe (H)'!CA57</f>
        <v>1.6303359130110771</v>
      </c>
      <c r="AB189" s="282"/>
      <c r="AC189" s="282"/>
      <c r="AD189" s="282"/>
      <c r="AE189" s="282"/>
      <c r="AF189" s="282"/>
      <c r="AG189" s="282"/>
      <c r="AH189" s="282"/>
      <c r="AI189" s="282"/>
      <c r="AJ189" s="282"/>
      <c r="AK189" s="282"/>
      <c r="AL189" s="282"/>
      <c r="AM189" s="282"/>
      <c r="AN189" s="282"/>
      <c r="AO189" s="282"/>
      <c r="AP189" s="282"/>
      <c r="AQ189" s="282"/>
      <c r="AR189" s="282"/>
      <c r="AS189" s="282"/>
      <c r="AT189" s="282"/>
      <c r="AU189" s="282"/>
      <c r="AV189" s="282"/>
      <c r="AW189" s="282"/>
      <c r="AX189" s="282"/>
      <c r="AY189" s="282"/>
      <c r="AZ189" s="282"/>
      <c r="BA189" s="282"/>
    </row>
    <row r="190" spans="1:53" outlineLevel="1" x14ac:dyDescent="0.35">
      <c r="A190" s="6" t="s">
        <v>27</v>
      </c>
      <c r="Z190" s="6">
        <f>'Results - raw data ReCiPe (H)'!CA58</f>
        <v>0.99750299663896524</v>
      </c>
      <c r="AB190" s="282"/>
      <c r="AC190" s="282"/>
      <c r="AD190" s="282"/>
      <c r="AE190" s="282"/>
      <c r="AF190" s="282"/>
      <c r="AG190" s="282"/>
      <c r="AH190" s="282"/>
      <c r="AI190" s="282"/>
      <c r="AJ190" s="282"/>
      <c r="AK190" s="282"/>
      <c r="AL190" s="282"/>
      <c r="AM190" s="282"/>
      <c r="AN190" s="282"/>
      <c r="AO190" s="282"/>
      <c r="AP190" s="282"/>
      <c r="AQ190" s="282"/>
      <c r="AR190" s="282"/>
      <c r="AS190" s="282"/>
      <c r="AT190" s="282"/>
      <c r="AU190" s="282"/>
      <c r="AV190" s="282"/>
      <c r="AW190" s="282"/>
      <c r="AX190" s="282"/>
      <c r="AY190" s="282"/>
      <c r="AZ190" s="282"/>
      <c r="BA190" s="282"/>
    </row>
    <row r="191" spans="1:53" outlineLevel="1" x14ac:dyDescent="0.35">
      <c r="A191" s="6" t="s">
        <v>30</v>
      </c>
      <c r="Z191" s="6">
        <f>'Results - raw data ReCiPe (H)'!CA59</f>
        <v>0.39549334266602593</v>
      </c>
      <c r="AB191" s="282"/>
      <c r="AC191" s="282"/>
      <c r="AD191" s="282"/>
      <c r="AE191" s="282"/>
      <c r="AF191" s="282"/>
      <c r="AG191" s="282"/>
      <c r="AH191" s="282"/>
      <c r="AI191" s="282"/>
      <c r="AJ191" s="282"/>
      <c r="AK191" s="282"/>
      <c r="AL191" s="282"/>
      <c r="AM191" s="282"/>
      <c r="AN191" s="282"/>
      <c r="AO191" s="282"/>
      <c r="AP191" s="282"/>
      <c r="AQ191" s="282"/>
      <c r="AR191" s="282"/>
      <c r="AS191" s="282"/>
      <c r="AT191" s="282"/>
      <c r="AU191" s="282"/>
      <c r="AV191" s="282"/>
      <c r="AW191" s="282"/>
      <c r="AX191" s="282"/>
      <c r="AY191" s="282"/>
      <c r="AZ191" s="282"/>
      <c r="BA191" s="282"/>
    </row>
    <row r="192" spans="1:53" outlineLevel="1" x14ac:dyDescent="0.35">
      <c r="A192" s="6" t="s">
        <v>32</v>
      </c>
      <c r="Z192" s="6">
        <f>'Results - raw data ReCiPe (H)'!CA60</f>
        <v>0.17713632900602139</v>
      </c>
      <c r="AB192" s="282"/>
      <c r="AC192" s="282"/>
      <c r="AD192" s="282"/>
      <c r="AE192" s="282"/>
      <c r="AF192" s="282"/>
      <c r="AG192" s="282"/>
      <c r="AH192" s="282"/>
      <c r="AI192" s="282"/>
      <c r="AJ192" s="282"/>
      <c r="AK192" s="282"/>
      <c r="AL192" s="282"/>
      <c r="AM192" s="282"/>
      <c r="AN192" s="282"/>
      <c r="AO192" s="282"/>
      <c r="AP192" s="282"/>
      <c r="AQ192" s="282"/>
      <c r="AR192" s="282"/>
      <c r="AS192" s="282"/>
      <c r="AT192" s="282"/>
      <c r="AU192" s="282"/>
      <c r="AV192" s="282"/>
      <c r="AW192" s="282"/>
      <c r="AX192" s="282"/>
      <c r="AY192" s="282"/>
      <c r="AZ192" s="282"/>
      <c r="BA192" s="282"/>
    </row>
    <row r="193" spans="1:53" outlineLevel="1" x14ac:dyDescent="0.35">
      <c r="A193" s="6" t="s">
        <v>33</v>
      </c>
      <c r="Z193" s="6">
        <f>'Results - raw data ReCiPe (H)'!CA61</f>
        <v>0.1021911347554563</v>
      </c>
      <c r="AB193" s="282"/>
      <c r="AC193" s="282"/>
      <c r="AD193" s="282"/>
      <c r="AE193" s="282"/>
      <c r="AF193" s="282"/>
      <c r="AG193" s="282"/>
      <c r="AH193" s="282"/>
      <c r="AI193" s="282"/>
      <c r="AJ193" s="282"/>
      <c r="AK193" s="282"/>
      <c r="AL193" s="282"/>
      <c r="AM193" s="282"/>
      <c r="AN193" s="282"/>
      <c r="AO193" s="282"/>
      <c r="AP193" s="282"/>
      <c r="AQ193" s="282"/>
      <c r="AR193" s="282"/>
      <c r="AS193" s="282"/>
      <c r="AT193" s="282"/>
      <c r="AU193" s="282"/>
      <c r="AV193" s="282"/>
      <c r="AW193" s="282"/>
      <c r="AX193" s="282"/>
      <c r="AY193" s="282"/>
      <c r="AZ193" s="282"/>
      <c r="BA193" s="282"/>
    </row>
    <row r="194" spans="1:53" outlineLevel="1" x14ac:dyDescent="0.35">
      <c r="A194" s="6" t="s">
        <v>35</v>
      </c>
      <c r="Z194" s="6">
        <f>'Results - raw data ReCiPe (H)'!CA62</f>
        <v>0.20438226951091251</v>
      </c>
      <c r="AB194" s="282"/>
      <c r="AC194" s="282"/>
      <c r="AD194" s="282"/>
      <c r="AE194" s="282"/>
      <c r="AF194" s="282"/>
      <c r="AG194" s="282"/>
      <c r="AH194" s="282"/>
      <c r="AI194" s="282"/>
      <c r="AJ194" s="282"/>
      <c r="AK194" s="282"/>
      <c r="AL194" s="282"/>
      <c r="AM194" s="282"/>
      <c r="AN194" s="282"/>
      <c r="AO194" s="282"/>
      <c r="AP194" s="282"/>
      <c r="AQ194" s="282"/>
      <c r="AR194" s="282"/>
      <c r="AS194" s="282"/>
      <c r="AT194" s="282"/>
      <c r="AU194" s="282"/>
      <c r="AV194" s="282"/>
      <c r="AW194" s="282"/>
      <c r="AX194" s="282"/>
      <c r="AY194" s="282"/>
      <c r="AZ194" s="282"/>
      <c r="BA194" s="282"/>
    </row>
    <row r="195" spans="1:53" outlineLevel="1" x14ac:dyDescent="0.35">
      <c r="A195" s="6" t="s">
        <v>37</v>
      </c>
      <c r="Z195" s="6">
        <f>'Results - raw data ReCiPe (H)'!CA63</f>
        <v>3.0230501723671872</v>
      </c>
      <c r="AB195" s="282"/>
      <c r="AC195" s="282"/>
      <c r="AD195" s="282"/>
      <c r="AE195" s="282"/>
      <c r="AF195" s="282"/>
      <c r="AG195" s="282"/>
      <c r="AH195" s="282"/>
      <c r="AI195" s="282"/>
      <c r="AJ195" s="282"/>
      <c r="AK195" s="282"/>
      <c r="AL195" s="282"/>
      <c r="AM195" s="282"/>
      <c r="AN195" s="282"/>
      <c r="AO195" s="282"/>
      <c r="AP195" s="282"/>
      <c r="AQ195" s="282"/>
      <c r="AR195" s="282"/>
      <c r="AS195" s="282"/>
      <c r="AT195" s="282"/>
      <c r="AU195" s="282"/>
      <c r="AV195" s="282"/>
      <c r="AW195" s="282"/>
      <c r="AX195" s="282"/>
      <c r="AY195" s="282"/>
      <c r="AZ195" s="282"/>
      <c r="BA195" s="282"/>
    </row>
    <row r="196" spans="1:53" outlineLevel="1" x14ac:dyDescent="0.35">
      <c r="A196" s="6" t="s">
        <v>40</v>
      </c>
      <c r="Z196" s="6">
        <f>'Results - raw data ReCiPe (H)'!CA64</f>
        <v>1.399154055783115</v>
      </c>
    </row>
    <row r="197" spans="1:53" outlineLevel="1" x14ac:dyDescent="0.35">
      <c r="A197" s="6" t="s">
        <v>42</v>
      </c>
      <c r="Z197" s="6">
        <f>'Results - raw data ReCiPe (H)'!CA65</f>
        <v>3.7454886419278992</v>
      </c>
    </row>
    <row r="198" spans="1:53" outlineLevel="1" x14ac:dyDescent="0.35">
      <c r="A198" s="6" t="s">
        <v>115</v>
      </c>
      <c r="Z198" s="6">
        <f>'Results - raw data ReCiPe (H)'!CA66</f>
        <v>29.43867185674495</v>
      </c>
    </row>
    <row r="199" spans="1:53" outlineLevel="1" x14ac:dyDescent="0.35">
      <c r="A199" s="6" t="s">
        <v>45</v>
      </c>
      <c r="Z199" s="6">
        <f>'Results - raw data ReCiPe (H)'!CA67*AC169*AC171</f>
        <v>1.2962860497828945</v>
      </c>
    </row>
    <row r="200" spans="1:53" outlineLevel="1" x14ac:dyDescent="0.35">
      <c r="A200" s="6" t="s">
        <v>116</v>
      </c>
      <c r="B200" s="6">
        <f>'Results - raw data ReCiPe (H)'!BC68</f>
        <v>117.4164153447413</v>
      </c>
      <c r="C200" s="6">
        <f>'Results - raw data ReCiPe (H)'!BD68</f>
        <v>117.22450567272359</v>
      </c>
      <c r="D200" s="6">
        <f>'Results - raw data ReCiPe (H)'!BE68</f>
        <v>117.0302875893984</v>
      </c>
      <c r="E200" s="6">
        <f>'Results - raw data ReCiPe (H)'!BF68</f>
        <v>116.14482404943</v>
      </c>
      <c r="F200" s="6">
        <f>'Results - raw data ReCiPe (H)'!BG68</f>
        <v>115.9485520514929</v>
      </c>
      <c r="G200" s="6">
        <f>'Results - raw data ReCiPe (H)'!BH68</f>
        <v>115.7497578563647</v>
      </c>
      <c r="H200" s="6">
        <f>'Results - raw data ReCiPe (H)'!BI68</f>
        <v>115.85431461269189</v>
      </c>
      <c r="I200" s="6">
        <f>'Results - raw data ReCiPe (H)'!BJ68</f>
        <v>115.9586781641881</v>
      </c>
      <c r="J200" s="6">
        <f>'Results - raw data ReCiPe (H)'!BK68</f>
        <v>115.5987692292539</v>
      </c>
      <c r="K200" s="6">
        <f>'Results - raw data ReCiPe (H)'!BL68</f>
        <v>115.7060268138878</v>
      </c>
      <c r="L200" s="6">
        <f>'Results - raw data ReCiPe (H)'!BM68</f>
        <v>115.8115094107404</v>
      </c>
      <c r="M200" s="6">
        <f>'Results - raw data ReCiPe (H)'!BN68</f>
        <v>115.5173498619511</v>
      </c>
      <c r="N200" s="6">
        <f>'Results - raw data ReCiPe (H)'!BO68</f>
        <v>115.22430296168601</v>
      </c>
      <c r="O200" s="6">
        <f>'Results - raw data ReCiPe (H)'!BP68</f>
        <v>114.7936526068347</v>
      </c>
      <c r="P200" s="6">
        <f>'Results - raw data ReCiPe (H)'!BQ68</f>
        <v>114.5052775721217</v>
      </c>
      <c r="Q200" s="6">
        <f>'Results - raw data ReCiPe (H)'!BR68</f>
        <v>114.21787004973891</v>
      </c>
      <c r="R200" s="6">
        <f>'Results - raw data ReCiPe (H)'!BS68</f>
        <v>113.9841517876385</v>
      </c>
      <c r="S200" s="6">
        <f>'Results - raw data ReCiPe (H)'!BT68</f>
        <v>113.7508966638362</v>
      </c>
      <c r="T200" s="6">
        <f>'Results - raw data ReCiPe (H)'!BU68</f>
        <v>113.3881732416237</v>
      </c>
      <c r="U200" s="6">
        <f>'Results - raw data ReCiPe (H)'!BV68</f>
        <v>113.15789542976781</v>
      </c>
      <c r="V200" s="6">
        <f>'Results - raw data ReCiPe (H)'!BW68</f>
        <v>112.9279936934194</v>
      </c>
      <c r="W200" s="6">
        <f>'Results - raw data ReCiPe (H)'!BX68</f>
        <v>112.8508899058024</v>
      </c>
      <c r="X200" s="6">
        <f>'Results - raw data ReCiPe (H)'!BY68</f>
        <v>112.7745546080785</v>
      </c>
      <c r="Y200" s="6">
        <f>'Results - raw data ReCiPe (H)'!BZ68</f>
        <v>112.6987835438154</v>
      </c>
      <c r="Z200" s="6">
        <f>'Results - raw data ReCiPe (H)'!CA68</f>
        <v>112.6235531268987</v>
      </c>
    </row>
    <row r="201" spans="1:53" outlineLevel="1" x14ac:dyDescent="0.35">
      <c r="A201" s="6" t="s">
        <v>758</v>
      </c>
      <c r="B201" s="6">
        <f>'Results - raw data ReCiPe (H)'!BC173*$AC$169</f>
        <v>200.64428013390173</v>
      </c>
      <c r="C201" s="6">
        <f>'Results - raw data ReCiPe (H)'!BD173*$AC$169</f>
        <v>198.88987102701171</v>
      </c>
      <c r="D201" s="6">
        <f>'Results - raw data ReCiPe (H)'!BE173*$AC$169</f>
        <v>197.14183434126971</v>
      </c>
      <c r="E201" s="6">
        <f>'Results - raw data ReCiPe (H)'!BF173*$AC$169</f>
        <v>194.9959183591115</v>
      </c>
      <c r="F201" s="6">
        <f>'Results - raw data ReCiPe (H)'!BG173*$AC$169</f>
        <v>193.2624144529706</v>
      </c>
      <c r="G201" s="6">
        <f>'Results - raw data ReCiPe (H)'!BH173*$AC$169</f>
        <v>191.53490018423719</v>
      </c>
      <c r="H201" s="6">
        <f>'Results - raw data ReCiPe (H)'!BI173*$AC$169</f>
        <v>190.9975749317953</v>
      </c>
      <c r="I201" s="6">
        <f>'Results - raw data ReCiPe (H)'!BJ173*$AC$169</f>
        <v>190.4517415185353</v>
      </c>
      <c r="J201" s="6">
        <f>'Results - raw data ReCiPe (H)'!BK173*$AC$169</f>
        <v>189.55284221781989</v>
      </c>
      <c r="K201" s="6">
        <f>'Results - raw data ReCiPe (H)'!BL173*$AC$169</f>
        <v>188.9767026724202</v>
      </c>
      <c r="L201" s="6">
        <f>'Results - raw data ReCiPe (H)'!BM173*$AC$169</f>
        <v>188.38664248840891</v>
      </c>
      <c r="M201" s="6">
        <f>'Results - raw data ReCiPe (H)'!BN173*$AC$169</f>
        <v>187.22532996797722</v>
      </c>
      <c r="N201" s="6">
        <f>'Results - raw data ReCiPe (H)'!BO173*$AC$169</f>
        <v>186.04470531712519</v>
      </c>
      <c r="O201" s="6">
        <f>'Results - raw data ReCiPe (H)'!BP173*$AC$169</f>
        <v>184.7625314071924</v>
      </c>
      <c r="P201" s="6">
        <f>'Results - raw data ReCiPe (H)'!BQ173*$AC$169</f>
        <v>183.54449771318281</v>
      </c>
      <c r="Q201" s="6">
        <f>'Results - raw data ReCiPe (H)'!BR173*$AC$169</f>
        <v>182.30739946394971</v>
      </c>
      <c r="R201" s="6">
        <f>'Results - raw data ReCiPe (H)'!BS173*$AC$169</f>
        <v>183.5566604619637</v>
      </c>
      <c r="S201" s="6">
        <f>'Results - raw data ReCiPe (H)'!BT173*$AC$169</f>
        <v>184.79229458687769</v>
      </c>
      <c r="T201" s="6">
        <f>'Results - raw data ReCiPe (H)'!BU173*$AC$169</f>
        <v>185.9338856299583</v>
      </c>
      <c r="U201" s="6">
        <f>'Results - raw data ReCiPe (H)'!BV173*$AC$169</f>
        <v>187.14268841019211</v>
      </c>
      <c r="V201" s="6">
        <f>'Results - raw data ReCiPe (H)'!BW173*$AC$169</f>
        <v>188.3380573783914</v>
      </c>
      <c r="W201" s="6">
        <f>'Results - raw data ReCiPe (H)'!BX173*$AC$169</f>
        <v>186.4779317854391</v>
      </c>
      <c r="X201" s="6">
        <f>'Results - raw data ReCiPe (H)'!BY173*$AC$169</f>
        <v>184.62669982481441</v>
      </c>
      <c r="Y201" s="6">
        <f>'Results - raw data ReCiPe (H)'!BZ173*$AC$169</f>
        <v>182.77386974818862</v>
      </c>
      <c r="Z201" s="6">
        <f>'Results - raw data ReCiPe (H)'!CA173*$AC$169</f>
        <v>180.91913840904829</v>
      </c>
    </row>
    <row r="202" spans="1:53" outlineLevel="1" x14ac:dyDescent="0.35">
      <c r="A202" s="6" t="s">
        <v>759</v>
      </c>
      <c r="B202" s="6">
        <f>'Results - raw data ReCiPe (H)'!BC70</f>
        <v>0</v>
      </c>
      <c r="C202" s="6">
        <f>'Results - raw data ReCiPe (H)'!BD70</f>
        <v>0</v>
      </c>
      <c r="D202" s="6">
        <f>'Results - raw data ReCiPe (H)'!BE70</f>
        <v>0</v>
      </c>
      <c r="E202" s="6">
        <f>'Results - raw data ReCiPe (H)'!BF70</f>
        <v>0</v>
      </c>
      <c r="F202" s="6">
        <f>'Results - raw data ReCiPe (H)'!BG70</f>
        <v>0</v>
      </c>
      <c r="G202" s="6">
        <f>'Results - raw data ReCiPe (H)'!BH70</f>
        <v>0</v>
      </c>
      <c r="H202" s="6">
        <f>'Results - raw data ReCiPe (H)'!BI70</f>
        <v>0</v>
      </c>
      <c r="I202" s="6">
        <f>'Results - raw data ReCiPe (H)'!BJ70</f>
        <v>0</v>
      </c>
      <c r="J202" s="6">
        <f>'Results - raw data ReCiPe (H)'!BK70</f>
        <v>0</v>
      </c>
      <c r="K202" s="6">
        <f>'Results - raw data ReCiPe (H)'!BL70</f>
        <v>0</v>
      </c>
      <c r="L202" s="6">
        <f>'Results - raw data ReCiPe (H)'!BM70</f>
        <v>0</v>
      </c>
      <c r="M202" s="6">
        <f>'Results - raw data ReCiPe (H)'!BN70</f>
        <v>0</v>
      </c>
      <c r="N202" s="6">
        <f>'Results - raw data ReCiPe (H)'!BO70</f>
        <v>0</v>
      </c>
      <c r="O202" s="6">
        <f>'Results - raw data ReCiPe (H)'!BP70</f>
        <v>0</v>
      </c>
      <c r="P202" s="6">
        <f>'Results - raw data ReCiPe (H)'!BQ70</f>
        <v>0</v>
      </c>
      <c r="Q202" s="6">
        <f>'Results - raw data ReCiPe (H)'!BR70</f>
        <v>0</v>
      </c>
      <c r="R202" s="6">
        <f>'Results - raw data ReCiPe (H)'!BS70</f>
        <v>0</v>
      </c>
      <c r="S202" s="6">
        <f>'Results - raw data ReCiPe (H)'!BT70</f>
        <v>0</v>
      </c>
      <c r="T202" s="6">
        <f>'Results - raw data ReCiPe (H)'!BU70</f>
        <v>0</v>
      </c>
      <c r="U202" s="6">
        <f>'Results - raw data ReCiPe (H)'!BV70</f>
        <v>0</v>
      </c>
      <c r="V202" s="6">
        <f>'Results - raw data ReCiPe (H)'!BW70</f>
        <v>0</v>
      </c>
      <c r="W202" s="6">
        <f>'Results - raw data ReCiPe (H)'!BX70</f>
        <v>0</v>
      </c>
      <c r="X202" s="6">
        <f>'Results - raw data ReCiPe (H)'!BY70</f>
        <v>0</v>
      </c>
      <c r="Y202" s="6">
        <f>'Results - raw data ReCiPe (H)'!BZ70</f>
        <v>0</v>
      </c>
      <c r="Z202" s="6">
        <f>'Results - raw data ReCiPe (H)'!CA70</f>
        <v>0</v>
      </c>
    </row>
    <row r="203" spans="1:53" outlineLevel="1" x14ac:dyDescent="0.35">
      <c r="A203" s="6" t="s">
        <v>760</v>
      </c>
      <c r="B203" s="6">
        <f>150000*($AC$170*'Results - raw data ReCiPe (H)'!BC121+(1-'Results ReCiPe (H) - HHD'!$AC$170)*'Results - raw data ReCiPe (H)'!BC122)</f>
        <v>1896.4731859753776</v>
      </c>
      <c r="C203" s="6">
        <f>150000*($AC$170*'Results - raw data ReCiPe (H)'!BD121+(1-'Results ReCiPe (H) - HHD'!$AC$170)*'Results - raw data ReCiPe (H)'!BD122)</f>
        <v>1883.0280045309073</v>
      </c>
      <c r="D203" s="6">
        <f>150000*($AC$170*'Results - raw data ReCiPe (H)'!BE121+(1-'Results ReCiPe (H) - HHD'!$AC$170)*'Results - raw data ReCiPe (H)'!BE122)</f>
        <v>1869.5947872097088</v>
      </c>
      <c r="E203" s="6">
        <f>150000*($AC$170*'Results - raw data ReCiPe (H)'!BF121+(1-'Results ReCiPe (H) - HHD'!$AC$170)*'Results - raw data ReCiPe (H)'!BF122)</f>
        <v>1852.0556255314921</v>
      </c>
      <c r="F203" s="6">
        <f>150000*($AC$170*'Results - raw data ReCiPe (H)'!BG121+(1-'Results ReCiPe (H) - HHD'!$AC$170)*'Results - raw data ReCiPe (H)'!BG122)</f>
        <v>1838.6596783462332</v>
      </c>
      <c r="G203" s="6">
        <f>150000*($AC$170*'Results - raw data ReCiPe (H)'!BH121+(1-'Results ReCiPe (H) - HHD'!$AC$170)*'Results - raw data ReCiPe (H)'!BH122)</f>
        <v>1825.2704563907971</v>
      </c>
      <c r="H203" s="6">
        <f>150000*($AC$170*'Results - raw data ReCiPe (H)'!BI121+(1-'Results ReCiPe (H) - HHD'!$AC$170)*'Results - raw data ReCiPe (H)'!BI122)</f>
        <v>1821.4805795570646</v>
      </c>
      <c r="I203" s="6">
        <f>150000*($AC$170*'Results - raw data ReCiPe (H)'!BJ121+(1-'Results ReCiPe (H) - HHD'!$AC$170)*'Results - raw data ReCiPe (H)'!BJ122)</f>
        <v>1817.6236908543658</v>
      </c>
      <c r="J203" s="6">
        <f>150000*($AC$170*'Results - raw data ReCiPe (H)'!BK121+(1-'Results ReCiPe (H) - HHD'!$AC$170)*'Results - raw data ReCiPe (H)'!BK122)</f>
        <v>1810.183649328512</v>
      </c>
      <c r="K203" s="6">
        <f>150000*($AC$170*'Results - raw data ReCiPe (H)'!BL121+(1-'Results ReCiPe (H) - HHD'!$AC$170)*'Results - raw data ReCiPe (H)'!BL122)</f>
        <v>1806.0149675403545</v>
      </c>
      <c r="L203" s="6">
        <f>150000*($AC$170*'Results - raw data ReCiPe (H)'!BM121+(1-'Results ReCiPe (H) - HHD'!$AC$170)*'Results - raw data ReCiPe (H)'!BM122)</f>
        <v>1801.6963338431206</v>
      </c>
      <c r="M203" s="6">
        <f>150000*($AC$170*'Results - raw data ReCiPe (H)'!BN121+(1-'Results ReCiPe (H) - HHD'!$AC$170)*'Results - raw data ReCiPe (H)'!BN122)</f>
        <v>1790.0305919538512</v>
      </c>
      <c r="N203" s="6">
        <f>150000*($AC$170*'Results - raw data ReCiPe (H)'!BO121+(1-'Results ReCiPe (H) - HHD'!$AC$170)*'Results - raw data ReCiPe (H)'!BO122)</f>
        <v>1778.1616071811923</v>
      </c>
      <c r="O203" s="6">
        <f>150000*($AC$170*'Results - raw data ReCiPe (H)'!BP121+(1-'Results ReCiPe (H) - HHD'!$AC$170)*'Results - raw data ReCiPe (H)'!BP122)</f>
        <v>1765.2538378409279</v>
      </c>
      <c r="P203" s="6">
        <f>150000*($AC$170*'Results - raw data ReCiPe (H)'!BQ121+(1-'Results ReCiPe (H) - HHD'!$AC$170)*'Results - raw data ReCiPe (H)'!BQ122)</f>
        <v>1752.9904831156948</v>
      </c>
      <c r="Q203" s="6">
        <f>150000*($AC$170*'Results - raw data ReCiPe (H)'!BR121+(1-'Results ReCiPe (H) - HHD'!$AC$170)*'Results - raw data ReCiPe (H)'!BR122)</f>
        <v>1740.5260527134133</v>
      </c>
      <c r="R203" s="6">
        <f>150000*($AC$170*'Results - raw data ReCiPe (H)'!BS121+(1-'Results ReCiPe (H) - HHD'!$AC$170)*'Results - raw data ReCiPe (H)'!BS122)</f>
        <v>1750.6190305006162</v>
      </c>
      <c r="S203" s="6">
        <f>150000*($AC$170*'Results - raw data ReCiPe (H)'!BT121+(1-'Results ReCiPe (H) - HHD'!$AC$170)*'Results - raw data ReCiPe (H)'!BT122)</f>
        <v>1760.5135391731683</v>
      </c>
      <c r="T203" s="6">
        <f>150000*($AC$170*'Results - raw data ReCiPe (H)'!BU121+(1-'Results ReCiPe (H) - HHD'!$AC$170)*'Results - raw data ReCiPe (H)'!BU122)</f>
        <v>1769.3936271178084</v>
      </c>
      <c r="U203" s="6">
        <f>150000*($AC$170*'Results - raw data ReCiPe (H)'!BV121+(1-'Results ReCiPe (H) - HHD'!$AC$170)*'Results - raw data ReCiPe (H)'!BV122)</f>
        <v>1778.9029692110787</v>
      </c>
      <c r="V203" s="6">
        <f>150000*($AC$170*'Results - raw data ReCiPe (H)'!BW121+(1-'Results ReCiPe (H) - HHD'!$AC$170)*'Results - raw data ReCiPe (H)'!BW122)</f>
        <v>1788.2181978358021</v>
      </c>
      <c r="W203" s="6">
        <f>150000*($AC$170*'Results - raw data ReCiPe (H)'!BX121+(1-'Results ReCiPe (H) - HHD'!$AC$170)*'Results - raw data ReCiPe (H)'!BX122)</f>
        <v>1771.8327195018851</v>
      </c>
      <c r="X203" s="6">
        <f>150000*($AC$170*'Results - raw data ReCiPe (H)'!BY121+(1-'Results ReCiPe (H) - HHD'!$AC$170)*'Results - raw data ReCiPe (H)'!BY122)</f>
        <v>1755.4500545425747</v>
      </c>
      <c r="Y203" s="6">
        <f>150000*($AC$170*'Results - raw data ReCiPe (H)'!BZ121+(1-'Results ReCiPe (H) - HHD'!$AC$170)*'Results - raw data ReCiPe (H)'!BZ122)</f>
        <v>1739.0002212587565</v>
      </c>
      <c r="Z203" s="6">
        <f>150000*($AC$170*'Results - raw data ReCiPe (H)'!CA121+(1-'Results ReCiPe (H) - HHD'!$AC$170)*'Results - raw data ReCiPe (H)'!CA122)</f>
        <v>1722.4806429923171</v>
      </c>
    </row>
    <row r="204" spans="1:53" outlineLevel="1" x14ac:dyDescent="0.35">
      <c r="A204" s="23" t="s">
        <v>125</v>
      </c>
      <c r="B204" s="17">
        <f>SUM(B173:B203)</f>
        <v>5319.0303616285937</v>
      </c>
      <c r="C204" s="17">
        <f t="shared" ref="C204:Z204" si="22">SUM(C173:C203)</f>
        <v>2199.1423812306425</v>
      </c>
      <c r="D204" s="17">
        <f t="shared" si="22"/>
        <v>2183.7669091403768</v>
      </c>
      <c r="E204" s="17">
        <f t="shared" si="22"/>
        <v>2163.1963679400337</v>
      </c>
      <c r="F204" s="17">
        <f t="shared" si="22"/>
        <v>2147.8706448506969</v>
      </c>
      <c r="G204" s="17">
        <f t="shared" si="22"/>
        <v>2132.555114431399</v>
      </c>
      <c r="H204" s="17">
        <f t="shared" si="22"/>
        <v>2128.3324691015519</v>
      </c>
      <c r="I204" s="17">
        <f t="shared" si="22"/>
        <v>2124.034110537089</v>
      </c>
      <c r="J204" s="17">
        <f t="shared" si="22"/>
        <v>2115.335260775586</v>
      </c>
      <c r="K204" s="17">
        <f t="shared" si="22"/>
        <v>2110.6976970266624</v>
      </c>
      <c r="L204" s="17">
        <f t="shared" si="22"/>
        <v>2105.8944857422698</v>
      </c>
      <c r="M204" s="17">
        <f t="shared" si="22"/>
        <v>2092.7732717837794</v>
      </c>
      <c r="N204" s="17">
        <f t="shared" si="22"/>
        <v>2079.4306154600035</v>
      </c>
      <c r="O204" s="17">
        <f t="shared" si="22"/>
        <v>2064.8100218549548</v>
      </c>
      <c r="P204" s="17">
        <f t="shared" si="22"/>
        <v>2051.0402584009994</v>
      </c>
      <c r="Q204" s="17">
        <f t="shared" si="22"/>
        <v>2037.051322227102</v>
      </c>
      <c r="R204" s="17">
        <f t="shared" si="22"/>
        <v>2048.1598427502186</v>
      </c>
      <c r="S204" s="17">
        <f t="shared" si="22"/>
        <v>2059.0567304238821</v>
      </c>
      <c r="T204" s="17">
        <f t="shared" si="22"/>
        <v>2068.7156859893903</v>
      </c>
      <c r="U204" s="17">
        <f t="shared" si="22"/>
        <v>2079.2035530510384</v>
      </c>
      <c r="V204" s="17">
        <f t="shared" si="22"/>
        <v>2089.4842489076127</v>
      </c>
      <c r="W204" s="17">
        <f t="shared" si="22"/>
        <v>2071.1615411931266</v>
      </c>
      <c r="X204" s="17">
        <f t="shared" si="22"/>
        <v>2052.8513089754674</v>
      </c>
      <c r="Y204" s="17">
        <f t="shared" si="22"/>
        <v>2034.4728745507605</v>
      </c>
      <c r="Z204" s="17">
        <f t="shared" si="22"/>
        <v>2059.1137462708566</v>
      </c>
    </row>
    <row r="205" spans="1:53" outlineLevel="1" x14ac:dyDescent="0.35"/>
    <row r="206" spans="1:53" s="18" customFormat="1" ht="21" x14ac:dyDescent="0.5">
      <c r="A206" s="18" t="s">
        <v>94</v>
      </c>
    </row>
    <row r="207" spans="1:53" s="20" customFormat="1" outlineLevel="1" x14ac:dyDescent="0.35">
      <c r="A207" s="19" t="s">
        <v>766</v>
      </c>
    </row>
    <row r="208" spans="1:53" s="16" customFormat="1" outlineLevel="1" x14ac:dyDescent="0.35">
      <c r="A208" s="21"/>
      <c r="AE208" s="15"/>
    </row>
    <row r="209" spans="1:53" s="16" customFormat="1" outlineLevel="1" x14ac:dyDescent="0.35">
      <c r="A209" s="22" t="s">
        <v>761</v>
      </c>
    </row>
    <row r="210" spans="1:53" s="16" customFormat="1" outlineLevel="1" x14ac:dyDescent="0.35">
      <c r="A210" s="22"/>
      <c r="AB210" s="16" t="s">
        <v>127</v>
      </c>
      <c r="AC210" s="16">
        <v>100</v>
      </c>
      <c r="AD210" s="16" t="s">
        <v>128</v>
      </c>
    </row>
    <row r="211" spans="1:53" s="16" customFormat="1" outlineLevel="1" x14ac:dyDescent="0.35">
      <c r="A211" s="230" t="s">
        <v>768</v>
      </c>
      <c r="AB211" s="16" t="s">
        <v>20</v>
      </c>
      <c r="AC211" s="16">
        <v>0.23</v>
      </c>
      <c r="AD211" s="16" t="s">
        <v>715</v>
      </c>
    </row>
    <row r="212" spans="1:53" s="16" customFormat="1" outlineLevel="1" x14ac:dyDescent="0.35">
      <c r="A212" s="22"/>
      <c r="AB212" s="16" t="s">
        <v>129</v>
      </c>
      <c r="AC212" s="16">
        <v>25</v>
      </c>
      <c r="AD212" s="16" t="s">
        <v>130</v>
      </c>
    </row>
    <row r="213" spans="1:53" outlineLevel="1" x14ac:dyDescent="0.35">
      <c r="B213" s="25">
        <v>2030</v>
      </c>
      <c r="C213" s="25">
        <v>2031</v>
      </c>
      <c r="D213" s="25">
        <v>2032</v>
      </c>
      <c r="E213" s="25">
        <v>2033</v>
      </c>
      <c r="F213" s="25">
        <v>2034</v>
      </c>
      <c r="G213" s="25">
        <v>2035</v>
      </c>
      <c r="H213" s="25">
        <v>2036</v>
      </c>
      <c r="I213" s="25">
        <v>2037</v>
      </c>
      <c r="J213" s="25">
        <v>2038</v>
      </c>
      <c r="K213" s="25">
        <v>2039</v>
      </c>
      <c r="L213" s="25">
        <v>2040</v>
      </c>
      <c r="M213" s="25">
        <v>2041</v>
      </c>
      <c r="N213" s="25">
        <v>2042</v>
      </c>
      <c r="O213" s="25">
        <v>2043</v>
      </c>
      <c r="P213" s="25">
        <v>2044</v>
      </c>
      <c r="Q213" s="25">
        <v>2045</v>
      </c>
      <c r="R213" s="25">
        <v>2046</v>
      </c>
      <c r="S213" s="25">
        <v>2047</v>
      </c>
      <c r="T213" s="25">
        <v>2048</v>
      </c>
      <c r="U213" s="25">
        <v>2049</v>
      </c>
      <c r="V213" s="25">
        <v>2050</v>
      </c>
      <c r="W213" s="25">
        <v>2051</v>
      </c>
      <c r="X213" s="25">
        <v>2052</v>
      </c>
      <c r="Y213" s="25">
        <v>2053</v>
      </c>
      <c r="Z213" s="25">
        <v>2054</v>
      </c>
      <c r="AC213" s="25">
        <v>2030</v>
      </c>
      <c r="AD213" s="25">
        <v>2031</v>
      </c>
      <c r="AE213" s="25">
        <v>2032</v>
      </c>
      <c r="AF213" s="25">
        <v>2033</v>
      </c>
      <c r="AG213" s="25">
        <v>2034</v>
      </c>
      <c r="AH213" s="25">
        <v>2035</v>
      </c>
      <c r="AI213" s="25">
        <v>2036</v>
      </c>
      <c r="AJ213" s="25">
        <v>2037</v>
      </c>
      <c r="AK213" s="25">
        <v>2038</v>
      </c>
      <c r="AL213" s="25">
        <v>2039</v>
      </c>
      <c r="AM213" s="25">
        <v>2040</v>
      </c>
      <c r="AN213" s="25">
        <v>2041</v>
      </c>
      <c r="AO213" s="25">
        <v>2042</v>
      </c>
      <c r="AP213" s="25">
        <v>2043</v>
      </c>
      <c r="AQ213" s="25">
        <v>2044</v>
      </c>
      <c r="AR213" s="25">
        <v>2045</v>
      </c>
      <c r="AS213" s="25">
        <v>2046</v>
      </c>
      <c r="AT213" s="25">
        <v>2047</v>
      </c>
      <c r="AU213" s="25">
        <v>2048</v>
      </c>
      <c r="AV213" s="25">
        <v>2049</v>
      </c>
      <c r="AW213" s="25">
        <v>2050</v>
      </c>
      <c r="AX213" s="25">
        <v>2051</v>
      </c>
      <c r="AY213" s="25">
        <v>2052</v>
      </c>
      <c r="AZ213" s="25">
        <v>2053</v>
      </c>
      <c r="BA213" s="25">
        <v>2054</v>
      </c>
    </row>
    <row r="214" spans="1:53" outlineLevel="1" x14ac:dyDescent="0.35">
      <c r="A214" s="6" t="s">
        <v>21</v>
      </c>
      <c r="B214" s="6">
        <f>'Results - raw data ReCiPe (H)'!BC77</f>
        <v>71.38267553879804</v>
      </c>
      <c r="AB214" s="6" t="s">
        <v>117</v>
      </c>
      <c r="AC214" s="6">
        <f>SUM(B214:B225)+B227</f>
        <v>2681.9296561792253</v>
      </c>
    </row>
    <row r="215" spans="1:53" outlineLevel="1" x14ac:dyDescent="0.35">
      <c r="A215" s="6" t="s">
        <v>23</v>
      </c>
      <c r="B215" s="6">
        <f>'Results - raw data ReCiPe (H)'!BC78</f>
        <v>309.39379081190958</v>
      </c>
      <c r="AB215" s="6" t="s">
        <v>118</v>
      </c>
      <c r="AC215" s="6">
        <f>B226</f>
        <v>258.88808240632699</v>
      </c>
    </row>
    <row r="216" spans="1:53" outlineLevel="1" x14ac:dyDescent="0.35">
      <c r="A216" s="6" t="s">
        <v>26</v>
      </c>
      <c r="B216" s="6">
        <f>'Results - raw data ReCiPe (H)'!BC79</f>
        <v>304.2681794288975</v>
      </c>
      <c r="AB216" s="6" t="s">
        <v>119</v>
      </c>
      <c r="BA216" s="6">
        <f>SUM(Z228:Z239)</f>
        <v>38.789621318581062</v>
      </c>
    </row>
    <row r="217" spans="1:53" outlineLevel="1" x14ac:dyDescent="0.35">
      <c r="A217" s="6" t="s">
        <v>28</v>
      </c>
      <c r="B217" s="6">
        <f>'Results - raw data ReCiPe (H)'!BC80</f>
        <v>232.33757803762921</v>
      </c>
      <c r="AB217" s="6" t="s">
        <v>120</v>
      </c>
      <c r="BA217" s="6">
        <f>Z240</f>
        <v>1.2288061080708204</v>
      </c>
    </row>
    <row r="218" spans="1:53" outlineLevel="1" x14ac:dyDescent="0.35">
      <c r="A218" s="6" t="s">
        <v>29</v>
      </c>
      <c r="B218" s="6">
        <f>'Results - raw data ReCiPe (H)'!BC81</f>
        <v>112.28629490364889</v>
      </c>
      <c r="AB218" s="6" t="s">
        <v>121</v>
      </c>
      <c r="AC218" s="6">
        <f>B241</f>
        <v>114.06781731957111</v>
      </c>
      <c r="AF218" s="6">
        <f>E241</f>
        <v>112.3911675049322</v>
      </c>
      <c r="AI218" s="6">
        <f>H241</f>
        <v>112.2010947204887</v>
      </c>
      <c r="AL218" s="6">
        <f>K241</f>
        <v>113.21958271568749</v>
      </c>
      <c r="AO218" s="6">
        <f>N241</f>
        <v>113.61473943331841</v>
      </c>
      <c r="AR218" s="6">
        <f>Q241</f>
        <v>113.3787859326078</v>
      </c>
      <c r="AU218" s="6">
        <f>T241</f>
        <v>112.2791950057142</v>
      </c>
      <c r="AX218" s="6">
        <f>W241</f>
        <v>111.5739444092645</v>
      </c>
      <c r="BA218" s="6">
        <f>Z241</f>
        <v>111.3824079888096</v>
      </c>
    </row>
    <row r="219" spans="1:53" outlineLevel="1" x14ac:dyDescent="0.35">
      <c r="A219" s="6" t="s">
        <v>31</v>
      </c>
      <c r="B219" s="6">
        <f>'Results - raw data ReCiPe (H)'!BC82</f>
        <v>81.434527823734626</v>
      </c>
      <c r="AB219" s="6" t="s">
        <v>122</v>
      </c>
      <c r="AC219" s="6">
        <f>B244+B243</f>
        <v>1175.8452241785824</v>
      </c>
      <c r="AD219" s="6">
        <f t="shared" ref="AD219:BA219" si="23">C244+C243</f>
        <v>1087.0891072007541</v>
      </c>
      <c r="AE219" s="6">
        <f t="shared" si="23"/>
        <v>997.62082450104299</v>
      </c>
      <c r="AF219" s="6">
        <f t="shared" si="23"/>
        <v>902.77080385259717</v>
      </c>
      <c r="AG219" s="6">
        <f t="shared" si="23"/>
        <v>811.69338552061743</v>
      </c>
      <c r="AH219" s="6">
        <f t="shared" si="23"/>
        <v>719.90952411155206</v>
      </c>
      <c r="AI219" s="6">
        <f t="shared" si="23"/>
        <v>830.5494196246367</v>
      </c>
      <c r="AJ219" s="6">
        <f t="shared" si="23"/>
        <v>940.90859230346416</v>
      </c>
      <c r="AK219" s="6">
        <f t="shared" si="23"/>
        <v>1046.4356996736349</v>
      </c>
      <c r="AL219" s="6">
        <f t="shared" si="23"/>
        <v>1156.0917592662138</v>
      </c>
      <c r="AM219" s="6">
        <f t="shared" si="23"/>
        <v>1265.4894480400476</v>
      </c>
      <c r="AN219" s="6">
        <f t="shared" si="23"/>
        <v>1401.5236823982696</v>
      </c>
      <c r="AO219" s="6">
        <f t="shared" si="23"/>
        <v>1537.1204937656278</v>
      </c>
      <c r="AP219" s="6">
        <f t="shared" si="23"/>
        <v>1671.2453102185493</v>
      </c>
      <c r="AQ219" s="6">
        <f t="shared" si="23"/>
        <v>1805.9907176359361</v>
      </c>
      <c r="AR219" s="6">
        <f t="shared" si="23"/>
        <v>1940.2936655372544</v>
      </c>
      <c r="AS219" s="6">
        <f t="shared" si="23"/>
        <v>1891.2598128052794</v>
      </c>
      <c r="AT219" s="6">
        <f t="shared" si="23"/>
        <v>1842.4822013892767</v>
      </c>
      <c r="AU219" s="6">
        <f t="shared" si="23"/>
        <v>1793.0190339898018</v>
      </c>
      <c r="AV219" s="6">
        <f t="shared" si="23"/>
        <v>1744.7644437652114</v>
      </c>
      <c r="AW219" s="6">
        <f t="shared" si="23"/>
        <v>1696.7334797357501</v>
      </c>
      <c r="AX219" s="6">
        <f t="shared" si="23"/>
        <v>1697.2356339225128</v>
      </c>
      <c r="AY219" s="6">
        <f t="shared" si="23"/>
        <v>1697.7935834059967</v>
      </c>
      <c r="AZ219" s="6">
        <f t="shared" si="23"/>
        <v>1698.3396815294088</v>
      </c>
      <c r="BA219" s="6">
        <f t="shared" si="23"/>
        <v>1698.8725316497232</v>
      </c>
    </row>
    <row r="220" spans="1:53" outlineLevel="1" x14ac:dyDescent="0.35">
      <c r="A220" s="6" t="s">
        <v>34</v>
      </c>
      <c r="B220" s="6">
        <f>'Results - raw data ReCiPe (H)'!BC83</f>
        <v>53.72069534285378</v>
      </c>
      <c r="AB220" s="6" t="s">
        <v>123</v>
      </c>
      <c r="AC220" s="6">
        <f>B242</f>
        <v>128.68401908039701</v>
      </c>
      <c r="AD220" s="6">
        <f t="shared" ref="AD220:BA220" si="24">C242</f>
        <v>119.5221661741754</v>
      </c>
      <c r="AE220" s="6">
        <f t="shared" si="24"/>
        <v>110.35343288106161</v>
      </c>
      <c r="AF220" s="6">
        <f t="shared" si="24"/>
        <v>100.7215182281773</v>
      </c>
      <c r="AG220" s="6">
        <f t="shared" si="24"/>
        <v>91.524926758190233</v>
      </c>
      <c r="AH220" s="6">
        <f t="shared" si="24"/>
        <v>82.32383877996152</v>
      </c>
      <c r="AI220" s="6">
        <f t="shared" si="24"/>
        <v>93.038612238311615</v>
      </c>
      <c r="AJ220" s="6">
        <f t="shared" si="24"/>
        <v>103.67938855423571</v>
      </c>
      <c r="AK220" s="6">
        <f t="shared" si="24"/>
        <v>113.8024674145238</v>
      </c>
      <c r="AL220" s="6">
        <f t="shared" si="24"/>
        <v>124.2828023219223</v>
      </c>
      <c r="AM220" s="6">
        <f t="shared" si="24"/>
        <v>134.6917389739364</v>
      </c>
      <c r="AN220" s="6">
        <f t="shared" si="24"/>
        <v>147.88730688274839</v>
      </c>
      <c r="AO220" s="6">
        <f t="shared" si="24"/>
        <v>161.0628829723077</v>
      </c>
      <c r="AP220" s="6">
        <f t="shared" si="24"/>
        <v>174.1174858065788</v>
      </c>
      <c r="AQ220" s="6">
        <f t="shared" si="24"/>
        <v>187.25531929984768</v>
      </c>
      <c r="AR220" s="6">
        <f t="shared" si="24"/>
        <v>200.37255741549239</v>
      </c>
      <c r="AS220" s="6">
        <f t="shared" si="24"/>
        <v>196.32347547824619</v>
      </c>
      <c r="AT220" s="6">
        <f t="shared" si="24"/>
        <v>192.25719066101561</v>
      </c>
      <c r="AU220" s="6">
        <f t="shared" si="24"/>
        <v>188.08141295488582</v>
      </c>
      <c r="AV220" s="6">
        <f t="shared" si="24"/>
        <v>183.98266935640538</v>
      </c>
      <c r="AW220" s="6">
        <f t="shared" si="24"/>
        <v>179.86585576332291</v>
      </c>
      <c r="AX220" s="6">
        <f t="shared" si="24"/>
        <v>179.70009713751529</v>
      </c>
      <c r="AY220" s="6">
        <f t="shared" si="24"/>
        <v>179.54299604813738</v>
      </c>
      <c r="AZ220" s="6">
        <f t="shared" si="24"/>
        <v>179.3844806004744</v>
      </c>
      <c r="BA220" s="6">
        <f t="shared" si="24"/>
        <v>179.22434128810602</v>
      </c>
    </row>
    <row r="221" spans="1:53" outlineLevel="1" x14ac:dyDescent="0.35">
      <c r="A221" s="6" t="s">
        <v>36</v>
      </c>
      <c r="B221" s="6">
        <f>'Results - raw data ReCiPe (H)'!BC84</f>
        <v>56.4741510532414</v>
      </c>
      <c r="AB221" s="6" t="s">
        <v>124</v>
      </c>
    </row>
    <row r="222" spans="1:53" outlineLevel="1" x14ac:dyDescent="0.35">
      <c r="A222" s="6" t="s">
        <v>38</v>
      </c>
      <c r="B222" s="6">
        <f>'Results - raw data ReCiPe (H)'!BC85</f>
        <v>632.20465263923336</v>
      </c>
      <c r="AB222" s="23" t="s">
        <v>125</v>
      </c>
      <c r="AC222" s="17">
        <f>SUM(AC214:AC221)</f>
        <v>4359.414799164103</v>
      </c>
      <c r="AD222" s="17">
        <f t="shared" ref="AD222:BA222" si="25">SUM(AD214:AD221)</f>
        <v>1206.6112733749296</v>
      </c>
      <c r="AE222" s="17">
        <f t="shared" si="25"/>
        <v>1107.9742573821045</v>
      </c>
      <c r="AF222" s="17">
        <f t="shared" si="25"/>
        <v>1115.8834895857067</v>
      </c>
      <c r="AG222" s="17">
        <f t="shared" si="25"/>
        <v>903.21831227880762</v>
      </c>
      <c r="AH222" s="17">
        <f t="shared" si="25"/>
        <v>802.23336289151359</v>
      </c>
      <c r="AI222" s="17">
        <f t="shared" si="25"/>
        <v>1035.7891265834369</v>
      </c>
      <c r="AJ222" s="17">
        <f t="shared" si="25"/>
        <v>1044.5879808576999</v>
      </c>
      <c r="AK222" s="17">
        <f t="shared" si="25"/>
        <v>1160.2381670881587</v>
      </c>
      <c r="AL222" s="17">
        <f t="shared" si="25"/>
        <v>1393.5941443038237</v>
      </c>
      <c r="AM222" s="17">
        <f t="shared" si="25"/>
        <v>1400.1811870139841</v>
      </c>
      <c r="AN222" s="17">
        <f t="shared" si="25"/>
        <v>1549.4109892810179</v>
      </c>
      <c r="AO222" s="17">
        <f t="shared" si="25"/>
        <v>1811.7981161712539</v>
      </c>
      <c r="AP222" s="17">
        <f t="shared" si="25"/>
        <v>1845.3627960251281</v>
      </c>
      <c r="AQ222" s="17">
        <f t="shared" si="25"/>
        <v>1993.2460369357839</v>
      </c>
      <c r="AR222" s="17">
        <f t="shared" si="25"/>
        <v>2254.0450088853545</v>
      </c>
      <c r="AS222" s="17">
        <f t="shared" si="25"/>
        <v>2087.5832882835257</v>
      </c>
      <c r="AT222" s="17">
        <f t="shared" si="25"/>
        <v>2034.7393920502923</v>
      </c>
      <c r="AU222" s="17">
        <f t="shared" si="25"/>
        <v>2093.3796419504019</v>
      </c>
      <c r="AV222" s="17">
        <f t="shared" si="25"/>
        <v>1928.7471131216166</v>
      </c>
      <c r="AW222" s="17">
        <f t="shared" si="25"/>
        <v>1876.599335499073</v>
      </c>
      <c r="AX222" s="17">
        <f t="shared" si="25"/>
        <v>1988.5096754692925</v>
      </c>
      <c r="AY222" s="17">
        <f t="shared" si="25"/>
        <v>1877.3365794541342</v>
      </c>
      <c r="AZ222" s="17">
        <f t="shared" si="25"/>
        <v>1877.7241621298833</v>
      </c>
      <c r="BA222" s="17">
        <f t="shared" si="25"/>
        <v>2029.4977083532906</v>
      </c>
    </row>
    <row r="223" spans="1:53" outlineLevel="1" x14ac:dyDescent="0.35">
      <c r="A223" s="6" t="s">
        <v>39</v>
      </c>
      <c r="B223" s="6">
        <f>'Results - raw data ReCiPe (H)'!BC86</f>
        <v>613.14460127904488</v>
      </c>
    </row>
    <row r="224" spans="1:53" outlineLevel="1" x14ac:dyDescent="0.35">
      <c r="A224" s="6" t="s">
        <v>41</v>
      </c>
      <c r="B224" s="6">
        <f>'Results - raw data ReCiPe (H)'!BC87</f>
        <v>53.80292885804797</v>
      </c>
    </row>
    <row r="225" spans="1:53" outlineLevel="1" x14ac:dyDescent="0.35">
      <c r="A225" s="6" t="s">
        <v>43</v>
      </c>
      <c r="B225" s="6">
        <f>'Results - raw data ReCiPe (H)'!BC88</f>
        <v>70.811968393392803</v>
      </c>
      <c r="AB225" s="282"/>
      <c r="AC225" s="282"/>
      <c r="AD225" s="282"/>
      <c r="AE225" s="282"/>
      <c r="AF225" s="282"/>
      <c r="AG225" s="282"/>
      <c r="AH225" s="282"/>
      <c r="AI225" s="282"/>
      <c r="AJ225" s="282"/>
      <c r="AK225" s="282"/>
      <c r="AL225" s="282"/>
      <c r="AM225" s="282"/>
      <c r="AN225" s="282"/>
      <c r="AO225" s="282"/>
      <c r="AP225" s="282"/>
      <c r="AQ225" s="282"/>
      <c r="AR225" s="282"/>
      <c r="AS225" s="282"/>
      <c r="AT225" s="282"/>
      <c r="AU225" s="282"/>
      <c r="AV225" s="282"/>
      <c r="AW225" s="282"/>
      <c r="AX225" s="282"/>
      <c r="AY225" s="282"/>
      <c r="AZ225" s="282"/>
      <c r="BA225" s="282"/>
    </row>
    <row r="226" spans="1:53" outlineLevel="1" x14ac:dyDescent="0.35">
      <c r="A226" s="6" t="s">
        <v>44</v>
      </c>
      <c r="B226" s="6">
        <f>'Results - raw data ReCiPe (H)'!BC89*AC210*AC212</f>
        <v>258.88808240632699</v>
      </c>
      <c r="AB226" s="282"/>
      <c r="AC226" s="282"/>
      <c r="AD226" s="282"/>
      <c r="AE226" s="282"/>
      <c r="AF226" s="282"/>
      <c r="AG226" s="282"/>
      <c r="AH226" s="282"/>
      <c r="AI226" s="282"/>
      <c r="AJ226" s="282"/>
      <c r="AK226" s="282"/>
      <c r="AL226" s="282"/>
      <c r="AM226" s="282"/>
      <c r="AN226" s="282"/>
      <c r="AO226" s="282"/>
      <c r="AP226" s="282"/>
      <c r="AQ226" s="282"/>
      <c r="AR226" s="282"/>
      <c r="AS226" s="282"/>
      <c r="AT226" s="282"/>
      <c r="AU226" s="282"/>
      <c r="AV226" s="282"/>
      <c r="AW226" s="282"/>
      <c r="AX226" s="282"/>
      <c r="AY226" s="282"/>
      <c r="AZ226" s="282"/>
      <c r="BA226" s="282"/>
    </row>
    <row r="227" spans="1:53" outlineLevel="1" x14ac:dyDescent="0.35">
      <c r="A227" s="6" t="s">
        <v>757</v>
      </c>
      <c r="B227" s="6">
        <f>'Results - raw data ReCiPe (H)'!BC90*AC210*AC212</f>
        <v>90.667612068793431</v>
      </c>
      <c r="AB227" s="282"/>
      <c r="AC227" s="282"/>
      <c r="AD227" s="282"/>
      <c r="AE227" s="282"/>
      <c r="AF227" s="282"/>
      <c r="AG227" s="282"/>
      <c r="AH227" s="282"/>
      <c r="AI227" s="282"/>
      <c r="AJ227" s="282"/>
      <c r="AK227" s="282"/>
      <c r="AL227" s="282"/>
      <c r="AM227" s="282"/>
      <c r="AN227" s="282"/>
      <c r="AO227" s="282"/>
      <c r="AP227" s="282"/>
      <c r="AQ227" s="282"/>
      <c r="AR227" s="282"/>
      <c r="AS227" s="282"/>
      <c r="AT227" s="282"/>
      <c r="AU227" s="282"/>
      <c r="AV227" s="282"/>
      <c r="AW227" s="282"/>
      <c r="AX227" s="282"/>
      <c r="AY227" s="282"/>
      <c r="AZ227" s="282"/>
      <c r="BA227" s="282"/>
    </row>
    <row r="228" spans="1:53" outlineLevel="1" x14ac:dyDescent="0.35">
      <c r="A228" s="6" t="s">
        <v>22</v>
      </c>
      <c r="Z228" s="6">
        <f>'Results - raw data ReCiPe (H)'!CA91</f>
        <v>0.30634226930476899</v>
      </c>
      <c r="AB228" s="282"/>
      <c r="AC228" s="282"/>
      <c r="AD228" s="282"/>
      <c r="AE228" s="282"/>
      <c r="AF228" s="282"/>
      <c r="AG228" s="282"/>
      <c r="AH228" s="282"/>
      <c r="AI228" s="282"/>
      <c r="AJ228" s="282"/>
      <c r="AK228" s="282"/>
      <c r="AL228" s="282"/>
      <c r="AM228" s="282"/>
      <c r="AN228" s="282"/>
      <c r="AO228" s="282"/>
      <c r="AP228" s="282"/>
      <c r="AQ228" s="282"/>
      <c r="AR228" s="282"/>
      <c r="AS228" s="282"/>
      <c r="AT228" s="282"/>
      <c r="AU228" s="282"/>
      <c r="AV228" s="282"/>
      <c r="AW228" s="282"/>
      <c r="AX228" s="282"/>
      <c r="AY228" s="282"/>
      <c r="AZ228" s="282"/>
      <c r="BA228" s="282"/>
    </row>
    <row r="229" spans="1:53" outlineLevel="1" x14ac:dyDescent="0.35">
      <c r="A229" s="6" t="s">
        <v>24</v>
      </c>
      <c r="Z229" s="6">
        <f>'Results - raw data ReCiPe (H)'!CA92</f>
        <v>0.33987786273119752</v>
      </c>
      <c r="AB229" s="282"/>
      <c r="AC229" s="282"/>
      <c r="AD229" s="282"/>
      <c r="AE229" s="282"/>
      <c r="AF229" s="282"/>
      <c r="AG229" s="282"/>
      <c r="AH229" s="282"/>
      <c r="AI229" s="282"/>
      <c r="AJ229" s="282"/>
      <c r="AK229" s="282"/>
      <c r="AL229" s="282"/>
      <c r="AM229" s="282"/>
      <c r="AN229" s="282"/>
      <c r="AO229" s="282"/>
      <c r="AP229" s="282"/>
      <c r="AQ229" s="282"/>
      <c r="AR229" s="282"/>
      <c r="AS229" s="282"/>
      <c r="AT229" s="282"/>
      <c r="AU229" s="282"/>
      <c r="AV229" s="282"/>
      <c r="AW229" s="282"/>
      <c r="AX229" s="282"/>
      <c r="AY229" s="282"/>
      <c r="AZ229" s="282"/>
      <c r="BA229" s="282"/>
    </row>
    <row r="230" spans="1:53" outlineLevel="1" x14ac:dyDescent="0.35">
      <c r="A230" s="6" t="s">
        <v>25</v>
      </c>
      <c r="Z230" s="6">
        <f>'Results - raw data ReCiPe (H)'!CA93</f>
        <v>1.54613057891552</v>
      </c>
      <c r="AB230" s="282"/>
      <c r="AC230" s="282"/>
      <c r="AD230" s="282"/>
      <c r="AE230" s="282"/>
      <c r="AF230" s="282"/>
      <c r="AG230" s="282"/>
      <c r="AH230" s="282"/>
      <c r="AI230" s="282"/>
      <c r="AJ230" s="282"/>
      <c r="AK230" s="282"/>
      <c r="AL230" s="282"/>
      <c r="AM230" s="282"/>
      <c r="AN230" s="282"/>
      <c r="AO230" s="282"/>
      <c r="AP230" s="282"/>
      <c r="AQ230" s="282"/>
      <c r="AR230" s="282"/>
      <c r="AS230" s="282"/>
      <c r="AT230" s="282"/>
      <c r="AU230" s="282"/>
      <c r="AV230" s="282"/>
      <c r="AW230" s="282"/>
      <c r="AX230" s="282"/>
      <c r="AY230" s="282"/>
      <c r="AZ230" s="282"/>
      <c r="BA230" s="282"/>
    </row>
    <row r="231" spans="1:53" outlineLevel="1" x14ac:dyDescent="0.35">
      <c r="A231" s="6" t="s">
        <v>27</v>
      </c>
      <c r="Z231" s="6">
        <f>'Results - raw data ReCiPe (H)'!CA94</f>
        <v>0.94564416196411627</v>
      </c>
      <c r="AB231" s="282"/>
      <c r="AC231" s="282"/>
      <c r="AD231" s="282"/>
      <c r="AE231" s="282"/>
      <c r="AF231" s="282"/>
      <c r="AG231" s="282"/>
      <c r="AH231" s="282"/>
      <c r="AI231" s="282"/>
      <c r="AJ231" s="282"/>
      <c r="AK231" s="282"/>
      <c r="AL231" s="282"/>
      <c r="AM231" s="282"/>
      <c r="AN231" s="282"/>
      <c r="AO231" s="282"/>
      <c r="AP231" s="282"/>
      <c r="AQ231" s="282"/>
      <c r="AR231" s="282"/>
      <c r="AS231" s="282"/>
      <c r="AT231" s="282"/>
      <c r="AU231" s="282"/>
      <c r="AV231" s="282"/>
      <c r="AW231" s="282"/>
      <c r="AX231" s="282"/>
      <c r="AY231" s="282"/>
      <c r="AZ231" s="282"/>
      <c r="BA231" s="282"/>
    </row>
    <row r="232" spans="1:53" outlineLevel="1" x14ac:dyDescent="0.35">
      <c r="A232" s="6" t="s">
        <v>30</v>
      </c>
      <c r="Z232" s="6">
        <f>'Results - raw data ReCiPe (H)'!CA95</f>
        <v>0.37601872100948219</v>
      </c>
      <c r="AB232" s="282"/>
      <c r="AC232" s="282"/>
      <c r="AD232" s="282"/>
      <c r="AE232" s="282"/>
      <c r="AF232" s="282"/>
      <c r="AG232" s="282"/>
      <c r="AH232" s="282"/>
      <c r="AI232" s="282"/>
      <c r="AJ232" s="282"/>
      <c r="AK232" s="282"/>
      <c r="AL232" s="282"/>
      <c r="AM232" s="282"/>
      <c r="AN232" s="282"/>
      <c r="AO232" s="282"/>
      <c r="AP232" s="282"/>
      <c r="AQ232" s="282"/>
      <c r="AR232" s="282"/>
      <c r="AS232" s="282"/>
      <c r="AT232" s="282"/>
      <c r="AU232" s="282"/>
      <c r="AV232" s="282"/>
      <c r="AW232" s="282"/>
      <c r="AX232" s="282"/>
      <c r="AY232" s="282"/>
      <c r="AZ232" s="282"/>
      <c r="BA232" s="282"/>
    </row>
    <row r="233" spans="1:53" outlineLevel="1" x14ac:dyDescent="0.35">
      <c r="A233" s="6" t="s">
        <v>32</v>
      </c>
      <c r="Z233" s="6">
        <f>'Results - raw data ReCiPe (H)'!CA96</f>
        <v>0.1689291870015715</v>
      </c>
      <c r="AB233" s="282"/>
      <c r="AC233" s="282"/>
      <c r="AD233" s="282"/>
      <c r="AE233" s="282"/>
      <c r="AF233" s="282"/>
      <c r="AG233" s="282"/>
      <c r="AH233" s="282"/>
      <c r="AI233" s="282"/>
      <c r="AJ233" s="282"/>
      <c r="AK233" s="282"/>
      <c r="AL233" s="282"/>
      <c r="AM233" s="282"/>
      <c r="AN233" s="282"/>
      <c r="AO233" s="282"/>
      <c r="AP233" s="282"/>
      <c r="AQ233" s="282"/>
      <c r="AR233" s="282"/>
      <c r="AS233" s="282"/>
      <c r="AT233" s="282"/>
      <c r="AU233" s="282"/>
      <c r="AV233" s="282"/>
      <c r="AW233" s="282"/>
      <c r="AX233" s="282"/>
      <c r="AY233" s="282"/>
      <c r="AZ233" s="282"/>
      <c r="BA233" s="282"/>
    </row>
    <row r="234" spans="1:53" outlineLevel="1" x14ac:dyDescent="0.35">
      <c r="A234" s="6" t="s">
        <v>33</v>
      </c>
      <c r="Z234" s="6">
        <f>'Results - raw data ReCiPe (H)'!CA97</f>
        <v>9.7181984563696311E-2</v>
      </c>
      <c r="AB234" s="282"/>
      <c r="AC234" s="282"/>
      <c r="AD234" s="282"/>
      <c r="AE234" s="282"/>
      <c r="AF234" s="282"/>
      <c r="AG234" s="282"/>
      <c r="AH234" s="282"/>
      <c r="AI234" s="282"/>
      <c r="AJ234" s="282"/>
      <c r="AK234" s="282"/>
      <c r="AL234" s="282"/>
      <c r="AM234" s="282"/>
      <c r="AN234" s="282"/>
      <c r="AO234" s="282"/>
      <c r="AP234" s="282"/>
      <c r="AQ234" s="282"/>
      <c r="AR234" s="282"/>
      <c r="AS234" s="282"/>
      <c r="AT234" s="282"/>
      <c r="AU234" s="282"/>
      <c r="AV234" s="282"/>
      <c r="AW234" s="282"/>
      <c r="AX234" s="282"/>
      <c r="AY234" s="282"/>
      <c r="AZ234" s="282"/>
      <c r="BA234" s="282"/>
    </row>
    <row r="235" spans="1:53" outlineLevel="1" x14ac:dyDescent="0.35">
      <c r="A235" s="6" t="s">
        <v>35</v>
      </c>
      <c r="Z235" s="6">
        <f>'Results - raw data ReCiPe (H)'!CA98</f>
        <v>0.19436396912739259</v>
      </c>
      <c r="AB235" s="282"/>
      <c r="AC235" s="282"/>
      <c r="AD235" s="282"/>
      <c r="AE235" s="282"/>
      <c r="AF235" s="282"/>
      <c r="AG235" s="282"/>
      <c r="AH235" s="282"/>
      <c r="AI235" s="282"/>
      <c r="AJ235" s="282"/>
      <c r="AK235" s="282"/>
      <c r="AL235" s="282"/>
      <c r="AM235" s="282"/>
      <c r="AN235" s="282"/>
      <c r="AO235" s="282"/>
      <c r="AP235" s="282"/>
      <c r="AQ235" s="282"/>
      <c r="AR235" s="282"/>
      <c r="AS235" s="282"/>
      <c r="AT235" s="282"/>
      <c r="AU235" s="282"/>
      <c r="AV235" s="282"/>
      <c r="AW235" s="282"/>
      <c r="AX235" s="282"/>
      <c r="AY235" s="282"/>
      <c r="AZ235" s="282"/>
      <c r="BA235" s="282"/>
    </row>
    <row r="236" spans="1:53" outlineLevel="1" x14ac:dyDescent="0.35">
      <c r="A236" s="6" t="s">
        <v>37</v>
      </c>
      <c r="Z236" s="6">
        <f>'Results - raw data ReCiPe (H)'!CA99</f>
        <v>2.8638113623765111</v>
      </c>
      <c r="AB236" s="282"/>
      <c r="AC236" s="282"/>
      <c r="AD236" s="282"/>
      <c r="AE236" s="282"/>
      <c r="AF236" s="282"/>
      <c r="AG236" s="282"/>
      <c r="AH236" s="282"/>
      <c r="AI236" s="282"/>
      <c r="AJ236" s="282"/>
      <c r="AK236" s="282"/>
      <c r="AL236" s="282"/>
      <c r="AM236" s="282"/>
      <c r="AN236" s="282"/>
      <c r="AO236" s="282"/>
      <c r="AP236" s="282"/>
      <c r="AQ236" s="282"/>
      <c r="AR236" s="282"/>
      <c r="AS236" s="282"/>
      <c r="AT236" s="282"/>
      <c r="AU236" s="282"/>
      <c r="AV236" s="282"/>
      <c r="AW236" s="282"/>
      <c r="AX236" s="282"/>
      <c r="AY236" s="282"/>
      <c r="AZ236" s="282"/>
      <c r="BA236" s="282"/>
    </row>
    <row r="237" spans="1:53" outlineLevel="1" x14ac:dyDescent="0.35">
      <c r="A237" s="6" t="s">
        <v>40</v>
      </c>
      <c r="Z237" s="6">
        <f>'Results - raw data ReCiPe (H)'!CA100</f>
        <v>1.3377114098727929</v>
      </c>
    </row>
    <row r="238" spans="1:53" outlineLevel="1" x14ac:dyDescent="0.35">
      <c r="A238" s="6" t="s">
        <v>42</v>
      </c>
      <c r="Z238" s="6">
        <f>'Results - raw data ReCiPe (H)'!CA101</f>
        <v>3.6060080522679621</v>
      </c>
    </row>
    <row r="239" spans="1:53" outlineLevel="1" x14ac:dyDescent="0.35">
      <c r="A239" s="6" t="s">
        <v>115</v>
      </c>
      <c r="Z239" s="6">
        <f>'Results - raw data ReCiPe (H)'!CA102</f>
        <v>27.00760175944605</v>
      </c>
    </row>
    <row r="240" spans="1:53" outlineLevel="1" x14ac:dyDescent="0.35">
      <c r="A240" s="6" t="s">
        <v>45</v>
      </c>
      <c r="Z240" s="6">
        <f>'Results - raw data ReCiPe (H)'!CA103*AC210*AC212</f>
        <v>1.2288061080708204</v>
      </c>
    </row>
    <row r="241" spans="1:26" outlineLevel="1" x14ac:dyDescent="0.35">
      <c r="A241" s="6" t="s">
        <v>116</v>
      </c>
      <c r="B241" s="6">
        <f>'Results - raw data ReCiPe (H)'!BC104</f>
        <v>114.06781731957111</v>
      </c>
      <c r="C241" s="6">
        <f>'Results - raw data ReCiPe (H)'!BD104</f>
        <v>113.7328675530224</v>
      </c>
      <c r="D241" s="6">
        <f>'Results - raw data ReCiPe (H)'!BE104</f>
        <v>113.3929663091527</v>
      </c>
      <c r="E241" s="6">
        <f>'Results - raw data ReCiPe (H)'!BF104</f>
        <v>112.3911675049322</v>
      </c>
      <c r="F241" s="6">
        <f>'Results - raw data ReCiPe (H)'!BG104</f>
        <v>112.0478306078531</v>
      </c>
      <c r="G241" s="6">
        <f>'Results - raw data ReCiPe (H)'!BH104</f>
        <v>111.69872823537609</v>
      </c>
      <c r="H241" s="6">
        <f>'Results - raw data ReCiPe (H)'!BI104</f>
        <v>112.2010947204887</v>
      </c>
      <c r="I241" s="6">
        <f>'Results - raw data ReCiPe (H)'!BJ104</f>
        <v>112.69351643430041</v>
      </c>
      <c r="J241" s="6">
        <f>'Results - raw data ReCiPe (H)'!BK104</f>
        <v>112.74009000216979</v>
      </c>
      <c r="K241" s="6">
        <f>'Results - raw data ReCiPe (H)'!BL104</f>
        <v>113.21958271568749</v>
      </c>
      <c r="L241" s="6">
        <f>'Results - raw data ReCiPe (H)'!BM104</f>
        <v>113.6897765530383</v>
      </c>
      <c r="M241" s="6">
        <f>'Results - raw data ReCiPe (H)'!BN104</f>
        <v>113.65222917100461</v>
      </c>
      <c r="N241" s="6">
        <f>'Results - raw data ReCiPe (H)'!BO104</f>
        <v>113.61473943331841</v>
      </c>
      <c r="O241" s="6">
        <f>'Results - raw data ReCiPe (H)'!BP104</f>
        <v>113.44770784519361</v>
      </c>
      <c r="P241" s="6">
        <f>'Results - raw data ReCiPe (H)'!BQ104</f>
        <v>113.41332719801061</v>
      </c>
      <c r="Q241" s="6">
        <f>'Results - raw data ReCiPe (H)'!BR104</f>
        <v>113.3787859326078</v>
      </c>
      <c r="R241" s="6">
        <f>'Results - raw data ReCiPe (H)'!BS104</f>
        <v>113.0512155274629</v>
      </c>
      <c r="S241" s="6">
        <f>'Results - raw data ReCiPe (H)'!BT104</f>
        <v>112.7253429675897</v>
      </c>
      <c r="T241" s="6">
        <f>'Results - raw data ReCiPe (H)'!BU104</f>
        <v>112.2791950057142</v>
      </c>
      <c r="U241" s="6">
        <f>'Results - raw data ReCiPe (H)'!BV104</f>
        <v>111.9583975303494</v>
      </c>
      <c r="V241" s="6">
        <f>'Results - raw data ReCiPe (H)'!BW104</f>
        <v>111.6387040996559</v>
      </c>
      <c r="W241" s="6">
        <f>'Results - raw data ReCiPe (H)'!BX104</f>
        <v>111.5739444092645</v>
      </c>
      <c r="X241" s="6">
        <f>'Results - raw data ReCiPe (H)'!BY104</f>
        <v>111.50977454615681</v>
      </c>
      <c r="Y241" s="6">
        <f>'Results - raw data ReCiPe (H)'!BZ104</f>
        <v>111.4459321675379</v>
      </c>
      <c r="Z241" s="6">
        <f>'Results - raw data ReCiPe (H)'!CA104</f>
        <v>111.3824079888096</v>
      </c>
    </row>
    <row r="242" spans="1:26" outlineLevel="1" x14ac:dyDescent="0.35">
      <c r="A242" s="6" t="s">
        <v>758</v>
      </c>
      <c r="B242" s="6">
        <f>'Results - raw data ReCiPe (H)'!BC179*$AC$210</f>
        <v>128.68401908039701</v>
      </c>
      <c r="C242" s="6">
        <f>'Results - raw data ReCiPe (H)'!BD179*$AC$210</f>
        <v>119.5221661741754</v>
      </c>
      <c r="D242" s="6">
        <f>'Results - raw data ReCiPe (H)'!BE179*$AC$210</f>
        <v>110.35343288106161</v>
      </c>
      <c r="E242" s="6">
        <f>'Results - raw data ReCiPe (H)'!BF179*$AC$210</f>
        <v>100.7215182281773</v>
      </c>
      <c r="F242" s="6">
        <f>'Results - raw data ReCiPe (H)'!BG179*$AC$210</f>
        <v>91.524926758190233</v>
      </c>
      <c r="G242" s="6">
        <f>'Results - raw data ReCiPe (H)'!BH179*$AC$210</f>
        <v>82.32383877996152</v>
      </c>
      <c r="H242" s="6">
        <f>'Results - raw data ReCiPe (H)'!BI179*$AC$210</f>
        <v>93.038612238311615</v>
      </c>
      <c r="I242" s="6">
        <f>'Results - raw data ReCiPe (H)'!BJ179*$AC$210</f>
        <v>103.67938855423571</v>
      </c>
      <c r="J242" s="6">
        <f>'Results - raw data ReCiPe (H)'!BK179*$AC$210</f>
        <v>113.8024674145238</v>
      </c>
      <c r="K242" s="6">
        <f>'Results - raw data ReCiPe (H)'!BL179*$AC$210</f>
        <v>124.2828023219223</v>
      </c>
      <c r="L242" s="6">
        <f>'Results - raw data ReCiPe (H)'!BM179*$AC$210</f>
        <v>134.6917389739364</v>
      </c>
      <c r="M242" s="6">
        <f>'Results - raw data ReCiPe (H)'!BN179*$AC$210</f>
        <v>147.88730688274839</v>
      </c>
      <c r="N242" s="6">
        <f>'Results - raw data ReCiPe (H)'!BO179*$AC$210</f>
        <v>161.0628829723077</v>
      </c>
      <c r="O242" s="6">
        <f>'Results - raw data ReCiPe (H)'!BP179*$AC$210</f>
        <v>174.1174858065788</v>
      </c>
      <c r="P242" s="6">
        <f>'Results - raw data ReCiPe (H)'!BQ179*$AC$210</f>
        <v>187.25531929984768</v>
      </c>
      <c r="Q242" s="6">
        <f>'Results - raw data ReCiPe (H)'!BR179*$AC$210</f>
        <v>200.37255741549239</v>
      </c>
      <c r="R242" s="6">
        <f>'Results - raw data ReCiPe (H)'!BS179*$AC$210</f>
        <v>196.32347547824619</v>
      </c>
      <c r="S242" s="6">
        <f>'Results - raw data ReCiPe (H)'!BT179*$AC$210</f>
        <v>192.25719066101561</v>
      </c>
      <c r="T242" s="6">
        <f>'Results - raw data ReCiPe (H)'!BU179*$AC$210</f>
        <v>188.08141295488582</v>
      </c>
      <c r="U242" s="6">
        <f>'Results - raw data ReCiPe (H)'!BV179*$AC$210</f>
        <v>183.98266935640538</v>
      </c>
      <c r="V242" s="6">
        <f>'Results - raw data ReCiPe (H)'!BW179*$AC$210</f>
        <v>179.86585576332291</v>
      </c>
      <c r="W242" s="6">
        <f>'Results - raw data ReCiPe (H)'!BX179*$AC$210</f>
        <v>179.70009713751529</v>
      </c>
      <c r="X242" s="6">
        <f>'Results - raw data ReCiPe (H)'!BY179*$AC$210</f>
        <v>179.54299604813738</v>
      </c>
      <c r="Y242" s="6">
        <f>'Results - raw data ReCiPe (H)'!BZ179*$AC$210</f>
        <v>179.3844806004744</v>
      </c>
      <c r="Z242" s="6">
        <f>'Results - raw data ReCiPe (H)'!CA179*$AC$210</f>
        <v>179.22434128810602</v>
      </c>
    </row>
    <row r="243" spans="1:26" outlineLevel="1" x14ac:dyDescent="0.35">
      <c r="A243" s="6" t="s">
        <v>759</v>
      </c>
      <c r="B243" s="6">
        <f>'Results - raw data ReCiPe (H)'!BC106</f>
        <v>0</v>
      </c>
      <c r="C243" s="6">
        <f>'Results - raw data ReCiPe (H)'!BD106</f>
        <v>0</v>
      </c>
      <c r="D243" s="6">
        <f>'Results - raw data ReCiPe (H)'!BE106</f>
        <v>0</v>
      </c>
      <c r="E243" s="6">
        <f>'Results - raw data ReCiPe (H)'!BF106</f>
        <v>0</v>
      </c>
      <c r="F243" s="6">
        <f>'Results - raw data ReCiPe (H)'!BG106</f>
        <v>0</v>
      </c>
      <c r="G243" s="6">
        <f>'Results - raw data ReCiPe (H)'!BH106</f>
        <v>0</v>
      </c>
      <c r="H243" s="6">
        <f>'Results - raw data ReCiPe (H)'!BI106</f>
        <v>0</v>
      </c>
      <c r="I243" s="6">
        <f>'Results - raw data ReCiPe (H)'!BJ106</f>
        <v>0</v>
      </c>
      <c r="J243" s="6">
        <f>'Results - raw data ReCiPe (H)'!BK106</f>
        <v>0</v>
      </c>
      <c r="K243" s="6">
        <f>'Results - raw data ReCiPe (H)'!BL106</f>
        <v>0</v>
      </c>
      <c r="L243" s="6">
        <f>'Results - raw data ReCiPe (H)'!BM106</f>
        <v>0</v>
      </c>
      <c r="M243" s="6">
        <f>'Results - raw data ReCiPe (H)'!BN106</f>
        <v>0</v>
      </c>
      <c r="N243" s="6">
        <f>'Results - raw data ReCiPe (H)'!BO106</f>
        <v>0</v>
      </c>
      <c r="O243" s="6">
        <f>'Results - raw data ReCiPe (H)'!BP106</f>
        <v>0</v>
      </c>
      <c r="P243" s="6">
        <f>'Results - raw data ReCiPe (H)'!BQ106</f>
        <v>0</v>
      </c>
      <c r="Q243" s="6">
        <f>'Results - raw data ReCiPe (H)'!BR106</f>
        <v>0</v>
      </c>
      <c r="R243" s="6">
        <f>'Results - raw data ReCiPe (H)'!BS106</f>
        <v>0</v>
      </c>
      <c r="S243" s="6">
        <f>'Results - raw data ReCiPe (H)'!BT106</f>
        <v>0</v>
      </c>
      <c r="T243" s="6">
        <f>'Results - raw data ReCiPe (H)'!BU106</f>
        <v>0</v>
      </c>
      <c r="U243" s="6">
        <f>'Results - raw data ReCiPe (H)'!BV106</f>
        <v>0</v>
      </c>
      <c r="V243" s="6">
        <f>'Results - raw data ReCiPe (H)'!BW106</f>
        <v>0</v>
      </c>
      <c r="W243" s="6">
        <f>'Results - raw data ReCiPe (H)'!BX106</f>
        <v>0</v>
      </c>
      <c r="X243" s="6">
        <f>'Results - raw data ReCiPe (H)'!BY106</f>
        <v>0</v>
      </c>
      <c r="Y243" s="6">
        <f>'Results - raw data ReCiPe (H)'!BZ106</f>
        <v>0</v>
      </c>
      <c r="Z243" s="6">
        <f>'Results - raw data ReCiPe (H)'!CA106</f>
        <v>0</v>
      </c>
    </row>
    <row r="244" spans="1:26" outlineLevel="1" x14ac:dyDescent="0.35">
      <c r="A244" s="6" t="s">
        <v>760</v>
      </c>
      <c r="B244" s="6">
        <f>150000*($AC$211*'Results - raw data ReCiPe (H)'!BC128+(1-$AC$211)*'Results - raw data ReCiPe (H)'!BC129)</f>
        <v>1175.8452241785824</v>
      </c>
      <c r="C244" s="6">
        <f>150000*($AC$211*'Results - raw data ReCiPe (H)'!BD128+(1-$AC$211)*'Results - raw data ReCiPe (H)'!BD129)</f>
        <v>1087.0891072007541</v>
      </c>
      <c r="D244" s="6">
        <f>150000*($AC$211*'Results - raw data ReCiPe (H)'!BE128+(1-$AC$211)*'Results - raw data ReCiPe (H)'!BE129)</f>
        <v>997.62082450104299</v>
      </c>
      <c r="E244" s="6">
        <f>150000*($AC$211*'Results - raw data ReCiPe (H)'!BF128+(1-$AC$211)*'Results - raw data ReCiPe (H)'!BF129)</f>
        <v>902.77080385259717</v>
      </c>
      <c r="F244" s="6">
        <f>150000*($AC$211*'Results - raw data ReCiPe (H)'!BG128+(1-$AC$211)*'Results - raw data ReCiPe (H)'!BG129)</f>
        <v>811.69338552061743</v>
      </c>
      <c r="G244" s="6">
        <f>150000*($AC$211*'Results - raw data ReCiPe (H)'!BH128+(1-$AC$211)*'Results - raw data ReCiPe (H)'!BH129)</f>
        <v>719.90952411155206</v>
      </c>
      <c r="H244" s="6">
        <f>150000*($AC$211*'Results - raw data ReCiPe (H)'!BI128+(1-$AC$211)*'Results - raw data ReCiPe (H)'!BI129)</f>
        <v>830.5494196246367</v>
      </c>
      <c r="I244" s="6">
        <f>150000*($AC$211*'Results - raw data ReCiPe (H)'!BJ128+(1-$AC$211)*'Results - raw data ReCiPe (H)'!BJ129)</f>
        <v>940.90859230346416</v>
      </c>
      <c r="J244" s="6">
        <f>150000*($AC$211*'Results - raw data ReCiPe (H)'!BK128+(1-$AC$211)*'Results - raw data ReCiPe (H)'!BK129)</f>
        <v>1046.4356996736349</v>
      </c>
      <c r="K244" s="6">
        <f>150000*($AC$211*'Results - raw data ReCiPe (H)'!BL128+(1-$AC$211)*'Results - raw data ReCiPe (H)'!BL129)</f>
        <v>1156.0917592662138</v>
      </c>
      <c r="L244" s="6">
        <f>150000*($AC$211*'Results - raw data ReCiPe (H)'!BM128+(1-$AC$211)*'Results - raw data ReCiPe (H)'!BM129)</f>
        <v>1265.4894480400476</v>
      </c>
      <c r="M244" s="6">
        <f>150000*($AC$211*'Results - raw data ReCiPe (H)'!BN128+(1-$AC$211)*'Results - raw data ReCiPe (H)'!BN129)</f>
        <v>1401.5236823982696</v>
      </c>
      <c r="N244" s="6">
        <f>150000*($AC$211*'Results - raw data ReCiPe (H)'!BO128+(1-$AC$211)*'Results - raw data ReCiPe (H)'!BO129)</f>
        <v>1537.1204937656278</v>
      </c>
      <c r="O244" s="6">
        <f>150000*($AC$211*'Results - raw data ReCiPe (H)'!BP128+(1-$AC$211)*'Results - raw data ReCiPe (H)'!BP129)</f>
        <v>1671.2453102185493</v>
      </c>
      <c r="P244" s="6">
        <f>150000*($AC$211*'Results - raw data ReCiPe (H)'!BQ128+(1-$AC$211)*'Results - raw data ReCiPe (H)'!BQ129)</f>
        <v>1805.9907176359361</v>
      </c>
      <c r="Q244" s="6">
        <f>150000*($AC$211*'Results - raw data ReCiPe (H)'!BR128+(1-$AC$211)*'Results - raw data ReCiPe (H)'!BR129)</f>
        <v>1940.2936655372544</v>
      </c>
      <c r="R244" s="6">
        <f>150000*($AC$211*'Results - raw data ReCiPe (H)'!BS128+(1-$AC$211)*'Results - raw data ReCiPe (H)'!BS129)</f>
        <v>1891.2598128052794</v>
      </c>
      <c r="S244" s="6">
        <f>150000*($AC$211*'Results - raw data ReCiPe (H)'!BT128+(1-$AC$211)*'Results - raw data ReCiPe (H)'!BT129)</f>
        <v>1842.4822013892767</v>
      </c>
      <c r="T244" s="6">
        <f>150000*($AC$211*'Results - raw data ReCiPe (H)'!BU128+(1-$AC$211)*'Results - raw data ReCiPe (H)'!BU129)</f>
        <v>1793.0190339898018</v>
      </c>
      <c r="U244" s="6">
        <f>150000*($AC$211*'Results - raw data ReCiPe (H)'!BV128+(1-$AC$211)*'Results - raw data ReCiPe (H)'!BV129)</f>
        <v>1744.7644437652114</v>
      </c>
      <c r="V244" s="6">
        <f>150000*($AC$211*'Results - raw data ReCiPe (H)'!BW128+(1-$AC$211)*'Results - raw data ReCiPe (H)'!BW129)</f>
        <v>1696.7334797357501</v>
      </c>
      <c r="W244" s="6">
        <f>150000*($AC$211*'Results - raw data ReCiPe (H)'!BX128+(1-$AC$211)*'Results - raw data ReCiPe (H)'!BX129)</f>
        <v>1697.2356339225128</v>
      </c>
      <c r="X244" s="6">
        <f>150000*($AC$211*'Results - raw data ReCiPe (H)'!BY128+(1-$AC$211)*'Results - raw data ReCiPe (H)'!BY129)</f>
        <v>1697.7935834059967</v>
      </c>
      <c r="Y244" s="6">
        <f>150000*($AC$211*'Results - raw data ReCiPe (H)'!BZ128+(1-$AC$211)*'Results - raw data ReCiPe (H)'!BZ129)</f>
        <v>1698.3396815294088</v>
      </c>
      <c r="Z244" s="6">
        <f>150000*($AC$211*'Results - raw data ReCiPe (H)'!CA128+(1-$AC$211)*'Results - raw data ReCiPe (H)'!CA129)</f>
        <v>1698.8725316497232</v>
      </c>
    </row>
    <row r="245" spans="1:26" outlineLevel="1" x14ac:dyDescent="0.35">
      <c r="A245" s="23" t="s">
        <v>125</v>
      </c>
      <c r="B245" s="17">
        <f>SUM(B214:B244)</f>
        <v>4359.414799164103</v>
      </c>
      <c r="C245" s="17">
        <f t="shared" ref="C245:Z245" si="26">SUM(C214:C244)</f>
        <v>1320.3441409279519</v>
      </c>
      <c r="D245" s="17">
        <f t="shared" si="26"/>
        <v>1221.3672236912573</v>
      </c>
      <c r="E245" s="17">
        <f t="shared" si="26"/>
        <v>1115.8834895857067</v>
      </c>
      <c r="F245" s="17">
        <f t="shared" si="26"/>
        <v>1015.2661428866608</v>
      </c>
      <c r="G245" s="17">
        <f t="shared" si="26"/>
        <v>913.93209112688965</v>
      </c>
      <c r="H245" s="17">
        <f t="shared" si="26"/>
        <v>1035.7891265834369</v>
      </c>
      <c r="I245" s="17">
        <f t="shared" si="26"/>
        <v>1157.2814972920003</v>
      </c>
      <c r="J245" s="17">
        <f t="shared" si="26"/>
        <v>1272.9782570903285</v>
      </c>
      <c r="K245" s="17">
        <f t="shared" si="26"/>
        <v>1393.5941443038237</v>
      </c>
      <c r="L245" s="17">
        <f t="shared" si="26"/>
        <v>1513.8709635670223</v>
      </c>
      <c r="M245" s="17">
        <f t="shared" si="26"/>
        <v>1663.0632184520225</v>
      </c>
      <c r="N245" s="17">
        <f t="shared" si="26"/>
        <v>1811.7981161712539</v>
      </c>
      <c r="O245" s="17">
        <f t="shared" si="26"/>
        <v>1958.8105038703218</v>
      </c>
      <c r="P245" s="17">
        <f t="shared" si="26"/>
        <v>2106.6593641337945</v>
      </c>
      <c r="Q245" s="17">
        <f t="shared" si="26"/>
        <v>2254.0450088853545</v>
      </c>
      <c r="R245" s="17">
        <f t="shared" si="26"/>
        <v>2200.6345038109885</v>
      </c>
      <c r="S245" s="17">
        <f t="shared" si="26"/>
        <v>2147.464735017882</v>
      </c>
      <c r="T245" s="17">
        <f t="shared" si="26"/>
        <v>2093.3796419504019</v>
      </c>
      <c r="U245" s="17">
        <f t="shared" si="26"/>
        <v>2040.7055106519661</v>
      </c>
      <c r="V245" s="17">
        <f t="shared" si="26"/>
        <v>1988.2380395987288</v>
      </c>
      <c r="W245" s="17">
        <f t="shared" si="26"/>
        <v>1988.5096754692927</v>
      </c>
      <c r="X245" s="17">
        <f t="shared" si="26"/>
        <v>1988.8463540002908</v>
      </c>
      <c r="Y245" s="17">
        <f t="shared" si="26"/>
        <v>1989.1700942974212</v>
      </c>
      <c r="Z245" s="17">
        <f t="shared" si="26"/>
        <v>2029.4977083532908</v>
      </c>
    </row>
    <row r="246" spans="1:26" s="26" customFormat="1" outlineLevel="1" x14ac:dyDescent="0.35"/>
    <row r="247" spans="1:26" s="221" customFormat="1" ht="21" x14ac:dyDescent="0.5">
      <c r="A247" s="229" t="s">
        <v>851</v>
      </c>
    </row>
    <row r="248" spans="1:26" s="18" customFormat="1" ht="21" x14ac:dyDescent="0.5">
      <c r="A248" s="18" t="s">
        <v>72</v>
      </c>
    </row>
    <row r="249" spans="1:26" s="20" customFormat="1" outlineLevel="1" x14ac:dyDescent="0.35">
      <c r="A249" s="19" t="s">
        <v>788</v>
      </c>
    </row>
    <row r="250" spans="1:26" s="20" customFormat="1" outlineLevel="1" x14ac:dyDescent="0.35">
      <c r="A250" s="273" t="s">
        <v>775</v>
      </c>
      <c r="B250" s="20">
        <v>1</v>
      </c>
      <c r="C250" s="274" t="s">
        <v>787</v>
      </c>
    </row>
    <row r="251" spans="1:26" s="20" customFormat="1" outlineLevel="1" x14ac:dyDescent="0.35">
      <c r="A251" s="273" t="s">
        <v>781</v>
      </c>
      <c r="B251" s="20">
        <v>100000</v>
      </c>
      <c r="C251" s="20" t="s">
        <v>782</v>
      </c>
      <c r="E251" s="274"/>
    </row>
    <row r="252" spans="1:26" s="20" customFormat="1" outlineLevel="1" x14ac:dyDescent="0.35">
      <c r="A252" s="273" t="s">
        <v>783</v>
      </c>
      <c r="B252" s="20">
        <v>1500</v>
      </c>
      <c r="C252" s="20" t="s">
        <v>592</v>
      </c>
    </row>
    <row r="253" spans="1:26" s="20" customFormat="1" outlineLevel="1" x14ac:dyDescent="0.35">
      <c r="A253" s="273" t="s">
        <v>784</v>
      </c>
      <c r="B253" s="20">
        <v>8760</v>
      </c>
      <c r="C253" s="20" t="s">
        <v>785</v>
      </c>
    </row>
    <row r="254" spans="1:26" s="20" customFormat="1" outlineLevel="1" x14ac:dyDescent="0.35">
      <c r="A254" s="273"/>
    </row>
    <row r="255" spans="1:26" s="20" customFormat="1" outlineLevel="1" x14ac:dyDescent="0.35">
      <c r="A255" s="275" t="s">
        <v>786</v>
      </c>
      <c r="B255" s="275">
        <f>(B251*B252)/(B253*B250)</f>
        <v>17123.287671232876</v>
      </c>
      <c r="C255" s="275" t="s">
        <v>749</v>
      </c>
    </row>
    <row r="256" spans="1:26" s="20" customFormat="1" outlineLevel="1" x14ac:dyDescent="0.35">
      <c r="A256" s="19"/>
    </row>
    <row r="257" spans="1:31" s="20" customFormat="1" outlineLevel="1" x14ac:dyDescent="0.35">
      <c r="A257" s="19" t="s">
        <v>793</v>
      </c>
    </row>
    <row r="258" spans="1:31" s="20" customFormat="1" outlineLevel="1" x14ac:dyDescent="0.35">
      <c r="A258" s="273" t="s">
        <v>789</v>
      </c>
      <c r="B258" s="20">
        <f>SUM('Results - raw data ReCiPe (H)'!BC136:BC137)+'Results - raw data ReCiPe (H)'!BC140+SUM('Results - raw data ReCiPe (H)'!BC138:BC139)*AC267</f>
        <v>82.9840217721854</v>
      </c>
      <c r="C258" s="20" t="s">
        <v>902</v>
      </c>
    </row>
    <row r="259" spans="1:31" s="20" customFormat="1" outlineLevel="1" x14ac:dyDescent="0.35">
      <c r="A259" s="20" t="s">
        <v>792</v>
      </c>
      <c r="B259" s="20">
        <f>B251*AC265</f>
        <v>50000</v>
      </c>
      <c r="C259" s="274" t="s">
        <v>795</v>
      </c>
    </row>
    <row r="260" spans="1:31" s="20" customFormat="1" outlineLevel="1" x14ac:dyDescent="0.35">
      <c r="A260" s="20" t="s">
        <v>791</v>
      </c>
      <c r="B260" s="20">
        <f>(B258*AC267*B255)/(B259*AC266)*(AC266/AC268)</f>
        <v>8.5257556615258974</v>
      </c>
      <c r="C260" s="20" t="s">
        <v>903</v>
      </c>
      <c r="E260" s="274" t="s">
        <v>796</v>
      </c>
    </row>
    <row r="261" spans="1:31" s="20" customFormat="1" outlineLevel="1" x14ac:dyDescent="0.35">
      <c r="A261" s="19"/>
    </row>
    <row r="262" spans="1:31" s="16" customFormat="1" outlineLevel="1" x14ac:dyDescent="0.35">
      <c r="A262" s="21"/>
      <c r="AE262" s="15"/>
    </row>
    <row r="263" spans="1:31" s="16" customFormat="1" outlineLevel="1" x14ac:dyDescent="0.35">
      <c r="A263" s="22" t="s">
        <v>761</v>
      </c>
    </row>
    <row r="264" spans="1:31" s="16" customFormat="1" outlineLevel="1" x14ac:dyDescent="0.35">
      <c r="A264" s="22"/>
      <c r="AB264" s="16" t="s">
        <v>127</v>
      </c>
      <c r="AC264" s="276">
        <f>100*AC265</f>
        <v>50</v>
      </c>
      <c r="AD264" s="16" t="s">
        <v>128</v>
      </c>
    </row>
    <row r="265" spans="1:31" s="16" customFormat="1" outlineLevel="1" x14ac:dyDescent="0.35">
      <c r="A265" s="230"/>
      <c r="AB265" s="16" t="s">
        <v>776</v>
      </c>
      <c r="AC265" s="276">
        <v>0.5</v>
      </c>
    </row>
    <row r="266" spans="1:31" s="16" customFormat="1" outlineLevel="1" x14ac:dyDescent="0.35">
      <c r="A266" s="230"/>
      <c r="AB266" s="16" t="s">
        <v>129</v>
      </c>
      <c r="AC266" s="276">
        <v>25</v>
      </c>
      <c r="AD266" s="16" t="s">
        <v>130</v>
      </c>
    </row>
    <row r="267" spans="1:31" s="16" customFormat="1" outlineLevel="1" x14ac:dyDescent="0.35">
      <c r="A267" s="230"/>
      <c r="AB267" s="16" t="s">
        <v>777</v>
      </c>
      <c r="AC267" s="276">
        <v>6</v>
      </c>
      <c r="AD267" s="16" t="s">
        <v>779</v>
      </c>
    </row>
    <row r="268" spans="1:31" s="16" customFormat="1" outlineLevel="1" x14ac:dyDescent="0.35">
      <c r="A268" s="22"/>
      <c r="AB268" s="16" t="s">
        <v>778</v>
      </c>
      <c r="AC268" s="276">
        <v>20</v>
      </c>
      <c r="AD268" s="16" t="s">
        <v>130</v>
      </c>
    </row>
    <row r="269" spans="1:31" s="16" customFormat="1" outlineLevel="1" x14ac:dyDescent="0.35">
      <c r="A269" s="22"/>
      <c r="AB269" s="16" t="s">
        <v>780</v>
      </c>
      <c r="AC269" s="276">
        <f>B255</f>
        <v>17123.287671232876</v>
      </c>
      <c r="AD269" s="16" t="s">
        <v>749</v>
      </c>
    </row>
    <row r="270" spans="1:31" s="16" customFormat="1" outlineLevel="1" x14ac:dyDescent="0.35">
      <c r="A270" s="22"/>
      <c r="AB270" s="16" t="s">
        <v>820</v>
      </c>
      <c r="AC270" s="16">
        <v>0.5</v>
      </c>
    </row>
    <row r="271" spans="1:31" s="16" customFormat="1" outlineLevel="1" x14ac:dyDescent="0.35">
      <c r="A271" s="22"/>
      <c r="AB271" s="16" t="s">
        <v>798</v>
      </c>
      <c r="AC271" s="16">
        <v>0.25</v>
      </c>
    </row>
    <row r="272" spans="1:31" s="16" customFormat="1" outlineLevel="1" x14ac:dyDescent="0.35">
      <c r="A272" s="22"/>
      <c r="AB272" s="16" t="s">
        <v>799</v>
      </c>
      <c r="AC272" s="16">
        <v>0.9</v>
      </c>
    </row>
    <row r="273" spans="1:53" outlineLevel="1" x14ac:dyDescent="0.35">
      <c r="B273" s="25">
        <v>2030</v>
      </c>
      <c r="C273" s="25">
        <v>2031</v>
      </c>
      <c r="D273" s="25">
        <v>2032</v>
      </c>
      <c r="E273" s="25">
        <v>2033</v>
      </c>
      <c r="F273" s="25">
        <v>2034</v>
      </c>
      <c r="G273" s="25">
        <v>2035</v>
      </c>
      <c r="H273" s="25">
        <v>2036</v>
      </c>
      <c r="I273" s="25">
        <v>2037</v>
      </c>
      <c r="J273" s="25">
        <v>2038</v>
      </c>
      <c r="K273" s="25">
        <v>2039</v>
      </c>
      <c r="L273" s="25">
        <v>2040</v>
      </c>
      <c r="M273" s="25">
        <v>2041</v>
      </c>
      <c r="N273" s="25">
        <v>2042</v>
      </c>
      <c r="O273" s="25">
        <v>2043</v>
      </c>
      <c r="P273" s="25">
        <v>2044</v>
      </c>
      <c r="Q273" s="25">
        <v>2045</v>
      </c>
      <c r="R273" s="25">
        <v>2046</v>
      </c>
      <c r="S273" s="25">
        <v>2047</v>
      </c>
      <c r="T273" s="25">
        <v>2048</v>
      </c>
      <c r="U273" s="25">
        <v>2049</v>
      </c>
      <c r="V273" s="25">
        <v>2050</v>
      </c>
      <c r="W273" s="25">
        <v>2051</v>
      </c>
      <c r="X273" s="25">
        <v>2052</v>
      </c>
      <c r="Y273" s="25">
        <v>2053</v>
      </c>
      <c r="Z273" s="25">
        <v>2054</v>
      </c>
      <c r="AC273" s="25">
        <v>2030</v>
      </c>
      <c r="AD273" s="25">
        <v>2031</v>
      </c>
      <c r="AE273" s="25">
        <v>2032</v>
      </c>
      <c r="AF273" s="25">
        <v>2033</v>
      </c>
      <c r="AG273" s="25">
        <v>2034</v>
      </c>
      <c r="AH273" s="25">
        <v>2035</v>
      </c>
      <c r="AI273" s="25">
        <v>2036</v>
      </c>
      <c r="AJ273" s="25">
        <v>2037</v>
      </c>
      <c r="AK273" s="25">
        <v>2038</v>
      </c>
      <c r="AL273" s="25">
        <v>2039</v>
      </c>
      <c r="AM273" s="25">
        <v>2040</v>
      </c>
      <c r="AN273" s="25">
        <v>2041</v>
      </c>
      <c r="AO273" s="25">
        <v>2042</v>
      </c>
      <c r="AP273" s="25">
        <v>2043</v>
      </c>
      <c r="AQ273" s="25">
        <v>2044</v>
      </c>
      <c r="AR273" s="25">
        <v>2045</v>
      </c>
      <c r="AS273" s="25">
        <v>2046</v>
      </c>
      <c r="AT273" s="25">
        <v>2047</v>
      </c>
      <c r="AU273" s="25">
        <v>2048</v>
      </c>
      <c r="AV273" s="25">
        <v>2049</v>
      </c>
      <c r="AW273" s="25">
        <v>2050</v>
      </c>
      <c r="AX273" s="25">
        <v>2051</v>
      </c>
      <c r="AY273" s="25">
        <v>2052</v>
      </c>
      <c r="AZ273" s="25">
        <v>2053</v>
      </c>
      <c r="BA273" s="25">
        <v>2054</v>
      </c>
    </row>
    <row r="274" spans="1:53" outlineLevel="1" x14ac:dyDescent="0.35">
      <c r="A274" s="6" t="s">
        <v>21</v>
      </c>
      <c r="B274" s="6">
        <f t="shared" ref="B274:B285" si="27">B10</f>
        <v>75.900107259729808</v>
      </c>
      <c r="AB274" s="6" t="s">
        <v>117</v>
      </c>
      <c r="AC274" s="6">
        <f>SUM(B274:B285)+B287</f>
        <v>2845.7346061175544</v>
      </c>
    </row>
    <row r="275" spans="1:53" outlineLevel="1" x14ac:dyDescent="0.35">
      <c r="A275" s="6" t="s">
        <v>23</v>
      </c>
      <c r="B275" s="6">
        <f t="shared" si="27"/>
        <v>315.32647070950878</v>
      </c>
      <c r="AB275" s="6" t="s">
        <v>118</v>
      </c>
      <c r="AC275" s="6">
        <f>B286</f>
        <v>134.83838270239062</v>
      </c>
    </row>
    <row r="276" spans="1:53" outlineLevel="1" x14ac:dyDescent="0.35">
      <c r="A276" s="6" t="s">
        <v>26</v>
      </c>
      <c r="B276" s="6">
        <f t="shared" si="27"/>
        <v>320.06211166534263</v>
      </c>
      <c r="AB276" s="6" t="s">
        <v>119</v>
      </c>
      <c r="BA276" s="6">
        <f>SUM(Z288:Z299)</f>
        <v>45.635874346592793</v>
      </c>
    </row>
    <row r="277" spans="1:53" outlineLevel="1" x14ac:dyDescent="0.35">
      <c r="A277" s="6" t="s">
        <v>28</v>
      </c>
      <c r="B277" s="6">
        <f t="shared" si="27"/>
        <v>246.9725509849394</v>
      </c>
      <c r="AB277" s="6" t="s">
        <v>120</v>
      </c>
      <c r="BA277" s="6">
        <f>Z300</f>
        <v>2.6853148874369804E-4</v>
      </c>
    </row>
    <row r="278" spans="1:53" outlineLevel="1" x14ac:dyDescent="0.35">
      <c r="A278" s="6" t="s">
        <v>29</v>
      </c>
      <c r="B278" s="6">
        <f t="shared" si="27"/>
        <v>121.9560327138697</v>
      </c>
      <c r="AB278" s="6" t="s">
        <v>121</v>
      </c>
      <c r="AC278" s="6">
        <f>B301</f>
        <v>118.1930543229993</v>
      </c>
      <c r="AF278" s="6">
        <f>E301</f>
        <v>117.3708968791351</v>
      </c>
      <c r="AI278" s="6">
        <f>H301</f>
        <v>117.2479070799383</v>
      </c>
      <c r="AL278" s="6">
        <f>K301</f>
        <v>116.65080958776529</v>
      </c>
      <c r="AO278" s="6">
        <f>N301</f>
        <v>116.5694194979278</v>
      </c>
      <c r="AR278" s="6">
        <f>Q301</f>
        <v>116.3562974875733</v>
      </c>
      <c r="AU278" s="6">
        <f>T301</f>
        <v>116.0610845903859</v>
      </c>
      <c r="AX278" s="6">
        <f>W301</f>
        <v>115.9379738654637</v>
      </c>
      <c r="BA278" s="6">
        <f>Z301</f>
        <v>115.8757111011497</v>
      </c>
    </row>
    <row r="279" spans="1:53" outlineLevel="1" x14ac:dyDescent="0.35">
      <c r="A279" s="6" t="s">
        <v>31</v>
      </c>
      <c r="B279" s="6">
        <f t="shared" si="27"/>
        <v>86.300562327748125</v>
      </c>
      <c r="AB279" s="6" t="s">
        <v>797</v>
      </c>
      <c r="AC279" s="6">
        <f>B305</f>
        <v>426.28778307629489</v>
      </c>
      <c r="AD279" s="6">
        <f t="shared" ref="AD279:BA279" si="28">C305</f>
        <v>426.28778307629489</v>
      </c>
      <c r="AE279" s="6">
        <f t="shared" si="28"/>
        <v>426.28778307629489</v>
      </c>
      <c r="AF279" s="6">
        <f t="shared" si="28"/>
        <v>426.28778307629489</v>
      </c>
      <c r="AG279" s="6">
        <f t="shared" si="28"/>
        <v>426.28778307629489</v>
      </c>
      <c r="AH279" s="6">
        <f t="shared" si="28"/>
        <v>426.28778307629489</v>
      </c>
      <c r="AI279" s="6">
        <f t="shared" si="28"/>
        <v>426.28778307629489</v>
      </c>
      <c r="AJ279" s="6">
        <f t="shared" si="28"/>
        <v>426.28778307629489</v>
      </c>
      <c r="AK279" s="6">
        <f t="shared" si="28"/>
        <v>426.28778307629489</v>
      </c>
      <c r="AL279" s="6">
        <f t="shared" si="28"/>
        <v>426.28778307629489</v>
      </c>
      <c r="AM279" s="6">
        <f t="shared" si="28"/>
        <v>426.28778307629489</v>
      </c>
      <c r="AN279" s="6">
        <f t="shared" si="28"/>
        <v>426.28778307629489</v>
      </c>
      <c r="AO279" s="6">
        <f t="shared" si="28"/>
        <v>426.28778307629489</v>
      </c>
      <c r="AP279" s="6">
        <f t="shared" si="28"/>
        <v>426.28778307629489</v>
      </c>
      <c r="AQ279" s="6">
        <f t="shared" si="28"/>
        <v>426.28778307629489</v>
      </c>
      <c r="AR279" s="6">
        <f t="shared" si="28"/>
        <v>426.28778307629489</v>
      </c>
      <c r="AS279" s="6">
        <f t="shared" si="28"/>
        <v>426.28778307629489</v>
      </c>
      <c r="AT279" s="6">
        <f t="shared" si="28"/>
        <v>426.28778307629489</v>
      </c>
      <c r="AU279" s="6">
        <f t="shared" si="28"/>
        <v>426.28778307629489</v>
      </c>
      <c r="AV279" s="6">
        <f t="shared" si="28"/>
        <v>426.28778307629489</v>
      </c>
      <c r="AW279" s="6">
        <f t="shared" si="28"/>
        <v>426.28778307629489</v>
      </c>
      <c r="AX279" s="6">
        <f t="shared" si="28"/>
        <v>426.28778307629489</v>
      </c>
      <c r="AY279" s="6">
        <f t="shared" si="28"/>
        <v>426.28778307629489</v>
      </c>
      <c r="AZ279" s="6">
        <f t="shared" si="28"/>
        <v>426.28778307629489</v>
      </c>
      <c r="BA279" s="6">
        <f t="shared" si="28"/>
        <v>426.28778307629489</v>
      </c>
    </row>
    <row r="280" spans="1:53" outlineLevel="1" x14ac:dyDescent="0.35">
      <c r="A280" s="6" t="s">
        <v>34</v>
      </c>
      <c r="B280" s="6">
        <f t="shared" si="27"/>
        <v>58.252905588334869</v>
      </c>
      <c r="AB280" s="6" t="s">
        <v>122</v>
      </c>
      <c r="AC280" s="6">
        <f t="shared" ref="AC280:BA280" si="29">B304+B303</f>
        <v>355.06709500227214</v>
      </c>
      <c r="AD280" s="6">
        <f t="shared" si="29"/>
        <v>354.19660016448358</v>
      </c>
      <c r="AE280" s="6">
        <f t="shared" si="29"/>
        <v>353.34419684002478</v>
      </c>
      <c r="AF280" s="6">
        <f t="shared" si="29"/>
        <v>349.0528051523429</v>
      </c>
      <c r="AG280" s="6">
        <f t="shared" si="29"/>
        <v>348.24279769795908</v>
      </c>
      <c r="AH280" s="6">
        <f t="shared" si="29"/>
        <v>347.44487151081171</v>
      </c>
      <c r="AI280" s="6">
        <f t="shared" si="29"/>
        <v>346.58675503038023</v>
      </c>
      <c r="AJ280" s="6">
        <f t="shared" si="29"/>
        <v>345.75691753661886</v>
      </c>
      <c r="AK280" s="6">
        <f t="shared" si="29"/>
        <v>342.55486383826599</v>
      </c>
      <c r="AL280" s="6">
        <f t="shared" si="29"/>
        <v>341.79004706784241</v>
      </c>
      <c r="AM280" s="6">
        <f t="shared" si="29"/>
        <v>341.04628736630411</v>
      </c>
      <c r="AN280" s="6">
        <f t="shared" si="29"/>
        <v>340.52055802487507</v>
      </c>
      <c r="AO280" s="6">
        <f t="shared" si="29"/>
        <v>340.01830292474386</v>
      </c>
      <c r="AP280" s="6">
        <f t="shared" si="29"/>
        <v>338.85271620991568</v>
      </c>
      <c r="AQ280" s="6">
        <f t="shared" si="29"/>
        <v>338.39703159987977</v>
      </c>
      <c r="AR280" s="6">
        <f t="shared" si="29"/>
        <v>337.97210643680307</v>
      </c>
      <c r="AS280" s="6">
        <f t="shared" si="29"/>
        <v>337.57355636967867</v>
      </c>
      <c r="AT280" s="6">
        <f t="shared" si="29"/>
        <v>337.17758756895904</v>
      </c>
      <c r="AU280" s="6">
        <f t="shared" si="29"/>
        <v>336.12211547093705</v>
      </c>
      <c r="AV280" s="6">
        <f t="shared" si="29"/>
        <v>335.7375865267951</v>
      </c>
      <c r="AW280" s="6">
        <f t="shared" si="29"/>
        <v>335.35481622262466</v>
      </c>
      <c r="AX280" s="6">
        <f t="shared" si="29"/>
        <v>335.15939462535141</v>
      </c>
      <c r="AY280" s="6">
        <f t="shared" si="29"/>
        <v>334.97033942590645</v>
      </c>
      <c r="AZ280" s="6">
        <f t="shared" si="29"/>
        <v>334.78715509001483</v>
      </c>
      <c r="BA280" s="6">
        <f t="shared" si="29"/>
        <v>334.60963094972175</v>
      </c>
    </row>
    <row r="281" spans="1:53" outlineLevel="1" x14ac:dyDescent="0.35">
      <c r="A281" s="6" t="s">
        <v>36</v>
      </c>
      <c r="B281" s="6">
        <f t="shared" si="27"/>
        <v>61.36907317967863</v>
      </c>
      <c r="AB281" s="6" t="s">
        <v>123</v>
      </c>
      <c r="AC281" s="6">
        <f t="shared" ref="AC281:BA281" si="30">B302</f>
        <v>97.880861275234253</v>
      </c>
      <c r="AD281" s="6">
        <f t="shared" si="30"/>
        <v>98.150742946769057</v>
      </c>
      <c r="AE281" s="6">
        <f t="shared" si="30"/>
        <v>98.42243784989509</v>
      </c>
      <c r="AF281" s="6">
        <f t="shared" si="30"/>
        <v>98.505541749182541</v>
      </c>
      <c r="AG281" s="6">
        <f t="shared" si="30"/>
        <v>98.783186073187196</v>
      </c>
      <c r="AH281" s="6">
        <f t="shared" si="30"/>
        <v>99.062425255652798</v>
      </c>
      <c r="AI281" s="6">
        <f t="shared" si="30"/>
        <v>100.5168163559448</v>
      </c>
      <c r="AJ281" s="6">
        <f t="shared" si="30"/>
        <v>101.96466351676325</v>
      </c>
      <c r="AK281" s="6">
        <f t="shared" si="30"/>
        <v>103.2658210729651</v>
      </c>
      <c r="AL281" s="6">
        <f t="shared" si="30"/>
        <v>104.70644432449181</v>
      </c>
      <c r="AM281" s="6">
        <f t="shared" si="30"/>
        <v>106.1414236266</v>
      </c>
      <c r="AN281" s="6">
        <f t="shared" si="30"/>
        <v>106.22725146122349</v>
      </c>
      <c r="AO281" s="6">
        <f t="shared" si="30"/>
        <v>106.30817512523925</v>
      </c>
      <c r="AP281" s="6">
        <f t="shared" si="30"/>
        <v>106.35062935778686</v>
      </c>
      <c r="AQ281" s="6">
        <f t="shared" si="30"/>
        <v>106.42150984958285</v>
      </c>
      <c r="AR281" s="6">
        <f t="shared" si="30"/>
        <v>106.4868604694927</v>
      </c>
      <c r="AS281" s="6">
        <f t="shared" si="30"/>
        <v>109.94668087736966</v>
      </c>
      <c r="AT281" s="6">
        <f t="shared" si="30"/>
        <v>113.4013059462351</v>
      </c>
      <c r="AU281" s="6">
        <f t="shared" si="30"/>
        <v>116.82152684181111</v>
      </c>
      <c r="AV281" s="6">
        <f t="shared" si="30"/>
        <v>120.26811702612621</v>
      </c>
      <c r="AW281" s="6">
        <f t="shared" si="30"/>
        <v>123.71093684804686</v>
      </c>
      <c r="AX281" s="6">
        <f t="shared" si="30"/>
        <v>124.22875935854496</v>
      </c>
      <c r="AY281" s="6">
        <f t="shared" si="30"/>
        <v>124.75263575082106</v>
      </c>
      <c r="AZ281" s="6">
        <f t="shared" si="30"/>
        <v>125.27838676617795</v>
      </c>
      <c r="BA281" s="6">
        <f t="shared" si="30"/>
        <v>125.80591084997694</v>
      </c>
    </row>
    <row r="282" spans="1:53" outlineLevel="1" x14ac:dyDescent="0.35">
      <c r="A282" s="6" t="s">
        <v>38</v>
      </c>
      <c r="B282" s="6">
        <f t="shared" si="27"/>
        <v>664.60788560352216</v>
      </c>
      <c r="AB282" s="6" t="s">
        <v>124</v>
      </c>
      <c r="AC282" s="6">
        <f>-$AC$264*$AC$263</f>
        <v>0</v>
      </c>
      <c r="AD282" s="6">
        <f t="shared" ref="AD282:BA282" si="31">-$AC$264*$AC$263</f>
        <v>0</v>
      </c>
      <c r="AE282" s="6">
        <f t="shared" si="31"/>
        <v>0</v>
      </c>
      <c r="AF282" s="6">
        <f t="shared" si="31"/>
        <v>0</v>
      </c>
      <c r="AG282" s="6">
        <f t="shared" si="31"/>
        <v>0</v>
      </c>
      <c r="AH282" s="6">
        <f t="shared" si="31"/>
        <v>0</v>
      </c>
      <c r="AI282" s="6">
        <f t="shared" si="31"/>
        <v>0</v>
      </c>
      <c r="AJ282" s="6">
        <f t="shared" si="31"/>
        <v>0</v>
      </c>
      <c r="AK282" s="6">
        <f t="shared" si="31"/>
        <v>0</v>
      </c>
      <c r="AL282" s="6">
        <f t="shared" si="31"/>
        <v>0</v>
      </c>
      <c r="AM282" s="6">
        <f t="shared" si="31"/>
        <v>0</v>
      </c>
      <c r="AN282" s="6">
        <f t="shared" si="31"/>
        <v>0</v>
      </c>
      <c r="AO282" s="6">
        <f t="shared" si="31"/>
        <v>0</v>
      </c>
      <c r="AP282" s="6">
        <f t="shared" si="31"/>
        <v>0</v>
      </c>
      <c r="AQ282" s="6">
        <f t="shared" si="31"/>
        <v>0</v>
      </c>
      <c r="AR282" s="6">
        <f t="shared" si="31"/>
        <v>0</v>
      </c>
      <c r="AS282" s="6">
        <f t="shared" si="31"/>
        <v>0</v>
      </c>
      <c r="AT282" s="6">
        <f t="shared" si="31"/>
        <v>0</v>
      </c>
      <c r="AU282" s="6">
        <f t="shared" si="31"/>
        <v>0</v>
      </c>
      <c r="AV282" s="6">
        <f t="shared" si="31"/>
        <v>0</v>
      </c>
      <c r="AW282" s="6">
        <f t="shared" si="31"/>
        <v>0</v>
      </c>
      <c r="AX282" s="6">
        <f t="shared" si="31"/>
        <v>0</v>
      </c>
      <c r="AY282" s="6">
        <f t="shared" si="31"/>
        <v>0</v>
      </c>
      <c r="AZ282" s="6">
        <f t="shared" si="31"/>
        <v>0</v>
      </c>
      <c r="BA282" s="6">
        <f t="shared" si="31"/>
        <v>0</v>
      </c>
    </row>
    <row r="283" spans="1:53" outlineLevel="1" x14ac:dyDescent="0.35">
      <c r="A283" s="6" t="s">
        <v>39</v>
      </c>
      <c r="B283" s="6">
        <f t="shared" si="27"/>
        <v>720.62977688043634</v>
      </c>
      <c r="AB283" s="23" t="s">
        <v>125</v>
      </c>
      <c r="AC283" s="17">
        <f t="shared" ref="AC283:BA283" si="32">SUM(AC274:AC282)</f>
        <v>3978.0017824967454</v>
      </c>
      <c r="AD283" s="17">
        <f t="shared" si="32"/>
        <v>878.63512618754748</v>
      </c>
      <c r="AE283" s="17">
        <f t="shared" si="32"/>
        <v>878.05441776621478</v>
      </c>
      <c r="AF283" s="17">
        <f t="shared" si="32"/>
        <v>991.21702685695539</v>
      </c>
      <c r="AG283" s="17">
        <f t="shared" si="32"/>
        <v>873.31376684744112</v>
      </c>
      <c r="AH283" s="17">
        <f t="shared" si="32"/>
        <v>872.79507984275938</v>
      </c>
      <c r="AI283" s="17">
        <f t="shared" si="32"/>
        <v>990.63926154255819</v>
      </c>
      <c r="AJ283" s="17">
        <f t="shared" si="32"/>
        <v>874.00936412967701</v>
      </c>
      <c r="AK283" s="17">
        <f t="shared" si="32"/>
        <v>872.10846798752596</v>
      </c>
      <c r="AL283" s="17">
        <f t="shared" si="32"/>
        <v>989.43508405639443</v>
      </c>
      <c r="AM283" s="17">
        <f t="shared" si="32"/>
        <v>873.47549406919904</v>
      </c>
      <c r="AN283" s="17">
        <f t="shared" si="32"/>
        <v>873.0355925623935</v>
      </c>
      <c r="AO283" s="17">
        <f t="shared" si="32"/>
        <v>989.18368062420575</v>
      </c>
      <c r="AP283" s="17">
        <f t="shared" si="32"/>
        <v>871.4911286439974</v>
      </c>
      <c r="AQ283" s="17">
        <f t="shared" si="32"/>
        <v>871.1063245257576</v>
      </c>
      <c r="AR283" s="17">
        <f t="shared" si="32"/>
        <v>987.10304747016403</v>
      </c>
      <c r="AS283" s="17">
        <f t="shared" si="32"/>
        <v>873.80802032334316</v>
      </c>
      <c r="AT283" s="17">
        <f t="shared" si="32"/>
        <v>876.86667659148895</v>
      </c>
      <c r="AU283" s="17">
        <f t="shared" si="32"/>
        <v>995.29250997942893</v>
      </c>
      <c r="AV283" s="17">
        <f t="shared" si="32"/>
        <v>882.2934866292162</v>
      </c>
      <c r="AW283" s="17">
        <f t="shared" si="32"/>
        <v>885.35353614696646</v>
      </c>
      <c r="AX283" s="17">
        <f t="shared" si="32"/>
        <v>1001.613910925655</v>
      </c>
      <c r="AY283" s="17">
        <f t="shared" si="32"/>
        <v>886.01075825302235</v>
      </c>
      <c r="AZ283" s="17">
        <f t="shared" si="32"/>
        <v>886.35332493248768</v>
      </c>
      <c r="BA283" s="17">
        <f t="shared" si="32"/>
        <v>1048.2151788552248</v>
      </c>
    </row>
    <row r="284" spans="1:53" outlineLevel="1" x14ac:dyDescent="0.35">
      <c r="A284" s="6" t="s">
        <v>41</v>
      </c>
      <c r="B284" s="6">
        <f t="shared" si="27"/>
        <v>53.333868076658177</v>
      </c>
    </row>
    <row r="285" spans="1:53" outlineLevel="1" x14ac:dyDescent="0.35">
      <c r="A285" s="6" t="s">
        <v>43</v>
      </c>
      <c r="B285" s="6">
        <f t="shared" si="27"/>
        <v>73.573799866942238</v>
      </c>
      <c r="AB285" s="282"/>
      <c r="AC285" s="282"/>
      <c r="AD285" s="282"/>
      <c r="AE285" s="282"/>
      <c r="AF285" s="282"/>
      <c r="AG285" s="282"/>
      <c r="AH285" s="282"/>
      <c r="AI285" s="282"/>
      <c r="AJ285" s="282"/>
      <c r="AK285" s="282"/>
      <c r="AL285" s="282"/>
      <c r="AM285" s="282"/>
      <c r="AN285" s="282"/>
      <c r="AO285" s="282"/>
      <c r="AP285" s="282"/>
      <c r="AQ285" s="282"/>
      <c r="AR285" s="282"/>
      <c r="AS285" s="282"/>
      <c r="AT285" s="282"/>
      <c r="AU285" s="282"/>
      <c r="AV285" s="282"/>
      <c r="AW285" s="282"/>
      <c r="AX285" s="282"/>
      <c r="AY285" s="282"/>
      <c r="AZ285" s="282"/>
      <c r="BA285" s="282"/>
    </row>
    <row r="286" spans="1:53" outlineLevel="1" x14ac:dyDescent="0.35">
      <c r="A286" s="6" t="s">
        <v>44</v>
      </c>
      <c r="B286" s="6">
        <f>B22*AC265</f>
        <v>134.83838270239062</v>
      </c>
      <c r="AB286" s="282"/>
      <c r="AC286" s="282"/>
      <c r="AD286" s="282"/>
      <c r="AE286" s="282"/>
      <c r="AF286" s="282"/>
      <c r="AG286" s="282"/>
      <c r="AH286" s="282"/>
      <c r="AI286" s="282"/>
      <c r="AJ286" s="282"/>
      <c r="AK286" s="282"/>
      <c r="AL286" s="282"/>
      <c r="AM286" s="282"/>
      <c r="AN286" s="282"/>
      <c r="AO286" s="282"/>
      <c r="AP286" s="282"/>
      <c r="AQ286" s="282"/>
      <c r="AR286" s="282"/>
      <c r="AS286" s="282"/>
      <c r="AT286" s="282"/>
      <c r="AU286" s="282"/>
      <c r="AV286" s="282"/>
      <c r="AW286" s="282"/>
      <c r="AX286" s="282"/>
      <c r="AY286" s="282"/>
      <c r="AZ286" s="282"/>
      <c r="BA286" s="282"/>
    </row>
    <row r="287" spans="1:53" outlineLevel="1" x14ac:dyDescent="0.35">
      <c r="A287" s="6" t="s">
        <v>757</v>
      </c>
      <c r="B287" s="6">
        <f>B23*AC265</f>
        <v>47.449461260843449</v>
      </c>
      <c r="AB287" s="282"/>
      <c r="AC287" s="282"/>
      <c r="AD287" s="282"/>
      <c r="AE287" s="282"/>
      <c r="AF287" s="282"/>
      <c r="AG287" s="282"/>
      <c r="AH287" s="282"/>
      <c r="AI287" s="282"/>
      <c r="AJ287" s="282"/>
      <c r="AK287" s="282"/>
      <c r="AL287" s="282"/>
      <c r="AM287" s="282"/>
      <c r="AN287" s="282"/>
      <c r="AO287" s="282"/>
      <c r="AP287" s="282"/>
      <c r="AQ287" s="282"/>
      <c r="AR287" s="282"/>
      <c r="AS287" s="282"/>
      <c r="AT287" s="282"/>
      <c r="AU287" s="282"/>
      <c r="AV287" s="282"/>
      <c r="AW287" s="282"/>
      <c r="AX287" s="282"/>
      <c r="AY287" s="282"/>
      <c r="AZ287" s="282"/>
      <c r="BA287" s="282"/>
    </row>
    <row r="288" spans="1:53" outlineLevel="1" x14ac:dyDescent="0.35">
      <c r="A288" s="6" t="s">
        <v>22</v>
      </c>
      <c r="Z288" s="6">
        <f t="shared" ref="Z288:Z299" si="33">Z24</f>
        <v>0.33395801233910632</v>
      </c>
      <c r="AB288" s="282"/>
      <c r="AC288" s="282"/>
      <c r="AD288" s="282"/>
      <c r="AE288" s="282"/>
      <c r="AF288" s="282"/>
      <c r="AG288" s="282"/>
      <c r="AH288" s="282"/>
      <c r="AI288" s="282"/>
      <c r="AJ288" s="282"/>
      <c r="AK288" s="282"/>
      <c r="AL288" s="282"/>
      <c r="AM288" s="282"/>
      <c r="AN288" s="282"/>
      <c r="AO288" s="282"/>
      <c r="AP288" s="282"/>
      <c r="AQ288" s="282"/>
      <c r="AR288" s="282"/>
      <c r="AS288" s="282"/>
      <c r="AT288" s="282"/>
      <c r="AU288" s="282"/>
      <c r="AV288" s="282"/>
      <c r="AW288" s="282"/>
      <c r="AX288" s="282"/>
      <c r="AY288" s="282"/>
      <c r="AZ288" s="282"/>
      <c r="BA288" s="282"/>
    </row>
    <row r="289" spans="1:53" outlineLevel="1" x14ac:dyDescent="0.35">
      <c r="A289" s="6" t="s">
        <v>24</v>
      </c>
      <c r="Z289" s="6">
        <f t="shared" si="33"/>
        <v>0.37173071983864131</v>
      </c>
      <c r="AB289" s="282"/>
      <c r="AC289" s="282"/>
      <c r="AD289" s="282"/>
      <c r="AE289" s="282"/>
      <c r="AF289" s="282"/>
      <c r="AG289" s="282"/>
      <c r="AH289" s="282"/>
      <c r="AI289" s="282"/>
      <c r="AJ289" s="282"/>
      <c r="AK289" s="282"/>
      <c r="AL289" s="282"/>
      <c r="AM289" s="282"/>
      <c r="AN289" s="282"/>
      <c r="AO289" s="282"/>
      <c r="AP289" s="282"/>
      <c r="AQ289" s="282"/>
      <c r="AR289" s="282"/>
      <c r="AS289" s="282"/>
      <c r="AT289" s="282"/>
      <c r="AU289" s="282"/>
      <c r="AV289" s="282"/>
      <c r="AW289" s="282"/>
      <c r="AX289" s="282"/>
      <c r="AY289" s="282"/>
      <c r="AZ289" s="282"/>
      <c r="BA289" s="282"/>
    </row>
    <row r="290" spans="1:53" outlineLevel="1" x14ac:dyDescent="0.35">
      <c r="A290" s="6" t="s">
        <v>25</v>
      </c>
      <c r="Z290" s="6">
        <f t="shared" si="33"/>
        <v>1.714035723002332</v>
      </c>
      <c r="AB290" s="282"/>
      <c r="AC290" s="282"/>
      <c r="AD290" s="282"/>
      <c r="AE290" s="282"/>
      <c r="AF290" s="282"/>
      <c r="AG290" s="282"/>
      <c r="AH290" s="282"/>
      <c r="AI290" s="282"/>
      <c r="AJ290" s="282"/>
      <c r="AK290" s="282"/>
      <c r="AL290" s="282"/>
      <c r="AM290" s="282"/>
      <c r="AN290" s="282"/>
      <c r="AO290" s="282"/>
      <c r="AP290" s="282"/>
      <c r="AQ290" s="282"/>
      <c r="AR290" s="282"/>
      <c r="AS290" s="282"/>
      <c r="AT290" s="282"/>
      <c r="AU290" s="282"/>
      <c r="AV290" s="282"/>
      <c r="AW290" s="282"/>
      <c r="AX290" s="282"/>
      <c r="AY290" s="282"/>
      <c r="AZ290" s="282"/>
      <c r="BA290" s="282"/>
    </row>
    <row r="291" spans="1:53" outlineLevel="1" x14ac:dyDescent="0.35">
      <c r="A291" s="6" t="s">
        <v>27</v>
      </c>
      <c r="Z291" s="6">
        <f t="shared" si="33"/>
        <v>1.0332091254007969</v>
      </c>
      <c r="AB291" s="282"/>
      <c r="AC291" s="282"/>
      <c r="AD291" s="282"/>
      <c r="AE291" s="282"/>
      <c r="AF291" s="282"/>
      <c r="AG291" s="282"/>
      <c r="AH291" s="282"/>
      <c r="AI291" s="282"/>
      <c r="AJ291" s="282"/>
      <c r="AK291" s="282"/>
      <c r="AL291" s="282"/>
      <c r="AM291" s="282"/>
      <c r="AN291" s="282"/>
      <c r="AO291" s="282"/>
      <c r="AP291" s="282"/>
      <c r="AQ291" s="282"/>
      <c r="AR291" s="282"/>
      <c r="AS291" s="282"/>
      <c r="AT291" s="282"/>
      <c r="AU291" s="282"/>
      <c r="AV291" s="282"/>
      <c r="AW291" s="282"/>
      <c r="AX291" s="282"/>
      <c r="AY291" s="282"/>
      <c r="AZ291" s="282"/>
      <c r="BA291" s="282"/>
    </row>
    <row r="292" spans="1:53" outlineLevel="1" x14ac:dyDescent="0.35">
      <c r="A292" s="6" t="s">
        <v>30</v>
      </c>
      <c r="Z292" s="6">
        <f t="shared" si="33"/>
        <v>0.41012544069368462</v>
      </c>
      <c r="AB292" s="282"/>
      <c r="AC292" s="282"/>
      <c r="AD292" s="282"/>
      <c r="AE292" s="282"/>
      <c r="AF292" s="282"/>
      <c r="AG292" s="282"/>
      <c r="AH292" s="282"/>
      <c r="AI292" s="282"/>
      <c r="AJ292" s="282"/>
      <c r="AK292" s="282"/>
      <c r="AL292" s="282"/>
      <c r="AM292" s="282"/>
      <c r="AN292" s="282"/>
      <c r="AO292" s="282"/>
      <c r="AP292" s="282"/>
      <c r="AQ292" s="282"/>
      <c r="AR292" s="282"/>
      <c r="AS292" s="282"/>
      <c r="AT292" s="282"/>
      <c r="AU292" s="282"/>
      <c r="AV292" s="282"/>
      <c r="AW292" s="282"/>
      <c r="AX292" s="282"/>
      <c r="AY292" s="282"/>
      <c r="AZ292" s="282"/>
      <c r="BA292" s="282"/>
    </row>
    <row r="293" spans="1:53" outlineLevel="1" x14ac:dyDescent="0.35">
      <c r="A293" s="6" t="s">
        <v>32</v>
      </c>
      <c r="Z293" s="6">
        <f t="shared" si="33"/>
        <v>0.18408066799283429</v>
      </c>
      <c r="AB293" s="282"/>
      <c r="AC293" s="282"/>
      <c r="AD293" s="282"/>
      <c r="AE293" s="282"/>
      <c r="AF293" s="282"/>
      <c r="AG293" s="282"/>
      <c r="AH293" s="282"/>
      <c r="AI293" s="282"/>
      <c r="AJ293" s="282"/>
      <c r="AK293" s="282"/>
      <c r="AL293" s="282"/>
      <c r="AM293" s="282"/>
      <c r="AN293" s="282"/>
      <c r="AO293" s="282"/>
      <c r="AP293" s="282"/>
      <c r="AQ293" s="282"/>
      <c r="AR293" s="282"/>
      <c r="AS293" s="282"/>
      <c r="AT293" s="282"/>
      <c r="AU293" s="282"/>
      <c r="AV293" s="282"/>
      <c r="AW293" s="282"/>
      <c r="AX293" s="282"/>
      <c r="AY293" s="282"/>
      <c r="AZ293" s="282"/>
      <c r="BA293" s="282"/>
    </row>
    <row r="294" spans="1:53" outlineLevel="1" x14ac:dyDescent="0.35">
      <c r="A294" s="6" t="s">
        <v>33</v>
      </c>
      <c r="Z294" s="6">
        <f t="shared" si="33"/>
        <v>0.10625470952361479</v>
      </c>
      <c r="AB294" s="282"/>
      <c r="AC294" s="282"/>
      <c r="AD294" s="282"/>
      <c r="AE294" s="282"/>
      <c r="AF294" s="282"/>
      <c r="AG294" s="282"/>
      <c r="AH294" s="282"/>
      <c r="AI294" s="282"/>
      <c r="AJ294" s="282"/>
      <c r="AK294" s="282"/>
      <c r="AL294" s="282"/>
      <c r="AM294" s="282"/>
      <c r="AN294" s="282"/>
      <c r="AO294" s="282"/>
      <c r="AP294" s="282"/>
      <c r="AQ294" s="282"/>
      <c r="AR294" s="282"/>
      <c r="AS294" s="282"/>
      <c r="AT294" s="282"/>
      <c r="AU294" s="282"/>
      <c r="AV294" s="282"/>
      <c r="AW294" s="282"/>
      <c r="AX294" s="282"/>
      <c r="AY294" s="282"/>
      <c r="AZ294" s="282"/>
      <c r="BA294" s="282"/>
    </row>
    <row r="295" spans="1:53" outlineLevel="1" x14ac:dyDescent="0.35">
      <c r="A295" s="6" t="s">
        <v>35</v>
      </c>
      <c r="Z295" s="6">
        <f t="shared" si="33"/>
        <v>0.21250941904722959</v>
      </c>
      <c r="AB295" s="282"/>
      <c r="AC295" s="282"/>
      <c r="AD295" s="282"/>
      <c r="AE295" s="282"/>
      <c r="AF295" s="282"/>
      <c r="AG295" s="282"/>
      <c r="AH295" s="282"/>
      <c r="AI295" s="282"/>
      <c r="AJ295" s="282"/>
      <c r="AK295" s="282"/>
      <c r="AL295" s="282"/>
      <c r="AM295" s="282"/>
      <c r="AN295" s="282"/>
      <c r="AO295" s="282"/>
      <c r="AP295" s="282"/>
      <c r="AQ295" s="282"/>
      <c r="AR295" s="282"/>
      <c r="AS295" s="282"/>
      <c r="AT295" s="282"/>
      <c r="AU295" s="282"/>
      <c r="AV295" s="282"/>
      <c r="AW295" s="282"/>
      <c r="AX295" s="282"/>
      <c r="AY295" s="282"/>
      <c r="AZ295" s="282"/>
      <c r="BA295" s="282"/>
    </row>
    <row r="296" spans="1:53" outlineLevel="1" x14ac:dyDescent="0.35">
      <c r="A296" s="6" t="s">
        <v>37</v>
      </c>
      <c r="Z296" s="6">
        <f t="shared" si="33"/>
        <v>3.1326169217173172</v>
      </c>
      <c r="AB296" s="282"/>
      <c r="AC296" s="282"/>
      <c r="AD296" s="282"/>
      <c r="AE296" s="282"/>
      <c r="AF296" s="282"/>
      <c r="AG296" s="282"/>
      <c r="AH296" s="282"/>
      <c r="AI296" s="282"/>
      <c r="AJ296" s="282"/>
      <c r="AK296" s="282"/>
      <c r="AL296" s="282"/>
      <c r="AM296" s="282"/>
      <c r="AN296" s="282"/>
      <c r="AO296" s="282"/>
      <c r="AP296" s="282"/>
      <c r="AQ296" s="282"/>
      <c r="AR296" s="282"/>
      <c r="AS296" s="282"/>
      <c r="AT296" s="282"/>
      <c r="AU296" s="282"/>
      <c r="AV296" s="282"/>
      <c r="AW296" s="282"/>
      <c r="AX296" s="282"/>
      <c r="AY296" s="282"/>
      <c r="AZ296" s="282"/>
      <c r="BA296" s="282"/>
    </row>
    <row r="297" spans="1:53" outlineLevel="1" x14ac:dyDescent="0.35">
      <c r="A297" s="6" t="s">
        <v>40</v>
      </c>
      <c r="Z297" s="6">
        <f t="shared" si="33"/>
        <v>1.4887444792608839</v>
      </c>
    </row>
    <row r="298" spans="1:53" outlineLevel="1" x14ac:dyDescent="0.35">
      <c r="A298" s="6" t="s">
        <v>42</v>
      </c>
      <c r="Z298" s="6">
        <f t="shared" si="33"/>
        <v>3.9196001600090971</v>
      </c>
    </row>
    <row r="299" spans="1:53" outlineLevel="1" x14ac:dyDescent="0.35">
      <c r="A299" s="6" t="s">
        <v>115</v>
      </c>
      <c r="Z299" s="6">
        <f t="shared" si="33"/>
        <v>32.729008967767257</v>
      </c>
    </row>
    <row r="300" spans="1:53" outlineLevel="1" x14ac:dyDescent="0.35">
      <c r="A300" s="6" t="s">
        <v>45</v>
      </c>
      <c r="Z300" s="6">
        <f>Z36*AC265</f>
        <v>2.6853148874369804E-4</v>
      </c>
    </row>
    <row r="301" spans="1:53" outlineLevel="1" x14ac:dyDescent="0.35">
      <c r="A301" s="6" t="s">
        <v>116</v>
      </c>
      <c r="B301" s="6">
        <f>B37</f>
        <v>118.1930543229993</v>
      </c>
      <c r="C301" s="6">
        <f t="shared" ref="C301:Z301" si="34">C37</f>
        <v>118.1495509706713</v>
      </c>
      <c r="D301" s="6">
        <f t="shared" si="34"/>
        <v>118.1066016748573</v>
      </c>
      <c r="E301" s="6">
        <f t="shared" si="34"/>
        <v>117.3708968791351</v>
      </c>
      <c r="F301" s="6">
        <f t="shared" si="34"/>
        <v>117.330317151248</v>
      </c>
      <c r="G301" s="6">
        <f t="shared" si="34"/>
        <v>117.29005129331981</v>
      </c>
      <c r="H301" s="6">
        <f t="shared" si="34"/>
        <v>117.2479070799383</v>
      </c>
      <c r="I301" s="6">
        <f t="shared" si="34"/>
        <v>117.20587296292381</v>
      </c>
      <c r="J301" s="6">
        <f t="shared" si="34"/>
        <v>116.689582257802</v>
      </c>
      <c r="K301" s="6">
        <f t="shared" si="34"/>
        <v>116.65080958776529</v>
      </c>
      <c r="L301" s="6">
        <f t="shared" si="34"/>
        <v>116.6120881785565</v>
      </c>
      <c r="M301" s="6">
        <f t="shared" si="34"/>
        <v>116.59106485862949</v>
      </c>
      <c r="N301" s="6">
        <f t="shared" si="34"/>
        <v>116.5694194979278</v>
      </c>
      <c r="O301" s="6">
        <f t="shared" si="34"/>
        <v>116.40036881478591</v>
      </c>
      <c r="P301" s="6">
        <f t="shared" si="34"/>
        <v>116.37866001322909</v>
      </c>
      <c r="Q301" s="6">
        <f t="shared" si="34"/>
        <v>116.3562974875733</v>
      </c>
      <c r="R301" s="6">
        <f t="shared" si="34"/>
        <v>116.3054484089124</v>
      </c>
      <c r="S301" s="6">
        <f t="shared" si="34"/>
        <v>116.25416343781561</v>
      </c>
      <c r="T301" s="6">
        <f t="shared" si="34"/>
        <v>116.0610845903859</v>
      </c>
      <c r="U301" s="6">
        <f t="shared" si="34"/>
        <v>116.0105572281381</v>
      </c>
      <c r="V301" s="6">
        <f t="shared" si="34"/>
        <v>115.959651673077</v>
      </c>
      <c r="W301" s="6">
        <f t="shared" si="34"/>
        <v>115.9379738654637</v>
      </c>
      <c r="X301" s="6">
        <f t="shared" si="34"/>
        <v>115.91683277888509</v>
      </c>
      <c r="Y301" s="6">
        <f t="shared" si="34"/>
        <v>115.8960785606388</v>
      </c>
      <c r="Z301" s="6">
        <f t="shared" si="34"/>
        <v>115.8757111011497</v>
      </c>
    </row>
    <row r="302" spans="1:53" outlineLevel="1" x14ac:dyDescent="0.35">
      <c r="A302" s="6" t="s">
        <v>758</v>
      </c>
      <c r="B302" s="6">
        <f>B38*$AC$265</f>
        <v>97.880861275234253</v>
      </c>
      <c r="C302" s="6">
        <f t="shared" ref="C302:Z303" si="35">C38*$AC$265</f>
        <v>98.150742946769057</v>
      </c>
      <c r="D302" s="6">
        <f t="shared" si="35"/>
        <v>98.42243784989509</v>
      </c>
      <c r="E302" s="6">
        <f t="shared" si="35"/>
        <v>98.505541749182541</v>
      </c>
      <c r="F302" s="6">
        <f t="shared" si="35"/>
        <v>98.783186073187196</v>
      </c>
      <c r="G302" s="6">
        <f t="shared" si="35"/>
        <v>99.062425255652798</v>
      </c>
      <c r="H302" s="6">
        <f t="shared" si="35"/>
        <v>100.5168163559448</v>
      </c>
      <c r="I302" s="6">
        <f t="shared" si="35"/>
        <v>101.96466351676325</v>
      </c>
      <c r="J302" s="6">
        <f t="shared" si="35"/>
        <v>103.2658210729651</v>
      </c>
      <c r="K302" s="6">
        <f t="shared" si="35"/>
        <v>104.70644432449181</v>
      </c>
      <c r="L302" s="6">
        <f t="shared" si="35"/>
        <v>106.1414236266</v>
      </c>
      <c r="M302" s="6">
        <f t="shared" si="35"/>
        <v>106.22725146122349</v>
      </c>
      <c r="N302" s="6">
        <f t="shared" si="35"/>
        <v>106.30817512523925</v>
      </c>
      <c r="O302" s="6">
        <f t="shared" si="35"/>
        <v>106.35062935778686</v>
      </c>
      <c r="P302" s="6">
        <f t="shared" si="35"/>
        <v>106.42150984958285</v>
      </c>
      <c r="Q302" s="6">
        <f t="shared" si="35"/>
        <v>106.4868604694927</v>
      </c>
      <c r="R302" s="6">
        <f t="shared" si="35"/>
        <v>109.94668087736966</v>
      </c>
      <c r="S302" s="6">
        <f t="shared" si="35"/>
        <v>113.4013059462351</v>
      </c>
      <c r="T302" s="6">
        <f t="shared" si="35"/>
        <v>116.82152684181111</v>
      </c>
      <c r="U302" s="6">
        <f t="shared" si="35"/>
        <v>120.26811702612621</v>
      </c>
      <c r="V302" s="6">
        <f t="shared" si="35"/>
        <v>123.71093684804686</v>
      </c>
      <c r="W302" s="6">
        <f t="shared" si="35"/>
        <v>124.22875935854496</v>
      </c>
      <c r="X302" s="6">
        <f t="shared" si="35"/>
        <v>124.75263575082106</v>
      </c>
      <c r="Y302" s="6">
        <f t="shared" si="35"/>
        <v>125.27838676617795</v>
      </c>
      <c r="Z302" s="6">
        <f t="shared" si="35"/>
        <v>125.80591084997694</v>
      </c>
    </row>
    <row r="303" spans="1:53" outlineLevel="1" x14ac:dyDescent="0.35">
      <c r="A303" s="6" t="s">
        <v>759</v>
      </c>
      <c r="B303" s="6">
        <f>B39*$AC$265</f>
        <v>0</v>
      </c>
      <c r="C303" s="6">
        <f t="shared" si="35"/>
        <v>0</v>
      </c>
      <c r="D303" s="6">
        <f t="shared" si="35"/>
        <v>0</v>
      </c>
      <c r="E303" s="6">
        <f t="shared" si="35"/>
        <v>0</v>
      </c>
      <c r="F303" s="6">
        <f t="shared" si="35"/>
        <v>0</v>
      </c>
      <c r="G303" s="6">
        <f t="shared" si="35"/>
        <v>0</v>
      </c>
      <c r="H303" s="6">
        <f t="shared" si="35"/>
        <v>0</v>
      </c>
      <c r="I303" s="6">
        <f t="shared" si="35"/>
        <v>0</v>
      </c>
      <c r="J303" s="6">
        <f t="shared" si="35"/>
        <v>0</v>
      </c>
      <c r="K303" s="6">
        <f t="shared" si="35"/>
        <v>0</v>
      </c>
      <c r="L303" s="6">
        <f t="shared" si="35"/>
        <v>0</v>
      </c>
      <c r="M303" s="6">
        <f t="shared" si="35"/>
        <v>0</v>
      </c>
      <c r="N303" s="6">
        <f t="shared" si="35"/>
        <v>0</v>
      </c>
      <c r="O303" s="6">
        <f t="shared" si="35"/>
        <v>0</v>
      </c>
      <c r="P303" s="6">
        <f t="shared" si="35"/>
        <v>0</v>
      </c>
      <c r="Q303" s="6">
        <f t="shared" si="35"/>
        <v>0</v>
      </c>
      <c r="R303" s="6">
        <f t="shared" si="35"/>
        <v>0</v>
      </c>
      <c r="S303" s="6">
        <f t="shared" si="35"/>
        <v>0</v>
      </c>
      <c r="T303" s="6">
        <f t="shared" si="35"/>
        <v>0</v>
      </c>
      <c r="U303" s="6">
        <f t="shared" si="35"/>
        <v>0</v>
      </c>
      <c r="V303" s="6">
        <f t="shared" si="35"/>
        <v>0</v>
      </c>
      <c r="W303" s="6">
        <f t="shared" si="35"/>
        <v>0</v>
      </c>
      <c r="X303" s="6">
        <f t="shared" si="35"/>
        <v>0</v>
      </c>
      <c r="Y303" s="6">
        <f t="shared" si="35"/>
        <v>0</v>
      </c>
      <c r="Z303" s="6">
        <f t="shared" si="35"/>
        <v>0</v>
      </c>
    </row>
    <row r="304" spans="1:53" outlineLevel="1" x14ac:dyDescent="0.35">
      <c r="A304" s="6" t="s">
        <v>760</v>
      </c>
      <c r="B304" s="6">
        <f>$B$252*50*'Results - raw data ReCiPe (H)'!BC114/(1-$AC$270)*(1+'Results ReCiPe (H) - HHD'!$AC$271/'Results ReCiPe (H) - HHD'!$AC$272-'Results ReCiPe (H) - HHD'!$AC$271)</f>
        <v>355.06709500227214</v>
      </c>
      <c r="C304" s="6">
        <f>$B$252*50*'Results - raw data ReCiPe (H)'!BD114/(1-$AC$270)*(1+'Results ReCiPe (H) - HHD'!$AC$271/'Results ReCiPe (H) - HHD'!$AC$272-'Results ReCiPe (H) - HHD'!$AC$271)</f>
        <v>354.19660016448358</v>
      </c>
      <c r="D304" s="6">
        <f>$B$252*50*'Results - raw data ReCiPe (H)'!BE114/(1-$AC$270)*(1+'Results ReCiPe (H) - HHD'!$AC$271/'Results ReCiPe (H) - HHD'!$AC$272-'Results ReCiPe (H) - HHD'!$AC$271)</f>
        <v>353.34419684002478</v>
      </c>
      <c r="E304" s="6">
        <f>$B$252*50*'Results - raw data ReCiPe (H)'!BF114/(1-$AC$270)*(1+'Results ReCiPe (H) - HHD'!$AC$271/'Results ReCiPe (H) - HHD'!$AC$272-'Results ReCiPe (H) - HHD'!$AC$271)</f>
        <v>349.0528051523429</v>
      </c>
      <c r="F304" s="6">
        <f>$B$252*50*'Results - raw data ReCiPe (H)'!BG114/(1-$AC$270)*(1+'Results ReCiPe (H) - HHD'!$AC$271/'Results ReCiPe (H) - HHD'!$AC$272-'Results ReCiPe (H) - HHD'!$AC$271)</f>
        <v>348.24279769795908</v>
      </c>
      <c r="G304" s="6">
        <f>$B$252*50*'Results - raw data ReCiPe (H)'!BH114/(1-$AC$270)*(1+'Results ReCiPe (H) - HHD'!$AC$271/'Results ReCiPe (H) - HHD'!$AC$272-'Results ReCiPe (H) - HHD'!$AC$271)</f>
        <v>347.44487151081171</v>
      </c>
      <c r="H304" s="6">
        <f>$B$252*50*'Results - raw data ReCiPe (H)'!BI114/(1-$AC$270)*(1+'Results ReCiPe (H) - HHD'!$AC$271/'Results ReCiPe (H) - HHD'!$AC$272-'Results ReCiPe (H) - HHD'!$AC$271)</f>
        <v>346.58675503038023</v>
      </c>
      <c r="I304" s="6">
        <f>$B$252*50*'Results - raw data ReCiPe (H)'!BJ114/(1-$AC$270)*(1+'Results ReCiPe (H) - HHD'!$AC$271/'Results ReCiPe (H) - HHD'!$AC$272-'Results ReCiPe (H) - HHD'!$AC$271)</f>
        <v>345.75691753661886</v>
      </c>
      <c r="J304" s="6">
        <f>$B$252*50*'Results - raw data ReCiPe (H)'!BK114/(1-$AC$270)*(1+'Results ReCiPe (H) - HHD'!$AC$271/'Results ReCiPe (H) - HHD'!$AC$272-'Results ReCiPe (H) - HHD'!$AC$271)</f>
        <v>342.55486383826599</v>
      </c>
      <c r="K304" s="6">
        <f>$B$252*50*'Results - raw data ReCiPe (H)'!BL114/(1-$AC$270)*(1+'Results ReCiPe (H) - HHD'!$AC$271/'Results ReCiPe (H) - HHD'!$AC$272-'Results ReCiPe (H) - HHD'!$AC$271)</f>
        <v>341.79004706784241</v>
      </c>
      <c r="L304" s="6">
        <f>$B$252*50*'Results - raw data ReCiPe (H)'!BM114/(1-$AC$270)*(1+'Results ReCiPe (H) - HHD'!$AC$271/'Results ReCiPe (H) - HHD'!$AC$272-'Results ReCiPe (H) - HHD'!$AC$271)</f>
        <v>341.04628736630411</v>
      </c>
      <c r="M304" s="6">
        <f>$B$252*50*'Results - raw data ReCiPe (H)'!BN114/(1-$AC$270)*(1+'Results ReCiPe (H) - HHD'!$AC$271/'Results ReCiPe (H) - HHD'!$AC$272-'Results ReCiPe (H) - HHD'!$AC$271)</f>
        <v>340.52055802487507</v>
      </c>
      <c r="N304" s="6">
        <f>$B$252*50*'Results - raw data ReCiPe (H)'!BO114/(1-$AC$270)*(1+'Results ReCiPe (H) - HHD'!$AC$271/'Results ReCiPe (H) - HHD'!$AC$272-'Results ReCiPe (H) - HHD'!$AC$271)</f>
        <v>340.01830292474386</v>
      </c>
      <c r="O304" s="6">
        <f>$B$252*50*'Results - raw data ReCiPe (H)'!BP114/(1-$AC$270)*(1+'Results ReCiPe (H) - HHD'!$AC$271/'Results ReCiPe (H) - HHD'!$AC$272-'Results ReCiPe (H) - HHD'!$AC$271)</f>
        <v>338.85271620991568</v>
      </c>
      <c r="P304" s="6">
        <f>$B$252*50*'Results - raw data ReCiPe (H)'!BQ114/(1-$AC$270)*(1+'Results ReCiPe (H) - HHD'!$AC$271/'Results ReCiPe (H) - HHD'!$AC$272-'Results ReCiPe (H) - HHD'!$AC$271)</f>
        <v>338.39703159987977</v>
      </c>
      <c r="Q304" s="6">
        <f>$B$252*50*'Results - raw data ReCiPe (H)'!BR114/(1-$AC$270)*(1+'Results ReCiPe (H) - HHD'!$AC$271/'Results ReCiPe (H) - HHD'!$AC$272-'Results ReCiPe (H) - HHD'!$AC$271)</f>
        <v>337.97210643680307</v>
      </c>
      <c r="R304" s="6">
        <f>$B$252*50*'Results - raw data ReCiPe (H)'!BS114/(1-$AC$270)*(1+'Results ReCiPe (H) - HHD'!$AC$271/'Results ReCiPe (H) - HHD'!$AC$272-'Results ReCiPe (H) - HHD'!$AC$271)</f>
        <v>337.57355636967867</v>
      </c>
      <c r="S304" s="6">
        <f>$B$252*50*'Results - raw data ReCiPe (H)'!BT114/(1-$AC$270)*(1+'Results ReCiPe (H) - HHD'!$AC$271/'Results ReCiPe (H) - HHD'!$AC$272-'Results ReCiPe (H) - HHD'!$AC$271)</f>
        <v>337.17758756895904</v>
      </c>
      <c r="T304" s="6">
        <f>$B$252*50*'Results - raw data ReCiPe (H)'!BU114/(1-$AC$270)*(1+'Results ReCiPe (H) - HHD'!$AC$271/'Results ReCiPe (H) - HHD'!$AC$272-'Results ReCiPe (H) - HHD'!$AC$271)</f>
        <v>336.12211547093705</v>
      </c>
      <c r="U304" s="6">
        <f>$B$252*50*'Results - raw data ReCiPe (H)'!BV114/(1-$AC$270)*(1+'Results ReCiPe (H) - HHD'!$AC$271/'Results ReCiPe (H) - HHD'!$AC$272-'Results ReCiPe (H) - HHD'!$AC$271)</f>
        <v>335.7375865267951</v>
      </c>
      <c r="V304" s="6">
        <f>$B$252*50*'Results - raw data ReCiPe (H)'!BW114/(1-$AC$270)*(1+'Results ReCiPe (H) - HHD'!$AC$271/'Results ReCiPe (H) - HHD'!$AC$272-'Results ReCiPe (H) - HHD'!$AC$271)</f>
        <v>335.35481622262466</v>
      </c>
      <c r="W304" s="6">
        <f>$B$252*50*'Results - raw data ReCiPe (H)'!BX114/(1-$AC$270)*(1+'Results ReCiPe (H) - HHD'!$AC$271/'Results ReCiPe (H) - HHD'!$AC$272-'Results ReCiPe (H) - HHD'!$AC$271)</f>
        <v>335.15939462535141</v>
      </c>
      <c r="X304" s="6">
        <f>$B$252*50*'Results - raw data ReCiPe (H)'!BY114/(1-$AC$270)*(1+'Results ReCiPe (H) - HHD'!$AC$271/'Results ReCiPe (H) - HHD'!$AC$272-'Results ReCiPe (H) - HHD'!$AC$271)</f>
        <v>334.97033942590645</v>
      </c>
      <c r="Y304" s="6">
        <f>$B$252*50*'Results - raw data ReCiPe (H)'!BZ114/(1-$AC$270)*(1+'Results ReCiPe (H) - HHD'!$AC$271/'Results ReCiPe (H) - HHD'!$AC$272-'Results ReCiPe (H) - HHD'!$AC$271)</f>
        <v>334.78715509001483</v>
      </c>
      <c r="Z304" s="6">
        <f>$B$252*50*'Results - raw data ReCiPe (H)'!CA114/(1-$AC$270)*(1+'Results ReCiPe (H) - HHD'!$AC$271/'Results ReCiPe (H) - HHD'!$AC$272-'Results ReCiPe (H) - HHD'!$AC$271)</f>
        <v>334.60963094972175</v>
      </c>
    </row>
    <row r="305" spans="1:26" outlineLevel="1" x14ac:dyDescent="0.35">
      <c r="A305" s="6" t="s">
        <v>797</v>
      </c>
      <c r="B305" s="6">
        <f>$B$260*$AC$264</f>
        <v>426.28778307629489</v>
      </c>
      <c r="C305" s="6">
        <f t="shared" ref="C305:Z305" si="36">$B$260*$AC$264</f>
        <v>426.28778307629489</v>
      </c>
      <c r="D305" s="6">
        <f t="shared" si="36"/>
        <v>426.28778307629489</v>
      </c>
      <c r="E305" s="6">
        <f t="shared" si="36"/>
        <v>426.28778307629489</v>
      </c>
      <c r="F305" s="6">
        <f t="shared" si="36"/>
        <v>426.28778307629489</v>
      </c>
      <c r="G305" s="6">
        <f t="shared" si="36"/>
        <v>426.28778307629489</v>
      </c>
      <c r="H305" s="6">
        <f t="shared" si="36"/>
        <v>426.28778307629489</v>
      </c>
      <c r="I305" s="6">
        <f t="shared" si="36"/>
        <v>426.28778307629489</v>
      </c>
      <c r="J305" s="6">
        <f t="shared" si="36"/>
        <v>426.28778307629489</v>
      </c>
      <c r="K305" s="6">
        <f t="shared" si="36"/>
        <v>426.28778307629489</v>
      </c>
      <c r="L305" s="6">
        <f t="shared" si="36"/>
        <v>426.28778307629489</v>
      </c>
      <c r="M305" s="6">
        <f t="shared" si="36"/>
        <v>426.28778307629489</v>
      </c>
      <c r="N305" s="6">
        <f t="shared" si="36"/>
        <v>426.28778307629489</v>
      </c>
      <c r="O305" s="6">
        <f t="shared" si="36"/>
        <v>426.28778307629489</v>
      </c>
      <c r="P305" s="6">
        <f t="shared" si="36"/>
        <v>426.28778307629489</v>
      </c>
      <c r="Q305" s="6">
        <f t="shared" si="36"/>
        <v>426.28778307629489</v>
      </c>
      <c r="R305" s="6">
        <f t="shared" si="36"/>
        <v>426.28778307629489</v>
      </c>
      <c r="S305" s="6">
        <f t="shared" si="36"/>
        <v>426.28778307629489</v>
      </c>
      <c r="T305" s="6">
        <f t="shared" si="36"/>
        <v>426.28778307629489</v>
      </c>
      <c r="U305" s="6">
        <f t="shared" si="36"/>
        <v>426.28778307629489</v>
      </c>
      <c r="V305" s="6">
        <f t="shared" si="36"/>
        <v>426.28778307629489</v>
      </c>
      <c r="W305" s="6">
        <f t="shared" si="36"/>
        <v>426.28778307629489</v>
      </c>
      <c r="X305" s="6">
        <f t="shared" si="36"/>
        <v>426.28778307629489</v>
      </c>
      <c r="Y305" s="6">
        <f t="shared" si="36"/>
        <v>426.28778307629489</v>
      </c>
      <c r="Z305" s="6">
        <f t="shared" si="36"/>
        <v>426.28778307629489</v>
      </c>
    </row>
    <row r="306" spans="1:26" outlineLevel="1" x14ac:dyDescent="0.35">
      <c r="A306" s="23" t="s">
        <v>125</v>
      </c>
      <c r="B306" s="17">
        <f t="shared" ref="B306:Z306" si="37">SUM(B274:B304)</f>
        <v>3551.7139994204504</v>
      </c>
      <c r="C306" s="17">
        <f t="shared" si="37"/>
        <v>570.49689408192398</v>
      </c>
      <c r="D306" s="17">
        <f t="shared" si="37"/>
        <v>569.8732363647772</v>
      </c>
      <c r="E306" s="17">
        <f t="shared" si="37"/>
        <v>564.9292437806605</v>
      </c>
      <c r="F306" s="17">
        <f t="shared" si="37"/>
        <v>564.35630092239421</v>
      </c>
      <c r="G306" s="17">
        <f t="shared" si="37"/>
        <v>563.79734805978433</v>
      </c>
      <c r="H306" s="17">
        <f t="shared" si="37"/>
        <v>564.3514784662633</v>
      </c>
      <c r="I306" s="17">
        <f t="shared" si="37"/>
        <v>564.92745401630589</v>
      </c>
      <c r="J306" s="17">
        <f t="shared" si="37"/>
        <v>562.51026716903311</v>
      </c>
      <c r="K306" s="17">
        <f t="shared" si="37"/>
        <v>563.14730098009954</v>
      </c>
      <c r="L306" s="17">
        <f t="shared" si="37"/>
        <v>563.79979917146056</v>
      </c>
      <c r="M306" s="17">
        <f t="shared" si="37"/>
        <v>563.33887434472808</v>
      </c>
      <c r="N306" s="17">
        <f t="shared" si="37"/>
        <v>562.89589754791086</v>
      </c>
      <c r="O306" s="17">
        <f t="shared" si="37"/>
        <v>561.60371438248842</v>
      </c>
      <c r="P306" s="17">
        <f t="shared" si="37"/>
        <v>561.19720146269174</v>
      </c>
      <c r="Q306" s="17">
        <f t="shared" si="37"/>
        <v>560.81526439386903</v>
      </c>
      <c r="R306" s="17">
        <f t="shared" si="37"/>
        <v>563.8256856559608</v>
      </c>
      <c r="S306" s="17">
        <f t="shared" si="37"/>
        <v>566.83305695300976</v>
      </c>
      <c r="T306" s="17">
        <f t="shared" si="37"/>
        <v>569.00472690313404</v>
      </c>
      <c r="U306" s="17">
        <f t="shared" si="37"/>
        <v>572.01626078105937</v>
      </c>
      <c r="V306" s="17">
        <f t="shared" si="37"/>
        <v>575.0254047437486</v>
      </c>
      <c r="W306" s="17">
        <f t="shared" si="37"/>
        <v>575.32612784936009</v>
      </c>
      <c r="X306" s="17">
        <f t="shared" si="37"/>
        <v>575.63980795561258</v>
      </c>
      <c r="Y306" s="17">
        <f t="shared" si="37"/>
        <v>575.96162041683158</v>
      </c>
      <c r="Z306" s="17">
        <f t="shared" si="37"/>
        <v>621.92739577892985</v>
      </c>
    </row>
    <row r="307" spans="1:26" outlineLevel="1" x14ac:dyDescent="0.35"/>
    <row r="308" spans="1:26" s="18" customFormat="1" ht="21" x14ac:dyDescent="0.5">
      <c r="A308" s="18" t="s">
        <v>73</v>
      </c>
    </row>
    <row r="309" spans="1:26" s="20" customFormat="1" outlineLevel="1" x14ac:dyDescent="0.35">
      <c r="A309" s="19" t="s">
        <v>788</v>
      </c>
    </row>
    <row r="310" spans="1:26" s="20" customFormat="1" outlineLevel="1" x14ac:dyDescent="0.35">
      <c r="A310" s="273" t="s">
        <v>775</v>
      </c>
      <c r="B310" s="20">
        <v>1</v>
      </c>
      <c r="C310" s="274" t="s">
        <v>787</v>
      </c>
    </row>
    <row r="311" spans="1:26" s="20" customFormat="1" outlineLevel="1" x14ac:dyDescent="0.35">
      <c r="A311" s="273" t="s">
        <v>781</v>
      </c>
      <c r="B311" s="20">
        <v>100000</v>
      </c>
      <c r="C311" s="20" t="s">
        <v>782</v>
      </c>
      <c r="E311" s="274"/>
    </row>
    <row r="312" spans="1:26" s="20" customFormat="1" outlineLevel="1" x14ac:dyDescent="0.35">
      <c r="A312" s="273" t="s">
        <v>783</v>
      </c>
      <c r="B312" s="20">
        <v>1500</v>
      </c>
      <c r="C312" s="20" t="s">
        <v>592</v>
      </c>
    </row>
    <row r="313" spans="1:26" s="20" customFormat="1" outlineLevel="1" x14ac:dyDescent="0.35">
      <c r="A313" s="273" t="s">
        <v>784</v>
      </c>
      <c r="B313" s="20">
        <v>8760</v>
      </c>
      <c r="C313" s="20" t="s">
        <v>785</v>
      </c>
    </row>
    <row r="314" spans="1:26" s="20" customFormat="1" outlineLevel="1" x14ac:dyDescent="0.35">
      <c r="A314" s="273"/>
    </row>
    <row r="315" spans="1:26" s="20" customFormat="1" outlineLevel="1" x14ac:dyDescent="0.35">
      <c r="A315" s="275" t="s">
        <v>786</v>
      </c>
      <c r="B315" s="275">
        <f>(B311*B312)/(B313*B310)</f>
        <v>17123.287671232876</v>
      </c>
      <c r="C315" s="275" t="s">
        <v>749</v>
      </c>
    </row>
    <row r="316" spans="1:26" s="20" customFormat="1" outlineLevel="1" x14ac:dyDescent="0.35">
      <c r="A316" s="19"/>
    </row>
    <row r="317" spans="1:26" s="20" customFormat="1" outlineLevel="1" x14ac:dyDescent="0.35">
      <c r="A317" s="19" t="s">
        <v>793</v>
      </c>
    </row>
    <row r="318" spans="1:26" s="20" customFormat="1" outlineLevel="1" x14ac:dyDescent="0.35">
      <c r="A318" s="273" t="s">
        <v>789</v>
      </c>
      <c r="B318" s="20">
        <f>SUM('Results - raw data ReCiPe (H)'!BC146:BC147)+'Results - raw data ReCiPe (H)'!BC150+SUM('Results - raw data ReCiPe (H)'!BC148:BC149)*AC267</f>
        <v>81.297552268264241</v>
      </c>
      <c r="C318" s="20" t="s">
        <v>902</v>
      </c>
    </row>
    <row r="319" spans="1:26" s="20" customFormat="1" outlineLevel="1" x14ac:dyDescent="0.35">
      <c r="A319" s="20" t="s">
        <v>792</v>
      </c>
      <c r="B319" s="20">
        <f>B311*AC325</f>
        <v>50000</v>
      </c>
      <c r="C319" s="274" t="s">
        <v>795</v>
      </c>
    </row>
    <row r="320" spans="1:26" s="20" customFormat="1" outlineLevel="1" x14ac:dyDescent="0.35">
      <c r="A320" s="20" t="s">
        <v>791</v>
      </c>
      <c r="B320" s="20">
        <f>(B318*AC327*B315)/(B319*AC326)*(AC326/AC328)</f>
        <v>8.3524882467394761</v>
      </c>
      <c r="C320" s="20" t="s">
        <v>903</v>
      </c>
      <c r="E320" s="274" t="s">
        <v>796</v>
      </c>
    </row>
    <row r="321" spans="1:53" s="20" customFormat="1" outlineLevel="1" x14ac:dyDescent="0.35">
      <c r="A321" s="19"/>
    </row>
    <row r="322" spans="1:53" s="16" customFormat="1" outlineLevel="1" x14ac:dyDescent="0.35">
      <c r="A322" s="21"/>
      <c r="AE322" s="15"/>
    </row>
    <row r="323" spans="1:53" s="16" customFormat="1" outlineLevel="1" x14ac:dyDescent="0.35">
      <c r="A323" s="22" t="s">
        <v>761</v>
      </c>
    </row>
    <row r="324" spans="1:53" s="16" customFormat="1" outlineLevel="1" x14ac:dyDescent="0.35">
      <c r="A324" s="22"/>
      <c r="AB324" s="16" t="s">
        <v>127</v>
      </c>
      <c r="AC324" s="16">
        <f>100*AC325</f>
        <v>50</v>
      </c>
      <c r="AD324" s="16" t="s">
        <v>128</v>
      </c>
    </row>
    <row r="325" spans="1:53" s="16" customFormat="1" outlineLevel="1" x14ac:dyDescent="0.35">
      <c r="A325" s="230"/>
      <c r="AB325" s="16" t="s">
        <v>776</v>
      </c>
      <c r="AC325" s="16">
        <v>0.5</v>
      </c>
    </row>
    <row r="326" spans="1:53" s="16" customFormat="1" outlineLevel="1" x14ac:dyDescent="0.35">
      <c r="A326" s="21"/>
      <c r="AB326" s="16" t="s">
        <v>129</v>
      </c>
      <c r="AC326" s="16">
        <v>25</v>
      </c>
      <c r="AD326" s="16" t="s">
        <v>130</v>
      </c>
    </row>
    <row r="327" spans="1:53" s="16" customFormat="1" outlineLevel="1" x14ac:dyDescent="0.35">
      <c r="A327" s="21"/>
      <c r="AB327" s="16" t="s">
        <v>777</v>
      </c>
      <c r="AC327" s="16">
        <v>6</v>
      </c>
      <c r="AD327" s="16" t="s">
        <v>779</v>
      </c>
    </row>
    <row r="328" spans="1:53" s="16" customFormat="1" outlineLevel="1" x14ac:dyDescent="0.35">
      <c r="A328" s="21"/>
      <c r="AB328" s="16" t="s">
        <v>778</v>
      </c>
      <c r="AC328" s="16">
        <v>20</v>
      </c>
      <c r="AD328" s="16" t="s">
        <v>130</v>
      </c>
    </row>
    <row r="329" spans="1:53" s="16" customFormat="1" outlineLevel="1" x14ac:dyDescent="0.35">
      <c r="AB329" s="16" t="s">
        <v>780</v>
      </c>
      <c r="AC329" s="16">
        <f>B315</f>
        <v>17123.287671232876</v>
      </c>
      <c r="AD329" s="16" t="s">
        <v>749</v>
      </c>
    </row>
    <row r="330" spans="1:53" s="16" customFormat="1" outlineLevel="1" x14ac:dyDescent="0.35">
      <c r="AB330" s="16" t="s">
        <v>820</v>
      </c>
      <c r="AC330" s="16">
        <v>0.5</v>
      </c>
    </row>
    <row r="331" spans="1:53" s="16" customFormat="1" outlineLevel="1" x14ac:dyDescent="0.35">
      <c r="AB331" s="16" t="s">
        <v>798</v>
      </c>
      <c r="AC331" s="16">
        <v>0.25</v>
      </c>
    </row>
    <row r="332" spans="1:53" s="16" customFormat="1" outlineLevel="1" x14ac:dyDescent="0.35">
      <c r="A332" s="22"/>
      <c r="AB332" s="16" t="s">
        <v>799</v>
      </c>
      <c r="AC332" s="16">
        <v>0.9</v>
      </c>
    </row>
    <row r="333" spans="1:53" outlineLevel="1" x14ac:dyDescent="0.35">
      <c r="B333" s="25">
        <v>2030</v>
      </c>
      <c r="C333" s="25">
        <v>2031</v>
      </c>
      <c r="D333" s="25">
        <v>2032</v>
      </c>
      <c r="E333" s="25">
        <v>2033</v>
      </c>
      <c r="F333" s="25">
        <v>2034</v>
      </c>
      <c r="G333" s="25">
        <v>2035</v>
      </c>
      <c r="H333" s="25">
        <v>2036</v>
      </c>
      <c r="I333" s="25">
        <v>2037</v>
      </c>
      <c r="J333" s="25">
        <v>2038</v>
      </c>
      <c r="K333" s="25">
        <v>2039</v>
      </c>
      <c r="L333" s="25">
        <v>2040</v>
      </c>
      <c r="M333" s="25">
        <v>2041</v>
      </c>
      <c r="N333" s="25">
        <v>2042</v>
      </c>
      <c r="O333" s="25">
        <v>2043</v>
      </c>
      <c r="P333" s="25">
        <v>2044</v>
      </c>
      <c r="Q333" s="25">
        <v>2045</v>
      </c>
      <c r="R333" s="25">
        <v>2046</v>
      </c>
      <c r="S333" s="25">
        <v>2047</v>
      </c>
      <c r="T333" s="25">
        <v>2048</v>
      </c>
      <c r="U333" s="25">
        <v>2049</v>
      </c>
      <c r="V333" s="25">
        <v>2050</v>
      </c>
      <c r="W333" s="25">
        <v>2051</v>
      </c>
      <c r="X333" s="25">
        <v>2052</v>
      </c>
      <c r="Y333" s="25">
        <v>2053</v>
      </c>
      <c r="Z333" s="25">
        <v>2054</v>
      </c>
      <c r="AC333" s="25">
        <v>2030</v>
      </c>
      <c r="AD333" s="25">
        <v>2031</v>
      </c>
      <c r="AE333" s="25">
        <v>2032</v>
      </c>
      <c r="AF333" s="25">
        <v>2033</v>
      </c>
      <c r="AG333" s="25">
        <v>2034</v>
      </c>
      <c r="AH333" s="25">
        <v>2035</v>
      </c>
      <c r="AI333" s="25">
        <v>2036</v>
      </c>
      <c r="AJ333" s="25">
        <v>2037</v>
      </c>
      <c r="AK333" s="25">
        <v>2038</v>
      </c>
      <c r="AL333" s="25">
        <v>2039</v>
      </c>
      <c r="AM333" s="25">
        <v>2040</v>
      </c>
      <c r="AN333" s="25">
        <v>2041</v>
      </c>
      <c r="AO333" s="25">
        <v>2042</v>
      </c>
      <c r="AP333" s="25">
        <v>2043</v>
      </c>
      <c r="AQ333" s="25">
        <v>2044</v>
      </c>
      <c r="AR333" s="25">
        <v>2045</v>
      </c>
      <c r="AS333" s="25">
        <v>2046</v>
      </c>
      <c r="AT333" s="25">
        <v>2047</v>
      </c>
      <c r="AU333" s="25">
        <v>2048</v>
      </c>
      <c r="AV333" s="25">
        <v>2049</v>
      </c>
      <c r="AW333" s="25">
        <v>2050</v>
      </c>
      <c r="AX333" s="25">
        <v>2051</v>
      </c>
      <c r="AY333" s="25">
        <v>2052</v>
      </c>
      <c r="AZ333" s="25">
        <v>2053</v>
      </c>
      <c r="BA333" s="25">
        <v>2054</v>
      </c>
    </row>
    <row r="334" spans="1:53" outlineLevel="1" x14ac:dyDescent="0.35">
      <c r="A334" s="6" t="s">
        <v>21</v>
      </c>
      <c r="B334" s="6">
        <f>B50</f>
        <v>74.575809260309001</v>
      </c>
      <c r="AB334" s="6" t="s">
        <v>117</v>
      </c>
      <c r="AC334" s="6">
        <f>SUM(B334:B345)+B347</f>
        <v>2790.777108402302</v>
      </c>
    </row>
    <row r="335" spans="1:53" outlineLevel="1" x14ac:dyDescent="0.35">
      <c r="A335" s="6" t="s">
        <v>23</v>
      </c>
      <c r="B335" s="6">
        <f t="shared" ref="B335:B345" si="38">B51</f>
        <v>313.82231223638792</v>
      </c>
      <c r="AB335" s="6" t="s">
        <v>118</v>
      </c>
      <c r="AC335" s="6">
        <f>B346</f>
        <v>133.47248236670413</v>
      </c>
    </row>
    <row r="336" spans="1:53" outlineLevel="1" x14ac:dyDescent="0.35">
      <c r="A336" s="6" t="s">
        <v>26</v>
      </c>
      <c r="B336" s="6">
        <f t="shared" si="38"/>
        <v>315.02558376823708</v>
      </c>
      <c r="AB336" s="6" t="s">
        <v>119</v>
      </c>
      <c r="BA336" s="6">
        <f>SUM(Z348:Z359)</f>
        <v>41.794125692809452</v>
      </c>
    </row>
    <row r="337" spans="1:53" outlineLevel="1" x14ac:dyDescent="0.35">
      <c r="A337" s="6" t="s">
        <v>28</v>
      </c>
      <c r="B337" s="6">
        <f t="shared" si="38"/>
        <v>243.43520206801139</v>
      </c>
      <c r="AB337" s="6" t="s">
        <v>120</v>
      </c>
      <c r="BA337" s="6">
        <f>Z360</f>
        <v>0.64814302489144726</v>
      </c>
    </row>
    <row r="338" spans="1:53" outlineLevel="1" x14ac:dyDescent="0.35">
      <c r="A338" s="6" t="s">
        <v>29</v>
      </c>
      <c r="B338" s="6">
        <f t="shared" si="38"/>
        <v>119.8877128712579</v>
      </c>
      <c r="AB338" s="6" t="s">
        <v>121</v>
      </c>
      <c r="AC338" s="6">
        <f>B361</f>
        <v>117.4164153447413</v>
      </c>
      <c r="AF338" s="6">
        <f>E361</f>
        <v>116.14482404943</v>
      </c>
      <c r="AI338" s="6">
        <f>H361</f>
        <v>115.85431461269189</v>
      </c>
      <c r="AL338" s="6">
        <f>K361</f>
        <v>115.7060268138878</v>
      </c>
      <c r="AO338" s="6">
        <f>N361</f>
        <v>115.22430296168601</v>
      </c>
      <c r="AR338" s="6">
        <f>Q361</f>
        <v>114.21787004973891</v>
      </c>
      <c r="AU338" s="6">
        <f>T361</f>
        <v>113.3881732416237</v>
      </c>
      <c r="AX338" s="6">
        <f>W361</f>
        <v>112.8508899058024</v>
      </c>
      <c r="BA338" s="6">
        <f>Z361</f>
        <v>112.6235531268987</v>
      </c>
    </row>
    <row r="339" spans="1:53" outlineLevel="1" x14ac:dyDescent="0.35">
      <c r="A339" s="6" t="s">
        <v>31</v>
      </c>
      <c r="B339" s="6">
        <f t="shared" si="38"/>
        <v>85.211147912787794</v>
      </c>
      <c r="AB339" s="6" t="s">
        <v>797</v>
      </c>
      <c r="AC339" s="6">
        <f>B365</f>
        <v>417.62441233697382</v>
      </c>
      <c r="AD339" s="6">
        <f t="shared" ref="AD339:BA339" si="39">C365</f>
        <v>417.62441233697382</v>
      </c>
      <c r="AE339" s="6">
        <f t="shared" si="39"/>
        <v>417.62441233697382</v>
      </c>
      <c r="AF339" s="6">
        <f t="shared" si="39"/>
        <v>417.62441233697382</v>
      </c>
      <c r="AG339" s="6">
        <f t="shared" si="39"/>
        <v>417.62441233697382</v>
      </c>
      <c r="AH339" s="6">
        <f t="shared" si="39"/>
        <v>417.62441233697382</v>
      </c>
      <c r="AI339" s="6">
        <f t="shared" si="39"/>
        <v>417.62441233697382</v>
      </c>
      <c r="AJ339" s="6">
        <f t="shared" si="39"/>
        <v>417.62441233697382</v>
      </c>
      <c r="AK339" s="6">
        <f t="shared" si="39"/>
        <v>417.62441233697382</v>
      </c>
      <c r="AL339" s="6">
        <f t="shared" si="39"/>
        <v>417.62441233697382</v>
      </c>
      <c r="AM339" s="6">
        <f t="shared" si="39"/>
        <v>417.62441233697382</v>
      </c>
      <c r="AN339" s="6">
        <f t="shared" si="39"/>
        <v>417.62441233697382</v>
      </c>
      <c r="AO339" s="6">
        <f t="shared" si="39"/>
        <v>417.62441233697382</v>
      </c>
      <c r="AP339" s="6">
        <f t="shared" si="39"/>
        <v>417.62441233697382</v>
      </c>
      <c r="AQ339" s="6">
        <f t="shared" si="39"/>
        <v>417.62441233697382</v>
      </c>
      <c r="AR339" s="6">
        <f t="shared" si="39"/>
        <v>417.62441233697382</v>
      </c>
      <c r="AS339" s="6">
        <f t="shared" si="39"/>
        <v>417.62441233697382</v>
      </c>
      <c r="AT339" s="6">
        <f t="shared" si="39"/>
        <v>417.62441233697382</v>
      </c>
      <c r="AU339" s="6">
        <f t="shared" si="39"/>
        <v>417.62441233697382</v>
      </c>
      <c r="AV339" s="6">
        <f t="shared" si="39"/>
        <v>417.62441233697382</v>
      </c>
      <c r="AW339" s="6">
        <f t="shared" si="39"/>
        <v>417.62441233697382</v>
      </c>
      <c r="AX339" s="6">
        <f t="shared" si="39"/>
        <v>417.62441233697382</v>
      </c>
      <c r="AY339" s="6">
        <f t="shared" si="39"/>
        <v>417.62441233697382</v>
      </c>
      <c r="AZ339" s="6">
        <f t="shared" si="39"/>
        <v>417.62441233697382</v>
      </c>
      <c r="BA339" s="6">
        <f t="shared" si="39"/>
        <v>417.62441233697382</v>
      </c>
    </row>
    <row r="340" spans="1:53" outlineLevel="1" x14ac:dyDescent="0.35">
      <c r="A340" s="6" t="s">
        <v>34</v>
      </c>
      <c r="B340" s="6">
        <f t="shared" si="38"/>
        <v>57.213045992396857</v>
      </c>
      <c r="AB340" s="6" t="s">
        <v>122</v>
      </c>
      <c r="AC340" s="6">
        <f t="shared" ref="AC340:AV340" si="40">B364+B363</f>
        <v>354.4648899632698</v>
      </c>
      <c r="AD340" s="6">
        <f t="shared" si="40"/>
        <v>353.71478819889768</v>
      </c>
      <c r="AE340" s="6">
        <f t="shared" si="40"/>
        <v>352.92922431729039</v>
      </c>
      <c r="AF340" s="6">
        <f t="shared" si="40"/>
        <v>348.6957023841901</v>
      </c>
      <c r="AG340" s="6">
        <f t="shared" si="40"/>
        <v>347.85253593847449</v>
      </c>
      <c r="AH340" s="6">
        <f t="shared" si="40"/>
        <v>346.96180504320296</v>
      </c>
      <c r="AI340" s="6">
        <f t="shared" si="40"/>
        <v>346.33531203737613</v>
      </c>
      <c r="AJ340" s="6">
        <f t="shared" si="40"/>
        <v>345.83961865755384</v>
      </c>
      <c r="AK340" s="6">
        <f t="shared" si="40"/>
        <v>343.07237326169815</v>
      </c>
      <c r="AL340" s="6">
        <f t="shared" si="40"/>
        <v>342.65491840642301</v>
      </c>
      <c r="AM340" s="6">
        <f t="shared" si="40"/>
        <v>342.22122157552343</v>
      </c>
      <c r="AN340" s="6">
        <f t="shared" si="40"/>
        <v>340.86013308007722</v>
      </c>
      <c r="AO340" s="6">
        <f t="shared" si="40"/>
        <v>339.5118108226186</v>
      </c>
      <c r="AP340" s="6">
        <f t="shared" si="40"/>
        <v>337.52762012279896</v>
      </c>
      <c r="AQ340" s="6">
        <f t="shared" si="40"/>
        <v>336.2106341944322</v>
      </c>
      <c r="AR340" s="6">
        <f t="shared" si="40"/>
        <v>334.89894136242748</v>
      </c>
      <c r="AS340" s="6">
        <f t="shared" si="40"/>
        <v>333.69004655307322</v>
      </c>
      <c r="AT340" s="6">
        <f t="shared" si="40"/>
        <v>332.49684890940244</v>
      </c>
      <c r="AU340" s="6">
        <f t="shared" si="40"/>
        <v>330.70547806044175</v>
      </c>
      <c r="AV340" s="6">
        <f t="shared" si="40"/>
        <v>329.55656201289327</v>
      </c>
      <c r="AW340" s="6">
        <f>V364</f>
        <v>328.40784538291626</v>
      </c>
      <c r="AX340" s="6">
        <f>W364</f>
        <v>328.13042559222492</v>
      </c>
      <c r="AY340" s="6">
        <f>X364</f>
        <v>327.85712170631302</v>
      </c>
      <c r="AZ340" s="6">
        <f>Y364</f>
        <v>327.58703535119508</v>
      </c>
      <c r="BA340" s="6">
        <f>Z364</f>
        <v>327.31987314210204</v>
      </c>
    </row>
    <row r="341" spans="1:53" outlineLevel="1" x14ac:dyDescent="0.35">
      <c r="A341" s="6" t="s">
        <v>36</v>
      </c>
      <c r="B341" s="6">
        <f t="shared" si="38"/>
        <v>60.149320712686112</v>
      </c>
      <c r="AB341" s="6" t="s">
        <v>123</v>
      </c>
      <c r="AC341" s="6">
        <f t="shared" ref="AC341:BA341" si="41">B362</f>
        <v>100.32214006695087</v>
      </c>
      <c r="AD341" s="6">
        <f t="shared" si="41"/>
        <v>99.444935513505854</v>
      </c>
      <c r="AE341" s="6">
        <f t="shared" si="41"/>
        <v>98.570917170634857</v>
      </c>
      <c r="AF341" s="6">
        <f t="shared" si="41"/>
        <v>97.49795917955575</v>
      </c>
      <c r="AG341" s="6">
        <f t="shared" si="41"/>
        <v>96.631207226485301</v>
      </c>
      <c r="AH341" s="6">
        <f t="shared" si="41"/>
        <v>95.767450092118594</v>
      </c>
      <c r="AI341" s="6">
        <f t="shared" si="41"/>
        <v>95.498787465897649</v>
      </c>
      <c r="AJ341" s="6">
        <f t="shared" si="41"/>
        <v>95.22587075926765</v>
      </c>
      <c r="AK341" s="6">
        <f t="shared" si="41"/>
        <v>94.776421108909943</v>
      </c>
      <c r="AL341" s="6">
        <f t="shared" si="41"/>
        <v>94.488351336210101</v>
      </c>
      <c r="AM341" s="6">
        <f t="shared" si="41"/>
        <v>94.193321244204455</v>
      </c>
      <c r="AN341" s="6">
        <f t="shared" si="41"/>
        <v>93.612664983988608</v>
      </c>
      <c r="AO341" s="6">
        <f t="shared" si="41"/>
        <v>93.022352658562596</v>
      </c>
      <c r="AP341" s="6">
        <f t="shared" si="41"/>
        <v>92.381265703596199</v>
      </c>
      <c r="AQ341" s="6">
        <f t="shared" si="41"/>
        <v>91.772248856591403</v>
      </c>
      <c r="AR341" s="6">
        <f t="shared" si="41"/>
        <v>91.153699731974854</v>
      </c>
      <c r="AS341" s="6">
        <f t="shared" si="41"/>
        <v>91.778330230981851</v>
      </c>
      <c r="AT341" s="6">
        <f t="shared" si="41"/>
        <v>92.396147293438844</v>
      </c>
      <c r="AU341" s="6">
        <f t="shared" si="41"/>
        <v>92.966942814979149</v>
      </c>
      <c r="AV341" s="6">
        <f t="shared" si="41"/>
        <v>93.571344205096054</v>
      </c>
      <c r="AW341" s="6">
        <f t="shared" si="41"/>
        <v>94.169028689195699</v>
      </c>
      <c r="AX341" s="6">
        <f t="shared" si="41"/>
        <v>93.238965892719548</v>
      </c>
      <c r="AY341" s="6">
        <f t="shared" si="41"/>
        <v>92.313349912407205</v>
      </c>
      <c r="AZ341" s="6">
        <f t="shared" si="41"/>
        <v>91.386934874094308</v>
      </c>
      <c r="BA341" s="6">
        <f t="shared" si="41"/>
        <v>90.459569204524144</v>
      </c>
    </row>
    <row r="342" spans="1:53" outlineLevel="1" x14ac:dyDescent="0.35">
      <c r="A342" s="6" t="s">
        <v>38</v>
      </c>
      <c r="B342" s="6">
        <f t="shared" si="38"/>
        <v>654.34504301961317</v>
      </c>
      <c r="AB342" s="6" t="s">
        <v>124</v>
      </c>
      <c r="AC342" s="6">
        <f>-$AC$323*$AC$324</f>
        <v>0</v>
      </c>
      <c r="AD342" s="6">
        <f t="shared" ref="AD342:BA342" si="42">-$AC$323*$AC$324</f>
        <v>0</v>
      </c>
      <c r="AE342" s="6">
        <f t="shared" si="42"/>
        <v>0</v>
      </c>
      <c r="AF342" s="6">
        <f t="shared" si="42"/>
        <v>0</v>
      </c>
      <c r="AG342" s="6">
        <f t="shared" si="42"/>
        <v>0</v>
      </c>
      <c r="AH342" s="6">
        <f t="shared" si="42"/>
        <v>0</v>
      </c>
      <c r="AI342" s="6">
        <f t="shared" si="42"/>
        <v>0</v>
      </c>
      <c r="AJ342" s="6">
        <f t="shared" si="42"/>
        <v>0</v>
      </c>
      <c r="AK342" s="6">
        <f t="shared" si="42"/>
        <v>0</v>
      </c>
      <c r="AL342" s="6">
        <f t="shared" si="42"/>
        <v>0</v>
      </c>
      <c r="AM342" s="6">
        <f t="shared" si="42"/>
        <v>0</v>
      </c>
      <c r="AN342" s="6">
        <f t="shared" si="42"/>
        <v>0</v>
      </c>
      <c r="AO342" s="6">
        <f t="shared" si="42"/>
        <v>0</v>
      </c>
      <c r="AP342" s="6">
        <f t="shared" si="42"/>
        <v>0</v>
      </c>
      <c r="AQ342" s="6">
        <f t="shared" si="42"/>
        <v>0</v>
      </c>
      <c r="AR342" s="6">
        <f t="shared" si="42"/>
        <v>0</v>
      </c>
      <c r="AS342" s="6">
        <f t="shared" si="42"/>
        <v>0</v>
      </c>
      <c r="AT342" s="6">
        <f t="shared" si="42"/>
        <v>0</v>
      </c>
      <c r="AU342" s="6">
        <f t="shared" si="42"/>
        <v>0</v>
      </c>
      <c r="AV342" s="6">
        <f t="shared" si="42"/>
        <v>0</v>
      </c>
      <c r="AW342" s="6">
        <f t="shared" si="42"/>
        <v>0</v>
      </c>
      <c r="AX342" s="6">
        <f t="shared" si="42"/>
        <v>0</v>
      </c>
      <c r="AY342" s="6">
        <f t="shared" si="42"/>
        <v>0</v>
      </c>
      <c r="AZ342" s="6">
        <f t="shared" si="42"/>
        <v>0</v>
      </c>
      <c r="BA342" s="6">
        <f t="shared" si="42"/>
        <v>0</v>
      </c>
    </row>
    <row r="343" spans="1:53" outlineLevel="1" x14ac:dyDescent="0.35">
      <c r="A343" s="6" t="s">
        <v>39</v>
      </c>
      <c r="B343" s="6">
        <f t="shared" si="38"/>
        <v>693.55879573755169</v>
      </c>
      <c r="AB343" s="23" t="s">
        <v>125</v>
      </c>
      <c r="AC343" s="17">
        <f t="shared" ref="AC343:BA343" si="43">SUM(AC334:AC342)</f>
        <v>3914.0774484809422</v>
      </c>
      <c r="AD343" s="17">
        <f t="shared" si="43"/>
        <v>870.78413604937725</v>
      </c>
      <c r="AE343" s="17">
        <f t="shared" si="43"/>
        <v>869.12455382489907</v>
      </c>
      <c r="AF343" s="17">
        <f t="shared" si="43"/>
        <v>979.96289795014968</v>
      </c>
      <c r="AG343" s="17">
        <f t="shared" si="43"/>
        <v>862.10815550193365</v>
      </c>
      <c r="AH343" s="17">
        <f t="shared" si="43"/>
        <v>860.35366747229534</v>
      </c>
      <c r="AI343" s="17">
        <f t="shared" si="43"/>
        <v>975.31282645293948</v>
      </c>
      <c r="AJ343" s="17">
        <f t="shared" si="43"/>
        <v>858.68990175379531</v>
      </c>
      <c r="AK343" s="17">
        <f t="shared" si="43"/>
        <v>855.47320670758199</v>
      </c>
      <c r="AL343" s="17">
        <f t="shared" si="43"/>
        <v>970.47370889349475</v>
      </c>
      <c r="AM343" s="17">
        <f t="shared" si="43"/>
        <v>854.03895515670172</v>
      </c>
      <c r="AN343" s="17">
        <f t="shared" si="43"/>
        <v>852.09721040103966</v>
      </c>
      <c r="AO343" s="17">
        <f t="shared" si="43"/>
        <v>965.38287877984101</v>
      </c>
      <c r="AP343" s="17">
        <f t="shared" si="43"/>
        <v>847.53329816336895</v>
      </c>
      <c r="AQ343" s="17">
        <f t="shared" si="43"/>
        <v>845.60729538799751</v>
      </c>
      <c r="AR343" s="17">
        <f t="shared" si="43"/>
        <v>957.89492348111492</v>
      </c>
      <c r="AS343" s="17">
        <f t="shared" si="43"/>
        <v>843.09278912102889</v>
      </c>
      <c r="AT343" s="17">
        <f t="shared" si="43"/>
        <v>842.51740853981505</v>
      </c>
      <c r="AU343" s="17">
        <f t="shared" si="43"/>
        <v>954.68500645401832</v>
      </c>
      <c r="AV343" s="17">
        <f t="shared" si="43"/>
        <v>840.75231855496304</v>
      </c>
      <c r="AW343" s="17">
        <f t="shared" si="43"/>
        <v>840.20128640908581</v>
      </c>
      <c r="AX343" s="17">
        <f t="shared" si="43"/>
        <v>951.84469372772071</v>
      </c>
      <c r="AY343" s="17">
        <f t="shared" si="43"/>
        <v>837.7948839556941</v>
      </c>
      <c r="AZ343" s="17">
        <f t="shared" si="43"/>
        <v>836.59838256226317</v>
      </c>
      <c r="BA343" s="17">
        <f t="shared" si="43"/>
        <v>990.46967652819967</v>
      </c>
    </row>
    <row r="344" spans="1:53" outlineLevel="1" x14ac:dyDescent="0.35">
      <c r="A344" s="6" t="s">
        <v>41</v>
      </c>
      <c r="B344" s="6">
        <f t="shared" si="38"/>
        <v>53.610983579825508</v>
      </c>
    </row>
    <row r="345" spans="1:53" outlineLevel="1" x14ac:dyDescent="0.35">
      <c r="A345" s="6" t="s">
        <v>43</v>
      </c>
      <c r="B345" s="6">
        <f t="shared" si="38"/>
        <v>73.167744204374856</v>
      </c>
      <c r="AB345" s="282"/>
      <c r="AC345" s="282"/>
      <c r="AD345" s="282"/>
      <c r="AE345" s="282"/>
      <c r="AF345" s="282"/>
      <c r="AG345" s="282"/>
      <c r="AH345" s="282"/>
      <c r="AI345" s="282"/>
      <c r="AJ345" s="282"/>
      <c r="AK345" s="282"/>
      <c r="AL345" s="282"/>
      <c r="AM345" s="282"/>
      <c r="AN345" s="282"/>
      <c r="AO345" s="282"/>
      <c r="AP345" s="282"/>
      <c r="AQ345" s="282"/>
      <c r="AR345" s="282"/>
      <c r="AS345" s="282"/>
      <c r="AT345" s="282"/>
      <c r="AU345" s="282"/>
      <c r="AV345" s="282"/>
      <c r="AW345" s="282"/>
      <c r="AX345" s="282"/>
      <c r="AY345" s="282"/>
      <c r="AZ345" s="282"/>
      <c r="BA345" s="282"/>
    </row>
    <row r="346" spans="1:53" outlineLevel="1" x14ac:dyDescent="0.35">
      <c r="A346" s="6" t="s">
        <v>44</v>
      </c>
      <c r="B346" s="6">
        <f>B62*AC325</f>
        <v>133.47248236670413</v>
      </c>
      <c r="AB346" s="282"/>
      <c r="AC346" s="282"/>
      <c r="AD346" s="282"/>
      <c r="AE346" s="282"/>
      <c r="AF346" s="282"/>
      <c r="AG346" s="282"/>
      <c r="AH346" s="282"/>
      <c r="AI346" s="282"/>
      <c r="AJ346" s="282"/>
      <c r="AK346" s="282"/>
      <c r="AL346" s="282"/>
      <c r="AM346" s="282"/>
      <c r="AN346" s="282"/>
      <c r="AO346" s="282"/>
      <c r="AP346" s="282"/>
      <c r="AQ346" s="282"/>
      <c r="AR346" s="282"/>
      <c r="AS346" s="282"/>
      <c r="AT346" s="282"/>
      <c r="AU346" s="282"/>
      <c r="AV346" s="282"/>
      <c r="AW346" s="282"/>
      <c r="AX346" s="282"/>
      <c r="AY346" s="282"/>
      <c r="AZ346" s="282"/>
      <c r="BA346" s="282"/>
    </row>
    <row r="347" spans="1:53" outlineLevel="1" x14ac:dyDescent="0.35">
      <c r="A347" s="6" t="s">
        <v>757</v>
      </c>
      <c r="B347" s="6">
        <f>B63*AC325</f>
        <v>46.77440703886257</v>
      </c>
      <c r="AB347" s="282"/>
      <c r="AC347" s="282"/>
      <c r="AD347" s="282"/>
      <c r="AE347" s="282"/>
      <c r="AF347" s="282"/>
      <c r="AG347" s="282"/>
      <c r="AH347" s="282"/>
      <c r="AI347" s="282"/>
      <c r="AJ347" s="282"/>
      <c r="AK347" s="282"/>
      <c r="AL347" s="282"/>
      <c r="AM347" s="282"/>
      <c r="AN347" s="282"/>
      <c r="AO347" s="282"/>
      <c r="AP347" s="282"/>
      <c r="AQ347" s="282"/>
      <c r="AR347" s="282"/>
      <c r="AS347" s="282"/>
      <c r="AT347" s="282"/>
      <c r="AU347" s="282"/>
      <c r="AV347" s="282"/>
      <c r="AW347" s="282"/>
      <c r="AX347" s="282"/>
      <c r="AY347" s="282"/>
      <c r="AZ347" s="282"/>
      <c r="BA347" s="282"/>
    </row>
    <row r="348" spans="1:53" outlineLevel="1" x14ac:dyDescent="0.35">
      <c r="A348" s="6" t="s">
        <v>22</v>
      </c>
      <c r="Z348" s="6">
        <f>Z64</f>
        <v>0.32233715306889849</v>
      </c>
      <c r="AB348" s="282"/>
      <c r="AC348" s="282"/>
      <c r="AD348" s="282"/>
      <c r="AE348" s="282"/>
      <c r="AF348" s="282"/>
      <c r="AG348" s="282"/>
      <c r="AH348" s="282"/>
      <c r="AI348" s="282"/>
      <c r="AJ348" s="282"/>
      <c r="AK348" s="282"/>
      <c r="AL348" s="282"/>
      <c r="AM348" s="282"/>
      <c r="AN348" s="282"/>
      <c r="AO348" s="282"/>
      <c r="AP348" s="282"/>
      <c r="AQ348" s="282"/>
      <c r="AR348" s="282"/>
      <c r="AS348" s="282"/>
      <c r="AT348" s="282"/>
      <c r="AU348" s="282"/>
      <c r="AV348" s="282"/>
      <c r="AW348" s="282"/>
      <c r="AX348" s="282"/>
      <c r="AY348" s="282"/>
      <c r="AZ348" s="282"/>
      <c r="BA348" s="282"/>
    </row>
    <row r="349" spans="1:53" outlineLevel="1" x14ac:dyDescent="0.35">
      <c r="A349" s="6" t="s">
        <v>24</v>
      </c>
      <c r="Z349" s="6">
        <f t="shared" ref="Z349:Z359" si="44">Z65</f>
        <v>0.35838182732894691</v>
      </c>
      <c r="AB349" s="282"/>
      <c r="AC349" s="282"/>
      <c r="AD349" s="282"/>
      <c r="AE349" s="282"/>
      <c r="AF349" s="282"/>
      <c r="AG349" s="282"/>
      <c r="AH349" s="282"/>
      <c r="AI349" s="282"/>
      <c r="AJ349" s="282"/>
      <c r="AK349" s="282"/>
      <c r="AL349" s="282"/>
      <c r="AM349" s="282"/>
      <c r="AN349" s="282"/>
      <c r="AO349" s="282"/>
      <c r="AP349" s="282"/>
      <c r="AQ349" s="282"/>
      <c r="AR349" s="282"/>
      <c r="AS349" s="282"/>
      <c r="AT349" s="282"/>
      <c r="AU349" s="282"/>
      <c r="AV349" s="282"/>
      <c r="AW349" s="282"/>
      <c r="AX349" s="282"/>
      <c r="AY349" s="282"/>
      <c r="AZ349" s="282"/>
      <c r="BA349" s="282"/>
    </row>
    <row r="350" spans="1:53" outlineLevel="1" x14ac:dyDescent="0.35">
      <c r="A350" s="6" t="s">
        <v>25</v>
      </c>
      <c r="Z350" s="6">
        <f t="shared" si="44"/>
        <v>1.6303359130110771</v>
      </c>
      <c r="AB350" s="282"/>
      <c r="AC350" s="282"/>
      <c r="AD350" s="282"/>
      <c r="AE350" s="282"/>
      <c r="AF350" s="282"/>
      <c r="AG350" s="282"/>
      <c r="AH350" s="282"/>
      <c r="AI350" s="282"/>
      <c r="AJ350" s="282"/>
      <c r="AK350" s="282"/>
      <c r="AL350" s="282"/>
      <c r="AM350" s="282"/>
      <c r="AN350" s="282"/>
      <c r="AO350" s="282"/>
      <c r="AP350" s="282"/>
      <c r="AQ350" s="282"/>
      <c r="AR350" s="282"/>
      <c r="AS350" s="282"/>
      <c r="AT350" s="282"/>
      <c r="AU350" s="282"/>
      <c r="AV350" s="282"/>
      <c r="AW350" s="282"/>
      <c r="AX350" s="282"/>
      <c r="AY350" s="282"/>
      <c r="AZ350" s="282"/>
      <c r="BA350" s="282"/>
    </row>
    <row r="351" spans="1:53" outlineLevel="1" x14ac:dyDescent="0.35">
      <c r="A351" s="6" t="s">
        <v>27</v>
      </c>
      <c r="Z351" s="6">
        <f t="shared" si="44"/>
        <v>0.99750299663896524</v>
      </c>
      <c r="AB351" s="282"/>
      <c r="AC351" s="282"/>
      <c r="AD351" s="282"/>
      <c r="AE351" s="282"/>
      <c r="AF351" s="282"/>
      <c r="AG351" s="282"/>
      <c r="AH351" s="282"/>
      <c r="AI351" s="282"/>
      <c r="AJ351" s="282"/>
      <c r="AK351" s="282"/>
      <c r="AL351" s="282"/>
      <c r="AM351" s="282"/>
      <c r="AN351" s="282"/>
      <c r="AO351" s="282"/>
      <c r="AP351" s="282"/>
      <c r="AQ351" s="282"/>
      <c r="AR351" s="282"/>
      <c r="AS351" s="282"/>
      <c r="AT351" s="282"/>
      <c r="AU351" s="282"/>
      <c r="AV351" s="282"/>
      <c r="AW351" s="282"/>
      <c r="AX351" s="282"/>
      <c r="AY351" s="282"/>
      <c r="AZ351" s="282"/>
      <c r="BA351" s="282"/>
    </row>
    <row r="352" spans="1:53" outlineLevel="1" x14ac:dyDescent="0.35">
      <c r="A352" s="6" t="s">
        <v>30</v>
      </c>
      <c r="Z352" s="6">
        <f t="shared" si="44"/>
        <v>0.39549334266602593</v>
      </c>
      <c r="AB352" s="282"/>
      <c r="AC352" s="282"/>
      <c r="AD352" s="282"/>
      <c r="AE352" s="282"/>
      <c r="AF352" s="282"/>
      <c r="AG352" s="282"/>
      <c r="AH352" s="282"/>
      <c r="AI352" s="282"/>
      <c r="AJ352" s="282"/>
      <c r="AK352" s="282"/>
      <c r="AL352" s="282"/>
      <c r="AM352" s="282"/>
      <c r="AN352" s="282"/>
      <c r="AO352" s="282"/>
      <c r="AP352" s="282"/>
      <c r="AQ352" s="282"/>
      <c r="AR352" s="282"/>
      <c r="AS352" s="282"/>
      <c r="AT352" s="282"/>
      <c r="AU352" s="282"/>
      <c r="AV352" s="282"/>
      <c r="AW352" s="282"/>
      <c r="AX352" s="282"/>
      <c r="AY352" s="282"/>
      <c r="AZ352" s="282"/>
      <c r="BA352" s="282"/>
    </row>
    <row r="353" spans="1:53" outlineLevel="1" x14ac:dyDescent="0.35">
      <c r="A353" s="6" t="s">
        <v>32</v>
      </c>
      <c r="Z353" s="6">
        <f t="shared" si="44"/>
        <v>0.17713632900602139</v>
      </c>
      <c r="AB353" s="282"/>
      <c r="AC353" s="282"/>
      <c r="AD353" s="282"/>
      <c r="AE353" s="282"/>
      <c r="AF353" s="282"/>
      <c r="AG353" s="282"/>
      <c r="AH353" s="282"/>
      <c r="AI353" s="282"/>
      <c r="AJ353" s="282"/>
      <c r="AK353" s="282"/>
      <c r="AL353" s="282"/>
      <c r="AM353" s="282"/>
      <c r="AN353" s="282"/>
      <c r="AO353" s="282"/>
      <c r="AP353" s="282"/>
      <c r="AQ353" s="282"/>
      <c r="AR353" s="282"/>
      <c r="AS353" s="282"/>
      <c r="AT353" s="282"/>
      <c r="AU353" s="282"/>
      <c r="AV353" s="282"/>
      <c r="AW353" s="282"/>
      <c r="AX353" s="282"/>
      <c r="AY353" s="282"/>
      <c r="AZ353" s="282"/>
      <c r="BA353" s="282"/>
    </row>
    <row r="354" spans="1:53" outlineLevel="1" x14ac:dyDescent="0.35">
      <c r="A354" s="6" t="s">
        <v>33</v>
      </c>
      <c r="Z354" s="6">
        <f t="shared" si="44"/>
        <v>0.1021911347554563</v>
      </c>
      <c r="AB354" s="282"/>
      <c r="AC354" s="282"/>
      <c r="AD354" s="282"/>
      <c r="AE354" s="282"/>
      <c r="AF354" s="282"/>
      <c r="AG354" s="282"/>
      <c r="AH354" s="282"/>
      <c r="AI354" s="282"/>
      <c r="AJ354" s="282"/>
      <c r="AK354" s="282"/>
      <c r="AL354" s="282"/>
      <c r="AM354" s="282"/>
      <c r="AN354" s="282"/>
      <c r="AO354" s="282"/>
      <c r="AP354" s="282"/>
      <c r="AQ354" s="282"/>
      <c r="AR354" s="282"/>
      <c r="AS354" s="282"/>
      <c r="AT354" s="282"/>
      <c r="AU354" s="282"/>
      <c r="AV354" s="282"/>
      <c r="AW354" s="282"/>
      <c r="AX354" s="282"/>
      <c r="AY354" s="282"/>
      <c r="AZ354" s="282"/>
      <c r="BA354" s="282"/>
    </row>
    <row r="355" spans="1:53" outlineLevel="1" x14ac:dyDescent="0.35">
      <c r="A355" s="6" t="s">
        <v>35</v>
      </c>
      <c r="Z355" s="6">
        <f t="shared" si="44"/>
        <v>0.20438226951091251</v>
      </c>
      <c r="AB355" s="282"/>
      <c r="AC355" s="282"/>
      <c r="AD355" s="282"/>
      <c r="AE355" s="282"/>
      <c r="AF355" s="282"/>
      <c r="AG355" s="282"/>
      <c r="AH355" s="282"/>
      <c r="AI355" s="282"/>
      <c r="AJ355" s="282"/>
      <c r="AK355" s="282"/>
      <c r="AL355" s="282"/>
      <c r="AM355" s="282"/>
      <c r="AN355" s="282"/>
      <c r="AO355" s="282"/>
      <c r="AP355" s="282"/>
      <c r="AQ355" s="282"/>
      <c r="AR355" s="282"/>
      <c r="AS355" s="282"/>
      <c r="AT355" s="282"/>
      <c r="AU355" s="282"/>
      <c r="AV355" s="282"/>
      <c r="AW355" s="282"/>
      <c r="AX355" s="282"/>
      <c r="AY355" s="282"/>
      <c r="AZ355" s="282"/>
      <c r="BA355" s="282"/>
    </row>
    <row r="356" spans="1:53" outlineLevel="1" x14ac:dyDescent="0.35">
      <c r="A356" s="6" t="s">
        <v>37</v>
      </c>
      <c r="Z356" s="6">
        <f t="shared" si="44"/>
        <v>3.0230501723671872</v>
      </c>
      <c r="AB356" s="282"/>
      <c r="AC356" s="282"/>
      <c r="AD356" s="282"/>
      <c r="AE356" s="282"/>
      <c r="AF356" s="282"/>
      <c r="AG356" s="282"/>
      <c r="AH356" s="282"/>
      <c r="AI356" s="282"/>
      <c r="AJ356" s="282"/>
      <c r="AK356" s="282"/>
      <c r="AL356" s="282"/>
      <c r="AM356" s="282"/>
      <c r="AN356" s="282"/>
      <c r="AO356" s="282"/>
      <c r="AP356" s="282"/>
      <c r="AQ356" s="282"/>
      <c r="AR356" s="282"/>
      <c r="AS356" s="282"/>
      <c r="AT356" s="282"/>
      <c r="AU356" s="282"/>
      <c r="AV356" s="282"/>
      <c r="AW356" s="282"/>
      <c r="AX356" s="282"/>
      <c r="AY356" s="282"/>
      <c r="AZ356" s="282"/>
      <c r="BA356" s="282"/>
    </row>
    <row r="357" spans="1:53" outlineLevel="1" x14ac:dyDescent="0.35">
      <c r="A357" s="6" t="s">
        <v>40</v>
      </c>
      <c r="Z357" s="6">
        <f t="shared" si="44"/>
        <v>1.399154055783115</v>
      </c>
    </row>
    <row r="358" spans="1:53" outlineLevel="1" x14ac:dyDescent="0.35">
      <c r="A358" s="6" t="s">
        <v>42</v>
      </c>
      <c r="Z358" s="6">
        <f t="shared" si="44"/>
        <v>3.7454886419278992</v>
      </c>
    </row>
    <row r="359" spans="1:53" outlineLevel="1" x14ac:dyDescent="0.35">
      <c r="A359" s="6" t="s">
        <v>115</v>
      </c>
      <c r="Z359" s="6">
        <f t="shared" si="44"/>
        <v>29.43867185674495</v>
      </c>
    </row>
    <row r="360" spans="1:53" outlineLevel="1" x14ac:dyDescent="0.35">
      <c r="A360" s="6" t="s">
        <v>45</v>
      </c>
      <c r="Z360" s="6">
        <f>Z76*AC325</f>
        <v>0.64814302489144726</v>
      </c>
    </row>
    <row r="361" spans="1:53" outlineLevel="1" x14ac:dyDescent="0.35">
      <c r="A361" s="6" t="s">
        <v>116</v>
      </c>
      <c r="B361" s="6">
        <f>B77</f>
        <v>117.4164153447413</v>
      </c>
      <c r="C361" s="6">
        <f t="shared" ref="C361:Z361" si="45">C77</f>
        <v>117.22450567272359</v>
      </c>
      <c r="D361" s="6">
        <f t="shared" si="45"/>
        <v>117.0302875893984</v>
      </c>
      <c r="E361" s="6">
        <f t="shared" si="45"/>
        <v>116.14482404943</v>
      </c>
      <c r="F361" s="6">
        <f t="shared" si="45"/>
        <v>115.9485520514929</v>
      </c>
      <c r="G361" s="6">
        <f t="shared" si="45"/>
        <v>115.7497578563647</v>
      </c>
      <c r="H361" s="6">
        <f t="shared" si="45"/>
        <v>115.85431461269189</v>
      </c>
      <c r="I361" s="6">
        <f t="shared" si="45"/>
        <v>115.9586781641881</v>
      </c>
      <c r="J361" s="6">
        <f t="shared" si="45"/>
        <v>115.5987692292539</v>
      </c>
      <c r="K361" s="6">
        <f t="shared" si="45"/>
        <v>115.7060268138878</v>
      </c>
      <c r="L361" s="6">
        <f t="shared" si="45"/>
        <v>115.8115094107404</v>
      </c>
      <c r="M361" s="6">
        <f t="shared" si="45"/>
        <v>115.5173498619511</v>
      </c>
      <c r="N361" s="6">
        <f t="shared" si="45"/>
        <v>115.22430296168601</v>
      </c>
      <c r="O361" s="6">
        <f t="shared" si="45"/>
        <v>114.7936526068347</v>
      </c>
      <c r="P361" s="6">
        <f t="shared" si="45"/>
        <v>114.5052775721217</v>
      </c>
      <c r="Q361" s="6">
        <f t="shared" si="45"/>
        <v>114.21787004973891</v>
      </c>
      <c r="R361" s="6">
        <f t="shared" si="45"/>
        <v>113.9841517876385</v>
      </c>
      <c r="S361" s="6">
        <f t="shared" si="45"/>
        <v>113.7508966638362</v>
      </c>
      <c r="T361" s="6">
        <f t="shared" si="45"/>
        <v>113.3881732416237</v>
      </c>
      <c r="U361" s="6">
        <f t="shared" si="45"/>
        <v>113.15789542976781</v>
      </c>
      <c r="V361" s="6">
        <f t="shared" si="45"/>
        <v>112.9279936934194</v>
      </c>
      <c r="W361" s="6">
        <f t="shared" si="45"/>
        <v>112.8508899058024</v>
      </c>
      <c r="X361" s="6">
        <f t="shared" si="45"/>
        <v>112.7745546080785</v>
      </c>
      <c r="Y361" s="6">
        <f t="shared" si="45"/>
        <v>112.6987835438154</v>
      </c>
      <c r="Z361" s="6">
        <f t="shared" si="45"/>
        <v>112.6235531268987</v>
      </c>
    </row>
    <row r="362" spans="1:53" outlineLevel="1" x14ac:dyDescent="0.35">
      <c r="A362" s="6" t="s">
        <v>758</v>
      </c>
      <c r="B362" s="6">
        <f>B78*$AC$325</f>
        <v>100.32214006695087</v>
      </c>
      <c r="C362" s="6">
        <f t="shared" ref="C362:Z363" si="46">C78*$AC$325</f>
        <v>99.444935513505854</v>
      </c>
      <c r="D362" s="6">
        <f t="shared" si="46"/>
        <v>98.570917170634857</v>
      </c>
      <c r="E362" s="6">
        <f t="shared" si="46"/>
        <v>97.49795917955575</v>
      </c>
      <c r="F362" s="6">
        <f t="shared" si="46"/>
        <v>96.631207226485301</v>
      </c>
      <c r="G362" s="6">
        <f t="shared" si="46"/>
        <v>95.767450092118594</v>
      </c>
      <c r="H362" s="6">
        <f t="shared" si="46"/>
        <v>95.498787465897649</v>
      </c>
      <c r="I362" s="6">
        <f t="shared" si="46"/>
        <v>95.22587075926765</v>
      </c>
      <c r="J362" s="6">
        <f t="shared" si="46"/>
        <v>94.776421108909943</v>
      </c>
      <c r="K362" s="6">
        <f t="shared" si="46"/>
        <v>94.488351336210101</v>
      </c>
      <c r="L362" s="6">
        <f t="shared" si="46"/>
        <v>94.193321244204455</v>
      </c>
      <c r="M362" s="6">
        <f t="shared" si="46"/>
        <v>93.612664983988608</v>
      </c>
      <c r="N362" s="6">
        <f t="shared" si="46"/>
        <v>93.022352658562596</v>
      </c>
      <c r="O362" s="6">
        <f t="shared" si="46"/>
        <v>92.381265703596199</v>
      </c>
      <c r="P362" s="6">
        <f t="shared" si="46"/>
        <v>91.772248856591403</v>
      </c>
      <c r="Q362" s="6">
        <f t="shared" si="46"/>
        <v>91.153699731974854</v>
      </c>
      <c r="R362" s="6">
        <f t="shared" si="46"/>
        <v>91.778330230981851</v>
      </c>
      <c r="S362" s="6">
        <f t="shared" si="46"/>
        <v>92.396147293438844</v>
      </c>
      <c r="T362" s="6">
        <f t="shared" si="46"/>
        <v>92.966942814979149</v>
      </c>
      <c r="U362" s="6">
        <f t="shared" si="46"/>
        <v>93.571344205096054</v>
      </c>
      <c r="V362" s="6">
        <f t="shared" si="46"/>
        <v>94.169028689195699</v>
      </c>
      <c r="W362" s="6">
        <f t="shared" si="46"/>
        <v>93.238965892719548</v>
      </c>
      <c r="X362" s="6">
        <f t="shared" si="46"/>
        <v>92.313349912407205</v>
      </c>
      <c r="Y362" s="6">
        <f t="shared" si="46"/>
        <v>91.386934874094308</v>
      </c>
      <c r="Z362" s="6">
        <f t="shared" si="46"/>
        <v>90.459569204524144</v>
      </c>
    </row>
    <row r="363" spans="1:53" outlineLevel="1" x14ac:dyDescent="0.35">
      <c r="A363" s="6" t="s">
        <v>759</v>
      </c>
      <c r="B363" s="6">
        <f>B79*$AC$325</f>
        <v>0</v>
      </c>
      <c r="C363" s="6">
        <f t="shared" si="46"/>
        <v>0</v>
      </c>
      <c r="D363" s="6">
        <f t="shared" si="46"/>
        <v>0</v>
      </c>
      <c r="E363" s="6">
        <f t="shared" si="46"/>
        <v>0</v>
      </c>
      <c r="F363" s="6">
        <f t="shared" si="46"/>
        <v>0</v>
      </c>
      <c r="G363" s="6">
        <f t="shared" si="46"/>
        <v>0</v>
      </c>
      <c r="H363" s="6">
        <f t="shared" si="46"/>
        <v>0</v>
      </c>
      <c r="I363" s="6">
        <f t="shared" si="46"/>
        <v>0</v>
      </c>
      <c r="J363" s="6">
        <f t="shared" si="46"/>
        <v>0</v>
      </c>
      <c r="K363" s="6">
        <f t="shared" si="46"/>
        <v>0</v>
      </c>
      <c r="L363" s="6">
        <f t="shared" si="46"/>
        <v>0</v>
      </c>
      <c r="M363" s="6">
        <f t="shared" si="46"/>
        <v>0</v>
      </c>
      <c r="N363" s="6">
        <f t="shared" si="46"/>
        <v>0</v>
      </c>
      <c r="O363" s="6">
        <f t="shared" si="46"/>
        <v>0</v>
      </c>
      <c r="P363" s="6">
        <f t="shared" si="46"/>
        <v>0</v>
      </c>
      <c r="Q363" s="6">
        <f t="shared" si="46"/>
        <v>0</v>
      </c>
      <c r="R363" s="6">
        <f t="shared" si="46"/>
        <v>0</v>
      </c>
      <c r="S363" s="6">
        <f t="shared" si="46"/>
        <v>0</v>
      </c>
      <c r="T363" s="6">
        <f t="shared" si="46"/>
        <v>0</v>
      </c>
      <c r="U363" s="6">
        <f t="shared" si="46"/>
        <v>0</v>
      </c>
      <c r="V363" s="6">
        <f t="shared" si="46"/>
        <v>0</v>
      </c>
      <c r="W363" s="6">
        <f t="shared" si="46"/>
        <v>0</v>
      </c>
      <c r="X363" s="6">
        <f t="shared" si="46"/>
        <v>0</v>
      </c>
      <c r="Y363" s="6">
        <f t="shared" si="46"/>
        <v>0</v>
      </c>
      <c r="Z363" s="6">
        <f t="shared" si="46"/>
        <v>0</v>
      </c>
    </row>
    <row r="364" spans="1:53" outlineLevel="1" x14ac:dyDescent="0.35">
      <c r="A364" s="6" t="s">
        <v>760</v>
      </c>
      <c r="B364" s="6">
        <f>$B$252*50*'Results - raw data ReCiPe (H)'!BC121/(1-$AC$330)*(1+'Results ReCiPe (H) - HHD'!$AC$271/'Results ReCiPe (H) - HHD'!$AC$272-'Results ReCiPe (H) - HHD'!$AC$271)</f>
        <v>354.4648899632698</v>
      </c>
      <c r="C364" s="6">
        <f>$B$252*50*'Results - raw data ReCiPe (H)'!BD121/(1-$AC$330)*(1+'Results ReCiPe (H) - HHD'!$AC$271/'Results ReCiPe (H) - HHD'!$AC$272-'Results ReCiPe (H) - HHD'!$AC$271)</f>
        <v>353.71478819889768</v>
      </c>
      <c r="D364" s="6">
        <f>$B$252*50*'Results - raw data ReCiPe (H)'!BE121/(1-$AC$330)*(1+'Results ReCiPe (H) - HHD'!$AC$271/'Results ReCiPe (H) - HHD'!$AC$272-'Results ReCiPe (H) - HHD'!$AC$271)</f>
        <v>352.92922431729039</v>
      </c>
      <c r="E364" s="6">
        <f>$B$252*50*'Results - raw data ReCiPe (H)'!BF121/(1-$AC$330)*(1+'Results ReCiPe (H) - HHD'!$AC$271/'Results ReCiPe (H) - HHD'!$AC$272-'Results ReCiPe (H) - HHD'!$AC$271)</f>
        <v>348.6957023841901</v>
      </c>
      <c r="F364" s="6">
        <f>$B$252*50*'Results - raw data ReCiPe (H)'!BG121/(1-$AC$330)*(1+'Results ReCiPe (H) - HHD'!$AC$271/'Results ReCiPe (H) - HHD'!$AC$272-'Results ReCiPe (H) - HHD'!$AC$271)</f>
        <v>347.85253593847449</v>
      </c>
      <c r="G364" s="6">
        <f>$B$252*50*'Results - raw data ReCiPe (H)'!BH121/(1-$AC$330)*(1+'Results ReCiPe (H) - HHD'!$AC$271/'Results ReCiPe (H) - HHD'!$AC$272-'Results ReCiPe (H) - HHD'!$AC$271)</f>
        <v>346.96180504320296</v>
      </c>
      <c r="H364" s="6">
        <f>$B$252*50*'Results - raw data ReCiPe (H)'!BI121/(1-$AC$330)*(1+'Results ReCiPe (H) - HHD'!$AC$271/'Results ReCiPe (H) - HHD'!$AC$272-'Results ReCiPe (H) - HHD'!$AC$271)</f>
        <v>346.33531203737613</v>
      </c>
      <c r="I364" s="6">
        <f>$B$252*50*'Results - raw data ReCiPe (H)'!BJ121/(1-$AC$330)*(1+'Results ReCiPe (H) - HHD'!$AC$271/'Results ReCiPe (H) - HHD'!$AC$272-'Results ReCiPe (H) - HHD'!$AC$271)</f>
        <v>345.83961865755384</v>
      </c>
      <c r="J364" s="6">
        <f>$B$252*50*'Results - raw data ReCiPe (H)'!BK121/(1-$AC$330)*(1+'Results ReCiPe (H) - HHD'!$AC$271/'Results ReCiPe (H) - HHD'!$AC$272-'Results ReCiPe (H) - HHD'!$AC$271)</f>
        <v>343.07237326169815</v>
      </c>
      <c r="K364" s="6">
        <f>$B$252*50*'Results - raw data ReCiPe (H)'!BL121/(1-$AC$330)*(1+'Results ReCiPe (H) - HHD'!$AC$271/'Results ReCiPe (H) - HHD'!$AC$272-'Results ReCiPe (H) - HHD'!$AC$271)</f>
        <v>342.65491840642301</v>
      </c>
      <c r="L364" s="6">
        <f>$B$252*50*'Results - raw data ReCiPe (H)'!BM121/(1-$AC$330)*(1+'Results ReCiPe (H) - HHD'!$AC$271/'Results ReCiPe (H) - HHD'!$AC$272-'Results ReCiPe (H) - HHD'!$AC$271)</f>
        <v>342.22122157552343</v>
      </c>
      <c r="M364" s="6">
        <f>$B$252*50*'Results - raw data ReCiPe (H)'!BN121/(1-$AC$330)*(1+'Results ReCiPe (H) - HHD'!$AC$271/'Results ReCiPe (H) - HHD'!$AC$272-'Results ReCiPe (H) - HHD'!$AC$271)</f>
        <v>340.86013308007722</v>
      </c>
      <c r="N364" s="6">
        <f>$B$252*50*'Results - raw data ReCiPe (H)'!BO121/(1-$AC$330)*(1+'Results ReCiPe (H) - HHD'!$AC$271/'Results ReCiPe (H) - HHD'!$AC$272-'Results ReCiPe (H) - HHD'!$AC$271)</f>
        <v>339.5118108226186</v>
      </c>
      <c r="O364" s="6">
        <f>$B$252*50*'Results - raw data ReCiPe (H)'!BP121/(1-$AC$330)*(1+'Results ReCiPe (H) - HHD'!$AC$271/'Results ReCiPe (H) - HHD'!$AC$272-'Results ReCiPe (H) - HHD'!$AC$271)</f>
        <v>337.52762012279896</v>
      </c>
      <c r="P364" s="6">
        <f>$B$252*50*'Results - raw data ReCiPe (H)'!BQ121/(1-$AC$330)*(1+'Results ReCiPe (H) - HHD'!$AC$271/'Results ReCiPe (H) - HHD'!$AC$272-'Results ReCiPe (H) - HHD'!$AC$271)</f>
        <v>336.2106341944322</v>
      </c>
      <c r="Q364" s="6">
        <f>$B$252*50*'Results - raw data ReCiPe (H)'!BR121/(1-$AC$330)*(1+'Results ReCiPe (H) - HHD'!$AC$271/'Results ReCiPe (H) - HHD'!$AC$272-'Results ReCiPe (H) - HHD'!$AC$271)</f>
        <v>334.89894136242748</v>
      </c>
      <c r="R364" s="6">
        <f>$B$252*50*'Results - raw data ReCiPe (H)'!BS121/(1-$AC$330)*(1+'Results ReCiPe (H) - HHD'!$AC$271/'Results ReCiPe (H) - HHD'!$AC$272-'Results ReCiPe (H) - HHD'!$AC$271)</f>
        <v>333.69004655307322</v>
      </c>
      <c r="S364" s="6">
        <f>$B$252*50*'Results - raw data ReCiPe (H)'!BT121/(1-$AC$330)*(1+'Results ReCiPe (H) - HHD'!$AC$271/'Results ReCiPe (H) - HHD'!$AC$272-'Results ReCiPe (H) - HHD'!$AC$271)</f>
        <v>332.49684890940244</v>
      </c>
      <c r="T364" s="6">
        <f>$B$252*50*'Results - raw data ReCiPe (H)'!BU121/(1-$AC$330)*(1+'Results ReCiPe (H) - HHD'!$AC$271/'Results ReCiPe (H) - HHD'!$AC$272-'Results ReCiPe (H) - HHD'!$AC$271)</f>
        <v>330.70547806044175</v>
      </c>
      <c r="U364" s="6">
        <f>$B$252*50*'Results - raw data ReCiPe (H)'!BV121/(1-$AC$330)*(1+'Results ReCiPe (H) - HHD'!$AC$271/'Results ReCiPe (H) - HHD'!$AC$272-'Results ReCiPe (H) - HHD'!$AC$271)</f>
        <v>329.55656201289327</v>
      </c>
      <c r="V364" s="6">
        <f>$B$252*50*'Results - raw data ReCiPe (H)'!BW121/(1-$AC$330)*(1+'Results ReCiPe (H) - HHD'!$AC$271/'Results ReCiPe (H) - HHD'!$AC$272-'Results ReCiPe (H) - HHD'!$AC$271)</f>
        <v>328.40784538291626</v>
      </c>
      <c r="W364" s="6">
        <f>$B$252*50*'Results - raw data ReCiPe (H)'!BX121/(1-$AC$330)*(1+'Results ReCiPe (H) - HHD'!$AC$271/'Results ReCiPe (H) - HHD'!$AC$272-'Results ReCiPe (H) - HHD'!$AC$271)</f>
        <v>328.13042559222492</v>
      </c>
      <c r="X364" s="6">
        <f>$B$252*50*'Results - raw data ReCiPe (H)'!BY121/(1-$AC$330)*(1+'Results ReCiPe (H) - HHD'!$AC$271/'Results ReCiPe (H) - HHD'!$AC$272-'Results ReCiPe (H) - HHD'!$AC$271)</f>
        <v>327.85712170631302</v>
      </c>
      <c r="Y364" s="6">
        <f>$B$252*50*'Results - raw data ReCiPe (H)'!BZ121/(1-$AC$330)*(1+'Results ReCiPe (H) - HHD'!$AC$271/'Results ReCiPe (H) - HHD'!$AC$272-'Results ReCiPe (H) - HHD'!$AC$271)</f>
        <v>327.58703535119508</v>
      </c>
      <c r="Z364" s="6">
        <f>$B$252*50*'Results - raw data ReCiPe (H)'!CA121/(1-$AC$330)*(1+'Results ReCiPe (H) - HHD'!$AC$271/'Results ReCiPe (H) - HHD'!$AC$272-'Results ReCiPe (H) - HHD'!$AC$271)</f>
        <v>327.31987314210204</v>
      </c>
    </row>
    <row r="365" spans="1:53" outlineLevel="1" x14ac:dyDescent="0.35">
      <c r="A365" s="6" t="s">
        <v>797</v>
      </c>
      <c r="B365" s="6">
        <f>$B$320*$AC$324</f>
        <v>417.62441233697382</v>
      </c>
      <c r="C365" s="6">
        <f t="shared" ref="C365:Z365" si="47">$B$320*$AC$324</f>
        <v>417.62441233697382</v>
      </c>
      <c r="D365" s="6">
        <f t="shared" si="47"/>
        <v>417.62441233697382</v>
      </c>
      <c r="E365" s="6">
        <f t="shared" si="47"/>
        <v>417.62441233697382</v>
      </c>
      <c r="F365" s="6">
        <f t="shared" si="47"/>
        <v>417.62441233697382</v>
      </c>
      <c r="G365" s="6">
        <f t="shared" si="47"/>
        <v>417.62441233697382</v>
      </c>
      <c r="H365" s="6">
        <f t="shared" si="47"/>
        <v>417.62441233697382</v>
      </c>
      <c r="I365" s="6">
        <f t="shared" si="47"/>
        <v>417.62441233697382</v>
      </c>
      <c r="J365" s="6">
        <f t="shared" si="47"/>
        <v>417.62441233697382</v>
      </c>
      <c r="K365" s="6">
        <f t="shared" si="47"/>
        <v>417.62441233697382</v>
      </c>
      <c r="L365" s="6">
        <f t="shared" si="47"/>
        <v>417.62441233697382</v>
      </c>
      <c r="M365" s="6">
        <f t="shared" si="47"/>
        <v>417.62441233697382</v>
      </c>
      <c r="N365" s="6">
        <f t="shared" si="47"/>
        <v>417.62441233697382</v>
      </c>
      <c r="O365" s="6">
        <f t="shared" si="47"/>
        <v>417.62441233697382</v>
      </c>
      <c r="P365" s="6">
        <f t="shared" si="47"/>
        <v>417.62441233697382</v>
      </c>
      <c r="Q365" s="6">
        <f t="shared" si="47"/>
        <v>417.62441233697382</v>
      </c>
      <c r="R365" s="6">
        <f t="shared" si="47"/>
        <v>417.62441233697382</v>
      </c>
      <c r="S365" s="6">
        <f t="shared" si="47"/>
        <v>417.62441233697382</v>
      </c>
      <c r="T365" s="6">
        <f t="shared" si="47"/>
        <v>417.62441233697382</v>
      </c>
      <c r="U365" s="6">
        <f t="shared" si="47"/>
        <v>417.62441233697382</v>
      </c>
      <c r="V365" s="6">
        <f t="shared" si="47"/>
        <v>417.62441233697382</v>
      </c>
      <c r="W365" s="6">
        <f t="shared" si="47"/>
        <v>417.62441233697382</v>
      </c>
      <c r="X365" s="6">
        <f t="shared" si="47"/>
        <v>417.62441233697382</v>
      </c>
      <c r="Y365" s="6">
        <f t="shared" si="47"/>
        <v>417.62441233697382</v>
      </c>
      <c r="Z365" s="6">
        <f t="shared" si="47"/>
        <v>417.62441233697382</v>
      </c>
    </row>
    <row r="366" spans="1:53" outlineLevel="1" x14ac:dyDescent="0.35">
      <c r="A366" s="23" t="s">
        <v>125</v>
      </c>
      <c r="B366" s="17">
        <f>SUM(B334:B364)</f>
        <v>3496.4530361439683</v>
      </c>
      <c r="C366" s="17">
        <f t="shared" ref="C366:Z366" si="48">SUM(C334:C364)</f>
        <v>570.38422938512713</v>
      </c>
      <c r="D366" s="17">
        <f t="shared" si="48"/>
        <v>568.53042907732367</v>
      </c>
      <c r="E366" s="17">
        <f t="shared" si="48"/>
        <v>562.33848561317586</v>
      </c>
      <c r="F366" s="17">
        <f t="shared" si="48"/>
        <v>560.43229521645276</v>
      </c>
      <c r="G366" s="17">
        <f t="shared" si="48"/>
        <v>558.4790129916862</v>
      </c>
      <c r="H366" s="17">
        <f t="shared" si="48"/>
        <v>557.68841411596566</v>
      </c>
      <c r="I366" s="17">
        <f t="shared" si="48"/>
        <v>557.02416758100958</v>
      </c>
      <c r="J366" s="17">
        <f t="shared" si="48"/>
        <v>553.44756359986195</v>
      </c>
      <c r="K366" s="17">
        <f t="shared" si="48"/>
        <v>552.84929655652093</v>
      </c>
      <c r="L366" s="17">
        <f t="shared" si="48"/>
        <v>552.22605223046821</v>
      </c>
      <c r="M366" s="17">
        <f t="shared" si="48"/>
        <v>549.9901479260169</v>
      </c>
      <c r="N366" s="17">
        <f t="shared" si="48"/>
        <v>547.75846644286719</v>
      </c>
      <c r="O366" s="17">
        <f t="shared" si="48"/>
        <v>544.70253843322985</v>
      </c>
      <c r="P366" s="17">
        <f t="shared" si="48"/>
        <v>542.48816062314529</v>
      </c>
      <c r="Q366" s="17">
        <f t="shared" si="48"/>
        <v>540.27051114414121</v>
      </c>
      <c r="R366" s="17">
        <f t="shared" si="48"/>
        <v>539.45252857169362</v>
      </c>
      <c r="S366" s="17">
        <f t="shared" si="48"/>
        <v>538.64389286667756</v>
      </c>
      <c r="T366" s="17">
        <f t="shared" si="48"/>
        <v>537.06059411704462</v>
      </c>
      <c r="U366" s="17">
        <f t="shared" si="48"/>
        <v>536.28580164775713</v>
      </c>
      <c r="V366" s="17">
        <f t="shared" si="48"/>
        <v>535.50486776553134</v>
      </c>
      <c r="W366" s="17">
        <f t="shared" si="48"/>
        <v>534.22028139074689</v>
      </c>
      <c r="X366" s="17">
        <f t="shared" si="48"/>
        <v>532.94502622679875</v>
      </c>
      <c r="Y366" s="17">
        <f t="shared" si="48"/>
        <v>531.67275376910482</v>
      </c>
      <c r="Z366" s="17">
        <f t="shared" si="48"/>
        <v>572.84526419122585</v>
      </c>
    </row>
    <row r="367" spans="1:53" outlineLevel="1" x14ac:dyDescent="0.35"/>
    <row r="368" spans="1:53" s="18" customFormat="1" ht="21" x14ac:dyDescent="0.5">
      <c r="A368" s="18" t="s">
        <v>94</v>
      </c>
    </row>
    <row r="369" spans="1:31" s="20" customFormat="1" outlineLevel="1" x14ac:dyDescent="0.35">
      <c r="A369" s="19" t="s">
        <v>788</v>
      </c>
    </row>
    <row r="370" spans="1:31" s="20" customFormat="1" outlineLevel="1" x14ac:dyDescent="0.35">
      <c r="A370" s="273" t="s">
        <v>775</v>
      </c>
      <c r="B370" s="20">
        <v>1</v>
      </c>
      <c r="C370" s="274" t="s">
        <v>787</v>
      </c>
    </row>
    <row r="371" spans="1:31" s="20" customFormat="1" outlineLevel="1" x14ac:dyDescent="0.35">
      <c r="A371" s="273" t="s">
        <v>781</v>
      </c>
      <c r="B371" s="20">
        <v>100000</v>
      </c>
      <c r="C371" s="20" t="s">
        <v>782</v>
      </c>
      <c r="E371" s="274"/>
    </row>
    <row r="372" spans="1:31" s="20" customFormat="1" outlineLevel="1" x14ac:dyDescent="0.35">
      <c r="A372" s="273" t="s">
        <v>783</v>
      </c>
      <c r="B372" s="20">
        <v>1500</v>
      </c>
      <c r="C372" s="20" t="s">
        <v>592</v>
      </c>
    </row>
    <row r="373" spans="1:31" s="20" customFormat="1" outlineLevel="1" x14ac:dyDescent="0.35">
      <c r="A373" s="273" t="s">
        <v>784</v>
      </c>
      <c r="B373" s="20">
        <v>8760</v>
      </c>
      <c r="C373" s="20" t="s">
        <v>785</v>
      </c>
    </row>
    <row r="374" spans="1:31" s="20" customFormat="1" outlineLevel="1" x14ac:dyDescent="0.35">
      <c r="A374" s="273"/>
    </row>
    <row r="375" spans="1:31" s="20" customFormat="1" outlineLevel="1" x14ac:dyDescent="0.35">
      <c r="A375" s="275" t="s">
        <v>786</v>
      </c>
      <c r="B375" s="275">
        <f>(B371*B372)/(B373*B370)</f>
        <v>17123.287671232876</v>
      </c>
      <c r="C375" s="275" t="s">
        <v>749</v>
      </c>
    </row>
    <row r="376" spans="1:31" s="20" customFormat="1" outlineLevel="1" x14ac:dyDescent="0.35">
      <c r="A376" s="19"/>
    </row>
    <row r="377" spans="1:31" s="20" customFormat="1" outlineLevel="1" x14ac:dyDescent="0.35">
      <c r="A377" s="19" t="s">
        <v>793</v>
      </c>
    </row>
    <row r="378" spans="1:31" s="20" customFormat="1" outlineLevel="1" x14ac:dyDescent="0.35">
      <c r="A378" s="273" t="s">
        <v>789</v>
      </c>
      <c r="B378" s="20">
        <f>SUM('Results - raw data ReCiPe (H)'!BC156:BC157)+'Results - raw data ReCiPe (H)'!BC160+SUM('Results - raw data ReCiPe (H)'!BC158:BC159)*AC387</f>
        <v>76.138875957866304</v>
      </c>
      <c r="C378" s="20" t="s">
        <v>902</v>
      </c>
    </row>
    <row r="379" spans="1:31" s="20" customFormat="1" outlineLevel="1" x14ac:dyDescent="0.35">
      <c r="A379" s="20" t="s">
        <v>792</v>
      </c>
      <c r="B379" s="20">
        <f>B371*AC385</f>
        <v>50000</v>
      </c>
      <c r="C379" s="274" t="s">
        <v>795</v>
      </c>
    </row>
    <row r="380" spans="1:31" s="20" customFormat="1" outlineLevel="1" x14ac:dyDescent="0.35">
      <c r="A380" s="20" t="s">
        <v>791</v>
      </c>
      <c r="B380" s="20">
        <f>(B378*AC387*B375)/(B379*AC386)*(AC386/AC388)</f>
        <v>7.8224872559451688</v>
      </c>
      <c r="C380" s="20" t="s">
        <v>903</v>
      </c>
      <c r="E380" s="274" t="s">
        <v>796</v>
      </c>
    </row>
    <row r="381" spans="1:31" s="20" customFormat="1" outlineLevel="1" x14ac:dyDescent="0.35">
      <c r="A381" s="19"/>
    </row>
    <row r="382" spans="1:31" s="16" customFormat="1" outlineLevel="1" x14ac:dyDescent="0.35">
      <c r="A382" s="21"/>
      <c r="AE382" s="15"/>
    </row>
    <row r="383" spans="1:31" s="16" customFormat="1" outlineLevel="1" x14ac:dyDescent="0.35">
      <c r="A383" s="22" t="s">
        <v>761</v>
      </c>
    </row>
    <row r="384" spans="1:31" s="16" customFormat="1" outlineLevel="1" x14ac:dyDescent="0.35">
      <c r="A384" s="22"/>
      <c r="AB384" s="16" t="s">
        <v>127</v>
      </c>
      <c r="AC384" s="16">
        <f>100*AC385</f>
        <v>50</v>
      </c>
      <c r="AD384" s="16" t="s">
        <v>128</v>
      </c>
    </row>
    <row r="385" spans="1:53" s="16" customFormat="1" outlineLevel="1" x14ac:dyDescent="0.35">
      <c r="A385" s="230"/>
      <c r="AB385" s="16" t="s">
        <v>776</v>
      </c>
      <c r="AC385" s="16">
        <v>0.5</v>
      </c>
    </row>
    <row r="386" spans="1:53" s="16" customFormat="1" outlineLevel="1" x14ac:dyDescent="0.35">
      <c r="A386" s="21"/>
      <c r="AB386" s="16" t="s">
        <v>129</v>
      </c>
      <c r="AC386" s="16">
        <v>25</v>
      </c>
      <c r="AD386" s="16" t="s">
        <v>130</v>
      </c>
    </row>
    <row r="387" spans="1:53" s="16" customFormat="1" outlineLevel="1" x14ac:dyDescent="0.35">
      <c r="A387" s="21"/>
      <c r="AB387" s="16" t="s">
        <v>777</v>
      </c>
      <c r="AC387" s="16">
        <v>6</v>
      </c>
      <c r="AD387" s="16" t="s">
        <v>779</v>
      </c>
    </row>
    <row r="388" spans="1:53" s="16" customFormat="1" outlineLevel="1" x14ac:dyDescent="0.35">
      <c r="A388" s="21"/>
      <c r="AB388" s="16" t="s">
        <v>778</v>
      </c>
      <c r="AC388" s="16">
        <v>20</v>
      </c>
      <c r="AD388" s="16" t="s">
        <v>130</v>
      </c>
    </row>
    <row r="389" spans="1:53" s="16" customFormat="1" outlineLevel="1" x14ac:dyDescent="0.35">
      <c r="AB389" s="16" t="s">
        <v>780</v>
      </c>
      <c r="AC389" s="16">
        <f>B375</f>
        <v>17123.287671232876</v>
      </c>
      <c r="AD389" s="16" t="s">
        <v>749</v>
      </c>
    </row>
    <row r="390" spans="1:53" s="16" customFormat="1" outlineLevel="1" x14ac:dyDescent="0.35">
      <c r="AB390" s="16" t="s">
        <v>820</v>
      </c>
      <c r="AC390" s="16">
        <v>0.5</v>
      </c>
    </row>
    <row r="391" spans="1:53" s="16" customFormat="1" outlineLevel="1" x14ac:dyDescent="0.35">
      <c r="AB391" s="16" t="s">
        <v>798</v>
      </c>
      <c r="AC391" s="16">
        <v>0.25</v>
      </c>
    </row>
    <row r="392" spans="1:53" s="16" customFormat="1" outlineLevel="1" x14ac:dyDescent="0.35">
      <c r="A392" s="22"/>
      <c r="AB392" s="16" t="s">
        <v>799</v>
      </c>
      <c r="AC392" s="16">
        <v>0.9</v>
      </c>
    </row>
    <row r="393" spans="1:53" s="16" customFormat="1" outlineLevel="1" x14ac:dyDescent="0.35">
      <c r="A393" s="22"/>
    </row>
    <row r="394" spans="1:53" outlineLevel="1" x14ac:dyDescent="0.35">
      <c r="B394" s="25">
        <v>2030</v>
      </c>
      <c r="C394" s="25">
        <v>2031</v>
      </c>
      <c r="D394" s="25">
        <v>2032</v>
      </c>
      <c r="E394" s="25">
        <v>2033</v>
      </c>
      <c r="F394" s="25">
        <v>2034</v>
      </c>
      <c r="G394" s="25">
        <v>2035</v>
      </c>
      <c r="H394" s="25">
        <v>2036</v>
      </c>
      <c r="I394" s="25">
        <v>2037</v>
      </c>
      <c r="J394" s="25">
        <v>2038</v>
      </c>
      <c r="K394" s="25">
        <v>2039</v>
      </c>
      <c r="L394" s="25">
        <v>2040</v>
      </c>
      <c r="M394" s="25">
        <v>2041</v>
      </c>
      <c r="N394" s="25">
        <v>2042</v>
      </c>
      <c r="O394" s="25">
        <v>2043</v>
      </c>
      <c r="P394" s="25">
        <v>2044</v>
      </c>
      <c r="Q394" s="25">
        <v>2045</v>
      </c>
      <c r="R394" s="25">
        <v>2046</v>
      </c>
      <c r="S394" s="25">
        <v>2047</v>
      </c>
      <c r="T394" s="25">
        <v>2048</v>
      </c>
      <c r="U394" s="25">
        <v>2049</v>
      </c>
      <c r="V394" s="25">
        <v>2050</v>
      </c>
      <c r="W394" s="25">
        <v>2051</v>
      </c>
      <c r="X394" s="25">
        <v>2052</v>
      </c>
      <c r="Y394" s="25">
        <v>2053</v>
      </c>
      <c r="Z394" s="25">
        <v>2054</v>
      </c>
      <c r="AC394" s="25">
        <v>2030</v>
      </c>
      <c r="AD394" s="25">
        <v>2031</v>
      </c>
      <c r="AE394" s="25">
        <v>2032</v>
      </c>
      <c r="AF394" s="25">
        <v>2033</v>
      </c>
      <c r="AG394" s="25">
        <v>2034</v>
      </c>
      <c r="AH394" s="25">
        <v>2035</v>
      </c>
      <c r="AI394" s="25">
        <v>2036</v>
      </c>
      <c r="AJ394" s="25">
        <v>2037</v>
      </c>
      <c r="AK394" s="25">
        <v>2038</v>
      </c>
      <c r="AL394" s="25">
        <v>2039</v>
      </c>
      <c r="AM394" s="25">
        <v>2040</v>
      </c>
      <c r="AN394" s="25">
        <v>2041</v>
      </c>
      <c r="AO394" s="25">
        <v>2042</v>
      </c>
      <c r="AP394" s="25">
        <v>2043</v>
      </c>
      <c r="AQ394" s="25">
        <v>2044</v>
      </c>
      <c r="AR394" s="25">
        <v>2045</v>
      </c>
      <c r="AS394" s="25">
        <v>2046</v>
      </c>
      <c r="AT394" s="25">
        <v>2047</v>
      </c>
      <c r="AU394" s="25">
        <v>2048</v>
      </c>
      <c r="AV394" s="25">
        <v>2049</v>
      </c>
      <c r="AW394" s="25">
        <v>2050</v>
      </c>
      <c r="AX394" s="25">
        <v>2051</v>
      </c>
      <c r="AY394" s="25">
        <v>2052</v>
      </c>
      <c r="AZ394" s="25">
        <v>2053</v>
      </c>
      <c r="BA394" s="25">
        <v>2054</v>
      </c>
    </row>
    <row r="395" spans="1:53" outlineLevel="1" x14ac:dyDescent="0.35">
      <c r="A395" s="6" t="s">
        <v>21</v>
      </c>
      <c r="B395" s="6">
        <f>B90</f>
        <v>71.38267553879804</v>
      </c>
      <c r="AB395" s="6" t="s">
        <v>117</v>
      </c>
      <c r="AC395" s="6">
        <f>SUM(B395:B406)+B408</f>
        <v>2636.5958501448285</v>
      </c>
    </row>
    <row r="396" spans="1:53" outlineLevel="1" x14ac:dyDescent="0.35">
      <c r="A396" s="6" t="s">
        <v>23</v>
      </c>
      <c r="B396" s="6">
        <f t="shared" ref="B396:B406" si="49">B91</f>
        <v>309.39379081190958</v>
      </c>
      <c r="AB396" s="6" t="s">
        <v>118</v>
      </c>
      <c r="AC396" s="6">
        <f>B407</f>
        <v>129.44404120316349</v>
      </c>
    </row>
    <row r="397" spans="1:53" outlineLevel="1" x14ac:dyDescent="0.35">
      <c r="A397" s="6" t="s">
        <v>26</v>
      </c>
      <c r="B397" s="6">
        <f t="shared" si="49"/>
        <v>304.2681794288975</v>
      </c>
      <c r="AB397" s="6" t="s">
        <v>119</v>
      </c>
      <c r="BA397" s="6">
        <f>SUM(Z409:Z420)</f>
        <v>38.789621318581062</v>
      </c>
    </row>
    <row r="398" spans="1:53" outlineLevel="1" x14ac:dyDescent="0.35">
      <c r="A398" s="6" t="s">
        <v>28</v>
      </c>
      <c r="B398" s="6">
        <f t="shared" si="49"/>
        <v>232.33757803762921</v>
      </c>
      <c r="AB398" s="6" t="s">
        <v>120</v>
      </c>
      <c r="BA398" s="6">
        <f>Z421</f>
        <v>0.61440305403541018</v>
      </c>
    </row>
    <row r="399" spans="1:53" outlineLevel="1" x14ac:dyDescent="0.35">
      <c r="A399" s="6" t="s">
        <v>29</v>
      </c>
      <c r="B399" s="6">
        <f t="shared" si="49"/>
        <v>112.28629490364889</v>
      </c>
      <c r="AB399" s="6" t="s">
        <v>121</v>
      </c>
      <c r="AC399" s="6">
        <f>B422</f>
        <v>114.06781731957111</v>
      </c>
      <c r="AF399" s="6">
        <f>E422</f>
        <v>112.3911675049322</v>
      </c>
      <c r="AI399" s="6">
        <f>H422</f>
        <v>112.2010947204887</v>
      </c>
      <c r="AL399" s="6">
        <f>K422</f>
        <v>113.21958271568749</v>
      </c>
      <c r="AO399" s="6">
        <f>N422</f>
        <v>113.61473943331841</v>
      </c>
      <c r="AR399" s="6">
        <f>Q422</f>
        <v>113.3787859326078</v>
      </c>
      <c r="AU399" s="6">
        <f>T422</f>
        <v>112.2791950057142</v>
      </c>
      <c r="AX399" s="6">
        <f>W422</f>
        <v>111.5739444092645</v>
      </c>
      <c r="BA399" s="6">
        <f>Z422</f>
        <v>111.3824079888096</v>
      </c>
    </row>
    <row r="400" spans="1:53" outlineLevel="1" x14ac:dyDescent="0.35">
      <c r="A400" s="6" t="s">
        <v>31</v>
      </c>
      <c r="B400" s="6">
        <f t="shared" si="49"/>
        <v>81.434527823734626</v>
      </c>
      <c r="AB400" s="6" t="s">
        <v>797</v>
      </c>
      <c r="AC400" s="6">
        <f>B426</f>
        <v>391.12436279725841</v>
      </c>
      <c r="AD400" s="6">
        <f t="shared" ref="AD400:BA400" si="50">C426</f>
        <v>391.12436279725841</v>
      </c>
      <c r="AE400" s="6">
        <f t="shared" si="50"/>
        <v>391.12436279725841</v>
      </c>
      <c r="AF400" s="6">
        <f t="shared" si="50"/>
        <v>391.12436279725841</v>
      </c>
      <c r="AG400" s="6">
        <f t="shared" si="50"/>
        <v>391.12436279725841</v>
      </c>
      <c r="AH400" s="6">
        <f t="shared" si="50"/>
        <v>391.12436279725841</v>
      </c>
      <c r="AI400" s="6">
        <f t="shared" si="50"/>
        <v>391.12436279725841</v>
      </c>
      <c r="AJ400" s="6">
        <f t="shared" si="50"/>
        <v>391.12436279725841</v>
      </c>
      <c r="AK400" s="6">
        <f t="shared" si="50"/>
        <v>391.12436279725841</v>
      </c>
      <c r="AL400" s="6">
        <f t="shared" si="50"/>
        <v>391.12436279725841</v>
      </c>
      <c r="AM400" s="6">
        <f t="shared" si="50"/>
        <v>391.12436279725841</v>
      </c>
      <c r="AN400" s="6">
        <f t="shared" si="50"/>
        <v>391.12436279725841</v>
      </c>
      <c r="AO400" s="6">
        <f t="shared" si="50"/>
        <v>391.12436279725841</v>
      </c>
      <c r="AP400" s="6">
        <f t="shared" si="50"/>
        <v>391.12436279725841</v>
      </c>
      <c r="AQ400" s="6">
        <f t="shared" si="50"/>
        <v>391.12436279725841</v>
      </c>
      <c r="AR400" s="6">
        <f t="shared" si="50"/>
        <v>391.12436279725841</v>
      </c>
      <c r="AS400" s="6">
        <f t="shared" si="50"/>
        <v>391.12436279725841</v>
      </c>
      <c r="AT400" s="6">
        <f t="shared" si="50"/>
        <v>391.12436279725841</v>
      </c>
      <c r="AU400" s="6">
        <f t="shared" si="50"/>
        <v>391.12436279725841</v>
      </c>
      <c r="AV400" s="6">
        <f t="shared" si="50"/>
        <v>391.12436279725841</v>
      </c>
      <c r="AW400" s="6">
        <f t="shared" si="50"/>
        <v>391.12436279725841</v>
      </c>
      <c r="AX400" s="6">
        <f t="shared" si="50"/>
        <v>391.12436279725841</v>
      </c>
      <c r="AY400" s="6">
        <f t="shared" si="50"/>
        <v>391.12436279725841</v>
      </c>
      <c r="AZ400" s="6">
        <f t="shared" si="50"/>
        <v>391.12436279725841</v>
      </c>
      <c r="BA400" s="6">
        <f t="shared" si="50"/>
        <v>391.12436279725841</v>
      </c>
    </row>
    <row r="401" spans="1:53" outlineLevel="1" x14ac:dyDescent="0.35">
      <c r="A401" s="6" t="s">
        <v>34</v>
      </c>
      <c r="B401" s="6">
        <f t="shared" si="49"/>
        <v>53.72069534285378</v>
      </c>
      <c r="AB401" s="6" t="s">
        <v>122</v>
      </c>
      <c r="AC401" s="6">
        <f t="shared" ref="AC401:BA401" si="51">B425+B424</f>
        <v>342.06057346102455</v>
      </c>
      <c r="AD401" s="6">
        <f t="shared" si="51"/>
        <v>340.79265489021151</v>
      </c>
      <c r="AE401" s="6">
        <f t="shared" si="51"/>
        <v>339.50338787328121</v>
      </c>
      <c r="AF401" s="6">
        <f t="shared" si="51"/>
        <v>334.90545691545429</v>
      </c>
      <c r="AG401" s="6">
        <f t="shared" si="51"/>
        <v>333.55358695307848</v>
      </c>
      <c r="AH401" s="6">
        <f t="shared" si="51"/>
        <v>332.20269132138816</v>
      </c>
      <c r="AI401" s="6">
        <f t="shared" si="51"/>
        <v>333.06599341828917</v>
      </c>
      <c r="AJ401" s="6">
        <f t="shared" si="51"/>
        <v>333.89092652969049</v>
      </c>
      <c r="AK401" s="6">
        <f t="shared" si="51"/>
        <v>332.48153941788775</v>
      </c>
      <c r="AL401" s="6">
        <f t="shared" si="51"/>
        <v>333.26058787049283</v>
      </c>
      <c r="AM401" s="6">
        <f t="shared" si="51"/>
        <v>334.00835882653439</v>
      </c>
      <c r="AN401" s="6">
        <f t="shared" si="51"/>
        <v>333.38088707198386</v>
      </c>
      <c r="AO401" s="6">
        <f t="shared" si="51"/>
        <v>332.76206358895985</v>
      </c>
      <c r="AP401" s="6">
        <f t="shared" si="51"/>
        <v>331.53763744536172</v>
      </c>
      <c r="AQ401" s="6">
        <f t="shared" si="51"/>
        <v>330.92844736523415</v>
      </c>
      <c r="AR401" s="6">
        <f t="shared" si="51"/>
        <v>330.31248161658857</v>
      </c>
      <c r="AS401" s="6">
        <f t="shared" si="51"/>
        <v>328.83877564617239</v>
      </c>
      <c r="AT401" s="6">
        <f t="shared" si="51"/>
        <v>327.38039608044772</v>
      </c>
      <c r="AU401" s="6">
        <f t="shared" si="51"/>
        <v>325.35638183755327</v>
      </c>
      <c r="AV401" s="6">
        <f t="shared" si="51"/>
        <v>323.9140988352205</v>
      </c>
      <c r="AW401" s="6">
        <f t="shared" si="51"/>
        <v>322.40607780393708</v>
      </c>
      <c r="AX401" s="6">
        <f t="shared" si="51"/>
        <v>322.05583431739825</v>
      </c>
      <c r="AY401" s="6">
        <f t="shared" si="51"/>
        <v>321.70816822842056</v>
      </c>
      <c r="AZ401" s="6">
        <f t="shared" si="51"/>
        <v>321.36199873353911</v>
      </c>
      <c r="BA401" s="6">
        <f t="shared" si="51"/>
        <v>321.01729869105526</v>
      </c>
    </row>
    <row r="402" spans="1:53" outlineLevel="1" x14ac:dyDescent="0.35">
      <c r="A402" s="6" t="s">
        <v>36</v>
      </c>
      <c r="B402" s="6">
        <f t="shared" si="49"/>
        <v>56.4741510532414</v>
      </c>
      <c r="AB402" s="6" t="s">
        <v>123</v>
      </c>
      <c r="AC402" s="6">
        <f t="shared" ref="AC402:BA402" si="52">B423</f>
        <v>64.342009540198504</v>
      </c>
      <c r="AD402" s="6">
        <f t="shared" si="52"/>
        <v>59.761083087087698</v>
      </c>
      <c r="AE402" s="6">
        <f t="shared" si="52"/>
        <v>55.176716440530804</v>
      </c>
      <c r="AF402" s="6">
        <f t="shared" si="52"/>
        <v>50.360759114088651</v>
      </c>
      <c r="AG402" s="6">
        <f t="shared" si="52"/>
        <v>45.762463379095117</v>
      </c>
      <c r="AH402" s="6">
        <f t="shared" si="52"/>
        <v>41.16191938998076</v>
      </c>
      <c r="AI402" s="6">
        <f t="shared" si="52"/>
        <v>46.519306119155807</v>
      </c>
      <c r="AJ402" s="6">
        <f t="shared" si="52"/>
        <v>51.839694277117857</v>
      </c>
      <c r="AK402" s="6">
        <f t="shared" si="52"/>
        <v>56.901233707261902</v>
      </c>
      <c r="AL402" s="6">
        <f t="shared" si="52"/>
        <v>62.141401160961152</v>
      </c>
      <c r="AM402" s="6">
        <f t="shared" si="52"/>
        <v>67.345869486968198</v>
      </c>
      <c r="AN402" s="6">
        <f t="shared" si="52"/>
        <v>73.943653441374195</v>
      </c>
      <c r="AO402" s="6">
        <f t="shared" si="52"/>
        <v>80.531441486153852</v>
      </c>
      <c r="AP402" s="6">
        <f t="shared" si="52"/>
        <v>87.058742903289399</v>
      </c>
      <c r="AQ402" s="6">
        <f t="shared" si="52"/>
        <v>93.627659649923842</v>
      </c>
      <c r="AR402" s="6">
        <f t="shared" si="52"/>
        <v>100.1862787077462</v>
      </c>
      <c r="AS402" s="6">
        <f t="shared" si="52"/>
        <v>98.161737739123097</v>
      </c>
      <c r="AT402" s="6">
        <f t="shared" si="52"/>
        <v>96.128595330507807</v>
      </c>
      <c r="AU402" s="6">
        <f t="shared" si="52"/>
        <v>94.04070647744291</v>
      </c>
      <c r="AV402" s="6">
        <f t="shared" si="52"/>
        <v>91.991334678202691</v>
      </c>
      <c r="AW402" s="6">
        <f t="shared" si="52"/>
        <v>89.932927881661456</v>
      </c>
      <c r="AX402" s="6">
        <f t="shared" si="52"/>
        <v>89.850048568757643</v>
      </c>
      <c r="AY402" s="6">
        <f t="shared" si="52"/>
        <v>89.771498024068691</v>
      </c>
      <c r="AZ402" s="6">
        <f t="shared" si="52"/>
        <v>89.692240300237202</v>
      </c>
      <c r="BA402" s="6">
        <f t="shared" si="52"/>
        <v>89.612170644053009</v>
      </c>
    </row>
    <row r="403" spans="1:53" outlineLevel="1" x14ac:dyDescent="0.35">
      <c r="A403" s="6" t="s">
        <v>38</v>
      </c>
      <c r="B403" s="6">
        <f t="shared" si="49"/>
        <v>632.20465263923336</v>
      </c>
      <c r="AB403" s="6" t="s">
        <v>124</v>
      </c>
      <c r="AC403" s="6">
        <f>-$AC$384*$AC$383</f>
        <v>0</v>
      </c>
      <c r="AD403" s="6">
        <f t="shared" ref="AD403:BA403" si="53">-$AC$384*$AC$383</f>
        <v>0</v>
      </c>
      <c r="AE403" s="6">
        <f t="shared" si="53"/>
        <v>0</v>
      </c>
      <c r="AF403" s="6">
        <f t="shared" si="53"/>
        <v>0</v>
      </c>
      <c r="AG403" s="6">
        <f t="shared" si="53"/>
        <v>0</v>
      </c>
      <c r="AH403" s="6">
        <f t="shared" si="53"/>
        <v>0</v>
      </c>
      <c r="AI403" s="6">
        <f t="shared" si="53"/>
        <v>0</v>
      </c>
      <c r="AJ403" s="6">
        <f t="shared" si="53"/>
        <v>0</v>
      </c>
      <c r="AK403" s="6">
        <f t="shared" si="53"/>
        <v>0</v>
      </c>
      <c r="AL403" s="6">
        <f t="shared" si="53"/>
        <v>0</v>
      </c>
      <c r="AM403" s="6">
        <f t="shared" si="53"/>
        <v>0</v>
      </c>
      <c r="AN403" s="6">
        <f t="shared" si="53"/>
        <v>0</v>
      </c>
      <c r="AO403" s="6">
        <f t="shared" si="53"/>
        <v>0</v>
      </c>
      <c r="AP403" s="6">
        <f t="shared" si="53"/>
        <v>0</v>
      </c>
      <c r="AQ403" s="6">
        <f t="shared" si="53"/>
        <v>0</v>
      </c>
      <c r="AR403" s="6">
        <f t="shared" si="53"/>
        <v>0</v>
      </c>
      <c r="AS403" s="6">
        <f t="shared" si="53"/>
        <v>0</v>
      </c>
      <c r="AT403" s="6">
        <f t="shared" si="53"/>
        <v>0</v>
      </c>
      <c r="AU403" s="6">
        <f t="shared" si="53"/>
        <v>0</v>
      </c>
      <c r="AV403" s="6">
        <f t="shared" si="53"/>
        <v>0</v>
      </c>
      <c r="AW403" s="6">
        <f t="shared" si="53"/>
        <v>0</v>
      </c>
      <c r="AX403" s="6">
        <f t="shared" si="53"/>
        <v>0</v>
      </c>
      <c r="AY403" s="6">
        <f t="shared" si="53"/>
        <v>0</v>
      </c>
      <c r="AZ403" s="6">
        <f t="shared" si="53"/>
        <v>0</v>
      </c>
      <c r="BA403" s="6">
        <f t="shared" si="53"/>
        <v>0</v>
      </c>
    </row>
    <row r="404" spans="1:53" outlineLevel="1" x14ac:dyDescent="0.35">
      <c r="A404" s="6" t="s">
        <v>39</v>
      </c>
      <c r="B404" s="6">
        <f t="shared" si="49"/>
        <v>613.14460127904488</v>
      </c>
      <c r="AB404" s="23" t="s">
        <v>125</v>
      </c>
      <c r="AC404" s="17">
        <f t="shared" ref="AC404:BA404" si="54">SUM(AC395:AC403)</f>
        <v>3677.6346544660446</v>
      </c>
      <c r="AD404" s="17">
        <f t="shared" si="54"/>
        <v>791.67810077455772</v>
      </c>
      <c r="AE404" s="17">
        <f t="shared" si="54"/>
        <v>785.80446711107038</v>
      </c>
      <c r="AF404" s="17">
        <f t="shared" si="54"/>
        <v>888.78174633173353</v>
      </c>
      <c r="AG404" s="17">
        <f t="shared" si="54"/>
        <v>770.44041312943205</v>
      </c>
      <c r="AH404" s="17">
        <f t="shared" si="54"/>
        <v>764.4889735086274</v>
      </c>
      <c r="AI404" s="17">
        <f t="shared" si="54"/>
        <v>882.91075705519211</v>
      </c>
      <c r="AJ404" s="17">
        <f t="shared" si="54"/>
        <v>776.85498360406677</v>
      </c>
      <c r="AK404" s="17">
        <f t="shared" si="54"/>
        <v>780.50713592240811</v>
      </c>
      <c r="AL404" s="17">
        <f t="shared" si="54"/>
        <v>899.74593454439992</v>
      </c>
      <c r="AM404" s="17">
        <f t="shared" si="54"/>
        <v>792.47859111076104</v>
      </c>
      <c r="AN404" s="17">
        <f t="shared" si="54"/>
        <v>798.44890331061652</v>
      </c>
      <c r="AO404" s="17">
        <f t="shared" si="54"/>
        <v>918.03260730569059</v>
      </c>
      <c r="AP404" s="17">
        <f t="shared" si="54"/>
        <v>809.72074314590952</v>
      </c>
      <c r="AQ404" s="17">
        <f t="shared" si="54"/>
        <v>815.68046981241639</v>
      </c>
      <c r="AR404" s="17">
        <f t="shared" si="54"/>
        <v>935.00190905420095</v>
      </c>
      <c r="AS404" s="17">
        <f t="shared" si="54"/>
        <v>818.12487618255386</v>
      </c>
      <c r="AT404" s="17">
        <f t="shared" si="54"/>
        <v>814.63335420821386</v>
      </c>
      <c r="AU404" s="17">
        <f t="shared" si="54"/>
        <v>922.80064611796877</v>
      </c>
      <c r="AV404" s="17">
        <f t="shared" si="54"/>
        <v>807.0297963106816</v>
      </c>
      <c r="AW404" s="17">
        <f t="shared" si="54"/>
        <v>803.46336848285705</v>
      </c>
      <c r="AX404" s="17">
        <f t="shared" si="54"/>
        <v>914.60419009267878</v>
      </c>
      <c r="AY404" s="17">
        <f t="shared" si="54"/>
        <v>802.60402904974762</v>
      </c>
      <c r="AZ404" s="17">
        <f t="shared" si="54"/>
        <v>802.17860183103471</v>
      </c>
      <c r="BA404" s="17">
        <f t="shared" si="54"/>
        <v>952.54026449379273</v>
      </c>
    </row>
    <row r="405" spans="1:53" outlineLevel="1" x14ac:dyDescent="0.35">
      <c r="A405" s="6" t="s">
        <v>41</v>
      </c>
      <c r="B405" s="6">
        <f t="shared" si="49"/>
        <v>53.80292885804797</v>
      </c>
    </row>
    <row r="406" spans="1:53" outlineLevel="1" x14ac:dyDescent="0.35">
      <c r="A406" s="6" t="s">
        <v>43</v>
      </c>
      <c r="B406" s="6">
        <f t="shared" si="49"/>
        <v>70.811968393392803</v>
      </c>
      <c r="AB406" s="282"/>
      <c r="AC406" s="282"/>
      <c r="AD406" s="282"/>
      <c r="AE406" s="282"/>
      <c r="AF406" s="282"/>
      <c r="AG406" s="282"/>
      <c r="AH406" s="282"/>
      <c r="AI406" s="282"/>
      <c r="AJ406" s="282"/>
      <c r="AK406" s="282"/>
      <c r="AL406" s="282"/>
      <c r="AM406" s="282"/>
      <c r="AN406" s="282"/>
      <c r="AO406" s="282"/>
      <c r="AP406" s="282"/>
      <c r="AQ406" s="282"/>
      <c r="AR406" s="282"/>
      <c r="AS406" s="282"/>
      <c r="AT406" s="282"/>
      <c r="AU406" s="282"/>
      <c r="AV406" s="282"/>
      <c r="AW406" s="282"/>
      <c r="AX406" s="282"/>
      <c r="AY406" s="282"/>
      <c r="AZ406" s="282"/>
      <c r="BA406" s="282"/>
    </row>
    <row r="407" spans="1:53" outlineLevel="1" x14ac:dyDescent="0.35">
      <c r="A407" s="6" t="s">
        <v>44</v>
      </c>
      <c r="B407" s="6">
        <f>B102*AC385</f>
        <v>129.44404120316349</v>
      </c>
      <c r="AB407" s="282"/>
      <c r="AC407" s="282"/>
      <c r="AD407" s="282"/>
      <c r="AE407" s="282"/>
      <c r="AF407" s="282"/>
      <c r="AG407" s="282"/>
      <c r="AH407" s="282"/>
      <c r="AI407" s="282"/>
      <c r="AJ407" s="282"/>
      <c r="AK407" s="282"/>
      <c r="AL407" s="282"/>
      <c r="AM407" s="282"/>
      <c r="AN407" s="282"/>
      <c r="AO407" s="282"/>
      <c r="AP407" s="282"/>
      <c r="AQ407" s="282"/>
      <c r="AR407" s="282"/>
      <c r="AS407" s="282"/>
      <c r="AT407" s="282"/>
      <c r="AU407" s="282"/>
      <c r="AV407" s="282"/>
      <c r="AW407" s="282"/>
      <c r="AX407" s="282"/>
      <c r="AY407" s="282"/>
      <c r="AZ407" s="282"/>
      <c r="BA407" s="282"/>
    </row>
    <row r="408" spans="1:53" outlineLevel="1" x14ac:dyDescent="0.35">
      <c r="A408" s="6" t="s">
        <v>757</v>
      </c>
      <c r="B408" s="6">
        <f>B103*AC385</f>
        <v>45.333806034396716</v>
      </c>
      <c r="AB408" s="282"/>
      <c r="AC408" s="282"/>
      <c r="AD408" s="282"/>
      <c r="AE408" s="282"/>
      <c r="AF408" s="282"/>
      <c r="AG408" s="282"/>
      <c r="AH408" s="282"/>
      <c r="AI408" s="282"/>
      <c r="AJ408" s="282"/>
      <c r="AK408" s="282"/>
      <c r="AL408" s="282"/>
      <c r="AM408" s="282"/>
      <c r="AN408" s="282"/>
      <c r="AO408" s="282"/>
      <c r="AP408" s="282"/>
      <c r="AQ408" s="282"/>
      <c r="AR408" s="282"/>
      <c r="AS408" s="282"/>
      <c r="AT408" s="282"/>
      <c r="AU408" s="282"/>
      <c r="AV408" s="282"/>
      <c r="AW408" s="282"/>
      <c r="AX408" s="282"/>
      <c r="AY408" s="282"/>
      <c r="AZ408" s="282"/>
      <c r="BA408" s="282"/>
    </row>
    <row r="409" spans="1:53" outlineLevel="1" x14ac:dyDescent="0.35">
      <c r="A409" s="6" t="s">
        <v>22</v>
      </c>
      <c r="Z409" s="6">
        <f>Z104</f>
        <v>0.30634226930476899</v>
      </c>
      <c r="AB409" s="282"/>
      <c r="AC409" s="282"/>
      <c r="AD409" s="282"/>
      <c r="AE409" s="282"/>
      <c r="AF409" s="282"/>
      <c r="AG409" s="282"/>
      <c r="AH409" s="282"/>
      <c r="AI409" s="282"/>
      <c r="AJ409" s="282"/>
      <c r="AK409" s="282"/>
      <c r="AL409" s="282"/>
      <c r="AM409" s="282"/>
      <c r="AN409" s="282"/>
      <c r="AO409" s="282"/>
      <c r="AP409" s="282"/>
      <c r="AQ409" s="282"/>
      <c r="AR409" s="282"/>
      <c r="AS409" s="282"/>
      <c r="AT409" s="282"/>
      <c r="AU409" s="282"/>
      <c r="AV409" s="282"/>
      <c r="AW409" s="282"/>
      <c r="AX409" s="282"/>
      <c r="AY409" s="282"/>
      <c r="AZ409" s="282"/>
      <c r="BA409" s="282"/>
    </row>
    <row r="410" spans="1:53" outlineLevel="1" x14ac:dyDescent="0.35">
      <c r="A410" s="6" t="s">
        <v>24</v>
      </c>
      <c r="Z410" s="6">
        <f t="shared" ref="Z410:Z420" si="55">Z105</f>
        <v>0.33987786273119752</v>
      </c>
      <c r="AB410" s="282"/>
      <c r="AC410" s="282"/>
      <c r="AD410" s="282"/>
      <c r="AE410" s="282"/>
      <c r="AF410" s="282"/>
      <c r="AG410" s="282"/>
      <c r="AH410" s="282"/>
      <c r="AI410" s="282"/>
      <c r="AJ410" s="282"/>
      <c r="AK410" s="282"/>
      <c r="AL410" s="282"/>
      <c r="AM410" s="282"/>
      <c r="AN410" s="282"/>
      <c r="AO410" s="282"/>
      <c r="AP410" s="282"/>
      <c r="AQ410" s="282"/>
      <c r="AR410" s="282"/>
      <c r="AS410" s="282"/>
      <c r="AT410" s="282"/>
      <c r="AU410" s="282"/>
      <c r="AV410" s="282"/>
      <c r="AW410" s="282"/>
      <c r="AX410" s="282"/>
      <c r="AY410" s="282"/>
      <c r="AZ410" s="282"/>
      <c r="BA410" s="282"/>
    </row>
    <row r="411" spans="1:53" outlineLevel="1" x14ac:dyDescent="0.35">
      <c r="A411" s="6" t="s">
        <v>25</v>
      </c>
      <c r="Z411" s="6">
        <f t="shared" si="55"/>
        <v>1.54613057891552</v>
      </c>
      <c r="AB411" s="282"/>
      <c r="AC411" s="282"/>
      <c r="AD411" s="282"/>
      <c r="AE411" s="282"/>
      <c r="AF411" s="282"/>
      <c r="AG411" s="282"/>
      <c r="AH411" s="282"/>
      <c r="AI411" s="282"/>
      <c r="AJ411" s="282"/>
      <c r="AK411" s="282"/>
      <c r="AL411" s="282"/>
      <c r="AM411" s="282"/>
      <c r="AN411" s="282"/>
      <c r="AO411" s="282"/>
      <c r="AP411" s="282"/>
      <c r="AQ411" s="282"/>
      <c r="AR411" s="282"/>
      <c r="AS411" s="282"/>
      <c r="AT411" s="282"/>
      <c r="AU411" s="282"/>
      <c r="AV411" s="282"/>
      <c r="AW411" s="282"/>
      <c r="AX411" s="282"/>
      <c r="AY411" s="282"/>
      <c r="AZ411" s="282"/>
      <c r="BA411" s="282"/>
    </row>
    <row r="412" spans="1:53" outlineLevel="1" x14ac:dyDescent="0.35">
      <c r="A412" s="6" t="s">
        <v>27</v>
      </c>
      <c r="Z412" s="6">
        <f t="shared" si="55"/>
        <v>0.94564416196411627</v>
      </c>
      <c r="AB412" s="282"/>
      <c r="AC412" s="282"/>
      <c r="AD412" s="282"/>
      <c r="AE412" s="282"/>
      <c r="AF412" s="282"/>
      <c r="AG412" s="282"/>
      <c r="AH412" s="282"/>
      <c r="AI412" s="282"/>
      <c r="AJ412" s="282"/>
      <c r="AK412" s="282"/>
      <c r="AL412" s="282"/>
      <c r="AM412" s="282"/>
      <c r="AN412" s="282"/>
      <c r="AO412" s="282"/>
      <c r="AP412" s="282"/>
      <c r="AQ412" s="282"/>
      <c r="AR412" s="282"/>
      <c r="AS412" s="282"/>
      <c r="AT412" s="282"/>
      <c r="AU412" s="282"/>
      <c r="AV412" s="282"/>
      <c r="AW412" s="282"/>
      <c r="AX412" s="282"/>
      <c r="AY412" s="282"/>
      <c r="AZ412" s="282"/>
      <c r="BA412" s="282"/>
    </row>
    <row r="413" spans="1:53" outlineLevel="1" x14ac:dyDescent="0.35">
      <c r="A413" s="6" t="s">
        <v>30</v>
      </c>
      <c r="Z413" s="6">
        <f t="shared" si="55"/>
        <v>0.37601872100948219</v>
      </c>
      <c r="AB413" s="282"/>
      <c r="AC413" s="282"/>
      <c r="AD413" s="282"/>
      <c r="AE413" s="282"/>
      <c r="AF413" s="282"/>
      <c r="AG413" s="282"/>
      <c r="AH413" s="282"/>
      <c r="AI413" s="282"/>
      <c r="AJ413" s="282"/>
      <c r="AK413" s="282"/>
      <c r="AL413" s="282"/>
      <c r="AM413" s="282"/>
      <c r="AN413" s="282"/>
      <c r="AO413" s="282"/>
      <c r="AP413" s="282"/>
      <c r="AQ413" s="282"/>
      <c r="AR413" s="282"/>
      <c r="AS413" s="282"/>
      <c r="AT413" s="282"/>
      <c r="AU413" s="282"/>
      <c r="AV413" s="282"/>
      <c r="AW413" s="282"/>
      <c r="AX413" s="282"/>
      <c r="AY413" s="282"/>
      <c r="AZ413" s="282"/>
      <c r="BA413" s="282"/>
    </row>
    <row r="414" spans="1:53" outlineLevel="1" x14ac:dyDescent="0.35">
      <c r="A414" s="6" t="s">
        <v>32</v>
      </c>
      <c r="Z414" s="6">
        <f t="shared" si="55"/>
        <v>0.1689291870015715</v>
      </c>
      <c r="AB414" s="282"/>
      <c r="AC414" s="282"/>
      <c r="AD414" s="282"/>
      <c r="AE414" s="282"/>
      <c r="AF414" s="282"/>
      <c r="AG414" s="282"/>
      <c r="AH414" s="282"/>
      <c r="AI414" s="282"/>
      <c r="AJ414" s="282"/>
      <c r="AK414" s="282"/>
      <c r="AL414" s="282"/>
      <c r="AM414" s="282"/>
      <c r="AN414" s="282"/>
      <c r="AO414" s="282"/>
      <c r="AP414" s="282"/>
      <c r="AQ414" s="282"/>
      <c r="AR414" s="282"/>
      <c r="AS414" s="282"/>
      <c r="AT414" s="282"/>
      <c r="AU414" s="282"/>
      <c r="AV414" s="282"/>
      <c r="AW414" s="282"/>
      <c r="AX414" s="282"/>
      <c r="AY414" s="282"/>
      <c r="AZ414" s="282"/>
      <c r="BA414" s="282"/>
    </row>
    <row r="415" spans="1:53" outlineLevel="1" x14ac:dyDescent="0.35">
      <c r="A415" s="6" t="s">
        <v>33</v>
      </c>
      <c r="Z415" s="6">
        <f t="shared" si="55"/>
        <v>9.7181984563696311E-2</v>
      </c>
      <c r="AB415" s="282"/>
      <c r="AC415" s="282"/>
      <c r="AD415" s="282"/>
      <c r="AE415" s="282"/>
      <c r="AF415" s="282"/>
      <c r="AG415" s="282"/>
      <c r="AH415" s="282"/>
      <c r="AI415" s="282"/>
      <c r="AJ415" s="282"/>
      <c r="AK415" s="282"/>
      <c r="AL415" s="282"/>
      <c r="AM415" s="282"/>
      <c r="AN415" s="282"/>
      <c r="AO415" s="282"/>
      <c r="AP415" s="282"/>
      <c r="AQ415" s="282"/>
      <c r="AR415" s="282"/>
      <c r="AS415" s="282"/>
      <c r="AT415" s="282"/>
      <c r="AU415" s="282"/>
      <c r="AV415" s="282"/>
      <c r="AW415" s="282"/>
      <c r="AX415" s="282"/>
      <c r="AY415" s="282"/>
      <c r="AZ415" s="282"/>
      <c r="BA415" s="282"/>
    </row>
    <row r="416" spans="1:53" outlineLevel="1" x14ac:dyDescent="0.35">
      <c r="A416" s="6" t="s">
        <v>35</v>
      </c>
      <c r="Z416" s="6">
        <f t="shared" si="55"/>
        <v>0.19436396912739259</v>
      </c>
      <c r="AB416" s="282"/>
      <c r="AC416" s="282"/>
      <c r="AD416" s="282"/>
      <c r="AE416" s="282"/>
      <c r="AF416" s="282"/>
      <c r="AG416" s="282"/>
      <c r="AH416" s="282"/>
      <c r="AI416" s="282"/>
      <c r="AJ416" s="282"/>
      <c r="AK416" s="282"/>
      <c r="AL416" s="282"/>
      <c r="AM416" s="282"/>
      <c r="AN416" s="282"/>
      <c r="AO416" s="282"/>
      <c r="AP416" s="282"/>
      <c r="AQ416" s="282"/>
      <c r="AR416" s="282"/>
      <c r="AS416" s="282"/>
      <c r="AT416" s="282"/>
      <c r="AU416" s="282"/>
      <c r="AV416" s="282"/>
      <c r="AW416" s="282"/>
      <c r="AX416" s="282"/>
      <c r="AY416" s="282"/>
      <c r="AZ416" s="282"/>
      <c r="BA416" s="282"/>
    </row>
    <row r="417" spans="1:53" outlineLevel="1" x14ac:dyDescent="0.35">
      <c r="A417" s="6" t="s">
        <v>37</v>
      </c>
      <c r="Z417" s="6">
        <f t="shared" si="55"/>
        <v>2.8638113623765111</v>
      </c>
      <c r="AB417" s="282"/>
      <c r="AC417" s="282"/>
      <c r="AD417" s="282"/>
      <c r="AE417" s="282"/>
      <c r="AF417" s="282"/>
      <c r="AG417" s="282"/>
      <c r="AH417" s="282"/>
      <c r="AI417" s="282"/>
      <c r="AJ417" s="282"/>
      <c r="AK417" s="282"/>
      <c r="AL417" s="282"/>
      <c r="AM417" s="282"/>
      <c r="AN417" s="282"/>
      <c r="AO417" s="282"/>
      <c r="AP417" s="282"/>
      <c r="AQ417" s="282"/>
      <c r="AR417" s="282"/>
      <c r="AS417" s="282"/>
      <c r="AT417" s="282"/>
      <c r="AU417" s="282"/>
      <c r="AV417" s="282"/>
      <c r="AW417" s="282"/>
      <c r="AX417" s="282"/>
      <c r="AY417" s="282"/>
      <c r="AZ417" s="282"/>
      <c r="BA417" s="282"/>
    </row>
    <row r="418" spans="1:53" outlineLevel="1" x14ac:dyDescent="0.35">
      <c r="A418" s="6" t="s">
        <v>40</v>
      </c>
      <c r="Z418" s="6">
        <f t="shared" si="55"/>
        <v>1.3377114098727929</v>
      </c>
    </row>
    <row r="419" spans="1:53" outlineLevel="1" x14ac:dyDescent="0.35">
      <c r="A419" s="6" t="s">
        <v>42</v>
      </c>
      <c r="Z419" s="6">
        <f t="shared" si="55"/>
        <v>3.6060080522679621</v>
      </c>
    </row>
    <row r="420" spans="1:53" outlineLevel="1" x14ac:dyDescent="0.35">
      <c r="A420" s="6" t="s">
        <v>115</v>
      </c>
      <c r="Z420" s="6">
        <f t="shared" si="55"/>
        <v>27.00760175944605</v>
      </c>
    </row>
    <row r="421" spans="1:53" outlineLevel="1" x14ac:dyDescent="0.35">
      <c r="A421" s="6" t="s">
        <v>45</v>
      </c>
      <c r="Z421" s="6">
        <f>Z116*AC385</f>
        <v>0.61440305403541018</v>
      </c>
    </row>
    <row r="422" spans="1:53" outlineLevel="1" x14ac:dyDescent="0.35">
      <c r="A422" s="6" t="s">
        <v>116</v>
      </c>
      <c r="B422" s="6">
        <f>B117</f>
        <v>114.06781731957111</v>
      </c>
      <c r="C422" s="6">
        <f t="shared" ref="C422:Z422" si="56">C117</f>
        <v>113.7328675530224</v>
      </c>
      <c r="D422" s="6">
        <f t="shared" si="56"/>
        <v>113.3929663091527</v>
      </c>
      <c r="E422" s="6">
        <f t="shared" si="56"/>
        <v>112.3911675049322</v>
      </c>
      <c r="F422" s="6">
        <f t="shared" si="56"/>
        <v>112.0478306078531</v>
      </c>
      <c r="G422" s="6">
        <f t="shared" si="56"/>
        <v>111.69872823537609</v>
      </c>
      <c r="H422" s="6">
        <f t="shared" si="56"/>
        <v>112.2010947204887</v>
      </c>
      <c r="I422" s="6">
        <f t="shared" si="56"/>
        <v>112.69351643430041</v>
      </c>
      <c r="J422" s="6">
        <f t="shared" si="56"/>
        <v>112.74009000216979</v>
      </c>
      <c r="K422" s="6">
        <f t="shared" si="56"/>
        <v>113.21958271568749</v>
      </c>
      <c r="L422" s="6">
        <f t="shared" si="56"/>
        <v>113.6897765530383</v>
      </c>
      <c r="M422" s="6">
        <f t="shared" si="56"/>
        <v>113.65222917100461</v>
      </c>
      <c r="N422" s="6">
        <f t="shared" si="56"/>
        <v>113.61473943331841</v>
      </c>
      <c r="O422" s="6">
        <f t="shared" si="56"/>
        <v>113.44770784519361</v>
      </c>
      <c r="P422" s="6">
        <f t="shared" si="56"/>
        <v>113.41332719801061</v>
      </c>
      <c r="Q422" s="6">
        <f t="shared" si="56"/>
        <v>113.3787859326078</v>
      </c>
      <c r="R422" s="6">
        <f t="shared" si="56"/>
        <v>113.0512155274629</v>
      </c>
      <c r="S422" s="6">
        <f t="shared" si="56"/>
        <v>112.7253429675897</v>
      </c>
      <c r="T422" s="6">
        <f t="shared" si="56"/>
        <v>112.2791950057142</v>
      </c>
      <c r="U422" s="6">
        <f t="shared" si="56"/>
        <v>111.9583975303494</v>
      </c>
      <c r="V422" s="6">
        <f t="shared" si="56"/>
        <v>111.6387040996559</v>
      </c>
      <c r="W422" s="6">
        <f t="shared" si="56"/>
        <v>111.5739444092645</v>
      </c>
      <c r="X422" s="6">
        <f t="shared" si="56"/>
        <v>111.50977454615681</v>
      </c>
      <c r="Y422" s="6">
        <f t="shared" si="56"/>
        <v>111.4459321675379</v>
      </c>
      <c r="Z422" s="6">
        <f t="shared" si="56"/>
        <v>111.3824079888096</v>
      </c>
    </row>
    <row r="423" spans="1:53" outlineLevel="1" x14ac:dyDescent="0.35">
      <c r="A423" s="6" t="s">
        <v>758</v>
      </c>
      <c r="B423" s="6">
        <f>B118*$AC$385</f>
        <v>64.342009540198504</v>
      </c>
      <c r="C423" s="6">
        <f t="shared" ref="C423:Z424" si="57">C118*$AC$385</f>
        <v>59.761083087087698</v>
      </c>
      <c r="D423" s="6">
        <f t="shared" si="57"/>
        <v>55.176716440530804</v>
      </c>
      <c r="E423" s="6">
        <f t="shared" si="57"/>
        <v>50.360759114088651</v>
      </c>
      <c r="F423" s="6">
        <f t="shared" si="57"/>
        <v>45.762463379095117</v>
      </c>
      <c r="G423" s="6">
        <f t="shared" si="57"/>
        <v>41.16191938998076</v>
      </c>
      <c r="H423" s="6">
        <f t="shared" si="57"/>
        <v>46.519306119155807</v>
      </c>
      <c r="I423" s="6">
        <f t="shared" si="57"/>
        <v>51.839694277117857</v>
      </c>
      <c r="J423" s="6">
        <f t="shared" si="57"/>
        <v>56.901233707261902</v>
      </c>
      <c r="K423" s="6">
        <f t="shared" si="57"/>
        <v>62.141401160961152</v>
      </c>
      <c r="L423" s="6">
        <f t="shared" si="57"/>
        <v>67.345869486968198</v>
      </c>
      <c r="M423" s="6">
        <f t="shared" si="57"/>
        <v>73.943653441374195</v>
      </c>
      <c r="N423" s="6">
        <f t="shared" si="57"/>
        <v>80.531441486153852</v>
      </c>
      <c r="O423" s="6">
        <f t="shared" si="57"/>
        <v>87.058742903289399</v>
      </c>
      <c r="P423" s="6">
        <f t="shared" si="57"/>
        <v>93.627659649923842</v>
      </c>
      <c r="Q423" s="6">
        <f t="shared" si="57"/>
        <v>100.1862787077462</v>
      </c>
      <c r="R423" s="6">
        <f t="shared" si="57"/>
        <v>98.161737739123097</v>
      </c>
      <c r="S423" s="6">
        <f t="shared" si="57"/>
        <v>96.128595330507807</v>
      </c>
      <c r="T423" s="6">
        <f t="shared" si="57"/>
        <v>94.04070647744291</v>
      </c>
      <c r="U423" s="6">
        <f t="shared" si="57"/>
        <v>91.991334678202691</v>
      </c>
      <c r="V423" s="6">
        <f t="shared" si="57"/>
        <v>89.932927881661456</v>
      </c>
      <c r="W423" s="6">
        <f t="shared" si="57"/>
        <v>89.850048568757643</v>
      </c>
      <c r="X423" s="6">
        <f t="shared" si="57"/>
        <v>89.771498024068691</v>
      </c>
      <c r="Y423" s="6">
        <f t="shared" si="57"/>
        <v>89.692240300237202</v>
      </c>
      <c r="Z423" s="6">
        <f t="shared" si="57"/>
        <v>89.612170644053009</v>
      </c>
    </row>
    <row r="424" spans="1:53" outlineLevel="1" x14ac:dyDescent="0.35">
      <c r="A424" s="6" t="s">
        <v>759</v>
      </c>
      <c r="B424" s="6">
        <f>B119*$AC$385</f>
        <v>0</v>
      </c>
      <c r="C424" s="6">
        <f t="shared" si="57"/>
        <v>0</v>
      </c>
      <c r="D424" s="6">
        <f t="shared" si="57"/>
        <v>0</v>
      </c>
      <c r="E424" s="6">
        <f t="shared" si="57"/>
        <v>0</v>
      </c>
      <c r="F424" s="6">
        <f t="shared" si="57"/>
        <v>0</v>
      </c>
      <c r="G424" s="6">
        <f t="shared" si="57"/>
        <v>0</v>
      </c>
      <c r="H424" s="6">
        <f t="shared" si="57"/>
        <v>0</v>
      </c>
      <c r="I424" s="6">
        <f t="shared" si="57"/>
        <v>0</v>
      </c>
      <c r="J424" s="6">
        <f t="shared" si="57"/>
        <v>0</v>
      </c>
      <c r="K424" s="6">
        <f t="shared" si="57"/>
        <v>0</v>
      </c>
      <c r="L424" s="6">
        <f t="shared" si="57"/>
        <v>0</v>
      </c>
      <c r="M424" s="6">
        <f t="shared" si="57"/>
        <v>0</v>
      </c>
      <c r="N424" s="6">
        <f t="shared" si="57"/>
        <v>0</v>
      </c>
      <c r="O424" s="6">
        <f t="shared" si="57"/>
        <v>0</v>
      </c>
      <c r="P424" s="6">
        <f t="shared" si="57"/>
        <v>0</v>
      </c>
      <c r="Q424" s="6">
        <f t="shared" si="57"/>
        <v>0</v>
      </c>
      <c r="R424" s="6">
        <f t="shared" si="57"/>
        <v>0</v>
      </c>
      <c r="S424" s="6">
        <f t="shared" si="57"/>
        <v>0</v>
      </c>
      <c r="T424" s="6">
        <f t="shared" si="57"/>
        <v>0</v>
      </c>
      <c r="U424" s="6">
        <f t="shared" si="57"/>
        <v>0</v>
      </c>
      <c r="V424" s="6">
        <f t="shared" si="57"/>
        <v>0</v>
      </c>
      <c r="W424" s="6">
        <f t="shared" si="57"/>
        <v>0</v>
      </c>
      <c r="X424" s="6">
        <f t="shared" si="57"/>
        <v>0</v>
      </c>
      <c r="Y424" s="6">
        <f t="shared" si="57"/>
        <v>0</v>
      </c>
      <c r="Z424" s="6">
        <f t="shared" si="57"/>
        <v>0</v>
      </c>
    </row>
    <row r="425" spans="1:53" outlineLevel="1" x14ac:dyDescent="0.35">
      <c r="A425" s="6" t="s">
        <v>760</v>
      </c>
      <c r="B425" s="6">
        <f>$B$252*50*'Results - raw data ReCiPe (H)'!BC128/(1-$AC$390)*(1+'Results ReCiPe (H) - HHD'!$AC$271/'Results ReCiPe (H) - HHD'!$AC$272-'Results ReCiPe (H) - HHD'!$AC$271)</f>
        <v>342.06057346102455</v>
      </c>
      <c r="C425" s="6">
        <f>$B$252*50*'Results - raw data ReCiPe (H)'!BD128/(1-$AC$390)*(1+'Results ReCiPe (H) - HHD'!$AC$271/'Results ReCiPe (H) - HHD'!$AC$272-'Results ReCiPe (H) - HHD'!$AC$271)</f>
        <v>340.79265489021151</v>
      </c>
      <c r="D425" s="6">
        <f>$B$252*50*'Results - raw data ReCiPe (H)'!BE128/(1-$AC$390)*(1+'Results ReCiPe (H) - HHD'!$AC$271/'Results ReCiPe (H) - HHD'!$AC$272-'Results ReCiPe (H) - HHD'!$AC$271)</f>
        <v>339.50338787328121</v>
      </c>
      <c r="E425" s="6">
        <f>$B$252*50*'Results - raw data ReCiPe (H)'!BF128/(1-$AC$390)*(1+'Results ReCiPe (H) - HHD'!$AC$271/'Results ReCiPe (H) - HHD'!$AC$272-'Results ReCiPe (H) - HHD'!$AC$271)</f>
        <v>334.90545691545429</v>
      </c>
      <c r="F425" s="6">
        <f>$B$252*50*'Results - raw data ReCiPe (H)'!BG128/(1-$AC$390)*(1+'Results ReCiPe (H) - HHD'!$AC$271/'Results ReCiPe (H) - HHD'!$AC$272-'Results ReCiPe (H) - HHD'!$AC$271)</f>
        <v>333.55358695307848</v>
      </c>
      <c r="G425" s="6">
        <f>$B$252*50*'Results - raw data ReCiPe (H)'!BH128/(1-$AC$390)*(1+'Results ReCiPe (H) - HHD'!$AC$271/'Results ReCiPe (H) - HHD'!$AC$272-'Results ReCiPe (H) - HHD'!$AC$271)</f>
        <v>332.20269132138816</v>
      </c>
      <c r="H425" s="6">
        <f>$B$252*50*'Results - raw data ReCiPe (H)'!BI128/(1-$AC$390)*(1+'Results ReCiPe (H) - HHD'!$AC$271/'Results ReCiPe (H) - HHD'!$AC$272-'Results ReCiPe (H) - HHD'!$AC$271)</f>
        <v>333.06599341828917</v>
      </c>
      <c r="I425" s="6">
        <f>$B$252*50*'Results - raw data ReCiPe (H)'!BJ128/(1-$AC$390)*(1+'Results ReCiPe (H) - HHD'!$AC$271/'Results ReCiPe (H) - HHD'!$AC$272-'Results ReCiPe (H) - HHD'!$AC$271)</f>
        <v>333.89092652969049</v>
      </c>
      <c r="J425" s="6">
        <f>$B$252*50*'Results - raw data ReCiPe (H)'!BK128/(1-$AC$390)*(1+'Results ReCiPe (H) - HHD'!$AC$271/'Results ReCiPe (H) - HHD'!$AC$272-'Results ReCiPe (H) - HHD'!$AC$271)</f>
        <v>332.48153941788775</v>
      </c>
      <c r="K425" s="6">
        <f>$B$252*50*'Results - raw data ReCiPe (H)'!BL128/(1-$AC$390)*(1+'Results ReCiPe (H) - HHD'!$AC$271/'Results ReCiPe (H) - HHD'!$AC$272-'Results ReCiPe (H) - HHD'!$AC$271)</f>
        <v>333.26058787049283</v>
      </c>
      <c r="L425" s="6">
        <f>$B$252*50*'Results - raw data ReCiPe (H)'!BM128/(1-$AC$390)*(1+'Results ReCiPe (H) - HHD'!$AC$271/'Results ReCiPe (H) - HHD'!$AC$272-'Results ReCiPe (H) - HHD'!$AC$271)</f>
        <v>334.00835882653439</v>
      </c>
      <c r="M425" s="6">
        <f>$B$252*50*'Results - raw data ReCiPe (H)'!BN128/(1-$AC$390)*(1+'Results ReCiPe (H) - HHD'!$AC$271/'Results ReCiPe (H) - HHD'!$AC$272-'Results ReCiPe (H) - HHD'!$AC$271)</f>
        <v>333.38088707198386</v>
      </c>
      <c r="N425" s="6">
        <f>$B$252*50*'Results - raw data ReCiPe (H)'!BO128/(1-$AC$390)*(1+'Results ReCiPe (H) - HHD'!$AC$271/'Results ReCiPe (H) - HHD'!$AC$272-'Results ReCiPe (H) - HHD'!$AC$271)</f>
        <v>332.76206358895985</v>
      </c>
      <c r="O425" s="6">
        <f>$B$252*50*'Results - raw data ReCiPe (H)'!BP128/(1-$AC$390)*(1+'Results ReCiPe (H) - HHD'!$AC$271/'Results ReCiPe (H) - HHD'!$AC$272-'Results ReCiPe (H) - HHD'!$AC$271)</f>
        <v>331.53763744536172</v>
      </c>
      <c r="P425" s="6">
        <f>$B$252*50*'Results - raw data ReCiPe (H)'!BQ128/(1-$AC$390)*(1+'Results ReCiPe (H) - HHD'!$AC$271/'Results ReCiPe (H) - HHD'!$AC$272-'Results ReCiPe (H) - HHD'!$AC$271)</f>
        <v>330.92844736523415</v>
      </c>
      <c r="Q425" s="6">
        <f>$B$252*50*'Results - raw data ReCiPe (H)'!BR128/(1-$AC$390)*(1+'Results ReCiPe (H) - HHD'!$AC$271/'Results ReCiPe (H) - HHD'!$AC$272-'Results ReCiPe (H) - HHD'!$AC$271)</f>
        <v>330.31248161658857</v>
      </c>
      <c r="R425" s="6">
        <f>$B$252*50*'Results - raw data ReCiPe (H)'!BS128/(1-$AC$390)*(1+'Results ReCiPe (H) - HHD'!$AC$271/'Results ReCiPe (H) - HHD'!$AC$272-'Results ReCiPe (H) - HHD'!$AC$271)</f>
        <v>328.83877564617239</v>
      </c>
      <c r="S425" s="6">
        <f>$B$252*50*'Results - raw data ReCiPe (H)'!BT128/(1-$AC$390)*(1+'Results ReCiPe (H) - HHD'!$AC$271/'Results ReCiPe (H) - HHD'!$AC$272-'Results ReCiPe (H) - HHD'!$AC$271)</f>
        <v>327.38039608044772</v>
      </c>
      <c r="T425" s="6">
        <f>$B$252*50*'Results - raw data ReCiPe (H)'!BU128/(1-$AC$390)*(1+'Results ReCiPe (H) - HHD'!$AC$271/'Results ReCiPe (H) - HHD'!$AC$272-'Results ReCiPe (H) - HHD'!$AC$271)</f>
        <v>325.35638183755327</v>
      </c>
      <c r="U425" s="6">
        <f>$B$252*50*'Results - raw data ReCiPe (H)'!BV128/(1-$AC$390)*(1+'Results ReCiPe (H) - HHD'!$AC$271/'Results ReCiPe (H) - HHD'!$AC$272-'Results ReCiPe (H) - HHD'!$AC$271)</f>
        <v>323.9140988352205</v>
      </c>
      <c r="V425" s="6">
        <f>$B$252*50*'Results - raw data ReCiPe (H)'!BW128/(1-$AC$390)*(1+'Results ReCiPe (H) - HHD'!$AC$271/'Results ReCiPe (H) - HHD'!$AC$272-'Results ReCiPe (H) - HHD'!$AC$271)</f>
        <v>322.40607780393708</v>
      </c>
      <c r="W425" s="6">
        <f>$B$252*50*'Results - raw data ReCiPe (H)'!BX128/(1-$AC$390)*(1+'Results ReCiPe (H) - HHD'!$AC$271/'Results ReCiPe (H) - HHD'!$AC$272-'Results ReCiPe (H) - HHD'!$AC$271)</f>
        <v>322.05583431739825</v>
      </c>
      <c r="X425" s="6">
        <f>$B$252*50*'Results - raw data ReCiPe (H)'!BY128/(1-$AC$390)*(1+'Results ReCiPe (H) - HHD'!$AC$271/'Results ReCiPe (H) - HHD'!$AC$272-'Results ReCiPe (H) - HHD'!$AC$271)</f>
        <v>321.70816822842056</v>
      </c>
      <c r="Y425" s="6">
        <f>$B$252*50*'Results - raw data ReCiPe (H)'!BZ128/(1-$AC$390)*(1+'Results ReCiPe (H) - HHD'!$AC$271/'Results ReCiPe (H) - HHD'!$AC$272-'Results ReCiPe (H) - HHD'!$AC$271)</f>
        <v>321.36199873353911</v>
      </c>
      <c r="Z425" s="6">
        <f>$B$252*50*'Results - raw data ReCiPe (H)'!CA128/(1-$AC$390)*(1+'Results ReCiPe (H) - HHD'!$AC$271/'Results ReCiPe (H) - HHD'!$AC$272-'Results ReCiPe (H) - HHD'!$AC$271)</f>
        <v>321.01729869105526</v>
      </c>
    </row>
    <row r="426" spans="1:53" outlineLevel="1" x14ac:dyDescent="0.35">
      <c r="A426" s="6" t="s">
        <v>797</v>
      </c>
      <c r="B426" s="6">
        <f>$B$380*$AC$384</f>
        <v>391.12436279725841</v>
      </c>
      <c r="C426" s="6">
        <f t="shared" ref="C426:Z426" si="58">$B$380*$AC$384</f>
        <v>391.12436279725841</v>
      </c>
      <c r="D426" s="6">
        <f t="shared" si="58"/>
        <v>391.12436279725841</v>
      </c>
      <c r="E426" s="6">
        <f t="shared" si="58"/>
        <v>391.12436279725841</v>
      </c>
      <c r="F426" s="6">
        <f t="shared" si="58"/>
        <v>391.12436279725841</v>
      </c>
      <c r="G426" s="6">
        <f t="shared" si="58"/>
        <v>391.12436279725841</v>
      </c>
      <c r="H426" s="6">
        <f t="shared" si="58"/>
        <v>391.12436279725841</v>
      </c>
      <c r="I426" s="6">
        <f t="shared" si="58"/>
        <v>391.12436279725841</v>
      </c>
      <c r="J426" s="6">
        <f t="shared" si="58"/>
        <v>391.12436279725841</v>
      </c>
      <c r="K426" s="6">
        <f t="shared" si="58"/>
        <v>391.12436279725841</v>
      </c>
      <c r="L426" s="6">
        <f t="shared" si="58"/>
        <v>391.12436279725841</v>
      </c>
      <c r="M426" s="6">
        <f t="shared" si="58"/>
        <v>391.12436279725841</v>
      </c>
      <c r="N426" s="6">
        <f t="shared" si="58"/>
        <v>391.12436279725841</v>
      </c>
      <c r="O426" s="6">
        <f t="shared" si="58"/>
        <v>391.12436279725841</v>
      </c>
      <c r="P426" s="6">
        <f t="shared" si="58"/>
        <v>391.12436279725841</v>
      </c>
      <c r="Q426" s="6">
        <f t="shared" si="58"/>
        <v>391.12436279725841</v>
      </c>
      <c r="R426" s="6">
        <f t="shared" si="58"/>
        <v>391.12436279725841</v>
      </c>
      <c r="S426" s="6">
        <f t="shared" si="58"/>
        <v>391.12436279725841</v>
      </c>
      <c r="T426" s="6">
        <f t="shared" si="58"/>
        <v>391.12436279725841</v>
      </c>
      <c r="U426" s="6">
        <f t="shared" si="58"/>
        <v>391.12436279725841</v>
      </c>
      <c r="V426" s="6">
        <f t="shared" si="58"/>
        <v>391.12436279725841</v>
      </c>
      <c r="W426" s="6">
        <f t="shared" si="58"/>
        <v>391.12436279725841</v>
      </c>
      <c r="X426" s="6">
        <f t="shared" si="58"/>
        <v>391.12436279725841</v>
      </c>
      <c r="Y426" s="6">
        <f t="shared" si="58"/>
        <v>391.12436279725841</v>
      </c>
      <c r="Z426" s="6">
        <f t="shared" si="58"/>
        <v>391.12436279725841</v>
      </c>
    </row>
    <row r="427" spans="1:53" outlineLevel="1" x14ac:dyDescent="0.35">
      <c r="A427" s="23" t="s">
        <v>125</v>
      </c>
      <c r="B427" s="17">
        <f>SUM(B395:B425)</f>
        <v>3286.5102916687861</v>
      </c>
      <c r="C427" s="17">
        <f t="shared" ref="C427:Z427" si="59">SUM(C395:C425)</f>
        <v>514.28660553032159</v>
      </c>
      <c r="D427" s="17">
        <f t="shared" si="59"/>
        <v>508.07307062296468</v>
      </c>
      <c r="E427" s="17">
        <f t="shared" si="59"/>
        <v>497.65738353447512</v>
      </c>
      <c r="F427" s="17">
        <f t="shared" si="59"/>
        <v>491.36388094002666</v>
      </c>
      <c r="G427" s="17">
        <f t="shared" si="59"/>
        <v>485.06333894674503</v>
      </c>
      <c r="H427" s="17">
        <f t="shared" si="59"/>
        <v>491.78639425793369</v>
      </c>
      <c r="I427" s="17">
        <f t="shared" si="59"/>
        <v>498.42413724110872</v>
      </c>
      <c r="J427" s="17">
        <f t="shared" si="59"/>
        <v>502.12286312731942</v>
      </c>
      <c r="K427" s="17">
        <f t="shared" si="59"/>
        <v>508.6215717471415</v>
      </c>
      <c r="L427" s="17">
        <f t="shared" si="59"/>
        <v>515.04400486654094</v>
      </c>
      <c r="M427" s="17">
        <f t="shared" si="59"/>
        <v>520.97676968436269</v>
      </c>
      <c r="N427" s="17">
        <f t="shared" si="59"/>
        <v>526.90824450843206</v>
      </c>
      <c r="O427" s="17">
        <f t="shared" si="59"/>
        <v>532.0440881938448</v>
      </c>
      <c r="P427" s="17">
        <f t="shared" si="59"/>
        <v>537.9694342131686</v>
      </c>
      <c r="Q427" s="17">
        <f t="shared" si="59"/>
        <v>543.87754625694254</v>
      </c>
      <c r="R427" s="17">
        <f t="shared" si="59"/>
        <v>540.05172891275834</v>
      </c>
      <c r="S427" s="17">
        <f t="shared" si="59"/>
        <v>536.23433437854521</v>
      </c>
      <c r="T427" s="17">
        <f t="shared" si="59"/>
        <v>531.67628332071035</v>
      </c>
      <c r="U427" s="17">
        <f t="shared" si="59"/>
        <v>527.86383104377262</v>
      </c>
      <c r="V427" s="17">
        <f t="shared" si="59"/>
        <v>523.97770978525443</v>
      </c>
      <c r="W427" s="17">
        <f t="shared" si="59"/>
        <v>523.47982729542036</v>
      </c>
      <c r="X427" s="17">
        <f t="shared" si="59"/>
        <v>522.989440798646</v>
      </c>
      <c r="Y427" s="17">
        <f t="shared" si="59"/>
        <v>522.50017120131429</v>
      </c>
      <c r="Z427" s="17">
        <f t="shared" si="59"/>
        <v>561.41590169653432</v>
      </c>
    </row>
    <row r="428" spans="1:53" s="26" customFormat="1" outlineLevel="1" x14ac:dyDescent="0.35"/>
    <row r="429" spans="1:53" s="236" customFormat="1" ht="21" x14ac:dyDescent="0.5">
      <c r="A429" s="236" t="s">
        <v>136</v>
      </c>
    </row>
    <row r="432" spans="1:53" x14ac:dyDescent="0.35">
      <c r="A432" s="331" t="s">
        <v>131</v>
      </c>
      <c r="B432" s="331"/>
      <c r="C432" s="331"/>
      <c r="D432" s="331"/>
      <c r="E432" s="331"/>
      <c r="F432" s="331"/>
      <c r="G432" s="331"/>
      <c r="H432" s="331"/>
      <c r="I432" s="331"/>
      <c r="J432" s="331"/>
      <c r="K432" s="331"/>
    </row>
    <row r="433" spans="1:11" x14ac:dyDescent="0.35">
      <c r="A433" s="6" t="s">
        <v>904</v>
      </c>
    </row>
    <row r="434" spans="1:11" x14ac:dyDescent="0.35">
      <c r="B434" s="6" t="s">
        <v>889</v>
      </c>
      <c r="C434" s="6" t="s">
        <v>891</v>
      </c>
      <c r="D434" s="6" t="s">
        <v>890</v>
      </c>
      <c r="E434" s="6" t="s">
        <v>892</v>
      </c>
      <c r="F434" s="6" t="s">
        <v>893</v>
      </c>
      <c r="G434" s="6" t="s">
        <v>894</v>
      </c>
      <c r="H434" s="6" t="s">
        <v>896</v>
      </c>
      <c r="I434" s="6" t="s">
        <v>897</v>
      </c>
      <c r="J434" s="6" t="s">
        <v>895</v>
      </c>
    </row>
    <row r="435" spans="1:11" x14ac:dyDescent="0.35">
      <c r="A435" s="6" t="s">
        <v>117</v>
      </c>
      <c r="B435" s="6">
        <f>SUM(AC10:BA10)</f>
        <v>2893.1840673783981</v>
      </c>
      <c r="C435" s="6">
        <f>SUM(AC50:BA50)</f>
        <v>2837.5515154411646</v>
      </c>
      <c r="D435" s="6">
        <f>SUM(AC90:BA90)</f>
        <v>2681.9296561792253</v>
      </c>
      <c r="E435" s="6">
        <f>SUM(AC132:BA132)</f>
        <v>2893.1840673783981</v>
      </c>
      <c r="F435" s="6">
        <f>SUM(AC173:BA173)</f>
        <v>2837.5515154411646</v>
      </c>
      <c r="G435" s="6">
        <f>SUM(AC214:BA214)</f>
        <v>2681.9296561792253</v>
      </c>
      <c r="H435" s="6">
        <f>SUM(AC274:BA274)</f>
        <v>2845.7346061175544</v>
      </c>
      <c r="I435" s="6">
        <f>SUM(AC334:BA334)</f>
        <v>2790.777108402302</v>
      </c>
      <c r="J435" s="6">
        <f>SUM(AC395:BA395)</f>
        <v>2636.5958501448285</v>
      </c>
    </row>
    <row r="436" spans="1:11" x14ac:dyDescent="0.35">
      <c r="A436" s="6" t="s">
        <v>118</v>
      </c>
      <c r="B436" s="6">
        <f>SUM(AC11:BA11)</f>
        <v>269.67676540478124</v>
      </c>
      <c r="C436" s="6">
        <f>SUM(AC51:BA51)</f>
        <v>266.94496473340826</v>
      </c>
      <c r="D436" s="6">
        <f>SUM(AC91:BA91)</f>
        <v>258.88808240632699</v>
      </c>
      <c r="E436" s="6">
        <f>SUM(AC133:BA133)</f>
        <v>269.67676540478124</v>
      </c>
      <c r="F436" s="6">
        <f>SUM(AC174:BA174)</f>
        <v>266.94496473340826</v>
      </c>
      <c r="G436" s="6">
        <f>SUM(AC215:BA215)</f>
        <v>258.88808240632699</v>
      </c>
      <c r="H436" s="6">
        <f t="shared" ref="H436:H444" si="60">SUM(AC275:BA275)</f>
        <v>134.83838270239062</v>
      </c>
      <c r="I436" s="6">
        <f t="shared" ref="I436:I444" si="61">SUM(AC335:BA335)</f>
        <v>133.47248236670413</v>
      </c>
      <c r="J436" s="6">
        <f t="shared" ref="J436:J444" si="62">SUM(AC396:BA396)</f>
        <v>129.44404120316349</v>
      </c>
    </row>
    <row r="437" spans="1:11" x14ac:dyDescent="0.35">
      <c r="A437" s="6" t="s">
        <v>119</v>
      </c>
      <c r="B437" s="6">
        <f>SUM(AC12:BA12)</f>
        <v>45.635874346592793</v>
      </c>
      <c r="C437" s="6">
        <f>SUM(AC52:BA52)</f>
        <v>41.794125692809452</v>
      </c>
      <c r="D437" s="6">
        <f>SUM(AC92:BA92)</f>
        <v>38.789621318581062</v>
      </c>
      <c r="E437" s="6">
        <f>SUM(AC134:BA134)</f>
        <v>45.635874346592793</v>
      </c>
      <c r="F437" s="6">
        <f>SUM(AC175:BA175)</f>
        <v>41.794125692809452</v>
      </c>
      <c r="G437" s="6">
        <f>SUM(AC216:BA216)</f>
        <v>38.789621318581062</v>
      </c>
      <c r="H437" s="6">
        <f t="shared" si="60"/>
        <v>45.635874346592793</v>
      </c>
      <c r="I437" s="6">
        <f t="shared" si="61"/>
        <v>41.794125692809452</v>
      </c>
      <c r="J437" s="6">
        <f t="shared" si="62"/>
        <v>38.789621318581062</v>
      </c>
    </row>
    <row r="438" spans="1:11" x14ac:dyDescent="0.35">
      <c r="A438" s="6" t="s">
        <v>120</v>
      </c>
      <c r="B438" s="6">
        <f>SUM(AC13:BA13)</f>
        <v>5.3706297748739608E-4</v>
      </c>
      <c r="C438" s="6">
        <f>SUM(AC53:BA53)</f>
        <v>1.2962860497828945</v>
      </c>
      <c r="D438" s="6">
        <f>SUM(AC93:BA93)</f>
        <v>1.2288061080708204</v>
      </c>
      <c r="E438" s="6">
        <f>SUM(AC135:BA135)</f>
        <v>1.3426574437184902</v>
      </c>
      <c r="F438" s="6">
        <f>SUM(AC176:BA176)</f>
        <v>1.2962860497828945</v>
      </c>
      <c r="G438" s="6">
        <f>SUM(AC217:BA217)</f>
        <v>1.2288061080708204</v>
      </c>
      <c r="H438" s="6">
        <f t="shared" si="60"/>
        <v>2.6853148874369804E-4</v>
      </c>
      <c r="I438" s="6">
        <f t="shared" si="61"/>
        <v>0.64814302489144726</v>
      </c>
      <c r="J438" s="6">
        <f t="shared" si="62"/>
        <v>0.61440305403541018</v>
      </c>
    </row>
    <row r="439" spans="1:11" x14ac:dyDescent="0.35">
      <c r="A439" s="6" t="s">
        <v>121</v>
      </c>
      <c r="B439" s="6">
        <f>SUM(AC14:BA14)</f>
        <v>1050.2631544123385</v>
      </c>
      <c r="C439" s="6">
        <f>SUM(AC54:BA54)</f>
        <v>1033.4263701065008</v>
      </c>
      <c r="D439" s="6">
        <f>SUM(AC94:BA94)</f>
        <v>1014.1087350303941</v>
      </c>
      <c r="E439" s="6">
        <f>SUM(AC136:BA136)</f>
        <v>1050.2631544123385</v>
      </c>
      <c r="F439" s="6">
        <f>SUM(AC177:BA177)</f>
        <v>1033.4263701065008</v>
      </c>
      <c r="G439" s="6">
        <f>SUM(AC218:BA218)</f>
        <v>1014.1087350303941</v>
      </c>
      <c r="H439" s="6">
        <f t="shared" si="60"/>
        <v>1050.2631544123385</v>
      </c>
      <c r="I439" s="6">
        <f t="shared" si="61"/>
        <v>1033.4263701065008</v>
      </c>
      <c r="J439" s="6">
        <f t="shared" si="62"/>
        <v>1014.1087350303941</v>
      </c>
    </row>
    <row r="440" spans="1:11" x14ac:dyDescent="0.35">
      <c r="A440" s="6" t="s">
        <v>800</v>
      </c>
      <c r="H440" s="6">
        <f t="shared" si="60"/>
        <v>10657.194576907372</v>
      </c>
      <c r="I440" s="6">
        <f t="shared" si="61"/>
        <v>10440.610308424351</v>
      </c>
      <c r="J440" s="6">
        <f t="shared" si="62"/>
        <v>9778.1090699314573</v>
      </c>
    </row>
    <row r="441" spans="1:11" x14ac:dyDescent="0.35">
      <c r="A441" s="6" t="s">
        <v>122</v>
      </c>
      <c r="B441" s="6">
        <f>SUM(AC15:BA15)</f>
        <v>66458.897261617778</v>
      </c>
      <c r="C441" s="6">
        <f>SUM(AC55:BA55)</f>
        <v>56714.211316849192</v>
      </c>
      <c r="D441" s="6">
        <f>SUM(AC95:BA95)</f>
        <v>43878.850141213807</v>
      </c>
      <c r="E441" s="6">
        <f>SUM(AC137:BA137)</f>
        <v>52327.131303148788</v>
      </c>
      <c r="F441" s="6">
        <f>SUM(AC178:BA178)</f>
        <v>44885.454534047021</v>
      </c>
      <c r="G441" s="6">
        <f>SUM(AC219:BA219)</f>
        <v>35051.07806002174</v>
      </c>
      <c r="H441" s="6">
        <f t="shared" si="60"/>
        <v>8542.336134653513</v>
      </c>
      <c r="I441" s="6">
        <f t="shared" si="61"/>
        <v>8479.5027660768174</v>
      </c>
      <c r="J441" s="6">
        <f t="shared" si="62"/>
        <v>8262.6863047392053</v>
      </c>
    </row>
    <row r="442" spans="1:11" x14ac:dyDescent="0.35">
      <c r="A442" s="6" t="s">
        <v>123</v>
      </c>
      <c r="B442" s="6">
        <f>SUM(AC16:BA16)</f>
        <v>5446.8181011502411</v>
      </c>
      <c r="C442" s="6">
        <f>SUM(AC56:BA56)</f>
        <v>4713.2804124317836</v>
      </c>
      <c r="D442" s="6">
        <f>SUM(AC96:BA96)</f>
        <v>3731.6829830699776</v>
      </c>
      <c r="E442" s="6">
        <f>SUM(AC138:BA138)</f>
        <v>5446.8181011502411</v>
      </c>
      <c r="F442" s="6">
        <f>SUM(AC179:BA179)</f>
        <v>4713.2804124317836</v>
      </c>
      <c r="G442" s="6">
        <f>SUM(AC220:BA220)</f>
        <v>3731.6829830699776</v>
      </c>
      <c r="H442" s="6">
        <f t="shared" si="60"/>
        <v>2723.4090505751205</v>
      </c>
      <c r="I442" s="6">
        <f t="shared" si="61"/>
        <v>2356.6402062158918</v>
      </c>
      <c r="J442" s="6">
        <f t="shared" si="62"/>
        <v>1865.8414915349888</v>
      </c>
    </row>
    <row r="443" spans="1:11" x14ac:dyDescent="0.35">
      <c r="A443" s="6" t="s">
        <v>124</v>
      </c>
      <c r="B443" s="6">
        <f>SUM(AC17:BA17)</f>
        <v>0</v>
      </c>
      <c r="C443" s="6">
        <f>SUM(AC57:BA57)</f>
        <v>0</v>
      </c>
      <c r="D443" s="6">
        <f>SUM(AC97:BA97)</f>
        <v>0</v>
      </c>
      <c r="E443" s="6">
        <f>SUM(AC139:BA139)</f>
        <v>0</v>
      </c>
      <c r="F443" s="6">
        <f>SUM(AC180:BA180)</f>
        <v>0</v>
      </c>
      <c r="G443" s="6">
        <f>SUM(AC221:BA221)</f>
        <v>0</v>
      </c>
      <c r="H443" s="6">
        <f t="shared" si="60"/>
        <v>0</v>
      </c>
      <c r="I443" s="6">
        <f t="shared" si="61"/>
        <v>0</v>
      </c>
      <c r="J443" s="6">
        <f t="shared" si="62"/>
        <v>0</v>
      </c>
    </row>
    <row r="444" spans="1:11" x14ac:dyDescent="0.35">
      <c r="A444" s="6" t="s">
        <v>137</v>
      </c>
      <c r="B444" s="6">
        <f>SUM(AC18:BA18)</f>
        <v>76164.475761373091</v>
      </c>
      <c r="C444" s="6">
        <f>SUM(AC58:BA58)</f>
        <v>65608.504991304653</v>
      </c>
      <c r="D444" s="6">
        <f>SUM(AC98:BA98)</f>
        <v>51605.478025326382</v>
      </c>
      <c r="E444" s="6">
        <f>SUM(AC140:BA140)</f>
        <v>62034.051923284882</v>
      </c>
      <c r="F444" s="6">
        <f>SUM(AC181:BA181)</f>
        <v>53779.748208502468</v>
      </c>
      <c r="G444" s="6">
        <f>SUM(AC222:BA222)</f>
        <v>42777.705944134308</v>
      </c>
      <c r="H444" s="6">
        <f t="shared" si="60"/>
        <v>25999.412048246373</v>
      </c>
      <c r="I444" s="6">
        <f t="shared" si="61"/>
        <v>25276.871510310266</v>
      </c>
      <c r="J444" s="6">
        <f t="shared" si="62"/>
        <v>23726.18951695666</v>
      </c>
    </row>
    <row r="446" spans="1:11" x14ac:dyDescent="0.35">
      <c r="A446" s="331" t="s">
        <v>133</v>
      </c>
      <c r="B446" s="331"/>
      <c r="C446" s="331"/>
      <c r="D446" s="331"/>
      <c r="E446" s="331"/>
      <c r="F446" s="331"/>
      <c r="G446" s="331"/>
      <c r="H446" s="331"/>
      <c r="I446" s="331"/>
      <c r="J446" s="331"/>
      <c r="K446" s="331"/>
    </row>
    <row r="447" spans="1:11" x14ac:dyDescent="0.35">
      <c r="A447" s="6" t="s">
        <v>905</v>
      </c>
    </row>
    <row r="448" spans="1:11" x14ac:dyDescent="0.35">
      <c r="B448" s="6" t="s">
        <v>889</v>
      </c>
      <c r="C448" s="6" t="s">
        <v>891</v>
      </c>
      <c r="D448" s="6" t="s">
        <v>890</v>
      </c>
      <c r="E448" s="6" t="s">
        <v>892</v>
      </c>
      <c r="F448" s="6" t="s">
        <v>893</v>
      </c>
      <c r="G448" s="6" t="s">
        <v>894</v>
      </c>
      <c r="H448" s="6" t="s">
        <v>896</v>
      </c>
      <c r="I448" s="6" t="s">
        <v>897</v>
      </c>
      <c r="J448" s="6" t="s">
        <v>895</v>
      </c>
    </row>
    <row r="449" spans="1:11" x14ac:dyDescent="0.35">
      <c r="A449" s="6" t="s">
        <v>117</v>
      </c>
      <c r="B449" s="6">
        <f>B435/25</f>
        <v>115.72736269513592</v>
      </c>
      <c r="C449" s="6">
        <f t="shared" ref="C449:J449" si="63">C435/25</f>
        <v>113.50206061764658</v>
      </c>
      <c r="D449" s="6">
        <f t="shared" si="63"/>
        <v>107.27718624716901</v>
      </c>
      <c r="E449" s="6">
        <f t="shared" si="63"/>
        <v>115.72736269513592</v>
      </c>
      <c r="F449" s="6">
        <f t="shared" si="63"/>
        <v>113.50206061764658</v>
      </c>
      <c r="G449" s="6">
        <f t="shared" si="63"/>
        <v>107.27718624716901</v>
      </c>
      <c r="H449" s="6">
        <f t="shared" si="63"/>
        <v>113.82938424470218</v>
      </c>
      <c r="I449" s="6">
        <f t="shared" si="63"/>
        <v>111.63108433609209</v>
      </c>
      <c r="J449" s="6">
        <f t="shared" si="63"/>
        <v>105.46383400579315</v>
      </c>
    </row>
    <row r="450" spans="1:11" x14ac:dyDescent="0.35">
      <c r="A450" s="6" t="s">
        <v>118</v>
      </c>
      <c r="B450" s="6">
        <f t="shared" ref="B450:J458" si="64">B436/25</f>
        <v>10.787070616191249</v>
      </c>
      <c r="C450" s="6">
        <f t="shared" si="64"/>
        <v>10.67779858933633</v>
      </c>
      <c r="D450" s="6">
        <f t="shared" si="64"/>
        <v>10.355523296253079</v>
      </c>
      <c r="E450" s="6">
        <f t="shared" si="64"/>
        <v>10.787070616191249</v>
      </c>
      <c r="F450" s="6">
        <f t="shared" si="64"/>
        <v>10.67779858933633</v>
      </c>
      <c r="G450" s="6">
        <f t="shared" si="64"/>
        <v>10.355523296253079</v>
      </c>
      <c r="H450" s="6">
        <f t="shared" si="64"/>
        <v>5.3935353080956245</v>
      </c>
      <c r="I450" s="6">
        <f t="shared" si="64"/>
        <v>5.338899294668165</v>
      </c>
      <c r="J450" s="6">
        <f t="shared" si="64"/>
        <v>5.1777616481265394</v>
      </c>
    </row>
    <row r="451" spans="1:11" x14ac:dyDescent="0.35">
      <c r="A451" s="6" t="s">
        <v>119</v>
      </c>
      <c r="B451" s="6">
        <f t="shared" si="64"/>
        <v>1.8254349738637117</v>
      </c>
      <c r="C451" s="6">
        <f t="shared" si="64"/>
        <v>1.6717650277123781</v>
      </c>
      <c r="D451" s="6">
        <f t="shared" si="64"/>
        <v>1.5515848527432425</v>
      </c>
      <c r="E451" s="6">
        <f t="shared" si="64"/>
        <v>1.8254349738637117</v>
      </c>
      <c r="F451" s="6">
        <f t="shared" si="64"/>
        <v>1.6717650277123781</v>
      </c>
      <c r="G451" s="6">
        <f t="shared" si="64"/>
        <v>1.5515848527432425</v>
      </c>
      <c r="H451" s="6">
        <f t="shared" si="64"/>
        <v>1.8254349738637117</v>
      </c>
      <c r="I451" s="6">
        <f t="shared" si="64"/>
        <v>1.6717650277123781</v>
      </c>
      <c r="J451" s="6">
        <f t="shared" si="64"/>
        <v>1.5515848527432425</v>
      </c>
    </row>
    <row r="452" spans="1:11" x14ac:dyDescent="0.35">
      <c r="A452" s="6" t="s">
        <v>120</v>
      </c>
      <c r="B452" s="6">
        <f t="shared" si="64"/>
        <v>2.1482519099495843E-5</v>
      </c>
      <c r="C452" s="6">
        <f t="shared" si="64"/>
        <v>5.1851441991315778E-2</v>
      </c>
      <c r="D452" s="6">
        <f t="shared" si="64"/>
        <v>4.9152244322832814E-2</v>
      </c>
      <c r="E452" s="6">
        <f t="shared" si="64"/>
        <v>5.3706297748739605E-2</v>
      </c>
      <c r="F452" s="6">
        <f t="shared" si="64"/>
        <v>5.1851441991315778E-2</v>
      </c>
      <c r="G452" s="6">
        <f t="shared" si="64"/>
        <v>4.9152244322832814E-2</v>
      </c>
      <c r="H452" s="6">
        <f t="shared" si="64"/>
        <v>1.0741259549747921E-5</v>
      </c>
      <c r="I452" s="6">
        <f t="shared" si="64"/>
        <v>2.5925720995657889E-2</v>
      </c>
      <c r="J452" s="6">
        <f t="shared" si="64"/>
        <v>2.4576122161416407E-2</v>
      </c>
    </row>
    <row r="453" spans="1:11" x14ac:dyDescent="0.35">
      <c r="A453" s="6" t="s">
        <v>121</v>
      </c>
      <c r="B453" s="6">
        <f t="shared" si="64"/>
        <v>42.010526176493542</v>
      </c>
      <c r="C453" s="6">
        <f t="shared" si="64"/>
        <v>41.337054804260035</v>
      </c>
      <c r="D453" s="6">
        <f t="shared" si="64"/>
        <v>40.564349401215765</v>
      </c>
      <c r="E453" s="6">
        <f t="shared" si="64"/>
        <v>42.010526176493542</v>
      </c>
      <c r="F453" s="6">
        <f t="shared" si="64"/>
        <v>41.337054804260035</v>
      </c>
      <c r="G453" s="6">
        <f t="shared" si="64"/>
        <v>40.564349401215765</v>
      </c>
      <c r="H453" s="6">
        <f t="shared" si="64"/>
        <v>42.010526176493542</v>
      </c>
      <c r="I453" s="6">
        <f t="shared" si="64"/>
        <v>41.337054804260035</v>
      </c>
      <c r="J453" s="6">
        <f t="shared" si="64"/>
        <v>40.564349401215765</v>
      </c>
    </row>
    <row r="454" spans="1:11" x14ac:dyDescent="0.35">
      <c r="A454" s="6" t="s">
        <v>800</v>
      </c>
      <c r="B454" s="6">
        <f t="shared" si="64"/>
        <v>0</v>
      </c>
      <c r="C454" s="6">
        <f t="shared" si="64"/>
        <v>0</v>
      </c>
      <c r="D454" s="6">
        <f t="shared" si="64"/>
        <v>0</v>
      </c>
      <c r="E454" s="6">
        <f t="shared" si="64"/>
        <v>0</v>
      </c>
      <c r="F454" s="6">
        <f t="shared" si="64"/>
        <v>0</v>
      </c>
      <c r="G454" s="6">
        <f t="shared" si="64"/>
        <v>0</v>
      </c>
      <c r="H454" s="6">
        <f t="shared" si="64"/>
        <v>426.28778307629489</v>
      </c>
      <c r="I454" s="6">
        <f t="shared" si="64"/>
        <v>417.62441233697405</v>
      </c>
      <c r="J454" s="6">
        <f t="shared" si="64"/>
        <v>391.1243627972583</v>
      </c>
    </row>
    <row r="455" spans="1:11" x14ac:dyDescent="0.35">
      <c r="A455" s="6" t="s">
        <v>122</v>
      </c>
      <c r="B455" s="6">
        <f t="shared" si="64"/>
        <v>2658.3558904647111</v>
      </c>
      <c r="C455" s="6">
        <f t="shared" si="64"/>
        <v>2268.5684526739678</v>
      </c>
      <c r="D455" s="6">
        <f t="shared" si="64"/>
        <v>1755.1540056485524</v>
      </c>
      <c r="E455" s="6">
        <f t="shared" si="64"/>
        <v>2093.0852521259517</v>
      </c>
      <c r="F455" s="6">
        <f t="shared" si="64"/>
        <v>1795.4181813618809</v>
      </c>
      <c r="G455" s="6">
        <f t="shared" si="64"/>
        <v>1402.0431224008696</v>
      </c>
      <c r="H455" s="6">
        <f t="shared" si="64"/>
        <v>341.69344538614052</v>
      </c>
      <c r="I455" s="6">
        <f t="shared" si="64"/>
        <v>339.18011064307268</v>
      </c>
      <c r="J455" s="6">
        <f t="shared" si="64"/>
        <v>330.5074521895682</v>
      </c>
    </row>
    <row r="456" spans="1:11" x14ac:dyDescent="0.35">
      <c r="A456" s="6" t="s">
        <v>123</v>
      </c>
      <c r="B456" s="6">
        <f t="shared" si="64"/>
        <v>217.87272404600964</v>
      </c>
      <c r="C456" s="6">
        <f t="shared" si="64"/>
        <v>188.53121649727134</v>
      </c>
      <c r="D456" s="6">
        <f t="shared" si="64"/>
        <v>149.2673193227991</v>
      </c>
      <c r="E456" s="6">
        <f t="shared" si="64"/>
        <v>217.87272404600964</v>
      </c>
      <c r="F456" s="6">
        <f t="shared" si="64"/>
        <v>188.53121649727134</v>
      </c>
      <c r="G456" s="6">
        <f t="shared" si="64"/>
        <v>149.2673193227991</v>
      </c>
      <c r="H456" s="6">
        <f t="shared" si="64"/>
        <v>108.93636202300482</v>
      </c>
      <c r="I456" s="6">
        <f t="shared" si="64"/>
        <v>94.265608248635672</v>
      </c>
      <c r="J456" s="6">
        <f t="shared" si="64"/>
        <v>74.633659661399548</v>
      </c>
    </row>
    <row r="457" spans="1:11" x14ac:dyDescent="0.35">
      <c r="A457" s="6" t="s">
        <v>124</v>
      </c>
      <c r="B457" s="6">
        <f t="shared" si="64"/>
        <v>0</v>
      </c>
      <c r="C457" s="6">
        <f t="shared" si="64"/>
        <v>0</v>
      </c>
      <c r="D457" s="6">
        <f t="shared" si="64"/>
        <v>0</v>
      </c>
      <c r="E457" s="6">
        <f t="shared" si="64"/>
        <v>0</v>
      </c>
      <c r="F457" s="6">
        <f t="shared" si="64"/>
        <v>0</v>
      </c>
      <c r="G457" s="6">
        <f t="shared" si="64"/>
        <v>0</v>
      </c>
      <c r="H457" s="6">
        <f t="shared" si="64"/>
        <v>0</v>
      </c>
      <c r="I457" s="6">
        <f t="shared" si="64"/>
        <v>0</v>
      </c>
      <c r="J457" s="6">
        <f t="shared" si="64"/>
        <v>0</v>
      </c>
    </row>
    <row r="458" spans="1:11" x14ac:dyDescent="0.35">
      <c r="A458" s="6" t="s">
        <v>137</v>
      </c>
      <c r="B458" s="6">
        <f t="shared" si="64"/>
        <v>3046.5790304549237</v>
      </c>
      <c r="C458" s="6">
        <f t="shared" si="64"/>
        <v>2624.3401996521861</v>
      </c>
      <c r="D458" s="6">
        <f t="shared" si="64"/>
        <v>2064.2191210130554</v>
      </c>
      <c r="E458" s="6">
        <f t="shared" si="64"/>
        <v>2481.3620769313952</v>
      </c>
      <c r="F458" s="6">
        <f t="shared" si="64"/>
        <v>2151.1899283400985</v>
      </c>
      <c r="G458" s="6">
        <f t="shared" si="64"/>
        <v>1711.1082377653722</v>
      </c>
      <c r="H458" s="6">
        <f t="shared" si="64"/>
        <v>1039.976481929855</v>
      </c>
      <c r="I458" s="6">
        <f t="shared" si="64"/>
        <v>1011.0748604124107</v>
      </c>
      <c r="J458" s="6">
        <f t="shared" si="64"/>
        <v>949.0475806782664</v>
      </c>
    </row>
    <row r="461" spans="1:11" x14ac:dyDescent="0.35">
      <c r="A461" s="331" t="s">
        <v>135</v>
      </c>
      <c r="B461" s="331"/>
      <c r="C461" s="331"/>
      <c r="D461" s="331"/>
      <c r="E461" s="331"/>
      <c r="F461" s="331"/>
      <c r="G461" s="331"/>
      <c r="H461" s="331"/>
      <c r="I461" s="331"/>
      <c r="J461" s="331"/>
      <c r="K461" s="331"/>
    </row>
    <row r="462" spans="1:11" x14ac:dyDescent="0.35">
      <c r="A462" s="6" t="s">
        <v>906</v>
      </c>
    </row>
    <row r="463" spans="1:11" x14ac:dyDescent="0.35">
      <c r="A463" s="6" t="s">
        <v>139</v>
      </c>
      <c r="B463" s="6">
        <v>100</v>
      </c>
      <c r="C463" s="6" t="s">
        <v>128</v>
      </c>
    </row>
    <row r="464" spans="1:11" x14ac:dyDescent="0.35">
      <c r="A464" s="6" t="s">
        <v>140</v>
      </c>
      <c r="B464" s="6">
        <v>50</v>
      </c>
      <c r="C464" s="6" t="s">
        <v>128</v>
      </c>
    </row>
    <row r="466" spans="1:12" x14ac:dyDescent="0.35">
      <c r="B466" s="6" t="s">
        <v>889</v>
      </c>
      <c r="C466" s="6" t="s">
        <v>891</v>
      </c>
      <c r="D466" s="6" t="s">
        <v>890</v>
      </c>
      <c r="E466" s="6" t="s">
        <v>892</v>
      </c>
      <c r="F466" s="6" t="s">
        <v>893</v>
      </c>
      <c r="G466" s="6" t="s">
        <v>894</v>
      </c>
      <c r="H466" s="6" t="s">
        <v>896</v>
      </c>
      <c r="I466" s="6" t="s">
        <v>897</v>
      </c>
      <c r="J466" s="6" t="s">
        <v>895</v>
      </c>
    </row>
    <row r="467" spans="1:12" x14ac:dyDescent="0.35">
      <c r="A467" s="6" t="s">
        <v>117</v>
      </c>
      <c r="B467" s="6">
        <f t="shared" ref="B467:G476" si="65">B449/$B$463</f>
        <v>1.1572736269513593</v>
      </c>
      <c r="C467" s="6">
        <f t="shared" si="65"/>
        <v>1.1350206061764658</v>
      </c>
      <c r="D467" s="6">
        <f t="shared" si="65"/>
        <v>1.0727718624716902</v>
      </c>
      <c r="E467" s="6">
        <f t="shared" si="65"/>
        <v>1.1572736269513593</v>
      </c>
      <c r="F467" s="6">
        <f t="shared" si="65"/>
        <v>1.1350206061764658</v>
      </c>
      <c r="G467" s="6">
        <f t="shared" si="65"/>
        <v>1.0727718624716902</v>
      </c>
      <c r="H467" s="6">
        <f>H449/$B$464</f>
        <v>2.2765876848940438</v>
      </c>
      <c r="I467" s="6">
        <f>I449/$B$464</f>
        <v>2.2326216867218416</v>
      </c>
      <c r="J467" s="6">
        <f>J449/$B$464</f>
        <v>2.1092766801158631</v>
      </c>
    </row>
    <row r="468" spans="1:12" x14ac:dyDescent="0.35">
      <c r="A468" s="6" t="s">
        <v>118</v>
      </c>
      <c r="B468" s="6">
        <f t="shared" si="65"/>
        <v>0.10787070616191249</v>
      </c>
      <c r="C468" s="6">
        <f t="shared" si="65"/>
        <v>0.10677798589336331</v>
      </c>
      <c r="D468" s="6">
        <f t="shared" si="65"/>
        <v>0.10355523296253079</v>
      </c>
      <c r="E468" s="6">
        <f t="shared" si="65"/>
        <v>0.10787070616191249</v>
      </c>
      <c r="F468" s="6">
        <f t="shared" si="65"/>
        <v>0.10677798589336331</v>
      </c>
      <c r="G468" s="6">
        <f t="shared" si="65"/>
        <v>0.10355523296253079</v>
      </c>
      <c r="H468" s="6">
        <f t="shared" ref="H468:J476" si="66">H450/$B$464</f>
        <v>0.10787070616191249</v>
      </c>
      <c r="I468" s="6">
        <f t="shared" si="66"/>
        <v>0.10677798589336331</v>
      </c>
      <c r="J468" s="6">
        <f t="shared" si="66"/>
        <v>0.10355523296253079</v>
      </c>
    </row>
    <row r="469" spans="1:12" x14ac:dyDescent="0.35">
      <c r="A469" s="6" t="s">
        <v>119</v>
      </c>
      <c r="B469" s="6">
        <f t="shared" si="65"/>
        <v>1.8254349738637116E-2</v>
      </c>
      <c r="C469" s="6">
        <f t="shared" si="65"/>
        <v>1.6717650277123783E-2</v>
      </c>
      <c r="D469" s="6">
        <f t="shared" si="65"/>
        <v>1.5515848527432425E-2</v>
      </c>
      <c r="E469" s="6">
        <f t="shared" si="65"/>
        <v>1.8254349738637116E-2</v>
      </c>
      <c r="F469" s="6">
        <f t="shared" si="65"/>
        <v>1.6717650277123783E-2</v>
      </c>
      <c r="G469" s="6">
        <f t="shared" si="65"/>
        <v>1.5515848527432425E-2</v>
      </c>
      <c r="H469" s="6">
        <f t="shared" si="66"/>
        <v>3.6508699477274233E-2</v>
      </c>
      <c r="I469" s="6">
        <f t="shared" si="66"/>
        <v>3.3435300554247566E-2</v>
      </c>
      <c r="J469" s="6">
        <f t="shared" si="66"/>
        <v>3.1031697054864849E-2</v>
      </c>
    </row>
    <row r="470" spans="1:12" x14ac:dyDescent="0.35">
      <c r="A470" s="6" t="s">
        <v>120</v>
      </c>
      <c r="B470" s="6">
        <f t="shared" si="65"/>
        <v>2.1482519099495843E-7</v>
      </c>
      <c r="C470" s="6">
        <f t="shared" si="65"/>
        <v>5.1851441991315782E-4</v>
      </c>
      <c r="D470" s="6">
        <f t="shared" si="65"/>
        <v>4.9152244322832816E-4</v>
      </c>
      <c r="E470" s="6">
        <f t="shared" si="65"/>
        <v>5.3706297748739608E-4</v>
      </c>
      <c r="F470" s="6">
        <f t="shared" si="65"/>
        <v>5.1851441991315782E-4</v>
      </c>
      <c r="G470" s="6">
        <f t="shared" si="65"/>
        <v>4.9152244322832816E-4</v>
      </c>
      <c r="H470" s="6">
        <f t="shared" si="66"/>
        <v>2.1482519099495843E-7</v>
      </c>
      <c r="I470" s="6">
        <f t="shared" si="66"/>
        <v>5.1851441991315782E-4</v>
      </c>
      <c r="J470" s="6">
        <f t="shared" si="66"/>
        <v>4.9152244322832816E-4</v>
      </c>
    </row>
    <row r="471" spans="1:12" x14ac:dyDescent="0.35">
      <c r="A471" s="6" t="s">
        <v>121</v>
      </c>
      <c r="B471" s="6">
        <f t="shared" si="65"/>
        <v>0.4201052617649354</v>
      </c>
      <c r="C471" s="6">
        <f t="shared" si="65"/>
        <v>0.41337054804260037</v>
      </c>
      <c r="D471" s="6">
        <f t="shared" si="65"/>
        <v>0.40564349401215766</v>
      </c>
      <c r="E471" s="6">
        <f t="shared" si="65"/>
        <v>0.4201052617649354</v>
      </c>
      <c r="F471" s="6">
        <f t="shared" si="65"/>
        <v>0.41337054804260037</v>
      </c>
      <c r="G471" s="6">
        <f t="shared" si="65"/>
        <v>0.40564349401215766</v>
      </c>
      <c r="H471" s="6">
        <f t="shared" si="66"/>
        <v>0.8402105235298708</v>
      </c>
      <c r="I471" s="6">
        <f t="shared" si="66"/>
        <v>0.82674109608520074</v>
      </c>
      <c r="J471" s="6">
        <f t="shared" si="66"/>
        <v>0.81128698802431531</v>
      </c>
    </row>
    <row r="472" spans="1:12" x14ac:dyDescent="0.35">
      <c r="A472" s="6" t="s">
        <v>800</v>
      </c>
      <c r="B472" s="6">
        <f t="shared" si="65"/>
        <v>0</v>
      </c>
      <c r="C472" s="6">
        <f t="shared" si="65"/>
        <v>0</v>
      </c>
      <c r="D472" s="6">
        <f t="shared" si="65"/>
        <v>0</v>
      </c>
      <c r="E472" s="6">
        <f t="shared" si="65"/>
        <v>0</v>
      </c>
      <c r="F472" s="6">
        <f t="shared" si="65"/>
        <v>0</v>
      </c>
      <c r="G472" s="6">
        <f t="shared" si="65"/>
        <v>0</v>
      </c>
      <c r="H472" s="6">
        <f t="shared" si="66"/>
        <v>8.5257556615258974</v>
      </c>
      <c r="I472" s="6">
        <f t="shared" si="66"/>
        <v>8.3524882467394814</v>
      </c>
      <c r="J472" s="6">
        <f t="shared" si="66"/>
        <v>7.8224872559451661</v>
      </c>
    </row>
    <row r="473" spans="1:12" x14ac:dyDescent="0.35">
      <c r="A473" s="6" t="s">
        <v>122</v>
      </c>
      <c r="B473" s="6">
        <f t="shared" si="65"/>
        <v>26.583558904647113</v>
      </c>
      <c r="C473" s="6">
        <f t="shared" si="65"/>
        <v>22.685684526739678</v>
      </c>
      <c r="D473" s="6">
        <f t="shared" si="65"/>
        <v>17.551540056485525</v>
      </c>
      <c r="E473" s="6">
        <f t="shared" si="65"/>
        <v>20.930852521259517</v>
      </c>
      <c r="F473" s="6">
        <f t="shared" si="65"/>
        <v>17.95418181361881</v>
      </c>
      <c r="G473" s="6">
        <f t="shared" si="65"/>
        <v>14.020431224008696</v>
      </c>
      <c r="H473" s="6">
        <f t="shared" si="66"/>
        <v>6.8338689077228105</v>
      </c>
      <c r="I473" s="6">
        <f t="shared" si="66"/>
        <v>6.7836022128614539</v>
      </c>
      <c r="J473" s="6">
        <f t="shared" si="66"/>
        <v>6.6101490437913641</v>
      </c>
      <c r="L473" s="1"/>
    </row>
    <row r="474" spans="1:12" x14ac:dyDescent="0.35">
      <c r="A474" s="6" t="s">
        <v>123</v>
      </c>
      <c r="B474" s="6">
        <f t="shared" si="65"/>
        <v>2.1787272404600966</v>
      </c>
      <c r="C474" s="6">
        <f t="shared" si="65"/>
        <v>1.8853121649727134</v>
      </c>
      <c r="D474" s="6">
        <f t="shared" si="65"/>
        <v>1.4926731932279909</v>
      </c>
      <c r="E474" s="6">
        <f t="shared" si="65"/>
        <v>2.1787272404600966</v>
      </c>
      <c r="F474" s="6">
        <f t="shared" si="65"/>
        <v>1.8853121649727134</v>
      </c>
      <c r="G474" s="6">
        <f t="shared" si="65"/>
        <v>1.4926731932279909</v>
      </c>
      <c r="H474" s="6">
        <f t="shared" si="66"/>
        <v>2.1787272404600966</v>
      </c>
      <c r="I474" s="6">
        <f t="shared" si="66"/>
        <v>1.8853121649727134</v>
      </c>
      <c r="J474" s="6">
        <f t="shared" si="66"/>
        <v>1.4926731932279909</v>
      </c>
    </row>
    <row r="475" spans="1:12" x14ac:dyDescent="0.35">
      <c r="A475" s="6" t="s">
        <v>124</v>
      </c>
      <c r="B475" s="6">
        <f t="shared" si="65"/>
        <v>0</v>
      </c>
      <c r="C475" s="6">
        <f t="shared" si="65"/>
        <v>0</v>
      </c>
      <c r="D475" s="6">
        <f t="shared" si="65"/>
        <v>0</v>
      </c>
      <c r="E475" s="6">
        <f t="shared" si="65"/>
        <v>0</v>
      </c>
      <c r="F475" s="6">
        <f t="shared" si="65"/>
        <v>0</v>
      </c>
      <c r="G475" s="6">
        <f t="shared" si="65"/>
        <v>0</v>
      </c>
      <c r="H475" s="6">
        <f t="shared" si="66"/>
        <v>0</v>
      </c>
      <c r="I475" s="6">
        <f t="shared" si="66"/>
        <v>0</v>
      </c>
      <c r="J475" s="6">
        <f t="shared" si="66"/>
        <v>0</v>
      </c>
    </row>
    <row r="476" spans="1:12" x14ac:dyDescent="0.35">
      <c r="A476" s="6" t="s">
        <v>137</v>
      </c>
      <c r="B476" s="6">
        <f t="shared" si="65"/>
        <v>30.465790304549238</v>
      </c>
      <c r="C476" s="6">
        <f t="shared" si="65"/>
        <v>26.243401996521861</v>
      </c>
      <c r="D476" s="6">
        <f t="shared" si="65"/>
        <v>20.642191210130555</v>
      </c>
      <c r="E476" s="6">
        <f t="shared" si="65"/>
        <v>24.813620769313953</v>
      </c>
      <c r="F476" s="6">
        <f t="shared" si="65"/>
        <v>21.511899283400986</v>
      </c>
      <c r="G476" s="6">
        <f t="shared" si="65"/>
        <v>17.111082377653723</v>
      </c>
      <c r="H476" s="6">
        <f t="shared" si="66"/>
        <v>20.7995296385971</v>
      </c>
      <c r="I476" s="6">
        <f t="shared" si="66"/>
        <v>20.221497208248213</v>
      </c>
      <c r="J476" s="6">
        <f t="shared" si="66"/>
        <v>18.980951613565328</v>
      </c>
    </row>
    <row r="478" spans="1:12" x14ac:dyDescent="0.35">
      <c r="B478" s="300"/>
      <c r="C478" s="300"/>
      <c r="D478" s="300"/>
      <c r="E478" s="300"/>
      <c r="F478" s="300"/>
      <c r="G478" s="300"/>
      <c r="H478" s="300"/>
      <c r="I478" s="300"/>
      <c r="J478" s="300"/>
    </row>
  </sheetData>
  <mergeCells count="3">
    <mergeCell ref="A432:K432"/>
    <mergeCell ref="A446:K446"/>
    <mergeCell ref="A461:K461"/>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84A97-EE83-4466-A736-7817488B5239}">
  <sheetPr>
    <tabColor theme="6" tint="0.79998168889431442"/>
  </sheetPr>
  <dimension ref="A1:BA482"/>
  <sheetViews>
    <sheetView zoomScale="80" zoomScaleNormal="80" workbookViewId="0"/>
  </sheetViews>
  <sheetFormatPr defaultColWidth="8.54296875" defaultRowHeight="14.5" outlineLevelRow="1" x14ac:dyDescent="0.35"/>
  <cols>
    <col min="1" max="1" width="37.54296875" style="6" customWidth="1"/>
    <col min="2" max="2" width="16.453125" style="6" bestFit="1" customWidth="1"/>
    <col min="3" max="14" width="10.54296875" style="6" bestFit="1" customWidth="1"/>
    <col min="15" max="16" width="10.1796875" style="6" bestFit="1" customWidth="1"/>
    <col min="17" max="24" width="10.54296875" style="6" bestFit="1" customWidth="1"/>
    <col min="25" max="25" width="10.1796875" style="6" bestFit="1" customWidth="1"/>
    <col min="26" max="26" width="16.453125" style="6" bestFit="1" customWidth="1"/>
    <col min="27" max="27" width="8.54296875" style="6"/>
    <col min="28" max="28" width="35" style="6" bestFit="1" customWidth="1"/>
    <col min="29" max="29" width="16.453125" style="6" bestFit="1" customWidth="1"/>
    <col min="30" max="53" width="12.81640625" style="6" bestFit="1" customWidth="1"/>
    <col min="54" max="16384" width="8.54296875" style="6"/>
  </cols>
  <sheetData>
    <row r="1" spans="1:53" s="139" customFormat="1" ht="21" x14ac:dyDescent="0.5">
      <c r="A1" s="138" t="s">
        <v>927</v>
      </c>
    </row>
    <row r="2" spans="1:53" s="221" customFormat="1" ht="21" x14ac:dyDescent="0.5">
      <c r="A2" s="229" t="s">
        <v>849</v>
      </c>
    </row>
    <row r="3" spans="1:53" s="18" customFormat="1" ht="21" x14ac:dyDescent="0.5">
      <c r="A3" s="18" t="s">
        <v>72</v>
      </c>
    </row>
    <row r="4" spans="1:53" s="20" customFormat="1" outlineLevel="1" x14ac:dyDescent="0.35">
      <c r="A4" s="19" t="s">
        <v>767</v>
      </c>
    </row>
    <row r="5" spans="1:53" s="16" customFormat="1" outlineLevel="1" x14ac:dyDescent="0.35">
      <c r="A5" s="21"/>
      <c r="AB5" s="16" t="s">
        <v>801</v>
      </c>
      <c r="AC5" s="16">
        <v>1</v>
      </c>
      <c r="AD5" s="16" t="s">
        <v>146</v>
      </c>
    </row>
    <row r="6" spans="1:53" s="16" customFormat="1" outlineLevel="1" x14ac:dyDescent="0.35">
      <c r="A6" s="22" t="s">
        <v>566</v>
      </c>
      <c r="AC6" s="16">
        <f>AC5*1000</f>
        <v>1000</v>
      </c>
      <c r="AD6" s="16" t="s">
        <v>144</v>
      </c>
    </row>
    <row r="7" spans="1:53" s="16" customFormat="1" outlineLevel="1" x14ac:dyDescent="0.35">
      <c r="A7" s="22"/>
      <c r="AB7" s="16" t="s">
        <v>127</v>
      </c>
      <c r="AC7" s="16">
        <v>100</v>
      </c>
      <c r="AD7" s="16" t="s">
        <v>128</v>
      </c>
    </row>
    <row r="8" spans="1:53" s="16" customFormat="1" outlineLevel="1" x14ac:dyDescent="0.35">
      <c r="A8" s="22"/>
      <c r="AB8" s="16" t="s">
        <v>129</v>
      </c>
      <c r="AC8" s="16">
        <v>25</v>
      </c>
      <c r="AD8" s="16" t="s">
        <v>130</v>
      </c>
    </row>
    <row r="9" spans="1:53" outlineLevel="1" x14ac:dyDescent="0.35">
      <c r="B9" s="25">
        <v>2030</v>
      </c>
      <c r="C9" s="25">
        <v>2031</v>
      </c>
      <c r="D9" s="25">
        <v>2032</v>
      </c>
      <c r="E9" s="25">
        <v>2033</v>
      </c>
      <c r="F9" s="25">
        <v>2034</v>
      </c>
      <c r="G9" s="25">
        <v>2035</v>
      </c>
      <c r="H9" s="25">
        <v>2036</v>
      </c>
      <c r="I9" s="25">
        <v>2037</v>
      </c>
      <c r="J9" s="25">
        <v>2038</v>
      </c>
      <c r="K9" s="25">
        <v>2039</v>
      </c>
      <c r="L9" s="25">
        <v>2040</v>
      </c>
      <c r="M9" s="25">
        <v>2041</v>
      </c>
      <c r="N9" s="25">
        <v>2042</v>
      </c>
      <c r="O9" s="25">
        <v>2043</v>
      </c>
      <c r="P9" s="25">
        <v>2044</v>
      </c>
      <c r="Q9" s="25">
        <v>2045</v>
      </c>
      <c r="R9" s="25">
        <v>2046</v>
      </c>
      <c r="S9" s="25">
        <v>2047</v>
      </c>
      <c r="T9" s="25">
        <v>2048</v>
      </c>
      <c r="U9" s="25">
        <v>2049</v>
      </c>
      <c r="V9" s="25">
        <v>2050</v>
      </c>
      <c r="W9" s="25">
        <v>2051</v>
      </c>
      <c r="X9" s="25">
        <v>2052</v>
      </c>
      <c r="Y9" s="25">
        <v>2053</v>
      </c>
      <c r="Z9" s="25">
        <v>2054</v>
      </c>
      <c r="AC9" s="25">
        <v>2030</v>
      </c>
      <c r="AD9" s="25">
        <v>2031</v>
      </c>
      <c r="AE9" s="25">
        <v>2032</v>
      </c>
      <c r="AF9" s="25">
        <v>2033</v>
      </c>
      <c r="AG9" s="25">
        <v>2034</v>
      </c>
      <c r="AH9" s="25">
        <v>2035</v>
      </c>
      <c r="AI9" s="25">
        <v>2036</v>
      </c>
      <c r="AJ9" s="25">
        <v>2037</v>
      </c>
      <c r="AK9" s="25">
        <v>2038</v>
      </c>
      <c r="AL9" s="25">
        <v>2039</v>
      </c>
      <c r="AM9" s="25">
        <v>2040</v>
      </c>
      <c r="AN9" s="25">
        <v>2041</v>
      </c>
      <c r="AO9" s="25">
        <v>2042</v>
      </c>
      <c r="AP9" s="25">
        <v>2043</v>
      </c>
      <c r="AQ9" s="25">
        <v>2044</v>
      </c>
      <c r="AR9" s="25">
        <v>2045</v>
      </c>
      <c r="AS9" s="25">
        <v>2046</v>
      </c>
      <c r="AT9" s="25">
        <v>2047</v>
      </c>
      <c r="AU9" s="25">
        <v>2048</v>
      </c>
      <c r="AV9" s="25">
        <v>2049</v>
      </c>
      <c r="AW9" s="25">
        <v>2050</v>
      </c>
      <c r="AX9" s="25">
        <v>2051</v>
      </c>
      <c r="AY9" s="25">
        <v>2052</v>
      </c>
      <c r="AZ9" s="25">
        <v>2053</v>
      </c>
      <c r="BA9" s="25">
        <v>2054</v>
      </c>
    </row>
    <row r="10" spans="1:53" outlineLevel="1" x14ac:dyDescent="0.35">
      <c r="A10" s="6" t="s">
        <v>21</v>
      </c>
      <c r="B10" s="6">
        <f>'Results - raw data ReCiPe (H)'!CC5</f>
        <v>736.5346492975043</v>
      </c>
      <c r="AB10" s="6" t="s">
        <v>117</v>
      </c>
      <c r="AC10" s="6">
        <f>SUM(B10:B21)+B23</f>
        <v>38347.290835764303</v>
      </c>
    </row>
    <row r="11" spans="1:53" outlineLevel="1" x14ac:dyDescent="0.35">
      <c r="A11" s="6" t="s">
        <v>23</v>
      </c>
      <c r="B11" s="6">
        <f>'Results - raw data ReCiPe (H)'!CC6</f>
        <v>964.71070101214207</v>
      </c>
      <c r="AB11" s="6" t="s">
        <v>118</v>
      </c>
      <c r="AC11" s="6">
        <f>B22</f>
        <v>2481.0563584021374</v>
      </c>
    </row>
    <row r="12" spans="1:53" outlineLevel="1" x14ac:dyDescent="0.35">
      <c r="A12" s="6" t="s">
        <v>26</v>
      </c>
      <c r="B12" s="6">
        <f>'Results - raw data ReCiPe (H)'!CC7</f>
        <v>3012.330013181167</v>
      </c>
      <c r="AB12" s="6" t="s">
        <v>119</v>
      </c>
      <c r="BA12" s="6">
        <f>SUM(Z24:Z35)</f>
        <v>691.18373370688425</v>
      </c>
    </row>
    <row r="13" spans="1:53" outlineLevel="1" x14ac:dyDescent="0.35">
      <c r="A13" s="6" t="s">
        <v>28</v>
      </c>
      <c r="B13" s="6">
        <f>'Results - raw data ReCiPe (H)'!CC8</f>
        <v>2745.9417900267481</v>
      </c>
      <c r="AB13" s="6" t="s">
        <v>120</v>
      </c>
      <c r="BA13" s="6">
        <f>Z36</f>
        <v>22.494520912096178</v>
      </c>
    </row>
    <row r="14" spans="1:53" outlineLevel="1" x14ac:dyDescent="0.35">
      <c r="A14" s="6" t="s">
        <v>29</v>
      </c>
      <c r="B14" s="6">
        <f>'Results - raw data ReCiPe (H)'!CC9</f>
        <v>1625.298034289408</v>
      </c>
      <c r="AB14" s="6" t="s">
        <v>121</v>
      </c>
      <c r="AC14" s="6">
        <f>B37</f>
        <v>1186.4815932558031</v>
      </c>
      <c r="AF14" s="6">
        <f>E37</f>
        <v>1175.2724845293581</v>
      </c>
      <c r="AI14" s="6">
        <f>H37</f>
        <v>1172.0887619145631</v>
      </c>
      <c r="AL14" s="6">
        <f>K37</f>
        <v>1171.5419235181971</v>
      </c>
      <c r="AO14" s="6">
        <f>N37</f>
        <v>1176.0346869666</v>
      </c>
      <c r="AR14" s="6">
        <f>Q37</f>
        <v>1180.8592879535349</v>
      </c>
      <c r="AU14" s="6">
        <f>T37</f>
        <v>1165.597336992987</v>
      </c>
      <c r="AX14" s="6">
        <f>W37</f>
        <v>1149.242533712596</v>
      </c>
      <c r="BA14" s="6">
        <f>Z37</f>
        <v>1126.377758844686</v>
      </c>
    </row>
    <row r="15" spans="1:53" outlineLevel="1" x14ac:dyDescent="0.35">
      <c r="A15" s="6" t="s">
        <v>31</v>
      </c>
      <c r="B15" s="6">
        <f>'Results - raw data ReCiPe (H)'!CC10</f>
        <v>1150.5712368961119</v>
      </c>
      <c r="AB15" s="6" t="s">
        <v>122</v>
      </c>
      <c r="AC15" s="6">
        <f>B40+B39</f>
        <v>36734.495656845553</v>
      </c>
      <c r="AD15" s="6">
        <f t="shared" ref="AD15:BA15" si="0">C40+C39</f>
        <v>36705.802152032702</v>
      </c>
      <c r="AE15" s="6">
        <f t="shared" si="0"/>
        <v>36677.329936227477</v>
      </c>
      <c r="AF15" s="6">
        <f t="shared" si="0"/>
        <v>36618.99229773604</v>
      </c>
      <c r="AG15" s="6">
        <f t="shared" si="0"/>
        <v>36591.105469856782</v>
      </c>
      <c r="AH15" s="6">
        <f t="shared" si="0"/>
        <v>36563.265309828312</v>
      </c>
      <c r="AI15" s="6">
        <f t="shared" si="0"/>
        <v>39240.319498199191</v>
      </c>
      <c r="AJ15" s="6">
        <f t="shared" si="0"/>
        <v>41911.667239019072</v>
      </c>
      <c r="AK15" s="6">
        <f t="shared" si="0"/>
        <v>44557.764024419906</v>
      </c>
      <c r="AL15" s="6">
        <f t="shared" si="0"/>
        <v>47220.629336551283</v>
      </c>
      <c r="AM15" s="6">
        <f t="shared" si="0"/>
        <v>49875.089223622163</v>
      </c>
      <c r="AN15" s="6">
        <f t="shared" si="0"/>
        <v>54558.265422112207</v>
      </c>
      <c r="AO15" s="6">
        <f t="shared" si="0"/>
        <v>59242.823156922459</v>
      </c>
      <c r="AP15" s="6">
        <f t="shared" si="0"/>
        <v>63925.13543891225</v>
      </c>
      <c r="AQ15" s="6">
        <f t="shared" si="0"/>
        <v>68612.132681845673</v>
      </c>
      <c r="AR15" s="6">
        <f t="shared" si="0"/>
        <v>73300.410775560464</v>
      </c>
      <c r="AS15" s="6">
        <f t="shared" si="0"/>
        <v>74130.070039558923</v>
      </c>
      <c r="AT15" s="6">
        <f t="shared" si="0"/>
        <v>74959.304908222664</v>
      </c>
      <c r="AU15" s="6">
        <f t="shared" si="0"/>
        <v>75785.007711992759</v>
      </c>
      <c r="AV15" s="6">
        <f t="shared" si="0"/>
        <v>76613.765501983973</v>
      </c>
      <c r="AW15" s="6">
        <f t="shared" si="0"/>
        <v>77442.351857305272</v>
      </c>
      <c r="AX15" s="6">
        <f t="shared" si="0"/>
        <v>76929.198465091424</v>
      </c>
      <c r="AY15" s="6">
        <f t="shared" si="0"/>
        <v>75047.062913840171</v>
      </c>
      <c r="AZ15" s="6">
        <f t="shared" si="0"/>
        <v>73158.834712232681</v>
      </c>
      <c r="BA15" s="6">
        <f t="shared" si="0"/>
        <v>71264.45297187168</v>
      </c>
    </row>
    <row r="16" spans="1:53" outlineLevel="1" x14ac:dyDescent="0.35">
      <c r="A16" s="6" t="s">
        <v>34</v>
      </c>
      <c r="B16" s="6">
        <f>'Results - raw data ReCiPe (H)'!CC11</f>
        <v>772.05259525488657</v>
      </c>
      <c r="AB16" s="6" t="s">
        <v>123</v>
      </c>
      <c r="AC16" s="6">
        <f>B38</f>
        <v>5483.7210782034726</v>
      </c>
      <c r="AD16" s="6">
        <f t="shared" ref="AD16:BA16" si="1">C38</f>
        <v>5477.0008491218232</v>
      </c>
      <c r="AE16" s="6">
        <f t="shared" si="1"/>
        <v>5470.3030160691023</v>
      </c>
      <c r="AF16" s="6">
        <f t="shared" si="1"/>
        <v>5460.8631800234189</v>
      </c>
      <c r="AG16" s="6">
        <f t="shared" si="1"/>
        <v>5454.2158814037175</v>
      </c>
      <c r="AH16" s="6">
        <f t="shared" si="1"/>
        <v>5447.5729914958647</v>
      </c>
      <c r="AI16" s="6">
        <f t="shared" si="1"/>
        <v>5646.3269571408127</v>
      </c>
      <c r="AJ16" s="6">
        <f t="shared" si="1"/>
        <v>5844.0888349853431</v>
      </c>
      <c r="AK16" s="6">
        <f t="shared" si="1"/>
        <v>6039.0716185524834</v>
      </c>
      <c r="AL16" s="6">
        <f t="shared" si="1"/>
        <v>6235.0783155182125</v>
      </c>
      <c r="AM16" s="6">
        <f t="shared" si="1"/>
        <v>6429.8927408336185</v>
      </c>
      <c r="AN16" s="6">
        <f t="shared" si="1"/>
        <v>6777.5581203392067</v>
      </c>
      <c r="AO16" s="6">
        <f t="shared" si="1"/>
        <v>7124.5398692324425</v>
      </c>
      <c r="AP16" s="6">
        <f t="shared" si="1"/>
        <v>7470.4952093228812</v>
      </c>
      <c r="AQ16" s="6">
        <f t="shared" si="1"/>
        <v>7816.0842543556073</v>
      </c>
      <c r="AR16" s="6">
        <f t="shared" si="1"/>
        <v>8160.9809130108788</v>
      </c>
      <c r="AS16" s="6">
        <f t="shared" si="1"/>
        <v>8217.1017755550274</v>
      </c>
      <c r="AT16" s="6">
        <f t="shared" si="1"/>
        <v>8273.0692702046581</v>
      </c>
      <c r="AU16" s="6">
        <f t="shared" si="1"/>
        <v>8328.5800540018809</v>
      </c>
      <c r="AV16" s="6">
        <f t="shared" si="1"/>
        <v>8384.2661632540076</v>
      </c>
      <c r="AW16" s="6">
        <f t="shared" si="1"/>
        <v>8439.8154966497877</v>
      </c>
      <c r="AX16" s="6">
        <f t="shared" si="1"/>
        <v>8389.6999391174741</v>
      </c>
      <c r="AY16" s="6">
        <f t="shared" si="1"/>
        <v>8238.2761311693775</v>
      </c>
      <c r="AZ16" s="6">
        <f t="shared" si="1"/>
        <v>8086.9554059166458</v>
      </c>
      <c r="BA16" s="6">
        <f t="shared" si="1"/>
        <v>7935.7342288324799</v>
      </c>
    </row>
    <row r="17" spans="1:53" outlineLevel="1" x14ac:dyDescent="0.35">
      <c r="A17" s="6" t="s">
        <v>36</v>
      </c>
      <c r="B17" s="6">
        <f>'Results - raw data ReCiPe (H)'!CC12</f>
        <v>665.02827145034166</v>
      </c>
      <c r="AB17" s="6" t="s">
        <v>124</v>
      </c>
      <c r="AC17" s="6">
        <f>-$AC$7*$AC$6</f>
        <v>-100000</v>
      </c>
      <c r="AD17" s="6">
        <f t="shared" ref="AD17:BA17" si="2">-$AC$7*$AC$6</f>
        <v>-100000</v>
      </c>
      <c r="AE17" s="6">
        <f t="shared" si="2"/>
        <v>-100000</v>
      </c>
      <c r="AF17" s="6">
        <f t="shared" si="2"/>
        <v>-100000</v>
      </c>
      <c r="AG17" s="6">
        <f t="shared" si="2"/>
        <v>-100000</v>
      </c>
      <c r="AH17" s="6">
        <f t="shared" si="2"/>
        <v>-100000</v>
      </c>
      <c r="AI17" s="6">
        <f t="shared" si="2"/>
        <v>-100000</v>
      </c>
      <c r="AJ17" s="6">
        <f t="shared" si="2"/>
        <v>-100000</v>
      </c>
      <c r="AK17" s="6">
        <f t="shared" si="2"/>
        <v>-100000</v>
      </c>
      <c r="AL17" s="6">
        <f t="shared" si="2"/>
        <v>-100000</v>
      </c>
      <c r="AM17" s="6">
        <f t="shared" si="2"/>
        <v>-100000</v>
      </c>
      <c r="AN17" s="6">
        <f t="shared" si="2"/>
        <v>-100000</v>
      </c>
      <c r="AO17" s="6">
        <f t="shared" si="2"/>
        <v>-100000</v>
      </c>
      <c r="AP17" s="6">
        <f t="shared" si="2"/>
        <v>-100000</v>
      </c>
      <c r="AQ17" s="6">
        <f t="shared" si="2"/>
        <v>-100000</v>
      </c>
      <c r="AR17" s="6">
        <f t="shared" si="2"/>
        <v>-100000</v>
      </c>
      <c r="AS17" s="6">
        <f t="shared" si="2"/>
        <v>-100000</v>
      </c>
      <c r="AT17" s="6">
        <f t="shared" si="2"/>
        <v>-100000</v>
      </c>
      <c r="AU17" s="6">
        <f t="shared" si="2"/>
        <v>-100000</v>
      </c>
      <c r="AV17" s="6">
        <f t="shared" si="2"/>
        <v>-100000</v>
      </c>
      <c r="AW17" s="6">
        <f t="shared" si="2"/>
        <v>-100000</v>
      </c>
      <c r="AX17" s="6">
        <f t="shared" si="2"/>
        <v>-100000</v>
      </c>
      <c r="AY17" s="6">
        <f t="shared" si="2"/>
        <v>-100000</v>
      </c>
      <c r="AZ17" s="6">
        <f t="shared" si="2"/>
        <v>-100000</v>
      </c>
      <c r="BA17" s="6">
        <f t="shared" si="2"/>
        <v>-100000</v>
      </c>
    </row>
    <row r="18" spans="1:53" outlineLevel="1" x14ac:dyDescent="0.35">
      <c r="A18" s="6" t="s">
        <v>38</v>
      </c>
      <c r="B18" s="6">
        <f>'Results - raw data ReCiPe (H)'!CC13</f>
        <v>6068.501913397412</v>
      </c>
      <c r="AB18" s="23" t="s">
        <v>125</v>
      </c>
      <c r="AC18" s="17">
        <f>SUM(AC10:AC17)</f>
        <v>-15766.954477528736</v>
      </c>
      <c r="AD18" s="17">
        <f t="shared" ref="AD18:BA18" si="3">SUM(AD10:AD17)</f>
        <v>-57817.196998845473</v>
      </c>
      <c r="AE18" s="17">
        <f t="shared" si="3"/>
        <v>-57852.367047703417</v>
      </c>
      <c r="AF18" s="17">
        <f t="shared" si="3"/>
        <v>-56744.872037711182</v>
      </c>
      <c r="AG18" s="17">
        <f t="shared" si="3"/>
        <v>-57954.6786487395</v>
      </c>
      <c r="AH18" s="17">
        <f t="shared" si="3"/>
        <v>-57989.161698675824</v>
      </c>
      <c r="AI18" s="17">
        <f t="shared" si="3"/>
        <v>-53941.264782745435</v>
      </c>
      <c r="AJ18" s="17">
        <f t="shared" si="3"/>
        <v>-52244.243925995586</v>
      </c>
      <c r="AK18" s="17">
        <f t="shared" si="3"/>
        <v>-49403.164357027606</v>
      </c>
      <c r="AL18" s="17">
        <f t="shared" si="3"/>
        <v>-45372.750424412305</v>
      </c>
      <c r="AM18" s="17">
        <f t="shared" si="3"/>
        <v>-43695.018035544221</v>
      </c>
      <c r="AN18" s="17">
        <f t="shared" si="3"/>
        <v>-38664.176457548587</v>
      </c>
      <c r="AO18" s="17">
        <f t="shared" si="3"/>
        <v>-32456.602286878493</v>
      </c>
      <c r="AP18" s="17">
        <f t="shared" si="3"/>
        <v>-28604.369351764864</v>
      </c>
      <c r="AQ18" s="17">
        <f t="shared" si="3"/>
        <v>-23571.783063798721</v>
      </c>
      <c r="AR18" s="17">
        <f t="shared" si="3"/>
        <v>-17357.749023475131</v>
      </c>
      <c r="AS18" s="17">
        <f t="shared" si="3"/>
        <v>-17652.82818488605</v>
      </c>
      <c r="AT18" s="17">
        <f t="shared" si="3"/>
        <v>-16767.62582157267</v>
      </c>
      <c r="AU18" s="17">
        <f t="shared" si="3"/>
        <v>-14720.814897012373</v>
      </c>
      <c r="AV18" s="17">
        <f t="shared" si="3"/>
        <v>-15001.968334762016</v>
      </c>
      <c r="AW18" s="17">
        <f t="shared" si="3"/>
        <v>-14117.832646044946</v>
      </c>
      <c r="AX18" s="17">
        <f t="shared" si="3"/>
        <v>-13531.859062078511</v>
      </c>
      <c r="AY18" s="17">
        <f t="shared" si="3"/>
        <v>-16714.660954990453</v>
      </c>
      <c r="AZ18" s="17">
        <f t="shared" si="3"/>
        <v>-18754.209881850678</v>
      </c>
      <c r="BA18" s="17">
        <f t="shared" si="3"/>
        <v>-18959.756785832171</v>
      </c>
    </row>
    <row r="19" spans="1:53" outlineLevel="1" x14ac:dyDescent="0.35">
      <c r="A19" s="6" t="s">
        <v>39</v>
      </c>
      <c r="B19" s="6">
        <f>'Results - raw data ReCiPe (H)'!CC14</f>
        <v>11451.41246529284</v>
      </c>
    </row>
    <row r="20" spans="1:53" outlineLevel="1" x14ac:dyDescent="0.35">
      <c r="A20" s="6" t="s">
        <v>41</v>
      </c>
      <c r="B20" s="6">
        <f>'Results - raw data ReCiPe (H)'!CC15</f>
        <v>160.84450915278899</v>
      </c>
    </row>
    <row r="21" spans="1:53" outlineLevel="1" x14ac:dyDescent="0.35">
      <c r="A21" s="6" t="s">
        <v>43</v>
      </c>
      <c r="B21" s="6">
        <f>'Results - raw data ReCiPe (H)'!CC16</f>
        <v>552.22875745518706</v>
      </c>
      <c r="AB21" s="282"/>
      <c r="AC21" s="282"/>
      <c r="AD21" s="282"/>
      <c r="AE21" s="282"/>
      <c r="AF21" s="282"/>
      <c r="AG21" s="282"/>
      <c r="AH21" s="282"/>
      <c r="AI21" s="282"/>
      <c r="AJ21" s="282"/>
      <c r="AK21" s="282"/>
      <c r="AL21" s="282"/>
      <c r="AM21" s="282"/>
      <c r="AN21" s="282"/>
      <c r="AO21" s="282"/>
      <c r="AP21" s="282"/>
      <c r="AQ21" s="282"/>
      <c r="AR21" s="282"/>
      <c r="AS21" s="282"/>
      <c r="AT21" s="282"/>
      <c r="AU21" s="282"/>
      <c r="AV21" s="282"/>
      <c r="AW21" s="282"/>
      <c r="AX21" s="282"/>
      <c r="AY21" s="282"/>
      <c r="AZ21" s="282"/>
      <c r="BA21" s="282"/>
    </row>
    <row r="22" spans="1:53" outlineLevel="1" x14ac:dyDescent="0.35">
      <c r="A22" s="6" t="s">
        <v>44</v>
      </c>
      <c r="B22" s="6">
        <f>'Results - raw data ReCiPe (H)'!CC17*AC7*AC8</f>
        <v>2481.0563584021374</v>
      </c>
      <c r="AB22" s="282"/>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row>
    <row r="23" spans="1:53" outlineLevel="1" x14ac:dyDescent="0.35">
      <c r="A23" s="6" t="s">
        <v>757</v>
      </c>
      <c r="B23" s="6">
        <f>'Results - raw data ReCiPe (H)'!CC18*AC7*AC8</f>
        <v>8441.8358990577635</v>
      </c>
      <c r="AB23" s="282"/>
      <c r="AC23" s="282"/>
      <c r="AD23" s="282"/>
      <c r="AE23" s="282"/>
      <c r="AF23" s="282"/>
      <c r="AG23" s="282"/>
      <c r="AH23" s="282"/>
      <c r="AI23" s="282"/>
      <c r="AJ23" s="282"/>
      <c r="AK23" s="282"/>
      <c r="AL23" s="282"/>
      <c r="AM23" s="282"/>
      <c r="AN23" s="282"/>
      <c r="AO23" s="282"/>
      <c r="AP23" s="282"/>
      <c r="AQ23" s="282"/>
      <c r="AR23" s="282"/>
      <c r="AS23" s="282"/>
      <c r="AT23" s="282"/>
      <c r="AU23" s="282"/>
      <c r="AV23" s="282"/>
      <c r="AW23" s="282"/>
      <c r="AX23" s="282"/>
      <c r="AY23" s="282"/>
      <c r="AZ23" s="282"/>
      <c r="BA23" s="282"/>
    </row>
    <row r="24" spans="1:53" outlineLevel="1" x14ac:dyDescent="0.35">
      <c r="A24" s="6" t="s">
        <v>22</v>
      </c>
      <c r="Z24" s="6">
        <f>'Results - raw data ReCiPe (H)'!DA19</f>
        <v>18.273260416017582</v>
      </c>
      <c r="AB24" s="282"/>
      <c r="AC24" s="282"/>
      <c r="AD24" s="282"/>
      <c r="AE24" s="282"/>
      <c r="AF24" s="282"/>
      <c r="AG24" s="282"/>
      <c r="AH24" s="282"/>
      <c r="AI24" s="282"/>
      <c r="AJ24" s="282"/>
      <c r="AK24" s="282"/>
      <c r="AL24" s="282"/>
      <c r="AM24" s="282"/>
      <c r="AN24" s="282"/>
      <c r="AO24" s="282"/>
      <c r="AP24" s="282"/>
      <c r="AQ24" s="282"/>
      <c r="AR24" s="282"/>
      <c r="AS24" s="282"/>
      <c r="AT24" s="282"/>
      <c r="AU24" s="282"/>
      <c r="AV24" s="282"/>
      <c r="AW24" s="282"/>
      <c r="AX24" s="282"/>
      <c r="AY24" s="282"/>
      <c r="AZ24" s="282"/>
      <c r="BA24" s="282"/>
    </row>
    <row r="25" spans="1:53" outlineLevel="1" x14ac:dyDescent="0.35">
      <c r="A25" s="6" t="s">
        <v>24</v>
      </c>
      <c r="Z25" s="6">
        <f>'Results - raw data ReCiPe (H)'!DA20</f>
        <v>6.9621462523846738</v>
      </c>
      <c r="AB25" s="282"/>
      <c r="AC25" s="282"/>
      <c r="AD25" s="282"/>
      <c r="AE25" s="282"/>
      <c r="AF25" s="282"/>
      <c r="AG25" s="282"/>
      <c r="AH25" s="282"/>
      <c r="AI25" s="282"/>
      <c r="AJ25" s="282"/>
      <c r="AK25" s="282"/>
      <c r="AL25" s="282"/>
      <c r="AM25" s="282"/>
      <c r="AN25" s="282"/>
      <c r="AO25" s="282"/>
      <c r="AP25" s="282"/>
      <c r="AQ25" s="282"/>
      <c r="AR25" s="282"/>
      <c r="AS25" s="282"/>
      <c r="AT25" s="282"/>
      <c r="AU25" s="282"/>
      <c r="AV25" s="282"/>
      <c r="AW25" s="282"/>
      <c r="AX25" s="282"/>
      <c r="AY25" s="282"/>
      <c r="AZ25" s="282"/>
      <c r="BA25" s="282"/>
    </row>
    <row r="26" spans="1:53" outlineLevel="1" x14ac:dyDescent="0.35">
      <c r="A26" s="6" t="s">
        <v>25</v>
      </c>
      <c r="Z26" s="6">
        <f>'Results - raw data ReCiPe (H)'!DA21</f>
        <v>24.648328583293029</v>
      </c>
      <c r="AB26" s="282"/>
      <c r="AC26" s="282"/>
      <c r="AD26" s="282"/>
      <c r="AE26" s="282"/>
      <c r="AF26" s="282"/>
      <c r="AG26" s="282"/>
      <c r="AH26" s="282"/>
      <c r="AI26" s="282"/>
      <c r="AJ26" s="282"/>
      <c r="AK26" s="282"/>
      <c r="AL26" s="282"/>
      <c r="AM26" s="282"/>
      <c r="AN26" s="282"/>
      <c r="AO26" s="282"/>
      <c r="AP26" s="282"/>
      <c r="AQ26" s="282"/>
      <c r="AR26" s="282"/>
      <c r="AS26" s="282"/>
      <c r="AT26" s="282"/>
      <c r="AU26" s="282"/>
      <c r="AV26" s="282"/>
      <c r="AW26" s="282"/>
      <c r="AX26" s="282"/>
      <c r="AY26" s="282"/>
      <c r="AZ26" s="282"/>
      <c r="BA26" s="282"/>
    </row>
    <row r="27" spans="1:53" outlineLevel="1" x14ac:dyDescent="0.35">
      <c r="A27" s="6" t="s">
        <v>27</v>
      </c>
      <c r="Z27" s="6">
        <f>'Results - raw data ReCiPe (H)'!DA22</f>
        <v>7.5999095268562344</v>
      </c>
      <c r="AB27" s="282"/>
      <c r="AC27" s="282"/>
      <c r="AD27" s="282"/>
      <c r="AE27" s="282"/>
      <c r="AF27" s="282"/>
      <c r="AG27" s="282"/>
      <c r="AH27" s="282"/>
      <c r="AI27" s="282"/>
      <c r="AJ27" s="282"/>
      <c r="AK27" s="282"/>
      <c r="AL27" s="282"/>
      <c r="AM27" s="282"/>
      <c r="AN27" s="282"/>
      <c r="AO27" s="282"/>
      <c r="AP27" s="282"/>
      <c r="AQ27" s="282"/>
      <c r="AR27" s="282"/>
      <c r="AS27" s="282"/>
      <c r="AT27" s="282"/>
      <c r="AU27" s="282"/>
      <c r="AV27" s="282"/>
      <c r="AW27" s="282"/>
      <c r="AX27" s="282"/>
      <c r="AY27" s="282"/>
      <c r="AZ27" s="282"/>
      <c r="BA27" s="282"/>
    </row>
    <row r="28" spans="1:53" outlineLevel="1" x14ac:dyDescent="0.35">
      <c r="A28" s="6" t="s">
        <v>30</v>
      </c>
      <c r="Z28" s="6">
        <f>'Results - raw data ReCiPe (H)'!DA23</f>
        <v>23.823867783595102</v>
      </c>
      <c r="AB28" s="282"/>
      <c r="AC28" s="282"/>
      <c r="AD28" s="282"/>
      <c r="AE28" s="282"/>
      <c r="AF28" s="282"/>
      <c r="AG28" s="282"/>
      <c r="AH28" s="282"/>
      <c r="AI28" s="282"/>
      <c r="AJ28" s="282"/>
      <c r="AK28" s="282"/>
      <c r="AL28" s="282"/>
      <c r="AM28" s="282"/>
      <c r="AN28" s="282"/>
      <c r="AO28" s="282"/>
      <c r="AP28" s="282"/>
      <c r="AQ28" s="282"/>
      <c r="AR28" s="282"/>
      <c r="AS28" s="282"/>
      <c r="AT28" s="282"/>
      <c r="AU28" s="282"/>
      <c r="AV28" s="282"/>
      <c r="AW28" s="282"/>
      <c r="AX28" s="282"/>
      <c r="AY28" s="282"/>
      <c r="AZ28" s="282"/>
      <c r="BA28" s="282"/>
    </row>
    <row r="29" spans="1:53" outlineLevel="1" x14ac:dyDescent="0.35">
      <c r="A29" s="6" t="s">
        <v>32</v>
      </c>
      <c r="Z29" s="6">
        <f>'Results - raw data ReCiPe (H)'!DA24</f>
        <v>0.97716446400496804</v>
      </c>
      <c r="AB29" s="282"/>
      <c r="AC29" s="282"/>
      <c r="AD29" s="282"/>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row>
    <row r="30" spans="1:53" outlineLevel="1" x14ac:dyDescent="0.35">
      <c r="A30" s="6" t="s">
        <v>33</v>
      </c>
      <c r="Z30" s="6">
        <f>'Results - raw data ReCiPe (H)'!DA25</f>
        <v>5.6942969546537281</v>
      </c>
      <c r="AB30" s="282"/>
      <c r="AC30" s="282"/>
      <c r="AD30" s="282"/>
      <c r="AE30" s="282"/>
      <c r="AF30" s="282"/>
      <c r="AG30" s="282"/>
      <c r="AH30" s="282"/>
      <c r="AI30" s="282"/>
      <c r="AJ30" s="282"/>
      <c r="AK30" s="282"/>
      <c r="AL30" s="282"/>
      <c r="AM30" s="282"/>
      <c r="AN30" s="282"/>
      <c r="AO30" s="282"/>
      <c r="AP30" s="282"/>
      <c r="AQ30" s="282"/>
      <c r="AR30" s="282"/>
      <c r="AS30" s="282"/>
      <c r="AT30" s="282"/>
      <c r="AU30" s="282"/>
      <c r="AV30" s="282"/>
      <c r="AW30" s="282"/>
      <c r="AX30" s="282"/>
      <c r="AY30" s="282"/>
      <c r="AZ30" s="282"/>
      <c r="BA30" s="282"/>
    </row>
    <row r="31" spans="1:53" outlineLevel="1" x14ac:dyDescent="0.35">
      <c r="A31" s="6" t="s">
        <v>35</v>
      </c>
      <c r="Z31" s="6">
        <f>'Results - raw data ReCiPe (H)'!DA26</f>
        <v>11.38859390930746</v>
      </c>
      <c r="AB31" s="282"/>
      <c r="AC31" s="282"/>
      <c r="AD31" s="282"/>
      <c r="AE31" s="282"/>
      <c r="AF31" s="282"/>
      <c r="AG31" s="282"/>
      <c r="AH31" s="282"/>
      <c r="AI31" s="282"/>
      <c r="AJ31" s="282"/>
      <c r="AK31" s="282"/>
      <c r="AL31" s="282"/>
      <c r="AM31" s="282"/>
      <c r="AN31" s="282"/>
      <c r="AO31" s="282"/>
      <c r="AP31" s="282"/>
      <c r="AQ31" s="282"/>
      <c r="AR31" s="282"/>
      <c r="AS31" s="282"/>
      <c r="AT31" s="282"/>
      <c r="AU31" s="282"/>
      <c r="AV31" s="282"/>
      <c r="AW31" s="282"/>
      <c r="AX31" s="282"/>
      <c r="AY31" s="282"/>
      <c r="AZ31" s="282"/>
      <c r="BA31" s="282"/>
    </row>
    <row r="32" spans="1:53" outlineLevel="1" x14ac:dyDescent="0.35">
      <c r="A32" s="6" t="s">
        <v>37</v>
      </c>
      <c r="Z32" s="6">
        <f>'Results - raw data ReCiPe (H)'!DA27</f>
        <v>14.96062171322496</v>
      </c>
      <c r="AB32" s="282"/>
      <c r="AC32" s="282"/>
      <c r="AD32" s="282"/>
      <c r="AE32" s="282"/>
      <c r="AF32" s="282"/>
      <c r="AG32" s="282"/>
      <c r="AH32" s="282"/>
      <c r="AI32" s="282"/>
      <c r="AJ32" s="282"/>
      <c r="AK32" s="282"/>
      <c r="AL32" s="282"/>
      <c r="AM32" s="282"/>
      <c r="AN32" s="282"/>
      <c r="AO32" s="282"/>
      <c r="AP32" s="282"/>
      <c r="AQ32" s="282"/>
      <c r="AR32" s="282"/>
      <c r="AS32" s="282"/>
      <c r="AT32" s="282"/>
      <c r="AU32" s="282"/>
      <c r="AV32" s="282"/>
      <c r="AW32" s="282"/>
      <c r="AX32" s="282"/>
      <c r="AY32" s="282"/>
      <c r="AZ32" s="282"/>
      <c r="BA32" s="282"/>
    </row>
    <row r="33" spans="1:30" outlineLevel="1" x14ac:dyDescent="0.35">
      <c r="A33" s="6" t="s">
        <v>40</v>
      </c>
      <c r="Z33" s="6">
        <f>'Results - raw data ReCiPe (H)'!DA28</f>
        <v>285.27572518419629</v>
      </c>
    </row>
    <row r="34" spans="1:30" outlineLevel="1" x14ac:dyDescent="0.35">
      <c r="A34" s="6" t="s">
        <v>42</v>
      </c>
      <c r="Z34" s="6">
        <f>'Results - raw data ReCiPe (H)'!DA29</f>
        <v>30.660919411160531</v>
      </c>
    </row>
    <row r="35" spans="1:30" outlineLevel="1" x14ac:dyDescent="0.35">
      <c r="A35" s="6" t="s">
        <v>115</v>
      </c>
      <c r="Z35" s="6">
        <f>'Results - raw data ReCiPe (H)'!DA30</f>
        <v>260.91889950818972</v>
      </c>
    </row>
    <row r="36" spans="1:30" outlineLevel="1" x14ac:dyDescent="0.35">
      <c r="A36" s="6" t="s">
        <v>45</v>
      </c>
      <c r="Z36" s="6">
        <f>'Results - raw data ReCiPe (H)'!DA31*AC7*AC8</f>
        <v>22.494520912096178</v>
      </c>
    </row>
    <row r="37" spans="1:30" outlineLevel="1" x14ac:dyDescent="0.35">
      <c r="A37" s="6" t="s">
        <v>116</v>
      </c>
      <c r="B37" s="6">
        <f>'Results - raw data ReCiPe (H)'!CC32</f>
        <v>1186.4815932558031</v>
      </c>
      <c r="C37" s="6">
        <f>'Results - raw data ReCiPe (H)'!CD32</f>
        <v>1184.4309868083469</v>
      </c>
      <c r="D37" s="6">
        <f>'Results - raw data ReCiPe (H)'!CE32</f>
        <v>1182.4019980169519</v>
      </c>
      <c r="E37" s="6">
        <f>'Results - raw data ReCiPe (H)'!CF32</f>
        <v>1175.2724845293581</v>
      </c>
      <c r="F37" s="6">
        <f>'Results - raw data ReCiPe (H)'!CG32</f>
        <v>1173.2752967188071</v>
      </c>
      <c r="G37" s="6">
        <f>'Results - raw data ReCiPe (H)'!CH32</f>
        <v>1171.2868602262761</v>
      </c>
      <c r="H37" s="6">
        <f>'Results - raw data ReCiPe (H)'!CI32</f>
        <v>1172.0887619145631</v>
      </c>
      <c r="I37" s="6">
        <f>'Results - raw data ReCiPe (H)'!CJ32</f>
        <v>1172.9075908463119</v>
      </c>
      <c r="J37" s="6">
        <f>'Results - raw data ReCiPe (H)'!CK32</f>
        <v>1170.652414406771</v>
      </c>
      <c r="K37" s="6">
        <f>'Results - raw data ReCiPe (H)'!CL32</f>
        <v>1171.5419235181971</v>
      </c>
      <c r="L37" s="6">
        <f>'Results - raw data ReCiPe (H)'!CM32</f>
        <v>1172.441544749935</v>
      </c>
      <c r="M37" s="6">
        <f>'Results - raw data ReCiPe (H)'!CN32</f>
        <v>1174.231826151836</v>
      </c>
      <c r="N37" s="6">
        <f>'Results - raw data ReCiPe (H)'!CO32</f>
        <v>1176.0346869666</v>
      </c>
      <c r="O37" s="6">
        <f>'Results - raw data ReCiPe (H)'!CP32</f>
        <v>1177.145364002851</v>
      </c>
      <c r="P37" s="6">
        <f>'Results - raw data ReCiPe (H)'!CQ32</f>
        <v>1178.9976005413471</v>
      </c>
      <c r="Q37" s="6">
        <f>'Results - raw data ReCiPe (H)'!CR32</f>
        <v>1180.8592879535349</v>
      </c>
      <c r="R37" s="6">
        <f>'Results - raw data ReCiPe (H)'!CS32</f>
        <v>1176.0256071477111</v>
      </c>
      <c r="S37" s="6">
        <f>'Results - raw data ReCiPe (H)'!CT32</f>
        <v>1171.1769982701601</v>
      </c>
      <c r="T37" s="6">
        <f>'Results - raw data ReCiPe (H)'!CU32</f>
        <v>1165.597336992987</v>
      </c>
      <c r="U37" s="6">
        <f>'Results - raw data ReCiPe (H)'!CV32</f>
        <v>1160.70640988018</v>
      </c>
      <c r="V37" s="6">
        <f>'Results - raw data ReCiPe (H)'!CW32</f>
        <v>1155.786064528553</v>
      </c>
      <c r="W37" s="6">
        <f>'Results - raw data ReCiPe (H)'!CX32</f>
        <v>1149.242533712596</v>
      </c>
      <c r="X37" s="6">
        <f>'Results - raw data ReCiPe (H)'!CY32</f>
        <v>1141.6551910246601</v>
      </c>
      <c r="Y37" s="6">
        <f>'Results - raw data ReCiPe (H)'!CZ32</f>
        <v>1134.033848551484</v>
      </c>
      <c r="Z37" s="6">
        <f>'Results - raw data ReCiPe (H)'!DA32</f>
        <v>1126.377758844686</v>
      </c>
    </row>
    <row r="38" spans="1:30" outlineLevel="1" x14ac:dyDescent="0.35">
      <c r="A38" s="6" t="s">
        <v>758</v>
      </c>
      <c r="B38" s="6">
        <f>'Results - raw data ReCiPe (H)'!CC167*$AC$7</f>
        <v>5483.7210782034726</v>
      </c>
      <c r="C38" s="6">
        <f>'Results - raw data ReCiPe (H)'!CD167*$AC$7</f>
        <v>5477.0008491218232</v>
      </c>
      <c r="D38" s="6">
        <f>'Results - raw data ReCiPe (H)'!CE167*$AC$7</f>
        <v>5470.3030160691023</v>
      </c>
      <c r="E38" s="6">
        <f>'Results - raw data ReCiPe (H)'!CF167*$AC$7</f>
        <v>5460.8631800234189</v>
      </c>
      <c r="F38" s="6">
        <f>'Results - raw data ReCiPe (H)'!CG167*$AC$7</f>
        <v>5454.2158814037175</v>
      </c>
      <c r="G38" s="6">
        <f>'Results - raw data ReCiPe (H)'!CH167*$AC$7</f>
        <v>5447.5729914958647</v>
      </c>
      <c r="H38" s="6">
        <f>'Results - raw data ReCiPe (H)'!CI167*$AC$7</f>
        <v>5646.3269571408127</v>
      </c>
      <c r="I38" s="6">
        <f>'Results - raw data ReCiPe (H)'!CJ167*$AC$7</f>
        <v>5844.0888349853431</v>
      </c>
      <c r="J38" s="6">
        <f>'Results - raw data ReCiPe (H)'!CK167*$AC$7</f>
        <v>6039.0716185524834</v>
      </c>
      <c r="K38" s="6">
        <f>'Results - raw data ReCiPe (H)'!CL167*$AC$7</f>
        <v>6235.0783155182125</v>
      </c>
      <c r="L38" s="6">
        <f>'Results - raw data ReCiPe (H)'!CM167*$AC$7</f>
        <v>6429.8927408336185</v>
      </c>
      <c r="M38" s="6">
        <f>'Results - raw data ReCiPe (H)'!CN167*$AC$7</f>
        <v>6777.5581203392067</v>
      </c>
      <c r="N38" s="6">
        <f>'Results - raw data ReCiPe (H)'!CO167*$AC$7</f>
        <v>7124.5398692324425</v>
      </c>
      <c r="O38" s="6">
        <f>'Results - raw data ReCiPe (H)'!CP167*$AC$7</f>
        <v>7470.4952093228812</v>
      </c>
      <c r="P38" s="6">
        <f>'Results - raw data ReCiPe (H)'!CQ167*$AC$7</f>
        <v>7816.0842543556073</v>
      </c>
      <c r="Q38" s="6">
        <f>'Results - raw data ReCiPe (H)'!CR167*$AC$7</f>
        <v>8160.9809130108788</v>
      </c>
      <c r="R38" s="6">
        <f>'Results - raw data ReCiPe (H)'!CS167*$AC$7</f>
        <v>8217.1017755550274</v>
      </c>
      <c r="S38" s="6">
        <f>'Results - raw data ReCiPe (H)'!CT167*$AC$7</f>
        <v>8273.0692702046581</v>
      </c>
      <c r="T38" s="6">
        <f>'Results - raw data ReCiPe (H)'!CU167*$AC$7</f>
        <v>8328.5800540018809</v>
      </c>
      <c r="U38" s="6">
        <f>'Results - raw data ReCiPe (H)'!CV167*$AC$7</f>
        <v>8384.2661632540076</v>
      </c>
      <c r="V38" s="6">
        <f>'Results - raw data ReCiPe (H)'!CW167*$AC$7</f>
        <v>8439.8154966497877</v>
      </c>
      <c r="W38" s="6">
        <f>'Results - raw data ReCiPe (H)'!CX167*$AC$7</f>
        <v>8389.6999391174741</v>
      </c>
      <c r="X38" s="6">
        <f>'Results - raw data ReCiPe (H)'!CY167*$AC$7</f>
        <v>8238.2761311693775</v>
      </c>
      <c r="Y38" s="6">
        <f>'Results - raw data ReCiPe (H)'!CZ167*$AC$7</f>
        <v>8086.9554059166458</v>
      </c>
      <c r="Z38" s="6">
        <f>'Results - raw data ReCiPe (H)'!DA167*$AC$7</f>
        <v>7935.7342288324799</v>
      </c>
    </row>
    <row r="39" spans="1:30" outlineLevel="1" x14ac:dyDescent="0.35">
      <c r="A39" s="6" t="s">
        <v>759</v>
      </c>
      <c r="B39" s="6">
        <f>'Results - raw data ReCiPe (H)'!CC34</f>
        <v>0</v>
      </c>
      <c r="C39" s="6">
        <f>'Results - raw data ReCiPe (H)'!CD34</f>
        <v>0</v>
      </c>
      <c r="D39" s="6">
        <f>'Results - raw data ReCiPe (H)'!CE34</f>
        <v>0</v>
      </c>
      <c r="E39" s="6">
        <f>'Results - raw data ReCiPe (H)'!CF34</f>
        <v>0</v>
      </c>
      <c r="F39" s="6">
        <f>'Results - raw data ReCiPe (H)'!CG34</f>
        <v>0</v>
      </c>
      <c r="G39" s="6">
        <f>'Results - raw data ReCiPe (H)'!CH34</f>
        <v>0</v>
      </c>
      <c r="H39" s="6">
        <f>'Results - raw data ReCiPe (H)'!CI34</f>
        <v>0</v>
      </c>
      <c r="I39" s="6">
        <f>'Results - raw data ReCiPe (H)'!CJ34</f>
        <v>0</v>
      </c>
      <c r="J39" s="6">
        <f>'Results - raw data ReCiPe (H)'!CK34</f>
        <v>0</v>
      </c>
      <c r="K39" s="6">
        <f>'Results - raw data ReCiPe (H)'!CL34</f>
        <v>0</v>
      </c>
      <c r="L39" s="6">
        <f>'Results - raw data ReCiPe (H)'!CM34</f>
        <v>0</v>
      </c>
      <c r="M39" s="6">
        <f>'Results - raw data ReCiPe (H)'!CN34</f>
        <v>0</v>
      </c>
      <c r="N39" s="6">
        <f>'Results - raw data ReCiPe (H)'!CO34</f>
        <v>0</v>
      </c>
      <c r="O39" s="6">
        <f>'Results - raw data ReCiPe (H)'!CP34</f>
        <v>0</v>
      </c>
      <c r="P39" s="6">
        <f>'Results - raw data ReCiPe (H)'!CQ34</f>
        <v>0</v>
      </c>
      <c r="Q39" s="6">
        <f>'Results - raw data ReCiPe (H)'!CR34</f>
        <v>0</v>
      </c>
      <c r="R39" s="6">
        <f>'Results - raw data ReCiPe (H)'!CS34</f>
        <v>0</v>
      </c>
      <c r="S39" s="6">
        <f>'Results - raw data ReCiPe (H)'!CT34</f>
        <v>0</v>
      </c>
      <c r="T39" s="6">
        <f>'Results - raw data ReCiPe (H)'!CU34</f>
        <v>0</v>
      </c>
      <c r="U39" s="6">
        <f>'Results - raw data ReCiPe (H)'!CV34</f>
        <v>0</v>
      </c>
      <c r="V39" s="6">
        <f>'Results - raw data ReCiPe (H)'!CW34</f>
        <v>0</v>
      </c>
      <c r="W39" s="6">
        <f>'Results - raw data ReCiPe (H)'!CX34</f>
        <v>0</v>
      </c>
      <c r="X39" s="6">
        <f>'Results - raw data ReCiPe (H)'!CY34</f>
        <v>0</v>
      </c>
      <c r="Y39" s="6">
        <f>'Results - raw data ReCiPe (H)'!CZ34</f>
        <v>0</v>
      </c>
      <c r="Z39" s="6">
        <f>'Results - raw data ReCiPe (H)'!DA34</f>
        <v>0</v>
      </c>
    </row>
    <row r="40" spans="1:30" outlineLevel="1" x14ac:dyDescent="0.35">
      <c r="A40" s="6" t="s">
        <v>760</v>
      </c>
      <c r="B40" s="6">
        <f>'Results - raw data ReCiPe (H)'!CC35</f>
        <v>36734.495656845553</v>
      </c>
      <c r="C40" s="6">
        <f>'Results - raw data ReCiPe (H)'!CD35</f>
        <v>36705.802152032702</v>
      </c>
      <c r="D40" s="6">
        <f>'Results - raw data ReCiPe (H)'!CE35</f>
        <v>36677.329936227477</v>
      </c>
      <c r="E40" s="6">
        <f>'Results - raw data ReCiPe (H)'!CF35</f>
        <v>36618.99229773604</v>
      </c>
      <c r="F40" s="6">
        <f>'Results - raw data ReCiPe (H)'!CG35</f>
        <v>36591.105469856782</v>
      </c>
      <c r="G40" s="6">
        <f>'Results - raw data ReCiPe (H)'!CH35</f>
        <v>36563.265309828312</v>
      </c>
      <c r="H40" s="6">
        <f>'Results - raw data ReCiPe (H)'!CI35</f>
        <v>39240.319498199191</v>
      </c>
      <c r="I40" s="6">
        <f>'Results - raw data ReCiPe (H)'!CJ35</f>
        <v>41911.667239019072</v>
      </c>
      <c r="J40" s="6">
        <f>'Results - raw data ReCiPe (H)'!CK35</f>
        <v>44557.764024419906</v>
      </c>
      <c r="K40" s="6">
        <f>'Results - raw data ReCiPe (H)'!CL35</f>
        <v>47220.629336551283</v>
      </c>
      <c r="L40" s="6">
        <f>'Results - raw data ReCiPe (H)'!CM35</f>
        <v>49875.089223622163</v>
      </c>
      <c r="M40" s="6">
        <f>'Results - raw data ReCiPe (H)'!CN35</f>
        <v>54558.265422112207</v>
      </c>
      <c r="N40" s="6">
        <f>'Results - raw data ReCiPe (H)'!CO35</f>
        <v>59242.823156922459</v>
      </c>
      <c r="O40" s="6">
        <f>'Results - raw data ReCiPe (H)'!CP35</f>
        <v>63925.13543891225</v>
      </c>
      <c r="P40" s="6">
        <f>'Results - raw data ReCiPe (H)'!CQ35</f>
        <v>68612.132681845673</v>
      </c>
      <c r="Q40" s="6">
        <f>'Results - raw data ReCiPe (H)'!CR35</f>
        <v>73300.410775560464</v>
      </c>
      <c r="R40" s="6">
        <f>'Results - raw data ReCiPe (H)'!CS35</f>
        <v>74130.070039558923</v>
      </c>
      <c r="S40" s="6">
        <f>'Results - raw data ReCiPe (H)'!CT35</f>
        <v>74959.304908222664</v>
      </c>
      <c r="T40" s="6">
        <f>'Results - raw data ReCiPe (H)'!CU35</f>
        <v>75785.007711992759</v>
      </c>
      <c r="U40" s="6">
        <f>'Results - raw data ReCiPe (H)'!CV35</f>
        <v>76613.765501983973</v>
      </c>
      <c r="V40" s="6">
        <f>'Results - raw data ReCiPe (H)'!CW35</f>
        <v>77442.351857305272</v>
      </c>
      <c r="W40" s="6">
        <f>'Results - raw data ReCiPe (H)'!CX35</f>
        <v>76929.198465091424</v>
      </c>
      <c r="X40" s="6">
        <f>'Results - raw data ReCiPe (H)'!CY35</f>
        <v>75047.062913840171</v>
      </c>
      <c r="Y40" s="6">
        <f>'Results - raw data ReCiPe (H)'!CZ35</f>
        <v>73158.834712232681</v>
      </c>
      <c r="Z40" s="6">
        <f>'Results - raw data ReCiPe (H)'!DA35</f>
        <v>71264.45297187168</v>
      </c>
    </row>
    <row r="41" spans="1:30" outlineLevel="1" x14ac:dyDescent="0.35">
      <c r="A41" s="23" t="s">
        <v>125</v>
      </c>
      <c r="B41" s="17">
        <f>SUM(B10:B40)</f>
        <v>84233.045522471279</v>
      </c>
      <c r="C41" s="17">
        <f>SUM(C10:C40)</f>
        <v>43367.233987962871</v>
      </c>
      <c r="D41" s="17">
        <f>SUM(D10:D40)</f>
        <v>43330.034950313529</v>
      </c>
      <c r="E41" s="17">
        <f>SUM(E10:E40)</f>
        <v>43255.127962288818</v>
      </c>
      <c r="F41" s="17">
        <f>SUM(F10:F40)</f>
        <v>43218.596647979306</v>
      </c>
      <c r="G41" s="17">
        <f t="shared" ref="G41:Z41" si="4">SUM(G10:G40)</f>
        <v>43182.125161550452</v>
      </c>
      <c r="H41" s="17">
        <f t="shared" si="4"/>
        <v>46058.735217254565</v>
      </c>
      <c r="I41" s="17">
        <f t="shared" si="4"/>
        <v>48928.663664850726</v>
      </c>
      <c r="J41" s="17">
        <f t="shared" si="4"/>
        <v>51767.48805737916</v>
      </c>
      <c r="K41" s="17">
        <f t="shared" si="4"/>
        <v>54627.249575587695</v>
      </c>
      <c r="L41" s="17">
        <f t="shared" si="4"/>
        <v>57477.423509205713</v>
      </c>
      <c r="M41" s="17">
        <f t="shared" si="4"/>
        <v>62510.055368603251</v>
      </c>
      <c r="N41" s="17">
        <f t="shared" si="4"/>
        <v>67543.397713121507</v>
      </c>
      <c r="O41" s="17">
        <f t="shared" si="4"/>
        <v>72572.776012237984</v>
      </c>
      <c r="P41" s="17">
        <f t="shared" si="4"/>
        <v>77607.214536742627</v>
      </c>
      <c r="Q41" s="17">
        <f t="shared" si="4"/>
        <v>82642.250976524883</v>
      </c>
      <c r="R41" s="17">
        <f t="shared" si="4"/>
        <v>83523.197422261655</v>
      </c>
      <c r="S41" s="17">
        <f t="shared" si="4"/>
        <v>84403.551176697481</v>
      </c>
      <c r="T41" s="17">
        <f t="shared" si="4"/>
        <v>85279.185102987627</v>
      </c>
      <c r="U41" s="17">
        <f t="shared" si="4"/>
        <v>86158.738075118163</v>
      </c>
      <c r="V41" s="17">
        <f t="shared" si="4"/>
        <v>87037.953418483608</v>
      </c>
      <c r="W41" s="17">
        <f t="shared" si="4"/>
        <v>86468.140937921489</v>
      </c>
      <c r="X41" s="17">
        <f t="shared" si="4"/>
        <v>84426.99423603421</v>
      </c>
      <c r="Y41" s="17">
        <f t="shared" si="4"/>
        <v>82379.823966700817</v>
      </c>
      <c r="Z41" s="17">
        <f t="shared" si="4"/>
        <v>81040.243214167829</v>
      </c>
    </row>
    <row r="42" spans="1:30" outlineLevel="1" x14ac:dyDescent="0.35"/>
    <row r="43" spans="1:30" s="18" customFormat="1" ht="21" x14ac:dyDescent="0.5">
      <c r="A43" s="18" t="s">
        <v>73</v>
      </c>
    </row>
    <row r="44" spans="1:30" s="20" customFormat="1" outlineLevel="1" x14ac:dyDescent="0.35">
      <c r="A44" s="19" t="s">
        <v>767</v>
      </c>
    </row>
    <row r="45" spans="1:30" s="16" customFormat="1" outlineLevel="1" x14ac:dyDescent="0.35">
      <c r="A45" s="21"/>
      <c r="AB45" s="16" t="s">
        <v>801</v>
      </c>
      <c r="AC45" s="16">
        <v>1</v>
      </c>
      <c r="AD45" s="16" t="s">
        <v>146</v>
      </c>
    </row>
    <row r="46" spans="1:30" s="16" customFormat="1" outlineLevel="1" x14ac:dyDescent="0.35">
      <c r="A46" s="22" t="s">
        <v>566</v>
      </c>
      <c r="AC46" s="16">
        <f>AC45*1000</f>
        <v>1000</v>
      </c>
      <c r="AD46" s="16" t="s">
        <v>144</v>
      </c>
    </row>
    <row r="47" spans="1:30" s="16" customFormat="1" outlineLevel="1" x14ac:dyDescent="0.35">
      <c r="A47" s="22"/>
      <c r="AB47" s="16" t="s">
        <v>127</v>
      </c>
      <c r="AC47" s="16">
        <v>100</v>
      </c>
      <c r="AD47" s="16" t="s">
        <v>128</v>
      </c>
    </row>
    <row r="48" spans="1:30" s="16" customFormat="1" outlineLevel="1" x14ac:dyDescent="0.35">
      <c r="A48" s="22"/>
      <c r="AB48" s="16" t="s">
        <v>129</v>
      </c>
      <c r="AC48" s="16">
        <v>25</v>
      </c>
      <c r="AD48" s="16" t="s">
        <v>130</v>
      </c>
    </row>
    <row r="49" spans="1:53" outlineLevel="1" x14ac:dyDescent="0.35">
      <c r="B49" s="25">
        <v>2030</v>
      </c>
      <c r="C49" s="25">
        <v>2031</v>
      </c>
      <c r="D49" s="25">
        <v>2032</v>
      </c>
      <c r="E49" s="25">
        <v>2033</v>
      </c>
      <c r="F49" s="25">
        <v>2034</v>
      </c>
      <c r="G49" s="25">
        <v>2035</v>
      </c>
      <c r="H49" s="25">
        <v>2036</v>
      </c>
      <c r="I49" s="25">
        <v>2037</v>
      </c>
      <c r="J49" s="25">
        <v>2038</v>
      </c>
      <c r="K49" s="25">
        <v>2039</v>
      </c>
      <c r="L49" s="25">
        <v>2040</v>
      </c>
      <c r="M49" s="25">
        <v>2041</v>
      </c>
      <c r="N49" s="25">
        <v>2042</v>
      </c>
      <c r="O49" s="25">
        <v>2043</v>
      </c>
      <c r="P49" s="25">
        <v>2044</v>
      </c>
      <c r="Q49" s="25">
        <v>2045</v>
      </c>
      <c r="R49" s="25">
        <v>2046</v>
      </c>
      <c r="S49" s="25">
        <v>2047</v>
      </c>
      <c r="T49" s="25">
        <v>2048</v>
      </c>
      <c r="U49" s="25">
        <v>2049</v>
      </c>
      <c r="V49" s="25">
        <v>2050</v>
      </c>
      <c r="W49" s="25">
        <v>2051</v>
      </c>
      <c r="X49" s="25">
        <v>2052</v>
      </c>
      <c r="Y49" s="25">
        <v>2053</v>
      </c>
      <c r="Z49" s="25">
        <v>2054</v>
      </c>
      <c r="AC49" s="25">
        <v>2030</v>
      </c>
      <c r="AD49" s="25">
        <v>2031</v>
      </c>
      <c r="AE49" s="25">
        <v>2032</v>
      </c>
      <c r="AF49" s="25">
        <v>2033</v>
      </c>
      <c r="AG49" s="25">
        <v>2034</v>
      </c>
      <c r="AH49" s="25">
        <v>2035</v>
      </c>
      <c r="AI49" s="25">
        <v>2036</v>
      </c>
      <c r="AJ49" s="25">
        <v>2037</v>
      </c>
      <c r="AK49" s="25">
        <v>2038</v>
      </c>
      <c r="AL49" s="25">
        <v>2039</v>
      </c>
      <c r="AM49" s="25">
        <v>2040</v>
      </c>
      <c r="AN49" s="25">
        <v>2041</v>
      </c>
      <c r="AO49" s="25">
        <v>2042</v>
      </c>
      <c r="AP49" s="25">
        <v>2043</v>
      </c>
      <c r="AQ49" s="25">
        <v>2044</v>
      </c>
      <c r="AR49" s="25">
        <v>2045</v>
      </c>
      <c r="AS49" s="25">
        <v>2046</v>
      </c>
      <c r="AT49" s="25">
        <v>2047</v>
      </c>
      <c r="AU49" s="25">
        <v>2048</v>
      </c>
      <c r="AV49" s="25">
        <v>2049</v>
      </c>
      <c r="AW49" s="25">
        <v>2050</v>
      </c>
      <c r="AX49" s="25">
        <v>2051</v>
      </c>
      <c r="AY49" s="25">
        <v>2052</v>
      </c>
      <c r="AZ49" s="25">
        <v>2053</v>
      </c>
      <c r="BA49" s="25">
        <v>2054</v>
      </c>
    </row>
    <row r="50" spans="1:53" outlineLevel="1" x14ac:dyDescent="0.35">
      <c r="A50" s="6" t="s">
        <v>21</v>
      </c>
      <c r="B50" s="6">
        <f>'Results - raw data ReCiPe (H)'!CC41</f>
        <v>664.0801386284005</v>
      </c>
      <c r="AB50" s="6" t="s">
        <v>117</v>
      </c>
      <c r="AC50" s="6">
        <f>SUM(B50:B61)+B63</f>
        <v>35571.801809533943</v>
      </c>
    </row>
    <row r="51" spans="1:53" outlineLevel="1" x14ac:dyDescent="0.35">
      <c r="A51" s="6" t="s">
        <v>23</v>
      </c>
      <c r="B51" s="6">
        <f>'Results - raw data ReCiPe (H)'!CC42</f>
        <v>880.72967752235445</v>
      </c>
      <c r="AB51" s="6" t="s">
        <v>118</v>
      </c>
      <c r="AC51" s="6">
        <f>B62</f>
        <v>2321.3557239996653</v>
      </c>
    </row>
    <row r="52" spans="1:53" outlineLevel="1" x14ac:dyDescent="0.35">
      <c r="A52" s="6" t="s">
        <v>26</v>
      </c>
      <c r="B52" s="6">
        <f>'Results - raw data ReCiPe (H)'!CC43</f>
        <v>2726.2435258181008</v>
      </c>
      <c r="AB52" s="6" t="s">
        <v>119</v>
      </c>
      <c r="BA52" s="6">
        <f>SUM(Z64:Z75)</f>
        <v>578.38595176265494</v>
      </c>
    </row>
    <row r="53" spans="1:53" outlineLevel="1" x14ac:dyDescent="0.35">
      <c r="A53" s="6" t="s">
        <v>28</v>
      </c>
      <c r="B53" s="6">
        <f>'Results - raw data ReCiPe (H)'!CC44</f>
        <v>2535.5148250076131</v>
      </c>
      <c r="AB53" s="6" t="s">
        <v>120</v>
      </c>
      <c r="BA53" s="6">
        <f>Z76</f>
        <v>20.958999559062121</v>
      </c>
    </row>
    <row r="54" spans="1:53" outlineLevel="1" x14ac:dyDescent="0.35">
      <c r="A54" s="6" t="s">
        <v>29</v>
      </c>
      <c r="B54" s="6">
        <f>'Results - raw data ReCiPe (H)'!CC45</f>
        <v>1516.390580972007</v>
      </c>
      <c r="AB54" s="6" t="s">
        <v>121</v>
      </c>
      <c r="AC54" s="6">
        <f>B77</f>
        <v>1148.3409729516229</v>
      </c>
      <c r="AF54" s="6">
        <f>E77</f>
        <v>1112.2182425813739</v>
      </c>
      <c r="AI54" s="6">
        <f>H77</f>
        <v>1076.9191461281321</v>
      </c>
      <c r="AL54" s="6">
        <f>K77</f>
        <v>1031.286216035297</v>
      </c>
      <c r="AO54" s="6">
        <f>N77</f>
        <v>977.44851845379105</v>
      </c>
      <c r="AR54" s="6">
        <f>Q77</f>
        <v>917.987027187487</v>
      </c>
      <c r="AU54" s="6">
        <f>T77</f>
        <v>875.86379727760391</v>
      </c>
      <c r="AX54" s="6">
        <f>W77</f>
        <v>846.3879160889735</v>
      </c>
      <c r="BA54" s="6">
        <f>Z77</f>
        <v>839.0363303143256</v>
      </c>
    </row>
    <row r="55" spans="1:53" outlineLevel="1" x14ac:dyDescent="0.35">
      <c r="A55" s="6" t="s">
        <v>31</v>
      </c>
      <c r="B55" s="6">
        <f>'Results - raw data ReCiPe (H)'!CC46</f>
        <v>1090.8211920973019</v>
      </c>
      <c r="AB55" s="6" t="s">
        <v>122</v>
      </c>
      <c r="AC55" s="6">
        <f>B80+B79</f>
        <v>31719.42420891019</v>
      </c>
      <c r="AD55" s="6">
        <f t="shared" ref="AD55:BA55" si="5">C80+C79</f>
        <v>29615.067212715021</v>
      </c>
      <c r="AE55" s="6">
        <f t="shared" si="5"/>
        <v>27511.55424373363</v>
      </c>
      <c r="AF55" s="6">
        <f t="shared" si="5"/>
        <v>25376.522327277871</v>
      </c>
      <c r="AG55" s="6">
        <f t="shared" si="5"/>
        <v>23274.096743693699</v>
      </c>
      <c r="AH55" s="6">
        <f t="shared" si="5"/>
        <v>21171.9224630998</v>
      </c>
      <c r="AI55" s="6">
        <f t="shared" si="5"/>
        <v>19494.08719520552</v>
      </c>
      <c r="AJ55" s="6">
        <f t="shared" si="5"/>
        <v>17819.456292159281</v>
      </c>
      <c r="AK55" s="6">
        <f t="shared" si="5"/>
        <v>16120.37980492665</v>
      </c>
      <c r="AL55" s="6">
        <f t="shared" si="5"/>
        <v>14447.550212391679</v>
      </c>
      <c r="AM55" s="6">
        <f t="shared" si="5"/>
        <v>12774.972356630589</v>
      </c>
      <c r="AN55" s="6">
        <f t="shared" si="5"/>
        <v>11430.748925640561</v>
      </c>
      <c r="AO55" s="6">
        <f t="shared" si="5"/>
        <v>10081.27410312286</v>
      </c>
      <c r="AP55" s="6">
        <f t="shared" si="5"/>
        <v>8721.1894502593204</v>
      </c>
      <c r="AQ55" s="6">
        <f t="shared" si="5"/>
        <v>7361.43824243366</v>
      </c>
      <c r="AR55" s="6">
        <f t="shared" si="5"/>
        <v>5996.6556679204514</v>
      </c>
      <c r="AS55" s="6">
        <f t="shared" si="5"/>
        <v>5258.5143779775881</v>
      </c>
      <c r="AT55" s="6">
        <f t="shared" si="5"/>
        <v>4520.3310015196421</v>
      </c>
      <c r="AU55" s="6">
        <f t="shared" si="5"/>
        <v>3777.4875783923999</v>
      </c>
      <c r="AV55" s="6">
        <f t="shared" si="5"/>
        <v>3039.441726812468</v>
      </c>
      <c r="AW55" s="6">
        <f t="shared" si="5"/>
        <v>2301.7728813207682</v>
      </c>
      <c r="AX55" s="6">
        <f t="shared" si="5"/>
        <v>2034.41682845842</v>
      </c>
      <c r="AY55" s="6">
        <f t="shared" si="5"/>
        <v>1744.3514068857951</v>
      </c>
      <c r="AZ55" s="6">
        <f t="shared" si="5"/>
        <v>1453.308202973933</v>
      </c>
      <c r="BA55" s="6">
        <f t="shared" si="5"/>
        <v>1161.2637139228491</v>
      </c>
    </row>
    <row r="56" spans="1:53" outlineLevel="1" x14ac:dyDescent="0.35">
      <c r="A56" s="6" t="s">
        <v>34</v>
      </c>
      <c r="B56" s="6">
        <f>'Results - raw data ReCiPe (H)'!CC47</f>
        <v>720.17360726585548</v>
      </c>
      <c r="AB56" s="6" t="s">
        <v>123</v>
      </c>
      <c r="AC56" s="6">
        <f t="shared" ref="AC56:BA56" si="6">B78</f>
        <v>5082.9496481032038</v>
      </c>
      <c r="AD56" s="6">
        <f t="shared" si="6"/>
        <v>4916.3224841084248</v>
      </c>
      <c r="AE56" s="6">
        <f t="shared" si="6"/>
        <v>4750.4855801159019</v>
      </c>
      <c r="AF56" s="6">
        <f t="shared" si="6"/>
        <v>4582.5142413266831</v>
      </c>
      <c r="AG56" s="6">
        <f t="shared" si="6"/>
        <v>4418.2090014380865</v>
      </c>
      <c r="AH56" s="6">
        <f t="shared" si="6"/>
        <v>4254.6419253980548</v>
      </c>
      <c r="AI56" s="6">
        <f t="shared" si="6"/>
        <v>4124.9368954637075</v>
      </c>
      <c r="AJ56" s="6">
        <f t="shared" si="6"/>
        <v>3995.7626131788752</v>
      </c>
      <c r="AK56" s="6">
        <f t="shared" si="6"/>
        <v>3864.7196395613578</v>
      </c>
      <c r="AL56" s="6">
        <f t="shared" si="6"/>
        <v>3736.2279447897663</v>
      </c>
      <c r="AM56" s="6">
        <f t="shared" si="6"/>
        <v>3608.0175571905152</v>
      </c>
      <c r="AN56" s="6">
        <f t="shared" si="6"/>
        <v>3504.7300074799091</v>
      </c>
      <c r="AO56" s="6">
        <f t="shared" si="6"/>
        <v>3401.0888160982026</v>
      </c>
      <c r="AP56" s="6">
        <f t="shared" si="6"/>
        <v>3296.6088200139266</v>
      </c>
      <c r="AQ56" s="6">
        <f t="shared" si="6"/>
        <v>3192.272981002468</v>
      </c>
      <c r="AR56" s="6">
        <f t="shared" si="6"/>
        <v>3087.5943796480919</v>
      </c>
      <c r="AS56" s="6">
        <f t="shared" si="6"/>
        <v>3030.646381777407</v>
      </c>
      <c r="AT56" s="6">
        <f t="shared" si="6"/>
        <v>2973.5461646753311</v>
      </c>
      <c r="AU56" s="6">
        <f t="shared" si="6"/>
        <v>2915.8794826243302</v>
      </c>
      <c r="AV56" s="6">
        <f t="shared" si="6"/>
        <v>2858.4847086516688</v>
      </c>
      <c r="AW56" s="6">
        <f t="shared" si="6"/>
        <v>2800.9628894299917</v>
      </c>
      <c r="AX56" s="6">
        <f t="shared" si="6"/>
        <v>2780.5539312864921</v>
      </c>
      <c r="AY56" s="6">
        <f t="shared" si="6"/>
        <v>2758.466432513691</v>
      </c>
      <c r="AZ56" s="6">
        <f t="shared" si="6"/>
        <v>2736.3737558613993</v>
      </c>
      <c r="BA56" s="6">
        <f t="shared" si="6"/>
        <v>2714.2739781852852</v>
      </c>
    </row>
    <row r="57" spans="1:53" outlineLevel="1" x14ac:dyDescent="0.35">
      <c r="A57" s="6" t="s">
        <v>36</v>
      </c>
      <c r="B57" s="6">
        <f>'Results - raw data ReCiPe (H)'!CC48</f>
        <v>600.64271598941855</v>
      </c>
      <c r="AB57" s="6" t="s">
        <v>124</v>
      </c>
      <c r="AC57" s="6">
        <f>-$AC$7*$AC$6</f>
        <v>-100000</v>
      </c>
      <c r="AD57" s="6">
        <f t="shared" ref="AD57:BA57" si="7">-$AC$7*$AC$6</f>
        <v>-100000</v>
      </c>
      <c r="AE57" s="6">
        <f t="shared" si="7"/>
        <v>-100000</v>
      </c>
      <c r="AF57" s="6">
        <f t="shared" si="7"/>
        <v>-100000</v>
      </c>
      <c r="AG57" s="6">
        <f t="shared" si="7"/>
        <v>-100000</v>
      </c>
      <c r="AH57" s="6">
        <f t="shared" si="7"/>
        <v>-100000</v>
      </c>
      <c r="AI57" s="6">
        <f t="shared" si="7"/>
        <v>-100000</v>
      </c>
      <c r="AJ57" s="6">
        <f t="shared" si="7"/>
        <v>-100000</v>
      </c>
      <c r="AK57" s="6">
        <f t="shared" si="7"/>
        <v>-100000</v>
      </c>
      <c r="AL57" s="6">
        <f t="shared" si="7"/>
        <v>-100000</v>
      </c>
      <c r="AM57" s="6">
        <f t="shared" si="7"/>
        <v>-100000</v>
      </c>
      <c r="AN57" s="6">
        <f t="shared" si="7"/>
        <v>-100000</v>
      </c>
      <c r="AO57" s="6">
        <f t="shared" si="7"/>
        <v>-100000</v>
      </c>
      <c r="AP57" s="6">
        <f t="shared" si="7"/>
        <v>-100000</v>
      </c>
      <c r="AQ57" s="6">
        <f t="shared" si="7"/>
        <v>-100000</v>
      </c>
      <c r="AR57" s="6">
        <f t="shared" si="7"/>
        <v>-100000</v>
      </c>
      <c r="AS57" s="6">
        <f t="shared" si="7"/>
        <v>-100000</v>
      </c>
      <c r="AT57" s="6">
        <f t="shared" si="7"/>
        <v>-100000</v>
      </c>
      <c r="AU57" s="6">
        <f t="shared" si="7"/>
        <v>-100000</v>
      </c>
      <c r="AV57" s="6">
        <f t="shared" si="7"/>
        <v>-100000</v>
      </c>
      <c r="AW57" s="6">
        <f t="shared" si="7"/>
        <v>-100000</v>
      </c>
      <c r="AX57" s="6">
        <f t="shared" si="7"/>
        <v>-100000</v>
      </c>
      <c r="AY57" s="6">
        <f t="shared" si="7"/>
        <v>-100000</v>
      </c>
      <c r="AZ57" s="6">
        <f t="shared" si="7"/>
        <v>-100000</v>
      </c>
      <c r="BA57" s="6">
        <f t="shared" si="7"/>
        <v>-100000</v>
      </c>
    </row>
    <row r="58" spans="1:53" outlineLevel="1" x14ac:dyDescent="0.35">
      <c r="A58" s="6" t="s">
        <v>38</v>
      </c>
      <c r="B58" s="6">
        <f>'Results - raw data ReCiPe (H)'!CC49</f>
        <v>5471.4360123760534</v>
      </c>
      <c r="AB58" s="23" t="s">
        <v>125</v>
      </c>
      <c r="AC58" s="17">
        <f t="shared" ref="AC58:BA58" si="8">SUM(AC50:AC57)</f>
        <v>-24156.127636501362</v>
      </c>
      <c r="AD58" s="17">
        <f t="shared" si="8"/>
        <v>-65468.610303176552</v>
      </c>
      <c r="AE58" s="17">
        <f t="shared" si="8"/>
        <v>-67737.96017615046</v>
      </c>
      <c r="AF58" s="17">
        <f t="shared" si="8"/>
        <v>-68928.745188814064</v>
      </c>
      <c r="AG58" s="17">
        <f t="shared" si="8"/>
        <v>-72307.694254868213</v>
      </c>
      <c r="AH58" s="17">
        <f t="shared" si="8"/>
        <v>-74573.435611502151</v>
      </c>
      <c r="AI58" s="17">
        <f t="shared" si="8"/>
        <v>-75304.056763202636</v>
      </c>
      <c r="AJ58" s="17">
        <f t="shared" si="8"/>
        <v>-78184.781094661841</v>
      </c>
      <c r="AK58" s="17">
        <f t="shared" si="8"/>
        <v>-80014.900555511995</v>
      </c>
      <c r="AL58" s="17">
        <f t="shared" si="8"/>
        <v>-80784.935626783263</v>
      </c>
      <c r="AM58" s="17">
        <f t="shared" si="8"/>
        <v>-83617.010086178896</v>
      </c>
      <c r="AN58" s="17">
        <f t="shared" si="8"/>
        <v>-85064.521066879533</v>
      </c>
      <c r="AO58" s="17">
        <f t="shared" si="8"/>
        <v>-85540.188562325144</v>
      </c>
      <c r="AP58" s="17">
        <f t="shared" si="8"/>
        <v>-87982.201729726745</v>
      </c>
      <c r="AQ58" s="17">
        <f t="shared" si="8"/>
        <v>-89446.288776563873</v>
      </c>
      <c r="AR58" s="17">
        <f t="shared" si="8"/>
        <v>-89997.762925243966</v>
      </c>
      <c r="AS58" s="17">
        <f t="shared" si="8"/>
        <v>-91710.839240244997</v>
      </c>
      <c r="AT58" s="17">
        <f t="shared" si="8"/>
        <v>-92506.122833805028</v>
      </c>
      <c r="AU58" s="17">
        <f t="shared" si="8"/>
        <v>-92430.769141705663</v>
      </c>
      <c r="AV58" s="17">
        <f t="shared" si="8"/>
        <v>-94102.073564535865</v>
      </c>
      <c r="AW58" s="17">
        <f t="shared" si="8"/>
        <v>-94897.264229249238</v>
      </c>
      <c r="AX58" s="17">
        <f t="shared" si="8"/>
        <v>-94338.641324166121</v>
      </c>
      <c r="AY58" s="17">
        <f t="shared" si="8"/>
        <v>-95497.182160600511</v>
      </c>
      <c r="AZ58" s="17">
        <f t="shared" si="8"/>
        <v>-95810.318041164661</v>
      </c>
      <c r="BA58" s="17">
        <f t="shared" si="8"/>
        <v>-94686.081026255823</v>
      </c>
    </row>
    <row r="59" spans="1:53" outlineLevel="1" x14ac:dyDescent="0.35">
      <c r="A59" s="6" t="s">
        <v>39</v>
      </c>
      <c r="B59" s="6">
        <f>'Results - raw data ReCiPe (H)'!CC50</f>
        <v>10289.89043583642</v>
      </c>
    </row>
    <row r="60" spans="1:53" outlineLevel="1" x14ac:dyDescent="0.35">
      <c r="A60" s="6" t="s">
        <v>41</v>
      </c>
      <c r="B60" s="6">
        <f>'Results - raw data ReCiPe (H)'!CC51</f>
        <v>149.83026646962881</v>
      </c>
    </row>
    <row r="61" spans="1:53" outlineLevel="1" x14ac:dyDescent="0.35">
      <c r="A61" s="6" t="s">
        <v>43</v>
      </c>
      <c r="B61" s="6">
        <f>'Results - raw data ReCiPe (H)'!CC52</f>
        <v>540.2049660112441</v>
      </c>
      <c r="AB61" s="24"/>
    </row>
    <row r="62" spans="1:53" outlineLevel="1" x14ac:dyDescent="0.35">
      <c r="A62" s="6" t="s">
        <v>44</v>
      </c>
      <c r="B62" s="6">
        <f>'Results - raw data ReCiPe (H)'!CC53*AC47*AC48</f>
        <v>2321.3557239996653</v>
      </c>
      <c r="AC62" s="282"/>
      <c r="AD62" s="282"/>
      <c r="AE62" s="282"/>
      <c r="AF62" s="282"/>
      <c r="AG62" s="282"/>
      <c r="AH62" s="282"/>
      <c r="AI62" s="282"/>
      <c r="AJ62" s="282"/>
      <c r="AK62" s="282"/>
      <c r="AL62" s="282"/>
      <c r="AM62" s="282"/>
      <c r="AN62" s="282"/>
      <c r="AO62" s="282"/>
      <c r="AP62" s="282"/>
      <c r="AQ62" s="282"/>
      <c r="AR62" s="282"/>
      <c r="AS62" s="282"/>
      <c r="AT62" s="282"/>
      <c r="AU62" s="282"/>
      <c r="AV62" s="282"/>
      <c r="AW62" s="282"/>
      <c r="AX62" s="282"/>
      <c r="AY62" s="282"/>
      <c r="AZ62" s="282"/>
      <c r="BA62" s="282"/>
    </row>
    <row r="63" spans="1:53" outlineLevel="1" x14ac:dyDescent="0.35">
      <c r="A63" s="6" t="s">
        <v>757</v>
      </c>
      <c r="B63" s="6">
        <f>'Results - raw data ReCiPe (H)'!CC54*AC47*AC48</f>
        <v>8385.8438655395494</v>
      </c>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row>
    <row r="64" spans="1:53" outlineLevel="1" x14ac:dyDescent="0.35">
      <c r="A64" s="6" t="s">
        <v>22</v>
      </c>
      <c r="Z64" s="6">
        <f>'Results - raw data ReCiPe (H)'!DA55</f>
        <v>17.809288110870401</v>
      </c>
    </row>
    <row r="65" spans="1:26" outlineLevel="1" x14ac:dyDescent="0.35">
      <c r="A65" s="6" t="s">
        <v>24</v>
      </c>
      <c r="Z65" s="6">
        <f>'Results - raw data ReCiPe (H)'!DA56</f>
        <v>6.4841516951127067</v>
      </c>
    </row>
    <row r="66" spans="1:26" outlineLevel="1" x14ac:dyDescent="0.35">
      <c r="A66" s="6" t="s">
        <v>25</v>
      </c>
      <c r="Z66" s="6">
        <f>'Results - raw data ReCiPe (H)'!DA57</f>
        <v>20.396392714219459</v>
      </c>
    </row>
    <row r="67" spans="1:26" outlineLevel="1" x14ac:dyDescent="0.35">
      <c r="A67" s="6" t="s">
        <v>27</v>
      </c>
      <c r="Z67" s="6">
        <f>'Results - raw data ReCiPe (H)'!DA58</f>
        <v>6.4516925251757771</v>
      </c>
    </row>
    <row r="68" spans="1:26" outlineLevel="1" x14ac:dyDescent="0.35">
      <c r="A68" s="6" t="s">
        <v>30</v>
      </c>
      <c r="Z68" s="6">
        <f>'Results - raw data ReCiPe (H)'!DA59</f>
        <v>23.21195353922505</v>
      </c>
    </row>
    <row r="69" spans="1:26" outlineLevel="1" x14ac:dyDescent="0.35">
      <c r="A69" s="6" t="s">
        <v>32</v>
      </c>
      <c r="Z69" s="6">
        <f>'Results - raw data ReCiPe (H)'!DA60</f>
        <v>0.71269773507552991</v>
      </c>
    </row>
    <row r="70" spans="1:26" outlineLevel="1" x14ac:dyDescent="0.35">
      <c r="A70" s="6" t="s">
        <v>33</v>
      </c>
      <c r="Z70" s="6">
        <f>'Results - raw data ReCiPe (H)'!DA61</f>
        <v>5.512756844731129</v>
      </c>
    </row>
    <row r="71" spans="1:26" outlineLevel="1" x14ac:dyDescent="0.35">
      <c r="A71" s="6" t="s">
        <v>35</v>
      </c>
      <c r="Z71" s="6">
        <f>'Results - raw data ReCiPe (H)'!DA62</f>
        <v>11.02551368946226</v>
      </c>
    </row>
    <row r="72" spans="1:26" outlineLevel="1" x14ac:dyDescent="0.35">
      <c r="A72" s="6" t="s">
        <v>37</v>
      </c>
      <c r="Z72" s="6">
        <f>'Results - raw data ReCiPe (H)'!DA63</f>
        <v>11.4624592345025</v>
      </c>
    </row>
    <row r="73" spans="1:26" outlineLevel="1" x14ac:dyDescent="0.35">
      <c r="A73" s="6" t="s">
        <v>40</v>
      </c>
      <c r="Z73" s="6">
        <f>'Results - raw data ReCiPe (H)'!DA64</f>
        <v>278.45924154762872</v>
      </c>
    </row>
    <row r="74" spans="1:26" outlineLevel="1" x14ac:dyDescent="0.35">
      <c r="A74" s="6" t="s">
        <v>42</v>
      </c>
      <c r="Z74" s="6">
        <f>'Results - raw data ReCiPe (H)'!DA65</f>
        <v>24.547181732291531</v>
      </c>
    </row>
    <row r="75" spans="1:26" outlineLevel="1" x14ac:dyDescent="0.35">
      <c r="A75" s="6" t="s">
        <v>115</v>
      </c>
      <c r="Z75" s="6">
        <f>'Results - raw data ReCiPe (H)'!DA66</f>
        <v>172.31262239435989</v>
      </c>
    </row>
    <row r="76" spans="1:26" outlineLevel="1" x14ac:dyDescent="0.35">
      <c r="A76" s="6" t="s">
        <v>45</v>
      </c>
      <c r="Z76" s="6">
        <f>'Results - raw data ReCiPe (H)'!DA67*AC47*AC48</f>
        <v>20.958999559062121</v>
      </c>
    </row>
    <row r="77" spans="1:26" outlineLevel="1" x14ac:dyDescent="0.35">
      <c r="A77" s="6" t="s">
        <v>116</v>
      </c>
      <c r="B77" s="6">
        <f>'Results - raw data ReCiPe (H)'!CC68</f>
        <v>1148.3409729516229</v>
      </c>
      <c r="C77" s="6">
        <f>'Results - raw data ReCiPe (H)'!CD68</f>
        <v>1138.060168440604</v>
      </c>
      <c r="D77" s="6">
        <f>'Results - raw data ReCiPe (H)'!CE68</f>
        <v>1127.7127066101459</v>
      </c>
      <c r="E77" s="6">
        <f>'Results - raw data ReCiPe (H)'!CF68</f>
        <v>1112.2182425813739</v>
      </c>
      <c r="F77" s="6">
        <f>'Results - raw data ReCiPe (H)'!CG68</f>
        <v>1101.723968475133</v>
      </c>
      <c r="G77" s="6">
        <f>'Results - raw data ReCiPe (H)'!CH68</f>
        <v>1091.139656450338</v>
      </c>
      <c r="H77" s="6">
        <f>'Results - raw data ReCiPe (H)'!CI68</f>
        <v>1076.9191461281321</v>
      </c>
      <c r="I77" s="6">
        <f>'Results - raw data ReCiPe (H)'!CJ68</f>
        <v>1062.730546817681</v>
      </c>
      <c r="J77" s="6">
        <f>'Results - raw data ReCiPe (H)'!CK68</f>
        <v>1045.4717263922239</v>
      </c>
      <c r="K77" s="6">
        <f>'Results - raw data ReCiPe (H)'!CL68</f>
        <v>1031.286216035297</v>
      </c>
      <c r="L77" s="6">
        <f>'Results - raw data ReCiPe (H)'!CM68</f>
        <v>1017.05516653554</v>
      </c>
      <c r="M77" s="6">
        <f>'Results - raw data ReCiPe (H)'!CN68</f>
        <v>997.19821038309715</v>
      </c>
      <c r="N77" s="6">
        <f>'Results - raw data ReCiPe (H)'!CO68</f>
        <v>977.44851845379105</v>
      </c>
      <c r="O77" s="6">
        <f>'Results - raw data ReCiPe (H)'!CP68</f>
        <v>956.93102796878463</v>
      </c>
      <c r="P77" s="6">
        <f>'Results - raw data ReCiPe (H)'!CQ68</f>
        <v>937.40861002536712</v>
      </c>
      <c r="Q77" s="6">
        <f>'Results - raw data ReCiPe (H)'!CR68</f>
        <v>917.987027187487</v>
      </c>
      <c r="R77" s="6">
        <f>'Results - raw data ReCiPe (H)'!CS68</f>
        <v>904.09536731961418</v>
      </c>
      <c r="S77" s="6">
        <f>'Results - raw data ReCiPe (H)'!CT68</f>
        <v>890.28838396677645</v>
      </c>
      <c r="T77" s="6">
        <f>'Results - raw data ReCiPe (H)'!CU68</f>
        <v>875.86379727760391</v>
      </c>
      <c r="U77" s="6">
        <f>'Results - raw data ReCiPe (H)'!CV68</f>
        <v>862.23848950309525</v>
      </c>
      <c r="V77" s="6">
        <f>'Results - raw data ReCiPe (H)'!CW68</f>
        <v>848.69548558566385</v>
      </c>
      <c r="W77" s="6">
        <f>'Results - raw data ReCiPe (H)'!CX68</f>
        <v>846.3879160889735</v>
      </c>
      <c r="X77" s="6">
        <f>'Results - raw data ReCiPe (H)'!CY68</f>
        <v>843.918831246026</v>
      </c>
      <c r="Y77" s="6">
        <f>'Results - raw data ReCiPe (H)'!CZ68</f>
        <v>841.46837575009522</v>
      </c>
      <c r="Z77" s="6">
        <f>'Results - raw data ReCiPe (H)'!DA68</f>
        <v>839.0363303143256</v>
      </c>
    </row>
    <row r="78" spans="1:26" outlineLevel="1" x14ac:dyDescent="0.35">
      <c r="A78" s="6" t="s">
        <v>758</v>
      </c>
      <c r="B78" s="6">
        <f>'Results - raw data ReCiPe (H)'!CC173*$AC$47</f>
        <v>5082.9496481032038</v>
      </c>
      <c r="C78" s="6">
        <f>'Results - raw data ReCiPe (H)'!CD173*$AC$47</f>
        <v>4916.3224841084248</v>
      </c>
      <c r="D78" s="6">
        <f>'Results - raw data ReCiPe (H)'!CE173*$AC$47</f>
        <v>4750.4855801159019</v>
      </c>
      <c r="E78" s="6">
        <f>'Results - raw data ReCiPe (H)'!CF173*$AC$47</f>
        <v>4582.5142413266831</v>
      </c>
      <c r="F78" s="6">
        <f>'Results - raw data ReCiPe (H)'!CG173*$AC$47</f>
        <v>4418.2090014380865</v>
      </c>
      <c r="G78" s="6">
        <f>'Results - raw data ReCiPe (H)'!CH173*$AC$47</f>
        <v>4254.6419253980548</v>
      </c>
      <c r="H78" s="6">
        <f>'Results - raw data ReCiPe (H)'!CI173*$AC$47</f>
        <v>4124.9368954637075</v>
      </c>
      <c r="I78" s="6">
        <f>'Results - raw data ReCiPe (H)'!CJ173*$AC$47</f>
        <v>3995.7626131788752</v>
      </c>
      <c r="J78" s="6">
        <f>'Results - raw data ReCiPe (H)'!CK173*$AC$47</f>
        <v>3864.7196395613578</v>
      </c>
      <c r="K78" s="6">
        <f>'Results - raw data ReCiPe (H)'!CL173*$AC$47</f>
        <v>3736.2279447897663</v>
      </c>
      <c r="L78" s="6">
        <f>'Results - raw data ReCiPe (H)'!CM173*$AC$47</f>
        <v>3608.0175571905152</v>
      </c>
      <c r="M78" s="6">
        <f>'Results - raw data ReCiPe (H)'!CN173*$AC$47</f>
        <v>3504.7300074799091</v>
      </c>
      <c r="N78" s="6">
        <f>'Results - raw data ReCiPe (H)'!CO173*$AC$47</f>
        <v>3401.0888160982026</v>
      </c>
      <c r="O78" s="6">
        <f>'Results - raw data ReCiPe (H)'!CP173*$AC$47</f>
        <v>3296.6088200139266</v>
      </c>
      <c r="P78" s="6">
        <f>'Results - raw data ReCiPe (H)'!CQ173*$AC$47</f>
        <v>3192.272981002468</v>
      </c>
      <c r="Q78" s="6">
        <f>'Results - raw data ReCiPe (H)'!CR173*$AC$47</f>
        <v>3087.5943796480919</v>
      </c>
      <c r="R78" s="6">
        <f>'Results - raw data ReCiPe (H)'!CS173*$AC$47</f>
        <v>3030.646381777407</v>
      </c>
      <c r="S78" s="6">
        <f>'Results - raw data ReCiPe (H)'!CT173*$AC$47</f>
        <v>2973.5461646753311</v>
      </c>
      <c r="T78" s="6">
        <f>'Results - raw data ReCiPe (H)'!CU173*$AC$47</f>
        <v>2915.8794826243302</v>
      </c>
      <c r="U78" s="6">
        <f>'Results - raw data ReCiPe (H)'!CV173*$AC$47</f>
        <v>2858.4847086516688</v>
      </c>
      <c r="V78" s="6">
        <f>'Results - raw data ReCiPe (H)'!CW173*$AC$47</f>
        <v>2800.9628894299917</v>
      </c>
      <c r="W78" s="6">
        <f>'Results - raw data ReCiPe (H)'!CX173*$AC$47</f>
        <v>2780.5539312864921</v>
      </c>
      <c r="X78" s="6">
        <f>'Results - raw data ReCiPe (H)'!CY173*$AC$47</f>
        <v>2758.466432513691</v>
      </c>
      <c r="Y78" s="6">
        <f>'Results - raw data ReCiPe (H)'!CZ173*$AC$47</f>
        <v>2736.3737558613993</v>
      </c>
      <c r="Z78" s="6">
        <f>'Results - raw data ReCiPe (H)'!DA173*$AC$47</f>
        <v>2714.2739781852852</v>
      </c>
    </row>
    <row r="79" spans="1:26" outlineLevel="1" x14ac:dyDescent="0.35">
      <c r="A79" s="6" t="s">
        <v>759</v>
      </c>
      <c r="B79" s="6">
        <f>'Results - raw data ReCiPe (H)'!CC70</f>
        <v>0</v>
      </c>
      <c r="C79" s="6">
        <f>'Results - raw data ReCiPe (H)'!CD70</f>
        <v>0</v>
      </c>
      <c r="D79" s="6">
        <f>'Results - raw data ReCiPe (H)'!CE70</f>
        <v>0</v>
      </c>
      <c r="E79" s="6">
        <f>'Results - raw data ReCiPe (H)'!CF70</f>
        <v>0</v>
      </c>
      <c r="F79" s="6">
        <f>'Results - raw data ReCiPe (H)'!CG70</f>
        <v>0</v>
      </c>
      <c r="G79" s="6">
        <f>'Results - raw data ReCiPe (H)'!CH70</f>
        <v>0</v>
      </c>
      <c r="H79" s="6">
        <f>'Results - raw data ReCiPe (H)'!CI70</f>
        <v>0</v>
      </c>
      <c r="I79" s="6">
        <f>'Results - raw data ReCiPe (H)'!CJ70</f>
        <v>0</v>
      </c>
      <c r="J79" s="6">
        <f>'Results - raw data ReCiPe (H)'!CK70</f>
        <v>0</v>
      </c>
      <c r="K79" s="6">
        <f>'Results - raw data ReCiPe (H)'!CL70</f>
        <v>0</v>
      </c>
      <c r="L79" s="6">
        <f>'Results - raw data ReCiPe (H)'!CM70</f>
        <v>0</v>
      </c>
      <c r="M79" s="6">
        <f>'Results - raw data ReCiPe (H)'!CN70</f>
        <v>0</v>
      </c>
      <c r="N79" s="6">
        <f>'Results - raw data ReCiPe (H)'!CO70</f>
        <v>0</v>
      </c>
      <c r="O79" s="6">
        <f>'Results - raw data ReCiPe (H)'!CP70</f>
        <v>0</v>
      </c>
      <c r="P79" s="6">
        <f>'Results - raw data ReCiPe (H)'!CQ70</f>
        <v>0</v>
      </c>
      <c r="Q79" s="6">
        <f>'Results - raw data ReCiPe (H)'!CR70</f>
        <v>0</v>
      </c>
      <c r="R79" s="6">
        <f>'Results - raw data ReCiPe (H)'!CS70</f>
        <v>0</v>
      </c>
      <c r="S79" s="6">
        <f>'Results - raw data ReCiPe (H)'!CT70</f>
        <v>0</v>
      </c>
      <c r="T79" s="6">
        <f>'Results - raw data ReCiPe (H)'!CU70</f>
        <v>0</v>
      </c>
      <c r="U79" s="6">
        <f>'Results - raw data ReCiPe (H)'!CV70</f>
        <v>0</v>
      </c>
      <c r="V79" s="6">
        <f>'Results - raw data ReCiPe (H)'!CW70</f>
        <v>0</v>
      </c>
      <c r="W79" s="6">
        <f>'Results - raw data ReCiPe (H)'!CX70</f>
        <v>0</v>
      </c>
      <c r="X79" s="6">
        <f>'Results - raw data ReCiPe (H)'!CY70</f>
        <v>0</v>
      </c>
      <c r="Y79" s="6">
        <f>'Results - raw data ReCiPe (H)'!CZ70</f>
        <v>0</v>
      </c>
      <c r="Z79" s="6">
        <f>'Results - raw data ReCiPe (H)'!DA70</f>
        <v>0</v>
      </c>
    </row>
    <row r="80" spans="1:26" outlineLevel="1" x14ac:dyDescent="0.35">
      <c r="A80" s="6" t="s">
        <v>760</v>
      </c>
      <c r="B80" s="6">
        <f>'Results - raw data ReCiPe (H)'!CC71</f>
        <v>31719.42420891019</v>
      </c>
      <c r="C80" s="6">
        <f>'Results - raw data ReCiPe (H)'!CD71</f>
        <v>29615.067212715021</v>
      </c>
      <c r="D80" s="6">
        <f>'Results - raw data ReCiPe (H)'!CE71</f>
        <v>27511.55424373363</v>
      </c>
      <c r="E80" s="6">
        <f>'Results - raw data ReCiPe (H)'!CF71</f>
        <v>25376.522327277871</v>
      </c>
      <c r="F80" s="6">
        <f>'Results - raw data ReCiPe (H)'!CG71</f>
        <v>23274.096743693699</v>
      </c>
      <c r="G80" s="6">
        <f>'Results - raw data ReCiPe (H)'!CH71</f>
        <v>21171.9224630998</v>
      </c>
      <c r="H80" s="6">
        <f>'Results - raw data ReCiPe (H)'!CI71</f>
        <v>19494.08719520552</v>
      </c>
      <c r="I80" s="6">
        <f>'Results - raw data ReCiPe (H)'!CJ71</f>
        <v>17819.456292159281</v>
      </c>
      <c r="J80" s="6">
        <f>'Results - raw data ReCiPe (H)'!CK71</f>
        <v>16120.37980492665</v>
      </c>
      <c r="K80" s="6">
        <f>'Results - raw data ReCiPe (H)'!CL71</f>
        <v>14447.550212391679</v>
      </c>
      <c r="L80" s="6">
        <f>'Results - raw data ReCiPe (H)'!CM71</f>
        <v>12774.972356630589</v>
      </c>
      <c r="M80" s="6">
        <f>'Results - raw data ReCiPe (H)'!CN71</f>
        <v>11430.748925640561</v>
      </c>
      <c r="N80" s="6">
        <f>'Results - raw data ReCiPe (H)'!CO71</f>
        <v>10081.27410312286</v>
      </c>
      <c r="O80" s="6">
        <f>'Results - raw data ReCiPe (H)'!CP71</f>
        <v>8721.1894502593204</v>
      </c>
      <c r="P80" s="6">
        <f>'Results - raw data ReCiPe (H)'!CQ71</f>
        <v>7361.43824243366</v>
      </c>
      <c r="Q80" s="6">
        <f>'Results - raw data ReCiPe (H)'!CR71</f>
        <v>5996.6556679204514</v>
      </c>
      <c r="R80" s="6">
        <f>'Results - raw data ReCiPe (H)'!CS71</f>
        <v>5258.5143779775881</v>
      </c>
      <c r="S80" s="6">
        <f>'Results - raw data ReCiPe (H)'!CT71</f>
        <v>4520.3310015196421</v>
      </c>
      <c r="T80" s="6">
        <f>'Results - raw data ReCiPe (H)'!CU71</f>
        <v>3777.4875783923999</v>
      </c>
      <c r="U80" s="6">
        <f>'Results - raw data ReCiPe (H)'!CV71</f>
        <v>3039.441726812468</v>
      </c>
      <c r="V80" s="6">
        <f>'Results - raw data ReCiPe (H)'!CW71</f>
        <v>2301.7728813207682</v>
      </c>
      <c r="W80" s="6">
        <f>'Results - raw data ReCiPe (H)'!CX71</f>
        <v>2034.41682845842</v>
      </c>
      <c r="X80" s="6">
        <f>'Results - raw data ReCiPe (H)'!CY71</f>
        <v>1744.3514068857951</v>
      </c>
      <c r="Y80" s="6">
        <f>'Results - raw data ReCiPe (H)'!CZ71</f>
        <v>1453.308202973933</v>
      </c>
      <c r="Z80" s="6">
        <f>'Results - raw data ReCiPe (H)'!DA71</f>
        <v>1161.2637139228491</v>
      </c>
    </row>
    <row r="81" spans="1:53" outlineLevel="1" x14ac:dyDescent="0.35">
      <c r="A81" s="23" t="s">
        <v>125</v>
      </c>
      <c r="B81" s="17">
        <f t="shared" ref="B81:Z81" si="9">SUM(B50:B80)</f>
        <v>75843.872363498624</v>
      </c>
      <c r="C81" s="17">
        <f t="shared" si="9"/>
        <v>35669.449865264047</v>
      </c>
      <c r="D81" s="17">
        <f t="shared" si="9"/>
        <v>33389.752530459678</v>
      </c>
      <c r="E81" s="17">
        <f t="shared" si="9"/>
        <v>31071.254811185929</v>
      </c>
      <c r="F81" s="17">
        <f t="shared" si="9"/>
        <v>28794.02971360692</v>
      </c>
      <c r="G81" s="17">
        <f t="shared" si="9"/>
        <v>26517.704044948194</v>
      </c>
      <c r="H81" s="17">
        <f t="shared" si="9"/>
        <v>24695.94323679736</v>
      </c>
      <c r="I81" s="17">
        <f t="shared" si="9"/>
        <v>22877.949452155837</v>
      </c>
      <c r="J81" s="17">
        <f t="shared" si="9"/>
        <v>21030.571170880234</v>
      </c>
      <c r="K81" s="17">
        <f t="shared" si="9"/>
        <v>19215.064373216745</v>
      </c>
      <c r="L81" s="17">
        <f t="shared" si="9"/>
        <v>17400.045080356645</v>
      </c>
      <c r="M81" s="17">
        <f t="shared" si="9"/>
        <v>15932.677143503566</v>
      </c>
      <c r="N81" s="17">
        <f t="shared" si="9"/>
        <v>14459.811437674853</v>
      </c>
      <c r="O81" s="17">
        <f t="shared" si="9"/>
        <v>12974.729298242031</v>
      </c>
      <c r="P81" s="17">
        <f t="shared" si="9"/>
        <v>11491.119833461495</v>
      </c>
      <c r="Q81" s="17">
        <f t="shared" si="9"/>
        <v>10002.237074756031</v>
      </c>
      <c r="R81" s="17">
        <f t="shared" si="9"/>
        <v>9193.2561270746082</v>
      </c>
      <c r="S81" s="17">
        <f t="shared" si="9"/>
        <v>8384.1655501617497</v>
      </c>
      <c r="T81" s="17">
        <f t="shared" si="9"/>
        <v>7569.2308582943342</v>
      </c>
      <c r="U81" s="17">
        <f t="shared" si="9"/>
        <v>6760.1649249672319</v>
      </c>
      <c r="V81" s="17">
        <f t="shared" si="9"/>
        <v>5951.4312563364238</v>
      </c>
      <c r="W81" s="17">
        <f t="shared" si="9"/>
        <v>5661.3586758338861</v>
      </c>
      <c r="X81" s="17">
        <f t="shared" si="9"/>
        <v>5346.7366706455123</v>
      </c>
      <c r="Y81" s="17">
        <f t="shared" si="9"/>
        <v>5031.1503345854271</v>
      </c>
      <c r="Z81" s="17">
        <f t="shared" si="9"/>
        <v>5313.9189737441766</v>
      </c>
    </row>
    <row r="82" spans="1:53" outlineLevel="1" x14ac:dyDescent="0.35"/>
    <row r="83" spans="1:53" s="18" customFormat="1" ht="21" x14ac:dyDescent="0.5">
      <c r="A83" s="18" t="s">
        <v>94</v>
      </c>
    </row>
    <row r="84" spans="1:53" s="20" customFormat="1" outlineLevel="1" x14ac:dyDescent="0.35">
      <c r="A84" s="19" t="s">
        <v>767</v>
      </c>
    </row>
    <row r="85" spans="1:53" s="16" customFormat="1" outlineLevel="1" x14ac:dyDescent="0.35">
      <c r="A85" s="21"/>
      <c r="AB85" s="16" t="s">
        <v>801</v>
      </c>
      <c r="AC85" s="16">
        <v>1</v>
      </c>
      <c r="AD85" s="16" t="s">
        <v>146</v>
      </c>
    </row>
    <row r="86" spans="1:53" s="16" customFormat="1" outlineLevel="1" x14ac:dyDescent="0.35">
      <c r="A86" s="22" t="s">
        <v>566</v>
      </c>
      <c r="AC86" s="16">
        <f>AC85*1000</f>
        <v>1000</v>
      </c>
      <c r="AD86" s="16" t="s">
        <v>144</v>
      </c>
    </row>
    <row r="87" spans="1:53" s="16" customFormat="1" outlineLevel="1" x14ac:dyDescent="0.35">
      <c r="A87" s="22"/>
      <c r="AB87" s="16" t="s">
        <v>127</v>
      </c>
      <c r="AC87" s="16">
        <v>100</v>
      </c>
      <c r="AD87" s="16" t="s">
        <v>128</v>
      </c>
    </row>
    <row r="88" spans="1:53" s="16" customFormat="1" outlineLevel="1" x14ac:dyDescent="0.35">
      <c r="A88" s="22"/>
      <c r="AB88" s="16" t="s">
        <v>129</v>
      </c>
      <c r="AC88" s="16">
        <v>25</v>
      </c>
      <c r="AD88" s="16" t="s">
        <v>130</v>
      </c>
    </row>
    <row r="89" spans="1:53" outlineLevel="1" x14ac:dyDescent="0.35">
      <c r="B89" s="25">
        <v>2030</v>
      </c>
      <c r="C89" s="25">
        <v>2031</v>
      </c>
      <c r="D89" s="25">
        <v>2032</v>
      </c>
      <c r="E89" s="25">
        <v>2033</v>
      </c>
      <c r="F89" s="25">
        <v>2034</v>
      </c>
      <c r="G89" s="25">
        <v>2035</v>
      </c>
      <c r="H89" s="25">
        <v>2036</v>
      </c>
      <c r="I89" s="25">
        <v>2037</v>
      </c>
      <c r="J89" s="25">
        <v>2038</v>
      </c>
      <c r="K89" s="25">
        <v>2039</v>
      </c>
      <c r="L89" s="25">
        <v>2040</v>
      </c>
      <c r="M89" s="25">
        <v>2041</v>
      </c>
      <c r="N89" s="25">
        <v>2042</v>
      </c>
      <c r="O89" s="25">
        <v>2043</v>
      </c>
      <c r="P89" s="25">
        <v>2044</v>
      </c>
      <c r="Q89" s="25">
        <v>2045</v>
      </c>
      <c r="R89" s="25">
        <v>2046</v>
      </c>
      <c r="S89" s="25">
        <v>2047</v>
      </c>
      <c r="T89" s="25">
        <v>2048</v>
      </c>
      <c r="U89" s="25">
        <v>2049</v>
      </c>
      <c r="V89" s="25">
        <v>2050</v>
      </c>
      <c r="W89" s="25">
        <v>2051</v>
      </c>
      <c r="X89" s="25">
        <v>2052</v>
      </c>
      <c r="Y89" s="25">
        <v>2053</v>
      </c>
      <c r="Z89" s="25">
        <v>2054</v>
      </c>
      <c r="AC89" s="25">
        <v>2030</v>
      </c>
      <c r="AD89" s="25">
        <v>2031</v>
      </c>
      <c r="AE89" s="25">
        <v>2032</v>
      </c>
      <c r="AF89" s="25">
        <v>2033</v>
      </c>
      <c r="AG89" s="25">
        <v>2034</v>
      </c>
      <c r="AH89" s="25">
        <v>2035</v>
      </c>
      <c r="AI89" s="25">
        <v>2036</v>
      </c>
      <c r="AJ89" s="25">
        <v>2037</v>
      </c>
      <c r="AK89" s="25">
        <v>2038</v>
      </c>
      <c r="AL89" s="25">
        <v>2039</v>
      </c>
      <c r="AM89" s="25">
        <v>2040</v>
      </c>
      <c r="AN89" s="25">
        <v>2041</v>
      </c>
      <c r="AO89" s="25">
        <v>2042</v>
      </c>
      <c r="AP89" s="25">
        <v>2043</v>
      </c>
      <c r="AQ89" s="25">
        <v>2044</v>
      </c>
      <c r="AR89" s="25">
        <v>2045</v>
      </c>
      <c r="AS89" s="25">
        <v>2046</v>
      </c>
      <c r="AT89" s="25">
        <v>2047</v>
      </c>
      <c r="AU89" s="25">
        <v>2048</v>
      </c>
      <c r="AV89" s="25">
        <v>2049</v>
      </c>
      <c r="AW89" s="25">
        <v>2050</v>
      </c>
      <c r="AX89" s="25">
        <v>2051</v>
      </c>
      <c r="AY89" s="25">
        <v>2052</v>
      </c>
      <c r="AZ89" s="25">
        <v>2053</v>
      </c>
      <c r="BA89" s="25">
        <v>2054</v>
      </c>
    </row>
    <row r="90" spans="1:53" outlineLevel="1" x14ac:dyDescent="0.35">
      <c r="A90" s="6" t="s">
        <v>21</v>
      </c>
      <c r="B90" s="6">
        <f>'Results - raw data ReCiPe (H)'!CC77</f>
        <v>522.14630630241095</v>
      </c>
      <c r="AB90" s="6" t="s">
        <v>117</v>
      </c>
      <c r="AC90" s="6">
        <f>SUM(B90:B101)+B103</f>
        <v>27769.199509564176</v>
      </c>
    </row>
    <row r="91" spans="1:53" outlineLevel="1" x14ac:dyDescent="0.35">
      <c r="A91" s="6" t="s">
        <v>23</v>
      </c>
      <c r="B91" s="6">
        <f>'Results - raw data ReCiPe (H)'!CC78</f>
        <v>689.59917152625098</v>
      </c>
      <c r="AB91" s="6" t="s">
        <v>118</v>
      </c>
      <c r="AC91" s="6">
        <f>B102</f>
        <v>2030.6156444302903</v>
      </c>
    </row>
    <row r="92" spans="1:53" outlineLevel="1" x14ac:dyDescent="0.35">
      <c r="A92" s="6" t="s">
        <v>26</v>
      </c>
      <c r="B92" s="6">
        <f>'Results - raw data ReCiPe (H)'!CC79</f>
        <v>2299.7919129358629</v>
      </c>
      <c r="AB92" s="6" t="s">
        <v>119</v>
      </c>
      <c r="BA92" s="6">
        <f>SUM(Z104:Z115)</f>
        <v>506.10170544819584</v>
      </c>
    </row>
    <row r="93" spans="1:53" outlineLevel="1" x14ac:dyDescent="0.35">
      <c r="A93" s="6" t="s">
        <v>28</v>
      </c>
      <c r="B93" s="6">
        <f>'Results - raw data ReCiPe (H)'!CC80</f>
        <v>2048.7708155777868</v>
      </c>
      <c r="AB93" s="6" t="s">
        <v>120</v>
      </c>
      <c r="BA93" s="6">
        <f>Z116</f>
        <v>19.710037603247073</v>
      </c>
    </row>
    <row r="94" spans="1:53" outlineLevel="1" x14ac:dyDescent="0.35">
      <c r="A94" s="6" t="s">
        <v>29</v>
      </c>
      <c r="B94" s="6">
        <f>'Results - raw data ReCiPe (H)'!CC81</f>
        <v>1127.30474085434</v>
      </c>
      <c r="AB94" s="6" t="s">
        <v>121</v>
      </c>
      <c r="AC94" s="6">
        <f>B117</f>
        <v>960.18627888201729</v>
      </c>
      <c r="AF94" s="6">
        <f>E117</f>
        <v>894.9053469828998</v>
      </c>
      <c r="AI94" s="6">
        <f>H117</f>
        <v>847.74542197239737</v>
      </c>
      <c r="AL94" s="6">
        <f>K117</f>
        <v>829.74040861154253</v>
      </c>
      <c r="AO94" s="6">
        <f>N117</f>
        <v>821.41329377436136</v>
      </c>
      <c r="AR94" s="6">
        <f>Q117</f>
        <v>815.75248373031479</v>
      </c>
      <c r="AU94" s="6">
        <f>T117</f>
        <v>808.99669973300752</v>
      </c>
      <c r="AX94" s="6">
        <f>W117</f>
        <v>803.6131276705886</v>
      </c>
      <c r="BA94" s="6">
        <f>Z117</f>
        <v>799.02195316520056</v>
      </c>
    </row>
    <row r="95" spans="1:53" outlineLevel="1" x14ac:dyDescent="0.35">
      <c r="A95" s="6" t="s">
        <v>31</v>
      </c>
      <c r="B95" s="6">
        <f>'Results - raw data ReCiPe (H)'!CC82</f>
        <v>911.6428381501903</v>
      </c>
      <c r="AB95" s="6" t="s">
        <v>122</v>
      </c>
      <c r="AC95" s="6">
        <f>B120+B119</f>
        <v>14058.151241733231</v>
      </c>
      <c r="AD95" s="6">
        <f t="shared" ref="AD95:BA95" si="10">C120+C119</f>
        <v>11676.388562983941</v>
      </c>
      <c r="AE95" s="6">
        <f t="shared" si="10"/>
        <v>9292.1219783832294</v>
      </c>
      <c r="AF95" s="6">
        <f t="shared" si="10"/>
        <v>6869.3139490106896</v>
      </c>
      <c r="AG95" s="6">
        <f t="shared" si="10"/>
        <v>4476.9179466587984</v>
      </c>
      <c r="AH95" s="6">
        <f t="shared" si="10"/>
        <v>2080.6598667221319</v>
      </c>
      <c r="AI95" s="6">
        <f t="shared" si="10"/>
        <v>1508.785692189296</v>
      </c>
      <c r="AJ95" s="6">
        <f t="shared" si="10"/>
        <v>933.81585913307208</v>
      </c>
      <c r="AK95" s="6">
        <f t="shared" si="10"/>
        <v>323.7764311484641</v>
      </c>
      <c r="AL95" s="6">
        <f t="shared" si="10"/>
        <v>-258.54024816438982</v>
      </c>
      <c r="AM95" s="6">
        <f t="shared" si="10"/>
        <v>-844.05884908758617</v>
      </c>
      <c r="AN95" s="6">
        <f t="shared" si="10"/>
        <v>-1130.399070685854</v>
      </c>
      <c r="AO95" s="6">
        <f t="shared" si="10"/>
        <v>-1416.030637130893</v>
      </c>
      <c r="AP95" s="6">
        <f t="shared" si="10"/>
        <v>-1706.88274508276</v>
      </c>
      <c r="AQ95" s="6">
        <f t="shared" si="10"/>
        <v>-1991.0542411399681</v>
      </c>
      <c r="AR95" s="6">
        <f t="shared" si="10"/>
        <v>-2274.6784292096272</v>
      </c>
      <c r="AS95" s="6">
        <f t="shared" si="10"/>
        <v>-2855.499764819207</v>
      </c>
      <c r="AT95" s="6">
        <f t="shared" si="10"/>
        <v>-3431.837072750604</v>
      </c>
      <c r="AU95" s="6">
        <f t="shared" si="10"/>
        <v>-4007.8147292090771</v>
      </c>
      <c r="AV95" s="6">
        <f t="shared" si="10"/>
        <v>-4574.9912372336912</v>
      </c>
      <c r="AW95" s="6">
        <f t="shared" si="10"/>
        <v>-5137.4611042113993</v>
      </c>
      <c r="AX95" s="6">
        <f t="shared" si="10"/>
        <v>-5657.6340595571864</v>
      </c>
      <c r="AY95" s="6">
        <f t="shared" si="10"/>
        <v>-6192.4213061538921</v>
      </c>
      <c r="AZ95" s="6">
        <f t="shared" si="10"/>
        <v>-6728.6682576076137</v>
      </c>
      <c r="BA95" s="6">
        <f t="shared" si="10"/>
        <v>-7266.3962600142286</v>
      </c>
    </row>
    <row r="96" spans="1:53" outlineLevel="1" x14ac:dyDescent="0.35">
      <c r="A96" s="6" t="s">
        <v>34</v>
      </c>
      <c r="B96" s="6">
        <f>'Results - raw data ReCiPe (H)'!CC83</f>
        <v>536.54433466923933</v>
      </c>
      <c r="AB96" s="6" t="s">
        <v>123</v>
      </c>
      <c r="AC96" s="6">
        <f t="shared" ref="AC96:BA96" si="11">B118</f>
        <v>3712.408439443378</v>
      </c>
      <c r="AD96" s="6">
        <f t="shared" si="11"/>
        <v>3526.2773559158936</v>
      </c>
      <c r="AE96" s="6">
        <f t="shared" si="11"/>
        <v>3341.18191860057</v>
      </c>
      <c r="AF96" s="6">
        <f t="shared" si="11"/>
        <v>3153.966657982236</v>
      </c>
      <c r="AG96" s="6">
        <f t="shared" si="11"/>
        <v>2970.690267430004</v>
      </c>
      <c r="AH96" s="6">
        <f t="shared" si="11"/>
        <v>2788.3271780459909</v>
      </c>
      <c r="AI96" s="6">
        <f t="shared" si="11"/>
        <v>2744.853495960997</v>
      </c>
      <c r="AJ96" s="6">
        <f t="shared" si="11"/>
        <v>2701.3326372481342</v>
      </c>
      <c r="AK96" s="6">
        <f t="shared" si="11"/>
        <v>2655.1288900553741</v>
      </c>
      <c r="AL96" s="6">
        <f t="shared" si="11"/>
        <v>2611.4422845987428</v>
      </c>
      <c r="AM96" s="6">
        <f t="shared" si="11"/>
        <v>2567.704765903844</v>
      </c>
      <c r="AN96" s="6">
        <f t="shared" si="11"/>
        <v>2545.8775717711228</v>
      </c>
      <c r="AO96" s="6">
        <f t="shared" si="11"/>
        <v>2524.0774887505668</v>
      </c>
      <c r="AP96" s="6">
        <f t="shared" si="11"/>
        <v>2501.7966036621151</v>
      </c>
      <c r="AQ96" s="6">
        <f t="shared" si="11"/>
        <v>2480.053928005203</v>
      </c>
      <c r="AR96" s="6">
        <f t="shared" si="11"/>
        <v>2458.3247864058731</v>
      </c>
      <c r="AS96" s="6">
        <f t="shared" si="11"/>
        <v>2412.9285481637648</v>
      </c>
      <c r="AT96" s="6">
        <f t="shared" si="11"/>
        <v>2367.4717232131161</v>
      </c>
      <c r="AU96" s="6">
        <f t="shared" si="11"/>
        <v>2321.6018302930979</v>
      </c>
      <c r="AV96" s="6">
        <f t="shared" si="11"/>
        <v>2276.0516793893294</v>
      </c>
      <c r="AW96" s="6">
        <f t="shared" si="11"/>
        <v>2230.4710923836169</v>
      </c>
      <c r="AX96" s="6">
        <f t="shared" si="11"/>
        <v>2191.7926589342869</v>
      </c>
      <c r="AY96" s="6">
        <f t="shared" si="11"/>
        <v>2152.0925156001367</v>
      </c>
      <c r="AZ96" s="6">
        <f t="shared" si="11"/>
        <v>2112.4032924654739</v>
      </c>
      <c r="BA96" s="6">
        <f t="shared" si="11"/>
        <v>2072.7234532648681</v>
      </c>
    </row>
    <row r="97" spans="1:53" outlineLevel="1" x14ac:dyDescent="0.35">
      <c r="A97" s="6" t="s">
        <v>36</v>
      </c>
      <c r="B97" s="6">
        <f>'Results - raw data ReCiPe (H)'!CC84</f>
        <v>423.50186488159068</v>
      </c>
      <c r="AB97" s="6" t="s">
        <v>124</v>
      </c>
      <c r="AC97" s="6">
        <f>-$AC$7*$AC$6</f>
        <v>-100000</v>
      </c>
      <c r="AD97" s="6">
        <f t="shared" ref="AD97:BA97" si="12">-$AC$7*$AC$6</f>
        <v>-100000</v>
      </c>
      <c r="AE97" s="6">
        <f t="shared" si="12"/>
        <v>-100000</v>
      </c>
      <c r="AF97" s="6">
        <f t="shared" si="12"/>
        <v>-100000</v>
      </c>
      <c r="AG97" s="6">
        <f t="shared" si="12"/>
        <v>-100000</v>
      </c>
      <c r="AH97" s="6">
        <f t="shared" si="12"/>
        <v>-100000</v>
      </c>
      <c r="AI97" s="6">
        <f t="shared" si="12"/>
        <v>-100000</v>
      </c>
      <c r="AJ97" s="6">
        <f t="shared" si="12"/>
        <v>-100000</v>
      </c>
      <c r="AK97" s="6">
        <f t="shared" si="12"/>
        <v>-100000</v>
      </c>
      <c r="AL97" s="6">
        <f t="shared" si="12"/>
        <v>-100000</v>
      </c>
      <c r="AM97" s="6">
        <f t="shared" si="12"/>
        <v>-100000</v>
      </c>
      <c r="AN97" s="6">
        <f t="shared" si="12"/>
        <v>-100000</v>
      </c>
      <c r="AO97" s="6">
        <f t="shared" si="12"/>
        <v>-100000</v>
      </c>
      <c r="AP97" s="6">
        <f t="shared" si="12"/>
        <v>-100000</v>
      </c>
      <c r="AQ97" s="6">
        <f t="shared" si="12"/>
        <v>-100000</v>
      </c>
      <c r="AR97" s="6">
        <f t="shared" si="12"/>
        <v>-100000</v>
      </c>
      <c r="AS97" s="6">
        <f t="shared" si="12"/>
        <v>-100000</v>
      </c>
      <c r="AT97" s="6">
        <f t="shared" si="12"/>
        <v>-100000</v>
      </c>
      <c r="AU97" s="6">
        <f t="shared" si="12"/>
        <v>-100000</v>
      </c>
      <c r="AV97" s="6">
        <f t="shared" si="12"/>
        <v>-100000</v>
      </c>
      <c r="AW97" s="6">
        <f t="shared" si="12"/>
        <v>-100000</v>
      </c>
      <c r="AX97" s="6">
        <f t="shared" si="12"/>
        <v>-100000</v>
      </c>
      <c r="AY97" s="6">
        <f t="shared" si="12"/>
        <v>-100000</v>
      </c>
      <c r="AZ97" s="6">
        <f t="shared" si="12"/>
        <v>-100000</v>
      </c>
      <c r="BA97" s="6">
        <f t="shared" si="12"/>
        <v>-100000</v>
      </c>
    </row>
    <row r="98" spans="1:53" outlineLevel="1" x14ac:dyDescent="0.35">
      <c r="A98" s="6" t="s">
        <v>38</v>
      </c>
      <c r="B98" s="6">
        <f>'Results - raw data ReCiPe (H)'!CC85</f>
        <v>4620.2212963694537</v>
      </c>
      <c r="AB98" s="23" t="s">
        <v>125</v>
      </c>
      <c r="AC98" s="17">
        <f t="shared" ref="AC98:BA98" si="13">SUM(AC90:AC97)</f>
        <v>-51469.438885946904</v>
      </c>
      <c r="AD98" s="17">
        <f t="shared" si="13"/>
        <v>-84797.334081100169</v>
      </c>
      <c r="AE98" s="17">
        <f t="shared" si="13"/>
        <v>-87366.696103016206</v>
      </c>
      <c r="AF98" s="17">
        <f t="shared" si="13"/>
        <v>-89081.81404602417</v>
      </c>
      <c r="AG98" s="17">
        <f t="shared" si="13"/>
        <v>-92552.391785911197</v>
      </c>
      <c r="AH98" s="17">
        <f t="shared" si="13"/>
        <v>-95131.012955231883</v>
      </c>
      <c r="AI98" s="17">
        <f t="shared" si="13"/>
        <v>-94898.615389877305</v>
      </c>
      <c r="AJ98" s="17">
        <f t="shared" si="13"/>
        <v>-96364.851503618789</v>
      </c>
      <c r="AK98" s="17">
        <f t="shared" si="13"/>
        <v>-97021.094678796158</v>
      </c>
      <c r="AL98" s="17">
        <f t="shared" si="13"/>
        <v>-96817.357554954098</v>
      </c>
      <c r="AM98" s="17">
        <f t="shared" si="13"/>
        <v>-98276.354083183745</v>
      </c>
      <c r="AN98" s="17">
        <f t="shared" si="13"/>
        <v>-98584.521498914735</v>
      </c>
      <c r="AO98" s="17">
        <f t="shared" si="13"/>
        <v>-98070.539854605959</v>
      </c>
      <c r="AP98" s="17">
        <f t="shared" si="13"/>
        <v>-99205.086141420645</v>
      </c>
      <c r="AQ98" s="17">
        <f t="shared" si="13"/>
        <v>-99511.000313134762</v>
      </c>
      <c r="AR98" s="17">
        <f t="shared" si="13"/>
        <v>-99000.601159073442</v>
      </c>
      <c r="AS98" s="17">
        <f t="shared" si="13"/>
        <v>-100442.57121665544</v>
      </c>
      <c r="AT98" s="17">
        <f t="shared" si="13"/>
        <v>-101064.36534953749</v>
      </c>
      <c r="AU98" s="17">
        <f t="shared" si="13"/>
        <v>-100877.21619918298</v>
      </c>
      <c r="AV98" s="17">
        <f t="shared" si="13"/>
        <v>-102298.93955784437</v>
      </c>
      <c r="AW98" s="17">
        <f t="shared" si="13"/>
        <v>-102906.99001182779</v>
      </c>
      <c r="AX98" s="17">
        <f t="shared" si="13"/>
        <v>-102662.22827295231</v>
      </c>
      <c r="AY98" s="17">
        <f t="shared" si="13"/>
        <v>-104040.32879055376</v>
      </c>
      <c r="AZ98" s="17">
        <f t="shared" si="13"/>
        <v>-104616.26496514214</v>
      </c>
      <c r="BA98" s="17">
        <f t="shared" si="13"/>
        <v>-103868.83911053272</v>
      </c>
    </row>
    <row r="99" spans="1:53" outlineLevel="1" x14ac:dyDescent="0.35">
      <c r="A99" s="6" t="s">
        <v>39</v>
      </c>
      <c r="B99" s="6">
        <f>'Results - raw data ReCiPe (H)'!CC86</f>
        <v>5739.6171857742838</v>
      </c>
    </row>
    <row r="100" spans="1:53" outlineLevel="1" x14ac:dyDescent="0.35">
      <c r="A100" s="6" t="s">
        <v>41</v>
      </c>
      <c r="B100" s="6">
        <f>'Results - raw data ReCiPe (H)'!CC87</f>
        <v>135.80998010115019</v>
      </c>
    </row>
    <row r="101" spans="1:53" outlineLevel="1" x14ac:dyDescent="0.35">
      <c r="A101" s="6" t="s">
        <v>43</v>
      </c>
      <c r="B101" s="6">
        <f>'Results - raw data ReCiPe (H)'!CC88</f>
        <v>495.26793776870988</v>
      </c>
      <c r="AB101" s="282"/>
      <c r="AC101" s="282"/>
      <c r="AD101" s="282"/>
      <c r="AE101" s="282"/>
      <c r="AF101" s="282"/>
      <c r="AG101" s="282"/>
      <c r="AH101" s="282"/>
      <c r="AI101" s="282"/>
      <c r="AJ101" s="282"/>
      <c r="AK101" s="282"/>
      <c r="AL101" s="282"/>
      <c r="AM101" s="282"/>
      <c r="AN101" s="282"/>
      <c r="AO101" s="282"/>
      <c r="AP101" s="282"/>
      <c r="AQ101" s="282"/>
      <c r="AR101" s="282"/>
      <c r="AS101" s="282"/>
      <c r="AT101" s="282"/>
      <c r="AU101" s="282"/>
      <c r="AV101" s="282"/>
      <c r="AW101" s="282"/>
      <c r="AX101" s="282"/>
      <c r="AY101" s="282"/>
      <c r="AZ101" s="282"/>
      <c r="BA101" s="282"/>
    </row>
    <row r="102" spans="1:53" outlineLevel="1" x14ac:dyDescent="0.35">
      <c r="A102" s="6" t="s">
        <v>44</v>
      </c>
      <c r="B102" s="6">
        <f>'Results - raw data ReCiPe (H)'!CC89*AC87*AC88</f>
        <v>2030.6156444302903</v>
      </c>
      <c r="AB102" s="282"/>
      <c r="AC102" s="282"/>
      <c r="AD102" s="282"/>
      <c r="AE102" s="282"/>
      <c r="AF102" s="282"/>
      <c r="AG102" s="282"/>
      <c r="AH102" s="282"/>
      <c r="AI102" s="282"/>
      <c r="AJ102" s="282"/>
      <c r="AK102" s="282"/>
      <c r="AL102" s="282"/>
      <c r="AM102" s="282"/>
      <c r="AN102" s="282"/>
      <c r="AO102" s="282"/>
      <c r="AP102" s="282"/>
      <c r="AQ102" s="282"/>
      <c r="AR102" s="282"/>
      <c r="AS102" s="282"/>
      <c r="AT102" s="282"/>
      <c r="AU102" s="282"/>
      <c r="AV102" s="282"/>
      <c r="AW102" s="282"/>
      <c r="AX102" s="282"/>
      <c r="AY102" s="282"/>
      <c r="AZ102" s="282"/>
      <c r="BA102" s="282"/>
    </row>
    <row r="103" spans="1:53" outlineLevel="1" x14ac:dyDescent="0.35">
      <c r="A103" s="6" t="s">
        <v>757</v>
      </c>
      <c r="B103" s="6">
        <f>'Results - raw data ReCiPe (H)'!CC90*'Results ReCiPe (H) - CC ship'!AC87*'Results ReCiPe (H) - CC ship'!AC88</f>
        <v>8218.9811246529116</v>
      </c>
      <c r="AB103" s="282"/>
      <c r="AC103" s="282"/>
      <c r="AD103" s="282"/>
      <c r="AE103" s="282"/>
      <c r="AF103" s="282"/>
      <c r="AG103" s="282"/>
      <c r="AH103" s="282"/>
      <c r="AI103" s="282"/>
      <c r="AJ103" s="282"/>
      <c r="AK103" s="282"/>
      <c r="AL103" s="282"/>
      <c r="AM103" s="282"/>
      <c r="AN103" s="282"/>
      <c r="AO103" s="282"/>
      <c r="AP103" s="282"/>
      <c r="AQ103" s="282"/>
      <c r="AR103" s="282"/>
      <c r="AS103" s="282"/>
      <c r="AT103" s="282"/>
      <c r="AU103" s="282"/>
      <c r="AV103" s="282"/>
      <c r="AW103" s="282"/>
      <c r="AX103" s="282"/>
      <c r="AY103" s="282"/>
      <c r="AZ103" s="282"/>
      <c r="BA103" s="282"/>
    </row>
    <row r="104" spans="1:53" outlineLevel="1" x14ac:dyDescent="0.35">
      <c r="A104" s="6" t="s">
        <v>22</v>
      </c>
      <c r="Z104" s="6">
        <f>'Results - raw data ReCiPe (H)'!DA91</f>
        <v>17.50501830102143</v>
      </c>
      <c r="AB104" s="282"/>
      <c r="AC104" s="282"/>
      <c r="AD104" s="282"/>
      <c r="AE104" s="282"/>
      <c r="AF104" s="282"/>
      <c r="AG104" s="282"/>
      <c r="AH104" s="282"/>
      <c r="AI104" s="282"/>
      <c r="AJ104" s="282"/>
      <c r="AK104" s="282"/>
      <c r="AL104" s="282"/>
      <c r="AM104" s="282"/>
      <c r="AN104" s="282"/>
      <c r="AO104" s="282"/>
      <c r="AP104" s="282"/>
      <c r="AQ104" s="282"/>
      <c r="AR104" s="282"/>
      <c r="AS104" s="282"/>
      <c r="AT104" s="282"/>
      <c r="AU104" s="282"/>
      <c r="AV104" s="282"/>
      <c r="AW104" s="282"/>
      <c r="AX104" s="282"/>
      <c r="AY104" s="282"/>
      <c r="AZ104" s="282"/>
      <c r="BA104" s="282"/>
    </row>
    <row r="105" spans="1:53" outlineLevel="1" x14ac:dyDescent="0.35">
      <c r="A105" s="6" t="s">
        <v>24</v>
      </c>
      <c r="Z105" s="6">
        <f>'Results - raw data ReCiPe (H)'!DA92</f>
        <v>6.1394952400305867</v>
      </c>
      <c r="AB105" s="282"/>
      <c r="AC105" s="282"/>
      <c r="AD105" s="282"/>
      <c r="AE105" s="282"/>
      <c r="AF105" s="282"/>
      <c r="AG105" s="282"/>
      <c r="AH105" s="282"/>
      <c r="AI105" s="282"/>
      <c r="AJ105" s="282"/>
      <c r="AK105" s="282"/>
      <c r="AL105" s="282"/>
      <c r="AM105" s="282"/>
      <c r="AN105" s="282"/>
      <c r="AO105" s="282"/>
      <c r="AP105" s="282"/>
      <c r="AQ105" s="282"/>
      <c r="AR105" s="282"/>
      <c r="AS105" s="282"/>
      <c r="AT105" s="282"/>
      <c r="AU105" s="282"/>
      <c r="AV105" s="282"/>
      <c r="AW105" s="282"/>
      <c r="AX105" s="282"/>
      <c r="AY105" s="282"/>
      <c r="AZ105" s="282"/>
      <c r="BA105" s="282"/>
    </row>
    <row r="106" spans="1:53" outlineLevel="1" x14ac:dyDescent="0.35">
      <c r="A106" s="6" t="s">
        <v>25</v>
      </c>
      <c r="Z106" s="6">
        <f>'Results - raw data ReCiPe (H)'!DA93</f>
        <v>18.736491486506349</v>
      </c>
      <c r="AB106" s="282"/>
      <c r="AC106" s="282"/>
      <c r="AD106" s="282"/>
      <c r="AE106" s="282"/>
      <c r="AF106" s="282"/>
      <c r="AG106" s="282"/>
      <c r="AH106" s="282"/>
      <c r="AI106" s="282"/>
      <c r="AJ106" s="282"/>
      <c r="AK106" s="282"/>
      <c r="AL106" s="282"/>
      <c r="AM106" s="282"/>
      <c r="AN106" s="282"/>
      <c r="AO106" s="282"/>
      <c r="AP106" s="282"/>
      <c r="AQ106" s="282"/>
      <c r="AR106" s="282"/>
      <c r="AS106" s="282"/>
      <c r="AT106" s="282"/>
      <c r="AU106" s="282"/>
      <c r="AV106" s="282"/>
      <c r="AW106" s="282"/>
      <c r="AX106" s="282"/>
      <c r="AY106" s="282"/>
      <c r="AZ106" s="282"/>
      <c r="BA106" s="282"/>
    </row>
    <row r="107" spans="1:53" outlineLevel="1" x14ac:dyDescent="0.35">
      <c r="A107" s="6" t="s">
        <v>27</v>
      </c>
      <c r="Z107" s="6">
        <f>'Results - raw data ReCiPe (H)'!DA94</f>
        <v>5.4960509125157726</v>
      </c>
      <c r="AB107" s="282"/>
      <c r="AC107" s="282"/>
      <c r="AD107" s="282"/>
      <c r="AE107" s="282"/>
      <c r="AF107" s="282"/>
      <c r="AG107" s="282"/>
      <c r="AH107" s="282"/>
      <c r="AI107" s="282"/>
      <c r="AJ107" s="282"/>
      <c r="AK107" s="282"/>
      <c r="AL107" s="282"/>
      <c r="AM107" s="282"/>
      <c r="AN107" s="282"/>
      <c r="AO107" s="282"/>
      <c r="AP107" s="282"/>
      <c r="AQ107" s="282"/>
      <c r="AR107" s="282"/>
      <c r="AS107" s="282"/>
      <c r="AT107" s="282"/>
      <c r="AU107" s="282"/>
      <c r="AV107" s="282"/>
      <c r="AW107" s="282"/>
      <c r="AX107" s="282"/>
      <c r="AY107" s="282"/>
      <c r="AZ107" s="282"/>
      <c r="BA107" s="282"/>
    </row>
    <row r="108" spans="1:53" outlineLevel="1" x14ac:dyDescent="0.35">
      <c r="A108" s="6" t="s">
        <v>30</v>
      </c>
      <c r="Z108" s="6">
        <f>'Results - raw data ReCiPe (H)'!DA95</f>
        <v>22.839582996658049</v>
      </c>
      <c r="AB108" s="282"/>
      <c r="AC108" s="282"/>
      <c r="AD108" s="282"/>
      <c r="AE108" s="282"/>
      <c r="AF108" s="282"/>
      <c r="AG108" s="282"/>
      <c r="AH108" s="282"/>
      <c r="AI108" s="282"/>
      <c r="AJ108" s="282"/>
      <c r="AK108" s="282"/>
      <c r="AL108" s="282"/>
      <c r="AM108" s="282"/>
      <c r="AN108" s="282"/>
      <c r="AO108" s="282"/>
      <c r="AP108" s="282"/>
      <c r="AQ108" s="282"/>
      <c r="AR108" s="282"/>
      <c r="AS108" s="282"/>
      <c r="AT108" s="282"/>
      <c r="AU108" s="282"/>
      <c r="AV108" s="282"/>
      <c r="AW108" s="282"/>
      <c r="AX108" s="282"/>
      <c r="AY108" s="282"/>
      <c r="AZ108" s="282"/>
      <c r="BA108" s="282"/>
    </row>
    <row r="109" spans="1:53" outlineLevel="1" x14ac:dyDescent="0.35">
      <c r="A109" s="6" t="s">
        <v>32</v>
      </c>
      <c r="Z109" s="6">
        <f>'Results - raw data ReCiPe (H)'!DA96</f>
        <v>0.53723365181465099</v>
      </c>
      <c r="AB109" s="282"/>
      <c r="AC109" s="282"/>
      <c r="AD109" s="282"/>
      <c r="AE109" s="282"/>
      <c r="AF109" s="282"/>
      <c r="AG109" s="282"/>
      <c r="AH109" s="282"/>
      <c r="AI109" s="282"/>
      <c r="AJ109" s="282"/>
      <c r="AK109" s="282"/>
      <c r="AL109" s="282"/>
      <c r="AM109" s="282"/>
      <c r="AN109" s="282"/>
      <c r="AO109" s="282"/>
      <c r="AP109" s="282"/>
      <c r="AQ109" s="282"/>
      <c r="AR109" s="282"/>
      <c r="AS109" s="282"/>
      <c r="AT109" s="282"/>
      <c r="AU109" s="282"/>
      <c r="AV109" s="282"/>
      <c r="AW109" s="282"/>
      <c r="AX109" s="282"/>
      <c r="AY109" s="282"/>
      <c r="AZ109" s="282"/>
      <c r="BA109" s="282"/>
    </row>
    <row r="110" spans="1:53" outlineLevel="1" x14ac:dyDescent="0.35">
      <c r="A110" s="6" t="s">
        <v>33</v>
      </c>
      <c r="Z110" s="6">
        <f>'Results - raw data ReCiPe (H)'!DA97</f>
        <v>5.4165037330899706</v>
      </c>
      <c r="AB110" s="282"/>
      <c r="AC110" s="282"/>
      <c r="AD110" s="282"/>
      <c r="AE110" s="282"/>
      <c r="AF110" s="282"/>
      <c r="AG110" s="282"/>
      <c r="AH110" s="282"/>
      <c r="AI110" s="282"/>
      <c r="AJ110" s="282"/>
      <c r="AK110" s="282"/>
      <c r="AL110" s="282"/>
      <c r="AM110" s="282"/>
      <c r="AN110" s="282"/>
      <c r="AO110" s="282"/>
      <c r="AP110" s="282"/>
      <c r="AQ110" s="282"/>
      <c r="AR110" s="282"/>
      <c r="AS110" s="282"/>
      <c r="AT110" s="282"/>
      <c r="AU110" s="282"/>
      <c r="AV110" s="282"/>
      <c r="AW110" s="282"/>
      <c r="AX110" s="282"/>
      <c r="AY110" s="282"/>
      <c r="AZ110" s="282"/>
      <c r="BA110" s="282"/>
    </row>
    <row r="111" spans="1:53" outlineLevel="1" x14ac:dyDescent="0.35">
      <c r="A111" s="6" t="s">
        <v>35</v>
      </c>
      <c r="Z111" s="6">
        <f>'Results - raw data ReCiPe (H)'!DA98</f>
        <v>10.833007466179939</v>
      </c>
      <c r="AB111" s="282"/>
      <c r="AC111" s="282"/>
      <c r="AD111" s="282"/>
      <c r="AE111" s="282"/>
      <c r="AF111" s="282"/>
      <c r="AG111" s="282"/>
      <c r="AH111" s="282"/>
      <c r="AI111" s="282"/>
      <c r="AJ111" s="282"/>
      <c r="AK111" s="282"/>
      <c r="AL111" s="282"/>
      <c r="AM111" s="282"/>
      <c r="AN111" s="282"/>
      <c r="AO111" s="282"/>
      <c r="AP111" s="282"/>
      <c r="AQ111" s="282"/>
      <c r="AR111" s="282"/>
      <c r="AS111" s="282"/>
      <c r="AT111" s="282"/>
      <c r="AU111" s="282"/>
      <c r="AV111" s="282"/>
      <c r="AW111" s="282"/>
      <c r="AX111" s="282"/>
      <c r="AY111" s="282"/>
      <c r="AZ111" s="282"/>
      <c r="BA111" s="282"/>
    </row>
    <row r="112" spans="1:53" outlineLevel="1" x14ac:dyDescent="0.35">
      <c r="A112" s="6" t="s">
        <v>37</v>
      </c>
      <c r="Z112" s="6">
        <f>'Results - raw data ReCiPe (H)'!DA99</f>
        <v>8.5312997818991647</v>
      </c>
      <c r="AB112" s="282"/>
      <c r="AC112" s="282"/>
      <c r="AD112" s="282"/>
      <c r="AE112" s="282"/>
      <c r="AF112" s="282"/>
      <c r="AG112" s="282"/>
      <c r="AH112" s="282"/>
      <c r="AI112" s="282"/>
      <c r="AJ112" s="282"/>
      <c r="AK112" s="282"/>
      <c r="AL112" s="282"/>
      <c r="AM112" s="282"/>
      <c r="AN112" s="282"/>
      <c r="AO112" s="282"/>
      <c r="AP112" s="282"/>
      <c r="AQ112" s="282"/>
      <c r="AR112" s="282"/>
      <c r="AS112" s="282"/>
      <c r="AT112" s="282"/>
      <c r="AU112" s="282"/>
      <c r="AV112" s="282"/>
      <c r="AW112" s="282"/>
      <c r="AX112" s="282"/>
      <c r="AY112" s="282"/>
      <c r="AZ112" s="282"/>
      <c r="BA112" s="282"/>
    </row>
    <row r="113" spans="1:53" outlineLevel="1" x14ac:dyDescent="0.35">
      <c r="A113" s="6" t="s">
        <v>40</v>
      </c>
      <c r="Z113" s="6">
        <f>'Results - raw data ReCiPe (H)'!DA100</f>
        <v>276.98759875301192</v>
      </c>
      <c r="AB113" s="282"/>
      <c r="AC113" s="282"/>
      <c r="AD113" s="282"/>
      <c r="AE113" s="282"/>
      <c r="AF113" s="282"/>
      <c r="AG113" s="282"/>
      <c r="AH113" s="282"/>
      <c r="AI113" s="282"/>
      <c r="AJ113" s="282"/>
      <c r="AK113" s="282"/>
      <c r="AL113" s="282"/>
      <c r="AM113" s="282"/>
      <c r="AN113" s="282"/>
      <c r="AO113" s="282"/>
      <c r="AP113" s="282"/>
      <c r="AQ113" s="282"/>
      <c r="AR113" s="282"/>
      <c r="AS113" s="282"/>
      <c r="AT113" s="282"/>
      <c r="AU113" s="282"/>
      <c r="AV113" s="282"/>
      <c r="AW113" s="282"/>
      <c r="AX113" s="282"/>
      <c r="AY113" s="282"/>
      <c r="AZ113" s="282"/>
      <c r="BA113" s="282"/>
    </row>
    <row r="114" spans="1:53" outlineLevel="1" x14ac:dyDescent="0.35">
      <c r="A114" s="6" t="s">
        <v>42</v>
      </c>
      <c r="Z114" s="6">
        <f>'Results - raw data ReCiPe (H)'!DA101</f>
        <v>21.184388048874229</v>
      </c>
      <c r="AB114" s="282"/>
      <c r="AC114" s="282"/>
      <c r="AD114" s="282"/>
      <c r="AE114" s="282"/>
      <c r="AF114" s="282"/>
      <c r="AG114" s="282"/>
      <c r="AH114" s="282"/>
      <c r="AI114" s="282"/>
      <c r="AJ114" s="282"/>
      <c r="AK114" s="282"/>
      <c r="AL114" s="282"/>
      <c r="AM114" s="282"/>
      <c r="AN114" s="282"/>
      <c r="AO114" s="282"/>
      <c r="AP114" s="282"/>
      <c r="AQ114" s="282"/>
      <c r="AR114" s="282"/>
      <c r="AS114" s="282"/>
      <c r="AT114" s="282"/>
      <c r="AU114" s="282"/>
      <c r="AV114" s="282"/>
      <c r="AW114" s="282"/>
      <c r="AX114" s="282"/>
      <c r="AY114" s="282"/>
      <c r="AZ114" s="282"/>
      <c r="BA114" s="282"/>
    </row>
    <row r="115" spans="1:53" outlineLevel="1" x14ac:dyDescent="0.35">
      <c r="A115" s="6" t="s">
        <v>115</v>
      </c>
      <c r="Z115" s="6">
        <f>'Results - raw data ReCiPe (H)'!DA102</f>
        <v>111.8950350765938</v>
      </c>
    </row>
    <row r="116" spans="1:53" outlineLevel="1" x14ac:dyDescent="0.35">
      <c r="A116" s="6" t="s">
        <v>45</v>
      </c>
      <c r="Z116" s="6">
        <f>'Results - raw data ReCiPe (H)'!DA103*AC87*AC88</f>
        <v>19.710037603247073</v>
      </c>
    </row>
    <row r="117" spans="1:53" outlineLevel="1" x14ac:dyDescent="0.35">
      <c r="A117" s="6" t="s">
        <v>116</v>
      </c>
      <c r="B117" s="6">
        <f>'Results - raw data ReCiPe (H)'!CC104</f>
        <v>960.18627888201729</v>
      </c>
      <c r="C117" s="6">
        <f>'Results - raw data ReCiPe (H)'!CD104</f>
        <v>940.20848272169962</v>
      </c>
      <c r="D117" s="6">
        <f>'Results - raw data ReCiPe (H)'!CE104</f>
        <v>919.97849385793086</v>
      </c>
      <c r="E117" s="6">
        <f>'Results - raw data ReCiPe (H)'!CF104</f>
        <v>894.9053469828998</v>
      </c>
      <c r="F117" s="6">
        <f>'Results - raw data ReCiPe (H)'!CG104</f>
        <v>874.14560255740878</v>
      </c>
      <c r="G117" s="6">
        <f>'Results - raw data ReCiPe (H)'!CH104</f>
        <v>853.02566083551835</v>
      </c>
      <c r="H117" s="6">
        <f>'Results - raw data ReCiPe (H)'!CI104</f>
        <v>847.74542197239737</v>
      </c>
      <c r="I117" s="6">
        <f>'Results - raw data ReCiPe (H)'!CJ104</f>
        <v>842.52429825235538</v>
      </c>
      <c r="J117" s="6">
        <f>'Results - raw data ReCiPe (H)'!CK104</f>
        <v>834.79260296691643</v>
      </c>
      <c r="K117" s="6">
        <f>'Results - raw data ReCiPe (H)'!CL104</f>
        <v>829.74040861154253</v>
      </c>
      <c r="L117" s="6">
        <f>'Results - raw data ReCiPe (H)'!CM104</f>
        <v>824.73326237106448</v>
      </c>
      <c r="M117" s="6">
        <f>'Results - raw data ReCiPe (H)'!CN104</f>
        <v>823.07344849097387</v>
      </c>
      <c r="N117" s="6">
        <f>'Results - raw data ReCiPe (H)'!CO104</f>
        <v>821.41329377436136</v>
      </c>
      <c r="O117" s="6">
        <f>'Results - raw data ReCiPe (H)'!CP104</f>
        <v>819.03371604470158</v>
      </c>
      <c r="P117" s="6">
        <f>'Results - raw data ReCiPe (H)'!CQ104</f>
        <v>817.39547696635384</v>
      </c>
      <c r="Q117" s="6">
        <f>'Results - raw data ReCiPe (H)'!CR104</f>
        <v>815.75248373031479</v>
      </c>
      <c r="R117" s="6">
        <f>'Results - raw data ReCiPe (H)'!CS104</f>
        <v>813.65077703361283</v>
      </c>
      <c r="S117" s="6">
        <f>'Results - raw data ReCiPe (H)'!CT104</f>
        <v>811.56970808838173</v>
      </c>
      <c r="T117" s="6">
        <f>'Results - raw data ReCiPe (H)'!CU104</f>
        <v>808.99669973300752</v>
      </c>
      <c r="U117" s="6">
        <f>'Results - raw data ReCiPe (H)'!CV104</f>
        <v>806.98075822559349</v>
      </c>
      <c r="V117" s="6">
        <f>'Results - raw data ReCiPe (H)'!CW104</f>
        <v>804.98906592315427</v>
      </c>
      <c r="W117" s="6">
        <f>'Results - raw data ReCiPe (H)'!CX104</f>
        <v>803.6131276705886</v>
      </c>
      <c r="X117" s="6">
        <f>'Results - raw data ReCiPe (H)'!CY104</f>
        <v>802.07562707288832</v>
      </c>
      <c r="Y117" s="6">
        <f>'Results - raw data ReCiPe (H)'!CZ104</f>
        <v>800.54526605146236</v>
      </c>
      <c r="Z117" s="6">
        <f>'Results - raw data ReCiPe (H)'!DA104</f>
        <v>799.02195316520056</v>
      </c>
    </row>
    <row r="118" spans="1:53" outlineLevel="1" x14ac:dyDescent="0.35">
      <c r="A118" s="6" t="s">
        <v>758</v>
      </c>
      <c r="B118" s="6">
        <f>'Results - raw data ReCiPe (H)'!CC179*$AC$87</f>
        <v>3712.408439443378</v>
      </c>
      <c r="C118" s="6">
        <f>'Results - raw data ReCiPe (H)'!CD179*$AC$87</f>
        <v>3526.2773559158936</v>
      </c>
      <c r="D118" s="6">
        <f>'Results - raw data ReCiPe (H)'!CE179*$AC$87</f>
        <v>3341.18191860057</v>
      </c>
      <c r="E118" s="6">
        <f>'Results - raw data ReCiPe (H)'!CF179*$AC$87</f>
        <v>3153.966657982236</v>
      </c>
      <c r="F118" s="6">
        <f>'Results - raw data ReCiPe (H)'!CG179*$AC$87</f>
        <v>2970.690267430004</v>
      </c>
      <c r="G118" s="6">
        <f>'Results - raw data ReCiPe (H)'!CH179*$AC$87</f>
        <v>2788.3271780459909</v>
      </c>
      <c r="H118" s="6">
        <f>'Results - raw data ReCiPe (H)'!CI179*$AC$87</f>
        <v>2744.853495960997</v>
      </c>
      <c r="I118" s="6">
        <f>'Results - raw data ReCiPe (H)'!CJ179*$AC$87</f>
        <v>2701.3326372481342</v>
      </c>
      <c r="J118" s="6">
        <f>'Results - raw data ReCiPe (H)'!CK179*$AC$87</f>
        <v>2655.1288900553741</v>
      </c>
      <c r="K118" s="6">
        <f>'Results - raw data ReCiPe (H)'!CL179*$AC$87</f>
        <v>2611.4422845987428</v>
      </c>
      <c r="L118" s="6">
        <f>'Results - raw data ReCiPe (H)'!CM179*$AC$87</f>
        <v>2567.704765903844</v>
      </c>
      <c r="M118" s="6">
        <f>'Results - raw data ReCiPe (H)'!CN179*$AC$87</f>
        <v>2545.8775717711228</v>
      </c>
      <c r="N118" s="6">
        <f>'Results - raw data ReCiPe (H)'!CO179*$AC$87</f>
        <v>2524.0774887505668</v>
      </c>
      <c r="O118" s="6">
        <f>'Results - raw data ReCiPe (H)'!CP179*$AC$87</f>
        <v>2501.7966036621151</v>
      </c>
      <c r="P118" s="6">
        <f>'Results - raw data ReCiPe (H)'!CQ179*$AC$87</f>
        <v>2480.053928005203</v>
      </c>
      <c r="Q118" s="6">
        <f>'Results - raw data ReCiPe (H)'!CR179*$AC$87</f>
        <v>2458.3247864058731</v>
      </c>
      <c r="R118" s="6">
        <f>'Results - raw data ReCiPe (H)'!CS179*$AC$87</f>
        <v>2412.9285481637648</v>
      </c>
      <c r="S118" s="6">
        <f>'Results - raw data ReCiPe (H)'!CT179*$AC$87</f>
        <v>2367.4717232131161</v>
      </c>
      <c r="T118" s="6">
        <f>'Results - raw data ReCiPe (H)'!CU179*$AC$87</f>
        <v>2321.6018302930979</v>
      </c>
      <c r="U118" s="6">
        <f>'Results - raw data ReCiPe (H)'!CV179*$AC$87</f>
        <v>2276.0516793893294</v>
      </c>
      <c r="V118" s="6">
        <f>'Results - raw data ReCiPe (H)'!CW179*$AC$87</f>
        <v>2230.4710923836169</v>
      </c>
      <c r="W118" s="6">
        <f>'Results - raw data ReCiPe (H)'!CX179*$AC$87</f>
        <v>2191.7926589342869</v>
      </c>
      <c r="X118" s="6">
        <f>'Results - raw data ReCiPe (H)'!CY179*$AC$87</f>
        <v>2152.0925156001367</v>
      </c>
      <c r="Y118" s="6">
        <f>'Results - raw data ReCiPe (H)'!CZ179*$AC$87</f>
        <v>2112.4032924654739</v>
      </c>
      <c r="Z118" s="6">
        <f>'Results - raw data ReCiPe (H)'!DA179*$AC$87</f>
        <v>2072.7234532648681</v>
      </c>
    </row>
    <row r="119" spans="1:53" outlineLevel="1" x14ac:dyDescent="0.35">
      <c r="A119" s="6" t="s">
        <v>759</v>
      </c>
      <c r="B119" s="6">
        <f>'Results - raw data ReCiPe (H)'!CC106</f>
        <v>0</v>
      </c>
      <c r="C119" s="6">
        <f>'Results - raw data ReCiPe (H)'!CD106</f>
        <v>0</v>
      </c>
      <c r="D119" s="6">
        <f>'Results - raw data ReCiPe (H)'!CE106</f>
        <v>0</v>
      </c>
      <c r="E119" s="6">
        <f>'Results - raw data ReCiPe (H)'!CF106</f>
        <v>0</v>
      </c>
      <c r="F119" s="6">
        <f>'Results - raw data ReCiPe (H)'!CG106</f>
        <v>0</v>
      </c>
      <c r="G119" s="6">
        <f>'Results - raw data ReCiPe (H)'!CH106</f>
        <v>0</v>
      </c>
      <c r="H119" s="6">
        <f>'Results - raw data ReCiPe (H)'!CI106</f>
        <v>0</v>
      </c>
      <c r="I119" s="6">
        <f>'Results - raw data ReCiPe (H)'!CJ106</f>
        <v>0</v>
      </c>
      <c r="J119" s="6">
        <f>'Results - raw data ReCiPe (H)'!CK106</f>
        <v>0</v>
      </c>
      <c r="K119" s="6">
        <f>'Results - raw data ReCiPe (H)'!CL106</f>
        <v>0</v>
      </c>
      <c r="L119" s="6">
        <f>'Results - raw data ReCiPe (H)'!CM106</f>
        <v>0</v>
      </c>
      <c r="M119" s="6">
        <f>'Results - raw data ReCiPe (H)'!CN106</f>
        <v>0</v>
      </c>
      <c r="N119" s="6">
        <f>'Results - raw data ReCiPe (H)'!CO106</f>
        <v>0</v>
      </c>
      <c r="O119" s="6">
        <f>'Results - raw data ReCiPe (H)'!CP106</f>
        <v>0</v>
      </c>
      <c r="P119" s="6">
        <f>'Results - raw data ReCiPe (H)'!CQ106</f>
        <v>0</v>
      </c>
      <c r="Q119" s="6">
        <f>'Results - raw data ReCiPe (H)'!CR106</f>
        <v>0</v>
      </c>
      <c r="R119" s="6">
        <f>'Results - raw data ReCiPe (H)'!CS106</f>
        <v>0</v>
      </c>
      <c r="S119" s="6">
        <f>'Results - raw data ReCiPe (H)'!CT106</f>
        <v>0</v>
      </c>
      <c r="T119" s="6">
        <f>'Results - raw data ReCiPe (H)'!CU106</f>
        <v>0</v>
      </c>
      <c r="U119" s="6">
        <f>'Results - raw data ReCiPe (H)'!CV106</f>
        <v>0</v>
      </c>
      <c r="V119" s="6">
        <f>'Results - raw data ReCiPe (H)'!CW106</f>
        <v>0</v>
      </c>
      <c r="W119" s="6">
        <f>'Results - raw data ReCiPe (H)'!CX106</f>
        <v>0</v>
      </c>
      <c r="X119" s="6">
        <f>'Results - raw data ReCiPe (H)'!CY106</f>
        <v>0</v>
      </c>
      <c r="Y119" s="6">
        <f>'Results - raw data ReCiPe (H)'!CZ106</f>
        <v>0</v>
      </c>
      <c r="Z119" s="6">
        <f>'Results - raw data ReCiPe (H)'!DA106</f>
        <v>0</v>
      </c>
    </row>
    <row r="120" spans="1:53" outlineLevel="1" x14ac:dyDescent="0.35">
      <c r="A120" s="6" t="s">
        <v>760</v>
      </c>
      <c r="B120" s="6">
        <f>'Results - raw data ReCiPe (H)'!CC107</f>
        <v>14058.151241733231</v>
      </c>
      <c r="C120" s="6">
        <f>'Results - raw data ReCiPe (H)'!CD107</f>
        <v>11676.388562983941</v>
      </c>
      <c r="D120" s="6">
        <f>'Results - raw data ReCiPe (H)'!CE107</f>
        <v>9292.1219783832294</v>
      </c>
      <c r="E120" s="6">
        <f>'Results - raw data ReCiPe (H)'!CF107</f>
        <v>6869.3139490106896</v>
      </c>
      <c r="F120" s="6">
        <f>'Results - raw data ReCiPe (H)'!CG107</f>
        <v>4476.9179466587984</v>
      </c>
      <c r="G120" s="6">
        <f>'Results - raw data ReCiPe (H)'!CH107</f>
        <v>2080.6598667221319</v>
      </c>
      <c r="H120" s="6">
        <f>'Results - raw data ReCiPe (H)'!CI107</f>
        <v>1508.785692189296</v>
      </c>
      <c r="I120" s="6">
        <f>'Results - raw data ReCiPe (H)'!CJ107</f>
        <v>933.81585913307208</v>
      </c>
      <c r="J120" s="6">
        <f>'Results - raw data ReCiPe (H)'!CK107</f>
        <v>323.7764311484641</v>
      </c>
      <c r="K120" s="6">
        <f>'Results - raw data ReCiPe (H)'!CL107</f>
        <v>-258.54024816438982</v>
      </c>
      <c r="L120" s="6">
        <f>'Results - raw data ReCiPe (H)'!CM107</f>
        <v>-844.05884908758617</v>
      </c>
      <c r="M120" s="6">
        <f>'Results - raw data ReCiPe (H)'!CN107</f>
        <v>-1130.399070685854</v>
      </c>
      <c r="N120" s="6">
        <f>'Results - raw data ReCiPe (H)'!CO107</f>
        <v>-1416.030637130893</v>
      </c>
      <c r="O120" s="6">
        <f>'Results - raw data ReCiPe (H)'!CP107</f>
        <v>-1706.88274508276</v>
      </c>
      <c r="P120" s="6">
        <f>'Results - raw data ReCiPe (H)'!CQ107</f>
        <v>-1991.0542411399681</v>
      </c>
      <c r="Q120" s="6">
        <f>'Results - raw data ReCiPe (H)'!CR107</f>
        <v>-2274.6784292096272</v>
      </c>
      <c r="R120" s="6">
        <f>'Results - raw data ReCiPe (H)'!CS107</f>
        <v>-2855.499764819207</v>
      </c>
      <c r="S120" s="6">
        <f>'Results - raw data ReCiPe (H)'!CT107</f>
        <v>-3431.837072750604</v>
      </c>
      <c r="T120" s="6">
        <f>'Results - raw data ReCiPe (H)'!CU107</f>
        <v>-4007.8147292090771</v>
      </c>
      <c r="U120" s="6">
        <f>'Results - raw data ReCiPe (H)'!CV107</f>
        <v>-4574.9912372336912</v>
      </c>
      <c r="V120" s="6">
        <f>'Results - raw data ReCiPe (H)'!CW107</f>
        <v>-5137.4611042113993</v>
      </c>
      <c r="W120" s="6">
        <f>'Results - raw data ReCiPe (H)'!CX107</f>
        <v>-5657.6340595571864</v>
      </c>
      <c r="X120" s="6">
        <f>'Results - raw data ReCiPe (H)'!CY107</f>
        <v>-6192.4213061538921</v>
      </c>
      <c r="Y120" s="6">
        <f>'Results - raw data ReCiPe (H)'!CZ107</f>
        <v>-6728.6682576076137</v>
      </c>
      <c r="Z120" s="6">
        <f>'Results - raw data ReCiPe (H)'!DA107</f>
        <v>-7266.3962600142286</v>
      </c>
    </row>
    <row r="121" spans="1:53" outlineLevel="1" x14ac:dyDescent="0.35">
      <c r="A121" s="23" t="s">
        <v>125</v>
      </c>
      <c r="B121" s="17">
        <f t="shared" ref="B121:Z121" si="14">SUM(B90:B120)</f>
        <v>48530.561114053096</v>
      </c>
      <c r="C121" s="17">
        <f t="shared" si="14"/>
        <v>16142.874401621535</v>
      </c>
      <c r="D121" s="17">
        <f t="shared" si="14"/>
        <v>13553.28239084173</v>
      </c>
      <c r="E121" s="17">
        <f t="shared" si="14"/>
        <v>10918.185953975826</v>
      </c>
      <c r="F121" s="17">
        <f t="shared" si="14"/>
        <v>8321.7538166462109</v>
      </c>
      <c r="G121" s="17">
        <f t="shared" si="14"/>
        <v>5722.0127056036417</v>
      </c>
      <c r="H121" s="17">
        <f t="shared" si="14"/>
        <v>5101.38461012269</v>
      </c>
      <c r="I121" s="17">
        <f t="shared" si="14"/>
        <v>4477.6727946335614</v>
      </c>
      <c r="J121" s="17">
        <f t="shared" si="14"/>
        <v>3813.697924170755</v>
      </c>
      <c r="K121" s="17">
        <f t="shared" si="14"/>
        <v>3182.6424450458953</v>
      </c>
      <c r="L121" s="17">
        <f t="shared" si="14"/>
        <v>2548.3791791873223</v>
      </c>
      <c r="M121" s="17">
        <f t="shared" si="14"/>
        <v>2238.5519495762428</v>
      </c>
      <c r="N121" s="17">
        <f t="shared" si="14"/>
        <v>1929.4601453940354</v>
      </c>
      <c r="O121" s="17">
        <f t="shared" si="14"/>
        <v>1613.9475746240566</v>
      </c>
      <c r="P121" s="17">
        <f t="shared" si="14"/>
        <v>1306.3951638315887</v>
      </c>
      <c r="Q121" s="17">
        <f t="shared" si="14"/>
        <v>999.39884092656075</v>
      </c>
      <c r="R121" s="17">
        <f t="shared" si="14"/>
        <v>371.07956037817075</v>
      </c>
      <c r="S121" s="17">
        <f t="shared" si="14"/>
        <v>-252.79564144910591</v>
      </c>
      <c r="T121" s="17">
        <f t="shared" si="14"/>
        <v>-877.21619918297165</v>
      </c>
      <c r="U121" s="17">
        <f t="shared" si="14"/>
        <v>-1491.9587996187684</v>
      </c>
      <c r="V121" s="17">
        <f t="shared" si="14"/>
        <v>-2102.0009459046282</v>
      </c>
      <c r="W121" s="17">
        <f t="shared" si="14"/>
        <v>-2662.2282729523108</v>
      </c>
      <c r="X121" s="17">
        <f t="shared" si="14"/>
        <v>-3238.253163480867</v>
      </c>
      <c r="Y121" s="17">
        <f t="shared" si="14"/>
        <v>-3815.7196990906773</v>
      </c>
      <c r="Z121" s="17">
        <f t="shared" si="14"/>
        <v>-3868.8391105327169</v>
      </c>
    </row>
    <row r="122" spans="1:53" s="26" customFormat="1" outlineLevel="1" x14ac:dyDescent="0.35"/>
    <row r="123" spans="1:53" s="221" customFormat="1" ht="21" x14ac:dyDescent="0.5">
      <c r="A123" s="229" t="s">
        <v>850</v>
      </c>
    </row>
    <row r="124" spans="1:53" s="18" customFormat="1" ht="21" x14ac:dyDescent="0.5">
      <c r="A124" s="18" t="s">
        <v>72</v>
      </c>
    </row>
    <row r="125" spans="1:53" s="20" customFormat="1" outlineLevel="1" x14ac:dyDescent="0.35">
      <c r="A125" s="19" t="s">
        <v>766</v>
      </c>
    </row>
    <row r="126" spans="1:53" s="16" customFormat="1" outlineLevel="1" x14ac:dyDescent="0.35">
      <c r="A126" s="21"/>
      <c r="AB126" s="16" t="s">
        <v>801</v>
      </c>
      <c r="AC126" s="16">
        <v>1</v>
      </c>
      <c r="AD126" s="16" t="s">
        <v>146</v>
      </c>
      <c r="AE126" s="15"/>
    </row>
    <row r="127" spans="1:53" s="16" customFormat="1" outlineLevel="1" x14ac:dyDescent="0.35">
      <c r="A127" s="22" t="s">
        <v>566</v>
      </c>
      <c r="AC127" s="16">
        <f>AC126*1000</f>
        <v>1000</v>
      </c>
      <c r="AD127" s="16" t="s">
        <v>144</v>
      </c>
    </row>
    <row r="128" spans="1:53" s="16" customFormat="1" outlineLevel="1" x14ac:dyDescent="0.35">
      <c r="A128" s="22"/>
      <c r="AB128" s="16" t="s">
        <v>127</v>
      </c>
      <c r="AC128" s="16">
        <v>100</v>
      </c>
      <c r="AD128" s="16" t="s">
        <v>128</v>
      </c>
    </row>
    <row r="129" spans="1:53" s="16" customFormat="1" outlineLevel="1" x14ac:dyDescent="0.35">
      <c r="A129" s="230" t="s">
        <v>768</v>
      </c>
      <c r="AB129" s="16" t="s">
        <v>20</v>
      </c>
      <c r="AC129" s="16">
        <v>0.23</v>
      </c>
      <c r="AD129" s="16" t="s">
        <v>715</v>
      </c>
    </row>
    <row r="130" spans="1:53" s="16" customFormat="1" outlineLevel="1" x14ac:dyDescent="0.35">
      <c r="A130" s="22"/>
      <c r="AB130" s="16" t="s">
        <v>129</v>
      </c>
      <c r="AC130" s="16">
        <v>25</v>
      </c>
      <c r="AD130" s="16" t="s">
        <v>130</v>
      </c>
    </row>
    <row r="131" spans="1:53" outlineLevel="1" x14ac:dyDescent="0.35">
      <c r="B131" s="25">
        <v>2030</v>
      </c>
      <c r="C131" s="25">
        <v>2031</v>
      </c>
      <c r="D131" s="25">
        <v>2032</v>
      </c>
      <c r="E131" s="25">
        <v>2033</v>
      </c>
      <c r="F131" s="25">
        <v>2034</v>
      </c>
      <c r="G131" s="25">
        <v>2035</v>
      </c>
      <c r="H131" s="25">
        <v>2036</v>
      </c>
      <c r="I131" s="25">
        <v>2037</v>
      </c>
      <c r="J131" s="25">
        <v>2038</v>
      </c>
      <c r="K131" s="25">
        <v>2039</v>
      </c>
      <c r="L131" s="25">
        <v>2040</v>
      </c>
      <c r="M131" s="25">
        <v>2041</v>
      </c>
      <c r="N131" s="25">
        <v>2042</v>
      </c>
      <c r="O131" s="25">
        <v>2043</v>
      </c>
      <c r="P131" s="25">
        <v>2044</v>
      </c>
      <c r="Q131" s="25">
        <v>2045</v>
      </c>
      <c r="R131" s="25">
        <v>2046</v>
      </c>
      <c r="S131" s="25">
        <v>2047</v>
      </c>
      <c r="T131" s="25">
        <v>2048</v>
      </c>
      <c r="U131" s="25">
        <v>2049</v>
      </c>
      <c r="V131" s="25">
        <v>2050</v>
      </c>
      <c r="W131" s="25">
        <v>2051</v>
      </c>
      <c r="X131" s="25">
        <v>2052</v>
      </c>
      <c r="Y131" s="25">
        <v>2053</v>
      </c>
      <c r="Z131" s="25">
        <v>2054</v>
      </c>
      <c r="AC131" s="25">
        <v>2030</v>
      </c>
      <c r="AD131" s="25">
        <v>2031</v>
      </c>
      <c r="AE131" s="25">
        <v>2032</v>
      </c>
      <c r="AF131" s="25">
        <v>2033</v>
      </c>
      <c r="AG131" s="25">
        <v>2034</v>
      </c>
      <c r="AH131" s="25">
        <v>2035</v>
      </c>
      <c r="AI131" s="25">
        <v>2036</v>
      </c>
      <c r="AJ131" s="25">
        <v>2037</v>
      </c>
      <c r="AK131" s="25">
        <v>2038</v>
      </c>
      <c r="AL131" s="25">
        <v>2039</v>
      </c>
      <c r="AM131" s="25">
        <v>2040</v>
      </c>
      <c r="AN131" s="25">
        <v>2041</v>
      </c>
      <c r="AO131" s="25">
        <v>2042</v>
      </c>
      <c r="AP131" s="25">
        <v>2043</v>
      </c>
      <c r="AQ131" s="25">
        <v>2044</v>
      </c>
      <c r="AR131" s="25">
        <v>2045</v>
      </c>
      <c r="AS131" s="25">
        <v>2046</v>
      </c>
      <c r="AT131" s="25">
        <v>2047</v>
      </c>
      <c r="AU131" s="25">
        <v>2048</v>
      </c>
      <c r="AV131" s="25">
        <v>2049</v>
      </c>
      <c r="AW131" s="25">
        <v>2050</v>
      </c>
      <c r="AX131" s="25">
        <v>2051</v>
      </c>
      <c r="AY131" s="25">
        <v>2052</v>
      </c>
      <c r="AZ131" s="25">
        <v>2053</v>
      </c>
      <c r="BA131" s="25">
        <v>2054</v>
      </c>
    </row>
    <row r="132" spans="1:53" outlineLevel="1" x14ac:dyDescent="0.35">
      <c r="A132" s="6" t="s">
        <v>21</v>
      </c>
      <c r="B132" s="6">
        <f>'Results - raw data ReCiPe (H)'!CC5</f>
        <v>736.5346492975043</v>
      </c>
      <c r="AB132" s="6" t="s">
        <v>117</v>
      </c>
      <c r="AC132" s="6">
        <f>SUM(B132:B143)+B145</f>
        <v>38347.290835764303</v>
      </c>
    </row>
    <row r="133" spans="1:53" outlineLevel="1" x14ac:dyDescent="0.35">
      <c r="A133" s="6" t="s">
        <v>23</v>
      </c>
      <c r="B133" s="6">
        <f>'Results - raw data ReCiPe (H)'!CC6</f>
        <v>964.71070101214207</v>
      </c>
      <c r="AB133" s="6" t="s">
        <v>118</v>
      </c>
      <c r="AC133" s="6">
        <f>B144</f>
        <v>2481.0563584021374</v>
      </c>
    </row>
    <row r="134" spans="1:53" outlineLevel="1" x14ac:dyDescent="0.35">
      <c r="A134" s="6" t="s">
        <v>26</v>
      </c>
      <c r="B134" s="6">
        <f>'Results - raw data ReCiPe (H)'!CC7</f>
        <v>3012.330013181167</v>
      </c>
      <c r="AB134" s="6" t="s">
        <v>119</v>
      </c>
      <c r="BA134" s="6">
        <f>SUM(Z146:Z157)</f>
        <v>691.18373370688425</v>
      </c>
    </row>
    <row r="135" spans="1:53" outlineLevel="1" x14ac:dyDescent="0.35">
      <c r="A135" s="6" t="s">
        <v>28</v>
      </c>
      <c r="B135" s="6">
        <f>'Results - raw data ReCiPe (H)'!CC8</f>
        <v>2745.9417900267481</v>
      </c>
      <c r="AB135" s="6" t="s">
        <v>120</v>
      </c>
      <c r="BA135" s="6">
        <f>Z158</f>
        <v>22.494520912096178</v>
      </c>
    </row>
    <row r="136" spans="1:53" outlineLevel="1" x14ac:dyDescent="0.35">
      <c r="A136" s="6" t="s">
        <v>29</v>
      </c>
      <c r="B136" s="6">
        <f>'Results - raw data ReCiPe (H)'!CC9</f>
        <v>1625.298034289408</v>
      </c>
      <c r="AB136" s="6" t="s">
        <v>121</v>
      </c>
      <c r="AC136" s="6">
        <f>B159</f>
        <v>1186.4815932558031</v>
      </c>
      <c r="AF136" s="6">
        <f>E159</f>
        <v>1175.2724845293581</v>
      </c>
      <c r="AI136" s="6">
        <f>H159</f>
        <v>1172.0887619145631</v>
      </c>
      <c r="AL136" s="6">
        <f>K159</f>
        <v>1171.5419235181971</v>
      </c>
      <c r="AO136" s="6">
        <f>N159</f>
        <v>1176.0346869666</v>
      </c>
      <c r="AR136" s="6">
        <f>Q159</f>
        <v>1180.8592879535349</v>
      </c>
      <c r="AU136" s="6">
        <f>T159</f>
        <v>1165.597336992987</v>
      </c>
      <c r="AX136" s="6">
        <f>W159</f>
        <v>1149.242533712596</v>
      </c>
      <c r="BA136" s="6">
        <f>Z159</f>
        <v>1126.377758844686</v>
      </c>
    </row>
    <row r="137" spans="1:53" outlineLevel="1" x14ac:dyDescent="0.35">
      <c r="A137" s="6" t="s">
        <v>31</v>
      </c>
      <c r="B137" s="6">
        <f>'Results - raw data ReCiPe (H)'!CC10</f>
        <v>1150.5712368961119</v>
      </c>
      <c r="AB137" s="6" t="s">
        <v>122</v>
      </c>
      <c r="AC137" s="6">
        <f>B162+B161</f>
        <v>28531.349319324079</v>
      </c>
      <c r="AD137" s="6">
        <f t="shared" ref="AD137:BA137" si="15">C162+C161</f>
        <v>28506.995685263922</v>
      </c>
      <c r="AE137" s="6">
        <f t="shared" si="15"/>
        <v>28482.901475237042</v>
      </c>
      <c r="AF137" s="6">
        <f t="shared" si="15"/>
        <v>28430.865012883762</v>
      </c>
      <c r="AG137" s="6">
        <f t="shared" si="15"/>
        <v>28407.4088652508</v>
      </c>
      <c r="AH137" s="6">
        <f t="shared" si="15"/>
        <v>28384.042112015875</v>
      </c>
      <c r="AI137" s="6">
        <f t="shared" si="15"/>
        <v>30424.177244495266</v>
      </c>
      <c r="AJ137" s="6">
        <f t="shared" si="15"/>
        <v>32460.195246589479</v>
      </c>
      <c r="AK137" s="6">
        <f t="shared" si="15"/>
        <v>34473.950782978718</v>
      </c>
      <c r="AL137" s="6">
        <f t="shared" si="15"/>
        <v>36503.927780663369</v>
      </c>
      <c r="AM137" s="6">
        <f t="shared" si="15"/>
        <v>38527.656098677326</v>
      </c>
      <c r="AN137" s="6">
        <f t="shared" si="15"/>
        <v>42099.945078060722</v>
      </c>
      <c r="AO137" s="6">
        <f t="shared" si="15"/>
        <v>45673.470681205581</v>
      </c>
      <c r="AP137" s="6">
        <f t="shared" si="15"/>
        <v>49244.80916022259</v>
      </c>
      <c r="AQ137" s="6">
        <f t="shared" si="15"/>
        <v>52820.531686011316</v>
      </c>
      <c r="AR137" s="6">
        <f t="shared" si="15"/>
        <v>56397.47818301693</v>
      </c>
      <c r="AS137" s="6">
        <f t="shared" si="15"/>
        <v>57027.199122352409</v>
      </c>
      <c r="AT137" s="6">
        <f t="shared" si="15"/>
        <v>57656.610622852109</v>
      </c>
      <c r="AU137" s="6">
        <f t="shared" si="15"/>
        <v>58282.680978138909</v>
      </c>
      <c r="AV137" s="6">
        <f t="shared" si="15"/>
        <v>58911.741062602756</v>
      </c>
      <c r="AW137" s="6">
        <f t="shared" si="15"/>
        <v>59540.667752487025</v>
      </c>
      <c r="AX137" s="6">
        <f t="shared" si="15"/>
        <v>59145.583527843606</v>
      </c>
      <c r="AY137" s="6">
        <f t="shared" si="15"/>
        <v>57705.077483114423</v>
      </c>
      <c r="AZ137" s="6">
        <f t="shared" si="15"/>
        <v>56259.922235753504</v>
      </c>
      <c r="BA137" s="6">
        <f t="shared" si="15"/>
        <v>54810.069670257966</v>
      </c>
    </row>
    <row r="138" spans="1:53" outlineLevel="1" x14ac:dyDescent="0.35">
      <c r="A138" s="6" t="s">
        <v>34</v>
      </c>
      <c r="B138" s="6">
        <f>'Results - raw data ReCiPe (H)'!CC11</f>
        <v>772.05259525488657</v>
      </c>
      <c r="AB138" s="6" t="s">
        <v>123</v>
      </c>
      <c r="AC138" s="6">
        <f t="shared" ref="AC138:BA138" si="16">B160</f>
        <v>5483.7210782034726</v>
      </c>
      <c r="AD138" s="6">
        <f t="shared" si="16"/>
        <v>5477.0008491218232</v>
      </c>
      <c r="AE138" s="6">
        <f t="shared" si="16"/>
        <v>5470.3030160691023</v>
      </c>
      <c r="AF138" s="6">
        <f t="shared" si="16"/>
        <v>5460.8631800234189</v>
      </c>
      <c r="AG138" s="6">
        <f t="shared" si="16"/>
        <v>5454.2158814037175</v>
      </c>
      <c r="AH138" s="6">
        <f t="shared" si="16"/>
        <v>5447.5729914958647</v>
      </c>
      <c r="AI138" s="6">
        <f t="shared" si="16"/>
        <v>5646.3269571408127</v>
      </c>
      <c r="AJ138" s="6">
        <f t="shared" si="16"/>
        <v>5844.0888349853431</v>
      </c>
      <c r="AK138" s="6">
        <f t="shared" si="16"/>
        <v>6039.0716185524834</v>
      </c>
      <c r="AL138" s="6">
        <f t="shared" si="16"/>
        <v>6235.0783155182125</v>
      </c>
      <c r="AM138" s="6">
        <f t="shared" si="16"/>
        <v>6429.8927408336185</v>
      </c>
      <c r="AN138" s="6">
        <f t="shared" si="16"/>
        <v>6777.5581203392067</v>
      </c>
      <c r="AO138" s="6">
        <f t="shared" si="16"/>
        <v>7124.5398692324425</v>
      </c>
      <c r="AP138" s="6">
        <f t="shared" si="16"/>
        <v>7470.4952093228812</v>
      </c>
      <c r="AQ138" s="6">
        <f t="shared" si="16"/>
        <v>7816.0842543556073</v>
      </c>
      <c r="AR138" s="6">
        <f t="shared" si="16"/>
        <v>8160.9809130108788</v>
      </c>
      <c r="AS138" s="6">
        <f t="shared" si="16"/>
        <v>8217.1017755550274</v>
      </c>
      <c r="AT138" s="6">
        <f t="shared" si="16"/>
        <v>8273.0692702046581</v>
      </c>
      <c r="AU138" s="6">
        <f t="shared" si="16"/>
        <v>8328.5800540018809</v>
      </c>
      <c r="AV138" s="6">
        <f t="shared" si="16"/>
        <v>8384.2661632540076</v>
      </c>
      <c r="AW138" s="6">
        <f t="shared" si="16"/>
        <v>8439.8154966497877</v>
      </c>
      <c r="AX138" s="6">
        <f t="shared" si="16"/>
        <v>8389.6999391174741</v>
      </c>
      <c r="AY138" s="6">
        <f t="shared" si="16"/>
        <v>8238.2761311693775</v>
      </c>
      <c r="AZ138" s="6">
        <f t="shared" si="16"/>
        <v>8086.9554059166458</v>
      </c>
      <c r="BA138" s="6">
        <f t="shared" si="16"/>
        <v>7935.7342288324799</v>
      </c>
    </row>
    <row r="139" spans="1:53" outlineLevel="1" x14ac:dyDescent="0.35">
      <c r="A139" s="6" t="s">
        <v>36</v>
      </c>
      <c r="B139" s="6">
        <f>'Results - raw data ReCiPe (H)'!CC12</f>
        <v>665.02827145034166</v>
      </c>
      <c r="AB139" s="6" t="s">
        <v>124</v>
      </c>
      <c r="AC139" s="6">
        <f>-$AC$7*$AC$6</f>
        <v>-100000</v>
      </c>
      <c r="AD139" s="6">
        <f t="shared" ref="AD139:BA139" si="17">-$AC$7*$AC$6</f>
        <v>-100000</v>
      </c>
      <c r="AE139" s="6">
        <f t="shared" si="17"/>
        <v>-100000</v>
      </c>
      <c r="AF139" s="6">
        <f t="shared" si="17"/>
        <v>-100000</v>
      </c>
      <c r="AG139" s="6">
        <f t="shared" si="17"/>
        <v>-100000</v>
      </c>
      <c r="AH139" s="6">
        <f t="shared" si="17"/>
        <v>-100000</v>
      </c>
      <c r="AI139" s="6">
        <f t="shared" si="17"/>
        <v>-100000</v>
      </c>
      <c r="AJ139" s="6">
        <f t="shared" si="17"/>
        <v>-100000</v>
      </c>
      <c r="AK139" s="6">
        <f t="shared" si="17"/>
        <v>-100000</v>
      </c>
      <c r="AL139" s="6">
        <f t="shared" si="17"/>
        <v>-100000</v>
      </c>
      <c r="AM139" s="6">
        <f t="shared" si="17"/>
        <v>-100000</v>
      </c>
      <c r="AN139" s="6">
        <f t="shared" si="17"/>
        <v>-100000</v>
      </c>
      <c r="AO139" s="6">
        <f t="shared" si="17"/>
        <v>-100000</v>
      </c>
      <c r="AP139" s="6">
        <f t="shared" si="17"/>
        <v>-100000</v>
      </c>
      <c r="AQ139" s="6">
        <f t="shared" si="17"/>
        <v>-100000</v>
      </c>
      <c r="AR139" s="6">
        <f t="shared" si="17"/>
        <v>-100000</v>
      </c>
      <c r="AS139" s="6">
        <f t="shared" si="17"/>
        <v>-100000</v>
      </c>
      <c r="AT139" s="6">
        <f t="shared" si="17"/>
        <v>-100000</v>
      </c>
      <c r="AU139" s="6">
        <f t="shared" si="17"/>
        <v>-100000</v>
      </c>
      <c r="AV139" s="6">
        <f t="shared" si="17"/>
        <v>-100000</v>
      </c>
      <c r="AW139" s="6">
        <f t="shared" si="17"/>
        <v>-100000</v>
      </c>
      <c r="AX139" s="6">
        <f t="shared" si="17"/>
        <v>-100000</v>
      </c>
      <c r="AY139" s="6">
        <f t="shared" si="17"/>
        <v>-100000</v>
      </c>
      <c r="AZ139" s="6">
        <f t="shared" si="17"/>
        <v>-100000</v>
      </c>
      <c r="BA139" s="6">
        <f t="shared" si="17"/>
        <v>-100000</v>
      </c>
    </row>
    <row r="140" spans="1:53" outlineLevel="1" x14ac:dyDescent="0.35">
      <c r="A140" s="6" t="s">
        <v>38</v>
      </c>
      <c r="B140" s="6">
        <f>'Results - raw data ReCiPe (H)'!CC13</f>
        <v>6068.501913397412</v>
      </c>
      <c r="AB140" s="23" t="s">
        <v>125</v>
      </c>
      <c r="AC140" s="17">
        <f t="shared" ref="AC140:BA140" si="18">SUM(AC132:AC139)</f>
        <v>-23970.100815050217</v>
      </c>
      <c r="AD140" s="17">
        <f t="shared" si="18"/>
        <v>-66016.003465614252</v>
      </c>
      <c r="AE140" s="17">
        <f t="shared" si="18"/>
        <v>-66046.795508693845</v>
      </c>
      <c r="AF140" s="17">
        <f t="shared" si="18"/>
        <v>-64932.999322563461</v>
      </c>
      <c r="AG140" s="17">
        <f t="shared" si="18"/>
        <v>-66138.375253345483</v>
      </c>
      <c r="AH140" s="17">
        <f t="shared" si="18"/>
        <v>-66168.384896488264</v>
      </c>
      <c r="AI140" s="17">
        <f t="shared" si="18"/>
        <v>-62757.40703644936</v>
      </c>
      <c r="AJ140" s="17">
        <f t="shared" si="18"/>
        <v>-61695.71591842518</v>
      </c>
      <c r="AK140" s="17">
        <f t="shared" si="18"/>
        <v>-59486.977598468802</v>
      </c>
      <c r="AL140" s="17">
        <f t="shared" si="18"/>
        <v>-56089.451980300219</v>
      </c>
      <c r="AM140" s="17">
        <f t="shared" si="18"/>
        <v>-55042.451160489058</v>
      </c>
      <c r="AN140" s="17">
        <f t="shared" si="18"/>
        <v>-51122.496801600071</v>
      </c>
      <c r="AO140" s="17">
        <f t="shared" si="18"/>
        <v>-46025.954762595371</v>
      </c>
      <c r="AP140" s="17">
        <f t="shared" si="18"/>
        <v>-43284.695630454531</v>
      </c>
      <c r="AQ140" s="17">
        <f t="shared" si="18"/>
        <v>-39363.384059633077</v>
      </c>
      <c r="AR140" s="17">
        <f t="shared" si="18"/>
        <v>-34260.681616018657</v>
      </c>
      <c r="AS140" s="17">
        <f t="shared" si="18"/>
        <v>-34755.699102092563</v>
      </c>
      <c r="AT140" s="17">
        <f t="shared" si="18"/>
        <v>-34070.320106943225</v>
      </c>
      <c r="AU140" s="17">
        <f t="shared" si="18"/>
        <v>-32223.14163086623</v>
      </c>
      <c r="AV140" s="17">
        <f t="shared" si="18"/>
        <v>-32703.992774143233</v>
      </c>
      <c r="AW140" s="17">
        <f t="shared" si="18"/>
        <v>-32019.516750863186</v>
      </c>
      <c r="AX140" s="17">
        <f t="shared" si="18"/>
        <v>-31315.473999326321</v>
      </c>
      <c r="AY140" s="17">
        <f t="shared" si="18"/>
        <v>-34056.646385716202</v>
      </c>
      <c r="AZ140" s="17">
        <f t="shared" si="18"/>
        <v>-35653.122358329849</v>
      </c>
      <c r="BA140" s="17">
        <f t="shared" si="18"/>
        <v>-35414.140087445885</v>
      </c>
    </row>
    <row r="141" spans="1:53" outlineLevel="1" x14ac:dyDescent="0.35">
      <c r="A141" s="6" t="s">
        <v>39</v>
      </c>
      <c r="B141" s="6">
        <f>'Results - raw data ReCiPe (H)'!CC14</f>
        <v>11451.41246529284</v>
      </c>
    </row>
    <row r="142" spans="1:53" outlineLevel="1" x14ac:dyDescent="0.35">
      <c r="A142" s="6" t="s">
        <v>41</v>
      </c>
      <c r="B142" s="6">
        <f>'Results - raw data ReCiPe (H)'!CC15</f>
        <v>160.84450915278899</v>
      </c>
    </row>
    <row r="143" spans="1:53" outlineLevel="1" x14ac:dyDescent="0.35">
      <c r="A143" s="6" t="s">
        <v>43</v>
      </c>
      <c r="B143" s="6">
        <f>'Results - raw data ReCiPe (H)'!CC16</f>
        <v>552.22875745518706</v>
      </c>
      <c r="AB143" s="282"/>
      <c r="AC143" s="282"/>
      <c r="AD143" s="282"/>
      <c r="AE143" s="282"/>
      <c r="AF143" s="282"/>
      <c r="AG143" s="282"/>
      <c r="AH143" s="282"/>
      <c r="AI143" s="282"/>
      <c r="AJ143" s="282"/>
      <c r="AK143" s="282"/>
      <c r="AL143" s="282"/>
      <c r="AM143" s="282"/>
      <c r="AN143" s="282"/>
      <c r="AO143" s="282"/>
      <c r="AP143" s="282"/>
      <c r="AQ143" s="282"/>
      <c r="AR143" s="282"/>
      <c r="AS143" s="282"/>
      <c r="AT143" s="282"/>
      <c r="AU143" s="282"/>
      <c r="AV143" s="282"/>
      <c r="AW143" s="282"/>
      <c r="AX143" s="282"/>
      <c r="AY143" s="282"/>
      <c r="AZ143" s="282"/>
      <c r="BA143" s="282"/>
    </row>
    <row r="144" spans="1:53" outlineLevel="1" x14ac:dyDescent="0.35">
      <c r="A144" s="6" t="s">
        <v>44</v>
      </c>
      <c r="B144" s="6">
        <f>'Results - raw data ReCiPe (H)'!CC17*AC128*AC130</f>
        <v>2481.0563584021374</v>
      </c>
      <c r="AB144" s="282"/>
      <c r="AC144" s="282"/>
      <c r="AD144" s="282"/>
      <c r="AE144" s="282"/>
      <c r="AF144" s="282"/>
      <c r="AG144" s="282"/>
      <c r="AH144" s="282"/>
      <c r="AI144" s="282"/>
      <c r="AJ144" s="282"/>
      <c r="AK144" s="282"/>
      <c r="AL144" s="282"/>
      <c r="AM144" s="282"/>
      <c r="AN144" s="282"/>
      <c r="AO144" s="282"/>
      <c r="AP144" s="282"/>
      <c r="AQ144" s="282"/>
      <c r="AR144" s="282"/>
      <c r="AS144" s="282"/>
      <c r="AT144" s="282"/>
      <c r="AU144" s="282"/>
      <c r="AV144" s="282"/>
      <c r="AW144" s="282"/>
      <c r="AX144" s="282"/>
      <c r="AY144" s="282"/>
      <c r="AZ144" s="282"/>
      <c r="BA144" s="282"/>
    </row>
    <row r="145" spans="1:53" outlineLevel="1" x14ac:dyDescent="0.35">
      <c r="A145" s="6" t="s">
        <v>757</v>
      </c>
      <c r="B145" s="6">
        <f>'Results - raw data ReCiPe (H)'!CC18*AC128*AC130</f>
        <v>8441.8358990577635</v>
      </c>
      <c r="AB145" s="282"/>
      <c r="AC145" s="282"/>
      <c r="AD145" s="282"/>
      <c r="AE145" s="282"/>
      <c r="AF145" s="282"/>
      <c r="AG145" s="282"/>
      <c r="AH145" s="282"/>
      <c r="AI145" s="282"/>
      <c r="AJ145" s="282"/>
      <c r="AK145" s="282"/>
      <c r="AL145" s="282"/>
      <c r="AM145" s="282"/>
      <c r="AN145" s="282"/>
      <c r="AO145" s="282"/>
      <c r="AP145" s="282"/>
      <c r="AQ145" s="282"/>
      <c r="AR145" s="282"/>
      <c r="AS145" s="282"/>
      <c r="AT145" s="282"/>
      <c r="AU145" s="282"/>
      <c r="AV145" s="282"/>
      <c r="AW145" s="282"/>
      <c r="AX145" s="282"/>
      <c r="AY145" s="282"/>
      <c r="AZ145" s="282"/>
      <c r="BA145" s="282"/>
    </row>
    <row r="146" spans="1:53" outlineLevel="1" x14ac:dyDescent="0.35">
      <c r="A146" s="6" t="s">
        <v>22</v>
      </c>
      <c r="Z146" s="6">
        <f>'Results - raw data ReCiPe (H)'!DA19</f>
        <v>18.273260416017582</v>
      </c>
      <c r="AB146" s="282"/>
      <c r="AC146" s="282"/>
      <c r="AD146" s="282"/>
      <c r="AE146" s="282"/>
      <c r="AF146" s="282"/>
      <c r="AG146" s="282"/>
      <c r="AH146" s="282"/>
      <c r="AI146" s="282"/>
      <c r="AJ146" s="282"/>
      <c r="AK146" s="282"/>
      <c r="AL146" s="282"/>
      <c r="AM146" s="282"/>
      <c r="AN146" s="282"/>
      <c r="AO146" s="282"/>
      <c r="AP146" s="282"/>
      <c r="AQ146" s="282"/>
      <c r="AR146" s="282"/>
      <c r="AS146" s="282"/>
      <c r="AT146" s="282"/>
      <c r="AU146" s="282"/>
      <c r="AV146" s="282"/>
      <c r="AW146" s="282"/>
      <c r="AX146" s="282"/>
      <c r="AY146" s="282"/>
      <c r="AZ146" s="282"/>
      <c r="BA146" s="282"/>
    </row>
    <row r="147" spans="1:53" outlineLevel="1" x14ac:dyDescent="0.35">
      <c r="A147" s="6" t="s">
        <v>24</v>
      </c>
      <c r="Z147" s="6">
        <f>'Results - raw data ReCiPe (H)'!DA20</f>
        <v>6.9621462523846738</v>
      </c>
      <c r="AB147" s="282"/>
      <c r="AC147" s="282"/>
      <c r="AD147" s="282"/>
      <c r="AE147" s="282"/>
      <c r="AF147" s="282"/>
      <c r="AG147" s="282"/>
      <c r="AH147" s="282"/>
      <c r="AI147" s="282"/>
      <c r="AJ147" s="282"/>
      <c r="AK147" s="282"/>
      <c r="AL147" s="282"/>
      <c r="AM147" s="282"/>
      <c r="AN147" s="282"/>
      <c r="AO147" s="282"/>
      <c r="AP147" s="282"/>
      <c r="AQ147" s="282"/>
      <c r="AR147" s="282"/>
      <c r="AS147" s="282"/>
      <c r="AT147" s="282"/>
      <c r="AU147" s="282"/>
      <c r="AV147" s="282"/>
      <c r="AW147" s="282"/>
      <c r="AX147" s="282"/>
      <c r="AY147" s="282"/>
      <c r="AZ147" s="282"/>
      <c r="BA147" s="282"/>
    </row>
    <row r="148" spans="1:53" outlineLevel="1" x14ac:dyDescent="0.35">
      <c r="A148" s="6" t="s">
        <v>25</v>
      </c>
      <c r="Z148" s="6">
        <f>'Results - raw data ReCiPe (H)'!DA21</f>
        <v>24.648328583293029</v>
      </c>
      <c r="AB148" s="282"/>
      <c r="AC148" s="282"/>
      <c r="AD148" s="282"/>
      <c r="AE148" s="282"/>
      <c r="AF148" s="282"/>
      <c r="AG148" s="282"/>
      <c r="AH148" s="282"/>
      <c r="AI148" s="282"/>
      <c r="AJ148" s="282"/>
      <c r="AK148" s="282"/>
      <c r="AL148" s="282"/>
      <c r="AM148" s="282"/>
      <c r="AN148" s="282"/>
      <c r="AO148" s="282"/>
      <c r="AP148" s="282"/>
      <c r="AQ148" s="282"/>
      <c r="AR148" s="282"/>
      <c r="AS148" s="282"/>
      <c r="AT148" s="282"/>
      <c r="AU148" s="282"/>
      <c r="AV148" s="282"/>
      <c r="AW148" s="282"/>
      <c r="AX148" s="282"/>
      <c r="AY148" s="282"/>
      <c r="AZ148" s="282"/>
      <c r="BA148" s="282"/>
    </row>
    <row r="149" spans="1:53" outlineLevel="1" x14ac:dyDescent="0.35">
      <c r="A149" s="6" t="s">
        <v>27</v>
      </c>
      <c r="Z149" s="6">
        <f>'Results - raw data ReCiPe (H)'!DA22</f>
        <v>7.5999095268562344</v>
      </c>
      <c r="AB149" s="282"/>
      <c r="AC149" s="282"/>
      <c r="AD149" s="282"/>
      <c r="AE149" s="282"/>
      <c r="AF149" s="282"/>
      <c r="AG149" s="282"/>
      <c r="AH149" s="282"/>
      <c r="AI149" s="282"/>
      <c r="AJ149" s="282"/>
      <c r="AK149" s="282"/>
      <c r="AL149" s="282"/>
      <c r="AM149" s="282"/>
      <c r="AN149" s="282"/>
      <c r="AO149" s="282"/>
      <c r="AP149" s="282"/>
      <c r="AQ149" s="282"/>
      <c r="AR149" s="282"/>
      <c r="AS149" s="282"/>
      <c r="AT149" s="282"/>
      <c r="AU149" s="282"/>
      <c r="AV149" s="282"/>
      <c r="AW149" s="282"/>
      <c r="AX149" s="282"/>
      <c r="AY149" s="282"/>
      <c r="AZ149" s="282"/>
      <c r="BA149" s="282"/>
    </row>
    <row r="150" spans="1:53" outlineLevel="1" x14ac:dyDescent="0.35">
      <c r="A150" s="6" t="s">
        <v>30</v>
      </c>
      <c r="Z150" s="6">
        <f>'Results - raw data ReCiPe (H)'!DA23</f>
        <v>23.823867783595102</v>
      </c>
      <c r="AB150" s="282"/>
      <c r="AC150" s="282"/>
      <c r="AD150" s="282"/>
      <c r="AE150" s="282"/>
      <c r="AF150" s="282"/>
      <c r="AG150" s="282"/>
      <c r="AH150" s="282"/>
      <c r="AI150" s="282"/>
      <c r="AJ150" s="282"/>
      <c r="AK150" s="282"/>
      <c r="AL150" s="282"/>
      <c r="AM150" s="282"/>
      <c r="AN150" s="282"/>
      <c r="AO150" s="282"/>
      <c r="AP150" s="282"/>
      <c r="AQ150" s="282"/>
      <c r="AR150" s="282"/>
      <c r="AS150" s="282"/>
      <c r="AT150" s="282"/>
      <c r="AU150" s="282"/>
      <c r="AV150" s="282"/>
      <c r="AW150" s="282"/>
      <c r="AX150" s="282"/>
      <c r="AY150" s="282"/>
      <c r="AZ150" s="282"/>
      <c r="BA150" s="282"/>
    </row>
    <row r="151" spans="1:53" outlineLevel="1" x14ac:dyDescent="0.35">
      <c r="A151" s="6" t="s">
        <v>32</v>
      </c>
      <c r="Z151" s="6">
        <f>'Results - raw data ReCiPe (H)'!DA24</f>
        <v>0.97716446400496804</v>
      </c>
      <c r="AB151" s="282"/>
      <c r="AC151" s="282"/>
      <c r="AD151" s="282"/>
      <c r="AE151" s="282"/>
      <c r="AF151" s="282"/>
      <c r="AG151" s="282"/>
      <c r="AH151" s="282"/>
      <c r="AI151" s="282"/>
      <c r="AJ151" s="282"/>
      <c r="AK151" s="282"/>
      <c r="AL151" s="282"/>
      <c r="AM151" s="282"/>
      <c r="AN151" s="282"/>
      <c r="AO151" s="282"/>
      <c r="AP151" s="282"/>
      <c r="AQ151" s="282"/>
      <c r="AR151" s="282"/>
      <c r="AS151" s="282"/>
      <c r="AT151" s="282"/>
      <c r="AU151" s="282"/>
      <c r="AV151" s="282"/>
      <c r="AW151" s="282"/>
      <c r="AX151" s="282"/>
      <c r="AY151" s="282"/>
      <c r="AZ151" s="282"/>
      <c r="BA151" s="282"/>
    </row>
    <row r="152" spans="1:53" outlineLevel="1" x14ac:dyDescent="0.35">
      <c r="A152" s="6" t="s">
        <v>33</v>
      </c>
      <c r="Z152" s="6">
        <f>'Results - raw data ReCiPe (H)'!DA25</f>
        <v>5.6942969546537281</v>
      </c>
      <c r="AB152" s="282"/>
      <c r="AC152" s="282"/>
      <c r="AD152" s="282"/>
      <c r="AE152" s="282"/>
      <c r="AF152" s="282"/>
      <c r="AG152" s="282"/>
      <c r="AH152" s="282"/>
      <c r="AI152" s="282"/>
      <c r="AJ152" s="282"/>
      <c r="AK152" s="282"/>
      <c r="AL152" s="282"/>
      <c r="AM152" s="282"/>
      <c r="AN152" s="282"/>
      <c r="AO152" s="282"/>
      <c r="AP152" s="282"/>
      <c r="AQ152" s="282"/>
      <c r="AR152" s="282"/>
      <c r="AS152" s="282"/>
      <c r="AT152" s="282"/>
      <c r="AU152" s="282"/>
      <c r="AV152" s="282"/>
      <c r="AW152" s="282"/>
      <c r="AX152" s="282"/>
      <c r="AY152" s="282"/>
      <c r="AZ152" s="282"/>
      <c r="BA152" s="282"/>
    </row>
    <row r="153" spans="1:53" outlineLevel="1" x14ac:dyDescent="0.35">
      <c r="A153" s="6" t="s">
        <v>35</v>
      </c>
      <c r="Z153" s="6">
        <f>'Results - raw data ReCiPe (H)'!DA26</f>
        <v>11.38859390930746</v>
      </c>
      <c r="AB153" s="282"/>
      <c r="AC153" s="282"/>
      <c r="AD153" s="282"/>
      <c r="AE153" s="282"/>
      <c r="AF153" s="282"/>
      <c r="AG153" s="282"/>
      <c r="AH153" s="282"/>
      <c r="AI153" s="282"/>
      <c r="AJ153" s="282"/>
      <c r="AK153" s="282"/>
      <c r="AL153" s="282"/>
      <c r="AM153" s="282"/>
      <c r="AN153" s="282"/>
      <c r="AO153" s="282"/>
      <c r="AP153" s="282"/>
      <c r="AQ153" s="282"/>
      <c r="AR153" s="282"/>
      <c r="AS153" s="282"/>
      <c r="AT153" s="282"/>
      <c r="AU153" s="282"/>
      <c r="AV153" s="282"/>
      <c r="AW153" s="282"/>
      <c r="AX153" s="282"/>
      <c r="AY153" s="282"/>
      <c r="AZ153" s="282"/>
      <c r="BA153" s="282"/>
    </row>
    <row r="154" spans="1:53" outlineLevel="1" x14ac:dyDescent="0.35">
      <c r="A154" s="6" t="s">
        <v>37</v>
      </c>
      <c r="Z154" s="6">
        <f>'Results - raw data ReCiPe (H)'!DA27</f>
        <v>14.96062171322496</v>
      </c>
      <c r="AB154" s="282"/>
      <c r="AC154" s="282"/>
      <c r="AD154" s="282"/>
      <c r="AE154" s="282"/>
      <c r="AF154" s="282"/>
      <c r="AG154" s="282"/>
      <c r="AH154" s="282"/>
      <c r="AI154" s="282"/>
      <c r="AJ154" s="282"/>
      <c r="AK154" s="282"/>
      <c r="AL154" s="282"/>
      <c r="AM154" s="282"/>
      <c r="AN154" s="282"/>
      <c r="AO154" s="282"/>
      <c r="AP154" s="282"/>
      <c r="AQ154" s="282"/>
      <c r="AR154" s="282"/>
      <c r="AS154" s="282"/>
      <c r="AT154" s="282"/>
      <c r="AU154" s="282"/>
      <c r="AV154" s="282"/>
      <c r="AW154" s="282"/>
      <c r="AX154" s="282"/>
      <c r="AY154" s="282"/>
      <c r="AZ154" s="282"/>
      <c r="BA154" s="282"/>
    </row>
    <row r="155" spans="1:53" outlineLevel="1" x14ac:dyDescent="0.35">
      <c r="A155" s="6" t="s">
        <v>40</v>
      </c>
      <c r="Z155" s="6">
        <f>'Results - raw data ReCiPe (H)'!DA28</f>
        <v>285.27572518419629</v>
      </c>
    </row>
    <row r="156" spans="1:53" outlineLevel="1" x14ac:dyDescent="0.35">
      <c r="A156" s="6" t="s">
        <v>42</v>
      </c>
      <c r="Z156" s="6">
        <f>'Results - raw data ReCiPe (H)'!DA29</f>
        <v>30.660919411160531</v>
      </c>
    </row>
    <row r="157" spans="1:53" outlineLevel="1" x14ac:dyDescent="0.35">
      <c r="A157" s="6" t="s">
        <v>115</v>
      </c>
      <c r="Z157" s="6">
        <f>'Results - raw data ReCiPe (H)'!DA30</f>
        <v>260.91889950818972</v>
      </c>
    </row>
    <row r="158" spans="1:53" outlineLevel="1" x14ac:dyDescent="0.35">
      <c r="A158" s="6" t="s">
        <v>45</v>
      </c>
      <c r="Z158" s="6">
        <f>'Results - raw data ReCiPe (H)'!DA31*AC128*AC130</f>
        <v>22.494520912096178</v>
      </c>
    </row>
    <row r="159" spans="1:53" outlineLevel="1" x14ac:dyDescent="0.35">
      <c r="A159" s="6" t="s">
        <v>116</v>
      </c>
      <c r="B159" s="6">
        <f>'Results - raw data ReCiPe (H)'!CC32</f>
        <v>1186.4815932558031</v>
      </c>
      <c r="C159" s="6">
        <f>'Results - raw data ReCiPe (H)'!CD32</f>
        <v>1184.4309868083469</v>
      </c>
      <c r="D159" s="6">
        <f>'Results - raw data ReCiPe (H)'!CE32</f>
        <v>1182.4019980169519</v>
      </c>
      <c r="E159" s="6">
        <f>'Results - raw data ReCiPe (H)'!CF32</f>
        <v>1175.2724845293581</v>
      </c>
      <c r="F159" s="6">
        <f>'Results - raw data ReCiPe (H)'!CG32</f>
        <v>1173.2752967188071</v>
      </c>
      <c r="G159" s="6">
        <f>'Results - raw data ReCiPe (H)'!CH32</f>
        <v>1171.2868602262761</v>
      </c>
      <c r="H159" s="6">
        <f>'Results - raw data ReCiPe (H)'!CI32</f>
        <v>1172.0887619145631</v>
      </c>
      <c r="I159" s="6">
        <f>'Results - raw data ReCiPe (H)'!CJ32</f>
        <v>1172.9075908463119</v>
      </c>
      <c r="J159" s="6">
        <f>'Results - raw data ReCiPe (H)'!CK32</f>
        <v>1170.652414406771</v>
      </c>
      <c r="K159" s="6">
        <f>'Results - raw data ReCiPe (H)'!CL32</f>
        <v>1171.5419235181971</v>
      </c>
      <c r="L159" s="6">
        <f>'Results - raw data ReCiPe (H)'!CM32</f>
        <v>1172.441544749935</v>
      </c>
      <c r="M159" s="6">
        <f>'Results - raw data ReCiPe (H)'!CN32</f>
        <v>1174.231826151836</v>
      </c>
      <c r="N159" s="6">
        <f>'Results - raw data ReCiPe (H)'!CO32</f>
        <v>1176.0346869666</v>
      </c>
      <c r="O159" s="6">
        <f>'Results - raw data ReCiPe (H)'!CP32</f>
        <v>1177.145364002851</v>
      </c>
      <c r="P159" s="6">
        <f>'Results - raw data ReCiPe (H)'!CQ32</f>
        <v>1178.9976005413471</v>
      </c>
      <c r="Q159" s="6">
        <f>'Results - raw data ReCiPe (H)'!CR32</f>
        <v>1180.8592879535349</v>
      </c>
      <c r="R159" s="6">
        <f>'Results - raw data ReCiPe (H)'!CS32</f>
        <v>1176.0256071477111</v>
      </c>
      <c r="S159" s="6">
        <f>'Results - raw data ReCiPe (H)'!CT32</f>
        <v>1171.1769982701601</v>
      </c>
      <c r="T159" s="6">
        <f>'Results - raw data ReCiPe (H)'!CU32</f>
        <v>1165.597336992987</v>
      </c>
      <c r="U159" s="6">
        <f>'Results - raw data ReCiPe (H)'!CV32</f>
        <v>1160.70640988018</v>
      </c>
      <c r="V159" s="6">
        <f>'Results - raw data ReCiPe (H)'!CW32</f>
        <v>1155.786064528553</v>
      </c>
      <c r="W159" s="6">
        <f>'Results - raw data ReCiPe (H)'!CX32</f>
        <v>1149.242533712596</v>
      </c>
      <c r="X159" s="6">
        <f>'Results - raw data ReCiPe (H)'!CY32</f>
        <v>1141.6551910246601</v>
      </c>
      <c r="Y159" s="6">
        <f>'Results - raw data ReCiPe (H)'!CZ32</f>
        <v>1134.033848551484</v>
      </c>
      <c r="Z159" s="6">
        <f>'Results - raw data ReCiPe (H)'!DA32</f>
        <v>1126.377758844686</v>
      </c>
    </row>
    <row r="160" spans="1:53" outlineLevel="1" x14ac:dyDescent="0.35">
      <c r="A160" s="6" t="s">
        <v>758</v>
      </c>
      <c r="B160" s="6">
        <f>'Results - raw data ReCiPe (H)'!CC167*$AC$128</f>
        <v>5483.7210782034726</v>
      </c>
      <c r="C160" s="6">
        <f>'Results - raw data ReCiPe (H)'!CD167*$AC$128</f>
        <v>5477.0008491218232</v>
      </c>
      <c r="D160" s="6">
        <f>'Results - raw data ReCiPe (H)'!CE167*$AC$128</f>
        <v>5470.3030160691023</v>
      </c>
      <c r="E160" s="6">
        <f>'Results - raw data ReCiPe (H)'!CF167*$AC$128</f>
        <v>5460.8631800234189</v>
      </c>
      <c r="F160" s="6">
        <f>'Results - raw data ReCiPe (H)'!CG167*$AC$128</f>
        <v>5454.2158814037175</v>
      </c>
      <c r="G160" s="6">
        <f>'Results - raw data ReCiPe (H)'!CH167*$AC$128</f>
        <v>5447.5729914958647</v>
      </c>
      <c r="H160" s="6">
        <f>'Results - raw data ReCiPe (H)'!CI167*$AC$128</f>
        <v>5646.3269571408127</v>
      </c>
      <c r="I160" s="6">
        <f>'Results - raw data ReCiPe (H)'!CJ167*$AC$128</f>
        <v>5844.0888349853431</v>
      </c>
      <c r="J160" s="6">
        <f>'Results - raw data ReCiPe (H)'!CK167*$AC$128</f>
        <v>6039.0716185524834</v>
      </c>
      <c r="K160" s="6">
        <f>'Results - raw data ReCiPe (H)'!CL167*$AC$128</f>
        <v>6235.0783155182125</v>
      </c>
      <c r="L160" s="6">
        <f>'Results - raw data ReCiPe (H)'!CM167*$AC$128</f>
        <v>6429.8927408336185</v>
      </c>
      <c r="M160" s="6">
        <f>'Results - raw data ReCiPe (H)'!CN167*$AC$128</f>
        <v>6777.5581203392067</v>
      </c>
      <c r="N160" s="6">
        <f>'Results - raw data ReCiPe (H)'!CO167*$AC$128</f>
        <v>7124.5398692324425</v>
      </c>
      <c r="O160" s="6">
        <f>'Results - raw data ReCiPe (H)'!CP167*$AC$128</f>
        <v>7470.4952093228812</v>
      </c>
      <c r="P160" s="6">
        <f>'Results - raw data ReCiPe (H)'!CQ167*$AC$128</f>
        <v>7816.0842543556073</v>
      </c>
      <c r="Q160" s="6">
        <f>'Results - raw data ReCiPe (H)'!CR167*$AC$128</f>
        <v>8160.9809130108788</v>
      </c>
      <c r="R160" s="6">
        <f>'Results - raw data ReCiPe (H)'!CS167*$AC$128</f>
        <v>8217.1017755550274</v>
      </c>
      <c r="S160" s="6">
        <f>'Results - raw data ReCiPe (H)'!CT167*$AC$128</f>
        <v>8273.0692702046581</v>
      </c>
      <c r="T160" s="6">
        <f>'Results - raw data ReCiPe (H)'!CU167*$AC$128</f>
        <v>8328.5800540018809</v>
      </c>
      <c r="U160" s="6">
        <f>'Results - raw data ReCiPe (H)'!CV167*$AC$128</f>
        <v>8384.2661632540076</v>
      </c>
      <c r="V160" s="6">
        <f>'Results - raw data ReCiPe (H)'!CW167*$AC$128</f>
        <v>8439.8154966497877</v>
      </c>
      <c r="W160" s="6">
        <f>'Results - raw data ReCiPe (H)'!CX167*$AC$128</f>
        <v>8389.6999391174741</v>
      </c>
      <c r="X160" s="6">
        <f>'Results - raw data ReCiPe (H)'!CY167*$AC$128</f>
        <v>8238.2761311693775</v>
      </c>
      <c r="Y160" s="6">
        <f>'Results - raw data ReCiPe (H)'!CZ167*$AC$128</f>
        <v>8086.9554059166458</v>
      </c>
      <c r="Z160" s="6">
        <f>'Results - raw data ReCiPe (H)'!DA167*$AC$128</f>
        <v>7935.7342288324799</v>
      </c>
    </row>
    <row r="161" spans="1:53" outlineLevel="1" x14ac:dyDescent="0.35">
      <c r="A161" s="6" t="s">
        <v>759</v>
      </c>
      <c r="B161" s="6">
        <f>'Results - raw data ReCiPe (H)'!CC34</f>
        <v>0</v>
      </c>
      <c r="C161" s="6">
        <f>'Results - raw data ReCiPe (H)'!CD34</f>
        <v>0</v>
      </c>
      <c r="D161" s="6">
        <f>'Results - raw data ReCiPe (H)'!CE34</f>
        <v>0</v>
      </c>
      <c r="E161" s="6">
        <f>'Results - raw data ReCiPe (H)'!CF34</f>
        <v>0</v>
      </c>
      <c r="F161" s="6">
        <f>'Results - raw data ReCiPe (H)'!CG34</f>
        <v>0</v>
      </c>
      <c r="G161" s="6">
        <f>'Results - raw data ReCiPe (H)'!CH34</f>
        <v>0</v>
      </c>
      <c r="H161" s="6">
        <f>'Results - raw data ReCiPe (H)'!CI34</f>
        <v>0</v>
      </c>
      <c r="I161" s="6">
        <f>'Results - raw data ReCiPe (H)'!CJ34</f>
        <v>0</v>
      </c>
      <c r="J161" s="6">
        <f>'Results - raw data ReCiPe (H)'!CK34</f>
        <v>0</v>
      </c>
      <c r="K161" s="6">
        <f>'Results - raw data ReCiPe (H)'!CL34</f>
        <v>0</v>
      </c>
      <c r="L161" s="6">
        <f>'Results - raw data ReCiPe (H)'!CM34</f>
        <v>0</v>
      </c>
      <c r="M161" s="6">
        <f>'Results - raw data ReCiPe (H)'!CN34</f>
        <v>0</v>
      </c>
      <c r="N161" s="6">
        <f>'Results - raw data ReCiPe (H)'!CO34</f>
        <v>0</v>
      </c>
      <c r="O161" s="6">
        <f>'Results - raw data ReCiPe (H)'!CP34</f>
        <v>0</v>
      </c>
      <c r="P161" s="6">
        <f>'Results - raw data ReCiPe (H)'!CQ34</f>
        <v>0</v>
      </c>
      <c r="Q161" s="6">
        <f>'Results - raw data ReCiPe (H)'!CR34</f>
        <v>0</v>
      </c>
      <c r="R161" s="6">
        <f>'Results - raw data ReCiPe (H)'!CS34</f>
        <v>0</v>
      </c>
      <c r="S161" s="6">
        <f>'Results - raw data ReCiPe (H)'!CT34</f>
        <v>0</v>
      </c>
      <c r="T161" s="6">
        <f>'Results - raw data ReCiPe (H)'!CU34</f>
        <v>0</v>
      </c>
      <c r="U161" s="6">
        <f>'Results - raw data ReCiPe (H)'!CV34</f>
        <v>0</v>
      </c>
      <c r="V161" s="6">
        <f>'Results - raw data ReCiPe (H)'!CW34</f>
        <v>0</v>
      </c>
      <c r="W161" s="6">
        <f>'Results - raw data ReCiPe (H)'!CX34</f>
        <v>0</v>
      </c>
      <c r="X161" s="6">
        <f>'Results - raw data ReCiPe (H)'!CY34</f>
        <v>0</v>
      </c>
      <c r="Y161" s="6">
        <f>'Results - raw data ReCiPe (H)'!CZ34</f>
        <v>0</v>
      </c>
      <c r="Z161" s="6">
        <f>'Results - raw data ReCiPe (H)'!DA34</f>
        <v>0</v>
      </c>
    </row>
    <row r="162" spans="1:53" outlineLevel="1" x14ac:dyDescent="0.35">
      <c r="A162" s="6" t="s">
        <v>760</v>
      </c>
      <c r="B162" s="6">
        <f>150000*($AC$129*'Results - raw data ReCiPe (H)'!CC114+(1-'Results ReCiPe (H) - HHD'!$AC$129)*'Results - raw data ReCiPe (H)'!CC115)</f>
        <v>28531.349319324079</v>
      </c>
      <c r="C162" s="6">
        <f>150000*($AC$129*'Results - raw data ReCiPe (H)'!CD114+(1-'Results ReCiPe (H) - HHD'!$AC$129)*'Results - raw data ReCiPe (H)'!CD115)</f>
        <v>28506.995685263922</v>
      </c>
      <c r="D162" s="6">
        <f>150000*($AC$129*'Results - raw data ReCiPe (H)'!CE114+(1-'Results ReCiPe (H) - HHD'!$AC$129)*'Results - raw data ReCiPe (H)'!CE115)</f>
        <v>28482.901475237042</v>
      </c>
      <c r="E162" s="6">
        <f>150000*($AC$129*'Results - raw data ReCiPe (H)'!CF114+(1-'Results ReCiPe (H) - HHD'!$AC$129)*'Results - raw data ReCiPe (H)'!CF115)</f>
        <v>28430.865012883762</v>
      </c>
      <c r="F162" s="6">
        <f>150000*($AC$129*'Results - raw data ReCiPe (H)'!CG114+(1-'Results ReCiPe (H) - HHD'!$AC$129)*'Results - raw data ReCiPe (H)'!CG115)</f>
        <v>28407.4088652508</v>
      </c>
      <c r="G162" s="6">
        <f>150000*($AC$129*'Results - raw data ReCiPe (H)'!CH114+(1-'Results ReCiPe (H) - HHD'!$AC$129)*'Results - raw data ReCiPe (H)'!CH115)</f>
        <v>28384.042112015875</v>
      </c>
      <c r="H162" s="6">
        <f>150000*($AC$129*'Results - raw data ReCiPe (H)'!CI114+(1-'Results ReCiPe (H) - HHD'!$AC$129)*'Results - raw data ReCiPe (H)'!CI115)</f>
        <v>30424.177244495266</v>
      </c>
      <c r="I162" s="6">
        <f>150000*($AC$129*'Results - raw data ReCiPe (H)'!CJ114+(1-'Results ReCiPe (H) - HHD'!$AC$129)*'Results - raw data ReCiPe (H)'!CJ115)</f>
        <v>32460.195246589479</v>
      </c>
      <c r="J162" s="6">
        <f>150000*($AC$129*'Results - raw data ReCiPe (H)'!CK114+(1-'Results ReCiPe (H) - HHD'!$AC$129)*'Results - raw data ReCiPe (H)'!CK115)</f>
        <v>34473.950782978718</v>
      </c>
      <c r="K162" s="6">
        <f>150000*($AC$129*'Results - raw data ReCiPe (H)'!CL114+(1-'Results ReCiPe (H) - HHD'!$AC$129)*'Results - raw data ReCiPe (H)'!CL115)</f>
        <v>36503.927780663369</v>
      </c>
      <c r="L162" s="6">
        <f>150000*($AC$129*'Results - raw data ReCiPe (H)'!CM114+(1-'Results ReCiPe (H) - HHD'!$AC$129)*'Results - raw data ReCiPe (H)'!CM115)</f>
        <v>38527.656098677326</v>
      </c>
      <c r="M162" s="6">
        <f>150000*($AC$129*'Results - raw data ReCiPe (H)'!CN114+(1-'Results ReCiPe (H) - HHD'!$AC$129)*'Results - raw data ReCiPe (H)'!CN115)</f>
        <v>42099.945078060722</v>
      </c>
      <c r="N162" s="6">
        <f>150000*($AC$129*'Results - raw data ReCiPe (H)'!CO114+(1-'Results ReCiPe (H) - HHD'!$AC$129)*'Results - raw data ReCiPe (H)'!CO115)</f>
        <v>45673.470681205581</v>
      </c>
      <c r="O162" s="6">
        <f>150000*($AC$129*'Results - raw data ReCiPe (H)'!CP114+(1-'Results ReCiPe (H) - HHD'!$AC$129)*'Results - raw data ReCiPe (H)'!CP115)</f>
        <v>49244.80916022259</v>
      </c>
      <c r="P162" s="6">
        <f>150000*($AC$129*'Results - raw data ReCiPe (H)'!CQ114+(1-'Results ReCiPe (H) - HHD'!$AC$129)*'Results - raw data ReCiPe (H)'!CQ115)</f>
        <v>52820.531686011316</v>
      </c>
      <c r="Q162" s="6">
        <f>150000*($AC$129*'Results - raw data ReCiPe (H)'!CR114+(1-'Results ReCiPe (H) - HHD'!$AC$129)*'Results - raw data ReCiPe (H)'!CR115)</f>
        <v>56397.47818301693</v>
      </c>
      <c r="R162" s="6">
        <f>150000*($AC$129*'Results - raw data ReCiPe (H)'!CS114+(1-'Results ReCiPe (H) - HHD'!$AC$129)*'Results - raw data ReCiPe (H)'!CS115)</f>
        <v>57027.199122352409</v>
      </c>
      <c r="S162" s="6">
        <f>150000*($AC$129*'Results - raw data ReCiPe (H)'!CT114+(1-'Results ReCiPe (H) - HHD'!$AC$129)*'Results - raw data ReCiPe (H)'!CT115)</f>
        <v>57656.610622852109</v>
      </c>
      <c r="T162" s="6">
        <f>150000*($AC$129*'Results - raw data ReCiPe (H)'!CU114+(1-'Results ReCiPe (H) - HHD'!$AC$129)*'Results - raw data ReCiPe (H)'!CU115)</f>
        <v>58282.680978138909</v>
      </c>
      <c r="U162" s="6">
        <f>150000*($AC$129*'Results - raw data ReCiPe (H)'!CV114+(1-'Results ReCiPe (H) - HHD'!$AC$129)*'Results - raw data ReCiPe (H)'!CV115)</f>
        <v>58911.741062602756</v>
      </c>
      <c r="V162" s="6">
        <f>150000*($AC$129*'Results - raw data ReCiPe (H)'!CW114+(1-'Results ReCiPe (H) - HHD'!$AC$129)*'Results - raw data ReCiPe (H)'!CW115)</f>
        <v>59540.667752487025</v>
      </c>
      <c r="W162" s="6">
        <f>150000*($AC$129*'Results - raw data ReCiPe (H)'!CX114+(1-'Results ReCiPe (H) - HHD'!$AC$129)*'Results - raw data ReCiPe (H)'!CX115)</f>
        <v>59145.583527843606</v>
      </c>
      <c r="X162" s="6">
        <f>150000*($AC$129*'Results - raw data ReCiPe (H)'!CY114+(1-'Results ReCiPe (H) - HHD'!$AC$129)*'Results - raw data ReCiPe (H)'!CY115)</f>
        <v>57705.077483114423</v>
      </c>
      <c r="Y162" s="6">
        <f>150000*($AC$129*'Results - raw data ReCiPe (H)'!CZ114+(1-'Results ReCiPe (H) - HHD'!$AC$129)*'Results - raw data ReCiPe (H)'!CZ115)</f>
        <v>56259.922235753504</v>
      </c>
      <c r="Z162" s="6">
        <f>150000*($AC$129*'Results - raw data ReCiPe (H)'!DA114+(1-'Results ReCiPe (H) - HHD'!$AC$129)*'Results - raw data ReCiPe (H)'!DA115)</f>
        <v>54810.069670257966</v>
      </c>
    </row>
    <row r="163" spans="1:53" outlineLevel="1" x14ac:dyDescent="0.35">
      <c r="A163" s="23" t="s">
        <v>125</v>
      </c>
      <c r="B163" s="17">
        <f t="shared" ref="B163:Z163" si="19">SUM(B132:B162)</f>
        <v>76029.899184949798</v>
      </c>
      <c r="C163" s="17">
        <f t="shared" si="19"/>
        <v>35168.427521194091</v>
      </c>
      <c r="D163" s="17">
        <f t="shared" si="19"/>
        <v>35135.606489323094</v>
      </c>
      <c r="E163" s="17">
        <f t="shared" si="19"/>
        <v>35067.000677436539</v>
      </c>
      <c r="F163" s="17">
        <f t="shared" si="19"/>
        <v>35034.900043373324</v>
      </c>
      <c r="G163" s="17">
        <f t="shared" si="19"/>
        <v>35002.901963738019</v>
      </c>
      <c r="H163" s="17">
        <f t="shared" si="19"/>
        <v>37242.59296355064</v>
      </c>
      <c r="I163" s="17">
        <f t="shared" si="19"/>
        <v>39477.191672421133</v>
      </c>
      <c r="J163" s="17">
        <f t="shared" si="19"/>
        <v>41683.674815937971</v>
      </c>
      <c r="K163" s="17">
        <f t="shared" si="19"/>
        <v>43910.548019699781</v>
      </c>
      <c r="L163" s="17">
        <f t="shared" si="19"/>
        <v>46129.990384260876</v>
      </c>
      <c r="M163" s="17">
        <f t="shared" si="19"/>
        <v>50051.735024551766</v>
      </c>
      <c r="N163" s="17">
        <f t="shared" si="19"/>
        <v>53974.045237404622</v>
      </c>
      <c r="O163" s="17">
        <f t="shared" si="19"/>
        <v>57892.449733548325</v>
      </c>
      <c r="P163" s="17">
        <f t="shared" si="19"/>
        <v>61815.613540908271</v>
      </c>
      <c r="Q163" s="17">
        <f t="shared" si="19"/>
        <v>65739.318383981343</v>
      </c>
      <c r="R163" s="17">
        <f t="shared" si="19"/>
        <v>66420.326505055142</v>
      </c>
      <c r="S163" s="17">
        <f t="shared" si="19"/>
        <v>67100.856891326926</v>
      </c>
      <c r="T163" s="17">
        <f t="shared" si="19"/>
        <v>67776.858369133784</v>
      </c>
      <c r="U163" s="17">
        <f t="shared" si="19"/>
        <v>68456.713635736945</v>
      </c>
      <c r="V163" s="17">
        <f t="shared" si="19"/>
        <v>69136.269313665369</v>
      </c>
      <c r="W163" s="17">
        <f t="shared" si="19"/>
        <v>68684.526000673679</v>
      </c>
      <c r="X163" s="17">
        <f t="shared" si="19"/>
        <v>67085.008805308462</v>
      </c>
      <c r="Y163" s="17">
        <f t="shared" si="19"/>
        <v>65480.911490221632</v>
      </c>
      <c r="Z163" s="17">
        <f t="shared" si="19"/>
        <v>64585.859912554115</v>
      </c>
    </row>
    <row r="164" spans="1:53" outlineLevel="1" x14ac:dyDescent="0.35"/>
    <row r="165" spans="1:53" s="18" customFormat="1" ht="21" x14ac:dyDescent="0.5">
      <c r="A165" s="18" t="s">
        <v>73</v>
      </c>
    </row>
    <row r="166" spans="1:53" s="20" customFormat="1" outlineLevel="1" x14ac:dyDescent="0.35">
      <c r="A166" s="19" t="s">
        <v>766</v>
      </c>
    </row>
    <row r="167" spans="1:53" s="16" customFormat="1" outlineLevel="1" x14ac:dyDescent="0.35">
      <c r="A167" s="21"/>
      <c r="AB167" s="16" t="s">
        <v>801</v>
      </c>
      <c r="AC167" s="16">
        <v>1</v>
      </c>
      <c r="AD167" s="16" t="s">
        <v>146</v>
      </c>
      <c r="AE167" s="15"/>
    </row>
    <row r="168" spans="1:53" s="16" customFormat="1" outlineLevel="1" x14ac:dyDescent="0.35">
      <c r="A168" s="22" t="s">
        <v>566</v>
      </c>
      <c r="AC168" s="16">
        <f>AC167*1000</f>
        <v>1000</v>
      </c>
      <c r="AD168" s="16" t="s">
        <v>144</v>
      </c>
    </row>
    <row r="169" spans="1:53" s="16" customFormat="1" outlineLevel="1" x14ac:dyDescent="0.35">
      <c r="A169" s="22"/>
      <c r="AB169" s="16" t="s">
        <v>127</v>
      </c>
      <c r="AC169" s="16">
        <v>100</v>
      </c>
      <c r="AD169" s="16" t="s">
        <v>128</v>
      </c>
    </row>
    <row r="170" spans="1:53" s="16" customFormat="1" outlineLevel="1" x14ac:dyDescent="0.35">
      <c r="A170" s="230" t="s">
        <v>768</v>
      </c>
      <c r="AB170" s="16" t="s">
        <v>20</v>
      </c>
      <c r="AC170" s="16">
        <v>0.23</v>
      </c>
      <c r="AD170" s="16" t="s">
        <v>715</v>
      </c>
    </row>
    <row r="171" spans="1:53" s="16" customFormat="1" outlineLevel="1" x14ac:dyDescent="0.35">
      <c r="A171" s="22"/>
      <c r="AB171" s="16" t="s">
        <v>129</v>
      </c>
      <c r="AC171" s="16">
        <v>25</v>
      </c>
      <c r="AD171" s="16" t="s">
        <v>130</v>
      </c>
    </row>
    <row r="172" spans="1:53" outlineLevel="1" x14ac:dyDescent="0.35">
      <c r="B172" s="25">
        <v>2030</v>
      </c>
      <c r="C172" s="25">
        <v>2031</v>
      </c>
      <c r="D172" s="25">
        <v>2032</v>
      </c>
      <c r="E172" s="25">
        <v>2033</v>
      </c>
      <c r="F172" s="25">
        <v>2034</v>
      </c>
      <c r="G172" s="25">
        <v>2035</v>
      </c>
      <c r="H172" s="25">
        <v>2036</v>
      </c>
      <c r="I172" s="25">
        <v>2037</v>
      </c>
      <c r="J172" s="25">
        <v>2038</v>
      </c>
      <c r="K172" s="25">
        <v>2039</v>
      </c>
      <c r="L172" s="25">
        <v>2040</v>
      </c>
      <c r="M172" s="25">
        <v>2041</v>
      </c>
      <c r="N172" s="25">
        <v>2042</v>
      </c>
      <c r="O172" s="25">
        <v>2043</v>
      </c>
      <c r="P172" s="25">
        <v>2044</v>
      </c>
      <c r="Q172" s="25">
        <v>2045</v>
      </c>
      <c r="R172" s="25">
        <v>2046</v>
      </c>
      <c r="S172" s="25">
        <v>2047</v>
      </c>
      <c r="T172" s="25">
        <v>2048</v>
      </c>
      <c r="U172" s="25">
        <v>2049</v>
      </c>
      <c r="V172" s="25">
        <v>2050</v>
      </c>
      <c r="W172" s="25">
        <v>2051</v>
      </c>
      <c r="X172" s="25">
        <v>2052</v>
      </c>
      <c r="Y172" s="25">
        <v>2053</v>
      </c>
      <c r="Z172" s="25">
        <v>2054</v>
      </c>
      <c r="AC172" s="25">
        <v>2030</v>
      </c>
      <c r="AD172" s="25">
        <v>2031</v>
      </c>
      <c r="AE172" s="25">
        <v>2032</v>
      </c>
      <c r="AF172" s="25">
        <v>2033</v>
      </c>
      <c r="AG172" s="25">
        <v>2034</v>
      </c>
      <c r="AH172" s="25">
        <v>2035</v>
      </c>
      <c r="AI172" s="25">
        <v>2036</v>
      </c>
      <c r="AJ172" s="25">
        <v>2037</v>
      </c>
      <c r="AK172" s="25">
        <v>2038</v>
      </c>
      <c r="AL172" s="25">
        <v>2039</v>
      </c>
      <c r="AM172" s="25">
        <v>2040</v>
      </c>
      <c r="AN172" s="25">
        <v>2041</v>
      </c>
      <c r="AO172" s="25">
        <v>2042</v>
      </c>
      <c r="AP172" s="25">
        <v>2043</v>
      </c>
      <c r="AQ172" s="25">
        <v>2044</v>
      </c>
      <c r="AR172" s="25">
        <v>2045</v>
      </c>
      <c r="AS172" s="25">
        <v>2046</v>
      </c>
      <c r="AT172" s="25">
        <v>2047</v>
      </c>
      <c r="AU172" s="25">
        <v>2048</v>
      </c>
      <c r="AV172" s="25">
        <v>2049</v>
      </c>
      <c r="AW172" s="25">
        <v>2050</v>
      </c>
      <c r="AX172" s="25">
        <v>2051</v>
      </c>
      <c r="AY172" s="25">
        <v>2052</v>
      </c>
      <c r="AZ172" s="25">
        <v>2053</v>
      </c>
      <c r="BA172" s="25">
        <v>2054</v>
      </c>
    </row>
    <row r="173" spans="1:53" outlineLevel="1" x14ac:dyDescent="0.35">
      <c r="A173" s="6" t="s">
        <v>21</v>
      </c>
      <c r="B173" s="6">
        <f>'Results - raw data ReCiPe (H)'!CC41</f>
        <v>664.0801386284005</v>
      </c>
      <c r="AB173" s="6" t="s">
        <v>117</v>
      </c>
      <c r="AC173" s="6">
        <f>SUM(B173:B184)+B186</f>
        <v>35571.801809533943</v>
      </c>
    </row>
    <row r="174" spans="1:53" outlineLevel="1" x14ac:dyDescent="0.35">
      <c r="A174" s="6" t="s">
        <v>23</v>
      </c>
      <c r="B174" s="6">
        <f>'Results - raw data ReCiPe (H)'!CC42</f>
        <v>880.72967752235445</v>
      </c>
      <c r="AB174" s="6" t="s">
        <v>118</v>
      </c>
      <c r="AC174" s="6">
        <f>B185</f>
        <v>2321.3557239996653</v>
      </c>
    </row>
    <row r="175" spans="1:53" outlineLevel="1" x14ac:dyDescent="0.35">
      <c r="A175" s="6" t="s">
        <v>26</v>
      </c>
      <c r="B175" s="6">
        <f>'Results - raw data ReCiPe (H)'!CC43</f>
        <v>2726.2435258181008</v>
      </c>
      <c r="AB175" s="6" t="s">
        <v>119</v>
      </c>
      <c r="BA175" s="6">
        <f>SUM(Z187:Z198)</f>
        <v>578.38595176265494</v>
      </c>
    </row>
    <row r="176" spans="1:53" outlineLevel="1" x14ac:dyDescent="0.35">
      <c r="A176" s="6" t="s">
        <v>28</v>
      </c>
      <c r="B176" s="6">
        <f>'Results - raw data ReCiPe (H)'!CC44</f>
        <v>2535.5148250076131</v>
      </c>
      <c r="AB176" s="6" t="s">
        <v>120</v>
      </c>
      <c r="BA176" s="6">
        <f>Z199</f>
        <v>20.958999559062121</v>
      </c>
    </row>
    <row r="177" spans="1:53" outlineLevel="1" x14ac:dyDescent="0.35">
      <c r="A177" s="6" t="s">
        <v>29</v>
      </c>
      <c r="B177" s="6">
        <f>'Results - raw data ReCiPe (H)'!CC45</f>
        <v>1516.390580972007</v>
      </c>
      <c r="AB177" s="6" t="s">
        <v>121</v>
      </c>
      <c r="AC177" s="6">
        <f>B200</f>
        <v>1148.3409729516229</v>
      </c>
      <c r="AF177" s="6">
        <f>E200</f>
        <v>1112.2182425813739</v>
      </c>
      <c r="AI177" s="6">
        <f>H200</f>
        <v>1076.9191461281321</v>
      </c>
      <c r="AL177" s="6">
        <f>K200</f>
        <v>1031.286216035297</v>
      </c>
      <c r="AO177" s="6">
        <f>N200</f>
        <v>977.44851845379105</v>
      </c>
      <c r="AR177" s="6">
        <f>Q200</f>
        <v>917.987027187487</v>
      </c>
      <c r="AU177" s="6">
        <f>T200</f>
        <v>875.86379727760391</v>
      </c>
      <c r="AX177" s="6">
        <f>W200</f>
        <v>846.3879160889735</v>
      </c>
      <c r="BA177" s="6">
        <f>Z200</f>
        <v>839.0363303143256</v>
      </c>
    </row>
    <row r="178" spans="1:53" outlineLevel="1" x14ac:dyDescent="0.35">
      <c r="A178" s="6" t="s">
        <v>31</v>
      </c>
      <c r="B178" s="6">
        <f>'Results - raw data ReCiPe (H)'!CC46</f>
        <v>1090.8211920973019</v>
      </c>
      <c r="AB178" s="6" t="s">
        <v>122</v>
      </c>
      <c r="AC178" s="6">
        <f>B203+B202</f>
        <v>24627.814808356317</v>
      </c>
      <c r="AD178" s="6">
        <f t="shared" ref="AD178:AV178" si="20">C203+C202</f>
        <v>23007.574703896466</v>
      </c>
      <c r="AE178" s="6">
        <f t="shared" si="20"/>
        <v>21387.85072454179</v>
      </c>
      <c r="AF178" s="6">
        <f t="shared" si="20"/>
        <v>19738.878919805309</v>
      </c>
      <c r="AG178" s="6">
        <f t="shared" si="20"/>
        <v>18119.795331705423</v>
      </c>
      <c r="AH178" s="6">
        <f t="shared" si="20"/>
        <v>16500.781925507643</v>
      </c>
      <c r="AI178" s="6">
        <f t="shared" si="20"/>
        <v>15206.746184268166</v>
      </c>
      <c r="AJ178" s="6">
        <f t="shared" si="20"/>
        <v>13916.397148752201</v>
      </c>
      <c r="AK178" s="6">
        <f t="shared" si="20"/>
        <v>12604.873895513982</v>
      </c>
      <c r="AL178" s="6">
        <f t="shared" si="20"/>
        <v>11316.529406602853</v>
      </c>
      <c r="AM178" s="6">
        <f t="shared" si="20"/>
        <v>10028.310983538013</v>
      </c>
      <c r="AN178" s="6">
        <f t="shared" si="20"/>
        <v>8990.5088123138648</v>
      </c>
      <c r="AO178" s="6">
        <f t="shared" si="20"/>
        <v>7948.861731494726</v>
      </c>
      <c r="AP178" s="6">
        <f t="shared" si="20"/>
        <v>6898.4647369356317</v>
      </c>
      <c r="AQ178" s="6">
        <f t="shared" si="20"/>
        <v>5849.3154489777635</v>
      </c>
      <c r="AR178" s="6">
        <f t="shared" si="20"/>
        <v>4796.5068628817398</v>
      </c>
      <c r="AS178" s="6">
        <f t="shared" si="20"/>
        <v>4225.1533278487022</v>
      </c>
      <c r="AT178" s="6">
        <f t="shared" si="20"/>
        <v>3653.9692003727459</v>
      </c>
      <c r="AU178" s="6">
        <f t="shared" si="20"/>
        <v>3078.7515053568495</v>
      </c>
      <c r="AV178" s="6">
        <f t="shared" si="20"/>
        <v>2508.1437076971797</v>
      </c>
      <c r="AW178" s="6">
        <f>V203</f>
        <v>1938.210334315145</v>
      </c>
      <c r="AX178" s="6">
        <f>W203</f>
        <v>1732.6538356380768</v>
      </c>
      <c r="AY178" s="6">
        <f>X203</f>
        <v>1509.3500111451742</v>
      </c>
      <c r="AZ178" s="6">
        <f>Y203</f>
        <v>1285.3212344800988</v>
      </c>
      <c r="BA178" s="6">
        <f>Z203</f>
        <v>1060.5511180190729</v>
      </c>
    </row>
    <row r="179" spans="1:53" outlineLevel="1" x14ac:dyDescent="0.35">
      <c r="A179" s="6" t="s">
        <v>34</v>
      </c>
      <c r="B179" s="6">
        <f>'Results - raw data ReCiPe (H)'!CC47</f>
        <v>720.17360726585548</v>
      </c>
      <c r="AB179" s="6" t="s">
        <v>123</v>
      </c>
      <c r="AC179" s="6">
        <f t="shared" ref="AC179:BA179" si="21">B201</f>
        <v>5082.9496481032038</v>
      </c>
      <c r="AD179" s="6">
        <f t="shared" si="21"/>
        <v>4916.3224841084248</v>
      </c>
      <c r="AE179" s="6">
        <f t="shared" si="21"/>
        <v>4750.4855801159019</v>
      </c>
      <c r="AF179" s="6">
        <f t="shared" si="21"/>
        <v>4582.5142413266831</v>
      </c>
      <c r="AG179" s="6">
        <f t="shared" si="21"/>
        <v>4418.2090014380865</v>
      </c>
      <c r="AH179" s="6">
        <f t="shared" si="21"/>
        <v>4254.6419253980548</v>
      </c>
      <c r="AI179" s="6">
        <f t="shared" si="21"/>
        <v>4124.9368954637075</v>
      </c>
      <c r="AJ179" s="6">
        <f t="shared" si="21"/>
        <v>3995.7626131788752</v>
      </c>
      <c r="AK179" s="6">
        <f t="shared" si="21"/>
        <v>3864.7196395613578</v>
      </c>
      <c r="AL179" s="6">
        <f t="shared" si="21"/>
        <v>3736.2279447897663</v>
      </c>
      <c r="AM179" s="6">
        <f t="shared" si="21"/>
        <v>3608.0175571905152</v>
      </c>
      <c r="AN179" s="6">
        <f t="shared" si="21"/>
        <v>3504.7300074799091</v>
      </c>
      <c r="AO179" s="6">
        <f t="shared" si="21"/>
        <v>3401.0888160982026</v>
      </c>
      <c r="AP179" s="6">
        <f t="shared" si="21"/>
        <v>3296.6088200139266</v>
      </c>
      <c r="AQ179" s="6">
        <f t="shared" si="21"/>
        <v>3192.272981002468</v>
      </c>
      <c r="AR179" s="6">
        <f t="shared" si="21"/>
        <v>3087.5943796480919</v>
      </c>
      <c r="AS179" s="6">
        <f t="shared" si="21"/>
        <v>3030.646381777407</v>
      </c>
      <c r="AT179" s="6">
        <f t="shared" si="21"/>
        <v>2973.5461646753311</v>
      </c>
      <c r="AU179" s="6">
        <f t="shared" si="21"/>
        <v>2915.8794826243302</v>
      </c>
      <c r="AV179" s="6">
        <f t="shared" si="21"/>
        <v>2858.4847086516688</v>
      </c>
      <c r="AW179" s="6">
        <f t="shared" si="21"/>
        <v>2800.9628894299917</v>
      </c>
      <c r="AX179" s="6">
        <f t="shared" si="21"/>
        <v>2780.5539312864921</v>
      </c>
      <c r="AY179" s="6">
        <f t="shared" si="21"/>
        <v>2758.466432513691</v>
      </c>
      <c r="AZ179" s="6">
        <f t="shared" si="21"/>
        <v>2736.3737558613993</v>
      </c>
      <c r="BA179" s="6">
        <f t="shared" si="21"/>
        <v>2714.2739781852852</v>
      </c>
    </row>
    <row r="180" spans="1:53" outlineLevel="1" x14ac:dyDescent="0.35">
      <c r="A180" s="6" t="s">
        <v>36</v>
      </c>
      <c r="B180" s="6">
        <f>'Results - raw data ReCiPe (H)'!CC48</f>
        <v>600.64271598941855</v>
      </c>
      <c r="AB180" s="6" t="s">
        <v>124</v>
      </c>
      <c r="AC180" s="6">
        <f>-$AC$7*$AC$6</f>
        <v>-100000</v>
      </c>
      <c r="AD180" s="6">
        <f t="shared" ref="AD180:BA180" si="22">-$AC$7*$AC$6</f>
        <v>-100000</v>
      </c>
      <c r="AE180" s="6">
        <f t="shared" si="22"/>
        <v>-100000</v>
      </c>
      <c r="AF180" s="6">
        <f t="shared" si="22"/>
        <v>-100000</v>
      </c>
      <c r="AG180" s="6">
        <f t="shared" si="22"/>
        <v>-100000</v>
      </c>
      <c r="AH180" s="6">
        <f t="shared" si="22"/>
        <v>-100000</v>
      </c>
      <c r="AI180" s="6">
        <f t="shared" si="22"/>
        <v>-100000</v>
      </c>
      <c r="AJ180" s="6">
        <f t="shared" si="22"/>
        <v>-100000</v>
      </c>
      <c r="AK180" s="6">
        <f t="shared" si="22"/>
        <v>-100000</v>
      </c>
      <c r="AL180" s="6">
        <f t="shared" si="22"/>
        <v>-100000</v>
      </c>
      <c r="AM180" s="6">
        <f t="shared" si="22"/>
        <v>-100000</v>
      </c>
      <c r="AN180" s="6">
        <f t="shared" si="22"/>
        <v>-100000</v>
      </c>
      <c r="AO180" s="6">
        <f t="shared" si="22"/>
        <v>-100000</v>
      </c>
      <c r="AP180" s="6">
        <f t="shared" si="22"/>
        <v>-100000</v>
      </c>
      <c r="AQ180" s="6">
        <f t="shared" si="22"/>
        <v>-100000</v>
      </c>
      <c r="AR180" s="6">
        <f t="shared" si="22"/>
        <v>-100000</v>
      </c>
      <c r="AS180" s="6">
        <f t="shared" si="22"/>
        <v>-100000</v>
      </c>
      <c r="AT180" s="6">
        <f t="shared" si="22"/>
        <v>-100000</v>
      </c>
      <c r="AU180" s="6">
        <f t="shared" si="22"/>
        <v>-100000</v>
      </c>
      <c r="AV180" s="6">
        <f t="shared" si="22"/>
        <v>-100000</v>
      </c>
      <c r="AW180" s="6">
        <f t="shared" si="22"/>
        <v>-100000</v>
      </c>
      <c r="AX180" s="6">
        <f t="shared" si="22"/>
        <v>-100000</v>
      </c>
      <c r="AY180" s="6">
        <f t="shared" si="22"/>
        <v>-100000</v>
      </c>
      <c r="AZ180" s="6">
        <f t="shared" si="22"/>
        <v>-100000</v>
      </c>
      <c r="BA180" s="6">
        <f t="shared" si="22"/>
        <v>-100000</v>
      </c>
    </row>
    <row r="181" spans="1:53" outlineLevel="1" x14ac:dyDescent="0.35">
      <c r="A181" s="6" t="s">
        <v>38</v>
      </c>
      <c r="B181" s="6">
        <f>'Results - raw data ReCiPe (H)'!CC49</f>
        <v>5471.4360123760534</v>
      </c>
      <c r="AB181" s="23" t="s">
        <v>125</v>
      </c>
      <c r="AC181" s="17">
        <f>SUM(AC173:AC180)</f>
        <v>-31247.737037055253</v>
      </c>
      <c r="AD181" s="17">
        <f t="shared" ref="AD181:BA181" si="23">SUM(AD173:AD180)</f>
        <v>-72076.102811995108</v>
      </c>
      <c r="AE181" s="17">
        <f t="shared" si="23"/>
        <v>-73861.663695342315</v>
      </c>
      <c r="AF181" s="17">
        <f t="shared" si="23"/>
        <v>-74566.388596286633</v>
      </c>
      <c r="AG181" s="17">
        <f t="shared" si="23"/>
        <v>-77461.995666856499</v>
      </c>
      <c r="AH181" s="17">
        <f t="shared" si="23"/>
        <v>-79244.576149094297</v>
      </c>
      <c r="AI181" s="17">
        <f t="shared" si="23"/>
        <v>-79591.397774140001</v>
      </c>
      <c r="AJ181" s="17">
        <f t="shared" si="23"/>
        <v>-82087.840238068922</v>
      </c>
      <c r="AK181" s="17">
        <f t="shared" si="23"/>
        <v>-83530.406464924657</v>
      </c>
      <c r="AL181" s="17">
        <f t="shared" si="23"/>
        <v>-83915.956432572086</v>
      </c>
      <c r="AM181" s="17">
        <f t="shared" si="23"/>
        <v>-86363.671459271471</v>
      </c>
      <c r="AN181" s="17">
        <f t="shared" si="23"/>
        <v>-87504.761180206231</v>
      </c>
      <c r="AO181" s="17">
        <f t="shared" si="23"/>
        <v>-87672.600933953276</v>
      </c>
      <c r="AP181" s="17">
        <f t="shared" si="23"/>
        <v>-89804.926443050441</v>
      </c>
      <c r="AQ181" s="17">
        <f t="shared" si="23"/>
        <v>-90958.411570019773</v>
      </c>
      <c r="AR181" s="17">
        <f t="shared" si="23"/>
        <v>-91197.911730282678</v>
      </c>
      <c r="AS181" s="17">
        <f t="shared" si="23"/>
        <v>-92744.20029037389</v>
      </c>
      <c r="AT181" s="17">
        <f t="shared" si="23"/>
        <v>-93372.484634951921</v>
      </c>
      <c r="AU181" s="17">
        <f t="shared" si="23"/>
        <v>-93129.505214741221</v>
      </c>
      <c r="AV181" s="17">
        <f t="shared" si="23"/>
        <v>-94633.371583651155</v>
      </c>
      <c r="AW181" s="17">
        <f t="shared" si="23"/>
        <v>-95260.826776254864</v>
      </c>
      <c r="AX181" s="17">
        <f t="shared" si="23"/>
        <v>-94640.40431698646</v>
      </c>
      <c r="AY181" s="17">
        <f t="shared" si="23"/>
        <v>-95732.18355634113</v>
      </c>
      <c r="AZ181" s="17">
        <f t="shared" si="23"/>
        <v>-95978.305009658507</v>
      </c>
      <c r="BA181" s="17">
        <f t="shared" si="23"/>
        <v>-94786.793622159603</v>
      </c>
    </row>
    <row r="182" spans="1:53" outlineLevel="1" x14ac:dyDescent="0.35">
      <c r="A182" s="6" t="s">
        <v>39</v>
      </c>
      <c r="B182" s="6">
        <f>'Results - raw data ReCiPe (H)'!CC50</f>
        <v>10289.89043583642</v>
      </c>
    </row>
    <row r="183" spans="1:53" outlineLevel="1" x14ac:dyDescent="0.35">
      <c r="A183" s="6" t="s">
        <v>41</v>
      </c>
      <c r="B183" s="6">
        <f>'Results - raw data ReCiPe (H)'!CC51</f>
        <v>149.83026646962881</v>
      </c>
    </row>
    <row r="184" spans="1:53" outlineLevel="1" x14ac:dyDescent="0.35">
      <c r="A184" s="6" t="s">
        <v>43</v>
      </c>
      <c r="B184" s="6">
        <f>'Results - raw data ReCiPe (H)'!CC52</f>
        <v>540.2049660112441</v>
      </c>
      <c r="AB184" s="282"/>
      <c r="AC184" s="282"/>
      <c r="AD184" s="282"/>
      <c r="AE184" s="282"/>
      <c r="AF184" s="282"/>
      <c r="AG184" s="282"/>
      <c r="AH184" s="282"/>
      <c r="AI184" s="282"/>
      <c r="AJ184" s="282"/>
      <c r="AK184" s="282"/>
      <c r="AL184" s="282"/>
      <c r="AM184" s="282"/>
      <c r="AN184" s="282"/>
      <c r="AO184" s="282"/>
      <c r="AP184" s="282"/>
      <c r="AQ184" s="282"/>
      <c r="AR184" s="282"/>
      <c r="AS184" s="282"/>
      <c r="AT184" s="282"/>
      <c r="AU184" s="282"/>
      <c r="AV184" s="282"/>
      <c r="AW184" s="282"/>
      <c r="AX184" s="282"/>
      <c r="AY184" s="282"/>
      <c r="AZ184" s="282"/>
      <c r="BA184" s="282"/>
    </row>
    <row r="185" spans="1:53" outlineLevel="1" x14ac:dyDescent="0.35">
      <c r="A185" s="6" t="s">
        <v>44</v>
      </c>
      <c r="B185" s="6">
        <f>'Results - raw data ReCiPe (H)'!CC53*AC169*AC171</f>
        <v>2321.3557239996653</v>
      </c>
      <c r="AB185" s="282"/>
      <c r="AC185" s="282"/>
      <c r="AD185" s="282"/>
      <c r="AE185" s="282"/>
      <c r="AF185" s="282"/>
      <c r="AG185" s="282"/>
      <c r="AH185" s="282"/>
      <c r="AI185" s="282"/>
      <c r="AJ185" s="282"/>
      <c r="AK185" s="282"/>
      <c r="AL185" s="282"/>
      <c r="AM185" s="282"/>
      <c r="AN185" s="282"/>
      <c r="AO185" s="282"/>
      <c r="AP185" s="282"/>
      <c r="AQ185" s="282"/>
      <c r="AR185" s="282"/>
      <c r="AS185" s="282"/>
      <c r="AT185" s="282"/>
      <c r="AU185" s="282"/>
      <c r="AV185" s="282"/>
      <c r="AW185" s="282"/>
      <c r="AX185" s="282"/>
      <c r="AY185" s="282"/>
      <c r="AZ185" s="282"/>
      <c r="BA185" s="282"/>
    </row>
    <row r="186" spans="1:53" outlineLevel="1" x14ac:dyDescent="0.35">
      <c r="A186" s="6" t="s">
        <v>757</v>
      </c>
      <c r="B186" s="6">
        <f>'Results - raw data ReCiPe (H)'!CC54*AC169*AC171</f>
        <v>8385.8438655395494</v>
      </c>
      <c r="AB186" s="282"/>
      <c r="AC186" s="282"/>
      <c r="AD186" s="282"/>
      <c r="AE186" s="282"/>
      <c r="AF186" s="282"/>
      <c r="AG186" s="282"/>
      <c r="AH186" s="282"/>
      <c r="AI186" s="282"/>
      <c r="AJ186" s="282"/>
      <c r="AK186" s="282"/>
      <c r="AL186" s="282"/>
      <c r="AM186" s="282"/>
      <c r="AN186" s="282"/>
      <c r="AO186" s="282"/>
      <c r="AP186" s="282"/>
      <c r="AQ186" s="282"/>
      <c r="AR186" s="282"/>
      <c r="AS186" s="282"/>
      <c r="AT186" s="282"/>
      <c r="AU186" s="282"/>
      <c r="AV186" s="282"/>
      <c r="AW186" s="282"/>
      <c r="AX186" s="282"/>
      <c r="AY186" s="282"/>
      <c r="AZ186" s="282"/>
      <c r="BA186" s="282"/>
    </row>
    <row r="187" spans="1:53" outlineLevel="1" x14ac:dyDescent="0.35">
      <c r="A187" s="6" t="s">
        <v>22</v>
      </c>
      <c r="Z187" s="6">
        <f>'Results - raw data ReCiPe (H)'!DA55</f>
        <v>17.809288110870401</v>
      </c>
      <c r="AB187" s="282"/>
      <c r="AC187" s="282"/>
      <c r="AD187" s="282"/>
      <c r="AE187" s="282"/>
      <c r="AF187" s="282"/>
      <c r="AG187" s="282"/>
      <c r="AH187" s="282"/>
      <c r="AI187" s="282"/>
      <c r="AJ187" s="282"/>
      <c r="AK187" s="282"/>
      <c r="AL187" s="282"/>
      <c r="AM187" s="282"/>
      <c r="AN187" s="282"/>
      <c r="AO187" s="282"/>
      <c r="AP187" s="282"/>
      <c r="AQ187" s="282"/>
      <c r="AR187" s="282"/>
      <c r="AS187" s="282"/>
      <c r="AT187" s="282"/>
      <c r="AU187" s="282"/>
      <c r="AV187" s="282"/>
      <c r="AW187" s="282"/>
      <c r="AX187" s="282"/>
      <c r="AY187" s="282"/>
      <c r="AZ187" s="282"/>
      <c r="BA187" s="282"/>
    </row>
    <row r="188" spans="1:53" outlineLevel="1" x14ac:dyDescent="0.35">
      <c r="A188" s="6" t="s">
        <v>24</v>
      </c>
      <c r="Z188" s="6">
        <f>'Results - raw data ReCiPe (H)'!DA56</f>
        <v>6.4841516951127067</v>
      </c>
      <c r="AB188" s="282"/>
      <c r="AC188" s="282"/>
      <c r="AD188" s="282"/>
      <c r="AE188" s="282"/>
      <c r="AF188" s="282"/>
      <c r="AG188" s="282"/>
      <c r="AH188" s="282"/>
      <c r="AI188" s="282"/>
      <c r="AJ188" s="282"/>
      <c r="AK188" s="282"/>
      <c r="AL188" s="282"/>
      <c r="AM188" s="282"/>
      <c r="AN188" s="282"/>
      <c r="AO188" s="282"/>
      <c r="AP188" s="282"/>
      <c r="AQ188" s="282"/>
      <c r="AR188" s="282"/>
      <c r="AS188" s="282"/>
      <c r="AT188" s="282"/>
      <c r="AU188" s="282"/>
      <c r="AV188" s="282"/>
      <c r="AW188" s="282"/>
      <c r="AX188" s="282"/>
      <c r="AY188" s="282"/>
      <c r="AZ188" s="282"/>
      <c r="BA188" s="282"/>
    </row>
    <row r="189" spans="1:53" outlineLevel="1" x14ac:dyDescent="0.35">
      <c r="A189" s="6" t="s">
        <v>25</v>
      </c>
      <c r="Z189" s="6">
        <f>'Results - raw data ReCiPe (H)'!DA57</f>
        <v>20.396392714219459</v>
      </c>
      <c r="AB189" s="282"/>
      <c r="AC189" s="282"/>
      <c r="AD189" s="282"/>
      <c r="AE189" s="282"/>
      <c r="AF189" s="282"/>
      <c r="AG189" s="282"/>
      <c r="AH189" s="282"/>
      <c r="AI189" s="282"/>
      <c r="AJ189" s="282"/>
      <c r="AK189" s="282"/>
      <c r="AL189" s="282"/>
      <c r="AM189" s="282"/>
      <c r="AN189" s="282"/>
      <c r="AO189" s="282"/>
      <c r="AP189" s="282"/>
      <c r="AQ189" s="282"/>
      <c r="AR189" s="282"/>
      <c r="AS189" s="282"/>
      <c r="AT189" s="282"/>
      <c r="AU189" s="282"/>
      <c r="AV189" s="282"/>
      <c r="AW189" s="282"/>
      <c r="AX189" s="282"/>
      <c r="AY189" s="282"/>
      <c r="AZ189" s="282"/>
      <c r="BA189" s="282"/>
    </row>
    <row r="190" spans="1:53" outlineLevel="1" x14ac:dyDescent="0.35">
      <c r="A190" s="6" t="s">
        <v>27</v>
      </c>
      <c r="Z190" s="6">
        <f>'Results - raw data ReCiPe (H)'!DA58</f>
        <v>6.4516925251757771</v>
      </c>
      <c r="AB190" s="282"/>
      <c r="AC190" s="282"/>
      <c r="AD190" s="282"/>
      <c r="AE190" s="282"/>
      <c r="AF190" s="282"/>
      <c r="AG190" s="282"/>
      <c r="AH190" s="282"/>
      <c r="AI190" s="282"/>
      <c r="AJ190" s="282"/>
      <c r="AK190" s="282"/>
      <c r="AL190" s="282"/>
      <c r="AM190" s="282"/>
      <c r="AN190" s="282"/>
      <c r="AO190" s="282"/>
      <c r="AP190" s="282"/>
      <c r="AQ190" s="282"/>
      <c r="AR190" s="282"/>
      <c r="AS190" s="282"/>
      <c r="AT190" s="282"/>
      <c r="AU190" s="282"/>
      <c r="AV190" s="282"/>
      <c r="AW190" s="282"/>
      <c r="AX190" s="282"/>
      <c r="AY190" s="282"/>
      <c r="AZ190" s="282"/>
      <c r="BA190" s="282"/>
    </row>
    <row r="191" spans="1:53" outlineLevel="1" x14ac:dyDescent="0.35">
      <c r="A191" s="6" t="s">
        <v>30</v>
      </c>
      <c r="Z191" s="6">
        <f>'Results - raw data ReCiPe (H)'!DA59</f>
        <v>23.21195353922505</v>
      </c>
      <c r="AB191" s="282"/>
      <c r="AC191" s="282"/>
      <c r="AD191" s="282"/>
      <c r="AE191" s="282"/>
      <c r="AF191" s="282"/>
      <c r="AG191" s="282"/>
      <c r="AH191" s="282"/>
      <c r="AI191" s="282"/>
      <c r="AJ191" s="282"/>
      <c r="AK191" s="282"/>
      <c r="AL191" s="282"/>
      <c r="AM191" s="282"/>
      <c r="AN191" s="282"/>
      <c r="AO191" s="282"/>
      <c r="AP191" s="282"/>
      <c r="AQ191" s="282"/>
      <c r="AR191" s="282"/>
      <c r="AS191" s="282"/>
      <c r="AT191" s="282"/>
      <c r="AU191" s="282"/>
      <c r="AV191" s="282"/>
      <c r="AW191" s="282"/>
      <c r="AX191" s="282"/>
      <c r="AY191" s="282"/>
      <c r="AZ191" s="282"/>
      <c r="BA191" s="282"/>
    </row>
    <row r="192" spans="1:53" outlineLevel="1" x14ac:dyDescent="0.35">
      <c r="A192" s="6" t="s">
        <v>32</v>
      </c>
      <c r="Z192" s="6">
        <f>'Results - raw data ReCiPe (H)'!DA60</f>
        <v>0.71269773507552991</v>
      </c>
      <c r="AB192" s="282"/>
      <c r="AC192" s="282"/>
      <c r="AD192" s="282"/>
      <c r="AE192" s="282"/>
      <c r="AF192" s="282"/>
      <c r="AG192" s="282"/>
      <c r="AH192" s="282"/>
      <c r="AI192" s="282"/>
      <c r="AJ192" s="282"/>
      <c r="AK192" s="282"/>
      <c r="AL192" s="282"/>
      <c r="AM192" s="282"/>
      <c r="AN192" s="282"/>
      <c r="AO192" s="282"/>
      <c r="AP192" s="282"/>
      <c r="AQ192" s="282"/>
      <c r="AR192" s="282"/>
      <c r="AS192" s="282"/>
      <c r="AT192" s="282"/>
      <c r="AU192" s="282"/>
      <c r="AV192" s="282"/>
      <c r="AW192" s="282"/>
      <c r="AX192" s="282"/>
      <c r="AY192" s="282"/>
      <c r="AZ192" s="282"/>
      <c r="BA192" s="282"/>
    </row>
    <row r="193" spans="1:53" outlineLevel="1" x14ac:dyDescent="0.35">
      <c r="A193" s="6" t="s">
        <v>33</v>
      </c>
      <c r="Z193" s="6">
        <f>'Results - raw data ReCiPe (H)'!DA61</f>
        <v>5.512756844731129</v>
      </c>
      <c r="AB193" s="282"/>
      <c r="AC193" s="282"/>
      <c r="AD193" s="282"/>
      <c r="AE193" s="282"/>
      <c r="AF193" s="282"/>
      <c r="AG193" s="282"/>
      <c r="AH193" s="282"/>
      <c r="AI193" s="282"/>
      <c r="AJ193" s="282"/>
      <c r="AK193" s="282"/>
      <c r="AL193" s="282"/>
      <c r="AM193" s="282"/>
      <c r="AN193" s="282"/>
      <c r="AO193" s="282"/>
      <c r="AP193" s="282"/>
      <c r="AQ193" s="282"/>
      <c r="AR193" s="282"/>
      <c r="AS193" s="282"/>
      <c r="AT193" s="282"/>
      <c r="AU193" s="282"/>
      <c r="AV193" s="282"/>
      <c r="AW193" s="282"/>
      <c r="AX193" s="282"/>
      <c r="AY193" s="282"/>
      <c r="AZ193" s="282"/>
      <c r="BA193" s="282"/>
    </row>
    <row r="194" spans="1:53" outlineLevel="1" x14ac:dyDescent="0.35">
      <c r="A194" s="6" t="s">
        <v>35</v>
      </c>
      <c r="Z194" s="6">
        <f>'Results - raw data ReCiPe (H)'!DA62</f>
        <v>11.02551368946226</v>
      </c>
      <c r="AB194" s="282"/>
      <c r="AC194" s="282"/>
      <c r="AD194" s="282"/>
      <c r="AE194" s="282"/>
      <c r="AF194" s="282"/>
      <c r="AG194" s="282"/>
      <c r="AH194" s="282"/>
      <c r="AI194" s="282"/>
      <c r="AJ194" s="282"/>
      <c r="AK194" s="282"/>
      <c r="AL194" s="282"/>
      <c r="AM194" s="282"/>
      <c r="AN194" s="282"/>
      <c r="AO194" s="282"/>
      <c r="AP194" s="282"/>
      <c r="AQ194" s="282"/>
      <c r="AR194" s="282"/>
      <c r="AS194" s="282"/>
      <c r="AT194" s="282"/>
      <c r="AU194" s="282"/>
      <c r="AV194" s="282"/>
      <c r="AW194" s="282"/>
      <c r="AX194" s="282"/>
      <c r="AY194" s="282"/>
      <c r="AZ194" s="282"/>
      <c r="BA194" s="282"/>
    </row>
    <row r="195" spans="1:53" outlineLevel="1" x14ac:dyDescent="0.35">
      <c r="A195" s="6" t="s">
        <v>37</v>
      </c>
      <c r="Z195" s="6">
        <f>'Results - raw data ReCiPe (H)'!DA63</f>
        <v>11.4624592345025</v>
      </c>
      <c r="AB195" s="282"/>
      <c r="AC195" s="282"/>
      <c r="AD195" s="282"/>
      <c r="AE195" s="282"/>
      <c r="AF195" s="282"/>
      <c r="AG195" s="282"/>
      <c r="AH195" s="282"/>
      <c r="AI195" s="282"/>
      <c r="AJ195" s="282"/>
      <c r="AK195" s="282"/>
      <c r="AL195" s="282"/>
      <c r="AM195" s="282"/>
      <c r="AN195" s="282"/>
      <c r="AO195" s="282"/>
      <c r="AP195" s="282"/>
      <c r="AQ195" s="282"/>
      <c r="AR195" s="282"/>
      <c r="AS195" s="282"/>
      <c r="AT195" s="282"/>
      <c r="AU195" s="282"/>
      <c r="AV195" s="282"/>
      <c r="AW195" s="282"/>
      <c r="AX195" s="282"/>
      <c r="AY195" s="282"/>
      <c r="AZ195" s="282"/>
      <c r="BA195" s="282"/>
    </row>
    <row r="196" spans="1:53" outlineLevel="1" x14ac:dyDescent="0.35">
      <c r="A196" s="6" t="s">
        <v>40</v>
      </c>
      <c r="Z196" s="6">
        <f>'Results - raw data ReCiPe (H)'!DA64</f>
        <v>278.45924154762872</v>
      </c>
    </row>
    <row r="197" spans="1:53" outlineLevel="1" x14ac:dyDescent="0.35">
      <c r="A197" s="6" t="s">
        <v>42</v>
      </c>
      <c r="Z197" s="6">
        <f>'Results - raw data ReCiPe (H)'!DA65</f>
        <v>24.547181732291531</v>
      </c>
    </row>
    <row r="198" spans="1:53" outlineLevel="1" x14ac:dyDescent="0.35">
      <c r="A198" s="6" t="s">
        <v>115</v>
      </c>
      <c r="Z198" s="6">
        <f>'Results - raw data ReCiPe (H)'!DA66</f>
        <v>172.31262239435989</v>
      </c>
    </row>
    <row r="199" spans="1:53" outlineLevel="1" x14ac:dyDescent="0.35">
      <c r="A199" s="6" t="s">
        <v>45</v>
      </c>
      <c r="Z199" s="6">
        <f>'Results - raw data ReCiPe (H)'!DA67*AC169*AC171</f>
        <v>20.958999559062121</v>
      </c>
    </row>
    <row r="200" spans="1:53" outlineLevel="1" x14ac:dyDescent="0.35">
      <c r="A200" s="6" t="s">
        <v>116</v>
      </c>
      <c r="B200" s="6">
        <f>'Results - raw data ReCiPe (H)'!CC68</f>
        <v>1148.3409729516229</v>
      </c>
      <c r="C200" s="6">
        <f>'Results - raw data ReCiPe (H)'!CD68</f>
        <v>1138.060168440604</v>
      </c>
      <c r="D200" s="6">
        <f>'Results - raw data ReCiPe (H)'!CE68</f>
        <v>1127.7127066101459</v>
      </c>
      <c r="E200" s="6">
        <f>'Results - raw data ReCiPe (H)'!CF68</f>
        <v>1112.2182425813739</v>
      </c>
      <c r="F200" s="6">
        <f>'Results - raw data ReCiPe (H)'!CG68</f>
        <v>1101.723968475133</v>
      </c>
      <c r="G200" s="6">
        <f>'Results - raw data ReCiPe (H)'!CH68</f>
        <v>1091.139656450338</v>
      </c>
      <c r="H200" s="6">
        <f>'Results - raw data ReCiPe (H)'!CI68</f>
        <v>1076.9191461281321</v>
      </c>
      <c r="I200" s="6">
        <f>'Results - raw data ReCiPe (H)'!CJ68</f>
        <v>1062.730546817681</v>
      </c>
      <c r="J200" s="6">
        <f>'Results - raw data ReCiPe (H)'!CK68</f>
        <v>1045.4717263922239</v>
      </c>
      <c r="K200" s="6">
        <f>'Results - raw data ReCiPe (H)'!CL68</f>
        <v>1031.286216035297</v>
      </c>
      <c r="L200" s="6">
        <f>'Results - raw data ReCiPe (H)'!CM68</f>
        <v>1017.05516653554</v>
      </c>
      <c r="M200" s="6">
        <f>'Results - raw data ReCiPe (H)'!CN68</f>
        <v>997.19821038309715</v>
      </c>
      <c r="N200" s="6">
        <f>'Results - raw data ReCiPe (H)'!CO68</f>
        <v>977.44851845379105</v>
      </c>
      <c r="O200" s="6">
        <f>'Results - raw data ReCiPe (H)'!CP68</f>
        <v>956.93102796878463</v>
      </c>
      <c r="P200" s="6">
        <f>'Results - raw data ReCiPe (H)'!CQ68</f>
        <v>937.40861002536712</v>
      </c>
      <c r="Q200" s="6">
        <f>'Results - raw data ReCiPe (H)'!CR68</f>
        <v>917.987027187487</v>
      </c>
      <c r="R200" s="6">
        <f>'Results - raw data ReCiPe (H)'!CS68</f>
        <v>904.09536731961418</v>
      </c>
      <c r="S200" s="6">
        <f>'Results - raw data ReCiPe (H)'!CT68</f>
        <v>890.28838396677645</v>
      </c>
      <c r="T200" s="6">
        <f>'Results - raw data ReCiPe (H)'!CU68</f>
        <v>875.86379727760391</v>
      </c>
      <c r="U200" s="6">
        <f>'Results - raw data ReCiPe (H)'!CV68</f>
        <v>862.23848950309525</v>
      </c>
      <c r="V200" s="6">
        <f>'Results - raw data ReCiPe (H)'!CW68</f>
        <v>848.69548558566385</v>
      </c>
      <c r="W200" s="6">
        <f>'Results - raw data ReCiPe (H)'!CX68</f>
        <v>846.3879160889735</v>
      </c>
      <c r="X200" s="6">
        <f>'Results - raw data ReCiPe (H)'!CY68</f>
        <v>843.918831246026</v>
      </c>
      <c r="Y200" s="6">
        <f>'Results - raw data ReCiPe (H)'!CZ68</f>
        <v>841.46837575009522</v>
      </c>
      <c r="Z200" s="6">
        <f>'Results - raw data ReCiPe (H)'!DA68</f>
        <v>839.0363303143256</v>
      </c>
    </row>
    <row r="201" spans="1:53" outlineLevel="1" x14ac:dyDescent="0.35">
      <c r="A201" s="6" t="s">
        <v>758</v>
      </c>
      <c r="B201" s="6">
        <f>'Results - raw data ReCiPe (H)'!CC173*$AC$169</f>
        <v>5082.9496481032038</v>
      </c>
      <c r="C201" s="6">
        <f>'Results - raw data ReCiPe (H)'!CD173*$AC$169</f>
        <v>4916.3224841084248</v>
      </c>
      <c r="D201" s="6">
        <f>'Results - raw data ReCiPe (H)'!CE173*$AC$169</f>
        <v>4750.4855801159019</v>
      </c>
      <c r="E201" s="6">
        <f>'Results - raw data ReCiPe (H)'!CF173*$AC$169</f>
        <v>4582.5142413266831</v>
      </c>
      <c r="F201" s="6">
        <f>'Results - raw data ReCiPe (H)'!CG173*$AC$169</f>
        <v>4418.2090014380865</v>
      </c>
      <c r="G201" s="6">
        <f>'Results - raw data ReCiPe (H)'!CH173*$AC$169</f>
        <v>4254.6419253980548</v>
      </c>
      <c r="H201" s="6">
        <f>'Results - raw data ReCiPe (H)'!CI173*$AC$169</f>
        <v>4124.9368954637075</v>
      </c>
      <c r="I201" s="6">
        <f>'Results - raw data ReCiPe (H)'!CJ173*$AC$169</f>
        <v>3995.7626131788752</v>
      </c>
      <c r="J201" s="6">
        <f>'Results - raw data ReCiPe (H)'!CK173*$AC$169</f>
        <v>3864.7196395613578</v>
      </c>
      <c r="K201" s="6">
        <f>'Results - raw data ReCiPe (H)'!CL173*$AC$169</f>
        <v>3736.2279447897663</v>
      </c>
      <c r="L201" s="6">
        <f>'Results - raw data ReCiPe (H)'!CM173*$AC$169</f>
        <v>3608.0175571905152</v>
      </c>
      <c r="M201" s="6">
        <f>'Results - raw data ReCiPe (H)'!CN173*$AC$169</f>
        <v>3504.7300074799091</v>
      </c>
      <c r="N201" s="6">
        <f>'Results - raw data ReCiPe (H)'!CO173*$AC$169</f>
        <v>3401.0888160982026</v>
      </c>
      <c r="O201" s="6">
        <f>'Results - raw data ReCiPe (H)'!CP173*$AC$169</f>
        <v>3296.6088200139266</v>
      </c>
      <c r="P201" s="6">
        <f>'Results - raw data ReCiPe (H)'!CQ173*$AC$169</f>
        <v>3192.272981002468</v>
      </c>
      <c r="Q201" s="6">
        <f>'Results - raw data ReCiPe (H)'!CR173*$AC$169</f>
        <v>3087.5943796480919</v>
      </c>
      <c r="R201" s="6">
        <f>'Results - raw data ReCiPe (H)'!CS173*$AC$169</f>
        <v>3030.646381777407</v>
      </c>
      <c r="S201" s="6">
        <f>'Results - raw data ReCiPe (H)'!CT173*$AC$169</f>
        <v>2973.5461646753311</v>
      </c>
      <c r="T201" s="6">
        <f>'Results - raw data ReCiPe (H)'!CU173*$AC$169</f>
        <v>2915.8794826243302</v>
      </c>
      <c r="U201" s="6">
        <f>'Results - raw data ReCiPe (H)'!CV173*$AC$169</f>
        <v>2858.4847086516688</v>
      </c>
      <c r="V201" s="6">
        <f>'Results - raw data ReCiPe (H)'!CW173*$AC$169</f>
        <v>2800.9628894299917</v>
      </c>
      <c r="W201" s="6">
        <f>'Results - raw data ReCiPe (H)'!CX173*$AC$169</f>
        <v>2780.5539312864921</v>
      </c>
      <c r="X201" s="6">
        <f>'Results - raw data ReCiPe (H)'!CY173*$AC$169</f>
        <v>2758.466432513691</v>
      </c>
      <c r="Y201" s="6">
        <f>'Results - raw data ReCiPe (H)'!CZ173*$AC$169</f>
        <v>2736.3737558613993</v>
      </c>
      <c r="Z201" s="6">
        <f>'Results - raw data ReCiPe (H)'!DA173*$AC$169</f>
        <v>2714.2739781852852</v>
      </c>
    </row>
    <row r="202" spans="1:53" outlineLevel="1" x14ac:dyDescent="0.35">
      <c r="A202" s="6" t="s">
        <v>759</v>
      </c>
      <c r="B202" s="6">
        <f>'Results - raw data ReCiPe (H)'!CC70</f>
        <v>0</v>
      </c>
      <c r="C202" s="6">
        <f>'Results - raw data ReCiPe (H)'!CD70</f>
        <v>0</v>
      </c>
      <c r="D202" s="6">
        <f>'Results - raw data ReCiPe (H)'!CE70</f>
        <v>0</v>
      </c>
      <c r="E202" s="6">
        <f>'Results - raw data ReCiPe (H)'!CF70</f>
        <v>0</v>
      </c>
      <c r="F202" s="6">
        <f>'Results - raw data ReCiPe (H)'!CG70</f>
        <v>0</v>
      </c>
      <c r="G202" s="6">
        <f>'Results - raw data ReCiPe (H)'!CH70</f>
        <v>0</v>
      </c>
      <c r="H202" s="6">
        <f>'Results - raw data ReCiPe (H)'!CI70</f>
        <v>0</v>
      </c>
      <c r="I202" s="6">
        <f>'Results - raw data ReCiPe (H)'!CJ70</f>
        <v>0</v>
      </c>
      <c r="J202" s="6">
        <f>'Results - raw data ReCiPe (H)'!CK70</f>
        <v>0</v>
      </c>
      <c r="K202" s="6">
        <f>'Results - raw data ReCiPe (H)'!CL70</f>
        <v>0</v>
      </c>
      <c r="L202" s="6">
        <f>'Results - raw data ReCiPe (H)'!CM70</f>
        <v>0</v>
      </c>
      <c r="M202" s="6">
        <f>'Results - raw data ReCiPe (H)'!CN70</f>
        <v>0</v>
      </c>
      <c r="N202" s="6">
        <f>'Results - raw data ReCiPe (H)'!CO70</f>
        <v>0</v>
      </c>
      <c r="O202" s="6">
        <f>'Results - raw data ReCiPe (H)'!CP70</f>
        <v>0</v>
      </c>
      <c r="P202" s="6">
        <f>'Results - raw data ReCiPe (H)'!CQ70</f>
        <v>0</v>
      </c>
      <c r="Q202" s="6">
        <f>'Results - raw data ReCiPe (H)'!CR70</f>
        <v>0</v>
      </c>
      <c r="R202" s="6">
        <f>'Results - raw data ReCiPe (H)'!CS70</f>
        <v>0</v>
      </c>
      <c r="S202" s="6">
        <f>'Results - raw data ReCiPe (H)'!CT70</f>
        <v>0</v>
      </c>
      <c r="T202" s="6">
        <f>'Results - raw data ReCiPe (H)'!CU70</f>
        <v>0</v>
      </c>
      <c r="U202" s="6">
        <f>'Results - raw data ReCiPe (H)'!CV70</f>
        <v>0</v>
      </c>
      <c r="V202" s="6">
        <f>'Results - raw data ReCiPe (H)'!CW70</f>
        <v>0</v>
      </c>
      <c r="W202" s="6">
        <f>'Results - raw data ReCiPe (H)'!CX70</f>
        <v>0</v>
      </c>
      <c r="X202" s="6">
        <f>'Results - raw data ReCiPe (H)'!CY70</f>
        <v>0</v>
      </c>
      <c r="Y202" s="6">
        <f>'Results - raw data ReCiPe (H)'!CZ70</f>
        <v>0</v>
      </c>
      <c r="Z202" s="6">
        <f>'Results - raw data ReCiPe (H)'!DA70</f>
        <v>0</v>
      </c>
    </row>
    <row r="203" spans="1:53" outlineLevel="1" x14ac:dyDescent="0.35">
      <c r="A203" s="6" t="s">
        <v>760</v>
      </c>
      <c r="B203" s="6">
        <f>150000*($AC$170*'Results - raw data ReCiPe (H)'!CC121+(1-'Results ReCiPe (H) - HHD'!$AC$170)*'Results - raw data ReCiPe (H)'!CC122)</f>
        <v>24627.814808356317</v>
      </c>
      <c r="C203" s="6">
        <f>150000*($AC$170*'Results - raw data ReCiPe (H)'!CD121+(1-'Results ReCiPe (H) - HHD'!$AC$170)*'Results - raw data ReCiPe (H)'!CD122)</f>
        <v>23007.574703896466</v>
      </c>
      <c r="D203" s="6">
        <f>150000*($AC$170*'Results - raw data ReCiPe (H)'!CE121+(1-'Results ReCiPe (H) - HHD'!$AC$170)*'Results - raw data ReCiPe (H)'!CE122)</f>
        <v>21387.85072454179</v>
      </c>
      <c r="E203" s="6">
        <f>150000*($AC$170*'Results - raw data ReCiPe (H)'!CF121+(1-'Results ReCiPe (H) - HHD'!$AC$170)*'Results - raw data ReCiPe (H)'!CF122)</f>
        <v>19738.878919805309</v>
      </c>
      <c r="F203" s="6">
        <f>150000*($AC$170*'Results - raw data ReCiPe (H)'!CG121+(1-'Results ReCiPe (H) - HHD'!$AC$170)*'Results - raw data ReCiPe (H)'!CG122)</f>
        <v>18119.795331705423</v>
      </c>
      <c r="G203" s="6">
        <f>150000*($AC$170*'Results - raw data ReCiPe (H)'!CH121+(1-'Results ReCiPe (H) - HHD'!$AC$170)*'Results - raw data ReCiPe (H)'!CH122)</f>
        <v>16500.781925507643</v>
      </c>
      <c r="H203" s="6">
        <f>150000*($AC$170*'Results - raw data ReCiPe (H)'!CI121+(1-'Results ReCiPe (H) - HHD'!$AC$170)*'Results - raw data ReCiPe (H)'!CI122)</f>
        <v>15206.746184268166</v>
      </c>
      <c r="I203" s="6">
        <f>150000*($AC$170*'Results - raw data ReCiPe (H)'!CJ121+(1-'Results ReCiPe (H) - HHD'!$AC$170)*'Results - raw data ReCiPe (H)'!CJ122)</f>
        <v>13916.397148752201</v>
      </c>
      <c r="J203" s="6">
        <f>150000*($AC$170*'Results - raw data ReCiPe (H)'!CK121+(1-'Results ReCiPe (H) - HHD'!$AC$170)*'Results - raw data ReCiPe (H)'!CK122)</f>
        <v>12604.873895513982</v>
      </c>
      <c r="K203" s="6">
        <f>150000*($AC$170*'Results - raw data ReCiPe (H)'!CL121+(1-'Results ReCiPe (H) - HHD'!$AC$170)*'Results - raw data ReCiPe (H)'!CL122)</f>
        <v>11316.529406602853</v>
      </c>
      <c r="L203" s="6">
        <f>150000*($AC$170*'Results - raw data ReCiPe (H)'!CM121+(1-'Results ReCiPe (H) - HHD'!$AC$170)*'Results - raw data ReCiPe (H)'!CM122)</f>
        <v>10028.310983538013</v>
      </c>
      <c r="M203" s="6">
        <f>150000*($AC$170*'Results - raw data ReCiPe (H)'!CN121+(1-'Results ReCiPe (H) - HHD'!$AC$170)*'Results - raw data ReCiPe (H)'!CN122)</f>
        <v>8990.5088123138648</v>
      </c>
      <c r="N203" s="6">
        <f>150000*($AC$170*'Results - raw data ReCiPe (H)'!CO121+(1-'Results ReCiPe (H) - HHD'!$AC$170)*'Results - raw data ReCiPe (H)'!CO122)</f>
        <v>7948.861731494726</v>
      </c>
      <c r="O203" s="6">
        <f>150000*($AC$170*'Results - raw data ReCiPe (H)'!CP121+(1-'Results ReCiPe (H) - HHD'!$AC$170)*'Results - raw data ReCiPe (H)'!CP122)</f>
        <v>6898.4647369356317</v>
      </c>
      <c r="P203" s="6">
        <f>150000*($AC$170*'Results - raw data ReCiPe (H)'!CQ121+(1-'Results ReCiPe (H) - HHD'!$AC$170)*'Results - raw data ReCiPe (H)'!CQ122)</f>
        <v>5849.3154489777635</v>
      </c>
      <c r="Q203" s="6">
        <f>150000*($AC$170*'Results - raw data ReCiPe (H)'!CR121+(1-'Results ReCiPe (H) - HHD'!$AC$170)*'Results - raw data ReCiPe (H)'!CR122)</f>
        <v>4796.5068628817398</v>
      </c>
      <c r="R203" s="6">
        <f>150000*($AC$170*'Results - raw data ReCiPe (H)'!CS121+(1-'Results ReCiPe (H) - HHD'!$AC$170)*'Results - raw data ReCiPe (H)'!CS122)</f>
        <v>4225.1533278487022</v>
      </c>
      <c r="S203" s="6">
        <f>150000*($AC$170*'Results - raw data ReCiPe (H)'!CT121+(1-'Results ReCiPe (H) - HHD'!$AC$170)*'Results - raw data ReCiPe (H)'!CT122)</f>
        <v>3653.9692003727459</v>
      </c>
      <c r="T203" s="6">
        <f>150000*($AC$170*'Results - raw data ReCiPe (H)'!CU121+(1-'Results ReCiPe (H) - HHD'!$AC$170)*'Results - raw data ReCiPe (H)'!CU122)</f>
        <v>3078.7515053568495</v>
      </c>
      <c r="U203" s="6">
        <f>150000*($AC$170*'Results - raw data ReCiPe (H)'!CV121+(1-'Results ReCiPe (H) - HHD'!$AC$170)*'Results - raw data ReCiPe (H)'!CV122)</f>
        <v>2508.1437076971797</v>
      </c>
      <c r="V203" s="6">
        <f>150000*($AC$170*'Results - raw data ReCiPe (H)'!CW121+(1-'Results ReCiPe (H) - HHD'!$AC$170)*'Results - raw data ReCiPe (H)'!CW122)</f>
        <v>1938.210334315145</v>
      </c>
      <c r="W203" s="6">
        <f>150000*($AC$170*'Results - raw data ReCiPe (H)'!CX121+(1-'Results ReCiPe (H) - HHD'!$AC$170)*'Results - raw data ReCiPe (H)'!CX122)</f>
        <v>1732.6538356380768</v>
      </c>
      <c r="X203" s="6">
        <f>150000*($AC$170*'Results - raw data ReCiPe (H)'!CY121+(1-'Results ReCiPe (H) - HHD'!$AC$170)*'Results - raw data ReCiPe (H)'!CY122)</f>
        <v>1509.3500111451742</v>
      </c>
      <c r="Y203" s="6">
        <f>150000*($AC$170*'Results - raw data ReCiPe (H)'!CZ121+(1-'Results ReCiPe (H) - HHD'!$AC$170)*'Results - raw data ReCiPe (H)'!CZ122)</f>
        <v>1285.3212344800988</v>
      </c>
      <c r="Z203" s="6">
        <f>150000*($AC$170*'Results - raw data ReCiPe (H)'!DA121+(1-'Results ReCiPe (H) - HHD'!$AC$170)*'Results - raw data ReCiPe (H)'!DA122)</f>
        <v>1060.5511180190729</v>
      </c>
    </row>
    <row r="204" spans="1:53" outlineLevel="1" x14ac:dyDescent="0.35">
      <c r="A204" s="23" t="s">
        <v>125</v>
      </c>
      <c r="B204" s="17">
        <f>SUM(B173:B203)</f>
        <v>68752.262962944747</v>
      </c>
      <c r="C204" s="17">
        <f t="shared" ref="C204:Z204" si="24">SUM(C173:C203)</f>
        <v>29061.957356445495</v>
      </c>
      <c r="D204" s="17">
        <f t="shared" si="24"/>
        <v>27266.049011267838</v>
      </c>
      <c r="E204" s="17">
        <f t="shared" si="24"/>
        <v>25433.611403713367</v>
      </c>
      <c r="F204" s="17">
        <f t="shared" si="24"/>
        <v>23639.728301618641</v>
      </c>
      <c r="G204" s="17">
        <f t="shared" si="24"/>
        <v>21846.563507356033</v>
      </c>
      <c r="H204" s="17">
        <f t="shared" si="24"/>
        <v>20408.602225860006</v>
      </c>
      <c r="I204" s="17">
        <f t="shared" si="24"/>
        <v>18974.890308748756</v>
      </c>
      <c r="J204" s="17">
        <f t="shared" si="24"/>
        <v>17515.065261467564</v>
      </c>
      <c r="K204" s="17">
        <f t="shared" si="24"/>
        <v>16084.043567427916</v>
      </c>
      <c r="L204" s="17">
        <f t="shared" si="24"/>
        <v>14653.383707264067</v>
      </c>
      <c r="M204" s="17">
        <f t="shared" si="24"/>
        <v>13492.437030176872</v>
      </c>
      <c r="N204" s="17">
        <f t="shared" si="24"/>
        <v>12327.399066046721</v>
      </c>
      <c r="O204" s="17">
        <f t="shared" si="24"/>
        <v>11152.004584918343</v>
      </c>
      <c r="P204" s="17">
        <f t="shared" si="24"/>
        <v>9978.9970400055972</v>
      </c>
      <c r="Q204" s="17">
        <f t="shared" si="24"/>
        <v>8802.0882697173183</v>
      </c>
      <c r="R204" s="17">
        <f t="shared" si="24"/>
        <v>8159.8950769457233</v>
      </c>
      <c r="S204" s="17">
        <f t="shared" si="24"/>
        <v>7517.8037490148536</v>
      </c>
      <c r="T204" s="17">
        <f t="shared" si="24"/>
        <v>6870.4947852587838</v>
      </c>
      <c r="U204" s="17">
        <f t="shared" si="24"/>
        <v>6228.8669058519436</v>
      </c>
      <c r="V204" s="17">
        <f t="shared" si="24"/>
        <v>5587.8687093308008</v>
      </c>
      <c r="W204" s="17">
        <f t="shared" si="24"/>
        <v>5359.5956830135428</v>
      </c>
      <c r="X204" s="17">
        <f t="shared" si="24"/>
        <v>5111.7352749048914</v>
      </c>
      <c r="Y204" s="17">
        <f t="shared" si="24"/>
        <v>4863.1633660915932</v>
      </c>
      <c r="Z204" s="17">
        <f t="shared" si="24"/>
        <v>5213.2063778404008</v>
      </c>
    </row>
    <row r="205" spans="1:53" outlineLevel="1" x14ac:dyDescent="0.35"/>
    <row r="206" spans="1:53" s="18" customFormat="1" ht="21" x14ac:dyDescent="0.5">
      <c r="A206" s="18" t="s">
        <v>94</v>
      </c>
    </row>
    <row r="207" spans="1:53" s="20" customFormat="1" outlineLevel="1" x14ac:dyDescent="0.35">
      <c r="A207" s="19" t="s">
        <v>766</v>
      </c>
    </row>
    <row r="208" spans="1:53" s="16" customFormat="1" outlineLevel="1" x14ac:dyDescent="0.35">
      <c r="A208" s="21"/>
      <c r="AB208" s="16" t="s">
        <v>801</v>
      </c>
      <c r="AC208" s="16">
        <v>1</v>
      </c>
      <c r="AD208" s="16" t="s">
        <v>146</v>
      </c>
      <c r="AE208" s="15"/>
    </row>
    <row r="209" spans="1:53" s="16" customFormat="1" outlineLevel="1" x14ac:dyDescent="0.35">
      <c r="A209" s="22" t="s">
        <v>566</v>
      </c>
      <c r="AC209" s="16">
        <f>AC208*1000</f>
        <v>1000</v>
      </c>
      <c r="AD209" s="16" t="s">
        <v>144</v>
      </c>
    </row>
    <row r="210" spans="1:53" s="16" customFormat="1" outlineLevel="1" x14ac:dyDescent="0.35">
      <c r="A210" s="22"/>
      <c r="AB210" s="16" t="s">
        <v>127</v>
      </c>
      <c r="AC210" s="16">
        <v>100</v>
      </c>
      <c r="AD210" s="16" t="s">
        <v>128</v>
      </c>
    </row>
    <row r="211" spans="1:53" s="16" customFormat="1" outlineLevel="1" x14ac:dyDescent="0.35">
      <c r="A211" s="230" t="s">
        <v>768</v>
      </c>
      <c r="AB211" s="16" t="s">
        <v>20</v>
      </c>
      <c r="AC211" s="16">
        <v>0.23</v>
      </c>
      <c r="AD211" s="16" t="s">
        <v>715</v>
      </c>
    </row>
    <row r="212" spans="1:53" s="16" customFormat="1" outlineLevel="1" x14ac:dyDescent="0.35">
      <c r="A212" s="22"/>
      <c r="AB212" s="16" t="s">
        <v>129</v>
      </c>
      <c r="AC212" s="16">
        <v>25</v>
      </c>
      <c r="AD212" s="16" t="s">
        <v>130</v>
      </c>
    </row>
    <row r="213" spans="1:53" outlineLevel="1" x14ac:dyDescent="0.35">
      <c r="B213" s="25">
        <v>2030</v>
      </c>
      <c r="C213" s="25">
        <v>2031</v>
      </c>
      <c r="D213" s="25">
        <v>2032</v>
      </c>
      <c r="E213" s="25">
        <v>2033</v>
      </c>
      <c r="F213" s="25">
        <v>2034</v>
      </c>
      <c r="G213" s="25">
        <v>2035</v>
      </c>
      <c r="H213" s="25">
        <v>2036</v>
      </c>
      <c r="I213" s="25">
        <v>2037</v>
      </c>
      <c r="J213" s="25">
        <v>2038</v>
      </c>
      <c r="K213" s="25">
        <v>2039</v>
      </c>
      <c r="L213" s="25">
        <v>2040</v>
      </c>
      <c r="M213" s="25">
        <v>2041</v>
      </c>
      <c r="N213" s="25">
        <v>2042</v>
      </c>
      <c r="O213" s="25">
        <v>2043</v>
      </c>
      <c r="P213" s="25">
        <v>2044</v>
      </c>
      <c r="Q213" s="25">
        <v>2045</v>
      </c>
      <c r="R213" s="25">
        <v>2046</v>
      </c>
      <c r="S213" s="25">
        <v>2047</v>
      </c>
      <c r="T213" s="25">
        <v>2048</v>
      </c>
      <c r="U213" s="25">
        <v>2049</v>
      </c>
      <c r="V213" s="25">
        <v>2050</v>
      </c>
      <c r="W213" s="25">
        <v>2051</v>
      </c>
      <c r="X213" s="25">
        <v>2052</v>
      </c>
      <c r="Y213" s="25">
        <v>2053</v>
      </c>
      <c r="Z213" s="25">
        <v>2054</v>
      </c>
      <c r="AC213" s="25">
        <v>2030</v>
      </c>
      <c r="AD213" s="25">
        <v>2031</v>
      </c>
      <c r="AE213" s="25">
        <v>2032</v>
      </c>
      <c r="AF213" s="25">
        <v>2033</v>
      </c>
      <c r="AG213" s="25">
        <v>2034</v>
      </c>
      <c r="AH213" s="25">
        <v>2035</v>
      </c>
      <c r="AI213" s="25">
        <v>2036</v>
      </c>
      <c r="AJ213" s="25">
        <v>2037</v>
      </c>
      <c r="AK213" s="25">
        <v>2038</v>
      </c>
      <c r="AL213" s="25">
        <v>2039</v>
      </c>
      <c r="AM213" s="25">
        <v>2040</v>
      </c>
      <c r="AN213" s="25">
        <v>2041</v>
      </c>
      <c r="AO213" s="25">
        <v>2042</v>
      </c>
      <c r="AP213" s="25">
        <v>2043</v>
      </c>
      <c r="AQ213" s="25">
        <v>2044</v>
      </c>
      <c r="AR213" s="25">
        <v>2045</v>
      </c>
      <c r="AS213" s="25">
        <v>2046</v>
      </c>
      <c r="AT213" s="25">
        <v>2047</v>
      </c>
      <c r="AU213" s="25">
        <v>2048</v>
      </c>
      <c r="AV213" s="25">
        <v>2049</v>
      </c>
      <c r="AW213" s="25">
        <v>2050</v>
      </c>
      <c r="AX213" s="25">
        <v>2051</v>
      </c>
      <c r="AY213" s="25">
        <v>2052</v>
      </c>
      <c r="AZ213" s="25">
        <v>2053</v>
      </c>
      <c r="BA213" s="25">
        <v>2054</v>
      </c>
    </row>
    <row r="214" spans="1:53" outlineLevel="1" x14ac:dyDescent="0.35">
      <c r="A214" s="6" t="s">
        <v>21</v>
      </c>
      <c r="B214" s="6">
        <f>'Results - raw data ReCiPe (H)'!CC77</f>
        <v>522.14630630241095</v>
      </c>
      <c r="AB214" s="6" t="s">
        <v>117</v>
      </c>
      <c r="AC214" s="6">
        <f>SUM(B214:B225)+B227</f>
        <v>27769.199509564176</v>
      </c>
    </row>
    <row r="215" spans="1:53" outlineLevel="1" x14ac:dyDescent="0.35">
      <c r="A215" s="6" t="s">
        <v>23</v>
      </c>
      <c r="B215" s="6">
        <f>'Results - raw data ReCiPe (H)'!CC78</f>
        <v>689.59917152625098</v>
      </c>
      <c r="AB215" s="6" t="s">
        <v>118</v>
      </c>
      <c r="AC215" s="6">
        <f>B226</f>
        <v>2030.6156444302903</v>
      </c>
    </row>
    <row r="216" spans="1:53" outlineLevel="1" x14ac:dyDescent="0.35">
      <c r="A216" s="6" t="s">
        <v>26</v>
      </c>
      <c r="B216" s="6">
        <f>'Results - raw data ReCiPe (H)'!CC79</f>
        <v>2299.7919129358629</v>
      </c>
      <c r="AB216" s="6" t="s">
        <v>119</v>
      </c>
      <c r="BA216" s="6">
        <f>SUM(Z228:Z239)</f>
        <v>506.10170544819584</v>
      </c>
    </row>
    <row r="217" spans="1:53" outlineLevel="1" x14ac:dyDescent="0.35">
      <c r="A217" s="6" t="s">
        <v>28</v>
      </c>
      <c r="B217" s="6">
        <f>'Results - raw data ReCiPe (H)'!CC80</f>
        <v>2048.7708155777868</v>
      </c>
      <c r="AB217" s="6" t="s">
        <v>120</v>
      </c>
      <c r="BA217" s="6">
        <f>Z240</f>
        <v>19.710037603247073</v>
      </c>
    </row>
    <row r="218" spans="1:53" outlineLevel="1" x14ac:dyDescent="0.35">
      <c r="A218" s="6" t="s">
        <v>29</v>
      </c>
      <c r="B218" s="6">
        <f>'Results - raw data ReCiPe (H)'!CC81</f>
        <v>1127.30474085434</v>
      </c>
      <c r="AB218" s="6" t="s">
        <v>121</v>
      </c>
      <c r="AC218" s="6">
        <f>B241</f>
        <v>960.18627888201729</v>
      </c>
      <c r="AF218" s="6">
        <f>E241</f>
        <v>894.9053469828998</v>
      </c>
      <c r="AI218" s="6">
        <f>H241</f>
        <v>847.74542197239737</v>
      </c>
      <c r="AL218" s="6">
        <f>K241</f>
        <v>829.74040861154253</v>
      </c>
      <c r="AO218" s="6">
        <f>N241</f>
        <v>821.41329377436136</v>
      </c>
      <c r="AR218" s="6">
        <f>Q241</f>
        <v>815.75248373031479</v>
      </c>
      <c r="AU218" s="6">
        <f>T241</f>
        <v>808.99669973300752</v>
      </c>
      <c r="AX218" s="6">
        <f>W241</f>
        <v>803.6131276705886</v>
      </c>
      <c r="BA218" s="6">
        <f>Z241</f>
        <v>799.02195316520056</v>
      </c>
    </row>
    <row r="219" spans="1:53" outlineLevel="1" x14ac:dyDescent="0.35">
      <c r="A219" s="6" t="s">
        <v>31</v>
      </c>
      <c r="B219" s="6">
        <f>'Results - raw data ReCiPe (H)'!CC82</f>
        <v>911.6428381501903</v>
      </c>
      <c r="AB219" s="6" t="s">
        <v>122</v>
      </c>
      <c r="AC219" s="6">
        <f>B244+B243</f>
        <v>11024.857156526728</v>
      </c>
      <c r="AD219" s="6">
        <f t="shared" ref="AD219:BA219" si="25">C244+C243</f>
        <v>9185.8782755909288</v>
      </c>
      <c r="AE219" s="6">
        <f t="shared" si="25"/>
        <v>7344.9844773557661</v>
      </c>
      <c r="AF219" s="6">
        <f t="shared" si="25"/>
        <v>5469.8500489065809</v>
      </c>
      <c r="AG219" s="6">
        <f t="shared" si="25"/>
        <v>3622.4073211066702</v>
      </c>
      <c r="AH219" s="6">
        <f t="shared" si="25"/>
        <v>1771.980395382936</v>
      </c>
      <c r="AI219" s="6">
        <f t="shared" si="25"/>
        <v>1327.699050118043</v>
      </c>
      <c r="AJ219" s="6">
        <f t="shared" si="25"/>
        <v>881.14390050608438</v>
      </c>
      <c r="AK219" s="6">
        <f t="shared" si="25"/>
        <v>405.27841188045232</v>
      </c>
      <c r="AL219" s="6">
        <f t="shared" si="25"/>
        <v>-46.667982551286791</v>
      </c>
      <c r="AM219" s="6">
        <f t="shared" si="25"/>
        <v>-500.9368146306947</v>
      </c>
      <c r="AN219" s="6">
        <f t="shared" si="25"/>
        <v>-723.35272473267014</v>
      </c>
      <c r="AO219" s="6">
        <f t="shared" si="25"/>
        <v>-945.12137292297871</v>
      </c>
      <c r="AP219" s="6">
        <f t="shared" si="25"/>
        <v>-1171.4854932803871</v>
      </c>
      <c r="AQ219" s="6">
        <f t="shared" si="25"/>
        <v>-1392.0118316093128</v>
      </c>
      <c r="AR219" s="6">
        <f t="shared" si="25"/>
        <v>-1612.0752359330575</v>
      </c>
      <c r="AS219" s="6">
        <f t="shared" si="25"/>
        <v>-2058.2850638112991</v>
      </c>
      <c r="AT219" s="6">
        <f t="shared" si="25"/>
        <v>-2501.0095170393915</v>
      </c>
      <c r="AU219" s="6">
        <f t="shared" si="25"/>
        <v>-2943.8993456864819</v>
      </c>
      <c r="AV219" s="6">
        <f t="shared" si="25"/>
        <v>-3379.513237691961</v>
      </c>
      <c r="AW219" s="6">
        <f t="shared" si="25"/>
        <v>-3811.3481027277517</v>
      </c>
      <c r="AX219" s="6">
        <f t="shared" si="25"/>
        <v>-4209.4254679884725</v>
      </c>
      <c r="AY219" s="6">
        <f t="shared" si="25"/>
        <v>-4618.9651469212013</v>
      </c>
      <c r="AZ219" s="6">
        <f t="shared" si="25"/>
        <v>-5029.5958992950982</v>
      </c>
      <c r="BA219" s="6">
        <f t="shared" si="25"/>
        <v>-5441.3343575957424</v>
      </c>
    </row>
    <row r="220" spans="1:53" outlineLevel="1" x14ac:dyDescent="0.35">
      <c r="A220" s="6" t="s">
        <v>34</v>
      </c>
      <c r="B220" s="6">
        <f>'Results - raw data ReCiPe (H)'!CC83</f>
        <v>536.54433466923933</v>
      </c>
      <c r="AB220" s="6" t="s">
        <v>123</v>
      </c>
      <c r="AC220" s="6">
        <f>B242</f>
        <v>3712.408439443378</v>
      </c>
      <c r="AD220" s="6">
        <f t="shared" ref="AD220:BA220" si="26">C242</f>
        <v>3526.2773559158936</v>
      </c>
      <c r="AE220" s="6">
        <f t="shared" si="26"/>
        <v>3341.18191860057</v>
      </c>
      <c r="AF220" s="6">
        <f t="shared" si="26"/>
        <v>3153.966657982236</v>
      </c>
      <c r="AG220" s="6">
        <f t="shared" si="26"/>
        <v>2970.690267430004</v>
      </c>
      <c r="AH220" s="6">
        <f t="shared" si="26"/>
        <v>2788.3271780459909</v>
      </c>
      <c r="AI220" s="6">
        <f t="shared" si="26"/>
        <v>2744.853495960997</v>
      </c>
      <c r="AJ220" s="6">
        <f t="shared" si="26"/>
        <v>2701.3326372481342</v>
      </c>
      <c r="AK220" s="6">
        <f t="shared" si="26"/>
        <v>2655.1288900553741</v>
      </c>
      <c r="AL220" s="6">
        <f t="shared" si="26"/>
        <v>2611.4422845987428</v>
      </c>
      <c r="AM220" s="6">
        <f t="shared" si="26"/>
        <v>2567.704765903844</v>
      </c>
      <c r="AN220" s="6">
        <f t="shared" si="26"/>
        <v>2545.8775717711228</v>
      </c>
      <c r="AO220" s="6">
        <f t="shared" si="26"/>
        <v>2524.0774887505668</v>
      </c>
      <c r="AP220" s="6">
        <f t="shared" si="26"/>
        <v>2501.7966036621151</v>
      </c>
      <c r="AQ220" s="6">
        <f t="shared" si="26"/>
        <v>2480.053928005203</v>
      </c>
      <c r="AR220" s="6">
        <f t="shared" si="26"/>
        <v>2458.3247864058731</v>
      </c>
      <c r="AS220" s="6">
        <f t="shared" si="26"/>
        <v>2412.9285481637648</v>
      </c>
      <c r="AT220" s="6">
        <f t="shared" si="26"/>
        <v>2367.4717232131161</v>
      </c>
      <c r="AU220" s="6">
        <f t="shared" si="26"/>
        <v>2321.6018302930979</v>
      </c>
      <c r="AV220" s="6">
        <f t="shared" si="26"/>
        <v>2276.0516793893294</v>
      </c>
      <c r="AW220" s="6">
        <f t="shared" si="26"/>
        <v>2230.4710923836169</v>
      </c>
      <c r="AX220" s="6">
        <f t="shared" si="26"/>
        <v>2191.7926589342869</v>
      </c>
      <c r="AY220" s="6">
        <f t="shared" si="26"/>
        <v>2152.0925156001367</v>
      </c>
      <c r="AZ220" s="6">
        <f t="shared" si="26"/>
        <v>2112.4032924654739</v>
      </c>
      <c r="BA220" s="6">
        <f t="shared" si="26"/>
        <v>2072.7234532648681</v>
      </c>
    </row>
    <row r="221" spans="1:53" outlineLevel="1" x14ac:dyDescent="0.35">
      <c r="A221" s="6" t="s">
        <v>36</v>
      </c>
      <c r="B221" s="6">
        <f>'Results - raw data ReCiPe (H)'!CC84</f>
        <v>423.50186488159068</v>
      </c>
      <c r="AB221" s="6" t="s">
        <v>124</v>
      </c>
      <c r="AC221" s="6">
        <f>-$AC$7*$AC$6</f>
        <v>-100000</v>
      </c>
      <c r="AD221" s="6">
        <f t="shared" ref="AD221:BA221" si="27">-$AC$7*$AC$6</f>
        <v>-100000</v>
      </c>
      <c r="AE221" s="6">
        <f t="shared" si="27"/>
        <v>-100000</v>
      </c>
      <c r="AF221" s="6">
        <f t="shared" si="27"/>
        <v>-100000</v>
      </c>
      <c r="AG221" s="6">
        <f t="shared" si="27"/>
        <v>-100000</v>
      </c>
      <c r="AH221" s="6">
        <f t="shared" si="27"/>
        <v>-100000</v>
      </c>
      <c r="AI221" s="6">
        <f t="shared" si="27"/>
        <v>-100000</v>
      </c>
      <c r="AJ221" s="6">
        <f t="shared" si="27"/>
        <v>-100000</v>
      </c>
      <c r="AK221" s="6">
        <f t="shared" si="27"/>
        <v>-100000</v>
      </c>
      <c r="AL221" s="6">
        <f t="shared" si="27"/>
        <v>-100000</v>
      </c>
      <c r="AM221" s="6">
        <f t="shared" si="27"/>
        <v>-100000</v>
      </c>
      <c r="AN221" s="6">
        <f t="shared" si="27"/>
        <v>-100000</v>
      </c>
      <c r="AO221" s="6">
        <f t="shared" si="27"/>
        <v>-100000</v>
      </c>
      <c r="AP221" s="6">
        <f t="shared" si="27"/>
        <v>-100000</v>
      </c>
      <c r="AQ221" s="6">
        <f t="shared" si="27"/>
        <v>-100000</v>
      </c>
      <c r="AR221" s="6">
        <f t="shared" si="27"/>
        <v>-100000</v>
      </c>
      <c r="AS221" s="6">
        <f t="shared" si="27"/>
        <v>-100000</v>
      </c>
      <c r="AT221" s="6">
        <f t="shared" si="27"/>
        <v>-100000</v>
      </c>
      <c r="AU221" s="6">
        <f t="shared" si="27"/>
        <v>-100000</v>
      </c>
      <c r="AV221" s="6">
        <f t="shared" si="27"/>
        <v>-100000</v>
      </c>
      <c r="AW221" s="6">
        <f t="shared" si="27"/>
        <v>-100000</v>
      </c>
      <c r="AX221" s="6">
        <f t="shared" si="27"/>
        <v>-100000</v>
      </c>
      <c r="AY221" s="6">
        <f t="shared" si="27"/>
        <v>-100000</v>
      </c>
      <c r="AZ221" s="6">
        <f t="shared" si="27"/>
        <v>-100000</v>
      </c>
      <c r="BA221" s="6">
        <f t="shared" si="27"/>
        <v>-100000</v>
      </c>
    </row>
    <row r="222" spans="1:53" outlineLevel="1" x14ac:dyDescent="0.35">
      <c r="A222" s="6" t="s">
        <v>38</v>
      </c>
      <c r="B222" s="6">
        <f>'Results - raw data ReCiPe (H)'!CC85</f>
        <v>4620.2212963694537</v>
      </c>
      <c r="AB222" s="23" t="s">
        <v>125</v>
      </c>
      <c r="AC222" s="17">
        <f>SUM(AC214:AC221)</f>
        <v>-54502.732971153404</v>
      </c>
      <c r="AD222" s="17">
        <f t="shared" ref="AD222:BA222" si="28">SUM(AD214:AD221)</f>
        <v>-87287.844368493184</v>
      </c>
      <c r="AE222" s="17">
        <f t="shared" si="28"/>
        <v>-89313.83360404367</v>
      </c>
      <c r="AF222" s="17">
        <f t="shared" si="28"/>
        <v>-90481.277946128277</v>
      </c>
      <c r="AG222" s="17">
        <f t="shared" si="28"/>
        <v>-93406.902411463321</v>
      </c>
      <c r="AH222" s="17">
        <f t="shared" si="28"/>
        <v>-95439.69242657107</v>
      </c>
      <c r="AI222" s="17">
        <f t="shared" si="28"/>
        <v>-95079.70203194856</v>
      </c>
      <c r="AJ222" s="17">
        <f t="shared" si="28"/>
        <v>-96417.523462245779</v>
      </c>
      <c r="AK222" s="17">
        <f t="shared" si="28"/>
        <v>-96939.592698064167</v>
      </c>
      <c r="AL222" s="17">
        <f t="shared" si="28"/>
        <v>-96605.485289340999</v>
      </c>
      <c r="AM222" s="17">
        <f t="shared" si="28"/>
        <v>-97933.232048726844</v>
      </c>
      <c r="AN222" s="17">
        <f t="shared" si="28"/>
        <v>-98177.475152961546</v>
      </c>
      <c r="AO222" s="17">
        <f t="shared" si="28"/>
        <v>-97599.630590398054</v>
      </c>
      <c r="AP222" s="17">
        <f t="shared" si="28"/>
        <v>-98669.688889618279</v>
      </c>
      <c r="AQ222" s="17">
        <f t="shared" si="28"/>
        <v>-98911.95790360411</v>
      </c>
      <c r="AR222" s="17">
        <f t="shared" si="28"/>
        <v>-98337.997965796865</v>
      </c>
      <c r="AS222" s="17">
        <f t="shared" si="28"/>
        <v>-99645.356515647538</v>
      </c>
      <c r="AT222" s="17">
        <f t="shared" si="28"/>
        <v>-100133.53779382628</v>
      </c>
      <c r="AU222" s="17">
        <f t="shared" si="28"/>
        <v>-99813.300815660376</v>
      </c>
      <c r="AV222" s="17">
        <f t="shared" si="28"/>
        <v>-101103.46155830263</v>
      </c>
      <c r="AW222" s="17">
        <f t="shared" si="28"/>
        <v>-101580.87701034413</v>
      </c>
      <c r="AX222" s="17">
        <f t="shared" si="28"/>
        <v>-101214.01968138359</v>
      </c>
      <c r="AY222" s="17">
        <f t="shared" si="28"/>
        <v>-102466.87263132106</v>
      </c>
      <c r="AZ222" s="17">
        <f t="shared" si="28"/>
        <v>-102917.19260682963</v>
      </c>
      <c r="BA222" s="17">
        <f t="shared" si="28"/>
        <v>-102043.77720811423</v>
      </c>
    </row>
    <row r="223" spans="1:53" outlineLevel="1" x14ac:dyDescent="0.35">
      <c r="A223" s="6" t="s">
        <v>39</v>
      </c>
      <c r="B223" s="6">
        <f>'Results - raw data ReCiPe (H)'!CC86</f>
        <v>5739.6171857742838</v>
      </c>
    </row>
    <row r="224" spans="1:53" outlineLevel="1" x14ac:dyDescent="0.35">
      <c r="A224" s="6" t="s">
        <v>41</v>
      </c>
      <c r="B224" s="6">
        <f>'Results - raw data ReCiPe (H)'!CC87</f>
        <v>135.80998010115019</v>
      </c>
    </row>
    <row r="225" spans="1:53" outlineLevel="1" x14ac:dyDescent="0.35">
      <c r="A225" s="6" t="s">
        <v>43</v>
      </c>
      <c r="B225" s="6">
        <f>'Results - raw data ReCiPe (H)'!CC88</f>
        <v>495.26793776870988</v>
      </c>
      <c r="AB225" s="282"/>
      <c r="AC225" s="282"/>
      <c r="AD225" s="282"/>
      <c r="AE225" s="282"/>
      <c r="AF225" s="282"/>
      <c r="AG225" s="282"/>
      <c r="AH225" s="282"/>
      <c r="AI225" s="282"/>
      <c r="AJ225" s="282"/>
      <c r="AK225" s="282"/>
      <c r="AL225" s="282"/>
      <c r="AM225" s="282"/>
      <c r="AN225" s="282"/>
      <c r="AO225" s="282"/>
      <c r="AP225" s="282"/>
      <c r="AQ225" s="282"/>
      <c r="AR225" s="282"/>
      <c r="AS225" s="282"/>
      <c r="AT225" s="282"/>
      <c r="AU225" s="282"/>
      <c r="AV225" s="282"/>
      <c r="AW225" s="282"/>
      <c r="AX225" s="282"/>
      <c r="AY225" s="282"/>
      <c r="AZ225" s="282"/>
      <c r="BA225" s="282"/>
    </row>
    <row r="226" spans="1:53" outlineLevel="1" x14ac:dyDescent="0.35">
      <c r="A226" s="6" t="s">
        <v>44</v>
      </c>
      <c r="B226" s="6">
        <f>'Results - raw data ReCiPe (H)'!CC89*AC210*AC212</f>
        <v>2030.6156444302903</v>
      </c>
      <c r="AB226" s="282"/>
      <c r="AC226" s="282"/>
      <c r="AD226" s="282"/>
      <c r="AE226" s="282"/>
      <c r="AF226" s="282"/>
      <c r="AG226" s="282"/>
      <c r="AH226" s="282"/>
      <c r="AI226" s="282"/>
      <c r="AJ226" s="282"/>
      <c r="AK226" s="282"/>
      <c r="AL226" s="282"/>
      <c r="AM226" s="282"/>
      <c r="AN226" s="282"/>
      <c r="AO226" s="282"/>
      <c r="AP226" s="282"/>
      <c r="AQ226" s="282"/>
      <c r="AR226" s="282"/>
      <c r="AS226" s="282"/>
      <c r="AT226" s="282"/>
      <c r="AU226" s="282"/>
      <c r="AV226" s="282"/>
      <c r="AW226" s="282"/>
      <c r="AX226" s="282"/>
      <c r="AY226" s="282"/>
      <c r="AZ226" s="282"/>
      <c r="BA226" s="282"/>
    </row>
    <row r="227" spans="1:53" outlineLevel="1" x14ac:dyDescent="0.35">
      <c r="A227" s="6" t="s">
        <v>757</v>
      </c>
      <c r="B227" s="6">
        <f>'Results - raw data ReCiPe (H)'!CC90*AC210*AC212</f>
        <v>8218.9811246529116</v>
      </c>
      <c r="AB227" s="282"/>
      <c r="AC227" s="282"/>
      <c r="AD227" s="282"/>
      <c r="AE227" s="282"/>
      <c r="AF227" s="282"/>
      <c r="AG227" s="282"/>
      <c r="AH227" s="282"/>
      <c r="AI227" s="282"/>
      <c r="AJ227" s="282"/>
      <c r="AK227" s="282"/>
      <c r="AL227" s="282"/>
      <c r="AM227" s="282"/>
      <c r="AN227" s="282"/>
      <c r="AO227" s="282"/>
      <c r="AP227" s="282"/>
      <c r="AQ227" s="282"/>
      <c r="AR227" s="282"/>
      <c r="AS227" s="282"/>
      <c r="AT227" s="282"/>
      <c r="AU227" s="282"/>
      <c r="AV227" s="282"/>
      <c r="AW227" s="282"/>
      <c r="AX227" s="282"/>
      <c r="AY227" s="282"/>
      <c r="AZ227" s="282"/>
      <c r="BA227" s="282"/>
    </row>
    <row r="228" spans="1:53" outlineLevel="1" x14ac:dyDescent="0.35">
      <c r="A228" s="6" t="s">
        <v>22</v>
      </c>
      <c r="Z228" s="6">
        <f>'Results - raw data ReCiPe (H)'!DA91</f>
        <v>17.50501830102143</v>
      </c>
      <c r="AB228" s="282"/>
      <c r="AC228" s="282"/>
      <c r="AD228" s="282"/>
      <c r="AE228" s="282"/>
      <c r="AF228" s="282"/>
      <c r="AG228" s="282"/>
      <c r="AH228" s="282"/>
      <c r="AI228" s="282"/>
      <c r="AJ228" s="282"/>
      <c r="AK228" s="282"/>
      <c r="AL228" s="282"/>
      <c r="AM228" s="282"/>
      <c r="AN228" s="282"/>
      <c r="AO228" s="282"/>
      <c r="AP228" s="282"/>
      <c r="AQ228" s="282"/>
      <c r="AR228" s="282"/>
      <c r="AS228" s="282"/>
      <c r="AT228" s="282"/>
      <c r="AU228" s="282"/>
      <c r="AV228" s="282"/>
      <c r="AW228" s="282"/>
      <c r="AX228" s="282"/>
      <c r="AY228" s="282"/>
      <c r="AZ228" s="282"/>
      <c r="BA228" s="282"/>
    </row>
    <row r="229" spans="1:53" outlineLevel="1" x14ac:dyDescent="0.35">
      <c r="A229" s="6" t="s">
        <v>24</v>
      </c>
      <c r="Z229" s="6">
        <f>'Results - raw data ReCiPe (H)'!DA92</f>
        <v>6.1394952400305867</v>
      </c>
      <c r="AB229" s="282"/>
      <c r="AC229" s="282"/>
      <c r="AD229" s="282"/>
      <c r="AE229" s="282"/>
      <c r="AF229" s="282"/>
      <c r="AG229" s="282"/>
      <c r="AH229" s="282"/>
      <c r="AI229" s="282"/>
      <c r="AJ229" s="282"/>
      <c r="AK229" s="282"/>
      <c r="AL229" s="282"/>
      <c r="AM229" s="282"/>
      <c r="AN229" s="282"/>
      <c r="AO229" s="282"/>
      <c r="AP229" s="282"/>
      <c r="AQ229" s="282"/>
      <c r="AR229" s="282"/>
      <c r="AS229" s="282"/>
      <c r="AT229" s="282"/>
      <c r="AU229" s="282"/>
      <c r="AV229" s="282"/>
      <c r="AW229" s="282"/>
      <c r="AX229" s="282"/>
      <c r="AY229" s="282"/>
      <c r="AZ229" s="282"/>
      <c r="BA229" s="282"/>
    </row>
    <row r="230" spans="1:53" outlineLevel="1" x14ac:dyDescent="0.35">
      <c r="A230" s="6" t="s">
        <v>25</v>
      </c>
      <c r="Z230" s="6">
        <f>'Results - raw data ReCiPe (H)'!DA93</f>
        <v>18.736491486506349</v>
      </c>
      <c r="AB230" s="282"/>
      <c r="AC230" s="282"/>
      <c r="AD230" s="282"/>
      <c r="AE230" s="282"/>
      <c r="AF230" s="282"/>
      <c r="AG230" s="282"/>
      <c r="AH230" s="282"/>
      <c r="AI230" s="282"/>
      <c r="AJ230" s="282"/>
      <c r="AK230" s="282"/>
      <c r="AL230" s="282"/>
      <c r="AM230" s="282"/>
      <c r="AN230" s="282"/>
      <c r="AO230" s="282"/>
      <c r="AP230" s="282"/>
      <c r="AQ230" s="282"/>
      <c r="AR230" s="282"/>
      <c r="AS230" s="282"/>
      <c r="AT230" s="282"/>
      <c r="AU230" s="282"/>
      <c r="AV230" s="282"/>
      <c r="AW230" s="282"/>
      <c r="AX230" s="282"/>
      <c r="AY230" s="282"/>
      <c r="AZ230" s="282"/>
      <c r="BA230" s="282"/>
    </row>
    <row r="231" spans="1:53" outlineLevel="1" x14ac:dyDescent="0.35">
      <c r="A231" s="6" t="s">
        <v>27</v>
      </c>
      <c r="Z231" s="6">
        <f>'Results - raw data ReCiPe (H)'!DA94</f>
        <v>5.4960509125157726</v>
      </c>
      <c r="AB231" s="282"/>
      <c r="AC231" s="282"/>
      <c r="AD231" s="282"/>
      <c r="AE231" s="282"/>
      <c r="AF231" s="282"/>
      <c r="AG231" s="282"/>
      <c r="AH231" s="282"/>
      <c r="AI231" s="282"/>
      <c r="AJ231" s="282"/>
      <c r="AK231" s="282"/>
      <c r="AL231" s="282"/>
      <c r="AM231" s="282"/>
      <c r="AN231" s="282"/>
      <c r="AO231" s="282"/>
      <c r="AP231" s="282"/>
      <c r="AQ231" s="282"/>
      <c r="AR231" s="282"/>
      <c r="AS231" s="282"/>
      <c r="AT231" s="282"/>
      <c r="AU231" s="282"/>
      <c r="AV231" s="282"/>
      <c r="AW231" s="282"/>
      <c r="AX231" s="282"/>
      <c r="AY231" s="282"/>
      <c r="AZ231" s="282"/>
      <c r="BA231" s="282"/>
    </row>
    <row r="232" spans="1:53" outlineLevel="1" x14ac:dyDescent="0.35">
      <c r="A232" s="6" t="s">
        <v>30</v>
      </c>
      <c r="Z232" s="6">
        <f>'Results - raw data ReCiPe (H)'!DA95</f>
        <v>22.839582996658049</v>
      </c>
      <c r="AB232" s="282"/>
      <c r="AC232" s="282"/>
      <c r="AD232" s="282"/>
      <c r="AE232" s="282"/>
      <c r="AF232" s="282"/>
      <c r="AG232" s="282"/>
      <c r="AH232" s="282"/>
      <c r="AI232" s="282"/>
      <c r="AJ232" s="282"/>
      <c r="AK232" s="282"/>
      <c r="AL232" s="282"/>
      <c r="AM232" s="282"/>
      <c r="AN232" s="282"/>
      <c r="AO232" s="282"/>
      <c r="AP232" s="282"/>
      <c r="AQ232" s="282"/>
      <c r="AR232" s="282"/>
      <c r="AS232" s="282"/>
      <c r="AT232" s="282"/>
      <c r="AU232" s="282"/>
      <c r="AV232" s="282"/>
      <c r="AW232" s="282"/>
      <c r="AX232" s="282"/>
      <c r="AY232" s="282"/>
      <c r="AZ232" s="282"/>
      <c r="BA232" s="282"/>
    </row>
    <row r="233" spans="1:53" outlineLevel="1" x14ac:dyDescent="0.35">
      <c r="A233" s="6" t="s">
        <v>32</v>
      </c>
      <c r="Z233" s="6">
        <f>'Results - raw data ReCiPe (H)'!DA96</f>
        <v>0.53723365181465099</v>
      </c>
      <c r="AB233" s="282"/>
      <c r="AC233" s="282"/>
      <c r="AD233" s="282"/>
      <c r="AE233" s="282"/>
      <c r="AF233" s="282"/>
      <c r="AG233" s="282"/>
      <c r="AH233" s="282"/>
      <c r="AI233" s="282"/>
      <c r="AJ233" s="282"/>
      <c r="AK233" s="282"/>
      <c r="AL233" s="282"/>
      <c r="AM233" s="282"/>
      <c r="AN233" s="282"/>
      <c r="AO233" s="282"/>
      <c r="AP233" s="282"/>
      <c r="AQ233" s="282"/>
      <c r="AR233" s="282"/>
      <c r="AS233" s="282"/>
      <c r="AT233" s="282"/>
      <c r="AU233" s="282"/>
      <c r="AV233" s="282"/>
      <c r="AW233" s="282"/>
      <c r="AX233" s="282"/>
      <c r="AY233" s="282"/>
      <c r="AZ233" s="282"/>
      <c r="BA233" s="282"/>
    </row>
    <row r="234" spans="1:53" outlineLevel="1" x14ac:dyDescent="0.35">
      <c r="A234" s="6" t="s">
        <v>33</v>
      </c>
      <c r="Z234" s="6">
        <f>'Results - raw data ReCiPe (H)'!DA97</f>
        <v>5.4165037330899706</v>
      </c>
      <c r="AB234" s="282"/>
      <c r="AC234" s="282"/>
      <c r="AD234" s="282"/>
      <c r="AE234" s="282"/>
      <c r="AF234" s="282"/>
      <c r="AG234" s="282"/>
      <c r="AH234" s="282"/>
      <c r="AI234" s="282"/>
      <c r="AJ234" s="282"/>
      <c r="AK234" s="282"/>
      <c r="AL234" s="282"/>
      <c r="AM234" s="282"/>
      <c r="AN234" s="282"/>
      <c r="AO234" s="282"/>
      <c r="AP234" s="282"/>
      <c r="AQ234" s="282"/>
      <c r="AR234" s="282"/>
      <c r="AS234" s="282"/>
      <c r="AT234" s="282"/>
      <c r="AU234" s="282"/>
      <c r="AV234" s="282"/>
      <c r="AW234" s="282"/>
      <c r="AX234" s="282"/>
      <c r="AY234" s="282"/>
      <c r="AZ234" s="282"/>
      <c r="BA234" s="282"/>
    </row>
    <row r="235" spans="1:53" outlineLevel="1" x14ac:dyDescent="0.35">
      <c r="A235" s="6" t="s">
        <v>35</v>
      </c>
      <c r="Z235" s="6">
        <f>'Results - raw data ReCiPe (H)'!DA98</f>
        <v>10.833007466179939</v>
      </c>
      <c r="AB235" s="282"/>
      <c r="AC235" s="282"/>
      <c r="AD235" s="282"/>
      <c r="AE235" s="282"/>
      <c r="AF235" s="282"/>
      <c r="AG235" s="282"/>
      <c r="AH235" s="282"/>
      <c r="AI235" s="282"/>
      <c r="AJ235" s="282"/>
      <c r="AK235" s="282"/>
      <c r="AL235" s="282"/>
      <c r="AM235" s="282"/>
      <c r="AN235" s="282"/>
      <c r="AO235" s="282"/>
      <c r="AP235" s="282"/>
      <c r="AQ235" s="282"/>
      <c r="AR235" s="282"/>
      <c r="AS235" s="282"/>
      <c r="AT235" s="282"/>
      <c r="AU235" s="282"/>
      <c r="AV235" s="282"/>
      <c r="AW235" s="282"/>
      <c r="AX235" s="282"/>
      <c r="AY235" s="282"/>
      <c r="AZ235" s="282"/>
      <c r="BA235" s="282"/>
    </row>
    <row r="236" spans="1:53" outlineLevel="1" x14ac:dyDescent="0.35">
      <c r="A236" s="6" t="s">
        <v>37</v>
      </c>
      <c r="Z236" s="6">
        <f>'Results - raw data ReCiPe (H)'!DA99</f>
        <v>8.5312997818991647</v>
      </c>
      <c r="AB236" s="282"/>
      <c r="AC236" s="282"/>
      <c r="AD236" s="282"/>
      <c r="AE236" s="282"/>
      <c r="AF236" s="282"/>
      <c r="AG236" s="282"/>
      <c r="AH236" s="282"/>
      <c r="AI236" s="282"/>
      <c r="AJ236" s="282"/>
      <c r="AK236" s="282"/>
      <c r="AL236" s="282"/>
      <c r="AM236" s="282"/>
      <c r="AN236" s="282"/>
      <c r="AO236" s="282"/>
      <c r="AP236" s="282"/>
      <c r="AQ236" s="282"/>
      <c r="AR236" s="282"/>
      <c r="AS236" s="282"/>
      <c r="AT236" s="282"/>
      <c r="AU236" s="282"/>
      <c r="AV236" s="282"/>
      <c r="AW236" s="282"/>
      <c r="AX236" s="282"/>
      <c r="AY236" s="282"/>
      <c r="AZ236" s="282"/>
      <c r="BA236" s="282"/>
    </row>
    <row r="237" spans="1:53" outlineLevel="1" x14ac:dyDescent="0.35">
      <c r="A237" s="6" t="s">
        <v>40</v>
      </c>
      <c r="Z237" s="6">
        <f>'Results - raw data ReCiPe (H)'!DA100</f>
        <v>276.98759875301192</v>
      </c>
    </row>
    <row r="238" spans="1:53" outlineLevel="1" x14ac:dyDescent="0.35">
      <c r="A238" s="6" t="s">
        <v>42</v>
      </c>
      <c r="Z238" s="6">
        <f>'Results - raw data ReCiPe (H)'!DA101</f>
        <v>21.184388048874229</v>
      </c>
    </row>
    <row r="239" spans="1:53" outlineLevel="1" x14ac:dyDescent="0.35">
      <c r="A239" s="6" t="s">
        <v>115</v>
      </c>
      <c r="Z239" s="6">
        <f>'Results - raw data ReCiPe (H)'!DA102</f>
        <v>111.8950350765938</v>
      </c>
    </row>
    <row r="240" spans="1:53" outlineLevel="1" x14ac:dyDescent="0.35">
      <c r="A240" s="6" t="s">
        <v>45</v>
      </c>
      <c r="Z240" s="6">
        <f>'Results - raw data ReCiPe (H)'!DA103*AC210*AC212</f>
        <v>19.710037603247073</v>
      </c>
    </row>
    <row r="241" spans="1:26" outlineLevel="1" x14ac:dyDescent="0.35">
      <c r="A241" s="6" t="s">
        <v>116</v>
      </c>
      <c r="B241" s="6">
        <f>'Results - raw data ReCiPe (H)'!CC104</f>
        <v>960.18627888201729</v>
      </c>
      <c r="C241" s="6">
        <f>'Results - raw data ReCiPe (H)'!CD104</f>
        <v>940.20848272169962</v>
      </c>
      <c r="D241" s="6">
        <f>'Results - raw data ReCiPe (H)'!CE104</f>
        <v>919.97849385793086</v>
      </c>
      <c r="E241" s="6">
        <f>'Results - raw data ReCiPe (H)'!CF104</f>
        <v>894.9053469828998</v>
      </c>
      <c r="F241" s="6">
        <f>'Results - raw data ReCiPe (H)'!CG104</f>
        <v>874.14560255740878</v>
      </c>
      <c r="G241" s="6">
        <f>'Results - raw data ReCiPe (H)'!CH104</f>
        <v>853.02566083551835</v>
      </c>
      <c r="H241" s="6">
        <f>'Results - raw data ReCiPe (H)'!CI104</f>
        <v>847.74542197239737</v>
      </c>
      <c r="I241" s="6">
        <f>'Results - raw data ReCiPe (H)'!CJ104</f>
        <v>842.52429825235538</v>
      </c>
      <c r="J241" s="6">
        <f>'Results - raw data ReCiPe (H)'!CK104</f>
        <v>834.79260296691643</v>
      </c>
      <c r="K241" s="6">
        <f>'Results - raw data ReCiPe (H)'!CL104</f>
        <v>829.74040861154253</v>
      </c>
      <c r="L241" s="6">
        <f>'Results - raw data ReCiPe (H)'!CM104</f>
        <v>824.73326237106448</v>
      </c>
      <c r="M241" s="6">
        <f>'Results - raw data ReCiPe (H)'!CN104</f>
        <v>823.07344849097387</v>
      </c>
      <c r="N241" s="6">
        <f>'Results - raw data ReCiPe (H)'!CO104</f>
        <v>821.41329377436136</v>
      </c>
      <c r="O241" s="6">
        <f>'Results - raw data ReCiPe (H)'!CP104</f>
        <v>819.03371604470158</v>
      </c>
      <c r="P241" s="6">
        <f>'Results - raw data ReCiPe (H)'!CQ104</f>
        <v>817.39547696635384</v>
      </c>
      <c r="Q241" s="6">
        <f>'Results - raw data ReCiPe (H)'!CR104</f>
        <v>815.75248373031479</v>
      </c>
      <c r="R241" s="6">
        <f>'Results - raw data ReCiPe (H)'!CS104</f>
        <v>813.65077703361283</v>
      </c>
      <c r="S241" s="6">
        <f>'Results - raw data ReCiPe (H)'!CT104</f>
        <v>811.56970808838173</v>
      </c>
      <c r="T241" s="6">
        <f>'Results - raw data ReCiPe (H)'!CU104</f>
        <v>808.99669973300752</v>
      </c>
      <c r="U241" s="6">
        <f>'Results - raw data ReCiPe (H)'!CV104</f>
        <v>806.98075822559349</v>
      </c>
      <c r="V241" s="6">
        <f>'Results - raw data ReCiPe (H)'!CW104</f>
        <v>804.98906592315427</v>
      </c>
      <c r="W241" s="6">
        <f>'Results - raw data ReCiPe (H)'!CX104</f>
        <v>803.6131276705886</v>
      </c>
      <c r="X241" s="6">
        <f>'Results - raw data ReCiPe (H)'!CY104</f>
        <v>802.07562707288832</v>
      </c>
      <c r="Y241" s="6">
        <f>'Results - raw data ReCiPe (H)'!CZ104</f>
        <v>800.54526605146236</v>
      </c>
      <c r="Z241" s="6">
        <f>'Results - raw data ReCiPe (H)'!DA104</f>
        <v>799.02195316520056</v>
      </c>
    </row>
    <row r="242" spans="1:26" outlineLevel="1" x14ac:dyDescent="0.35">
      <c r="A242" s="6" t="s">
        <v>758</v>
      </c>
      <c r="B242" s="6">
        <f>'Results - raw data ReCiPe (H)'!CC179*$AC$210</f>
        <v>3712.408439443378</v>
      </c>
      <c r="C242" s="6">
        <f>'Results - raw data ReCiPe (H)'!CD179*$AC$210</f>
        <v>3526.2773559158936</v>
      </c>
      <c r="D242" s="6">
        <f>'Results - raw data ReCiPe (H)'!CE179*$AC$210</f>
        <v>3341.18191860057</v>
      </c>
      <c r="E242" s="6">
        <f>'Results - raw data ReCiPe (H)'!CF179*$AC$210</f>
        <v>3153.966657982236</v>
      </c>
      <c r="F242" s="6">
        <f>'Results - raw data ReCiPe (H)'!CG179*$AC$210</f>
        <v>2970.690267430004</v>
      </c>
      <c r="G242" s="6">
        <f>'Results - raw data ReCiPe (H)'!CH179*$AC$210</f>
        <v>2788.3271780459909</v>
      </c>
      <c r="H242" s="6">
        <f>'Results - raw data ReCiPe (H)'!CI179*$AC$210</f>
        <v>2744.853495960997</v>
      </c>
      <c r="I242" s="6">
        <f>'Results - raw data ReCiPe (H)'!CJ179*$AC$210</f>
        <v>2701.3326372481342</v>
      </c>
      <c r="J242" s="6">
        <f>'Results - raw data ReCiPe (H)'!CK179*$AC$210</f>
        <v>2655.1288900553741</v>
      </c>
      <c r="K242" s="6">
        <f>'Results - raw data ReCiPe (H)'!CL179*$AC$210</f>
        <v>2611.4422845987428</v>
      </c>
      <c r="L242" s="6">
        <f>'Results - raw data ReCiPe (H)'!CM179*$AC$210</f>
        <v>2567.704765903844</v>
      </c>
      <c r="M242" s="6">
        <f>'Results - raw data ReCiPe (H)'!CN179*$AC$210</f>
        <v>2545.8775717711228</v>
      </c>
      <c r="N242" s="6">
        <f>'Results - raw data ReCiPe (H)'!CO179*$AC$210</f>
        <v>2524.0774887505668</v>
      </c>
      <c r="O242" s="6">
        <f>'Results - raw data ReCiPe (H)'!CP179*$AC$210</f>
        <v>2501.7966036621151</v>
      </c>
      <c r="P242" s="6">
        <f>'Results - raw data ReCiPe (H)'!CQ179*$AC$210</f>
        <v>2480.053928005203</v>
      </c>
      <c r="Q242" s="6">
        <f>'Results - raw data ReCiPe (H)'!CR179*$AC$210</f>
        <v>2458.3247864058731</v>
      </c>
      <c r="R242" s="6">
        <f>'Results - raw data ReCiPe (H)'!CS179*$AC$210</f>
        <v>2412.9285481637648</v>
      </c>
      <c r="S242" s="6">
        <f>'Results - raw data ReCiPe (H)'!CT179*$AC$210</f>
        <v>2367.4717232131161</v>
      </c>
      <c r="T242" s="6">
        <f>'Results - raw data ReCiPe (H)'!CU179*$AC$210</f>
        <v>2321.6018302930979</v>
      </c>
      <c r="U242" s="6">
        <f>'Results - raw data ReCiPe (H)'!CV179*$AC$210</f>
        <v>2276.0516793893294</v>
      </c>
      <c r="V242" s="6">
        <f>'Results - raw data ReCiPe (H)'!CW179*$AC$210</f>
        <v>2230.4710923836169</v>
      </c>
      <c r="W242" s="6">
        <f>'Results - raw data ReCiPe (H)'!CX179*$AC$210</f>
        <v>2191.7926589342869</v>
      </c>
      <c r="X242" s="6">
        <f>'Results - raw data ReCiPe (H)'!CY179*$AC$210</f>
        <v>2152.0925156001367</v>
      </c>
      <c r="Y242" s="6">
        <f>'Results - raw data ReCiPe (H)'!CZ179*$AC$210</f>
        <v>2112.4032924654739</v>
      </c>
      <c r="Z242" s="6">
        <f>'Results - raw data ReCiPe (H)'!DA179*$AC$210</f>
        <v>2072.7234532648681</v>
      </c>
    </row>
    <row r="243" spans="1:26" outlineLevel="1" x14ac:dyDescent="0.35">
      <c r="A243" s="6" t="s">
        <v>759</v>
      </c>
      <c r="B243" s="6">
        <f>'Results - raw data ReCiPe (H)'!CC106</f>
        <v>0</v>
      </c>
      <c r="C243" s="6">
        <f>'Results - raw data ReCiPe (H)'!CD106</f>
        <v>0</v>
      </c>
      <c r="D243" s="6">
        <f>'Results - raw data ReCiPe (H)'!CE106</f>
        <v>0</v>
      </c>
      <c r="E243" s="6">
        <f>'Results - raw data ReCiPe (H)'!CF106</f>
        <v>0</v>
      </c>
      <c r="F243" s="6">
        <f>'Results - raw data ReCiPe (H)'!CG106</f>
        <v>0</v>
      </c>
      <c r="G243" s="6">
        <f>'Results - raw data ReCiPe (H)'!CH106</f>
        <v>0</v>
      </c>
      <c r="H243" s="6">
        <f>'Results - raw data ReCiPe (H)'!CI106</f>
        <v>0</v>
      </c>
      <c r="I243" s="6">
        <f>'Results - raw data ReCiPe (H)'!CJ106</f>
        <v>0</v>
      </c>
      <c r="J243" s="6">
        <f>'Results - raw data ReCiPe (H)'!CK106</f>
        <v>0</v>
      </c>
      <c r="K243" s="6">
        <f>'Results - raw data ReCiPe (H)'!CL106</f>
        <v>0</v>
      </c>
      <c r="L243" s="6">
        <f>'Results - raw data ReCiPe (H)'!CM106</f>
        <v>0</v>
      </c>
      <c r="M243" s="6">
        <f>'Results - raw data ReCiPe (H)'!CN106</f>
        <v>0</v>
      </c>
      <c r="N243" s="6">
        <f>'Results - raw data ReCiPe (H)'!CO106</f>
        <v>0</v>
      </c>
      <c r="O243" s="6">
        <f>'Results - raw data ReCiPe (H)'!CP106</f>
        <v>0</v>
      </c>
      <c r="P243" s="6">
        <f>'Results - raw data ReCiPe (H)'!CQ106</f>
        <v>0</v>
      </c>
      <c r="Q243" s="6">
        <f>'Results - raw data ReCiPe (H)'!CR106</f>
        <v>0</v>
      </c>
      <c r="R243" s="6">
        <f>'Results - raw data ReCiPe (H)'!CS106</f>
        <v>0</v>
      </c>
      <c r="S243" s="6">
        <f>'Results - raw data ReCiPe (H)'!CT106</f>
        <v>0</v>
      </c>
      <c r="T243" s="6">
        <f>'Results - raw data ReCiPe (H)'!CU106</f>
        <v>0</v>
      </c>
      <c r="U243" s="6">
        <f>'Results - raw data ReCiPe (H)'!CV106</f>
        <v>0</v>
      </c>
      <c r="V243" s="6">
        <f>'Results - raw data ReCiPe (H)'!CW106</f>
        <v>0</v>
      </c>
      <c r="W243" s="6">
        <f>'Results - raw data ReCiPe (H)'!CX106</f>
        <v>0</v>
      </c>
      <c r="X243" s="6">
        <f>'Results - raw data ReCiPe (H)'!CY106</f>
        <v>0</v>
      </c>
      <c r="Y243" s="6">
        <f>'Results - raw data ReCiPe (H)'!CZ106</f>
        <v>0</v>
      </c>
      <c r="Z243" s="6">
        <f>'Results - raw data ReCiPe (H)'!DA106</f>
        <v>0</v>
      </c>
    </row>
    <row r="244" spans="1:26" outlineLevel="1" x14ac:dyDescent="0.35">
      <c r="A244" s="6" t="s">
        <v>760</v>
      </c>
      <c r="B244" s="6">
        <f>150000*($AC$211*'Results - raw data ReCiPe (H)'!CC128+(1-$AC$211)*'Results - raw data ReCiPe (H)'!CC129)</f>
        <v>11024.857156526728</v>
      </c>
      <c r="C244" s="6">
        <f>150000*($AC$211*'Results - raw data ReCiPe (H)'!CD128+(1-$AC$211)*'Results - raw data ReCiPe (H)'!CD129)</f>
        <v>9185.8782755909288</v>
      </c>
      <c r="D244" s="6">
        <f>150000*($AC$211*'Results - raw data ReCiPe (H)'!CE128+(1-$AC$211)*'Results - raw data ReCiPe (H)'!CE129)</f>
        <v>7344.9844773557661</v>
      </c>
      <c r="E244" s="6">
        <f>150000*($AC$211*'Results - raw data ReCiPe (H)'!CF128+(1-$AC$211)*'Results - raw data ReCiPe (H)'!CF129)</f>
        <v>5469.8500489065809</v>
      </c>
      <c r="F244" s="6">
        <f>150000*($AC$211*'Results - raw data ReCiPe (H)'!CG128+(1-$AC$211)*'Results - raw data ReCiPe (H)'!CG129)</f>
        <v>3622.4073211066702</v>
      </c>
      <c r="G244" s="6">
        <f>150000*($AC$211*'Results - raw data ReCiPe (H)'!CH128+(1-$AC$211)*'Results - raw data ReCiPe (H)'!CH129)</f>
        <v>1771.980395382936</v>
      </c>
      <c r="H244" s="6">
        <f>150000*($AC$211*'Results - raw data ReCiPe (H)'!CI128+(1-$AC$211)*'Results - raw data ReCiPe (H)'!CI129)</f>
        <v>1327.699050118043</v>
      </c>
      <c r="I244" s="6">
        <f>150000*($AC$211*'Results - raw data ReCiPe (H)'!CJ128+(1-$AC$211)*'Results - raw data ReCiPe (H)'!CJ129)</f>
        <v>881.14390050608438</v>
      </c>
      <c r="J244" s="6">
        <f>150000*($AC$211*'Results - raw data ReCiPe (H)'!CK128+(1-$AC$211)*'Results - raw data ReCiPe (H)'!CK129)</f>
        <v>405.27841188045232</v>
      </c>
      <c r="K244" s="6">
        <f>150000*($AC$211*'Results - raw data ReCiPe (H)'!CL128+(1-$AC$211)*'Results - raw data ReCiPe (H)'!CL129)</f>
        <v>-46.667982551286791</v>
      </c>
      <c r="L244" s="6">
        <f>150000*($AC$211*'Results - raw data ReCiPe (H)'!CM128+(1-$AC$211)*'Results - raw data ReCiPe (H)'!CM129)</f>
        <v>-500.9368146306947</v>
      </c>
      <c r="M244" s="6">
        <f>150000*($AC$211*'Results - raw data ReCiPe (H)'!CN128+(1-$AC$211)*'Results - raw data ReCiPe (H)'!CN129)</f>
        <v>-723.35272473267014</v>
      </c>
      <c r="N244" s="6">
        <f>150000*($AC$211*'Results - raw data ReCiPe (H)'!CO128+(1-$AC$211)*'Results - raw data ReCiPe (H)'!CO129)</f>
        <v>-945.12137292297871</v>
      </c>
      <c r="O244" s="6">
        <f>150000*($AC$211*'Results - raw data ReCiPe (H)'!CP128+(1-$AC$211)*'Results - raw data ReCiPe (H)'!CP129)</f>
        <v>-1171.4854932803871</v>
      </c>
      <c r="P244" s="6">
        <f>150000*($AC$211*'Results - raw data ReCiPe (H)'!CQ128+(1-$AC$211)*'Results - raw data ReCiPe (H)'!CQ129)</f>
        <v>-1392.0118316093128</v>
      </c>
      <c r="Q244" s="6">
        <f>150000*($AC$211*'Results - raw data ReCiPe (H)'!CR128+(1-$AC$211)*'Results - raw data ReCiPe (H)'!CR129)</f>
        <v>-1612.0752359330575</v>
      </c>
      <c r="R244" s="6">
        <f>150000*($AC$211*'Results - raw data ReCiPe (H)'!CS128+(1-$AC$211)*'Results - raw data ReCiPe (H)'!CS129)</f>
        <v>-2058.2850638112991</v>
      </c>
      <c r="S244" s="6">
        <f>150000*($AC$211*'Results - raw data ReCiPe (H)'!CT128+(1-$AC$211)*'Results - raw data ReCiPe (H)'!CT129)</f>
        <v>-2501.0095170393915</v>
      </c>
      <c r="T244" s="6">
        <f>150000*($AC$211*'Results - raw data ReCiPe (H)'!CU128+(1-$AC$211)*'Results - raw data ReCiPe (H)'!CU129)</f>
        <v>-2943.8993456864819</v>
      </c>
      <c r="U244" s="6">
        <f>150000*($AC$211*'Results - raw data ReCiPe (H)'!CV128+(1-$AC$211)*'Results - raw data ReCiPe (H)'!CV129)</f>
        <v>-3379.513237691961</v>
      </c>
      <c r="V244" s="6">
        <f>150000*($AC$211*'Results - raw data ReCiPe (H)'!CW128+(1-$AC$211)*'Results - raw data ReCiPe (H)'!CW129)</f>
        <v>-3811.3481027277517</v>
      </c>
      <c r="W244" s="6">
        <f>150000*($AC$211*'Results - raw data ReCiPe (H)'!CX128+(1-$AC$211)*'Results - raw data ReCiPe (H)'!CX129)</f>
        <v>-4209.4254679884725</v>
      </c>
      <c r="X244" s="6">
        <f>150000*($AC$211*'Results - raw data ReCiPe (H)'!CY128+(1-$AC$211)*'Results - raw data ReCiPe (H)'!CY129)</f>
        <v>-4618.9651469212013</v>
      </c>
      <c r="Y244" s="6">
        <f>150000*($AC$211*'Results - raw data ReCiPe (H)'!CZ128+(1-$AC$211)*'Results - raw data ReCiPe (H)'!CZ129)</f>
        <v>-5029.5958992950982</v>
      </c>
      <c r="Z244" s="6">
        <f>150000*($AC$211*'Results - raw data ReCiPe (H)'!DA128+(1-$AC$211)*'Results - raw data ReCiPe (H)'!DA129)</f>
        <v>-5441.3343575957424</v>
      </c>
    </row>
    <row r="245" spans="1:26" outlineLevel="1" x14ac:dyDescent="0.35">
      <c r="A245" s="23" t="s">
        <v>125</v>
      </c>
      <c r="B245" s="17">
        <f>SUM(B214:B244)</f>
        <v>45497.267028846589</v>
      </c>
      <c r="C245" s="17">
        <f t="shared" ref="C245:Z245" si="29">SUM(C214:C244)</f>
        <v>13652.364114228523</v>
      </c>
      <c r="D245" s="17">
        <f t="shared" si="29"/>
        <v>11606.144889814266</v>
      </c>
      <c r="E245" s="17">
        <f t="shared" si="29"/>
        <v>9518.7220538717156</v>
      </c>
      <c r="F245" s="17">
        <f t="shared" si="29"/>
        <v>7467.2431910940832</v>
      </c>
      <c r="G245" s="17">
        <f t="shared" si="29"/>
        <v>5413.3332342644453</v>
      </c>
      <c r="H245" s="17">
        <f t="shared" si="29"/>
        <v>4920.2979680514372</v>
      </c>
      <c r="I245" s="17">
        <f t="shared" si="29"/>
        <v>4425.000836006574</v>
      </c>
      <c r="J245" s="17">
        <f t="shared" si="29"/>
        <v>3895.1999049027431</v>
      </c>
      <c r="K245" s="17">
        <f t="shared" si="29"/>
        <v>3394.5147106589984</v>
      </c>
      <c r="L245" s="17">
        <f t="shared" si="29"/>
        <v>2891.5012136442137</v>
      </c>
      <c r="M245" s="17">
        <f t="shared" si="29"/>
        <v>2645.5982955294267</v>
      </c>
      <c r="N245" s="17">
        <f t="shared" si="29"/>
        <v>2400.3694096019499</v>
      </c>
      <c r="O245" s="17">
        <f t="shared" si="29"/>
        <v>2149.3448264264298</v>
      </c>
      <c r="P245" s="17">
        <f t="shared" si="29"/>
        <v>1905.4375733622439</v>
      </c>
      <c r="Q245" s="17">
        <f t="shared" si="29"/>
        <v>1662.0020342031305</v>
      </c>
      <c r="R245" s="17">
        <f t="shared" si="29"/>
        <v>1168.2942613860787</v>
      </c>
      <c r="S245" s="17">
        <f t="shared" si="29"/>
        <v>678.03191426210651</v>
      </c>
      <c r="T245" s="17">
        <f t="shared" si="29"/>
        <v>186.69918433962357</v>
      </c>
      <c r="U245" s="17">
        <f t="shared" si="29"/>
        <v>-296.48080007703811</v>
      </c>
      <c r="V245" s="17">
        <f t="shared" si="29"/>
        <v>-775.8879444209806</v>
      </c>
      <c r="W245" s="17">
        <f t="shared" si="29"/>
        <v>-1214.0196813835969</v>
      </c>
      <c r="X245" s="17">
        <f t="shared" si="29"/>
        <v>-1664.7970042481761</v>
      </c>
      <c r="Y245" s="17">
        <f t="shared" si="29"/>
        <v>-2116.6473407781618</v>
      </c>
      <c r="Z245" s="17">
        <f t="shared" si="29"/>
        <v>-2043.7772081142307</v>
      </c>
    </row>
    <row r="246" spans="1:26" s="26" customFormat="1" outlineLevel="1" x14ac:dyDescent="0.35"/>
    <row r="247" spans="1:26" s="221" customFormat="1" ht="21" x14ac:dyDescent="0.5">
      <c r="A247" s="229" t="s">
        <v>851</v>
      </c>
    </row>
    <row r="248" spans="1:26" s="18" customFormat="1" ht="21" x14ac:dyDescent="0.5">
      <c r="A248" s="18" t="s">
        <v>72</v>
      </c>
    </row>
    <row r="249" spans="1:26" s="20" customFormat="1" outlineLevel="1" x14ac:dyDescent="0.35">
      <c r="A249" s="19" t="s">
        <v>788</v>
      </c>
    </row>
    <row r="250" spans="1:26" s="20" customFormat="1" outlineLevel="1" x14ac:dyDescent="0.35">
      <c r="A250" s="273" t="s">
        <v>775</v>
      </c>
      <c r="B250" s="20">
        <v>1</v>
      </c>
      <c r="C250" s="274" t="s">
        <v>787</v>
      </c>
    </row>
    <row r="251" spans="1:26" s="20" customFormat="1" outlineLevel="1" x14ac:dyDescent="0.35">
      <c r="A251" s="273" t="s">
        <v>781</v>
      </c>
      <c r="B251" s="20">
        <v>100000</v>
      </c>
      <c r="C251" s="20" t="s">
        <v>782</v>
      </c>
      <c r="E251" s="274"/>
    </row>
    <row r="252" spans="1:26" s="20" customFormat="1" outlineLevel="1" x14ac:dyDescent="0.35">
      <c r="A252" s="273" t="s">
        <v>783</v>
      </c>
      <c r="B252" s="20">
        <v>1500</v>
      </c>
      <c r="C252" s="20" t="s">
        <v>592</v>
      </c>
    </row>
    <row r="253" spans="1:26" s="20" customFormat="1" outlineLevel="1" x14ac:dyDescent="0.35">
      <c r="A253" s="273" t="s">
        <v>784</v>
      </c>
      <c r="B253" s="20">
        <v>8760</v>
      </c>
      <c r="C253" s="20" t="s">
        <v>785</v>
      </c>
    </row>
    <row r="254" spans="1:26" s="20" customFormat="1" outlineLevel="1" x14ac:dyDescent="0.35">
      <c r="A254" s="273"/>
    </row>
    <row r="255" spans="1:26" s="20" customFormat="1" outlineLevel="1" x14ac:dyDescent="0.35">
      <c r="A255" s="275" t="s">
        <v>786</v>
      </c>
      <c r="B255" s="275">
        <f>(B251*B252)/(B253*B250)</f>
        <v>17123.287671232876</v>
      </c>
      <c r="C255" s="275" t="s">
        <v>749</v>
      </c>
    </row>
    <row r="256" spans="1:26" s="20" customFormat="1" outlineLevel="1" x14ac:dyDescent="0.35">
      <c r="A256" s="19"/>
    </row>
    <row r="257" spans="1:31" s="20" customFormat="1" outlineLevel="1" x14ac:dyDescent="0.35">
      <c r="A257" s="19" t="s">
        <v>793</v>
      </c>
    </row>
    <row r="258" spans="1:31" s="20" customFormat="1" outlineLevel="1" x14ac:dyDescent="0.35">
      <c r="A258" s="273" t="s">
        <v>789</v>
      </c>
      <c r="B258" s="20">
        <f>SUM('Results - raw data ReCiPe (H)'!CC136:CC137)+'Results - raw data ReCiPe (H)'!CC140+SUM('Results - raw data ReCiPe (H)'!CC138:CC139)*AC267</f>
        <v>879.10284974426168</v>
      </c>
      <c r="C258" s="20" t="s">
        <v>873</v>
      </c>
    </row>
    <row r="259" spans="1:31" s="20" customFormat="1" outlineLevel="1" x14ac:dyDescent="0.35">
      <c r="A259" s="20" t="s">
        <v>792</v>
      </c>
      <c r="B259" s="20">
        <f>B251*AC265</f>
        <v>50000</v>
      </c>
      <c r="C259" s="274" t="s">
        <v>795</v>
      </c>
    </row>
    <row r="260" spans="1:31" s="20" customFormat="1" outlineLevel="1" x14ac:dyDescent="0.35">
      <c r="A260" s="20" t="s">
        <v>791</v>
      </c>
      <c r="B260" s="20">
        <f>(B258*AC267*B255)/(B259*AC266)*(AC266/AC268)</f>
        <v>90.318785932629609</v>
      </c>
      <c r="C260" s="20" t="s">
        <v>874</v>
      </c>
      <c r="E260" s="274" t="s">
        <v>796</v>
      </c>
    </row>
    <row r="261" spans="1:31" s="20" customFormat="1" outlineLevel="1" x14ac:dyDescent="0.35">
      <c r="A261" s="19"/>
    </row>
    <row r="262" spans="1:31" s="16" customFormat="1" outlineLevel="1" x14ac:dyDescent="0.35">
      <c r="A262" s="21"/>
      <c r="AB262" s="16" t="s">
        <v>801</v>
      </c>
      <c r="AC262" s="16">
        <v>1</v>
      </c>
      <c r="AD262" s="16" t="s">
        <v>146</v>
      </c>
      <c r="AE262" s="15" t="s">
        <v>714</v>
      </c>
    </row>
    <row r="263" spans="1:31" s="16" customFormat="1" outlineLevel="1" x14ac:dyDescent="0.35">
      <c r="A263" s="22" t="s">
        <v>566</v>
      </c>
      <c r="AC263" s="16">
        <f>AC262*1000</f>
        <v>1000</v>
      </c>
      <c r="AD263" s="16" t="s">
        <v>144</v>
      </c>
    </row>
    <row r="264" spans="1:31" s="16" customFormat="1" outlineLevel="1" x14ac:dyDescent="0.35">
      <c r="A264" s="22"/>
      <c r="AB264" s="16" t="s">
        <v>127</v>
      </c>
      <c r="AC264" s="276">
        <f>100*AC265</f>
        <v>50</v>
      </c>
      <c r="AD264" s="16" t="s">
        <v>128</v>
      </c>
    </row>
    <row r="265" spans="1:31" s="16" customFormat="1" outlineLevel="1" x14ac:dyDescent="0.35">
      <c r="A265" s="230"/>
      <c r="AB265" s="16" t="s">
        <v>776</v>
      </c>
      <c r="AC265" s="276">
        <v>0.5</v>
      </c>
    </row>
    <row r="266" spans="1:31" s="16" customFormat="1" outlineLevel="1" x14ac:dyDescent="0.35">
      <c r="A266" s="230"/>
      <c r="AB266" s="16" t="s">
        <v>129</v>
      </c>
      <c r="AC266" s="276">
        <v>25</v>
      </c>
      <c r="AD266" s="16" t="s">
        <v>130</v>
      </c>
    </row>
    <row r="267" spans="1:31" s="16" customFormat="1" outlineLevel="1" x14ac:dyDescent="0.35">
      <c r="A267" s="230"/>
      <c r="AB267" s="16" t="s">
        <v>777</v>
      </c>
      <c r="AC267" s="276">
        <v>6</v>
      </c>
      <c r="AD267" s="16" t="s">
        <v>779</v>
      </c>
    </row>
    <row r="268" spans="1:31" s="16" customFormat="1" outlineLevel="1" x14ac:dyDescent="0.35">
      <c r="A268" s="22"/>
      <c r="AB268" s="16" t="s">
        <v>778</v>
      </c>
      <c r="AC268" s="276">
        <v>20</v>
      </c>
      <c r="AD268" s="16" t="s">
        <v>130</v>
      </c>
    </row>
    <row r="269" spans="1:31" s="16" customFormat="1" outlineLevel="1" x14ac:dyDescent="0.35">
      <c r="A269" s="22"/>
      <c r="AB269" s="16" t="s">
        <v>780</v>
      </c>
      <c r="AC269" s="276">
        <f>B255</f>
        <v>17123.287671232876</v>
      </c>
      <c r="AD269" s="16" t="s">
        <v>749</v>
      </c>
    </row>
    <row r="270" spans="1:31" s="16" customFormat="1" outlineLevel="1" x14ac:dyDescent="0.35">
      <c r="A270" s="22"/>
      <c r="AB270" s="16" t="s">
        <v>820</v>
      </c>
      <c r="AC270" s="16">
        <v>0.5</v>
      </c>
    </row>
    <row r="271" spans="1:31" s="16" customFormat="1" outlineLevel="1" x14ac:dyDescent="0.35">
      <c r="A271" s="22"/>
      <c r="AB271" s="16" t="s">
        <v>798</v>
      </c>
      <c r="AC271" s="16">
        <v>0.25</v>
      </c>
    </row>
    <row r="272" spans="1:31" s="16" customFormat="1" outlineLevel="1" x14ac:dyDescent="0.35">
      <c r="A272" s="22"/>
      <c r="AB272" s="16" t="s">
        <v>799</v>
      </c>
      <c r="AC272" s="16">
        <v>0.9</v>
      </c>
    </row>
    <row r="273" spans="1:53" outlineLevel="1" x14ac:dyDescent="0.35">
      <c r="B273" s="25">
        <v>2030</v>
      </c>
      <c r="C273" s="25">
        <v>2031</v>
      </c>
      <c r="D273" s="25">
        <v>2032</v>
      </c>
      <c r="E273" s="25">
        <v>2033</v>
      </c>
      <c r="F273" s="25">
        <v>2034</v>
      </c>
      <c r="G273" s="25">
        <v>2035</v>
      </c>
      <c r="H273" s="25">
        <v>2036</v>
      </c>
      <c r="I273" s="25">
        <v>2037</v>
      </c>
      <c r="J273" s="25">
        <v>2038</v>
      </c>
      <c r="K273" s="25">
        <v>2039</v>
      </c>
      <c r="L273" s="25">
        <v>2040</v>
      </c>
      <c r="M273" s="25">
        <v>2041</v>
      </c>
      <c r="N273" s="25">
        <v>2042</v>
      </c>
      <c r="O273" s="25">
        <v>2043</v>
      </c>
      <c r="P273" s="25">
        <v>2044</v>
      </c>
      <c r="Q273" s="25">
        <v>2045</v>
      </c>
      <c r="R273" s="25">
        <v>2046</v>
      </c>
      <c r="S273" s="25">
        <v>2047</v>
      </c>
      <c r="T273" s="25">
        <v>2048</v>
      </c>
      <c r="U273" s="25">
        <v>2049</v>
      </c>
      <c r="V273" s="25">
        <v>2050</v>
      </c>
      <c r="W273" s="25">
        <v>2051</v>
      </c>
      <c r="X273" s="25">
        <v>2052</v>
      </c>
      <c r="Y273" s="25">
        <v>2053</v>
      </c>
      <c r="Z273" s="25">
        <v>2054</v>
      </c>
      <c r="AC273" s="25">
        <v>2030</v>
      </c>
      <c r="AD273" s="25">
        <v>2031</v>
      </c>
      <c r="AE273" s="25">
        <v>2032</v>
      </c>
      <c r="AF273" s="25">
        <v>2033</v>
      </c>
      <c r="AG273" s="25">
        <v>2034</v>
      </c>
      <c r="AH273" s="25">
        <v>2035</v>
      </c>
      <c r="AI273" s="25">
        <v>2036</v>
      </c>
      <c r="AJ273" s="25">
        <v>2037</v>
      </c>
      <c r="AK273" s="25">
        <v>2038</v>
      </c>
      <c r="AL273" s="25">
        <v>2039</v>
      </c>
      <c r="AM273" s="25">
        <v>2040</v>
      </c>
      <c r="AN273" s="25">
        <v>2041</v>
      </c>
      <c r="AO273" s="25">
        <v>2042</v>
      </c>
      <c r="AP273" s="25">
        <v>2043</v>
      </c>
      <c r="AQ273" s="25">
        <v>2044</v>
      </c>
      <c r="AR273" s="25">
        <v>2045</v>
      </c>
      <c r="AS273" s="25">
        <v>2046</v>
      </c>
      <c r="AT273" s="25">
        <v>2047</v>
      </c>
      <c r="AU273" s="25">
        <v>2048</v>
      </c>
      <c r="AV273" s="25">
        <v>2049</v>
      </c>
      <c r="AW273" s="25">
        <v>2050</v>
      </c>
      <c r="AX273" s="25">
        <v>2051</v>
      </c>
      <c r="AY273" s="25">
        <v>2052</v>
      </c>
      <c r="AZ273" s="25">
        <v>2053</v>
      </c>
      <c r="BA273" s="25">
        <v>2054</v>
      </c>
    </row>
    <row r="274" spans="1:53" outlineLevel="1" x14ac:dyDescent="0.35">
      <c r="A274" s="6" t="s">
        <v>21</v>
      </c>
      <c r="B274" s="6">
        <f t="shared" ref="B274:B285" si="30">B10</f>
        <v>736.5346492975043</v>
      </c>
      <c r="AB274" s="6" t="s">
        <v>117</v>
      </c>
      <c r="AC274" s="6">
        <f>SUM(B274:B285)+B287</f>
        <v>34126.372886235426</v>
      </c>
    </row>
    <row r="275" spans="1:53" outlineLevel="1" x14ac:dyDescent="0.35">
      <c r="A275" s="6" t="s">
        <v>23</v>
      </c>
      <c r="B275" s="6">
        <f t="shared" si="30"/>
        <v>964.71070101214207</v>
      </c>
      <c r="AB275" s="6" t="s">
        <v>118</v>
      </c>
      <c r="AC275" s="6">
        <f>B286</f>
        <v>1240.5281792010687</v>
      </c>
    </row>
    <row r="276" spans="1:53" outlineLevel="1" x14ac:dyDescent="0.35">
      <c r="A276" s="6" t="s">
        <v>26</v>
      </c>
      <c r="B276" s="6">
        <f t="shared" si="30"/>
        <v>3012.330013181167</v>
      </c>
      <c r="AB276" s="6" t="s">
        <v>119</v>
      </c>
      <c r="BA276" s="6">
        <f>SUM(Z288:Z299)</f>
        <v>691.18373370688425</v>
      </c>
    </row>
    <row r="277" spans="1:53" outlineLevel="1" x14ac:dyDescent="0.35">
      <c r="A277" s="6" t="s">
        <v>28</v>
      </c>
      <c r="B277" s="6">
        <f t="shared" si="30"/>
        <v>2745.9417900267481</v>
      </c>
      <c r="AB277" s="6" t="s">
        <v>120</v>
      </c>
      <c r="BA277" s="6">
        <f>Z300</f>
        <v>11.247260456048089</v>
      </c>
    </row>
    <row r="278" spans="1:53" outlineLevel="1" x14ac:dyDescent="0.35">
      <c r="A278" s="6" t="s">
        <v>29</v>
      </c>
      <c r="B278" s="6">
        <f t="shared" si="30"/>
        <v>1625.298034289408</v>
      </c>
      <c r="AB278" s="6" t="s">
        <v>121</v>
      </c>
      <c r="AC278" s="6">
        <f>B301</f>
        <v>1186.4815932558031</v>
      </c>
      <c r="AF278" s="6">
        <f>E301</f>
        <v>1175.2724845293581</v>
      </c>
      <c r="AI278" s="6">
        <f>H301</f>
        <v>1172.0887619145631</v>
      </c>
      <c r="AL278" s="6">
        <f>K301</f>
        <v>1171.5419235181971</v>
      </c>
      <c r="AO278" s="6">
        <f>N301</f>
        <v>1176.0346869666</v>
      </c>
      <c r="AR278" s="6">
        <f>Q301</f>
        <v>1180.8592879535349</v>
      </c>
      <c r="AU278" s="6">
        <f>T301</f>
        <v>1165.597336992987</v>
      </c>
      <c r="AX278" s="6">
        <f>W301</f>
        <v>1149.242533712596</v>
      </c>
      <c r="BA278" s="6">
        <f>Z301</f>
        <v>1126.377758844686</v>
      </c>
    </row>
    <row r="279" spans="1:53" outlineLevel="1" x14ac:dyDescent="0.35">
      <c r="A279" s="6" t="s">
        <v>31</v>
      </c>
      <c r="B279" s="6">
        <f t="shared" si="30"/>
        <v>1150.5712368961119</v>
      </c>
      <c r="AB279" s="6" t="s">
        <v>797</v>
      </c>
      <c r="AC279" s="6">
        <f>B305</f>
        <v>4515.9392966314808</v>
      </c>
      <c r="AD279" s="6">
        <f t="shared" ref="AD279:BA279" si="31">C305</f>
        <v>4515.9392966314808</v>
      </c>
      <c r="AE279" s="6">
        <f t="shared" si="31"/>
        <v>4515.9392966314808</v>
      </c>
      <c r="AF279" s="6">
        <f t="shared" si="31"/>
        <v>4515.9392966314808</v>
      </c>
      <c r="AG279" s="6">
        <f t="shared" si="31"/>
        <v>4515.9392966314808</v>
      </c>
      <c r="AH279" s="6">
        <f t="shared" si="31"/>
        <v>4515.9392966314808</v>
      </c>
      <c r="AI279" s="6">
        <f t="shared" si="31"/>
        <v>4515.9392966314808</v>
      </c>
      <c r="AJ279" s="6">
        <f t="shared" si="31"/>
        <v>4515.9392966314808</v>
      </c>
      <c r="AK279" s="6">
        <f t="shared" si="31"/>
        <v>4515.9392966314808</v>
      </c>
      <c r="AL279" s="6">
        <f t="shared" si="31"/>
        <v>4515.9392966314808</v>
      </c>
      <c r="AM279" s="6">
        <f t="shared" si="31"/>
        <v>4515.9392966314808</v>
      </c>
      <c r="AN279" s="6">
        <f t="shared" si="31"/>
        <v>4515.9392966314808</v>
      </c>
      <c r="AO279" s="6">
        <f t="shared" si="31"/>
        <v>4515.9392966314808</v>
      </c>
      <c r="AP279" s="6">
        <f t="shared" si="31"/>
        <v>4515.9392966314808</v>
      </c>
      <c r="AQ279" s="6">
        <f t="shared" si="31"/>
        <v>4515.9392966314808</v>
      </c>
      <c r="AR279" s="6">
        <f t="shared" si="31"/>
        <v>4515.9392966314808</v>
      </c>
      <c r="AS279" s="6">
        <f t="shared" si="31"/>
        <v>4515.9392966314808</v>
      </c>
      <c r="AT279" s="6">
        <f t="shared" si="31"/>
        <v>4515.9392966314808</v>
      </c>
      <c r="AU279" s="6">
        <f t="shared" si="31"/>
        <v>4515.9392966314808</v>
      </c>
      <c r="AV279" s="6">
        <f t="shared" si="31"/>
        <v>4515.9392966314808</v>
      </c>
      <c r="AW279" s="6">
        <f t="shared" si="31"/>
        <v>4515.9392966314808</v>
      </c>
      <c r="AX279" s="6">
        <f t="shared" si="31"/>
        <v>4515.9392966314808</v>
      </c>
      <c r="AY279" s="6">
        <f t="shared" si="31"/>
        <v>4515.9392966314808</v>
      </c>
      <c r="AZ279" s="6">
        <f t="shared" si="31"/>
        <v>4515.9392966314808</v>
      </c>
      <c r="BA279" s="6">
        <f t="shared" si="31"/>
        <v>4515.9392966314808</v>
      </c>
    </row>
    <row r="280" spans="1:53" outlineLevel="1" x14ac:dyDescent="0.35">
      <c r="A280" s="6" t="s">
        <v>34</v>
      </c>
      <c r="B280" s="6">
        <f t="shared" si="30"/>
        <v>772.05259525488657</v>
      </c>
      <c r="AB280" s="6" t="s">
        <v>122</v>
      </c>
      <c r="AC280" s="6">
        <f t="shared" ref="AC280:BA280" si="32">B304+B303</f>
        <v>3688.2452017680725</v>
      </c>
      <c r="AD280" s="6">
        <f t="shared" si="32"/>
        <v>3675.8205937827111</v>
      </c>
      <c r="AE280" s="6">
        <f t="shared" si="32"/>
        <v>3663.8310480628961</v>
      </c>
      <c r="AF280" s="6">
        <f t="shared" si="32"/>
        <v>3626.593906818468</v>
      </c>
      <c r="AG280" s="6">
        <f t="shared" si="32"/>
        <v>3615.4772000801463</v>
      </c>
      <c r="AH280" s="6">
        <f t="shared" si="32"/>
        <v>3604.6067784165925</v>
      </c>
      <c r="AI280" s="6">
        <f t="shared" si="32"/>
        <v>3594.7608071511313</v>
      </c>
      <c r="AJ280" s="6">
        <f t="shared" si="32"/>
        <v>3585.9837734558346</v>
      </c>
      <c r="AK280" s="6">
        <f t="shared" si="32"/>
        <v>3562.4173921213983</v>
      </c>
      <c r="AL280" s="6">
        <f t="shared" si="32"/>
        <v>3555.5994251745328</v>
      </c>
      <c r="AM280" s="6">
        <f t="shared" si="32"/>
        <v>3549.519813279031</v>
      </c>
      <c r="AN280" s="6">
        <f t="shared" si="32"/>
        <v>3548.6130655427942</v>
      </c>
      <c r="AO280" s="6">
        <f t="shared" si="32"/>
        <v>3548.535688171366</v>
      </c>
      <c r="AP280" s="6">
        <f t="shared" si="32"/>
        <v>3546.0463840654647</v>
      </c>
      <c r="AQ280" s="6">
        <f t="shared" si="32"/>
        <v>3547.5016394068757</v>
      </c>
      <c r="AR280" s="6">
        <f t="shared" si="32"/>
        <v>3550.0707945772447</v>
      </c>
      <c r="AS280" s="6">
        <f t="shared" si="32"/>
        <v>3533.6910608556559</v>
      </c>
      <c r="AT280" s="6">
        <f t="shared" si="32"/>
        <v>3517.3717389818739</v>
      </c>
      <c r="AU280" s="6">
        <f t="shared" si="32"/>
        <v>3497.8489227098994</v>
      </c>
      <c r="AV280" s="6">
        <f t="shared" si="32"/>
        <v>3481.573852388558</v>
      </c>
      <c r="AW280" s="6">
        <f t="shared" si="32"/>
        <v>3465.2779136270888</v>
      </c>
      <c r="AX280" s="6">
        <f t="shared" si="32"/>
        <v>3446.7871999109675</v>
      </c>
      <c r="AY280" s="6">
        <f t="shared" si="32"/>
        <v>3422.8707819419415</v>
      </c>
      <c r="AZ280" s="6">
        <f t="shared" si="32"/>
        <v>3398.9424407258107</v>
      </c>
      <c r="BA280" s="6">
        <f t="shared" si="32"/>
        <v>3374.994199095675</v>
      </c>
    </row>
    <row r="281" spans="1:53" outlineLevel="1" x14ac:dyDescent="0.35">
      <c r="A281" s="6" t="s">
        <v>36</v>
      </c>
      <c r="B281" s="6">
        <f t="shared" si="30"/>
        <v>665.02827145034166</v>
      </c>
      <c r="AB281" s="6" t="s">
        <v>123</v>
      </c>
      <c r="AC281" s="6">
        <f t="shared" ref="AC281:BA281" si="33">B302</f>
        <v>2741.8605391017363</v>
      </c>
      <c r="AD281" s="6">
        <f t="shared" si="33"/>
        <v>2738.5004245609116</v>
      </c>
      <c r="AE281" s="6">
        <f t="shared" si="33"/>
        <v>2735.1515080345512</v>
      </c>
      <c r="AF281" s="6">
        <f t="shared" si="33"/>
        <v>2730.4315900117094</v>
      </c>
      <c r="AG281" s="6">
        <f t="shared" si="33"/>
        <v>2727.1079407018588</v>
      </c>
      <c r="AH281" s="6">
        <f t="shared" si="33"/>
        <v>2723.7864957479323</v>
      </c>
      <c r="AI281" s="6">
        <f t="shared" si="33"/>
        <v>2823.1634785704064</v>
      </c>
      <c r="AJ281" s="6">
        <f t="shared" si="33"/>
        <v>2922.0444174926715</v>
      </c>
      <c r="AK281" s="6">
        <f t="shared" si="33"/>
        <v>3019.5358092762417</v>
      </c>
      <c r="AL281" s="6">
        <f t="shared" si="33"/>
        <v>3117.5391577591063</v>
      </c>
      <c r="AM281" s="6">
        <f t="shared" si="33"/>
        <v>3214.9463704168093</v>
      </c>
      <c r="AN281" s="6">
        <f t="shared" si="33"/>
        <v>3388.7790601696033</v>
      </c>
      <c r="AO281" s="6">
        <f t="shared" si="33"/>
        <v>3562.2699346162212</v>
      </c>
      <c r="AP281" s="6">
        <f t="shared" si="33"/>
        <v>3735.2476046614406</v>
      </c>
      <c r="AQ281" s="6">
        <f t="shared" si="33"/>
        <v>3908.0421271778036</v>
      </c>
      <c r="AR281" s="6">
        <f t="shared" si="33"/>
        <v>4080.4904565054394</v>
      </c>
      <c r="AS281" s="6">
        <f t="shared" si="33"/>
        <v>4108.5508877775137</v>
      </c>
      <c r="AT281" s="6">
        <f t="shared" si="33"/>
        <v>4136.534635102329</v>
      </c>
      <c r="AU281" s="6">
        <f t="shared" si="33"/>
        <v>4164.2900270009404</v>
      </c>
      <c r="AV281" s="6">
        <f t="shared" si="33"/>
        <v>4192.1330816270038</v>
      </c>
      <c r="AW281" s="6">
        <f t="shared" si="33"/>
        <v>4219.9077483248939</v>
      </c>
      <c r="AX281" s="6">
        <f t="shared" si="33"/>
        <v>4194.849969558737</v>
      </c>
      <c r="AY281" s="6">
        <f t="shared" si="33"/>
        <v>4119.1380655846888</v>
      </c>
      <c r="AZ281" s="6">
        <f t="shared" si="33"/>
        <v>4043.4777029583229</v>
      </c>
      <c r="BA281" s="6">
        <f t="shared" si="33"/>
        <v>3967.8671144162399</v>
      </c>
    </row>
    <row r="282" spans="1:53" outlineLevel="1" x14ac:dyDescent="0.35">
      <c r="A282" s="6" t="s">
        <v>38</v>
      </c>
      <c r="B282" s="6">
        <f t="shared" si="30"/>
        <v>6068.501913397412</v>
      </c>
      <c r="AB282" s="6" t="s">
        <v>124</v>
      </c>
      <c r="AC282" s="6">
        <f>-$AC$264*$AC$263</f>
        <v>-50000</v>
      </c>
      <c r="AD282" s="6">
        <f t="shared" ref="AD282:BA282" si="34">-$AC$264*$AC$263</f>
        <v>-50000</v>
      </c>
      <c r="AE282" s="6">
        <f t="shared" si="34"/>
        <v>-50000</v>
      </c>
      <c r="AF282" s="6">
        <f t="shared" si="34"/>
        <v>-50000</v>
      </c>
      <c r="AG282" s="6">
        <f t="shared" si="34"/>
        <v>-50000</v>
      </c>
      <c r="AH282" s="6">
        <f t="shared" si="34"/>
        <v>-50000</v>
      </c>
      <c r="AI282" s="6">
        <f t="shared" si="34"/>
        <v>-50000</v>
      </c>
      <c r="AJ282" s="6">
        <f t="shared" si="34"/>
        <v>-50000</v>
      </c>
      <c r="AK282" s="6">
        <f t="shared" si="34"/>
        <v>-50000</v>
      </c>
      <c r="AL282" s="6">
        <f t="shared" si="34"/>
        <v>-50000</v>
      </c>
      <c r="AM282" s="6">
        <f t="shared" si="34"/>
        <v>-50000</v>
      </c>
      <c r="AN282" s="6">
        <f t="shared" si="34"/>
        <v>-50000</v>
      </c>
      <c r="AO282" s="6">
        <f t="shared" si="34"/>
        <v>-50000</v>
      </c>
      <c r="AP282" s="6">
        <f t="shared" si="34"/>
        <v>-50000</v>
      </c>
      <c r="AQ282" s="6">
        <f t="shared" si="34"/>
        <v>-50000</v>
      </c>
      <c r="AR282" s="6">
        <f t="shared" si="34"/>
        <v>-50000</v>
      </c>
      <c r="AS282" s="6">
        <f t="shared" si="34"/>
        <v>-50000</v>
      </c>
      <c r="AT282" s="6">
        <f t="shared" si="34"/>
        <v>-50000</v>
      </c>
      <c r="AU282" s="6">
        <f t="shared" si="34"/>
        <v>-50000</v>
      </c>
      <c r="AV282" s="6">
        <f t="shared" si="34"/>
        <v>-50000</v>
      </c>
      <c r="AW282" s="6">
        <f t="shared" si="34"/>
        <v>-50000</v>
      </c>
      <c r="AX282" s="6">
        <f t="shared" si="34"/>
        <v>-50000</v>
      </c>
      <c r="AY282" s="6">
        <f t="shared" si="34"/>
        <v>-50000</v>
      </c>
      <c r="AZ282" s="6">
        <f t="shared" si="34"/>
        <v>-50000</v>
      </c>
      <c r="BA282" s="6">
        <f t="shared" si="34"/>
        <v>-50000</v>
      </c>
    </row>
    <row r="283" spans="1:53" outlineLevel="1" x14ac:dyDescent="0.35">
      <c r="A283" s="6" t="s">
        <v>39</v>
      </c>
      <c r="B283" s="6">
        <f t="shared" si="30"/>
        <v>11451.41246529284</v>
      </c>
      <c r="AB283" s="23" t="s">
        <v>125</v>
      </c>
      <c r="AC283" s="17">
        <f t="shared" ref="AC283:BA283" si="35">SUM(AC274:AC282)</f>
        <v>-2500.5723038064098</v>
      </c>
      <c r="AD283" s="17">
        <f t="shared" si="35"/>
        <v>-39069.739685024892</v>
      </c>
      <c r="AE283" s="17">
        <f t="shared" si="35"/>
        <v>-39085.078147271073</v>
      </c>
      <c r="AF283" s="17">
        <f t="shared" si="35"/>
        <v>-37951.762722008985</v>
      </c>
      <c r="AG283" s="17">
        <f t="shared" si="35"/>
        <v>-39141.475562586515</v>
      </c>
      <c r="AH283" s="17">
        <f t="shared" si="35"/>
        <v>-39155.667429203997</v>
      </c>
      <c r="AI283" s="17">
        <f t="shared" si="35"/>
        <v>-37894.047655732415</v>
      </c>
      <c r="AJ283" s="17">
        <f t="shared" si="35"/>
        <v>-38976.032512420017</v>
      </c>
      <c r="AK283" s="17">
        <f t="shared" si="35"/>
        <v>-38902.107501970881</v>
      </c>
      <c r="AL283" s="17">
        <f t="shared" si="35"/>
        <v>-37639.380196916682</v>
      </c>
      <c r="AM283" s="17">
        <f t="shared" si="35"/>
        <v>-38719.594519672683</v>
      </c>
      <c r="AN283" s="17">
        <f t="shared" si="35"/>
        <v>-38546.668577656121</v>
      </c>
      <c r="AO283" s="17">
        <f t="shared" si="35"/>
        <v>-37197.220393614334</v>
      </c>
      <c r="AP283" s="17">
        <f t="shared" si="35"/>
        <v>-38202.766714641613</v>
      </c>
      <c r="AQ283" s="17">
        <f t="shared" si="35"/>
        <v>-38028.516936783839</v>
      </c>
      <c r="AR283" s="17">
        <f t="shared" si="35"/>
        <v>-36672.640164332304</v>
      </c>
      <c r="AS283" s="17">
        <f t="shared" si="35"/>
        <v>-37841.818754735352</v>
      </c>
      <c r="AT283" s="17">
        <f t="shared" si="35"/>
        <v>-37830.154329284313</v>
      </c>
      <c r="AU283" s="17">
        <f t="shared" si="35"/>
        <v>-36656.324416664691</v>
      </c>
      <c r="AV283" s="17">
        <f t="shared" si="35"/>
        <v>-37810.353769352958</v>
      </c>
      <c r="AW283" s="17">
        <f t="shared" si="35"/>
        <v>-37798.875041416541</v>
      </c>
      <c r="AX283" s="17">
        <f t="shared" si="35"/>
        <v>-36693.181000186218</v>
      </c>
      <c r="AY283" s="17">
        <f t="shared" si="35"/>
        <v>-37942.051855841884</v>
      </c>
      <c r="AZ283" s="17">
        <f t="shared" si="35"/>
        <v>-38041.640559684383</v>
      </c>
      <c r="BA283" s="17">
        <f t="shared" si="35"/>
        <v>-36312.390636848984</v>
      </c>
    </row>
    <row r="284" spans="1:53" outlineLevel="1" x14ac:dyDescent="0.35">
      <c r="A284" s="6" t="s">
        <v>41</v>
      </c>
      <c r="B284" s="6">
        <f t="shared" si="30"/>
        <v>160.84450915278899</v>
      </c>
    </row>
    <row r="285" spans="1:53" outlineLevel="1" x14ac:dyDescent="0.35">
      <c r="A285" s="6" t="s">
        <v>43</v>
      </c>
      <c r="B285" s="6">
        <f t="shared" si="30"/>
        <v>552.22875745518706</v>
      </c>
      <c r="AB285" s="282"/>
      <c r="AC285" s="282"/>
      <c r="AD285" s="282"/>
      <c r="AE285" s="282"/>
      <c r="AF285" s="282"/>
      <c r="AG285" s="282"/>
      <c r="AH285" s="282"/>
      <c r="AI285" s="282"/>
      <c r="AJ285" s="282"/>
      <c r="AK285" s="282"/>
      <c r="AL285" s="282"/>
      <c r="AM285" s="282"/>
      <c r="AN285" s="282"/>
      <c r="AO285" s="282"/>
      <c r="AP285" s="282"/>
      <c r="AQ285" s="282"/>
      <c r="AR285" s="282"/>
      <c r="AS285" s="282"/>
      <c r="AT285" s="282"/>
      <c r="AU285" s="282"/>
      <c r="AV285" s="282"/>
      <c r="AW285" s="282"/>
      <c r="AX285" s="282"/>
      <c r="AY285" s="282"/>
      <c r="AZ285" s="282"/>
      <c r="BA285" s="282"/>
    </row>
    <row r="286" spans="1:53" outlineLevel="1" x14ac:dyDescent="0.35">
      <c r="A286" s="6" t="s">
        <v>44</v>
      </c>
      <c r="B286" s="6">
        <f>B22*AC265</f>
        <v>1240.5281792010687</v>
      </c>
      <c r="AB286" s="282"/>
      <c r="AC286" s="282"/>
      <c r="AD286" s="282"/>
      <c r="AE286" s="282"/>
      <c r="AF286" s="282"/>
      <c r="AG286" s="282"/>
      <c r="AH286" s="282"/>
      <c r="AI286" s="282"/>
      <c r="AJ286" s="282"/>
      <c r="AK286" s="282"/>
      <c r="AL286" s="282"/>
      <c r="AM286" s="282"/>
      <c r="AN286" s="282"/>
      <c r="AO286" s="282"/>
      <c r="AP286" s="282"/>
      <c r="AQ286" s="282"/>
      <c r="AR286" s="282"/>
      <c r="AS286" s="282"/>
      <c r="AT286" s="282"/>
      <c r="AU286" s="282"/>
      <c r="AV286" s="282"/>
      <c r="AW286" s="282"/>
      <c r="AX286" s="282"/>
      <c r="AY286" s="282"/>
      <c r="AZ286" s="282"/>
      <c r="BA286" s="282"/>
    </row>
    <row r="287" spans="1:53" outlineLevel="1" x14ac:dyDescent="0.35">
      <c r="A287" s="6" t="s">
        <v>757</v>
      </c>
      <c r="B287" s="6">
        <f>B23*AC265</f>
        <v>4220.9179495288818</v>
      </c>
      <c r="AB287" s="282"/>
      <c r="AC287" s="282"/>
      <c r="AD287" s="282"/>
      <c r="AE287" s="282"/>
      <c r="AF287" s="282"/>
      <c r="AG287" s="282"/>
      <c r="AH287" s="282"/>
      <c r="AI287" s="282"/>
      <c r="AJ287" s="282"/>
      <c r="AK287" s="282"/>
      <c r="AL287" s="282"/>
      <c r="AM287" s="282"/>
      <c r="AN287" s="282"/>
      <c r="AO287" s="282"/>
      <c r="AP287" s="282"/>
      <c r="AQ287" s="282"/>
      <c r="AR287" s="282"/>
      <c r="AS287" s="282"/>
      <c r="AT287" s="282"/>
      <c r="AU287" s="282"/>
      <c r="AV287" s="282"/>
      <c r="AW287" s="282"/>
      <c r="AX287" s="282"/>
      <c r="AY287" s="282"/>
      <c r="AZ287" s="282"/>
      <c r="BA287" s="282"/>
    </row>
    <row r="288" spans="1:53" outlineLevel="1" x14ac:dyDescent="0.35">
      <c r="A288" s="6" t="s">
        <v>22</v>
      </c>
      <c r="Z288" s="6">
        <f t="shared" ref="Z288:Z299" si="36">Z24</f>
        <v>18.273260416017582</v>
      </c>
      <c r="AB288" s="282"/>
      <c r="AC288" s="282"/>
      <c r="AD288" s="282"/>
      <c r="AE288" s="282"/>
      <c r="AF288" s="282"/>
      <c r="AG288" s="282"/>
      <c r="AH288" s="282"/>
      <c r="AI288" s="282"/>
      <c r="AJ288" s="282"/>
      <c r="AK288" s="282"/>
      <c r="AL288" s="282"/>
      <c r="AM288" s="282"/>
      <c r="AN288" s="282"/>
      <c r="AO288" s="282"/>
      <c r="AP288" s="282"/>
      <c r="AQ288" s="282"/>
      <c r="AR288" s="282"/>
      <c r="AS288" s="282"/>
      <c r="AT288" s="282"/>
      <c r="AU288" s="282"/>
      <c r="AV288" s="282"/>
      <c r="AW288" s="282"/>
      <c r="AX288" s="282"/>
      <c r="AY288" s="282"/>
      <c r="AZ288" s="282"/>
      <c r="BA288" s="282"/>
    </row>
    <row r="289" spans="1:53" outlineLevel="1" x14ac:dyDescent="0.35">
      <c r="A289" s="6" t="s">
        <v>24</v>
      </c>
      <c r="Z289" s="6">
        <f t="shared" si="36"/>
        <v>6.9621462523846738</v>
      </c>
      <c r="AB289" s="282"/>
      <c r="AC289" s="282"/>
      <c r="AD289" s="282"/>
      <c r="AE289" s="282"/>
      <c r="AF289" s="282"/>
      <c r="AG289" s="282"/>
      <c r="AH289" s="282"/>
      <c r="AI289" s="282"/>
      <c r="AJ289" s="282"/>
      <c r="AK289" s="282"/>
      <c r="AL289" s="282"/>
      <c r="AM289" s="282"/>
      <c r="AN289" s="282"/>
      <c r="AO289" s="282"/>
      <c r="AP289" s="282"/>
      <c r="AQ289" s="282"/>
      <c r="AR289" s="282"/>
      <c r="AS289" s="282"/>
      <c r="AT289" s="282"/>
      <c r="AU289" s="282"/>
      <c r="AV289" s="282"/>
      <c r="AW289" s="282"/>
      <c r="AX289" s="282"/>
      <c r="AY289" s="282"/>
      <c r="AZ289" s="282"/>
      <c r="BA289" s="282"/>
    </row>
    <row r="290" spans="1:53" outlineLevel="1" x14ac:dyDescent="0.35">
      <c r="A290" s="6" t="s">
        <v>25</v>
      </c>
      <c r="Z290" s="6">
        <f t="shared" si="36"/>
        <v>24.648328583293029</v>
      </c>
      <c r="AB290" s="282"/>
      <c r="AC290" s="282"/>
      <c r="AD290" s="282"/>
      <c r="AE290" s="282"/>
      <c r="AF290" s="282"/>
      <c r="AG290" s="282"/>
      <c r="AH290" s="282"/>
      <c r="AI290" s="282"/>
      <c r="AJ290" s="282"/>
      <c r="AK290" s="282"/>
      <c r="AL290" s="282"/>
      <c r="AM290" s="282"/>
      <c r="AN290" s="282"/>
      <c r="AO290" s="282"/>
      <c r="AP290" s="282"/>
      <c r="AQ290" s="282"/>
      <c r="AR290" s="282"/>
      <c r="AS290" s="282"/>
      <c r="AT290" s="282"/>
      <c r="AU290" s="282"/>
      <c r="AV290" s="282"/>
      <c r="AW290" s="282"/>
      <c r="AX290" s="282"/>
      <c r="AY290" s="282"/>
      <c r="AZ290" s="282"/>
      <c r="BA290" s="282"/>
    </row>
    <row r="291" spans="1:53" outlineLevel="1" x14ac:dyDescent="0.35">
      <c r="A291" s="6" t="s">
        <v>27</v>
      </c>
      <c r="Z291" s="6">
        <f t="shared" si="36"/>
        <v>7.5999095268562344</v>
      </c>
      <c r="AB291" s="282"/>
      <c r="AC291" s="282"/>
      <c r="AD291" s="282"/>
      <c r="AE291" s="282"/>
      <c r="AF291" s="282"/>
      <c r="AG291" s="282"/>
      <c r="AH291" s="282"/>
      <c r="AI291" s="282"/>
      <c r="AJ291" s="282"/>
      <c r="AK291" s="282"/>
      <c r="AL291" s="282"/>
      <c r="AM291" s="282"/>
      <c r="AN291" s="282"/>
      <c r="AO291" s="282"/>
      <c r="AP291" s="282"/>
      <c r="AQ291" s="282"/>
      <c r="AR291" s="282"/>
      <c r="AS291" s="282"/>
      <c r="AT291" s="282"/>
      <c r="AU291" s="282"/>
      <c r="AV291" s="282"/>
      <c r="AW291" s="282"/>
      <c r="AX291" s="282"/>
      <c r="AY291" s="282"/>
      <c r="AZ291" s="282"/>
      <c r="BA291" s="282"/>
    </row>
    <row r="292" spans="1:53" outlineLevel="1" x14ac:dyDescent="0.35">
      <c r="A292" s="6" t="s">
        <v>30</v>
      </c>
      <c r="Z292" s="6">
        <f t="shared" si="36"/>
        <v>23.823867783595102</v>
      </c>
      <c r="AB292" s="282"/>
      <c r="AC292" s="282"/>
      <c r="AD292" s="282"/>
      <c r="AE292" s="282"/>
      <c r="AF292" s="282"/>
      <c r="AG292" s="282"/>
      <c r="AH292" s="282"/>
      <c r="AI292" s="282"/>
      <c r="AJ292" s="282"/>
      <c r="AK292" s="282"/>
      <c r="AL292" s="282"/>
      <c r="AM292" s="282"/>
      <c r="AN292" s="282"/>
      <c r="AO292" s="282"/>
      <c r="AP292" s="282"/>
      <c r="AQ292" s="282"/>
      <c r="AR292" s="282"/>
      <c r="AS292" s="282"/>
      <c r="AT292" s="282"/>
      <c r="AU292" s="282"/>
      <c r="AV292" s="282"/>
      <c r="AW292" s="282"/>
      <c r="AX292" s="282"/>
      <c r="AY292" s="282"/>
      <c r="AZ292" s="282"/>
      <c r="BA292" s="282"/>
    </row>
    <row r="293" spans="1:53" outlineLevel="1" x14ac:dyDescent="0.35">
      <c r="A293" s="6" t="s">
        <v>32</v>
      </c>
      <c r="Z293" s="6">
        <f t="shared" si="36"/>
        <v>0.97716446400496804</v>
      </c>
      <c r="AB293" s="282"/>
      <c r="AC293" s="282"/>
      <c r="AD293" s="282"/>
      <c r="AE293" s="282"/>
      <c r="AF293" s="282"/>
      <c r="AG293" s="282"/>
      <c r="AH293" s="282"/>
      <c r="AI293" s="282"/>
      <c r="AJ293" s="282"/>
      <c r="AK293" s="282"/>
      <c r="AL293" s="282"/>
      <c r="AM293" s="282"/>
      <c r="AN293" s="282"/>
      <c r="AO293" s="282"/>
      <c r="AP293" s="282"/>
      <c r="AQ293" s="282"/>
      <c r="AR293" s="282"/>
      <c r="AS293" s="282"/>
      <c r="AT293" s="282"/>
      <c r="AU293" s="282"/>
      <c r="AV293" s="282"/>
      <c r="AW293" s="282"/>
      <c r="AX293" s="282"/>
      <c r="AY293" s="282"/>
      <c r="AZ293" s="282"/>
      <c r="BA293" s="282"/>
    </row>
    <row r="294" spans="1:53" outlineLevel="1" x14ac:dyDescent="0.35">
      <c r="A294" s="6" t="s">
        <v>33</v>
      </c>
      <c r="Z294" s="6">
        <f t="shared" si="36"/>
        <v>5.6942969546537281</v>
      </c>
      <c r="AB294" s="282"/>
      <c r="AC294" s="282"/>
      <c r="AD294" s="282"/>
      <c r="AE294" s="282"/>
      <c r="AF294" s="282"/>
      <c r="AG294" s="282"/>
      <c r="AH294" s="282"/>
      <c r="AI294" s="282"/>
      <c r="AJ294" s="282"/>
      <c r="AK294" s="282"/>
      <c r="AL294" s="282"/>
      <c r="AM294" s="282"/>
      <c r="AN294" s="282"/>
      <c r="AO294" s="282"/>
      <c r="AP294" s="282"/>
      <c r="AQ294" s="282"/>
      <c r="AR294" s="282"/>
      <c r="AS294" s="282"/>
      <c r="AT294" s="282"/>
      <c r="AU294" s="282"/>
      <c r="AV294" s="282"/>
      <c r="AW294" s="282"/>
      <c r="AX294" s="282"/>
      <c r="AY294" s="282"/>
      <c r="AZ294" s="282"/>
      <c r="BA294" s="282"/>
    </row>
    <row r="295" spans="1:53" outlineLevel="1" x14ac:dyDescent="0.35">
      <c r="A295" s="6" t="s">
        <v>35</v>
      </c>
      <c r="Z295" s="6">
        <f t="shared" si="36"/>
        <v>11.38859390930746</v>
      </c>
      <c r="AB295" s="282"/>
      <c r="AC295" s="282"/>
      <c r="AD295" s="282"/>
      <c r="AE295" s="282"/>
      <c r="AF295" s="282"/>
      <c r="AG295" s="282"/>
      <c r="AH295" s="282"/>
      <c r="AI295" s="282"/>
      <c r="AJ295" s="282"/>
      <c r="AK295" s="282"/>
      <c r="AL295" s="282"/>
      <c r="AM295" s="282"/>
      <c r="AN295" s="282"/>
      <c r="AO295" s="282"/>
      <c r="AP295" s="282"/>
      <c r="AQ295" s="282"/>
      <c r="AR295" s="282"/>
      <c r="AS295" s="282"/>
      <c r="AT295" s="282"/>
      <c r="AU295" s="282"/>
      <c r="AV295" s="282"/>
      <c r="AW295" s="282"/>
      <c r="AX295" s="282"/>
      <c r="AY295" s="282"/>
      <c r="AZ295" s="282"/>
      <c r="BA295" s="282"/>
    </row>
    <row r="296" spans="1:53" outlineLevel="1" x14ac:dyDescent="0.35">
      <c r="A296" s="6" t="s">
        <v>37</v>
      </c>
      <c r="Z296" s="6">
        <f t="shared" si="36"/>
        <v>14.96062171322496</v>
      </c>
      <c r="AB296" s="282"/>
      <c r="AC296" s="282"/>
      <c r="AD296" s="282"/>
      <c r="AE296" s="282"/>
      <c r="AF296" s="282"/>
      <c r="AG296" s="282"/>
      <c r="AH296" s="282"/>
      <c r="AI296" s="282"/>
      <c r="AJ296" s="282"/>
      <c r="AK296" s="282"/>
      <c r="AL296" s="282"/>
      <c r="AM296" s="282"/>
      <c r="AN296" s="282"/>
      <c r="AO296" s="282"/>
      <c r="AP296" s="282"/>
      <c r="AQ296" s="282"/>
      <c r="AR296" s="282"/>
      <c r="AS296" s="282"/>
      <c r="AT296" s="282"/>
      <c r="AU296" s="282"/>
      <c r="AV296" s="282"/>
      <c r="AW296" s="282"/>
      <c r="AX296" s="282"/>
      <c r="AY296" s="282"/>
      <c r="AZ296" s="282"/>
      <c r="BA296" s="282"/>
    </row>
    <row r="297" spans="1:53" outlineLevel="1" x14ac:dyDescent="0.35">
      <c r="A297" s="6" t="s">
        <v>40</v>
      </c>
      <c r="Z297" s="6">
        <f t="shared" si="36"/>
        <v>285.27572518419629</v>
      </c>
    </row>
    <row r="298" spans="1:53" outlineLevel="1" x14ac:dyDescent="0.35">
      <c r="A298" s="6" t="s">
        <v>42</v>
      </c>
      <c r="Z298" s="6">
        <f t="shared" si="36"/>
        <v>30.660919411160531</v>
      </c>
    </row>
    <row r="299" spans="1:53" outlineLevel="1" x14ac:dyDescent="0.35">
      <c r="A299" s="6" t="s">
        <v>115</v>
      </c>
      <c r="Z299" s="6">
        <f t="shared" si="36"/>
        <v>260.91889950818972</v>
      </c>
    </row>
    <row r="300" spans="1:53" outlineLevel="1" x14ac:dyDescent="0.35">
      <c r="A300" s="6" t="s">
        <v>45</v>
      </c>
      <c r="Z300" s="6">
        <f>Z36*AC265</f>
        <v>11.247260456048089</v>
      </c>
    </row>
    <row r="301" spans="1:53" outlineLevel="1" x14ac:dyDescent="0.35">
      <c r="A301" s="6" t="s">
        <v>116</v>
      </c>
      <c r="B301" s="6">
        <f>B37</f>
        <v>1186.4815932558031</v>
      </c>
      <c r="C301" s="6">
        <f t="shared" ref="C301:Z301" si="37">C37</f>
        <v>1184.4309868083469</v>
      </c>
      <c r="D301" s="6">
        <f t="shared" si="37"/>
        <v>1182.4019980169519</v>
      </c>
      <c r="E301" s="6">
        <f t="shared" si="37"/>
        <v>1175.2724845293581</v>
      </c>
      <c r="F301" s="6">
        <f t="shared" si="37"/>
        <v>1173.2752967188071</v>
      </c>
      <c r="G301" s="6">
        <f t="shared" si="37"/>
        <v>1171.2868602262761</v>
      </c>
      <c r="H301" s="6">
        <f t="shared" si="37"/>
        <v>1172.0887619145631</v>
      </c>
      <c r="I301" s="6">
        <f t="shared" si="37"/>
        <v>1172.9075908463119</v>
      </c>
      <c r="J301" s="6">
        <f t="shared" si="37"/>
        <v>1170.652414406771</v>
      </c>
      <c r="K301" s="6">
        <f t="shared" si="37"/>
        <v>1171.5419235181971</v>
      </c>
      <c r="L301" s="6">
        <f t="shared" si="37"/>
        <v>1172.441544749935</v>
      </c>
      <c r="M301" s="6">
        <f t="shared" si="37"/>
        <v>1174.231826151836</v>
      </c>
      <c r="N301" s="6">
        <f t="shared" si="37"/>
        <v>1176.0346869666</v>
      </c>
      <c r="O301" s="6">
        <f t="shared" si="37"/>
        <v>1177.145364002851</v>
      </c>
      <c r="P301" s="6">
        <f t="shared" si="37"/>
        <v>1178.9976005413471</v>
      </c>
      <c r="Q301" s="6">
        <f t="shared" si="37"/>
        <v>1180.8592879535349</v>
      </c>
      <c r="R301" s="6">
        <f t="shared" si="37"/>
        <v>1176.0256071477111</v>
      </c>
      <c r="S301" s="6">
        <f t="shared" si="37"/>
        <v>1171.1769982701601</v>
      </c>
      <c r="T301" s="6">
        <f t="shared" si="37"/>
        <v>1165.597336992987</v>
      </c>
      <c r="U301" s="6">
        <f t="shared" si="37"/>
        <v>1160.70640988018</v>
      </c>
      <c r="V301" s="6">
        <f t="shared" si="37"/>
        <v>1155.786064528553</v>
      </c>
      <c r="W301" s="6">
        <f t="shared" si="37"/>
        <v>1149.242533712596</v>
      </c>
      <c r="X301" s="6">
        <f t="shared" si="37"/>
        <v>1141.6551910246601</v>
      </c>
      <c r="Y301" s="6">
        <f t="shared" si="37"/>
        <v>1134.033848551484</v>
      </c>
      <c r="Z301" s="6">
        <f t="shared" si="37"/>
        <v>1126.377758844686</v>
      </c>
    </row>
    <row r="302" spans="1:53" outlineLevel="1" x14ac:dyDescent="0.35">
      <c r="A302" s="6" t="s">
        <v>758</v>
      </c>
      <c r="B302" s="6">
        <f>B38*$AC$265</f>
        <v>2741.8605391017363</v>
      </c>
      <c r="C302" s="6">
        <f t="shared" ref="C302:Z303" si="38">C38*$AC$265</f>
        <v>2738.5004245609116</v>
      </c>
      <c r="D302" s="6">
        <f t="shared" si="38"/>
        <v>2735.1515080345512</v>
      </c>
      <c r="E302" s="6">
        <f t="shared" si="38"/>
        <v>2730.4315900117094</v>
      </c>
      <c r="F302" s="6">
        <f t="shared" si="38"/>
        <v>2727.1079407018588</v>
      </c>
      <c r="G302" s="6">
        <f t="shared" si="38"/>
        <v>2723.7864957479323</v>
      </c>
      <c r="H302" s="6">
        <f t="shared" si="38"/>
        <v>2823.1634785704064</v>
      </c>
      <c r="I302" s="6">
        <f t="shared" si="38"/>
        <v>2922.0444174926715</v>
      </c>
      <c r="J302" s="6">
        <f t="shared" si="38"/>
        <v>3019.5358092762417</v>
      </c>
      <c r="K302" s="6">
        <f t="shared" si="38"/>
        <v>3117.5391577591063</v>
      </c>
      <c r="L302" s="6">
        <f t="shared" si="38"/>
        <v>3214.9463704168093</v>
      </c>
      <c r="M302" s="6">
        <f t="shared" si="38"/>
        <v>3388.7790601696033</v>
      </c>
      <c r="N302" s="6">
        <f t="shared" si="38"/>
        <v>3562.2699346162212</v>
      </c>
      <c r="O302" s="6">
        <f t="shared" si="38"/>
        <v>3735.2476046614406</v>
      </c>
      <c r="P302" s="6">
        <f t="shared" si="38"/>
        <v>3908.0421271778036</v>
      </c>
      <c r="Q302" s="6">
        <f t="shared" si="38"/>
        <v>4080.4904565054394</v>
      </c>
      <c r="R302" s="6">
        <f t="shared" si="38"/>
        <v>4108.5508877775137</v>
      </c>
      <c r="S302" s="6">
        <f t="shared" si="38"/>
        <v>4136.534635102329</v>
      </c>
      <c r="T302" s="6">
        <f t="shared" si="38"/>
        <v>4164.2900270009404</v>
      </c>
      <c r="U302" s="6">
        <f t="shared" si="38"/>
        <v>4192.1330816270038</v>
      </c>
      <c r="V302" s="6">
        <f t="shared" si="38"/>
        <v>4219.9077483248939</v>
      </c>
      <c r="W302" s="6">
        <f t="shared" si="38"/>
        <v>4194.849969558737</v>
      </c>
      <c r="X302" s="6">
        <f t="shared" si="38"/>
        <v>4119.1380655846888</v>
      </c>
      <c r="Y302" s="6">
        <f t="shared" si="38"/>
        <v>4043.4777029583229</v>
      </c>
      <c r="Z302" s="6">
        <f t="shared" si="38"/>
        <v>3967.8671144162399</v>
      </c>
    </row>
    <row r="303" spans="1:53" outlineLevel="1" x14ac:dyDescent="0.35">
      <c r="A303" s="6" t="s">
        <v>759</v>
      </c>
      <c r="B303" s="6">
        <f>B39*$AC$265</f>
        <v>0</v>
      </c>
      <c r="C303" s="6">
        <f t="shared" si="38"/>
        <v>0</v>
      </c>
      <c r="D303" s="6">
        <f t="shared" si="38"/>
        <v>0</v>
      </c>
      <c r="E303" s="6">
        <f t="shared" si="38"/>
        <v>0</v>
      </c>
      <c r="F303" s="6">
        <f t="shared" si="38"/>
        <v>0</v>
      </c>
      <c r="G303" s="6">
        <f t="shared" si="38"/>
        <v>0</v>
      </c>
      <c r="H303" s="6">
        <f t="shared" si="38"/>
        <v>0</v>
      </c>
      <c r="I303" s="6">
        <f t="shared" si="38"/>
        <v>0</v>
      </c>
      <c r="J303" s="6">
        <f t="shared" si="38"/>
        <v>0</v>
      </c>
      <c r="K303" s="6">
        <f t="shared" si="38"/>
        <v>0</v>
      </c>
      <c r="L303" s="6">
        <f t="shared" si="38"/>
        <v>0</v>
      </c>
      <c r="M303" s="6">
        <f t="shared" si="38"/>
        <v>0</v>
      </c>
      <c r="N303" s="6">
        <f t="shared" si="38"/>
        <v>0</v>
      </c>
      <c r="O303" s="6">
        <f t="shared" si="38"/>
        <v>0</v>
      </c>
      <c r="P303" s="6">
        <f t="shared" si="38"/>
        <v>0</v>
      </c>
      <c r="Q303" s="6">
        <f t="shared" si="38"/>
        <v>0</v>
      </c>
      <c r="R303" s="6">
        <f t="shared" si="38"/>
        <v>0</v>
      </c>
      <c r="S303" s="6">
        <f t="shared" si="38"/>
        <v>0</v>
      </c>
      <c r="T303" s="6">
        <f t="shared" si="38"/>
        <v>0</v>
      </c>
      <c r="U303" s="6">
        <f t="shared" si="38"/>
        <v>0</v>
      </c>
      <c r="V303" s="6">
        <f t="shared" si="38"/>
        <v>0</v>
      </c>
      <c r="W303" s="6">
        <f t="shared" si="38"/>
        <v>0</v>
      </c>
      <c r="X303" s="6">
        <f t="shared" si="38"/>
        <v>0</v>
      </c>
      <c r="Y303" s="6">
        <f t="shared" si="38"/>
        <v>0</v>
      </c>
      <c r="Z303" s="6">
        <f t="shared" si="38"/>
        <v>0</v>
      </c>
    </row>
    <row r="304" spans="1:53" outlineLevel="1" x14ac:dyDescent="0.35">
      <c r="A304" s="6" t="s">
        <v>760</v>
      </c>
      <c r="B304" s="6">
        <f>150000*$AC$265*'Results - raw data ReCiPe (H)'!CC114/(1-$AC$270)*(1+'Results ReCiPe (H) - HHD'!$AC$271/'Results ReCiPe (H) - HHD'!$AC$272-'Results ReCiPe (H) - HHD'!$AC$271)</f>
        <v>3688.2452017680725</v>
      </c>
      <c r="C304" s="6">
        <f>150000*$AC$265*'Results - raw data ReCiPe (H)'!CD114/(1-$AC$270)*(1+'Results ReCiPe (H) - HHD'!$AC$271/'Results ReCiPe (H) - HHD'!$AC$272-'Results ReCiPe (H) - HHD'!$AC$271)</f>
        <v>3675.8205937827111</v>
      </c>
      <c r="D304" s="6">
        <f>150000*$AC$265*'Results - raw data ReCiPe (H)'!CE114/(1-$AC$270)*(1+'Results ReCiPe (H) - HHD'!$AC$271/'Results ReCiPe (H) - HHD'!$AC$272-'Results ReCiPe (H) - HHD'!$AC$271)</f>
        <v>3663.8310480628961</v>
      </c>
      <c r="E304" s="6">
        <f>150000*$AC$265*'Results - raw data ReCiPe (H)'!CF114/(1-$AC$270)*(1+'Results ReCiPe (H) - HHD'!$AC$271/'Results ReCiPe (H) - HHD'!$AC$272-'Results ReCiPe (H) - HHD'!$AC$271)</f>
        <v>3626.593906818468</v>
      </c>
      <c r="F304" s="6">
        <f>150000*$AC$265*'Results - raw data ReCiPe (H)'!CG114/(1-$AC$270)*(1+'Results ReCiPe (H) - HHD'!$AC$271/'Results ReCiPe (H) - HHD'!$AC$272-'Results ReCiPe (H) - HHD'!$AC$271)</f>
        <v>3615.4772000801463</v>
      </c>
      <c r="G304" s="6">
        <f>150000*$AC$265*'Results - raw data ReCiPe (H)'!CH114/(1-$AC$270)*(1+'Results ReCiPe (H) - HHD'!$AC$271/'Results ReCiPe (H) - HHD'!$AC$272-'Results ReCiPe (H) - HHD'!$AC$271)</f>
        <v>3604.6067784165925</v>
      </c>
      <c r="H304" s="6">
        <f>150000*$AC$265*'Results - raw data ReCiPe (H)'!CI114/(1-$AC$270)*(1+'Results ReCiPe (H) - HHD'!$AC$271/'Results ReCiPe (H) - HHD'!$AC$272-'Results ReCiPe (H) - HHD'!$AC$271)</f>
        <v>3594.7608071511313</v>
      </c>
      <c r="I304" s="6">
        <f>150000*$AC$265*'Results - raw data ReCiPe (H)'!CJ114/(1-$AC$270)*(1+'Results ReCiPe (H) - HHD'!$AC$271/'Results ReCiPe (H) - HHD'!$AC$272-'Results ReCiPe (H) - HHD'!$AC$271)</f>
        <v>3585.9837734558346</v>
      </c>
      <c r="J304" s="6">
        <f>150000*$AC$265*'Results - raw data ReCiPe (H)'!CK114/(1-$AC$270)*(1+'Results ReCiPe (H) - HHD'!$AC$271/'Results ReCiPe (H) - HHD'!$AC$272-'Results ReCiPe (H) - HHD'!$AC$271)</f>
        <v>3562.4173921213983</v>
      </c>
      <c r="K304" s="6">
        <f>150000*$AC$265*'Results - raw data ReCiPe (H)'!CL114/(1-$AC$270)*(1+'Results ReCiPe (H) - HHD'!$AC$271/'Results ReCiPe (H) - HHD'!$AC$272-'Results ReCiPe (H) - HHD'!$AC$271)</f>
        <v>3555.5994251745328</v>
      </c>
      <c r="L304" s="6">
        <f>150000*$AC$265*'Results - raw data ReCiPe (H)'!CM114/(1-$AC$270)*(1+'Results ReCiPe (H) - HHD'!$AC$271/'Results ReCiPe (H) - HHD'!$AC$272-'Results ReCiPe (H) - HHD'!$AC$271)</f>
        <v>3549.519813279031</v>
      </c>
      <c r="M304" s="6">
        <f>150000*$AC$265*'Results - raw data ReCiPe (H)'!CN114/(1-$AC$270)*(1+'Results ReCiPe (H) - HHD'!$AC$271/'Results ReCiPe (H) - HHD'!$AC$272-'Results ReCiPe (H) - HHD'!$AC$271)</f>
        <v>3548.6130655427942</v>
      </c>
      <c r="N304" s="6">
        <f>150000*$AC$265*'Results - raw data ReCiPe (H)'!CO114/(1-$AC$270)*(1+'Results ReCiPe (H) - HHD'!$AC$271/'Results ReCiPe (H) - HHD'!$AC$272-'Results ReCiPe (H) - HHD'!$AC$271)</f>
        <v>3548.535688171366</v>
      </c>
      <c r="O304" s="6">
        <f>150000*$AC$265*'Results - raw data ReCiPe (H)'!CP114/(1-$AC$270)*(1+'Results ReCiPe (H) - HHD'!$AC$271/'Results ReCiPe (H) - HHD'!$AC$272-'Results ReCiPe (H) - HHD'!$AC$271)</f>
        <v>3546.0463840654647</v>
      </c>
      <c r="P304" s="6">
        <f>150000*$AC$265*'Results - raw data ReCiPe (H)'!CQ114/(1-$AC$270)*(1+'Results ReCiPe (H) - HHD'!$AC$271/'Results ReCiPe (H) - HHD'!$AC$272-'Results ReCiPe (H) - HHD'!$AC$271)</f>
        <v>3547.5016394068757</v>
      </c>
      <c r="Q304" s="6">
        <f>150000*$AC$265*'Results - raw data ReCiPe (H)'!CR114/(1-$AC$270)*(1+'Results ReCiPe (H) - HHD'!$AC$271/'Results ReCiPe (H) - HHD'!$AC$272-'Results ReCiPe (H) - HHD'!$AC$271)</f>
        <v>3550.0707945772447</v>
      </c>
      <c r="R304" s="6">
        <f>150000*$AC$265*'Results - raw data ReCiPe (H)'!CS114/(1-$AC$270)*(1+'Results ReCiPe (H) - HHD'!$AC$271/'Results ReCiPe (H) - HHD'!$AC$272-'Results ReCiPe (H) - HHD'!$AC$271)</f>
        <v>3533.6910608556559</v>
      </c>
      <c r="S304" s="6">
        <f>150000*$AC$265*'Results - raw data ReCiPe (H)'!CT114/(1-$AC$270)*(1+'Results ReCiPe (H) - HHD'!$AC$271/'Results ReCiPe (H) - HHD'!$AC$272-'Results ReCiPe (H) - HHD'!$AC$271)</f>
        <v>3517.3717389818739</v>
      </c>
      <c r="T304" s="6">
        <f>150000*$AC$265*'Results - raw data ReCiPe (H)'!CU114/(1-$AC$270)*(1+'Results ReCiPe (H) - HHD'!$AC$271/'Results ReCiPe (H) - HHD'!$AC$272-'Results ReCiPe (H) - HHD'!$AC$271)</f>
        <v>3497.8489227098994</v>
      </c>
      <c r="U304" s="6">
        <f>150000*$AC$265*'Results - raw data ReCiPe (H)'!CV114/(1-$AC$270)*(1+'Results ReCiPe (H) - HHD'!$AC$271/'Results ReCiPe (H) - HHD'!$AC$272-'Results ReCiPe (H) - HHD'!$AC$271)</f>
        <v>3481.573852388558</v>
      </c>
      <c r="V304" s="6">
        <f>150000*$AC$265*'Results - raw data ReCiPe (H)'!CW114/(1-$AC$270)*(1+'Results ReCiPe (H) - HHD'!$AC$271/'Results ReCiPe (H) - HHD'!$AC$272-'Results ReCiPe (H) - HHD'!$AC$271)</f>
        <v>3465.2779136270888</v>
      </c>
      <c r="W304" s="6">
        <f>150000*$AC$265*'Results - raw data ReCiPe (H)'!CX114/(1-$AC$270)*(1+'Results ReCiPe (H) - HHD'!$AC$271/'Results ReCiPe (H) - HHD'!$AC$272-'Results ReCiPe (H) - HHD'!$AC$271)</f>
        <v>3446.7871999109675</v>
      </c>
      <c r="X304" s="6">
        <f>150000*$AC$265*'Results - raw data ReCiPe (H)'!CY114/(1-$AC$270)*(1+'Results ReCiPe (H) - HHD'!$AC$271/'Results ReCiPe (H) - HHD'!$AC$272-'Results ReCiPe (H) - HHD'!$AC$271)</f>
        <v>3422.8707819419415</v>
      </c>
      <c r="Y304" s="6">
        <f>150000*$AC$265*'Results - raw data ReCiPe (H)'!CZ114/(1-$AC$270)*(1+'Results ReCiPe (H) - HHD'!$AC$271/'Results ReCiPe (H) - HHD'!$AC$272-'Results ReCiPe (H) - HHD'!$AC$271)</f>
        <v>3398.9424407258107</v>
      </c>
      <c r="Z304" s="6">
        <f>150000*$AC$265*'Results - raw data ReCiPe (H)'!DA114/(1-$AC$270)*(1+'Results ReCiPe (H) - HHD'!$AC$271/'Results ReCiPe (H) - HHD'!$AC$272-'Results ReCiPe (H) - HHD'!$AC$271)</f>
        <v>3374.994199095675</v>
      </c>
    </row>
    <row r="305" spans="1:26" outlineLevel="1" x14ac:dyDescent="0.35">
      <c r="A305" s="6" t="s">
        <v>797</v>
      </c>
      <c r="B305" s="6">
        <f>$B$260*$AC$264</f>
        <v>4515.9392966314808</v>
      </c>
      <c r="C305" s="6">
        <f t="shared" ref="C305:Z305" si="39">$B$260*$AC$264</f>
        <v>4515.9392966314808</v>
      </c>
      <c r="D305" s="6">
        <f t="shared" si="39"/>
        <v>4515.9392966314808</v>
      </c>
      <c r="E305" s="6">
        <f t="shared" si="39"/>
        <v>4515.9392966314808</v>
      </c>
      <c r="F305" s="6">
        <f t="shared" si="39"/>
        <v>4515.9392966314808</v>
      </c>
      <c r="G305" s="6">
        <f t="shared" si="39"/>
        <v>4515.9392966314808</v>
      </c>
      <c r="H305" s="6">
        <f t="shared" si="39"/>
        <v>4515.9392966314808</v>
      </c>
      <c r="I305" s="6">
        <f t="shared" si="39"/>
        <v>4515.9392966314808</v>
      </c>
      <c r="J305" s="6">
        <f t="shared" si="39"/>
        <v>4515.9392966314808</v>
      </c>
      <c r="K305" s="6">
        <f t="shared" si="39"/>
        <v>4515.9392966314808</v>
      </c>
      <c r="L305" s="6">
        <f t="shared" si="39"/>
        <v>4515.9392966314808</v>
      </c>
      <c r="M305" s="6">
        <f t="shared" si="39"/>
        <v>4515.9392966314808</v>
      </c>
      <c r="N305" s="6">
        <f t="shared" si="39"/>
        <v>4515.9392966314808</v>
      </c>
      <c r="O305" s="6">
        <f t="shared" si="39"/>
        <v>4515.9392966314808</v>
      </c>
      <c r="P305" s="6">
        <f t="shared" si="39"/>
        <v>4515.9392966314808</v>
      </c>
      <c r="Q305" s="6">
        <f t="shared" si="39"/>
        <v>4515.9392966314808</v>
      </c>
      <c r="R305" s="6">
        <f t="shared" si="39"/>
        <v>4515.9392966314808</v>
      </c>
      <c r="S305" s="6">
        <f t="shared" si="39"/>
        <v>4515.9392966314808</v>
      </c>
      <c r="T305" s="6">
        <f t="shared" si="39"/>
        <v>4515.9392966314808</v>
      </c>
      <c r="U305" s="6">
        <f t="shared" si="39"/>
        <v>4515.9392966314808</v>
      </c>
      <c r="V305" s="6">
        <f t="shared" si="39"/>
        <v>4515.9392966314808</v>
      </c>
      <c r="W305" s="6">
        <f t="shared" si="39"/>
        <v>4515.9392966314808</v>
      </c>
      <c r="X305" s="6">
        <f t="shared" si="39"/>
        <v>4515.9392966314808</v>
      </c>
      <c r="Y305" s="6">
        <f t="shared" si="39"/>
        <v>4515.9392966314808</v>
      </c>
      <c r="Z305" s="6">
        <f t="shared" si="39"/>
        <v>4515.9392966314808</v>
      </c>
    </row>
    <row r="306" spans="1:26" outlineLevel="1" x14ac:dyDescent="0.35">
      <c r="A306" s="23" t="s">
        <v>125</v>
      </c>
      <c r="B306" s="17">
        <f t="shared" ref="B306:Z306" si="40">SUM(B274:B304)</f>
        <v>42983.488399562098</v>
      </c>
      <c r="C306" s="17">
        <f t="shared" si="40"/>
        <v>7598.7520051519696</v>
      </c>
      <c r="D306" s="17">
        <f t="shared" si="40"/>
        <v>7581.3845541143992</v>
      </c>
      <c r="E306" s="17">
        <f t="shared" si="40"/>
        <v>7532.2979813595357</v>
      </c>
      <c r="F306" s="17">
        <f t="shared" si="40"/>
        <v>7515.8604375008126</v>
      </c>
      <c r="G306" s="17">
        <f t="shared" si="40"/>
        <v>7499.680134390801</v>
      </c>
      <c r="H306" s="17">
        <f t="shared" si="40"/>
        <v>7590.013047636101</v>
      </c>
      <c r="I306" s="17">
        <f t="shared" si="40"/>
        <v>7680.9357817948185</v>
      </c>
      <c r="J306" s="17">
        <f t="shared" si="40"/>
        <v>7752.6056158044103</v>
      </c>
      <c r="K306" s="17">
        <f t="shared" si="40"/>
        <v>7844.6805064518358</v>
      </c>
      <c r="L306" s="17">
        <f t="shared" si="40"/>
        <v>7936.9077284457753</v>
      </c>
      <c r="M306" s="17">
        <f t="shared" si="40"/>
        <v>8111.6239518642333</v>
      </c>
      <c r="N306" s="17">
        <f t="shared" si="40"/>
        <v>8286.8403097541886</v>
      </c>
      <c r="O306" s="17">
        <f t="shared" si="40"/>
        <v>8458.4393527297561</v>
      </c>
      <c r="P306" s="17">
        <f t="shared" si="40"/>
        <v>8634.5413671260267</v>
      </c>
      <c r="Q306" s="17">
        <f t="shared" si="40"/>
        <v>8811.4205390362185</v>
      </c>
      <c r="R306" s="17">
        <f t="shared" si="40"/>
        <v>8818.2675557808798</v>
      </c>
      <c r="S306" s="17">
        <f t="shared" si="40"/>
        <v>8825.0833723543619</v>
      </c>
      <c r="T306" s="17">
        <f t="shared" si="40"/>
        <v>8827.7362867038264</v>
      </c>
      <c r="U306" s="17">
        <f t="shared" si="40"/>
        <v>8834.4133438957415</v>
      </c>
      <c r="V306" s="17">
        <f t="shared" si="40"/>
        <v>8840.9717264805349</v>
      </c>
      <c r="W306" s="17">
        <f t="shared" si="40"/>
        <v>8790.8797031823015</v>
      </c>
      <c r="X306" s="17">
        <f t="shared" si="40"/>
        <v>8683.664038551291</v>
      </c>
      <c r="Y306" s="17">
        <f t="shared" si="40"/>
        <v>8576.453992235618</v>
      </c>
      <c r="Z306" s="17">
        <f t="shared" si="40"/>
        <v>9171.6700665195331</v>
      </c>
    </row>
    <row r="307" spans="1:26" outlineLevel="1" x14ac:dyDescent="0.35"/>
    <row r="308" spans="1:26" s="18" customFormat="1" ht="21" x14ac:dyDescent="0.5">
      <c r="A308" s="18" t="s">
        <v>73</v>
      </c>
    </row>
    <row r="309" spans="1:26" s="20" customFormat="1" outlineLevel="1" x14ac:dyDescent="0.35">
      <c r="A309" s="19" t="s">
        <v>788</v>
      </c>
    </row>
    <row r="310" spans="1:26" s="20" customFormat="1" outlineLevel="1" x14ac:dyDescent="0.35">
      <c r="A310" s="273" t="s">
        <v>775</v>
      </c>
      <c r="B310" s="20">
        <v>1</v>
      </c>
      <c r="C310" s="274" t="s">
        <v>787</v>
      </c>
    </row>
    <row r="311" spans="1:26" s="20" customFormat="1" outlineLevel="1" x14ac:dyDescent="0.35">
      <c r="A311" s="273" t="s">
        <v>781</v>
      </c>
      <c r="B311" s="20">
        <v>100000</v>
      </c>
      <c r="C311" s="20" t="s">
        <v>782</v>
      </c>
      <c r="E311" s="274"/>
    </row>
    <row r="312" spans="1:26" s="20" customFormat="1" outlineLevel="1" x14ac:dyDescent="0.35">
      <c r="A312" s="273" t="s">
        <v>783</v>
      </c>
      <c r="B312" s="20">
        <v>1500</v>
      </c>
      <c r="C312" s="20" t="s">
        <v>592</v>
      </c>
    </row>
    <row r="313" spans="1:26" s="20" customFormat="1" outlineLevel="1" x14ac:dyDescent="0.35">
      <c r="A313" s="273" t="s">
        <v>784</v>
      </c>
      <c r="B313" s="20">
        <v>8760</v>
      </c>
      <c r="C313" s="20" t="s">
        <v>785</v>
      </c>
    </row>
    <row r="314" spans="1:26" s="20" customFormat="1" outlineLevel="1" x14ac:dyDescent="0.35">
      <c r="A314" s="273"/>
    </row>
    <row r="315" spans="1:26" s="20" customFormat="1" outlineLevel="1" x14ac:dyDescent="0.35">
      <c r="A315" s="275" t="s">
        <v>786</v>
      </c>
      <c r="B315" s="275">
        <f>(B311*B312)/(B313*B310)</f>
        <v>17123.287671232876</v>
      </c>
      <c r="C315" s="275" t="s">
        <v>749</v>
      </c>
    </row>
    <row r="316" spans="1:26" s="20" customFormat="1" outlineLevel="1" x14ac:dyDescent="0.35">
      <c r="A316" s="19"/>
    </row>
    <row r="317" spans="1:26" s="20" customFormat="1" outlineLevel="1" x14ac:dyDescent="0.35">
      <c r="A317" s="19" t="s">
        <v>793</v>
      </c>
    </row>
    <row r="318" spans="1:26" s="20" customFormat="1" outlineLevel="1" x14ac:dyDescent="0.35">
      <c r="A318" s="273" t="s">
        <v>789</v>
      </c>
      <c r="B318" s="20">
        <f>SUM('Results - raw data ReCiPe (H)'!CC146:CC147)+'Results - raw data ReCiPe (H)'!CC150+SUM('Results - raw data ReCiPe (H)'!CC148:CC149)*AC267</f>
        <v>800.95711513329411</v>
      </c>
      <c r="C318" s="20" t="s">
        <v>873</v>
      </c>
    </row>
    <row r="319" spans="1:26" s="20" customFormat="1" outlineLevel="1" x14ac:dyDescent="0.35">
      <c r="A319" s="20" t="s">
        <v>792</v>
      </c>
      <c r="B319" s="20">
        <f>B311*AC325</f>
        <v>50000</v>
      </c>
      <c r="C319" s="274" t="s">
        <v>795</v>
      </c>
    </row>
    <row r="320" spans="1:26" s="20" customFormat="1" outlineLevel="1" x14ac:dyDescent="0.35">
      <c r="A320" s="20" t="s">
        <v>791</v>
      </c>
      <c r="B320" s="20">
        <f>(B318*AC327*B315)/(B319*AC326)*(AC326/AC328)</f>
        <v>82.290114568489116</v>
      </c>
      <c r="C320" s="20" t="s">
        <v>874</v>
      </c>
      <c r="E320" s="274" t="s">
        <v>796</v>
      </c>
    </row>
    <row r="321" spans="1:53" s="20" customFormat="1" outlineLevel="1" x14ac:dyDescent="0.35">
      <c r="A321" s="19"/>
    </row>
    <row r="322" spans="1:53" s="16" customFormat="1" outlineLevel="1" x14ac:dyDescent="0.35">
      <c r="A322" s="21"/>
      <c r="AB322" s="16" t="s">
        <v>801</v>
      </c>
      <c r="AC322" s="16">
        <v>1</v>
      </c>
      <c r="AD322" s="16" t="s">
        <v>146</v>
      </c>
      <c r="AE322" s="15" t="s">
        <v>714</v>
      </c>
    </row>
    <row r="323" spans="1:53" s="16" customFormat="1" outlineLevel="1" x14ac:dyDescent="0.35">
      <c r="A323" s="22" t="s">
        <v>566</v>
      </c>
      <c r="AC323" s="16">
        <f>AC322*1000</f>
        <v>1000</v>
      </c>
      <c r="AD323" s="16" t="s">
        <v>144</v>
      </c>
    </row>
    <row r="324" spans="1:53" s="16" customFormat="1" outlineLevel="1" x14ac:dyDescent="0.35">
      <c r="A324" s="22"/>
      <c r="AB324" s="16" t="s">
        <v>127</v>
      </c>
      <c r="AC324" s="16">
        <f>100*AC325</f>
        <v>50</v>
      </c>
      <c r="AD324" s="16" t="s">
        <v>128</v>
      </c>
    </row>
    <row r="325" spans="1:53" s="16" customFormat="1" outlineLevel="1" x14ac:dyDescent="0.35">
      <c r="A325" s="230"/>
      <c r="AB325" s="16" t="s">
        <v>776</v>
      </c>
      <c r="AC325" s="16">
        <v>0.5</v>
      </c>
    </row>
    <row r="326" spans="1:53" s="16" customFormat="1" outlineLevel="1" x14ac:dyDescent="0.35">
      <c r="A326" s="21"/>
      <c r="AB326" s="16" t="s">
        <v>129</v>
      </c>
      <c r="AC326" s="16">
        <v>25</v>
      </c>
      <c r="AD326" s="16" t="s">
        <v>130</v>
      </c>
    </row>
    <row r="327" spans="1:53" s="16" customFormat="1" outlineLevel="1" x14ac:dyDescent="0.35">
      <c r="A327" s="21"/>
      <c r="AB327" s="16" t="s">
        <v>777</v>
      </c>
      <c r="AC327" s="16">
        <v>6</v>
      </c>
      <c r="AD327" s="16" t="s">
        <v>779</v>
      </c>
    </row>
    <row r="328" spans="1:53" s="16" customFormat="1" outlineLevel="1" x14ac:dyDescent="0.35">
      <c r="A328" s="21"/>
      <c r="AB328" s="16" t="s">
        <v>778</v>
      </c>
      <c r="AC328" s="16">
        <v>20</v>
      </c>
      <c r="AD328" s="16" t="s">
        <v>130</v>
      </c>
    </row>
    <row r="329" spans="1:53" s="16" customFormat="1" outlineLevel="1" x14ac:dyDescent="0.35">
      <c r="AB329" s="16" t="s">
        <v>780</v>
      </c>
      <c r="AC329" s="16">
        <f>B315</f>
        <v>17123.287671232876</v>
      </c>
      <c r="AD329" s="16" t="s">
        <v>749</v>
      </c>
    </row>
    <row r="330" spans="1:53" s="16" customFormat="1" outlineLevel="1" x14ac:dyDescent="0.35">
      <c r="AB330" s="16" t="s">
        <v>820</v>
      </c>
      <c r="AC330" s="16">
        <v>0.5</v>
      </c>
    </row>
    <row r="331" spans="1:53" s="16" customFormat="1" outlineLevel="1" x14ac:dyDescent="0.35">
      <c r="AB331" s="16" t="s">
        <v>798</v>
      </c>
      <c r="AC331" s="16">
        <v>0.25</v>
      </c>
    </row>
    <row r="332" spans="1:53" s="16" customFormat="1" outlineLevel="1" x14ac:dyDescent="0.35">
      <c r="A332" s="22"/>
      <c r="AB332" s="16" t="s">
        <v>799</v>
      </c>
      <c r="AC332" s="16">
        <v>0.9</v>
      </c>
    </row>
    <row r="333" spans="1:53" outlineLevel="1" x14ac:dyDescent="0.35">
      <c r="B333" s="25">
        <v>2030</v>
      </c>
      <c r="C333" s="25">
        <v>2031</v>
      </c>
      <c r="D333" s="25">
        <v>2032</v>
      </c>
      <c r="E333" s="25">
        <v>2033</v>
      </c>
      <c r="F333" s="25">
        <v>2034</v>
      </c>
      <c r="G333" s="25">
        <v>2035</v>
      </c>
      <c r="H333" s="25">
        <v>2036</v>
      </c>
      <c r="I333" s="25">
        <v>2037</v>
      </c>
      <c r="J333" s="25">
        <v>2038</v>
      </c>
      <c r="K333" s="25">
        <v>2039</v>
      </c>
      <c r="L333" s="25">
        <v>2040</v>
      </c>
      <c r="M333" s="25">
        <v>2041</v>
      </c>
      <c r="N333" s="25">
        <v>2042</v>
      </c>
      <c r="O333" s="25">
        <v>2043</v>
      </c>
      <c r="P333" s="25">
        <v>2044</v>
      </c>
      <c r="Q333" s="25">
        <v>2045</v>
      </c>
      <c r="R333" s="25">
        <v>2046</v>
      </c>
      <c r="S333" s="25">
        <v>2047</v>
      </c>
      <c r="T333" s="25">
        <v>2048</v>
      </c>
      <c r="U333" s="25">
        <v>2049</v>
      </c>
      <c r="V333" s="25">
        <v>2050</v>
      </c>
      <c r="W333" s="25">
        <v>2051</v>
      </c>
      <c r="X333" s="25">
        <v>2052</v>
      </c>
      <c r="Y333" s="25">
        <v>2053</v>
      </c>
      <c r="Z333" s="25">
        <v>2054</v>
      </c>
      <c r="AC333" s="25">
        <v>2030</v>
      </c>
      <c r="AD333" s="25">
        <v>2031</v>
      </c>
      <c r="AE333" s="25">
        <v>2032</v>
      </c>
      <c r="AF333" s="25">
        <v>2033</v>
      </c>
      <c r="AG333" s="25">
        <v>2034</v>
      </c>
      <c r="AH333" s="25">
        <v>2035</v>
      </c>
      <c r="AI333" s="25">
        <v>2036</v>
      </c>
      <c r="AJ333" s="25">
        <v>2037</v>
      </c>
      <c r="AK333" s="25">
        <v>2038</v>
      </c>
      <c r="AL333" s="25">
        <v>2039</v>
      </c>
      <c r="AM333" s="25">
        <v>2040</v>
      </c>
      <c r="AN333" s="25">
        <v>2041</v>
      </c>
      <c r="AO333" s="25">
        <v>2042</v>
      </c>
      <c r="AP333" s="25">
        <v>2043</v>
      </c>
      <c r="AQ333" s="25">
        <v>2044</v>
      </c>
      <c r="AR333" s="25">
        <v>2045</v>
      </c>
      <c r="AS333" s="25">
        <v>2046</v>
      </c>
      <c r="AT333" s="25">
        <v>2047</v>
      </c>
      <c r="AU333" s="25">
        <v>2048</v>
      </c>
      <c r="AV333" s="25">
        <v>2049</v>
      </c>
      <c r="AW333" s="25">
        <v>2050</v>
      </c>
      <c r="AX333" s="25">
        <v>2051</v>
      </c>
      <c r="AY333" s="25">
        <v>2052</v>
      </c>
      <c r="AZ333" s="25">
        <v>2053</v>
      </c>
      <c r="BA333" s="25">
        <v>2054</v>
      </c>
    </row>
    <row r="334" spans="1:53" outlineLevel="1" x14ac:dyDescent="0.35">
      <c r="A334" s="6" t="s">
        <v>21</v>
      </c>
      <c r="B334" s="6">
        <f>B50</f>
        <v>664.0801386284005</v>
      </c>
      <c r="AB334" s="6" t="s">
        <v>117</v>
      </c>
      <c r="AC334" s="6">
        <f>SUM(B334:B345)+B347</f>
        <v>31378.879876764171</v>
      </c>
    </row>
    <row r="335" spans="1:53" outlineLevel="1" x14ac:dyDescent="0.35">
      <c r="A335" s="6" t="s">
        <v>23</v>
      </c>
      <c r="B335" s="6">
        <f t="shared" ref="B335:B345" si="41">B51</f>
        <v>880.72967752235445</v>
      </c>
      <c r="AB335" s="6" t="s">
        <v>118</v>
      </c>
      <c r="AC335" s="6">
        <f>B346</f>
        <v>1160.6778619998327</v>
      </c>
    </row>
    <row r="336" spans="1:53" outlineLevel="1" x14ac:dyDescent="0.35">
      <c r="A336" s="6" t="s">
        <v>26</v>
      </c>
      <c r="B336" s="6">
        <f t="shared" si="41"/>
        <v>2726.2435258181008</v>
      </c>
      <c r="AB336" s="6" t="s">
        <v>119</v>
      </c>
      <c r="BA336" s="6">
        <f>SUM(Z348:Z359)</f>
        <v>578.38595176265494</v>
      </c>
    </row>
    <row r="337" spans="1:53" outlineLevel="1" x14ac:dyDescent="0.35">
      <c r="A337" s="6" t="s">
        <v>28</v>
      </c>
      <c r="B337" s="6">
        <f t="shared" si="41"/>
        <v>2535.5148250076131</v>
      </c>
      <c r="AB337" s="6" t="s">
        <v>120</v>
      </c>
      <c r="BA337" s="6">
        <f>Z360</f>
        <v>10.479499779531061</v>
      </c>
    </row>
    <row r="338" spans="1:53" outlineLevel="1" x14ac:dyDescent="0.35">
      <c r="A338" s="6" t="s">
        <v>29</v>
      </c>
      <c r="B338" s="6">
        <f t="shared" si="41"/>
        <v>1516.390580972007</v>
      </c>
      <c r="AB338" s="6" t="s">
        <v>121</v>
      </c>
      <c r="AC338" s="6">
        <f>B361</f>
        <v>1148.3409729516229</v>
      </c>
      <c r="AF338" s="6">
        <f>E361</f>
        <v>1112.2182425813739</v>
      </c>
      <c r="AI338" s="6">
        <f>H361</f>
        <v>1076.9191461281321</v>
      </c>
      <c r="AL338" s="6">
        <f>K361</f>
        <v>1031.286216035297</v>
      </c>
      <c r="AO338" s="6">
        <f>N361</f>
        <v>977.44851845379105</v>
      </c>
      <c r="AR338" s="6">
        <f>Q361</f>
        <v>917.987027187487</v>
      </c>
      <c r="AU338" s="6">
        <f>T361</f>
        <v>875.86379727760391</v>
      </c>
      <c r="AX338" s="6">
        <f>W361</f>
        <v>846.3879160889735</v>
      </c>
      <c r="BA338" s="6">
        <f>Z361</f>
        <v>839.0363303143256</v>
      </c>
    </row>
    <row r="339" spans="1:53" outlineLevel="1" x14ac:dyDescent="0.35">
      <c r="A339" s="6" t="s">
        <v>31</v>
      </c>
      <c r="B339" s="6">
        <f t="shared" si="41"/>
        <v>1090.8211920973019</v>
      </c>
      <c r="AB339" s="6" t="s">
        <v>797</v>
      </c>
      <c r="AC339" s="6">
        <f>B365</f>
        <v>4114.5057284244558</v>
      </c>
      <c r="AD339" s="6">
        <f t="shared" ref="AD339:BA339" si="42">C365</f>
        <v>4114.5057284244558</v>
      </c>
      <c r="AE339" s="6">
        <f t="shared" si="42"/>
        <v>4114.5057284244558</v>
      </c>
      <c r="AF339" s="6">
        <f t="shared" si="42"/>
        <v>4114.5057284244558</v>
      </c>
      <c r="AG339" s="6">
        <f t="shared" si="42"/>
        <v>4114.5057284244558</v>
      </c>
      <c r="AH339" s="6">
        <f t="shared" si="42"/>
        <v>4114.5057284244558</v>
      </c>
      <c r="AI339" s="6">
        <f t="shared" si="42"/>
        <v>4114.5057284244558</v>
      </c>
      <c r="AJ339" s="6">
        <f t="shared" si="42"/>
        <v>4114.5057284244558</v>
      </c>
      <c r="AK339" s="6">
        <f t="shared" si="42"/>
        <v>4114.5057284244558</v>
      </c>
      <c r="AL339" s="6">
        <f t="shared" si="42"/>
        <v>4114.5057284244558</v>
      </c>
      <c r="AM339" s="6">
        <f t="shared" si="42"/>
        <v>4114.5057284244558</v>
      </c>
      <c r="AN339" s="6">
        <f t="shared" si="42"/>
        <v>4114.5057284244558</v>
      </c>
      <c r="AO339" s="6">
        <f t="shared" si="42"/>
        <v>4114.5057284244558</v>
      </c>
      <c r="AP339" s="6">
        <f t="shared" si="42"/>
        <v>4114.5057284244558</v>
      </c>
      <c r="AQ339" s="6">
        <f t="shared" si="42"/>
        <v>4114.5057284244558</v>
      </c>
      <c r="AR339" s="6">
        <f t="shared" si="42"/>
        <v>4114.5057284244558</v>
      </c>
      <c r="AS339" s="6">
        <f t="shared" si="42"/>
        <v>4114.5057284244558</v>
      </c>
      <c r="AT339" s="6">
        <f t="shared" si="42"/>
        <v>4114.5057284244558</v>
      </c>
      <c r="AU339" s="6">
        <f t="shared" si="42"/>
        <v>4114.5057284244558</v>
      </c>
      <c r="AV339" s="6">
        <f t="shared" si="42"/>
        <v>4114.5057284244558</v>
      </c>
      <c r="AW339" s="6">
        <f t="shared" si="42"/>
        <v>4114.5057284244558</v>
      </c>
      <c r="AX339" s="6">
        <f t="shared" si="42"/>
        <v>4114.5057284244558</v>
      </c>
      <c r="AY339" s="6">
        <f t="shared" si="42"/>
        <v>4114.5057284244558</v>
      </c>
      <c r="AZ339" s="6">
        <f t="shared" si="42"/>
        <v>4114.5057284244558</v>
      </c>
      <c r="BA339" s="6">
        <f t="shared" si="42"/>
        <v>4114.5057284244558</v>
      </c>
    </row>
    <row r="340" spans="1:53" outlineLevel="1" x14ac:dyDescent="0.35">
      <c r="A340" s="6" t="s">
        <v>34</v>
      </c>
      <c r="B340" s="6">
        <f t="shared" si="41"/>
        <v>720.17360726585548</v>
      </c>
      <c r="AB340" s="6" t="s">
        <v>122</v>
      </c>
      <c r="AC340" s="6">
        <f t="shared" ref="AC340:AV340" si="43">B364+B363</f>
        <v>3313.2534927617353</v>
      </c>
      <c r="AD340" s="6">
        <f t="shared" si="43"/>
        <v>3239.2026947697987</v>
      </c>
      <c r="AE340" s="6">
        <f t="shared" si="43"/>
        <v>3164.5240281555916</v>
      </c>
      <c r="AF340" s="6">
        <f t="shared" si="43"/>
        <v>3064.341512418373</v>
      </c>
      <c r="AG340" s="6">
        <f t="shared" si="43"/>
        <v>2988.6838258902621</v>
      </c>
      <c r="AH340" s="6">
        <f t="shared" si="43"/>
        <v>2912.405223199416</v>
      </c>
      <c r="AI340" s="6">
        <f t="shared" si="43"/>
        <v>2842.0069077299704</v>
      </c>
      <c r="AJ340" s="6">
        <f t="shared" si="43"/>
        <v>2777.195727888542</v>
      </c>
      <c r="AK340" s="6">
        <f t="shared" si="43"/>
        <v>2699.7264849987537</v>
      </c>
      <c r="AL340" s="6">
        <f t="shared" si="43"/>
        <v>2637.7492458362362</v>
      </c>
      <c r="AM340" s="6">
        <f t="shared" si="43"/>
        <v>2575.4588627098487</v>
      </c>
      <c r="AN340" s="6">
        <f t="shared" si="43"/>
        <v>2512.7013701418518</v>
      </c>
      <c r="AO340" s="6">
        <f t="shared" si="43"/>
        <v>2450.7214607923779</v>
      </c>
      <c r="AP340" s="6">
        <f t="shared" si="43"/>
        <v>2385.4975303762108</v>
      </c>
      <c r="AQ340" s="6">
        <f t="shared" si="43"/>
        <v>2325.1444141701259</v>
      </c>
      <c r="AR340" s="6">
        <f t="shared" si="43"/>
        <v>2265.6454568774971</v>
      </c>
      <c r="AS340" s="6">
        <f t="shared" si="43"/>
        <v>2223.2871447864327</v>
      </c>
      <c r="AT340" s="6">
        <f t="shared" si="43"/>
        <v>2181.872516864637</v>
      </c>
      <c r="AU340" s="6">
        <f t="shared" si="43"/>
        <v>2138.0676515326049</v>
      </c>
      <c r="AV340" s="6">
        <f t="shared" si="43"/>
        <v>2098.8526181997881</v>
      </c>
      <c r="AW340" s="6">
        <f>V364</f>
        <v>2061.4120163942912</v>
      </c>
      <c r="AX340" s="6">
        <f>W364</f>
        <v>2053.4092350889641</v>
      </c>
      <c r="AY340" s="6">
        <f>X364</f>
        <v>2043.2361129798248</v>
      </c>
      <c r="AZ340" s="6">
        <f>Y364</f>
        <v>2033.1659809171524</v>
      </c>
      <c r="BA340" s="6">
        <f>Z364</f>
        <v>2023.2055707318491</v>
      </c>
    </row>
    <row r="341" spans="1:53" outlineLevel="1" x14ac:dyDescent="0.35">
      <c r="A341" s="6" t="s">
        <v>36</v>
      </c>
      <c r="B341" s="6">
        <f t="shared" si="41"/>
        <v>600.64271598941855</v>
      </c>
      <c r="AB341" s="6" t="s">
        <v>123</v>
      </c>
      <c r="AC341" s="6">
        <f t="shared" ref="AC341:BA341" si="44">B362</f>
        <v>2541.4748240516019</v>
      </c>
      <c r="AD341" s="6">
        <f t="shared" si="44"/>
        <v>2458.1612420542124</v>
      </c>
      <c r="AE341" s="6">
        <f t="shared" si="44"/>
        <v>2375.242790057951</v>
      </c>
      <c r="AF341" s="6">
        <f t="shared" si="44"/>
        <v>2291.2571206633415</v>
      </c>
      <c r="AG341" s="6">
        <f t="shared" si="44"/>
        <v>2209.1045007190432</v>
      </c>
      <c r="AH341" s="6">
        <f t="shared" si="44"/>
        <v>2127.3209626990274</v>
      </c>
      <c r="AI341" s="6">
        <f t="shared" si="44"/>
        <v>2062.4684477318538</v>
      </c>
      <c r="AJ341" s="6">
        <f t="shared" si="44"/>
        <v>1997.8813065894376</v>
      </c>
      <c r="AK341" s="6">
        <f t="shared" si="44"/>
        <v>1932.3598197806789</v>
      </c>
      <c r="AL341" s="6">
        <f t="shared" si="44"/>
        <v>1868.1139723948831</v>
      </c>
      <c r="AM341" s="6">
        <f t="shared" si="44"/>
        <v>1804.0087785952576</v>
      </c>
      <c r="AN341" s="6">
        <f t="shared" si="44"/>
        <v>1752.3650037399545</v>
      </c>
      <c r="AO341" s="6">
        <f t="shared" si="44"/>
        <v>1700.5444080491013</v>
      </c>
      <c r="AP341" s="6">
        <f t="shared" si="44"/>
        <v>1648.3044100069633</v>
      </c>
      <c r="AQ341" s="6">
        <f t="shared" si="44"/>
        <v>1596.136490501234</v>
      </c>
      <c r="AR341" s="6">
        <f t="shared" si="44"/>
        <v>1543.797189824046</v>
      </c>
      <c r="AS341" s="6">
        <f t="shared" si="44"/>
        <v>1515.3231908887035</v>
      </c>
      <c r="AT341" s="6">
        <f t="shared" si="44"/>
        <v>1486.7730823376655</v>
      </c>
      <c r="AU341" s="6">
        <f t="shared" si="44"/>
        <v>1457.9397413121651</v>
      </c>
      <c r="AV341" s="6">
        <f t="shared" si="44"/>
        <v>1429.2423543258344</v>
      </c>
      <c r="AW341" s="6">
        <f t="shared" si="44"/>
        <v>1400.4814447149959</v>
      </c>
      <c r="AX341" s="6">
        <f t="shared" si="44"/>
        <v>1390.2769656432461</v>
      </c>
      <c r="AY341" s="6">
        <f t="shared" si="44"/>
        <v>1379.2332162568455</v>
      </c>
      <c r="AZ341" s="6">
        <f t="shared" si="44"/>
        <v>1368.1868779306997</v>
      </c>
      <c r="BA341" s="6">
        <f t="shared" si="44"/>
        <v>1357.1369890926426</v>
      </c>
    </row>
    <row r="342" spans="1:53" outlineLevel="1" x14ac:dyDescent="0.35">
      <c r="A342" s="6" t="s">
        <v>38</v>
      </c>
      <c r="B342" s="6">
        <f t="shared" si="41"/>
        <v>5471.4360123760534</v>
      </c>
      <c r="AB342" s="6" t="s">
        <v>124</v>
      </c>
      <c r="AC342" s="6">
        <f>-$AC$323*$AC$324</f>
        <v>-50000</v>
      </c>
      <c r="AD342" s="6">
        <f t="shared" ref="AD342:BA342" si="45">-$AC$323*$AC$324</f>
        <v>-50000</v>
      </c>
      <c r="AE342" s="6">
        <f t="shared" si="45"/>
        <v>-50000</v>
      </c>
      <c r="AF342" s="6">
        <f t="shared" si="45"/>
        <v>-50000</v>
      </c>
      <c r="AG342" s="6">
        <f t="shared" si="45"/>
        <v>-50000</v>
      </c>
      <c r="AH342" s="6">
        <f t="shared" si="45"/>
        <v>-50000</v>
      </c>
      <c r="AI342" s="6">
        <f t="shared" si="45"/>
        <v>-50000</v>
      </c>
      <c r="AJ342" s="6">
        <f t="shared" si="45"/>
        <v>-50000</v>
      </c>
      <c r="AK342" s="6">
        <f t="shared" si="45"/>
        <v>-50000</v>
      </c>
      <c r="AL342" s="6">
        <f t="shared" si="45"/>
        <v>-50000</v>
      </c>
      <c r="AM342" s="6">
        <f t="shared" si="45"/>
        <v>-50000</v>
      </c>
      <c r="AN342" s="6">
        <f t="shared" si="45"/>
        <v>-50000</v>
      </c>
      <c r="AO342" s="6">
        <f t="shared" si="45"/>
        <v>-50000</v>
      </c>
      <c r="AP342" s="6">
        <f t="shared" si="45"/>
        <v>-50000</v>
      </c>
      <c r="AQ342" s="6">
        <f t="shared" si="45"/>
        <v>-50000</v>
      </c>
      <c r="AR342" s="6">
        <f t="shared" si="45"/>
        <v>-50000</v>
      </c>
      <c r="AS342" s="6">
        <f t="shared" si="45"/>
        <v>-50000</v>
      </c>
      <c r="AT342" s="6">
        <f t="shared" si="45"/>
        <v>-50000</v>
      </c>
      <c r="AU342" s="6">
        <f t="shared" si="45"/>
        <v>-50000</v>
      </c>
      <c r="AV342" s="6">
        <f t="shared" si="45"/>
        <v>-50000</v>
      </c>
      <c r="AW342" s="6">
        <f t="shared" si="45"/>
        <v>-50000</v>
      </c>
      <c r="AX342" s="6">
        <f t="shared" si="45"/>
        <v>-50000</v>
      </c>
      <c r="AY342" s="6">
        <f t="shared" si="45"/>
        <v>-50000</v>
      </c>
      <c r="AZ342" s="6">
        <f t="shared" si="45"/>
        <v>-50000</v>
      </c>
      <c r="BA342" s="6">
        <f t="shared" si="45"/>
        <v>-50000</v>
      </c>
    </row>
    <row r="343" spans="1:53" outlineLevel="1" x14ac:dyDescent="0.35">
      <c r="A343" s="6" t="s">
        <v>39</v>
      </c>
      <c r="B343" s="6">
        <f t="shared" si="41"/>
        <v>10289.89043583642</v>
      </c>
      <c r="AB343" s="23" t="s">
        <v>125</v>
      </c>
      <c r="AC343" s="17">
        <f t="shared" ref="AC343:BA343" si="46">SUM(AC334:AC342)</f>
        <v>-6342.8672430465813</v>
      </c>
      <c r="AD343" s="17">
        <f t="shared" si="46"/>
        <v>-40188.130334751535</v>
      </c>
      <c r="AE343" s="17">
        <f t="shared" si="46"/>
        <v>-40345.727453362</v>
      </c>
      <c r="AF343" s="17">
        <f t="shared" si="46"/>
        <v>-39417.677395912455</v>
      </c>
      <c r="AG343" s="17">
        <f t="shared" si="46"/>
        <v>-40687.705944966234</v>
      </c>
      <c r="AH343" s="17">
        <f t="shared" si="46"/>
        <v>-40845.768085677104</v>
      </c>
      <c r="AI343" s="17">
        <f t="shared" si="46"/>
        <v>-39904.099769985587</v>
      </c>
      <c r="AJ343" s="17">
        <f t="shared" si="46"/>
        <v>-41110.417237097565</v>
      </c>
      <c r="AK343" s="17">
        <f t="shared" si="46"/>
        <v>-41253.407966796112</v>
      </c>
      <c r="AL343" s="17">
        <f t="shared" si="46"/>
        <v>-40348.344837309123</v>
      </c>
      <c r="AM343" s="17">
        <f t="shared" si="46"/>
        <v>-41506.02663027044</v>
      </c>
      <c r="AN343" s="17">
        <f t="shared" si="46"/>
        <v>-41620.427897693735</v>
      </c>
      <c r="AO343" s="17">
        <f t="shared" si="46"/>
        <v>-40756.779884280273</v>
      </c>
      <c r="AP343" s="17">
        <f t="shared" si="46"/>
        <v>-41851.692331192367</v>
      </c>
      <c r="AQ343" s="17">
        <f t="shared" si="46"/>
        <v>-41964.213366904187</v>
      </c>
      <c r="AR343" s="17">
        <f t="shared" si="46"/>
        <v>-41158.064597686513</v>
      </c>
      <c r="AS343" s="17">
        <f t="shared" si="46"/>
        <v>-42146.883935900405</v>
      </c>
      <c r="AT343" s="17">
        <f t="shared" si="46"/>
        <v>-42216.848672373242</v>
      </c>
      <c r="AU343" s="17">
        <f t="shared" si="46"/>
        <v>-41413.623081453174</v>
      </c>
      <c r="AV343" s="17">
        <f t="shared" si="46"/>
        <v>-42357.399299049925</v>
      </c>
      <c r="AW343" s="17">
        <f t="shared" si="46"/>
        <v>-42423.600810466254</v>
      </c>
      <c r="AX343" s="17">
        <f t="shared" si="46"/>
        <v>-41595.420154754363</v>
      </c>
      <c r="AY343" s="17">
        <f t="shared" si="46"/>
        <v>-42463.024942338874</v>
      </c>
      <c r="AZ343" s="17">
        <f t="shared" si="46"/>
        <v>-42484.141412727695</v>
      </c>
      <c r="BA343" s="17">
        <f t="shared" si="46"/>
        <v>-41077.24992989454</v>
      </c>
    </row>
    <row r="344" spans="1:53" outlineLevel="1" x14ac:dyDescent="0.35">
      <c r="A344" s="6" t="s">
        <v>41</v>
      </c>
      <c r="B344" s="6">
        <f t="shared" si="41"/>
        <v>149.83026646962881</v>
      </c>
    </row>
    <row r="345" spans="1:53" outlineLevel="1" x14ac:dyDescent="0.35">
      <c r="A345" s="6" t="s">
        <v>43</v>
      </c>
      <c r="B345" s="6">
        <f t="shared" si="41"/>
        <v>540.2049660112441</v>
      </c>
      <c r="AB345" s="282"/>
      <c r="AC345" s="282"/>
      <c r="AD345" s="282"/>
      <c r="AE345" s="282"/>
      <c r="AF345" s="282"/>
      <c r="AG345" s="282"/>
      <c r="AH345" s="282"/>
      <c r="AI345" s="282"/>
      <c r="AJ345" s="282"/>
      <c r="AK345" s="282"/>
      <c r="AL345" s="282"/>
      <c r="AM345" s="282"/>
      <c r="AN345" s="282"/>
      <c r="AO345" s="282"/>
      <c r="AP345" s="282"/>
      <c r="AQ345" s="282"/>
      <c r="AR345" s="282"/>
      <c r="AS345" s="282"/>
      <c r="AT345" s="282"/>
      <c r="AU345" s="282"/>
      <c r="AV345" s="282"/>
      <c r="AW345" s="282"/>
      <c r="AX345" s="282"/>
      <c r="AY345" s="282"/>
      <c r="AZ345" s="282"/>
      <c r="BA345" s="282"/>
    </row>
    <row r="346" spans="1:53" outlineLevel="1" x14ac:dyDescent="0.35">
      <c r="A346" s="6" t="s">
        <v>44</v>
      </c>
      <c r="B346" s="6">
        <f>B62*AC325</f>
        <v>1160.6778619998327</v>
      </c>
      <c r="AB346" s="282"/>
      <c r="AC346" s="282"/>
      <c r="AD346" s="282"/>
      <c r="AE346" s="282"/>
      <c r="AF346" s="282"/>
      <c r="AG346" s="282"/>
      <c r="AH346" s="282"/>
      <c r="AI346" s="282"/>
      <c r="AJ346" s="282"/>
      <c r="AK346" s="282"/>
      <c r="AL346" s="282"/>
      <c r="AM346" s="282"/>
      <c r="AN346" s="282"/>
      <c r="AO346" s="282"/>
      <c r="AP346" s="282"/>
      <c r="AQ346" s="282"/>
      <c r="AR346" s="282"/>
      <c r="AS346" s="282"/>
      <c r="AT346" s="282"/>
      <c r="AU346" s="282"/>
      <c r="AV346" s="282"/>
      <c r="AW346" s="282"/>
      <c r="AX346" s="282"/>
      <c r="AY346" s="282"/>
      <c r="AZ346" s="282"/>
      <c r="BA346" s="282"/>
    </row>
    <row r="347" spans="1:53" outlineLevel="1" x14ac:dyDescent="0.35">
      <c r="A347" s="6" t="s">
        <v>757</v>
      </c>
      <c r="B347" s="6">
        <f>B63*AC325</f>
        <v>4192.9219327697747</v>
      </c>
      <c r="AB347" s="282"/>
      <c r="AC347" s="282"/>
      <c r="AD347" s="282"/>
      <c r="AE347" s="282"/>
      <c r="AF347" s="282"/>
      <c r="AG347" s="282"/>
      <c r="AH347" s="282"/>
      <c r="AI347" s="282"/>
      <c r="AJ347" s="282"/>
      <c r="AK347" s="282"/>
      <c r="AL347" s="282"/>
      <c r="AM347" s="282"/>
      <c r="AN347" s="282"/>
      <c r="AO347" s="282"/>
      <c r="AP347" s="282"/>
      <c r="AQ347" s="282"/>
      <c r="AR347" s="282"/>
      <c r="AS347" s="282"/>
      <c r="AT347" s="282"/>
      <c r="AU347" s="282"/>
      <c r="AV347" s="282"/>
      <c r="AW347" s="282"/>
      <c r="AX347" s="282"/>
      <c r="AY347" s="282"/>
      <c r="AZ347" s="282"/>
      <c r="BA347" s="282"/>
    </row>
    <row r="348" spans="1:53" outlineLevel="1" x14ac:dyDescent="0.35">
      <c r="A348" s="6" t="s">
        <v>22</v>
      </c>
      <c r="Z348" s="6">
        <f>Z64</f>
        <v>17.809288110870401</v>
      </c>
      <c r="AB348" s="282"/>
      <c r="AC348" s="282"/>
      <c r="AD348" s="282"/>
      <c r="AE348" s="282"/>
      <c r="AF348" s="282"/>
      <c r="AG348" s="282"/>
      <c r="AH348" s="282"/>
      <c r="AI348" s="282"/>
      <c r="AJ348" s="282"/>
      <c r="AK348" s="282"/>
      <c r="AL348" s="282"/>
      <c r="AM348" s="282"/>
      <c r="AN348" s="282"/>
      <c r="AO348" s="282"/>
      <c r="AP348" s="282"/>
      <c r="AQ348" s="282"/>
      <c r="AR348" s="282"/>
      <c r="AS348" s="282"/>
      <c r="AT348" s="282"/>
      <c r="AU348" s="282"/>
      <c r="AV348" s="282"/>
      <c r="AW348" s="282"/>
      <c r="AX348" s="282"/>
      <c r="AY348" s="282"/>
      <c r="AZ348" s="282"/>
      <c r="BA348" s="282"/>
    </row>
    <row r="349" spans="1:53" outlineLevel="1" x14ac:dyDescent="0.35">
      <c r="A349" s="6" t="s">
        <v>24</v>
      </c>
      <c r="Z349" s="6">
        <f t="shared" ref="Z349:Z359" si="47">Z65</f>
        <v>6.4841516951127067</v>
      </c>
      <c r="AB349" s="282"/>
      <c r="AC349" s="282"/>
      <c r="AD349" s="282"/>
      <c r="AE349" s="282"/>
      <c r="AF349" s="282"/>
      <c r="AG349" s="282"/>
      <c r="AH349" s="282"/>
      <c r="AI349" s="282"/>
      <c r="AJ349" s="282"/>
      <c r="AK349" s="282"/>
      <c r="AL349" s="282"/>
      <c r="AM349" s="282"/>
      <c r="AN349" s="282"/>
      <c r="AO349" s="282"/>
      <c r="AP349" s="282"/>
      <c r="AQ349" s="282"/>
      <c r="AR349" s="282"/>
      <c r="AS349" s="282"/>
      <c r="AT349" s="282"/>
      <c r="AU349" s="282"/>
      <c r="AV349" s="282"/>
      <c r="AW349" s="282"/>
      <c r="AX349" s="282"/>
      <c r="AY349" s="282"/>
      <c r="AZ349" s="282"/>
      <c r="BA349" s="282"/>
    </row>
    <row r="350" spans="1:53" outlineLevel="1" x14ac:dyDescent="0.35">
      <c r="A350" s="6" t="s">
        <v>25</v>
      </c>
      <c r="Z350" s="6">
        <f t="shared" si="47"/>
        <v>20.396392714219459</v>
      </c>
      <c r="AB350" s="282"/>
      <c r="AC350" s="282"/>
      <c r="AD350" s="282"/>
      <c r="AE350" s="282"/>
      <c r="AF350" s="282"/>
      <c r="AG350" s="282"/>
      <c r="AH350" s="282"/>
      <c r="AI350" s="282"/>
      <c r="AJ350" s="282"/>
      <c r="AK350" s="282"/>
      <c r="AL350" s="282"/>
      <c r="AM350" s="282"/>
      <c r="AN350" s="282"/>
      <c r="AO350" s="282"/>
      <c r="AP350" s="282"/>
      <c r="AQ350" s="282"/>
      <c r="AR350" s="282"/>
      <c r="AS350" s="282"/>
      <c r="AT350" s="282"/>
      <c r="AU350" s="282"/>
      <c r="AV350" s="282"/>
      <c r="AW350" s="282"/>
      <c r="AX350" s="282"/>
      <c r="AY350" s="282"/>
      <c r="AZ350" s="282"/>
      <c r="BA350" s="282"/>
    </row>
    <row r="351" spans="1:53" outlineLevel="1" x14ac:dyDescent="0.35">
      <c r="A351" s="6" t="s">
        <v>27</v>
      </c>
      <c r="Z351" s="6">
        <f t="shared" si="47"/>
        <v>6.4516925251757771</v>
      </c>
      <c r="AB351" s="282"/>
      <c r="AC351" s="282"/>
      <c r="AD351" s="282"/>
      <c r="AE351" s="282"/>
      <c r="AF351" s="282"/>
      <c r="AG351" s="282"/>
      <c r="AH351" s="282"/>
      <c r="AI351" s="282"/>
      <c r="AJ351" s="282"/>
      <c r="AK351" s="282"/>
      <c r="AL351" s="282"/>
      <c r="AM351" s="282"/>
      <c r="AN351" s="282"/>
      <c r="AO351" s="282"/>
      <c r="AP351" s="282"/>
      <c r="AQ351" s="282"/>
      <c r="AR351" s="282"/>
      <c r="AS351" s="282"/>
      <c r="AT351" s="282"/>
      <c r="AU351" s="282"/>
      <c r="AV351" s="282"/>
      <c r="AW351" s="282"/>
      <c r="AX351" s="282"/>
      <c r="AY351" s="282"/>
      <c r="AZ351" s="282"/>
      <c r="BA351" s="282"/>
    </row>
    <row r="352" spans="1:53" outlineLevel="1" x14ac:dyDescent="0.35">
      <c r="A352" s="6" t="s">
        <v>30</v>
      </c>
      <c r="Z352" s="6">
        <f t="shared" si="47"/>
        <v>23.21195353922505</v>
      </c>
      <c r="AB352" s="282"/>
      <c r="AC352" s="282"/>
      <c r="AD352" s="282"/>
      <c r="AE352" s="282"/>
      <c r="AF352" s="282"/>
      <c r="AG352" s="282"/>
      <c r="AH352" s="282"/>
      <c r="AI352" s="282"/>
      <c r="AJ352" s="282"/>
      <c r="AK352" s="282"/>
      <c r="AL352" s="282"/>
      <c r="AM352" s="282"/>
      <c r="AN352" s="282"/>
      <c r="AO352" s="282"/>
      <c r="AP352" s="282"/>
      <c r="AQ352" s="282"/>
      <c r="AR352" s="282"/>
      <c r="AS352" s="282"/>
      <c r="AT352" s="282"/>
      <c r="AU352" s="282"/>
      <c r="AV352" s="282"/>
      <c r="AW352" s="282"/>
      <c r="AX352" s="282"/>
      <c r="AY352" s="282"/>
      <c r="AZ352" s="282"/>
      <c r="BA352" s="282"/>
    </row>
    <row r="353" spans="1:53" outlineLevel="1" x14ac:dyDescent="0.35">
      <c r="A353" s="6" t="s">
        <v>32</v>
      </c>
      <c r="Z353" s="6">
        <f t="shared" si="47"/>
        <v>0.71269773507552991</v>
      </c>
      <c r="AB353" s="282"/>
      <c r="AC353" s="282"/>
      <c r="AD353" s="282"/>
      <c r="AE353" s="282"/>
      <c r="AF353" s="282"/>
      <c r="AG353" s="282"/>
      <c r="AH353" s="282"/>
      <c r="AI353" s="282"/>
      <c r="AJ353" s="282"/>
      <c r="AK353" s="282"/>
      <c r="AL353" s="282"/>
      <c r="AM353" s="282"/>
      <c r="AN353" s="282"/>
      <c r="AO353" s="282"/>
      <c r="AP353" s="282"/>
      <c r="AQ353" s="282"/>
      <c r="AR353" s="282"/>
      <c r="AS353" s="282"/>
      <c r="AT353" s="282"/>
      <c r="AU353" s="282"/>
      <c r="AV353" s="282"/>
      <c r="AW353" s="282"/>
      <c r="AX353" s="282"/>
      <c r="AY353" s="282"/>
      <c r="AZ353" s="282"/>
      <c r="BA353" s="282"/>
    </row>
    <row r="354" spans="1:53" outlineLevel="1" x14ac:dyDescent="0.35">
      <c r="A354" s="6" t="s">
        <v>33</v>
      </c>
      <c r="Z354" s="6">
        <f t="shared" si="47"/>
        <v>5.512756844731129</v>
      </c>
      <c r="AB354" s="282"/>
      <c r="AC354" s="282"/>
      <c r="AD354" s="282"/>
      <c r="AE354" s="282"/>
      <c r="AF354" s="282"/>
      <c r="AG354" s="282"/>
      <c r="AH354" s="282"/>
      <c r="AI354" s="282"/>
      <c r="AJ354" s="282"/>
      <c r="AK354" s="282"/>
      <c r="AL354" s="282"/>
      <c r="AM354" s="282"/>
      <c r="AN354" s="282"/>
      <c r="AO354" s="282"/>
      <c r="AP354" s="282"/>
      <c r="AQ354" s="282"/>
      <c r="AR354" s="282"/>
      <c r="AS354" s="282"/>
      <c r="AT354" s="282"/>
      <c r="AU354" s="282"/>
      <c r="AV354" s="282"/>
      <c r="AW354" s="282"/>
      <c r="AX354" s="282"/>
      <c r="AY354" s="282"/>
      <c r="AZ354" s="282"/>
      <c r="BA354" s="282"/>
    </row>
    <row r="355" spans="1:53" outlineLevel="1" x14ac:dyDescent="0.35">
      <c r="A355" s="6" t="s">
        <v>35</v>
      </c>
      <c r="Z355" s="6">
        <f t="shared" si="47"/>
        <v>11.02551368946226</v>
      </c>
      <c r="AB355" s="282"/>
      <c r="AC355" s="282"/>
      <c r="AD355" s="282"/>
      <c r="AE355" s="282"/>
      <c r="AF355" s="282"/>
      <c r="AG355" s="282"/>
      <c r="AH355" s="282"/>
      <c r="AI355" s="282"/>
      <c r="AJ355" s="282"/>
      <c r="AK355" s="282"/>
      <c r="AL355" s="282"/>
      <c r="AM355" s="282"/>
      <c r="AN355" s="282"/>
      <c r="AO355" s="282"/>
      <c r="AP355" s="282"/>
      <c r="AQ355" s="282"/>
      <c r="AR355" s="282"/>
      <c r="AS355" s="282"/>
      <c r="AT355" s="282"/>
      <c r="AU355" s="282"/>
      <c r="AV355" s="282"/>
      <c r="AW355" s="282"/>
      <c r="AX355" s="282"/>
      <c r="AY355" s="282"/>
      <c r="AZ355" s="282"/>
      <c r="BA355" s="282"/>
    </row>
    <row r="356" spans="1:53" outlineLevel="1" x14ac:dyDescent="0.35">
      <c r="A356" s="6" t="s">
        <v>37</v>
      </c>
      <c r="Z356" s="6">
        <f t="shared" si="47"/>
        <v>11.4624592345025</v>
      </c>
      <c r="AB356" s="282"/>
      <c r="AC356" s="282"/>
      <c r="AD356" s="282"/>
      <c r="AE356" s="282"/>
      <c r="AF356" s="282"/>
      <c r="AG356" s="282"/>
      <c r="AH356" s="282"/>
      <c r="AI356" s="282"/>
      <c r="AJ356" s="282"/>
      <c r="AK356" s="282"/>
      <c r="AL356" s="282"/>
      <c r="AM356" s="282"/>
      <c r="AN356" s="282"/>
      <c r="AO356" s="282"/>
      <c r="AP356" s="282"/>
      <c r="AQ356" s="282"/>
      <c r="AR356" s="282"/>
      <c r="AS356" s="282"/>
      <c r="AT356" s="282"/>
      <c r="AU356" s="282"/>
      <c r="AV356" s="282"/>
      <c r="AW356" s="282"/>
      <c r="AX356" s="282"/>
      <c r="AY356" s="282"/>
      <c r="AZ356" s="282"/>
      <c r="BA356" s="282"/>
    </row>
    <row r="357" spans="1:53" outlineLevel="1" x14ac:dyDescent="0.35">
      <c r="A357" s="6" t="s">
        <v>40</v>
      </c>
      <c r="Z357" s="6">
        <f t="shared" si="47"/>
        <v>278.45924154762872</v>
      </c>
    </row>
    <row r="358" spans="1:53" outlineLevel="1" x14ac:dyDescent="0.35">
      <c r="A358" s="6" t="s">
        <v>42</v>
      </c>
      <c r="Z358" s="6">
        <f t="shared" si="47"/>
        <v>24.547181732291531</v>
      </c>
    </row>
    <row r="359" spans="1:53" outlineLevel="1" x14ac:dyDescent="0.35">
      <c r="A359" s="6" t="s">
        <v>115</v>
      </c>
      <c r="Z359" s="6">
        <f t="shared" si="47"/>
        <v>172.31262239435989</v>
      </c>
    </row>
    <row r="360" spans="1:53" outlineLevel="1" x14ac:dyDescent="0.35">
      <c r="A360" s="6" t="s">
        <v>45</v>
      </c>
      <c r="Z360" s="6">
        <f>Z76*AC325</f>
        <v>10.479499779531061</v>
      </c>
    </row>
    <row r="361" spans="1:53" outlineLevel="1" x14ac:dyDescent="0.35">
      <c r="A361" s="6" t="s">
        <v>116</v>
      </c>
      <c r="B361" s="6">
        <f>B77</f>
        <v>1148.3409729516229</v>
      </c>
      <c r="C361" s="6">
        <f t="shared" ref="C361:Z361" si="48">C77</f>
        <v>1138.060168440604</v>
      </c>
      <c r="D361" s="6">
        <f t="shared" si="48"/>
        <v>1127.7127066101459</v>
      </c>
      <c r="E361" s="6">
        <f t="shared" si="48"/>
        <v>1112.2182425813739</v>
      </c>
      <c r="F361" s="6">
        <f t="shared" si="48"/>
        <v>1101.723968475133</v>
      </c>
      <c r="G361" s="6">
        <f t="shared" si="48"/>
        <v>1091.139656450338</v>
      </c>
      <c r="H361" s="6">
        <f t="shared" si="48"/>
        <v>1076.9191461281321</v>
      </c>
      <c r="I361" s="6">
        <f t="shared" si="48"/>
        <v>1062.730546817681</v>
      </c>
      <c r="J361" s="6">
        <f t="shared" si="48"/>
        <v>1045.4717263922239</v>
      </c>
      <c r="K361" s="6">
        <f t="shared" si="48"/>
        <v>1031.286216035297</v>
      </c>
      <c r="L361" s="6">
        <f t="shared" si="48"/>
        <v>1017.05516653554</v>
      </c>
      <c r="M361" s="6">
        <f t="shared" si="48"/>
        <v>997.19821038309715</v>
      </c>
      <c r="N361" s="6">
        <f t="shared" si="48"/>
        <v>977.44851845379105</v>
      </c>
      <c r="O361" s="6">
        <f t="shared" si="48"/>
        <v>956.93102796878463</v>
      </c>
      <c r="P361" s="6">
        <f t="shared" si="48"/>
        <v>937.40861002536712</v>
      </c>
      <c r="Q361" s="6">
        <f t="shared" si="48"/>
        <v>917.987027187487</v>
      </c>
      <c r="R361" s="6">
        <f t="shared" si="48"/>
        <v>904.09536731961418</v>
      </c>
      <c r="S361" s="6">
        <f t="shared" si="48"/>
        <v>890.28838396677645</v>
      </c>
      <c r="T361" s="6">
        <f t="shared" si="48"/>
        <v>875.86379727760391</v>
      </c>
      <c r="U361" s="6">
        <f t="shared" si="48"/>
        <v>862.23848950309525</v>
      </c>
      <c r="V361" s="6">
        <f t="shared" si="48"/>
        <v>848.69548558566385</v>
      </c>
      <c r="W361" s="6">
        <f t="shared" si="48"/>
        <v>846.3879160889735</v>
      </c>
      <c r="X361" s="6">
        <f t="shared" si="48"/>
        <v>843.918831246026</v>
      </c>
      <c r="Y361" s="6">
        <f t="shared" si="48"/>
        <v>841.46837575009522</v>
      </c>
      <c r="Z361" s="6">
        <f t="shared" si="48"/>
        <v>839.0363303143256</v>
      </c>
    </row>
    <row r="362" spans="1:53" outlineLevel="1" x14ac:dyDescent="0.35">
      <c r="A362" s="6" t="s">
        <v>758</v>
      </c>
      <c r="B362" s="6">
        <f>B78*$AC$325</f>
        <v>2541.4748240516019</v>
      </c>
      <c r="C362" s="6">
        <f t="shared" ref="C362:Z363" si="49">C78*$AC$325</f>
        <v>2458.1612420542124</v>
      </c>
      <c r="D362" s="6">
        <f t="shared" si="49"/>
        <v>2375.242790057951</v>
      </c>
      <c r="E362" s="6">
        <f t="shared" si="49"/>
        <v>2291.2571206633415</v>
      </c>
      <c r="F362" s="6">
        <f t="shared" si="49"/>
        <v>2209.1045007190432</v>
      </c>
      <c r="G362" s="6">
        <f t="shared" si="49"/>
        <v>2127.3209626990274</v>
      </c>
      <c r="H362" s="6">
        <f t="shared" si="49"/>
        <v>2062.4684477318538</v>
      </c>
      <c r="I362" s="6">
        <f t="shared" si="49"/>
        <v>1997.8813065894376</v>
      </c>
      <c r="J362" s="6">
        <f t="shared" si="49"/>
        <v>1932.3598197806789</v>
      </c>
      <c r="K362" s="6">
        <f t="shared" si="49"/>
        <v>1868.1139723948831</v>
      </c>
      <c r="L362" s="6">
        <f t="shared" si="49"/>
        <v>1804.0087785952576</v>
      </c>
      <c r="M362" s="6">
        <f t="shared" si="49"/>
        <v>1752.3650037399545</v>
      </c>
      <c r="N362" s="6">
        <f t="shared" si="49"/>
        <v>1700.5444080491013</v>
      </c>
      <c r="O362" s="6">
        <f t="shared" si="49"/>
        <v>1648.3044100069633</v>
      </c>
      <c r="P362" s="6">
        <f t="shared" si="49"/>
        <v>1596.136490501234</v>
      </c>
      <c r="Q362" s="6">
        <f t="shared" si="49"/>
        <v>1543.797189824046</v>
      </c>
      <c r="R362" s="6">
        <f t="shared" si="49"/>
        <v>1515.3231908887035</v>
      </c>
      <c r="S362" s="6">
        <f t="shared" si="49"/>
        <v>1486.7730823376655</v>
      </c>
      <c r="T362" s="6">
        <f t="shared" si="49"/>
        <v>1457.9397413121651</v>
      </c>
      <c r="U362" s="6">
        <f t="shared" si="49"/>
        <v>1429.2423543258344</v>
      </c>
      <c r="V362" s="6">
        <f t="shared" si="49"/>
        <v>1400.4814447149959</v>
      </c>
      <c r="W362" s="6">
        <f t="shared" si="49"/>
        <v>1390.2769656432461</v>
      </c>
      <c r="X362" s="6">
        <f t="shared" si="49"/>
        <v>1379.2332162568455</v>
      </c>
      <c r="Y362" s="6">
        <f t="shared" si="49"/>
        <v>1368.1868779306997</v>
      </c>
      <c r="Z362" s="6">
        <f t="shared" si="49"/>
        <v>1357.1369890926426</v>
      </c>
    </row>
    <row r="363" spans="1:53" outlineLevel="1" x14ac:dyDescent="0.35">
      <c r="A363" s="6" t="s">
        <v>759</v>
      </c>
      <c r="B363" s="6">
        <f>B79*$AC$325</f>
        <v>0</v>
      </c>
      <c r="C363" s="6">
        <f t="shared" si="49"/>
        <v>0</v>
      </c>
      <c r="D363" s="6">
        <f t="shared" si="49"/>
        <v>0</v>
      </c>
      <c r="E363" s="6">
        <f t="shared" si="49"/>
        <v>0</v>
      </c>
      <c r="F363" s="6">
        <f t="shared" si="49"/>
        <v>0</v>
      </c>
      <c r="G363" s="6">
        <f t="shared" si="49"/>
        <v>0</v>
      </c>
      <c r="H363" s="6">
        <f t="shared" si="49"/>
        <v>0</v>
      </c>
      <c r="I363" s="6">
        <f t="shared" si="49"/>
        <v>0</v>
      </c>
      <c r="J363" s="6">
        <f t="shared" si="49"/>
        <v>0</v>
      </c>
      <c r="K363" s="6">
        <f t="shared" si="49"/>
        <v>0</v>
      </c>
      <c r="L363" s="6">
        <f t="shared" si="49"/>
        <v>0</v>
      </c>
      <c r="M363" s="6">
        <f t="shared" si="49"/>
        <v>0</v>
      </c>
      <c r="N363" s="6">
        <f t="shared" si="49"/>
        <v>0</v>
      </c>
      <c r="O363" s="6">
        <f t="shared" si="49"/>
        <v>0</v>
      </c>
      <c r="P363" s="6">
        <f t="shared" si="49"/>
        <v>0</v>
      </c>
      <c r="Q363" s="6">
        <f t="shared" si="49"/>
        <v>0</v>
      </c>
      <c r="R363" s="6">
        <f t="shared" si="49"/>
        <v>0</v>
      </c>
      <c r="S363" s="6">
        <f t="shared" si="49"/>
        <v>0</v>
      </c>
      <c r="T363" s="6">
        <f t="shared" si="49"/>
        <v>0</v>
      </c>
      <c r="U363" s="6">
        <f t="shared" si="49"/>
        <v>0</v>
      </c>
      <c r="V363" s="6">
        <f t="shared" si="49"/>
        <v>0</v>
      </c>
      <c r="W363" s="6">
        <f t="shared" si="49"/>
        <v>0</v>
      </c>
      <c r="X363" s="6">
        <f t="shared" si="49"/>
        <v>0</v>
      </c>
      <c r="Y363" s="6">
        <f t="shared" si="49"/>
        <v>0</v>
      </c>
      <c r="Z363" s="6">
        <f t="shared" si="49"/>
        <v>0</v>
      </c>
    </row>
    <row r="364" spans="1:53" outlineLevel="1" x14ac:dyDescent="0.35">
      <c r="A364" s="6" t="s">
        <v>760</v>
      </c>
      <c r="B364" s="6">
        <f>$B$252*$AC$324*'Results - raw data ReCiPe (H)'!CC121/(1-$AC$330)*(1+'Results ReCiPe (H) - HHD'!$AC$271/'Results ReCiPe (H) - HHD'!$AC$272-'Results ReCiPe (H) - HHD'!$AC$271)</f>
        <v>3313.2534927617353</v>
      </c>
      <c r="C364" s="6">
        <f>$B$252*$AC$324*'Results - raw data ReCiPe (H)'!CD121/(1-$AC$330)*(1+'Results ReCiPe (H) - HHD'!$AC$271/'Results ReCiPe (H) - HHD'!$AC$272-'Results ReCiPe (H) - HHD'!$AC$271)</f>
        <v>3239.2026947697987</v>
      </c>
      <c r="D364" s="6">
        <f>$B$252*$AC$324*'Results - raw data ReCiPe (H)'!CE121/(1-$AC$330)*(1+'Results ReCiPe (H) - HHD'!$AC$271/'Results ReCiPe (H) - HHD'!$AC$272-'Results ReCiPe (H) - HHD'!$AC$271)</f>
        <v>3164.5240281555916</v>
      </c>
      <c r="E364" s="6">
        <f>$B$252*$AC$324*'Results - raw data ReCiPe (H)'!CF121/(1-$AC$330)*(1+'Results ReCiPe (H) - HHD'!$AC$271/'Results ReCiPe (H) - HHD'!$AC$272-'Results ReCiPe (H) - HHD'!$AC$271)</f>
        <v>3064.341512418373</v>
      </c>
      <c r="F364" s="6">
        <f>$B$252*$AC$324*'Results - raw data ReCiPe (H)'!CG121/(1-$AC$330)*(1+'Results ReCiPe (H) - HHD'!$AC$271/'Results ReCiPe (H) - HHD'!$AC$272-'Results ReCiPe (H) - HHD'!$AC$271)</f>
        <v>2988.6838258902621</v>
      </c>
      <c r="G364" s="6">
        <f>$B$252*$AC$324*'Results - raw data ReCiPe (H)'!CH121/(1-$AC$330)*(1+'Results ReCiPe (H) - HHD'!$AC$271/'Results ReCiPe (H) - HHD'!$AC$272-'Results ReCiPe (H) - HHD'!$AC$271)</f>
        <v>2912.405223199416</v>
      </c>
      <c r="H364" s="6">
        <f>$B$252*$AC$324*'Results - raw data ReCiPe (H)'!CI121/(1-$AC$330)*(1+'Results ReCiPe (H) - HHD'!$AC$271/'Results ReCiPe (H) - HHD'!$AC$272-'Results ReCiPe (H) - HHD'!$AC$271)</f>
        <v>2842.0069077299704</v>
      </c>
      <c r="I364" s="6">
        <f>$B$252*$AC$324*'Results - raw data ReCiPe (H)'!CJ121/(1-$AC$330)*(1+'Results ReCiPe (H) - HHD'!$AC$271/'Results ReCiPe (H) - HHD'!$AC$272-'Results ReCiPe (H) - HHD'!$AC$271)</f>
        <v>2777.195727888542</v>
      </c>
      <c r="J364" s="6">
        <f>$B$252*$AC$324*'Results - raw data ReCiPe (H)'!CK121/(1-$AC$330)*(1+'Results ReCiPe (H) - HHD'!$AC$271/'Results ReCiPe (H) - HHD'!$AC$272-'Results ReCiPe (H) - HHD'!$AC$271)</f>
        <v>2699.7264849987537</v>
      </c>
      <c r="K364" s="6">
        <f>$B$252*$AC$324*'Results - raw data ReCiPe (H)'!CL121/(1-$AC$330)*(1+'Results ReCiPe (H) - HHD'!$AC$271/'Results ReCiPe (H) - HHD'!$AC$272-'Results ReCiPe (H) - HHD'!$AC$271)</f>
        <v>2637.7492458362362</v>
      </c>
      <c r="L364" s="6">
        <f>$B$252*$AC$324*'Results - raw data ReCiPe (H)'!CM121/(1-$AC$330)*(1+'Results ReCiPe (H) - HHD'!$AC$271/'Results ReCiPe (H) - HHD'!$AC$272-'Results ReCiPe (H) - HHD'!$AC$271)</f>
        <v>2575.4588627098487</v>
      </c>
      <c r="M364" s="6">
        <f>$B$252*$AC$324*'Results - raw data ReCiPe (H)'!CN121/(1-$AC$330)*(1+'Results ReCiPe (H) - HHD'!$AC$271/'Results ReCiPe (H) - HHD'!$AC$272-'Results ReCiPe (H) - HHD'!$AC$271)</f>
        <v>2512.7013701418518</v>
      </c>
      <c r="N364" s="6">
        <f>$B$252*$AC$324*'Results - raw data ReCiPe (H)'!CO121/(1-$AC$330)*(1+'Results ReCiPe (H) - HHD'!$AC$271/'Results ReCiPe (H) - HHD'!$AC$272-'Results ReCiPe (H) - HHD'!$AC$271)</f>
        <v>2450.7214607923779</v>
      </c>
      <c r="O364" s="6">
        <f>$B$252*$AC$324*'Results - raw data ReCiPe (H)'!CP121/(1-$AC$330)*(1+'Results ReCiPe (H) - HHD'!$AC$271/'Results ReCiPe (H) - HHD'!$AC$272-'Results ReCiPe (H) - HHD'!$AC$271)</f>
        <v>2385.4975303762108</v>
      </c>
      <c r="P364" s="6">
        <f>$B$252*$AC$324*'Results - raw data ReCiPe (H)'!CQ121/(1-$AC$330)*(1+'Results ReCiPe (H) - HHD'!$AC$271/'Results ReCiPe (H) - HHD'!$AC$272-'Results ReCiPe (H) - HHD'!$AC$271)</f>
        <v>2325.1444141701259</v>
      </c>
      <c r="Q364" s="6">
        <f>$B$252*$AC$324*'Results - raw data ReCiPe (H)'!CR121/(1-$AC$330)*(1+'Results ReCiPe (H) - HHD'!$AC$271/'Results ReCiPe (H) - HHD'!$AC$272-'Results ReCiPe (H) - HHD'!$AC$271)</f>
        <v>2265.6454568774971</v>
      </c>
      <c r="R364" s="6">
        <f>$B$252*$AC$324*'Results - raw data ReCiPe (H)'!CS121/(1-$AC$330)*(1+'Results ReCiPe (H) - HHD'!$AC$271/'Results ReCiPe (H) - HHD'!$AC$272-'Results ReCiPe (H) - HHD'!$AC$271)</f>
        <v>2223.2871447864327</v>
      </c>
      <c r="S364" s="6">
        <f>$B$252*$AC$324*'Results - raw data ReCiPe (H)'!CT121/(1-$AC$330)*(1+'Results ReCiPe (H) - HHD'!$AC$271/'Results ReCiPe (H) - HHD'!$AC$272-'Results ReCiPe (H) - HHD'!$AC$271)</f>
        <v>2181.872516864637</v>
      </c>
      <c r="T364" s="6">
        <f>$B$252*$AC$324*'Results - raw data ReCiPe (H)'!CU121/(1-$AC$330)*(1+'Results ReCiPe (H) - HHD'!$AC$271/'Results ReCiPe (H) - HHD'!$AC$272-'Results ReCiPe (H) - HHD'!$AC$271)</f>
        <v>2138.0676515326049</v>
      </c>
      <c r="U364" s="6">
        <f>$B$252*$AC$324*'Results - raw data ReCiPe (H)'!CV121/(1-$AC$330)*(1+'Results ReCiPe (H) - HHD'!$AC$271/'Results ReCiPe (H) - HHD'!$AC$272-'Results ReCiPe (H) - HHD'!$AC$271)</f>
        <v>2098.8526181997881</v>
      </c>
      <c r="V364" s="6">
        <f>$B$252*$AC$324*'Results - raw data ReCiPe (H)'!CW121/(1-$AC$330)*(1+'Results ReCiPe (H) - HHD'!$AC$271/'Results ReCiPe (H) - HHD'!$AC$272-'Results ReCiPe (H) - HHD'!$AC$271)</f>
        <v>2061.4120163942912</v>
      </c>
      <c r="W364" s="6">
        <f>$B$252*$AC$324*'Results - raw data ReCiPe (H)'!CX121/(1-$AC$330)*(1+'Results ReCiPe (H) - HHD'!$AC$271/'Results ReCiPe (H) - HHD'!$AC$272-'Results ReCiPe (H) - HHD'!$AC$271)</f>
        <v>2053.4092350889641</v>
      </c>
      <c r="X364" s="6">
        <f>$B$252*$AC$324*'Results - raw data ReCiPe (H)'!CY121/(1-$AC$330)*(1+'Results ReCiPe (H) - HHD'!$AC$271/'Results ReCiPe (H) - HHD'!$AC$272-'Results ReCiPe (H) - HHD'!$AC$271)</f>
        <v>2043.2361129798248</v>
      </c>
      <c r="Y364" s="6">
        <f>$B$252*$AC$324*'Results - raw data ReCiPe (H)'!CZ121/(1-$AC$330)*(1+'Results ReCiPe (H) - HHD'!$AC$271/'Results ReCiPe (H) - HHD'!$AC$272-'Results ReCiPe (H) - HHD'!$AC$271)</f>
        <v>2033.1659809171524</v>
      </c>
      <c r="Z364" s="6">
        <f>$B$252*$AC$324*'Results - raw data ReCiPe (H)'!DA121/(1-$AC$330)*(1+'Results ReCiPe (H) - HHD'!$AC$271/'Results ReCiPe (H) - HHD'!$AC$272-'Results ReCiPe (H) - HHD'!$AC$271)</f>
        <v>2023.2055707318491</v>
      </c>
    </row>
    <row r="365" spans="1:53" outlineLevel="1" x14ac:dyDescent="0.35">
      <c r="A365" s="6" t="s">
        <v>797</v>
      </c>
      <c r="B365" s="6">
        <f>$B$320*$AC$324</f>
        <v>4114.5057284244558</v>
      </c>
      <c r="C365" s="6">
        <f t="shared" ref="C365:Z365" si="50">$B$320*$AC$324</f>
        <v>4114.5057284244558</v>
      </c>
      <c r="D365" s="6">
        <f t="shared" si="50"/>
        <v>4114.5057284244558</v>
      </c>
      <c r="E365" s="6">
        <f t="shared" si="50"/>
        <v>4114.5057284244558</v>
      </c>
      <c r="F365" s="6">
        <f t="shared" si="50"/>
        <v>4114.5057284244558</v>
      </c>
      <c r="G365" s="6">
        <f t="shared" si="50"/>
        <v>4114.5057284244558</v>
      </c>
      <c r="H365" s="6">
        <f t="shared" si="50"/>
        <v>4114.5057284244558</v>
      </c>
      <c r="I365" s="6">
        <f t="shared" si="50"/>
        <v>4114.5057284244558</v>
      </c>
      <c r="J365" s="6">
        <f t="shared" si="50"/>
        <v>4114.5057284244558</v>
      </c>
      <c r="K365" s="6">
        <f t="shared" si="50"/>
        <v>4114.5057284244558</v>
      </c>
      <c r="L365" s="6">
        <f t="shared" si="50"/>
        <v>4114.5057284244558</v>
      </c>
      <c r="M365" s="6">
        <f t="shared" si="50"/>
        <v>4114.5057284244558</v>
      </c>
      <c r="N365" s="6">
        <f t="shared" si="50"/>
        <v>4114.5057284244558</v>
      </c>
      <c r="O365" s="6">
        <f t="shared" si="50"/>
        <v>4114.5057284244558</v>
      </c>
      <c r="P365" s="6">
        <f t="shared" si="50"/>
        <v>4114.5057284244558</v>
      </c>
      <c r="Q365" s="6">
        <f t="shared" si="50"/>
        <v>4114.5057284244558</v>
      </c>
      <c r="R365" s="6">
        <f t="shared" si="50"/>
        <v>4114.5057284244558</v>
      </c>
      <c r="S365" s="6">
        <f t="shared" si="50"/>
        <v>4114.5057284244558</v>
      </c>
      <c r="T365" s="6">
        <f t="shared" si="50"/>
        <v>4114.5057284244558</v>
      </c>
      <c r="U365" s="6">
        <f t="shared" si="50"/>
        <v>4114.5057284244558</v>
      </c>
      <c r="V365" s="6">
        <f t="shared" si="50"/>
        <v>4114.5057284244558</v>
      </c>
      <c r="W365" s="6">
        <f t="shared" si="50"/>
        <v>4114.5057284244558</v>
      </c>
      <c r="X365" s="6">
        <f t="shared" si="50"/>
        <v>4114.5057284244558</v>
      </c>
      <c r="Y365" s="6">
        <f t="shared" si="50"/>
        <v>4114.5057284244558</v>
      </c>
      <c r="Z365" s="6">
        <f t="shared" si="50"/>
        <v>4114.5057284244558</v>
      </c>
    </row>
    <row r="366" spans="1:53" outlineLevel="1" x14ac:dyDescent="0.35">
      <c r="A366" s="23" t="s">
        <v>125</v>
      </c>
      <c r="B366" s="17">
        <f>SUM(B334:B364)</f>
        <v>39542.627028528965</v>
      </c>
      <c r="C366" s="17">
        <f t="shared" ref="C366:Z366" si="51">SUM(C334:C364)</f>
        <v>6835.4241052646148</v>
      </c>
      <c r="D366" s="17">
        <f t="shared" si="51"/>
        <v>6667.4795248236887</v>
      </c>
      <c r="E366" s="17">
        <f t="shared" si="51"/>
        <v>6467.8168756630885</v>
      </c>
      <c r="F366" s="17">
        <f t="shared" si="51"/>
        <v>6299.5122950844379</v>
      </c>
      <c r="G366" s="17">
        <f t="shared" si="51"/>
        <v>6130.8658423487814</v>
      </c>
      <c r="H366" s="17">
        <f t="shared" si="51"/>
        <v>5981.3945015899562</v>
      </c>
      <c r="I366" s="17">
        <f t="shared" si="51"/>
        <v>5837.8075812956604</v>
      </c>
      <c r="J366" s="17">
        <f t="shared" si="51"/>
        <v>5677.5580311716567</v>
      </c>
      <c r="K366" s="17">
        <f t="shared" si="51"/>
        <v>5537.1494342664164</v>
      </c>
      <c r="L366" s="17">
        <f t="shared" si="51"/>
        <v>5396.5228078406462</v>
      </c>
      <c r="M366" s="17">
        <f t="shared" si="51"/>
        <v>5262.2645842649035</v>
      </c>
      <c r="N366" s="17">
        <f t="shared" si="51"/>
        <v>5128.7143872952702</v>
      </c>
      <c r="O366" s="17">
        <f t="shared" si="51"/>
        <v>4990.7329683519583</v>
      </c>
      <c r="P366" s="17">
        <f t="shared" si="51"/>
        <v>4858.6895146967272</v>
      </c>
      <c r="Q366" s="17">
        <f t="shared" si="51"/>
        <v>4727.4296738890298</v>
      </c>
      <c r="R366" s="17">
        <f t="shared" si="51"/>
        <v>4642.70570299475</v>
      </c>
      <c r="S366" s="17">
        <f t="shared" si="51"/>
        <v>4558.9339831690795</v>
      </c>
      <c r="T366" s="17">
        <f t="shared" si="51"/>
        <v>4471.8711901223742</v>
      </c>
      <c r="U366" s="17">
        <f t="shared" si="51"/>
        <v>4390.3334620287178</v>
      </c>
      <c r="V366" s="17">
        <f t="shared" si="51"/>
        <v>4310.5889466949502</v>
      </c>
      <c r="W366" s="17">
        <f t="shared" si="51"/>
        <v>4290.0741168211835</v>
      </c>
      <c r="X366" s="17">
        <f t="shared" si="51"/>
        <v>4266.3881604826965</v>
      </c>
      <c r="Y366" s="17">
        <f t="shared" si="51"/>
        <v>4242.8212345979473</v>
      </c>
      <c r="Z366" s="17">
        <f t="shared" si="51"/>
        <v>4808.2443416810038</v>
      </c>
    </row>
    <row r="367" spans="1:53" outlineLevel="1" x14ac:dyDescent="0.35"/>
    <row r="368" spans="1:53" s="18" customFormat="1" ht="21" x14ac:dyDescent="0.5">
      <c r="A368" s="18" t="s">
        <v>94</v>
      </c>
    </row>
    <row r="369" spans="1:31" s="20" customFormat="1" outlineLevel="1" x14ac:dyDescent="0.35">
      <c r="A369" s="19" t="s">
        <v>788</v>
      </c>
    </row>
    <row r="370" spans="1:31" s="20" customFormat="1" outlineLevel="1" x14ac:dyDescent="0.35">
      <c r="A370" s="273" t="s">
        <v>775</v>
      </c>
      <c r="B370" s="20">
        <v>1</v>
      </c>
      <c r="C370" s="274" t="s">
        <v>787</v>
      </c>
    </row>
    <row r="371" spans="1:31" s="20" customFormat="1" outlineLevel="1" x14ac:dyDescent="0.35">
      <c r="A371" s="273" t="s">
        <v>781</v>
      </c>
      <c r="B371" s="20">
        <v>100000</v>
      </c>
      <c r="C371" s="20" t="s">
        <v>782</v>
      </c>
      <c r="E371" s="274"/>
    </row>
    <row r="372" spans="1:31" s="20" customFormat="1" outlineLevel="1" x14ac:dyDescent="0.35">
      <c r="A372" s="273" t="s">
        <v>783</v>
      </c>
      <c r="B372" s="20">
        <v>1500</v>
      </c>
      <c r="C372" s="20" t="s">
        <v>592</v>
      </c>
    </row>
    <row r="373" spans="1:31" s="20" customFormat="1" outlineLevel="1" x14ac:dyDescent="0.35">
      <c r="A373" s="273" t="s">
        <v>784</v>
      </c>
      <c r="B373" s="20">
        <v>8760</v>
      </c>
      <c r="C373" s="20" t="s">
        <v>785</v>
      </c>
    </row>
    <row r="374" spans="1:31" s="20" customFormat="1" outlineLevel="1" x14ac:dyDescent="0.35">
      <c r="A374" s="273"/>
    </row>
    <row r="375" spans="1:31" s="20" customFormat="1" outlineLevel="1" x14ac:dyDescent="0.35">
      <c r="A375" s="275" t="s">
        <v>786</v>
      </c>
      <c r="B375" s="275">
        <f>(B371*B372)/(B373*B370)</f>
        <v>17123.287671232876</v>
      </c>
      <c r="C375" s="275" t="s">
        <v>749</v>
      </c>
    </row>
    <row r="376" spans="1:31" s="20" customFormat="1" outlineLevel="1" x14ac:dyDescent="0.35">
      <c r="A376" s="19"/>
    </row>
    <row r="377" spans="1:31" s="20" customFormat="1" outlineLevel="1" x14ac:dyDescent="0.35">
      <c r="A377" s="19" t="s">
        <v>793</v>
      </c>
    </row>
    <row r="378" spans="1:31" s="20" customFormat="1" outlineLevel="1" x14ac:dyDescent="0.35">
      <c r="A378" s="273" t="s">
        <v>789</v>
      </c>
      <c r="B378" s="20">
        <f>SUM('Results - raw data ReCiPe (H)'!CC156:CC157)+'Results - raw data ReCiPe (H)'!CC160+SUM('Results - raw data ReCiPe (H)'!CC158:CC159)*AC387</f>
        <v>535.02600175413454</v>
      </c>
      <c r="C378" s="20" t="s">
        <v>873</v>
      </c>
    </row>
    <row r="379" spans="1:31" s="20" customFormat="1" outlineLevel="1" x14ac:dyDescent="0.35">
      <c r="A379" s="20" t="s">
        <v>792</v>
      </c>
      <c r="B379" s="20">
        <f>B371*AC385</f>
        <v>50000</v>
      </c>
      <c r="C379" s="274" t="s">
        <v>795</v>
      </c>
    </row>
    <row r="380" spans="1:31" s="20" customFormat="1" outlineLevel="1" x14ac:dyDescent="0.35">
      <c r="A380" s="20" t="s">
        <v>791</v>
      </c>
      <c r="B380" s="20">
        <f>(B378*AC387*B375)/(B379*AC386)*(AC386/AC388)</f>
        <v>54.968424837753545</v>
      </c>
      <c r="C380" s="20" t="s">
        <v>874</v>
      </c>
      <c r="E380" s="274" t="s">
        <v>796</v>
      </c>
    </row>
    <row r="381" spans="1:31" s="20" customFormat="1" outlineLevel="1" x14ac:dyDescent="0.35">
      <c r="A381" s="19"/>
    </row>
    <row r="382" spans="1:31" s="16" customFormat="1" outlineLevel="1" x14ac:dyDescent="0.35">
      <c r="A382" s="21"/>
      <c r="AB382" s="16" t="s">
        <v>801</v>
      </c>
      <c r="AC382" s="16">
        <v>1</v>
      </c>
      <c r="AD382" s="16" t="s">
        <v>146</v>
      </c>
      <c r="AE382" s="15" t="s">
        <v>714</v>
      </c>
    </row>
    <row r="383" spans="1:31" s="16" customFormat="1" outlineLevel="1" x14ac:dyDescent="0.35">
      <c r="A383" s="22" t="s">
        <v>566</v>
      </c>
      <c r="AC383" s="16">
        <f>AC382*1000</f>
        <v>1000</v>
      </c>
      <c r="AD383" s="16" t="s">
        <v>144</v>
      </c>
    </row>
    <row r="384" spans="1:31" s="16" customFormat="1" outlineLevel="1" x14ac:dyDescent="0.35">
      <c r="A384" s="22"/>
      <c r="AB384" s="16" t="s">
        <v>127</v>
      </c>
      <c r="AC384" s="16">
        <f>100*AC385</f>
        <v>50</v>
      </c>
      <c r="AD384" s="16" t="s">
        <v>128</v>
      </c>
    </row>
    <row r="385" spans="1:53" s="16" customFormat="1" outlineLevel="1" x14ac:dyDescent="0.35">
      <c r="A385" s="230"/>
      <c r="AB385" s="16" t="s">
        <v>776</v>
      </c>
      <c r="AC385" s="16">
        <v>0.5</v>
      </c>
    </row>
    <row r="386" spans="1:53" s="16" customFormat="1" outlineLevel="1" x14ac:dyDescent="0.35">
      <c r="A386" s="21"/>
      <c r="AB386" s="16" t="s">
        <v>129</v>
      </c>
      <c r="AC386" s="16">
        <v>25</v>
      </c>
      <c r="AD386" s="16" t="s">
        <v>130</v>
      </c>
    </row>
    <row r="387" spans="1:53" s="16" customFormat="1" outlineLevel="1" x14ac:dyDescent="0.35">
      <c r="A387" s="21"/>
      <c r="AB387" s="16" t="s">
        <v>777</v>
      </c>
      <c r="AC387" s="16">
        <v>6</v>
      </c>
      <c r="AD387" s="16" t="s">
        <v>779</v>
      </c>
    </row>
    <row r="388" spans="1:53" s="16" customFormat="1" outlineLevel="1" x14ac:dyDescent="0.35">
      <c r="A388" s="21"/>
      <c r="AB388" s="16" t="s">
        <v>778</v>
      </c>
      <c r="AC388" s="16">
        <v>20</v>
      </c>
      <c r="AD388" s="16" t="s">
        <v>130</v>
      </c>
    </row>
    <row r="389" spans="1:53" s="16" customFormat="1" outlineLevel="1" x14ac:dyDescent="0.35">
      <c r="AB389" s="16" t="s">
        <v>780</v>
      </c>
      <c r="AC389" s="16">
        <f>B375</f>
        <v>17123.287671232876</v>
      </c>
      <c r="AD389" s="16" t="s">
        <v>749</v>
      </c>
    </row>
    <row r="390" spans="1:53" s="16" customFormat="1" outlineLevel="1" x14ac:dyDescent="0.35">
      <c r="AB390" s="16" t="s">
        <v>820</v>
      </c>
      <c r="AC390" s="16">
        <v>0.5</v>
      </c>
    </row>
    <row r="391" spans="1:53" s="16" customFormat="1" outlineLevel="1" x14ac:dyDescent="0.35">
      <c r="AB391" s="16" t="s">
        <v>798</v>
      </c>
      <c r="AC391" s="16">
        <v>0.25</v>
      </c>
    </row>
    <row r="392" spans="1:53" s="16" customFormat="1" outlineLevel="1" x14ac:dyDescent="0.35">
      <c r="A392" s="22"/>
      <c r="AB392" s="16" t="s">
        <v>799</v>
      </c>
      <c r="AC392" s="16">
        <v>0.9</v>
      </c>
    </row>
    <row r="393" spans="1:53" s="16" customFormat="1" outlineLevel="1" x14ac:dyDescent="0.35">
      <c r="A393" s="22"/>
    </row>
    <row r="394" spans="1:53" outlineLevel="1" x14ac:dyDescent="0.35">
      <c r="B394" s="25">
        <v>2030</v>
      </c>
      <c r="C394" s="25">
        <v>2031</v>
      </c>
      <c r="D394" s="25">
        <v>2032</v>
      </c>
      <c r="E394" s="25">
        <v>2033</v>
      </c>
      <c r="F394" s="25">
        <v>2034</v>
      </c>
      <c r="G394" s="25">
        <v>2035</v>
      </c>
      <c r="H394" s="25">
        <v>2036</v>
      </c>
      <c r="I394" s="25">
        <v>2037</v>
      </c>
      <c r="J394" s="25">
        <v>2038</v>
      </c>
      <c r="K394" s="25">
        <v>2039</v>
      </c>
      <c r="L394" s="25">
        <v>2040</v>
      </c>
      <c r="M394" s="25">
        <v>2041</v>
      </c>
      <c r="N394" s="25">
        <v>2042</v>
      </c>
      <c r="O394" s="25">
        <v>2043</v>
      </c>
      <c r="P394" s="25">
        <v>2044</v>
      </c>
      <c r="Q394" s="25">
        <v>2045</v>
      </c>
      <c r="R394" s="25">
        <v>2046</v>
      </c>
      <c r="S394" s="25">
        <v>2047</v>
      </c>
      <c r="T394" s="25">
        <v>2048</v>
      </c>
      <c r="U394" s="25">
        <v>2049</v>
      </c>
      <c r="V394" s="25">
        <v>2050</v>
      </c>
      <c r="W394" s="25">
        <v>2051</v>
      </c>
      <c r="X394" s="25">
        <v>2052</v>
      </c>
      <c r="Y394" s="25">
        <v>2053</v>
      </c>
      <c r="Z394" s="25">
        <v>2054</v>
      </c>
      <c r="AC394" s="25">
        <v>2030</v>
      </c>
      <c r="AD394" s="25">
        <v>2031</v>
      </c>
      <c r="AE394" s="25">
        <v>2032</v>
      </c>
      <c r="AF394" s="25">
        <v>2033</v>
      </c>
      <c r="AG394" s="25">
        <v>2034</v>
      </c>
      <c r="AH394" s="25">
        <v>2035</v>
      </c>
      <c r="AI394" s="25">
        <v>2036</v>
      </c>
      <c r="AJ394" s="25">
        <v>2037</v>
      </c>
      <c r="AK394" s="25">
        <v>2038</v>
      </c>
      <c r="AL394" s="25">
        <v>2039</v>
      </c>
      <c r="AM394" s="25">
        <v>2040</v>
      </c>
      <c r="AN394" s="25">
        <v>2041</v>
      </c>
      <c r="AO394" s="25">
        <v>2042</v>
      </c>
      <c r="AP394" s="25">
        <v>2043</v>
      </c>
      <c r="AQ394" s="25">
        <v>2044</v>
      </c>
      <c r="AR394" s="25">
        <v>2045</v>
      </c>
      <c r="AS394" s="25">
        <v>2046</v>
      </c>
      <c r="AT394" s="25">
        <v>2047</v>
      </c>
      <c r="AU394" s="25">
        <v>2048</v>
      </c>
      <c r="AV394" s="25">
        <v>2049</v>
      </c>
      <c r="AW394" s="25">
        <v>2050</v>
      </c>
      <c r="AX394" s="25">
        <v>2051</v>
      </c>
      <c r="AY394" s="25">
        <v>2052</v>
      </c>
      <c r="AZ394" s="25">
        <v>2053</v>
      </c>
      <c r="BA394" s="25">
        <v>2054</v>
      </c>
    </row>
    <row r="395" spans="1:53" outlineLevel="1" x14ac:dyDescent="0.35">
      <c r="A395" s="6" t="s">
        <v>21</v>
      </c>
      <c r="B395" s="6">
        <f>B90</f>
        <v>522.14630630241095</v>
      </c>
      <c r="AB395" s="6" t="s">
        <v>117</v>
      </c>
      <c r="AC395" s="6">
        <f>SUM(B395:B406)+B408</f>
        <v>23659.708947237723</v>
      </c>
    </row>
    <row r="396" spans="1:53" outlineLevel="1" x14ac:dyDescent="0.35">
      <c r="A396" s="6" t="s">
        <v>23</v>
      </c>
      <c r="B396" s="6">
        <f t="shared" ref="B396:B406" si="52">B91</f>
        <v>689.59917152625098</v>
      </c>
      <c r="AB396" s="6" t="s">
        <v>118</v>
      </c>
      <c r="AC396" s="6">
        <f>B407</f>
        <v>1015.3078222151452</v>
      </c>
    </row>
    <row r="397" spans="1:53" outlineLevel="1" x14ac:dyDescent="0.35">
      <c r="A397" s="6" t="s">
        <v>26</v>
      </c>
      <c r="B397" s="6">
        <f t="shared" si="52"/>
        <v>2299.7919129358629</v>
      </c>
      <c r="AB397" s="6" t="s">
        <v>119</v>
      </c>
      <c r="BA397" s="6">
        <f>SUM(Z409:Z420)</f>
        <v>506.10170544819584</v>
      </c>
    </row>
    <row r="398" spans="1:53" outlineLevel="1" x14ac:dyDescent="0.35">
      <c r="A398" s="6" t="s">
        <v>28</v>
      </c>
      <c r="B398" s="6">
        <f t="shared" si="52"/>
        <v>2048.7708155777868</v>
      </c>
      <c r="AB398" s="6" t="s">
        <v>120</v>
      </c>
      <c r="BA398" s="6">
        <f>Z421</f>
        <v>9.8550188016235367</v>
      </c>
    </row>
    <row r="399" spans="1:53" outlineLevel="1" x14ac:dyDescent="0.35">
      <c r="A399" s="6" t="s">
        <v>29</v>
      </c>
      <c r="B399" s="6">
        <f t="shared" si="52"/>
        <v>1127.30474085434</v>
      </c>
      <c r="AB399" s="6" t="s">
        <v>121</v>
      </c>
      <c r="AC399" s="6">
        <f>B422</f>
        <v>960.18627888201729</v>
      </c>
      <c r="AF399" s="6">
        <f>E422</f>
        <v>894.9053469828998</v>
      </c>
      <c r="AI399" s="6">
        <f>H422</f>
        <v>847.74542197239737</v>
      </c>
      <c r="AL399" s="6">
        <f>K422</f>
        <v>829.74040861154253</v>
      </c>
      <c r="AO399" s="6">
        <f>N422</f>
        <v>821.41329377436136</v>
      </c>
      <c r="AR399" s="6">
        <f>Q422</f>
        <v>815.75248373031479</v>
      </c>
      <c r="AU399" s="6">
        <f>T422</f>
        <v>808.99669973300752</v>
      </c>
      <c r="AX399" s="6">
        <f>W422</f>
        <v>803.6131276705886</v>
      </c>
      <c r="BA399" s="6">
        <f>Z422</f>
        <v>799.02195316520056</v>
      </c>
    </row>
    <row r="400" spans="1:53" outlineLevel="1" x14ac:dyDescent="0.35">
      <c r="A400" s="6" t="s">
        <v>31</v>
      </c>
      <c r="B400" s="6">
        <f t="shared" si="52"/>
        <v>911.6428381501903</v>
      </c>
      <c r="AB400" s="6" t="s">
        <v>797</v>
      </c>
      <c r="AC400" s="6">
        <f>B426</f>
        <v>2748.4212418876773</v>
      </c>
      <c r="AD400" s="6">
        <f t="shared" ref="AD400:BA400" si="53">C426</f>
        <v>2748.4212418876773</v>
      </c>
      <c r="AE400" s="6">
        <f t="shared" si="53"/>
        <v>2748.4212418876773</v>
      </c>
      <c r="AF400" s="6">
        <f t="shared" si="53"/>
        <v>2748.4212418876773</v>
      </c>
      <c r="AG400" s="6">
        <f t="shared" si="53"/>
        <v>2748.4212418876773</v>
      </c>
      <c r="AH400" s="6">
        <f t="shared" si="53"/>
        <v>2748.4212418876773</v>
      </c>
      <c r="AI400" s="6">
        <f t="shared" si="53"/>
        <v>2748.4212418876773</v>
      </c>
      <c r="AJ400" s="6">
        <f t="shared" si="53"/>
        <v>2748.4212418876773</v>
      </c>
      <c r="AK400" s="6">
        <f t="shared" si="53"/>
        <v>2748.4212418876773</v>
      </c>
      <c r="AL400" s="6">
        <f t="shared" si="53"/>
        <v>2748.4212418876773</v>
      </c>
      <c r="AM400" s="6">
        <f t="shared" si="53"/>
        <v>2748.4212418876773</v>
      </c>
      <c r="AN400" s="6">
        <f t="shared" si="53"/>
        <v>2748.4212418876773</v>
      </c>
      <c r="AO400" s="6">
        <f t="shared" si="53"/>
        <v>2748.4212418876773</v>
      </c>
      <c r="AP400" s="6">
        <f t="shared" si="53"/>
        <v>2748.4212418876773</v>
      </c>
      <c r="AQ400" s="6">
        <f t="shared" si="53"/>
        <v>2748.4212418876773</v>
      </c>
      <c r="AR400" s="6">
        <f t="shared" si="53"/>
        <v>2748.4212418876773</v>
      </c>
      <c r="AS400" s="6">
        <f t="shared" si="53"/>
        <v>2748.4212418876773</v>
      </c>
      <c r="AT400" s="6">
        <f t="shared" si="53"/>
        <v>2748.4212418876773</v>
      </c>
      <c r="AU400" s="6">
        <f t="shared" si="53"/>
        <v>2748.4212418876773</v>
      </c>
      <c r="AV400" s="6">
        <f t="shared" si="53"/>
        <v>2748.4212418876773</v>
      </c>
      <c r="AW400" s="6">
        <f t="shared" si="53"/>
        <v>2748.4212418876773</v>
      </c>
      <c r="AX400" s="6">
        <f t="shared" si="53"/>
        <v>2748.4212418876773</v>
      </c>
      <c r="AY400" s="6">
        <f t="shared" si="53"/>
        <v>2748.4212418876773</v>
      </c>
      <c r="AZ400" s="6">
        <f t="shared" si="53"/>
        <v>2748.4212418876773</v>
      </c>
      <c r="BA400" s="6">
        <f t="shared" si="53"/>
        <v>2748.4212418876773</v>
      </c>
    </row>
    <row r="401" spans="1:53" outlineLevel="1" x14ac:dyDescent="0.35">
      <c r="A401" s="6" t="s">
        <v>34</v>
      </c>
      <c r="B401" s="6">
        <f t="shared" si="52"/>
        <v>536.54433466923933</v>
      </c>
      <c r="AB401" s="6" t="s">
        <v>122</v>
      </c>
      <c r="AC401" s="6">
        <f t="shared" ref="AC401:BA401" si="54">B425+B424</f>
        <v>2650.0793843002111</v>
      </c>
      <c r="AD401" s="6">
        <f t="shared" si="54"/>
        <v>2541.6073626931889</v>
      </c>
      <c r="AE401" s="6">
        <f t="shared" si="54"/>
        <v>2433.0071283679886</v>
      </c>
      <c r="AF401" s="6">
        <f t="shared" si="54"/>
        <v>2300.6668687623819</v>
      </c>
      <c r="AG401" s="6">
        <f t="shared" si="54"/>
        <v>2190.2202785139721</v>
      </c>
      <c r="AH401" s="6">
        <f t="shared" si="54"/>
        <v>2079.4641618918836</v>
      </c>
      <c r="AI401" s="6">
        <f t="shared" si="54"/>
        <v>2039.8273464279516</v>
      </c>
      <c r="AJ401" s="6">
        <f t="shared" si="54"/>
        <v>2000.6150725035884</v>
      </c>
      <c r="AK401" s="6">
        <f t="shared" si="54"/>
        <v>1948.8507496717691</v>
      </c>
      <c r="AL401" s="6">
        <f t="shared" si="54"/>
        <v>1910.6794202964779</v>
      </c>
      <c r="AM401" s="6">
        <f t="shared" si="54"/>
        <v>1873.072372753915</v>
      </c>
      <c r="AN401" s="6">
        <f t="shared" si="54"/>
        <v>1853.7417970471508</v>
      </c>
      <c r="AO401" s="6">
        <f t="shared" si="54"/>
        <v>1834.896888825285</v>
      </c>
      <c r="AP401" s="6">
        <f t="shared" si="54"/>
        <v>1813.0185761161483</v>
      </c>
      <c r="AQ401" s="6">
        <f t="shared" si="54"/>
        <v>1794.7734566282738</v>
      </c>
      <c r="AR401" s="6">
        <f t="shared" si="54"/>
        <v>1776.73743982105</v>
      </c>
      <c r="AS401" s="6">
        <f t="shared" si="54"/>
        <v>1761.4690216885651</v>
      </c>
      <c r="AT401" s="6">
        <f t="shared" si="54"/>
        <v>1746.5052342453239</v>
      </c>
      <c r="AU401" s="6">
        <f t="shared" si="54"/>
        <v>1729.3772380843191</v>
      </c>
      <c r="AV401" s="6">
        <f t="shared" si="54"/>
        <v>1714.9999937436305</v>
      </c>
      <c r="AW401" s="6">
        <f t="shared" si="54"/>
        <v>1701.4844871720695</v>
      </c>
      <c r="AX401" s="6">
        <f t="shared" si="54"/>
        <v>1695.2635433426133</v>
      </c>
      <c r="AY401" s="6">
        <f t="shared" si="54"/>
        <v>1687.3846102100827</v>
      </c>
      <c r="AZ401" s="6">
        <f t="shared" si="54"/>
        <v>1679.6135338524884</v>
      </c>
      <c r="BA401" s="6">
        <f t="shared" si="54"/>
        <v>1671.9487029706991</v>
      </c>
    </row>
    <row r="402" spans="1:53" outlineLevel="1" x14ac:dyDescent="0.35">
      <c r="A402" s="6" t="s">
        <v>36</v>
      </c>
      <c r="B402" s="6">
        <f t="shared" si="52"/>
        <v>423.50186488159068</v>
      </c>
      <c r="AB402" s="6" t="s">
        <v>123</v>
      </c>
      <c r="AC402" s="6">
        <f t="shared" ref="AC402:BA402" si="55">B423</f>
        <v>1856.204219721689</v>
      </c>
      <c r="AD402" s="6">
        <f t="shared" si="55"/>
        <v>1763.1386779579468</v>
      </c>
      <c r="AE402" s="6">
        <f t="shared" si="55"/>
        <v>1670.590959300285</v>
      </c>
      <c r="AF402" s="6">
        <f t="shared" si="55"/>
        <v>1576.983328991118</v>
      </c>
      <c r="AG402" s="6">
        <f t="shared" si="55"/>
        <v>1485.345133715002</v>
      </c>
      <c r="AH402" s="6">
        <f t="shared" si="55"/>
        <v>1394.1635890229954</v>
      </c>
      <c r="AI402" s="6">
        <f t="shared" si="55"/>
        <v>1372.4267479804985</v>
      </c>
      <c r="AJ402" s="6">
        <f t="shared" si="55"/>
        <v>1350.6663186240671</v>
      </c>
      <c r="AK402" s="6">
        <f t="shared" si="55"/>
        <v>1327.564445027687</v>
      </c>
      <c r="AL402" s="6">
        <f t="shared" si="55"/>
        <v>1305.7211422993714</v>
      </c>
      <c r="AM402" s="6">
        <f t="shared" si="55"/>
        <v>1283.852382951922</v>
      </c>
      <c r="AN402" s="6">
        <f t="shared" si="55"/>
        <v>1272.9387858855614</v>
      </c>
      <c r="AO402" s="6">
        <f t="shared" si="55"/>
        <v>1262.0387443752834</v>
      </c>
      <c r="AP402" s="6">
        <f t="shared" si="55"/>
        <v>1250.8983018310576</v>
      </c>
      <c r="AQ402" s="6">
        <f t="shared" si="55"/>
        <v>1240.0269640026015</v>
      </c>
      <c r="AR402" s="6">
        <f t="shared" si="55"/>
        <v>1229.1623932029365</v>
      </c>
      <c r="AS402" s="6">
        <f t="shared" si="55"/>
        <v>1206.4642740818824</v>
      </c>
      <c r="AT402" s="6">
        <f t="shared" si="55"/>
        <v>1183.735861606558</v>
      </c>
      <c r="AU402" s="6">
        <f t="shared" si="55"/>
        <v>1160.800915146549</v>
      </c>
      <c r="AV402" s="6">
        <f t="shared" si="55"/>
        <v>1138.0258396946647</v>
      </c>
      <c r="AW402" s="6">
        <f t="shared" si="55"/>
        <v>1115.2355461918085</v>
      </c>
      <c r="AX402" s="6">
        <f t="shared" si="55"/>
        <v>1095.8963294671435</v>
      </c>
      <c r="AY402" s="6">
        <f t="shared" si="55"/>
        <v>1076.0462578000684</v>
      </c>
      <c r="AZ402" s="6">
        <f t="shared" si="55"/>
        <v>1056.2016462327369</v>
      </c>
      <c r="BA402" s="6">
        <f t="shared" si="55"/>
        <v>1036.3617266324341</v>
      </c>
    </row>
    <row r="403" spans="1:53" outlineLevel="1" x14ac:dyDescent="0.35">
      <c r="A403" s="6" t="s">
        <v>38</v>
      </c>
      <c r="B403" s="6">
        <f t="shared" si="52"/>
        <v>4620.2212963694537</v>
      </c>
      <c r="AB403" s="6" t="s">
        <v>124</v>
      </c>
      <c r="AC403" s="6">
        <f>-$AC$384*$AC$383</f>
        <v>-50000</v>
      </c>
      <c r="AD403" s="6">
        <f t="shared" ref="AD403:BA403" si="56">-$AC$384*$AC$383</f>
        <v>-50000</v>
      </c>
      <c r="AE403" s="6">
        <f t="shared" si="56"/>
        <v>-50000</v>
      </c>
      <c r="AF403" s="6">
        <f t="shared" si="56"/>
        <v>-50000</v>
      </c>
      <c r="AG403" s="6">
        <f t="shared" si="56"/>
        <v>-50000</v>
      </c>
      <c r="AH403" s="6">
        <f t="shared" si="56"/>
        <v>-50000</v>
      </c>
      <c r="AI403" s="6">
        <f t="shared" si="56"/>
        <v>-50000</v>
      </c>
      <c r="AJ403" s="6">
        <f t="shared" si="56"/>
        <v>-50000</v>
      </c>
      <c r="AK403" s="6">
        <f t="shared" si="56"/>
        <v>-50000</v>
      </c>
      <c r="AL403" s="6">
        <f t="shared" si="56"/>
        <v>-50000</v>
      </c>
      <c r="AM403" s="6">
        <f t="shared" si="56"/>
        <v>-50000</v>
      </c>
      <c r="AN403" s="6">
        <f t="shared" si="56"/>
        <v>-50000</v>
      </c>
      <c r="AO403" s="6">
        <f t="shared" si="56"/>
        <v>-50000</v>
      </c>
      <c r="AP403" s="6">
        <f t="shared" si="56"/>
        <v>-50000</v>
      </c>
      <c r="AQ403" s="6">
        <f t="shared" si="56"/>
        <v>-50000</v>
      </c>
      <c r="AR403" s="6">
        <f t="shared" si="56"/>
        <v>-50000</v>
      </c>
      <c r="AS403" s="6">
        <f t="shared" si="56"/>
        <v>-50000</v>
      </c>
      <c r="AT403" s="6">
        <f t="shared" si="56"/>
        <v>-50000</v>
      </c>
      <c r="AU403" s="6">
        <f t="shared" si="56"/>
        <v>-50000</v>
      </c>
      <c r="AV403" s="6">
        <f t="shared" si="56"/>
        <v>-50000</v>
      </c>
      <c r="AW403" s="6">
        <f t="shared" si="56"/>
        <v>-50000</v>
      </c>
      <c r="AX403" s="6">
        <f t="shared" si="56"/>
        <v>-50000</v>
      </c>
      <c r="AY403" s="6">
        <f t="shared" si="56"/>
        <v>-50000</v>
      </c>
      <c r="AZ403" s="6">
        <f t="shared" si="56"/>
        <v>-50000</v>
      </c>
      <c r="BA403" s="6">
        <f t="shared" si="56"/>
        <v>-50000</v>
      </c>
    </row>
    <row r="404" spans="1:53" outlineLevel="1" x14ac:dyDescent="0.35">
      <c r="A404" s="6" t="s">
        <v>39</v>
      </c>
      <c r="B404" s="6">
        <f t="shared" si="52"/>
        <v>5739.6171857742838</v>
      </c>
      <c r="AB404" s="23" t="s">
        <v>125</v>
      </c>
      <c r="AC404" s="17">
        <f t="shared" ref="AC404:BA404" si="57">SUM(AC395:AC403)</f>
        <v>-17110.092105755539</v>
      </c>
      <c r="AD404" s="17">
        <f t="shared" si="57"/>
        <v>-42946.832717461184</v>
      </c>
      <c r="AE404" s="17">
        <f t="shared" si="57"/>
        <v>-43147.980670444049</v>
      </c>
      <c r="AF404" s="17">
        <f t="shared" si="57"/>
        <v>-42479.02321337592</v>
      </c>
      <c r="AG404" s="17">
        <f t="shared" si="57"/>
        <v>-43576.013345883352</v>
      </c>
      <c r="AH404" s="17">
        <f t="shared" si="57"/>
        <v>-43777.951007197444</v>
      </c>
      <c r="AI404" s="17">
        <f t="shared" si="57"/>
        <v>-42991.579241731473</v>
      </c>
      <c r="AJ404" s="17">
        <f t="shared" si="57"/>
        <v>-43900.297366984669</v>
      </c>
      <c r="AK404" s="17">
        <f t="shared" si="57"/>
        <v>-43975.163563412869</v>
      </c>
      <c r="AL404" s="17">
        <f t="shared" si="57"/>
        <v>-43205.437786904935</v>
      </c>
      <c r="AM404" s="17">
        <f t="shared" si="57"/>
        <v>-44094.654002406489</v>
      </c>
      <c r="AN404" s="17">
        <f t="shared" si="57"/>
        <v>-44124.898175179609</v>
      </c>
      <c r="AO404" s="17">
        <f t="shared" si="57"/>
        <v>-43333.229831137396</v>
      </c>
      <c r="AP404" s="17">
        <f t="shared" si="57"/>
        <v>-44187.66188016512</v>
      </c>
      <c r="AQ404" s="17">
        <f t="shared" si="57"/>
        <v>-44216.778337481446</v>
      </c>
      <c r="AR404" s="17">
        <f t="shared" si="57"/>
        <v>-43429.926441358024</v>
      </c>
      <c r="AS404" s="17">
        <f t="shared" si="57"/>
        <v>-44283.645462341876</v>
      </c>
      <c r="AT404" s="17">
        <f t="shared" si="57"/>
        <v>-44321.337662260441</v>
      </c>
      <c r="AU404" s="17">
        <f t="shared" si="57"/>
        <v>-43552.403905148443</v>
      </c>
      <c r="AV404" s="17">
        <f t="shared" si="57"/>
        <v>-44398.552924674026</v>
      </c>
      <c r="AW404" s="17">
        <f t="shared" si="57"/>
        <v>-44434.858724748447</v>
      </c>
      <c r="AX404" s="17">
        <f t="shared" si="57"/>
        <v>-43656.805757631977</v>
      </c>
      <c r="AY404" s="17">
        <f t="shared" si="57"/>
        <v>-44488.147890102169</v>
      </c>
      <c r="AZ404" s="17">
        <f t="shared" si="57"/>
        <v>-44515.763578027094</v>
      </c>
      <c r="BA404" s="17">
        <f t="shared" si="57"/>
        <v>-43228.289651094172</v>
      </c>
    </row>
    <row r="405" spans="1:53" outlineLevel="1" x14ac:dyDescent="0.35">
      <c r="A405" s="6" t="s">
        <v>41</v>
      </c>
      <c r="B405" s="6">
        <f t="shared" si="52"/>
        <v>135.80998010115019</v>
      </c>
    </row>
    <row r="406" spans="1:53" outlineLevel="1" x14ac:dyDescent="0.35">
      <c r="A406" s="6" t="s">
        <v>43</v>
      </c>
      <c r="B406" s="6">
        <f t="shared" si="52"/>
        <v>495.26793776870988</v>
      </c>
      <c r="AB406" s="282"/>
      <c r="AC406" s="282"/>
      <c r="AD406" s="282"/>
      <c r="AE406" s="282"/>
      <c r="AF406" s="282"/>
      <c r="AG406" s="282"/>
      <c r="AH406" s="282"/>
      <c r="AI406" s="282"/>
      <c r="AJ406" s="282"/>
      <c r="AK406" s="282"/>
      <c r="AL406" s="282"/>
      <c r="AM406" s="282"/>
      <c r="AN406" s="282"/>
      <c r="AO406" s="282"/>
      <c r="AP406" s="282"/>
      <c r="AQ406" s="282"/>
      <c r="AR406" s="282"/>
      <c r="AS406" s="282"/>
      <c r="AT406" s="282"/>
      <c r="AU406" s="282"/>
      <c r="AV406" s="282"/>
      <c r="AW406" s="282"/>
      <c r="AX406" s="282"/>
      <c r="AY406" s="282"/>
      <c r="AZ406" s="282"/>
      <c r="BA406" s="282"/>
    </row>
    <row r="407" spans="1:53" outlineLevel="1" x14ac:dyDescent="0.35">
      <c r="A407" s="6" t="s">
        <v>44</v>
      </c>
      <c r="B407" s="6">
        <f>B102*AC385</f>
        <v>1015.3078222151452</v>
      </c>
      <c r="AB407" s="282"/>
      <c r="AC407" s="282"/>
      <c r="AD407" s="282"/>
      <c r="AE407" s="282"/>
      <c r="AF407" s="282"/>
      <c r="AG407" s="282"/>
      <c r="AH407" s="282"/>
      <c r="AI407" s="282"/>
      <c r="AJ407" s="282"/>
      <c r="AK407" s="282"/>
      <c r="AL407" s="282"/>
      <c r="AM407" s="282"/>
      <c r="AN407" s="282"/>
      <c r="AO407" s="282"/>
      <c r="AP407" s="282"/>
      <c r="AQ407" s="282"/>
      <c r="AR407" s="282"/>
      <c r="AS407" s="282"/>
      <c r="AT407" s="282"/>
      <c r="AU407" s="282"/>
      <c r="AV407" s="282"/>
      <c r="AW407" s="282"/>
      <c r="AX407" s="282"/>
      <c r="AY407" s="282"/>
      <c r="AZ407" s="282"/>
      <c r="BA407" s="282"/>
    </row>
    <row r="408" spans="1:53" outlineLevel="1" x14ac:dyDescent="0.35">
      <c r="A408" s="6" t="s">
        <v>757</v>
      </c>
      <c r="B408" s="6">
        <f>B103*AC385</f>
        <v>4109.4905623264558</v>
      </c>
      <c r="AB408" s="282"/>
      <c r="AC408" s="282"/>
      <c r="AD408" s="282"/>
      <c r="AE408" s="282"/>
      <c r="AF408" s="282"/>
      <c r="AG408" s="282"/>
      <c r="AH408" s="282"/>
      <c r="AI408" s="282"/>
      <c r="AJ408" s="282"/>
      <c r="AK408" s="282"/>
      <c r="AL408" s="282"/>
      <c r="AM408" s="282"/>
      <c r="AN408" s="282"/>
      <c r="AO408" s="282"/>
      <c r="AP408" s="282"/>
      <c r="AQ408" s="282"/>
      <c r="AR408" s="282"/>
      <c r="AS408" s="282"/>
      <c r="AT408" s="282"/>
      <c r="AU408" s="282"/>
      <c r="AV408" s="282"/>
      <c r="AW408" s="282"/>
      <c r="AX408" s="282"/>
      <c r="AY408" s="282"/>
      <c r="AZ408" s="282"/>
      <c r="BA408" s="282"/>
    </row>
    <row r="409" spans="1:53" outlineLevel="1" x14ac:dyDescent="0.35">
      <c r="A409" s="6" t="s">
        <v>22</v>
      </c>
      <c r="Z409" s="6">
        <f>Z104</f>
        <v>17.50501830102143</v>
      </c>
      <c r="AB409" s="282"/>
      <c r="AC409" s="282"/>
      <c r="AD409" s="282"/>
      <c r="AE409" s="282"/>
      <c r="AF409" s="282"/>
      <c r="AG409" s="282"/>
      <c r="AH409" s="282"/>
      <c r="AI409" s="282"/>
      <c r="AJ409" s="282"/>
      <c r="AK409" s="282"/>
      <c r="AL409" s="282"/>
      <c r="AM409" s="282"/>
      <c r="AN409" s="282"/>
      <c r="AO409" s="282"/>
      <c r="AP409" s="282"/>
      <c r="AQ409" s="282"/>
      <c r="AR409" s="282"/>
      <c r="AS409" s="282"/>
      <c r="AT409" s="282"/>
      <c r="AU409" s="282"/>
      <c r="AV409" s="282"/>
      <c r="AW409" s="282"/>
      <c r="AX409" s="282"/>
      <c r="AY409" s="282"/>
      <c r="AZ409" s="282"/>
      <c r="BA409" s="282"/>
    </row>
    <row r="410" spans="1:53" outlineLevel="1" x14ac:dyDescent="0.35">
      <c r="A410" s="6" t="s">
        <v>24</v>
      </c>
      <c r="Z410" s="6">
        <f t="shared" ref="Z410:Z420" si="58">Z105</f>
        <v>6.1394952400305867</v>
      </c>
      <c r="AB410" s="282"/>
      <c r="AC410" s="282"/>
      <c r="AD410" s="282"/>
      <c r="AE410" s="282"/>
      <c r="AF410" s="282"/>
      <c r="AG410" s="282"/>
      <c r="AH410" s="282"/>
      <c r="AI410" s="282"/>
      <c r="AJ410" s="282"/>
      <c r="AK410" s="282"/>
      <c r="AL410" s="282"/>
      <c r="AM410" s="282"/>
      <c r="AN410" s="282"/>
      <c r="AO410" s="282"/>
      <c r="AP410" s="282"/>
      <c r="AQ410" s="282"/>
      <c r="AR410" s="282"/>
      <c r="AS410" s="282"/>
      <c r="AT410" s="282"/>
      <c r="AU410" s="282"/>
      <c r="AV410" s="282"/>
      <c r="AW410" s="282"/>
      <c r="AX410" s="282"/>
      <c r="AY410" s="282"/>
      <c r="AZ410" s="282"/>
      <c r="BA410" s="282"/>
    </row>
    <row r="411" spans="1:53" outlineLevel="1" x14ac:dyDescent="0.35">
      <c r="A411" s="6" t="s">
        <v>25</v>
      </c>
      <c r="Z411" s="6">
        <f t="shared" si="58"/>
        <v>18.736491486506349</v>
      </c>
      <c r="AB411" s="282"/>
      <c r="AC411" s="282"/>
      <c r="AD411" s="282"/>
      <c r="AE411" s="282"/>
      <c r="AF411" s="282"/>
      <c r="AG411" s="282"/>
      <c r="AH411" s="282"/>
      <c r="AI411" s="282"/>
      <c r="AJ411" s="282"/>
      <c r="AK411" s="282"/>
      <c r="AL411" s="282"/>
      <c r="AM411" s="282"/>
      <c r="AN411" s="282"/>
      <c r="AO411" s="282"/>
      <c r="AP411" s="282"/>
      <c r="AQ411" s="282"/>
      <c r="AR411" s="282"/>
      <c r="AS411" s="282"/>
      <c r="AT411" s="282"/>
      <c r="AU411" s="282"/>
      <c r="AV411" s="282"/>
      <c r="AW411" s="282"/>
      <c r="AX411" s="282"/>
      <c r="AY411" s="282"/>
      <c r="AZ411" s="282"/>
      <c r="BA411" s="282"/>
    </row>
    <row r="412" spans="1:53" outlineLevel="1" x14ac:dyDescent="0.35">
      <c r="A412" s="6" t="s">
        <v>27</v>
      </c>
      <c r="Z412" s="6">
        <f t="shared" si="58"/>
        <v>5.4960509125157726</v>
      </c>
      <c r="AB412" s="282"/>
      <c r="AC412" s="282"/>
      <c r="AD412" s="282"/>
      <c r="AE412" s="282"/>
      <c r="AF412" s="282"/>
      <c r="AG412" s="282"/>
      <c r="AH412" s="282"/>
      <c r="AI412" s="282"/>
      <c r="AJ412" s="282"/>
      <c r="AK412" s="282"/>
      <c r="AL412" s="282"/>
      <c r="AM412" s="282"/>
      <c r="AN412" s="282"/>
      <c r="AO412" s="282"/>
      <c r="AP412" s="282"/>
      <c r="AQ412" s="282"/>
      <c r="AR412" s="282"/>
      <c r="AS412" s="282"/>
      <c r="AT412" s="282"/>
      <c r="AU412" s="282"/>
      <c r="AV412" s="282"/>
      <c r="AW412" s="282"/>
      <c r="AX412" s="282"/>
      <c r="AY412" s="282"/>
      <c r="AZ412" s="282"/>
      <c r="BA412" s="282"/>
    </row>
    <row r="413" spans="1:53" outlineLevel="1" x14ac:dyDescent="0.35">
      <c r="A413" s="6" t="s">
        <v>30</v>
      </c>
      <c r="Z413" s="6">
        <f t="shared" si="58"/>
        <v>22.839582996658049</v>
      </c>
      <c r="AB413" s="282"/>
      <c r="AC413" s="282"/>
      <c r="AD413" s="282"/>
      <c r="AE413" s="282"/>
      <c r="AF413" s="282"/>
      <c r="AG413" s="282"/>
      <c r="AH413" s="282"/>
      <c r="AI413" s="282"/>
      <c r="AJ413" s="282"/>
      <c r="AK413" s="282"/>
      <c r="AL413" s="282"/>
      <c r="AM413" s="282"/>
      <c r="AN413" s="282"/>
      <c r="AO413" s="282"/>
      <c r="AP413" s="282"/>
      <c r="AQ413" s="282"/>
      <c r="AR413" s="282"/>
      <c r="AS413" s="282"/>
      <c r="AT413" s="282"/>
      <c r="AU413" s="282"/>
      <c r="AV413" s="282"/>
      <c r="AW413" s="282"/>
      <c r="AX413" s="282"/>
      <c r="AY413" s="282"/>
      <c r="AZ413" s="282"/>
      <c r="BA413" s="282"/>
    </row>
    <row r="414" spans="1:53" outlineLevel="1" x14ac:dyDescent="0.35">
      <c r="A414" s="6" t="s">
        <v>32</v>
      </c>
      <c r="Z414" s="6">
        <f t="shared" si="58"/>
        <v>0.53723365181465099</v>
      </c>
      <c r="AB414" s="282"/>
      <c r="AC414" s="282"/>
      <c r="AD414" s="282"/>
      <c r="AE414" s="282"/>
      <c r="AF414" s="282"/>
      <c r="AG414" s="282"/>
      <c r="AH414" s="282"/>
      <c r="AI414" s="282"/>
      <c r="AJ414" s="282"/>
      <c r="AK414" s="282"/>
      <c r="AL414" s="282"/>
      <c r="AM414" s="282"/>
      <c r="AN414" s="282"/>
      <c r="AO414" s="282"/>
      <c r="AP414" s="282"/>
      <c r="AQ414" s="282"/>
      <c r="AR414" s="282"/>
      <c r="AS414" s="282"/>
      <c r="AT414" s="282"/>
      <c r="AU414" s="282"/>
      <c r="AV414" s="282"/>
      <c r="AW414" s="282"/>
      <c r="AX414" s="282"/>
      <c r="AY414" s="282"/>
      <c r="AZ414" s="282"/>
      <c r="BA414" s="282"/>
    </row>
    <row r="415" spans="1:53" outlineLevel="1" x14ac:dyDescent="0.35">
      <c r="A415" s="6" t="s">
        <v>33</v>
      </c>
      <c r="Z415" s="6">
        <f t="shared" si="58"/>
        <v>5.4165037330899706</v>
      </c>
      <c r="AB415" s="282"/>
      <c r="AC415" s="282"/>
      <c r="AD415" s="282"/>
      <c r="AE415" s="282"/>
      <c r="AF415" s="282"/>
      <c r="AG415" s="282"/>
      <c r="AH415" s="282"/>
      <c r="AI415" s="282"/>
      <c r="AJ415" s="282"/>
      <c r="AK415" s="282"/>
      <c r="AL415" s="282"/>
      <c r="AM415" s="282"/>
      <c r="AN415" s="282"/>
      <c r="AO415" s="282"/>
      <c r="AP415" s="282"/>
      <c r="AQ415" s="282"/>
      <c r="AR415" s="282"/>
      <c r="AS415" s="282"/>
      <c r="AT415" s="282"/>
      <c r="AU415" s="282"/>
      <c r="AV415" s="282"/>
      <c r="AW415" s="282"/>
      <c r="AX415" s="282"/>
      <c r="AY415" s="282"/>
      <c r="AZ415" s="282"/>
      <c r="BA415" s="282"/>
    </row>
    <row r="416" spans="1:53" outlineLevel="1" x14ac:dyDescent="0.35">
      <c r="A416" s="6" t="s">
        <v>35</v>
      </c>
      <c r="Z416" s="6">
        <f t="shared" si="58"/>
        <v>10.833007466179939</v>
      </c>
      <c r="AB416" s="282"/>
      <c r="AC416" s="282"/>
      <c r="AD416" s="282"/>
      <c r="AE416" s="282"/>
      <c r="AF416" s="282"/>
      <c r="AG416" s="282"/>
      <c r="AH416" s="282"/>
      <c r="AI416" s="282"/>
      <c r="AJ416" s="282"/>
      <c r="AK416" s="282"/>
      <c r="AL416" s="282"/>
      <c r="AM416" s="282"/>
      <c r="AN416" s="282"/>
      <c r="AO416" s="282"/>
      <c r="AP416" s="282"/>
      <c r="AQ416" s="282"/>
      <c r="AR416" s="282"/>
      <c r="AS416" s="282"/>
      <c r="AT416" s="282"/>
      <c r="AU416" s="282"/>
      <c r="AV416" s="282"/>
      <c r="AW416" s="282"/>
      <c r="AX416" s="282"/>
      <c r="AY416" s="282"/>
      <c r="AZ416" s="282"/>
      <c r="BA416" s="282"/>
    </row>
    <row r="417" spans="1:53" outlineLevel="1" x14ac:dyDescent="0.35">
      <c r="A417" s="6" t="s">
        <v>37</v>
      </c>
      <c r="Z417" s="6">
        <f t="shared" si="58"/>
        <v>8.5312997818991647</v>
      </c>
      <c r="AB417" s="282"/>
      <c r="AC417" s="282"/>
      <c r="AD417" s="282"/>
      <c r="AE417" s="282"/>
      <c r="AF417" s="282"/>
      <c r="AG417" s="282"/>
      <c r="AH417" s="282"/>
      <c r="AI417" s="282"/>
      <c r="AJ417" s="282"/>
      <c r="AK417" s="282"/>
      <c r="AL417" s="282"/>
      <c r="AM417" s="282"/>
      <c r="AN417" s="282"/>
      <c r="AO417" s="282"/>
      <c r="AP417" s="282"/>
      <c r="AQ417" s="282"/>
      <c r="AR417" s="282"/>
      <c r="AS417" s="282"/>
      <c r="AT417" s="282"/>
      <c r="AU417" s="282"/>
      <c r="AV417" s="282"/>
      <c r="AW417" s="282"/>
      <c r="AX417" s="282"/>
      <c r="AY417" s="282"/>
      <c r="AZ417" s="282"/>
      <c r="BA417" s="282"/>
    </row>
    <row r="418" spans="1:53" outlineLevel="1" x14ac:dyDescent="0.35">
      <c r="A418" s="6" t="s">
        <v>40</v>
      </c>
      <c r="Z418" s="6">
        <f t="shared" si="58"/>
        <v>276.98759875301192</v>
      </c>
    </row>
    <row r="419" spans="1:53" outlineLevel="1" x14ac:dyDescent="0.35">
      <c r="A419" s="6" t="s">
        <v>42</v>
      </c>
      <c r="Z419" s="6">
        <f t="shared" si="58"/>
        <v>21.184388048874229</v>
      </c>
    </row>
    <row r="420" spans="1:53" outlineLevel="1" x14ac:dyDescent="0.35">
      <c r="A420" s="6" t="s">
        <v>115</v>
      </c>
      <c r="Z420" s="6">
        <f t="shared" si="58"/>
        <v>111.8950350765938</v>
      </c>
    </row>
    <row r="421" spans="1:53" outlineLevel="1" x14ac:dyDescent="0.35">
      <c r="A421" s="6" t="s">
        <v>45</v>
      </c>
      <c r="Z421" s="6">
        <f>Z116*AC385</f>
        <v>9.8550188016235367</v>
      </c>
    </row>
    <row r="422" spans="1:53" outlineLevel="1" x14ac:dyDescent="0.35">
      <c r="A422" s="6" t="s">
        <v>116</v>
      </c>
      <c r="B422" s="6">
        <f>B117</f>
        <v>960.18627888201729</v>
      </c>
      <c r="C422" s="6">
        <f t="shared" ref="C422:Z422" si="59">C117</f>
        <v>940.20848272169962</v>
      </c>
      <c r="D422" s="6">
        <f t="shared" si="59"/>
        <v>919.97849385793086</v>
      </c>
      <c r="E422" s="6">
        <f t="shared" si="59"/>
        <v>894.9053469828998</v>
      </c>
      <c r="F422" s="6">
        <f t="shared" si="59"/>
        <v>874.14560255740878</v>
      </c>
      <c r="G422" s="6">
        <f t="shared" si="59"/>
        <v>853.02566083551835</v>
      </c>
      <c r="H422" s="6">
        <f t="shared" si="59"/>
        <v>847.74542197239737</v>
      </c>
      <c r="I422" s="6">
        <f t="shared" si="59"/>
        <v>842.52429825235538</v>
      </c>
      <c r="J422" s="6">
        <f t="shared" si="59"/>
        <v>834.79260296691643</v>
      </c>
      <c r="K422" s="6">
        <f t="shared" si="59"/>
        <v>829.74040861154253</v>
      </c>
      <c r="L422" s="6">
        <f t="shared" si="59"/>
        <v>824.73326237106448</v>
      </c>
      <c r="M422" s="6">
        <f t="shared" si="59"/>
        <v>823.07344849097387</v>
      </c>
      <c r="N422" s="6">
        <f t="shared" si="59"/>
        <v>821.41329377436136</v>
      </c>
      <c r="O422" s="6">
        <f t="shared" si="59"/>
        <v>819.03371604470158</v>
      </c>
      <c r="P422" s="6">
        <f t="shared" si="59"/>
        <v>817.39547696635384</v>
      </c>
      <c r="Q422" s="6">
        <f t="shared" si="59"/>
        <v>815.75248373031479</v>
      </c>
      <c r="R422" s="6">
        <f t="shared" si="59"/>
        <v>813.65077703361283</v>
      </c>
      <c r="S422" s="6">
        <f t="shared" si="59"/>
        <v>811.56970808838173</v>
      </c>
      <c r="T422" s="6">
        <f t="shared" si="59"/>
        <v>808.99669973300752</v>
      </c>
      <c r="U422" s="6">
        <f t="shared" si="59"/>
        <v>806.98075822559349</v>
      </c>
      <c r="V422" s="6">
        <f t="shared" si="59"/>
        <v>804.98906592315427</v>
      </c>
      <c r="W422" s="6">
        <f t="shared" si="59"/>
        <v>803.6131276705886</v>
      </c>
      <c r="X422" s="6">
        <f t="shared" si="59"/>
        <v>802.07562707288832</v>
      </c>
      <c r="Y422" s="6">
        <f t="shared" si="59"/>
        <v>800.54526605146236</v>
      </c>
      <c r="Z422" s="6">
        <f t="shared" si="59"/>
        <v>799.02195316520056</v>
      </c>
    </row>
    <row r="423" spans="1:53" outlineLevel="1" x14ac:dyDescent="0.35">
      <c r="A423" s="6" t="s">
        <v>758</v>
      </c>
      <c r="B423" s="6">
        <f>B118*$AC$385</f>
        <v>1856.204219721689</v>
      </c>
      <c r="C423" s="6">
        <f t="shared" ref="C423:Z424" si="60">C118*$AC$385</f>
        <v>1763.1386779579468</v>
      </c>
      <c r="D423" s="6">
        <f t="shared" si="60"/>
        <v>1670.590959300285</v>
      </c>
      <c r="E423" s="6">
        <f t="shared" si="60"/>
        <v>1576.983328991118</v>
      </c>
      <c r="F423" s="6">
        <f t="shared" si="60"/>
        <v>1485.345133715002</v>
      </c>
      <c r="G423" s="6">
        <f t="shared" si="60"/>
        <v>1394.1635890229954</v>
      </c>
      <c r="H423" s="6">
        <f t="shared" si="60"/>
        <v>1372.4267479804985</v>
      </c>
      <c r="I423" s="6">
        <f t="shared" si="60"/>
        <v>1350.6663186240671</v>
      </c>
      <c r="J423" s="6">
        <f t="shared" si="60"/>
        <v>1327.564445027687</v>
      </c>
      <c r="K423" s="6">
        <f t="shared" si="60"/>
        <v>1305.7211422993714</v>
      </c>
      <c r="L423" s="6">
        <f t="shared" si="60"/>
        <v>1283.852382951922</v>
      </c>
      <c r="M423" s="6">
        <f t="shared" si="60"/>
        <v>1272.9387858855614</v>
      </c>
      <c r="N423" s="6">
        <f t="shared" si="60"/>
        <v>1262.0387443752834</v>
      </c>
      <c r="O423" s="6">
        <f t="shared" si="60"/>
        <v>1250.8983018310576</v>
      </c>
      <c r="P423" s="6">
        <f t="shared" si="60"/>
        <v>1240.0269640026015</v>
      </c>
      <c r="Q423" s="6">
        <f t="shared" si="60"/>
        <v>1229.1623932029365</v>
      </c>
      <c r="R423" s="6">
        <f t="shared" si="60"/>
        <v>1206.4642740818824</v>
      </c>
      <c r="S423" s="6">
        <f t="shared" si="60"/>
        <v>1183.735861606558</v>
      </c>
      <c r="T423" s="6">
        <f t="shared" si="60"/>
        <v>1160.800915146549</v>
      </c>
      <c r="U423" s="6">
        <f t="shared" si="60"/>
        <v>1138.0258396946647</v>
      </c>
      <c r="V423" s="6">
        <f t="shared" si="60"/>
        <v>1115.2355461918085</v>
      </c>
      <c r="W423" s="6">
        <f t="shared" si="60"/>
        <v>1095.8963294671435</v>
      </c>
      <c r="X423" s="6">
        <f t="shared" si="60"/>
        <v>1076.0462578000684</v>
      </c>
      <c r="Y423" s="6">
        <f t="shared" si="60"/>
        <v>1056.2016462327369</v>
      </c>
      <c r="Z423" s="6">
        <f t="shared" si="60"/>
        <v>1036.3617266324341</v>
      </c>
    </row>
    <row r="424" spans="1:53" outlineLevel="1" x14ac:dyDescent="0.35">
      <c r="A424" s="6" t="s">
        <v>759</v>
      </c>
      <c r="B424" s="6">
        <f>B119*$AC$385</f>
        <v>0</v>
      </c>
      <c r="C424" s="6">
        <f t="shared" si="60"/>
        <v>0</v>
      </c>
      <c r="D424" s="6">
        <f t="shared" si="60"/>
        <v>0</v>
      </c>
      <c r="E424" s="6">
        <f t="shared" si="60"/>
        <v>0</v>
      </c>
      <c r="F424" s="6">
        <f t="shared" si="60"/>
        <v>0</v>
      </c>
      <c r="G424" s="6">
        <f t="shared" si="60"/>
        <v>0</v>
      </c>
      <c r="H424" s="6">
        <f t="shared" si="60"/>
        <v>0</v>
      </c>
      <c r="I424" s="6">
        <f t="shared" si="60"/>
        <v>0</v>
      </c>
      <c r="J424" s="6">
        <f t="shared" si="60"/>
        <v>0</v>
      </c>
      <c r="K424" s="6">
        <f t="shared" si="60"/>
        <v>0</v>
      </c>
      <c r="L424" s="6">
        <f t="shared" si="60"/>
        <v>0</v>
      </c>
      <c r="M424" s="6">
        <f t="shared" si="60"/>
        <v>0</v>
      </c>
      <c r="N424" s="6">
        <f t="shared" si="60"/>
        <v>0</v>
      </c>
      <c r="O424" s="6">
        <f t="shared" si="60"/>
        <v>0</v>
      </c>
      <c r="P424" s="6">
        <f t="shared" si="60"/>
        <v>0</v>
      </c>
      <c r="Q424" s="6">
        <f t="shared" si="60"/>
        <v>0</v>
      </c>
      <c r="R424" s="6">
        <f t="shared" si="60"/>
        <v>0</v>
      </c>
      <c r="S424" s="6">
        <f t="shared" si="60"/>
        <v>0</v>
      </c>
      <c r="T424" s="6">
        <f t="shared" si="60"/>
        <v>0</v>
      </c>
      <c r="U424" s="6">
        <f t="shared" si="60"/>
        <v>0</v>
      </c>
      <c r="V424" s="6">
        <f t="shared" si="60"/>
        <v>0</v>
      </c>
      <c r="W424" s="6">
        <f t="shared" si="60"/>
        <v>0</v>
      </c>
      <c r="X424" s="6">
        <f t="shared" si="60"/>
        <v>0</v>
      </c>
      <c r="Y424" s="6">
        <f t="shared" si="60"/>
        <v>0</v>
      </c>
      <c r="Z424" s="6">
        <f t="shared" si="60"/>
        <v>0</v>
      </c>
    </row>
    <row r="425" spans="1:53" outlineLevel="1" x14ac:dyDescent="0.35">
      <c r="A425" s="6" t="s">
        <v>760</v>
      </c>
      <c r="B425" s="6">
        <f>$B$252*$AC$384*'Results - raw data ReCiPe (H)'!CC128/(1-$AC$390)*(1+'Results ReCiPe (H) - HHD'!$AC$271/'Results ReCiPe (H) - HHD'!$AC$272-'Results ReCiPe (H) - HHD'!$AC$271)</f>
        <v>2650.0793843002111</v>
      </c>
      <c r="C425" s="6">
        <f>$B$252*$AC$384*'Results - raw data ReCiPe (H)'!CD128/(1-$AC$390)*(1+'Results ReCiPe (H) - HHD'!$AC$271/'Results ReCiPe (H) - HHD'!$AC$272-'Results ReCiPe (H) - HHD'!$AC$271)</f>
        <v>2541.6073626931889</v>
      </c>
      <c r="D425" s="6">
        <f>$B$252*$AC$384*'Results - raw data ReCiPe (H)'!CE128/(1-$AC$390)*(1+'Results ReCiPe (H) - HHD'!$AC$271/'Results ReCiPe (H) - HHD'!$AC$272-'Results ReCiPe (H) - HHD'!$AC$271)</f>
        <v>2433.0071283679886</v>
      </c>
      <c r="E425" s="6">
        <f>$B$252*$AC$384*'Results - raw data ReCiPe (H)'!CF128/(1-$AC$390)*(1+'Results ReCiPe (H) - HHD'!$AC$271/'Results ReCiPe (H) - HHD'!$AC$272-'Results ReCiPe (H) - HHD'!$AC$271)</f>
        <v>2300.6668687623819</v>
      </c>
      <c r="F425" s="6">
        <f>$B$252*$AC$384*'Results - raw data ReCiPe (H)'!CG128/(1-$AC$390)*(1+'Results ReCiPe (H) - HHD'!$AC$271/'Results ReCiPe (H) - HHD'!$AC$272-'Results ReCiPe (H) - HHD'!$AC$271)</f>
        <v>2190.2202785139721</v>
      </c>
      <c r="G425" s="6">
        <f>$B$252*$AC$384*'Results - raw data ReCiPe (H)'!CH128/(1-$AC$390)*(1+'Results ReCiPe (H) - HHD'!$AC$271/'Results ReCiPe (H) - HHD'!$AC$272-'Results ReCiPe (H) - HHD'!$AC$271)</f>
        <v>2079.4641618918836</v>
      </c>
      <c r="H425" s="6">
        <f>$B$252*$AC$384*'Results - raw data ReCiPe (H)'!CI128/(1-$AC$390)*(1+'Results ReCiPe (H) - HHD'!$AC$271/'Results ReCiPe (H) - HHD'!$AC$272-'Results ReCiPe (H) - HHD'!$AC$271)</f>
        <v>2039.8273464279516</v>
      </c>
      <c r="I425" s="6">
        <f>$B$252*$AC$384*'Results - raw data ReCiPe (H)'!CJ128/(1-$AC$390)*(1+'Results ReCiPe (H) - HHD'!$AC$271/'Results ReCiPe (H) - HHD'!$AC$272-'Results ReCiPe (H) - HHD'!$AC$271)</f>
        <v>2000.6150725035884</v>
      </c>
      <c r="J425" s="6">
        <f>$B$252*$AC$384*'Results - raw data ReCiPe (H)'!CK128/(1-$AC$390)*(1+'Results ReCiPe (H) - HHD'!$AC$271/'Results ReCiPe (H) - HHD'!$AC$272-'Results ReCiPe (H) - HHD'!$AC$271)</f>
        <v>1948.8507496717691</v>
      </c>
      <c r="K425" s="6">
        <f>$B$252*$AC$384*'Results - raw data ReCiPe (H)'!CL128/(1-$AC$390)*(1+'Results ReCiPe (H) - HHD'!$AC$271/'Results ReCiPe (H) - HHD'!$AC$272-'Results ReCiPe (H) - HHD'!$AC$271)</f>
        <v>1910.6794202964779</v>
      </c>
      <c r="L425" s="6">
        <f>$B$252*$AC$384*'Results - raw data ReCiPe (H)'!CM128/(1-$AC$390)*(1+'Results ReCiPe (H) - HHD'!$AC$271/'Results ReCiPe (H) - HHD'!$AC$272-'Results ReCiPe (H) - HHD'!$AC$271)</f>
        <v>1873.072372753915</v>
      </c>
      <c r="M425" s="6">
        <f>$B$252*$AC$384*'Results - raw data ReCiPe (H)'!CN128/(1-$AC$390)*(1+'Results ReCiPe (H) - HHD'!$AC$271/'Results ReCiPe (H) - HHD'!$AC$272-'Results ReCiPe (H) - HHD'!$AC$271)</f>
        <v>1853.7417970471508</v>
      </c>
      <c r="N425" s="6">
        <f>$B$252*$AC$384*'Results - raw data ReCiPe (H)'!CO128/(1-$AC$390)*(1+'Results ReCiPe (H) - HHD'!$AC$271/'Results ReCiPe (H) - HHD'!$AC$272-'Results ReCiPe (H) - HHD'!$AC$271)</f>
        <v>1834.896888825285</v>
      </c>
      <c r="O425" s="6">
        <f>$B$252*$AC$384*'Results - raw data ReCiPe (H)'!CP128/(1-$AC$390)*(1+'Results ReCiPe (H) - HHD'!$AC$271/'Results ReCiPe (H) - HHD'!$AC$272-'Results ReCiPe (H) - HHD'!$AC$271)</f>
        <v>1813.0185761161483</v>
      </c>
      <c r="P425" s="6">
        <f>$B$252*$AC$384*'Results - raw data ReCiPe (H)'!CQ128/(1-$AC$390)*(1+'Results ReCiPe (H) - HHD'!$AC$271/'Results ReCiPe (H) - HHD'!$AC$272-'Results ReCiPe (H) - HHD'!$AC$271)</f>
        <v>1794.7734566282738</v>
      </c>
      <c r="Q425" s="6">
        <f>$B$252*$AC$384*'Results - raw data ReCiPe (H)'!CR128/(1-$AC$390)*(1+'Results ReCiPe (H) - HHD'!$AC$271/'Results ReCiPe (H) - HHD'!$AC$272-'Results ReCiPe (H) - HHD'!$AC$271)</f>
        <v>1776.73743982105</v>
      </c>
      <c r="R425" s="6">
        <f>$B$252*$AC$384*'Results - raw data ReCiPe (H)'!CS128/(1-$AC$390)*(1+'Results ReCiPe (H) - HHD'!$AC$271/'Results ReCiPe (H) - HHD'!$AC$272-'Results ReCiPe (H) - HHD'!$AC$271)</f>
        <v>1761.4690216885651</v>
      </c>
      <c r="S425" s="6">
        <f>$B$252*$AC$384*'Results - raw data ReCiPe (H)'!CT128/(1-$AC$390)*(1+'Results ReCiPe (H) - HHD'!$AC$271/'Results ReCiPe (H) - HHD'!$AC$272-'Results ReCiPe (H) - HHD'!$AC$271)</f>
        <v>1746.5052342453239</v>
      </c>
      <c r="T425" s="6">
        <f>$B$252*$AC$384*'Results - raw data ReCiPe (H)'!CU128/(1-$AC$390)*(1+'Results ReCiPe (H) - HHD'!$AC$271/'Results ReCiPe (H) - HHD'!$AC$272-'Results ReCiPe (H) - HHD'!$AC$271)</f>
        <v>1729.3772380843191</v>
      </c>
      <c r="U425" s="6">
        <f>$B$252*$AC$384*'Results - raw data ReCiPe (H)'!CV128/(1-$AC$390)*(1+'Results ReCiPe (H) - HHD'!$AC$271/'Results ReCiPe (H) - HHD'!$AC$272-'Results ReCiPe (H) - HHD'!$AC$271)</f>
        <v>1714.9999937436305</v>
      </c>
      <c r="V425" s="6">
        <f>$B$252*$AC$384*'Results - raw data ReCiPe (H)'!CW128/(1-$AC$390)*(1+'Results ReCiPe (H) - HHD'!$AC$271/'Results ReCiPe (H) - HHD'!$AC$272-'Results ReCiPe (H) - HHD'!$AC$271)</f>
        <v>1701.4844871720695</v>
      </c>
      <c r="W425" s="6">
        <f>$B$252*$AC$384*'Results - raw data ReCiPe (H)'!CX128/(1-$AC$390)*(1+'Results ReCiPe (H) - HHD'!$AC$271/'Results ReCiPe (H) - HHD'!$AC$272-'Results ReCiPe (H) - HHD'!$AC$271)</f>
        <v>1695.2635433426133</v>
      </c>
      <c r="X425" s="6">
        <f>$B$252*$AC$384*'Results - raw data ReCiPe (H)'!CY128/(1-$AC$390)*(1+'Results ReCiPe (H) - HHD'!$AC$271/'Results ReCiPe (H) - HHD'!$AC$272-'Results ReCiPe (H) - HHD'!$AC$271)</f>
        <v>1687.3846102100827</v>
      </c>
      <c r="Y425" s="6">
        <f>$B$252*$AC$384*'Results - raw data ReCiPe (H)'!CZ128/(1-$AC$390)*(1+'Results ReCiPe (H) - HHD'!$AC$271/'Results ReCiPe (H) - HHD'!$AC$272-'Results ReCiPe (H) - HHD'!$AC$271)</f>
        <v>1679.6135338524884</v>
      </c>
      <c r="Z425" s="6">
        <f>$B$252*$AC$384*'Results - raw data ReCiPe (H)'!DA128/(1-$AC$390)*(1+'Results ReCiPe (H) - HHD'!$AC$271/'Results ReCiPe (H) - HHD'!$AC$272-'Results ReCiPe (H) - HHD'!$AC$271)</f>
        <v>1671.9487029706991</v>
      </c>
    </row>
    <row r="426" spans="1:53" outlineLevel="1" x14ac:dyDescent="0.35">
      <c r="A426" s="6" t="s">
        <v>797</v>
      </c>
      <c r="B426" s="6">
        <f>$B$380*$AC$384</f>
        <v>2748.4212418876773</v>
      </c>
      <c r="C426" s="6">
        <f t="shared" ref="C426:Z426" si="61">$B$380*$AC$384</f>
        <v>2748.4212418876773</v>
      </c>
      <c r="D426" s="6">
        <f t="shared" si="61"/>
        <v>2748.4212418876773</v>
      </c>
      <c r="E426" s="6">
        <f t="shared" si="61"/>
        <v>2748.4212418876773</v>
      </c>
      <c r="F426" s="6">
        <f t="shared" si="61"/>
        <v>2748.4212418876773</v>
      </c>
      <c r="G426" s="6">
        <f t="shared" si="61"/>
        <v>2748.4212418876773</v>
      </c>
      <c r="H426" s="6">
        <f t="shared" si="61"/>
        <v>2748.4212418876773</v>
      </c>
      <c r="I426" s="6">
        <f t="shared" si="61"/>
        <v>2748.4212418876773</v>
      </c>
      <c r="J426" s="6">
        <f t="shared" si="61"/>
        <v>2748.4212418876773</v>
      </c>
      <c r="K426" s="6">
        <f t="shared" si="61"/>
        <v>2748.4212418876773</v>
      </c>
      <c r="L426" s="6">
        <f t="shared" si="61"/>
        <v>2748.4212418876773</v>
      </c>
      <c r="M426" s="6">
        <f t="shared" si="61"/>
        <v>2748.4212418876773</v>
      </c>
      <c r="N426" s="6">
        <f t="shared" si="61"/>
        <v>2748.4212418876773</v>
      </c>
      <c r="O426" s="6">
        <f t="shared" si="61"/>
        <v>2748.4212418876773</v>
      </c>
      <c r="P426" s="6">
        <f t="shared" si="61"/>
        <v>2748.4212418876773</v>
      </c>
      <c r="Q426" s="6">
        <f t="shared" si="61"/>
        <v>2748.4212418876773</v>
      </c>
      <c r="R426" s="6">
        <f t="shared" si="61"/>
        <v>2748.4212418876773</v>
      </c>
      <c r="S426" s="6">
        <f t="shared" si="61"/>
        <v>2748.4212418876773</v>
      </c>
      <c r="T426" s="6">
        <f t="shared" si="61"/>
        <v>2748.4212418876773</v>
      </c>
      <c r="U426" s="6">
        <f t="shared" si="61"/>
        <v>2748.4212418876773</v>
      </c>
      <c r="V426" s="6">
        <f t="shared" si="61"/>
        <v>2748.4212418876773</v>
      </c>
      <c r="W426" s="6">
        <f t="shared" si="61"/>
        <v>2748.4212418876773</v>
      </c>
      <c r="X426" s="6">
        <f t="shared" si="61"/>
        <v>2748.4212418876773</v>
      </c>
      <c r="Y426" s="6">
        <f t="shared" si="61"/>
        <v>2748.4212418876773</v>
      </c>
      <c r="Z426" s="6">
        <f t="shared" si="61"/>
        <v>2748.4212418876773</v>
      </c>
    </row>
    <row r="427" spans="1:53" outlineLevel="1" x14ac:dyDescent="0.35">
      <c r="A427" s="23" t="s">
        <v>125</v>
      </c>
      <c r="B427" s="17">
        <f>SUM(B395:B425)</f>
        <v>30141.486652356787</v>
      </c>
      <c r="C427" s="17">
        <f t="shared" ref="C427:Z427" si="62">SUM(C395:C425)</f>
        <v>5244.954523372835</v>
      </c>
      <c r="D427" s="17">
        <f t="shared" si="62"/>
        <v>5023.5765815262039</v>
      </c>
      <c r="E427" s="17">
        <f t="shared" si="62"/>
        <v>4772.5555447364004</v>
      </c>
      <c r="F427" s="17">
        <f t="shared" si="62"/>
        <v>4549.7110147863823</v>
      </c>
      <c r="G427" s="17">
        <f t="shared" si="62"/>
        <v>4326.6534117503979</v>
      </c>
      <c r="H427" s="17">
        <f t="shared" si="62"/>
        <v>4259.9995163808471</v>
      </c>
      <c r="I427" s="17">
        <f t="shared" si="62"/>
        <v>4193.8056893800112</v>
      </c>
      <c r="J427" s="17">
        <f t="shared" si="62"/>
        <v>4111.2077976663722</v>
      </c>
      <c r="K427" s="17">
        <f t="shared" si="62"/>
        <v>4046.1409712073919</v>
      </c>
      <c r="L427" s="17">
        <f t="shared" si="62"/>
        <v>3981.6580180769015</v>
      </c>
      <c r="M427" s="17">
        <f t="shared" si="62"/>
        <v>3949.7540314236858</v>
      </c>
      <c r="N427" s="17">
        <f t="shared" si="62"/>
        <v>3918.3489269749298</v>
      </c>
      <c r="O427" s="17">
        <f t="shared" si="62"/>
        <v>3882.9505939919072</v>
      </c>
      <c r="P427" s="17">
        <f t="shared" si="62"/>
        <v>3852.1958975972293</v>
      </c>
      <c r="Q427" s="17">
        <f t="shared" si="62"/>
        <v>3821.6523167543014</v>
      </c>
      <c r="R427" s="17">
        <f t="shared" si="62"/>
        <v>3781.5840728040603</v>
      </c>
      <c r="S427" s="17">
        <f t="shared" si="62"/>
        <v>3741.8108039402637</v>
      </c>
      <c r="T427" s="17">
        <f t="shared" si="62"/>
        <v>3699.1748529638753</v>
      </c>
      <c r="U427" s="17">
        <f t="shared" si="62"/>
        <v>3660.0065916638887</v>
      </c>
      <c r="V427" s="17">
        <f t="shared" si="62"/>
        <v>3621.7090992870326</v>
      </c>
      <c r="W427" s="17">
        <f t="shared" si="62"/>
        <v>3594.7730004803452</v>
      </c>
      <c r="X427" s="17">
        <f t="shared" si="62"/>
        <v>3565.5064950830392</v>
      </c>
      <c r="Y427" s="17">
        <f t="shared" si="62"/>
        <v>3536.3604461366876</v>
      </c>
      <c r="Z427" s="17">
        <f t="shared" si="62"/>
        <v>4023.2891070181531</v>
      </c>
    </row>
    <row r="428" spans="1:53" s="26" customFormat="1" outlineLevel="1" x14ac:dyDescent="0.35"/>
    <row r="429" spans="1:53" s="236" customFormat="1" ht="21" x14ac:dyDescent="0.5">
      <c r="A429" s="236" t="s">
        <v>136</v>
      </c>
    </row>
    <row r="432" spans="1:53" x14ac:dyDescent="0.35">
      <c r="A432" s="331" t="s">
        <v>131</v>
      </c>
      <c r="B432" s="331"/>
      <c r="C432" s="331"/>
      <c r="D432" s="331"/>
      <c r="E432" s="331"/>
      <c r="F432" s="331"/>
      <c r="G432" s="331"/>
      <c r="H432" s="331"/>
      <c r="I432" s="331"/>
      <c r="J432" s="331"/>
      <c r="K432" s="331"/>
    </row>
    <row r="433" spans="1:11" x14ac:dyDescent="0.35">
      <c r="A433" s="6" t="s">
        <v>875</v>
      </c>
    </row>
    <row r="434" spans="1:11" x14ac:dyDescent="0.35">
      <c r="B434" s="6" t="s">
        <v>889</v>
      </c>
      <c r="C434" s="6" t="s">
        <v>891</v>
      </c>
      <c r="D434" s="6" t="s">
        <v>890</v>
      </c>
      <c r="E434" s="6" t="s">
        <v>892</v>
      </c>
      <c r="F434" s="6" t="s">
        <v>893</v>
      </c>
      <c r="G434" s="6" t="s">
        <v>894</v>
      </c>
      <c r="H434" s="6" t="s">
        <v>896</v>
      </c>
      <c r="I434" s="6" t="s">
        <v>897</v>
      </c>
      <c r="J434" s="6" t="s">
        <v>895</v>
      </c>
    </row>
    <row r="435" spans="1:11" x14ac:dyDescent="0.35">
      <c r="A435" s="6" t="s">
        <v>117</v>
      </c>
      <c r="B435" s="6">
        <f>SUM(AC10:BA10)</f>
        <v>38347.290835764303</v>
      </c>
      <c r="C435" s="6">
        <f>SUM(AC50:BA50)</f>
        <v>35571.801809533943</v>
      </c>
      <c r="D435" s="6">
        <f>SUM(AC90:BA90)</f>
        <v>27769.199509564176</v>
      </c>
      <c r="E435" s="6">
        <f>SUM(AC132:BA132)</f>
        <v>38347.290835764303</v>
      </c>
      <c r="F435" s="6">
        <f>SUM(AC173:BA173)</f>
        <v>35571.801809533943</v>
      </c>
      <c r="G435" s="6">
        <f>SUM(AC214:BA214)</f>
        <v>27769.199509564176</v>
      </c>
      <c r="H435" s="6">
        <f>SUM(AC274:BA274)</f>
        <v>34126.372886235426</v>
      </c>
      <c r="I435" s="6">
        <f>SUM(AC334:BA334)</f>
        <v>31378.879876764171</v>
      </c>
      <c r="J435" s="6">
        <f>SUM(AC395:BA395)</f>
        <v>23659.708947237723</v>
      </c>
    </row>
    <row r="436" spans="1:11" x14ac:dyDescent="0.35">
      <c r="A436" s="6" t="s">
        <v>118</v>
      </c>
      <c r="B436" s="6">
        <f>SUM(AC11:BA11)</f>
        <v>2481.0563584021374</v>
      </c>
      <c r="C436" s="6">
        <f>SUM(AC51:BA51)</f>
        <v>2321.3557239996653</v>
      </c>
      <c r="D436" s="6">
        <f>SUM(AC91:BA91)</f>
        <v>2030.6156444302903</v>
      </c>
      <c r="E436" s="6">
        <f>SUM(AC133:BA133)</f>
        <v>2481.0563584021374</v>
      </c>
      <c r="F436" s="6">
        <f>SUM(AC174:BA174)</f>
        <v>2321.3557239996653</v>
      </c>
      <c r="G436" s="6">
        <f>SUM(AC215:BA215)</f>
        <v>2030.6156444302903</v>
      </c>
      <c r="H436" s="6">
        <f t="shared" ref="H436:H444" si="63">SUM(AC275:BA275)</f>
        <v>1240.5281792010687</v>
      </c>
      <c r="I436" s="6">
        <f t="shared" ref="I436:I444" si="64">SUM(AC335:BA335)</f>
        <v>1160.6778619998327</v>
      </c>
      <c r="J436" s="6">
        <f t="shared" ref="J436:J444" si="65">SUM(AC396:BA396)</f>
        <v>1015.3078222151452</v>
      </c>
    </row>
    <row r="437" spans="1:11" x14ac:dyDescent="0.35">
      <c r="A437" s="6" t="s">
        <v>119</v>
      </c>
      <c r="B437" s="6">
        <f>SUM(AC12:BA12)</f>
        <v>691.18373370688425</v>
      </c>
      <c r="C437" s="6">
        <f>SUM(AC52:BA52)</f>
        <v>578.38595176265494</v>
      </c>
      <c r="D437" s="6">
        <f>SUM(AC92:BA92)</f>
        <v>506.10170544819584</v>
      </c>
      <c r="E437" s="6">
        <f>SUM(AC134:BA134)</f>
        <v>691.18373370688425</v>
      </c>
      <c r="F437" s="6">
        <f>SUM(AC175:BA175)</f>
        <v>578.38595176265494</v>
      </c>
      <c r="G437" s="6">
        <f>SUM(AC216:BA216)</f>
        <v>506.10170544819584</v>
      </c>
      <c r="H437" s="6">
        <f t="shared" si="63"/>
        <v>691.18373370688425</v>
      </c>
      <c r="I437" s="6">
        <f t="shared" si="64"/>
        <v>578.38595176265494</v>
      </c>
      <c r="J437" s="6">
        <f t="shared" si="65"/>
        <v>506.10170544819584</v>
      </c>
    </row>
    <row r="438" spans="1:11" x14ac:dyDescent="0.35">
      <c r="A438" s="6" t="s">
        <v>120</v>
      </c>
      <c r="B438" s="6">
        <f>SUM(AC13:BA13)</f>
        <v>22.494520912096178</v>
      </c>
      <c r="C438" s="6">
        <f>SUM(AC53:BA53)</f>
        <v>20.958999559062121</v>
      </c>
      <c r="D438" s="6">
        <f>SUM(AC93:BA93)</f>
        <v>19.710037603247073</v>
      </c>
      <c r="E438" s="6">
        <f>SUM(AC135:BA135)</f>
        <v>22.494520912096178</v>
      </c>
      <c r="F438" s="6">
        <f>SUM(AC176:BA176)</f>
        <v>20.958999559062121</v>
      </c>
      <c r="G438" s="6">
        <f>SUM(AC217:BA217)</f>
        <v>19.710037603247073</v>
      </c>
      <c r="H438" s="6">
        <f t="shared" si="63"/>
        <v>11.247260456048089</v>
      </c>
      <c r="I438" s="6">
        <f t="shared" si="64"/>
        <v>10.479499779531061</v>
      </c>
      <c r="J438" s="6">
        <f t="shared" si="65"/>
        <v>9.8550188016235367</v>
      </c>
    </row>
    <row r="439" spans="1:11" x14ac:dyDescent="0.35">
      <c r="A439" s="6" t="s">
        <v>121</v>
      </c>
      <c r="B439" s="6">
        <f>SUM(AC14:BA14)</f>
        <v>10503.496367688327</v>
      </c>
      <c r="C439" s="6">
        <f>SUM(AC54:BA54)</f>
        <v>8825.488167018606</v>
      </c>
      <c r="D439" s="6">
        <f>SUM(AC94:BA94)</f>
        <v>7581.3750145223294</v>
      </c>
      <c r="E439" s="6">
        <f>SUM(AC136:BA136)</f>
        <v>10503.496367688327</v>
      </c>
      <c r="F439" s="6">
        <f>SUM(AC177:BA177)</f>
        <v>8825.488167018606</v>
      </c>
      <c r="G439" s="6">
        <f>SUM(AC218:BA218)</f>
        <v>7581.3750145223294</v>
      </c>
      <c r="H439" s="6">
        <f t="shared" si="63"/>
        <v>10503.496367688327</v>
      </c>
      <c r="I439" s="6">
        <f t="shared" si="64"/>
        <v>8825.488167018606</v>
      </c>
      <c r="J439" s="6">
        <f t="shared" si="65"/>
        <v>7581.3750145223294</v>
      </c>
    </row>
    <row r="440" spans="1:11" x14ac:dyDescent="0.35">
      <c r="A440" s="6" t="s">
        <v>800</v>
      </c>
      <c r="H440" s="6">
        <f t="shared" si="63"/>
        <v>112898.48241578696</v>
      </c>
      <c r="I440" s="6">
        <f t="shared" si="64"/>
        <v>102862.64321061136</v>
      </c>
      <c r="J440" s="6">
        <f t="shared" si="65"/>
        <v>68710.531047191922</v>
      </c>
    </row>
    <row r="441" spans="1:11" x14ac:dyDescent="0.35">
      <c r="A441" s="6" t="s">
        <v>122</v>
      </c>
      <c r="B441" s="6">
        <f>SUM(AC15:BA15)</f>
        <v>1437665.276701791</v>
      </c>
      <c r="C441" s="6">
        <f>SUM(AC55:BA55)</f>
        <v>308207.22716838453</v>
      </c>
      <c r="D441" s="6">
        <f>SUM(AC95:BA95)</f>
        <v>-4254.4364840951257</v>
      </c>
      <c r="E441" s="6">
        <f>SUM(AC137:BA137)</f>
        <v>1108709.2568672993</v>
      </c>
      <c r="F441" s="6">
        <f>SUM(AC178:BA178)</f>
        <v>241931.31589996492</v>
      </c>
      <c r="G441" s="6">
        <f>SUM(AC219:BA219)</f>
        <v>649.05144295640821</v>
      </c>
      <c r="H441" s="6">
        <f t="shared" si="63"/>
        <v>88602.981622111998</v>
      </c>
      <c r="I441" s="6">
        <f t="shared" si="64"/>
        <v>63010.76708621213</v>
      </c>
      <c r="J441" s="6">
        <f t="shared" si="65"/>
        <v>48429.304669931036</v>
      </c>
    </row>
    <row r="442" spans="1:11" x14ac:dyDescent="0.35">
      <c r="A442" s="6" t="s">
        <v>123</v>
      </c>
      <c r="B442" s="6">
        <f>SUM(AC16:BA16)</f>
        <v>174631.29229431023</v>
      </c>
      <c r="C442" s="6">
        <f>SUM(AC56:BA56)</f>
        <v>89386.270259922749</v>
      </c>
      <c r="D442" s="6">
        <f>SUM(AC96:BA96)</f>
        <v>65420.981063487736</v>
      </c>
      <c r="E442" s="6">
        <f>SUM(AC138:BA138)</f>
        <v>174631.29229431023</v>
      </c>
      <c r="F442" s="6">
        <f>SUM(AC179:BA179)</f>
        <v>89386.270259922749</v>
      </c>
      <c r="G442" s="6">
        <f>SUM(AC220:BA220)</f>
        <v>65420.981063487736</v>
      </c>
      <c r="H442" s="6">
        <f t="shared" si="63"/>
        <v>87315.646147155116</v>
      </c>
      <c r="I442" s="6">
        <f t="shared" si="64"/>
        <v>44693.135129961374</v>
      </c>
      <c r="J442" s="6">
        <f t="shared" si="65"/>
        <v>32710.490531743868</v>
      </c>
    </row>
    <row r="443" spans="1:11" x14ac:dyDescent="0.35">
      <c r="A443" s="6" t="s">
        <v>124</v>
      </c>
      <c r="B443" s="6">
        <f>SUM(AC17:BA17)</f>
        <v>-2500000</v>
      </c>
      <c r="C443" s="6">
        <f>SUM(AC57:BA57)</f>
        <v>-2500000</v>
      </c>
      <c r="D443" s="6">
        <f>SUM(AC97:BA97)</f>
        <v>-2500000</v>
      </c>
      <c r="E443" s="6">
        <f>SUM(AC139:BA139)</f>
        <v>-2500000</v>
      </c>
      <c r="F443" s="6">
        <f>SUM(AC180:BA180)</f>
        <v>-2500000</v>
      </c>
      <c r="G443" s="6">
        <f>SUM(AC221:BA221)</f>
        <v>-2500000</v>
      </c>
      <c r="H443" s="6">
        <f t="shared" si="63"/>
        <v>-1250000</v>
      </c>
      <c r="I443" s="6">
        <f t="shared" si="64"/>
        <v>-1250000</v>
      </c>
      <c r="J443" s="6">
        <f t="shared" si="65"/>
        <v>-1250000</v>
      </c>
    </row>
    <row r="444" spans="1:11" x14ac:dyDescent="0.35">
      <c r="A444" s="6" t="s">
        <v>137</v>
      </c>
      <c r="B444" s="6">
        <f>SUM(AC18:BA18)</f>
        <v>-835657.90918742493</v>
      </c>
      <c r="C444" s="6">
        <f>SUM(AC58:BA58)</f>
        <v>-2055088.5119198188</v>
      </c>
      <c r="D444" s="6">
        <f>SUM(AC98:BA98)</f>
        <v>-2400926.4535090388</v>
      </c>
      <c r="E444" s="6">
        <f>SUM(AC140:BA140)</f>
        <v>-1164613.9290219166</v>
      </c>
      <c r="F444" s="6">
        <f>SUM(AC181:BA181)</f>
        <v>-2121364.4231882384</v>
      </c>
      <c r="G444" s="6">
        <f>SUM(AC222:BA222)</f>
        <v>-2396022.9655819871</v>
      </c>
      <c r="H444" s="6">
        <f t="shared" si="63"/>
        <v>-914610.06138765824</v>
      </c>
      <c r="I444" s="6">
        <f t="shared" si="64"/>
        <v>-997479.54321589018</v>
      </c>
      <c r="J444" s="6">
        <f t="shared" si="65"/>
        <v>-1067377.325242908</v>
      </c>
    </row>
    <row r="446" spans="1:11" x14ac:dyDescent="0.35">
      <c r="A446" s="331" t="s">
        <v>133</v>
      </c>
      <c r="B446" s="331"/>
      <c r="C446" s="331"/>
      <c r="D446" s="331"/>
      <c r="E446" s="331"/>
      <c r="F446" s="331"/>
      <c r="G446" s="331"/>
      <c r="H446" s="331"/>
      <c r="I446" s="331"/>
      <c r="J446" s="331"/>
      <c r="K446" s="331"/>
    </row>
    <row r="447" spans="1:11" x14ac:dyDescent="0.35">
      <c r="A447" s="6" t="s">
        <v>876</v>
      </c>
    </row>
    <row r="448" spans="1:11" x14ac:dyDescent="0.35">
      <c r="B448" s="6" t="s">
        <v>889</v>
      </c>
      <c r="C448" s="6" t="s">
        <v>891</v>
      </c>
      <c r="D448" s="6" t="s">
        <v>890</v>
      </c>
      <c r="E448" s="6" t="s">
        <v>892</v>
      </c>
      <c r="F448" s="6" t="s">
        <v>893</v>
      </c>
      <c r="G448" s="6" t="s">
        <v>894</v>
      </c>
      <c r="H448" s="6" t="s">
        <v>896</v>
      </c>
      <c r="I448" s="6" t="s">
        <v>897</v>
      </c>
      <c r="J448" s="6" t="s">
        <v>895</v>
      </c>
    </row>
    <row r="449" spans="1:11" x14ac:dyDescent="0.35">
      <c r="A449" s="6" t="s">
        <v>117</v>
      </c>
      <c r="B449" s="6">
        <f>B435/25</f>
        <v>1533.891633430572</v>
      </c>
      <c r="C449" s="6">
        <f t="shared" ref="C449:J449" si="66">C435/25</f>
        <v>1422.8720723813576</v>
      </c>
      <c r="D449" s="6">
        <f t="shared" si="66"/>
        <v>1110.767980382567</v>
      </c>
      <c r="E449" s="6">
        <f t="shared" si="66"/>
        <v>1533.891633430572</v>
      </c>
      <c r="F449" s="6">
        <f t="shared" si="66"/>
        <v>1422.8720723813576</v>
      </c>
      <c r="G449" s="6">
        <f t="shared" si="66"/>
        <v>1110.767980382567</v>
      </c>
      <c r="H449" s="6">
        <f t="shared" si="66"/>
        <v>1365.054915449417</v>
      </c>
      <c r="I449" s="6">
        <f t="shared" si="66"/>
        <v>1255.1551950705668</v>
      </c>
      <c r="J449" s="6">
        <f t="shared" si="66"/>
        <v>946.38835788950894</v>
      </c>
    </row>
    <row r="450" spans="1:11" x14ac:dyDescent="0.35">
      <c r="A450" s="6" t="s">
        <v>118</v>
      </c>
      <c r="B450" s="6">
        <f t="shared" ref="B450:J458" si="67">B436/25</f>
        <v>99.242254336085495</v>
      </c>
      <c r="C450" s="6">
        <f t="shared" si="67"/>
        <v>92.854228959986614</v>
      </c>
      <c r="D450" s="6">
        <f t="shared" si="67"/>
        <v>81.224625777211614</v>
      </c>
      <c r="E450" s="6">
        <f t="shared" si="67"/>
        <v>99.242254336085495</v>
      </c>
      <c r="F450" s="6">
        <f t="shared" si="67"/>
        <v>92.854228959986614</v>
      </c>
      <c r="G450" s="6">
        <f t="shared" si="67"/>
        <v>81.224625777211614</v>
      </c>
      <c r="H450" s="6">
        <f t="shared" si="67"/>
        <v>49.621127168042747</v>
      </c>
      <c r="I450" s="6">
        <f t="shared" si="67"/>
        <v>46.427114479993307</v>
      </c>
      <c r="J450" s="6">
        <f t="shared" si="67"/>
        <v>40.612312888605807</v>
      </c>
    </row>
    <row r="451" spans="1:11" x14ac:dyDescent="0.35">
      <c r="A451" s="6" t="s">
        <v>119</v>
      </c>
      <c r="B451" s="6">
        <f t="shared" si="67"/>
        <v>27.64734934827537</v>
      </c>
      <c r="C451" s="6">
        <f t="shared" si="67"/>
        <v>23.135438070506197</v>
      </c>
      <c r="D451" s="6">
        <f t="shared" si="67"/>
        <v>20.244068217927833</v>
      </c>
      <c r="E451" s="6">
        <f t="shared" si="67"/>
        <v>27.64734934827537</v>
      </c>
      <c r="F451" s="6">
        <f t="shared" si="67"/>
        <v>23.135438070506197</v>
      </c>
      <c r="G451" s="6">
        <f t="shared" si="67"/>
        <v>20.244068217927833</v>
      </c>
      <c r="H451" s="6">
        <f t="shared" si="67"/>
        <v>27.64734934827537</v>
      </c>
      <c r="I451" s="6">
        <f t="shared" si="67"/>
        <v>23.135438070506197</v>
      </c>
      <c r="J451" s="6">
        <f t="shared" si="67"/>
        <v>20.244068217927833</v>
      </c>
    </row>
    <row r="452" spans="1:11" x14ac:dyDescent="0.35">
      <c r="A452" s="6" t="s">
        <v>120</v>
      </c>
      <c r="B452" s="6">
        <f t="shared" si="67"/>
        <v>0.8997808364838471</v>
      </c>
      <c r="C452" s="6">
        <f t="shared" si="67"/>
        <v>0.83835998236248488</v>
      </c>
      <c r="D452" s="6">
        <f t="shared" si="67"/>
        <v>0.78840150412988297</v>
      </c>
      <c r="E452" s="6">
        <f t="shared" si="67"/>
        <v>0.8997808364838471</v>
      </c>
      <c r="F452" s="6">
        <f t="shared" si="67"/>
        <v>0.83835998236248488</v>
      </c>
      <c r="G452" s="6">
        <f t="shared" si="67"/>
        <v>0.78840150412988297</v>
      </c>
      <c r="H452" s="6">
        <f t="shared" si="67"/>
        <v>0.44989041824192355</v>
      </c>
      <c r="I452" s="6">
        <f t="shared" si="67"/>
        <v>0.41917999118124244</v>
      </c>
      <c r="J452" s="6">
        <f t="shared" si="67"/>
        <v>0.39420075206494148</v>
      </c>
    </row>
    <row r="453" spans="1:11" x14ac:dyDescent="0.35">
      <c r="A453" s="6" t="s">
        <v>121</v>
      </c>
      <c r="B453" s="6">
        <f t="shared" si="67"/>
        <v>420.13985470753306</v>
      </c>
      <c r="C453" s="6">
        <f t="shared" si="67"/>
        <v>353.01952668074426</v>
      </c>
      <c r="D453" s="6">
        <f t="shared" si="67"/>
        <v>303.25500058089318</v>
      </c>
      <c r="E453" s="6">
        <f t="shared" si="67"/>
        <v>420.13985470753306</v>
      </c>
      <c r="F453" s="6">
        <f t="shared" si="67"/>
        <v>353.01952668074426</v>
      </c>
      <c r="G453" s="6">
        <f t="shared" si="67"/>
        <v>303.25500058089318</v>
      </c>
      <c r="H453" s="6">
        <f t="shared" si="67"/>
        <v>420.13985470753306</v>
      </c>
      <c r="I453" s="6">
        <f t="shared" si="67"/>
        <v>353.01952668074426</v>
      </c>
      <c r="J453" s="6">
        <f t="shared" si="67"/>
        <v>303.25500058089318</v>
      </c>
    </row>
    <row r="454" spans="1:11" x14ac:dyDescent="0.35">
      <c r="A454" s="6" t="s">
        <v>800</v>
      </c>
      <c r="B454" s="6">
        <f t="shared" si="67"/>
        <v>0</v>
      </c>
      <c r="C454" s="6">
        <f t="shared" si="67"/>
        <v>0</v>
      </c>
      <c r="D454" s="6">
        <f t="shared" si="67"/>
        <v>0</v>
      </c>
      <c r="E454" s="6">
        <f t="shared" si="67"/>
        <v>0</v>
      </c>
      <c r="F454" s="6">
        <f t="shared" si="67"/>
        <v>0</v>
      </c>
      <c r="G454" s="6">
        <f t="shared" si="67"/>
        <v>0</v>
      </c>
      <c r="H454" s="6">
        <f t="shared" si="67"/>
        <v>4515.9392966314781</v>
      </c>
      <c r="I454" s="6">
        <f t="shared" si="67"/>
        <v>4114.5057284244549</v>
      </c>
      <c r="J454" s="6">
        <f t="shared" si="67"/>
        <v>2748.4212418876768</v>
      </c>
    </row>
    <row r="455" spans="1:11" x14ac:dyDescent="0.35">
      <c r="A455" s="6" t="s">
        <v>122</v>
      </c>
      <c r="B455" s="6">
        <f>B441/25</f>
        <v>57506.611068071637</v>
      </c>
      <c r="C455" s="6">
        <f t="shared" si="67"/>
        <v>12328.289086735382</v>
      </c>
      <c r="D455" s="6">
        <f t="shared" si="67"/>
        <v>-170.17745936380504</v>
      </c>
      <c r="E455" s="6">
        <f t="shared" si="67"/>
        <v>44348.370274691973</v>
      </c>
      <c r="F455" s="6">
        <f t="shared" si="67"/>
        <v>9677.2526359985968</v>
      </c>
      <c r="G455" s="6">
        <f t="shared" si="67"/>
        <v>25.962057718256329</v>
      </c>
      <c r="H455" s="6">
        <f t="shared" si="67"/>
        <v>3544.1192648844799</v>
      </c>
      <c r="I455" s="6">
        <f t="shared" si="67"/>
        <v>2520.4306834484851</v>
      </c>
      <c r="J455" s="6">
        <f t="shared" si="67"/>
        <v>1937.1721867972415</v>
      </c>
    </row>
    <row r="456" spans="1:11" x14ac:dyDescent="0.35">
      <c r="A456" s="6" t="s">
        <v>123</v>
      </c>
      <c r="B456" s="6">
        <f t="shared" si="67"/>
        <v>6985.2516917724097</v>
      </c>
      <c r="C456" s="6">
        <f t="shared" si="67"/>
        <v>3575.4508103969101</v>
      </c>
      <c r="D456" s="6">
        <f t="shared" si="67"/>
        <v>2616.8392425395095</v>
      </c>
      <c r="E456" s="6">
        <f t="shared" si="67"/>
        <v>6985.2516917724097</v>
      </c>
      <c r="F456" s="6">
        <f t="shared" si="67"/>
        <v>3575.4508103969101</v>
      </c>
      <c r="G456" s="6">
        <f t="shared" si="67"/>
        <v>2616.8392425395095</v>
      </c>
      <c r="H456" s="6">
        <f t="shared" si="67"/>
        <v>3492.6258458862048</v>
      </c>
      <c r="I456" s="6">
        <f t="shared" si="67"/>
        <v>1787.7254051984551</v>
      </c>
      <c r="J456" s="6">
        <f t="shared" si="67"/>
        <v>1308.4196212697548</v>
      </c>
    </row>
    <row r="457" spans="1:11" x14ac:dyDescent="0.35">
      <c r="A457" s="6" t="s">
        <v>124</v>
      </c>
      <c r="B457" s="6">
        <f t="shared" si="67"/>
        <v>-100000</v>
      </c>
      <c r="C457" s="6">
        <f t="shared" si="67"/>
        <v>-100000</v>
      </c>
      <c r="D457" s="6">
        <f t="shared" si="67"/>
        <v>-100000</v>
      </c>
      <c r="E457" s="6">
        <f t="shared" si="67"/>
        <v>-100000</v>
      </c>
      <c r="F457" s="6">
        <f t="shared" si="67"/>
        <v>-100000</v>
      </c>
      <c r="G457" s="6">
        <f t="shared" si="67"/>
        <v>-100000</v>
      </c>
      <c r="H457" s="6">
        <f t="shared" si="67"/>
        <v>-50000</v>
      </c>
      <c r="I457" s="6">
        <f t="shared" si="67"/>
        <v>-50000</v>
      </c>
      <c r="J457" s="6">
        <f t="shared" si="67"/>
        <v>-50000</v>
      </c>
    </row>
    <row r="458" spans="1:11" x14ac:dyDescent="0.35">
      <c r="A458" s="6" t="s">
        <v>137</v>
      </c>
      <c r="B458" s="6">
        <f t="shared" si="67"/>
        <v>-33426.316367496998</v>
      </c>
      <c r="C458" s="6">
        <f t="shared" si="67"/>
        <v>-82203.540476792754</v>
      </c>
      <c r="D458" s="6">
        <f t="shared" si="67"/>
        <v>-96037.058140361551</v>
      </c>
      <c r="E458" s="6">
        <f t="shared" si="67"/>
        <v>-46584.557160876662</v>
      </c>
      <c r="F458" s="6">
        <f t="shared" si="67"/>
        <v>-84854.576927529532</v>
      </c>
      <c r="G458" s="6">
        <f t="shared" si="67"/>
        <v>-95840.918623279489</v>
      </c>
      <c r="H458" s="6">
        <f t="shared" si="67"/>
        <v>-36584.40245550633</v>
      </c>
      <c r="I458" s="6">
        <f t="shared" si="67"/>
        <v>-39899.181728635609</v>
      </c>
      <c r="J458" s="6">
        <f t="shared" si="67"/>
        <v>-42695.093009716322</v>
      </c>
    </row>
    <row r="461" spans="1:11" x14ac:dyDescent="0.35">
      <c r="A461" s="331" t="s">
        <v>135</v>
      </c>
      <c r="B461" s="331"/>
      <c r="C461" s="331"/>
      <c r="D461" s="331"/>
      <c r="E461" s="331"/>
      <c r="F461" s="331"/>
      <c r="G461" s="331"/>
      <c r="H461" s="331"/>
      <c r="I461" s="331"/>
      <c r="J461" s="331"/>
      <c r="K461" s="331"/>
    </row>
    <row r="462" spans="1:11" x14ac:dyDescent="0.35">
      <c r="A462" s="6" t="s">
        <v>877</v>
      </c>
    </row>
    <row r="463" spans="1:11" x14ac:dyDescent="0.35">
      <c r="A463" s="6" t="s">
        <v>139</v>
      </c>
      <c r="B463" s="6">
        <v>100</v>
      </c>
      <c r="C463" s="6" t="s">
        <v>128</v>
      </c>
    </row>
    <row r="464" spans="1:11" x14ac:dyDescent="0.35">
      <c r="A464" s="6" t="s">
        <v>140</v>
      </c>
      <c r="B464" s="6">
        <v>50</v>
      </c>
      <c r="C464" s="6" t="s">
        <v>128</v>
      </c>
    </row>
    <row r="466" spans="1:22" x14ac:dyDescent="0.35">
      <c r="B466" s="6" t="s">
        <v>889</v>
      </c>
      <c r="C466" s="6" t="s">
        <v>891</v>
      </c>
      <c r="D466" s="6" t="s">
        <v>890</v>
      </c>
      <c r="E466" s="6" t="s">
        <v>892</v>
      </c>
      <c r="F466" s="6" t="s">
        <v>893</v>
      </c>
      <c r="G466" s="6" t="s">
        <v>894</v>
      </c>
      <c r="H466" s="6" t="s">
        <v>896</v>
      </c>
      <c r="I466" s="6" t="s">
        <v>897</v>
      </c>
      <c r="J466" s="6" t="s">
        <v>895</v>
      </c>
    </row>
    <row r="467" spans="1:22" x14ac:dyDescent="0.35">
      <c r="A467" s="6" t="s">
        <v>117</v>
      </c>
      <c r="B467" s="6">
        <f t="shared" ref="B467:G474" si="68">B449/$B$463</f>
        <v>15.33891633430572</v>
      </c>
      <c r="C467" s="6">
        <f t="shared" si="68"/>
        <v>14.228720723813575</v>
      </c>
      <c r="D467" s="6">
        <f t="shared" si="68"/>
        <v>11.10767980382567</v>
      </c>
      <c r="E467" s="6">
        <f t="shared" si="68"/>
        <v>15.33891633430572</v>
      </c>
      <c r="F467" s="6">
        <f t="shared" si="68"/>
        <v>14.228720723813575</v>
      </c>
      <c r="G467" s="6">
        <f t="shared" si="68"/>
        <v>11.10767980382567</v>
      </c>
      <c r="H467" s="6">
        <f>H449/$B$464</f>
        <v>27.30109830898834</v>
      </c>
      <c r="I467" s="6">
        <f>I449/$B$464</f>
        <v>25.103103901411338</v>
      </c>
      <c r="J467" s="6">
        <f>J449/$B$464</f>
        <v>18.927767157790178</v>
      </c>
    </row>
    <row r="468" spans="1:22" x14ac:dyDescent="0.35">
      <c r="A468" s="6" t="s">
        <v>118</v>
      </c>
      <c r="B468" s="6">
        <f t="shared" si="68"/>
        <v>0.99242254336085489</v>
      </c>
      <c r="C468" s="6">
        <f t="shared" si="68"/>
        <v>0.92854228959986618</v>
      </c>
      <c r="D468" s="6">
        <f t="shared" si="68"/>
        <v>0.81224625777211612</v>
      </c>
      <c r="E468" s="6">
        <f t="shared" si="68"/>
        <v>0.99242254336085489</v>
      </c>
      <c r="F468" s="6">
        <f t="shared" si="68"/>
        <v>0.92854228959986618</v>
      </c>
      <c r="G468" s="6">
        <f t="shared" si="68"/>
        <v>0.81224625777211612</v>
      </c>
      <c r="H468" s="6">
        <f t="shared" ref="H468:J474" si="69">H450/$B$464</f>
        <v>0.99242254336085489</v>
      </c>
      <c r="I468" s="6">
        <f t="shared" si="69"/>
        <v>0.92854228959986618</v>
      </c>
      <c r="J468" s="6">
        <f t="shared" si="69"/>
        <v>0.81224625777211612</v>
      </c>
    </row>
    <row r="469" spans="1:22" x14ac:dyDescent="0.35">
      <c r="A469" s="6" t="s">
        <v>119</v>
      </c>
      <c r="B469" s="6">
        <f t="shared" si="68"/>
        <v>0.27647349348275368</v>
      </c>
      <c r="C469" s="6">
        <f t="shared" si="68"/>
        <v>0.23135438070506198</v>
      </c>
      <c r="D469" s="6">
        <f t="shared" si="68"/>
        <v>0.20244068217927833</v>
      </c>
      <c r="E469" s="6">
        <f t="shared" si="68"/>
        <v>0.27647349348275368</v>
      </c>
      <c r="F469" s="6">
        <f t="shared" si="68"/>
        <v>0.23135438070506198</v>
      </c>
      <c r="G469" s="6">
        <f t="shared" si="68"/>
        <v>0.20244068217927833</v>
      </c>
      <c r="H469" s="6">
        <f t="shared" si="69"/>
        <v>0.55294698696550737</v>
      </c>
      <c r="I469" s="6">
        <f t="shared" si="69"/>
        <v>0.46270876141012396</v>
      </c>
      <c r="J469" s="6">
        <f t="shared" si="69"/>
        <v>0.40488136435855665</v>
      </c>
    </row>
    <row r="470" spans="1:22" x14ac:dyDescent="0.35">
      <c r="A470" s="6" t="s">
        <v>120</v>
      </c>
      <c r="B470" s="6">
        <f t="shared" si="68"/>
        <v>8.9978083648384714E-3</v>
      </c>
      <c r="C470" s="6">
        <f t="shared" si="68"/>
        <v>8.3835998236248491E-3</v>
      </c>
      <c r="D470" s="6">
        <f t="shared" si="68"/>
        <v>7.8840150412988301E-3</v>
      </c>
      <c r="E470" s="6">
        <f t="shared" si="68"/>
        <v>8.9978083648384714E-3</v>
      </c>
      <c r="F470" s="6">
        <f t="shared" si="68"/>
        <v>8.3835998236248491E-3</v>
      </c>
      <c r="G470" s="6">
        <f t="shared" si="68"/>
        <v>7.8840150412988301E-3</v>
      </c>
      <c r="H470" s="6">
        <f t="shared" si="69"/>
        <v>8.9978083648384714E-3</v>
      </c>
      <c r="I470" s="6">
        <f t="shared" si="69"/>
        <v>8.3835998236248491E-3</v>
      </c>
      <c r="J470" s="6">
        <f t="shared" si="69"/>
        <v>7.8840150412988301E-3</v>
      </c>
    </row>
    <row r="471" spans="1:22" x14ac:dyDescent="0.35">
      <c r="A471" s="6" t="s">
        <v>121</v>
      </c>
      <c r="B471" s="6">
        <f t="shared" si="68"/>
        <v>4.201398547075331</v>
      </c>
      <c r="C471" s="6">
        <f t="shared" si="68"/>
        <v>3.5301952668074428</v>
      </c>
      <c r="D471" s="6">
        <f t="shared" si="68"/>
        <v>3.0325500058089316</v>
      </c>
      <c r="E471" s="6">
        <f t="shared" si="68"/>
        <v>4.201398547075331</v>
      </c>
      <c r="F471" s="6">
        <f t="shared" si="68"/>
        <v>3.5301952668074428</v>
      </c>
      <c r="G471" s="6">
        <f t="shared" si="68"/>
        <v>3.0325500058089316</v>
      </c>
      <c r="H471" s="6">
        <f t="shared" si="69"/>
        <v>8.402797094150662</v>
      </c>
      <c r="I471" s="6">
        <f t="shared" si="69"/>
        <v>7.0603905336148856</v>
      </c>
      <c r="J471" s="6">
        <f t="shared" si="69"/>
        <v>6.0651000116178633</v>
      </c>
    </row>
    <row r="472" spans="1:22" x14ac:dyDescent="0.35">
      <c r="A472" s="6" t="s">
        <v>800</v>
      </c>
      <c r="B472" s="6">
        <f t="shared" si="68"/>
        <v>0</v>
      </c>
      <c r="C472" s="6">
        <f t="shared" si="68"/>
        <v>0</v>
      </c>
      <c r="D472" s="6">
        <f t="shared" si="68"/>
        <v>0</v>
      </c>
      <c r="E472" s="6">
        <f t="shared" si="68"/>
        <v>0</v>
      </c>
      <c r="F472" s="6">
        <f t="shared" si="68"/>
        <v>0</v>
      </c>
      <c r="G472" s="6">
        <f t="shared" si="68"/>
        <v>0</v>
      </c>
      <c r="H472" s="6">
        <f t="shared" si="69"/>
        <v>90.318785932629567</v>
      </c>
      <c r="I472" s="6">
        <f t="shared" si="69"/>
        <v>82.290114568489102</v>
      </c>
      <c r="J472" s="6">
        <f t="shared" si="69"/>
        <v>54.968424837753538</v>
      </c>
    </row>
    <row r="473" spans="1:22" x14ac:dyDescent="0.35">
      <c r="A473" s="6" t="s">
        <v>122</v>
      </c>
      <c r="B473" s="6">
        <f t="shared" si="68"/>
        <v>575.06611068071641</v>
      </c>
      <c r="C473" s="6">
        <f t="shared" si="68"/>
        <v>123.28289086735381</v>
      </c>
      <c r="D473" s="6">
        <f t="shared" si="68"/>
        <v>-1.7017745936380504</v>
      </c>
      <c r="E473" s="6">
        <f t="shared" si="68"/>
        <v>443.48370274691973</v>
      </c>
      <c r="F473" s="6">
        <f t="shared" si="68"/>
        <v>96.772526359985974</v>
      </c>
      <c r="G473" s="6">
        <f t="shared" si="68"/>
        <v>0.25962057718256326</v>
      </c>
      <c r="H473" s="6">
        <f t="shared" si="69"/>
        <v>70.882385297689595</v>
      </c>
      <c r="I473" s="6">
        <f t="shared" si="69"/>
        <v>50.4086136689697</v>
      </c>
      <c r="J473" s="6">
        <f t="shared" si="69"/>
        <v>38.74344373594483</v>
      </c>
      <c r="L473" s="1"/>
    </row>
    <row r="474" spans="1:22" s="283" customFormat="1" x14ac:dyDescent="0.35">
      <c r="A474" s="283" t="s">
        <v>123</v>
      </c>
      <c r="B474" s="283">
        <f t="shared" si="68"/>
        <v>69.852516917724103</v>
      </c>
      <c r="C474" s="283">
        <f t="shared" si="68"/>
        <v>35.754508103969101</v>
      </c>
      <c r="D474" s="283">
        <f t="shared" si="68"/>
        <v>26.168392425395094</v>
      </c>
      <c r="E474" s="283">
        <f t="shared" si="68"/>
        <v>69.852516917724103</v>
      </c>
      <c r="F474" s="283">
        <f t="shared" si="68"/>
        <v>35.754508103969101</v>
      </c>
      <c r="G474" s="283">
        <f t="shared" si="68"/>
        <v>26.168392425395094</v>
      </c>
      <c r="H474" s="283">
        <f t="shared" si="69"/>
        <v>69.852516917724103</v>
      </c>
      <c r="I474" s="283">
        <f t="shared" si="69"/>
        <v>35.754508103969101</v>
      </c>
      <c r="J474" s="283">
        <f t="shared" si="69"/>
        <v>26.168392425395094</v>
      </c>
    </row>
    <row r="476" spans="1:22" x14ac:dyDescent="0.35">
      <c r="B476" s="1"/>
      <c r="C476" s="1"/>
      <c r="D476" s="1"/>
      <c r="E476" s="1"/>
      <c r="F476" s="1"/>
      <c r="G476" s="1"/>
      <c r="H476" s="1"/>
      <c r="I476" s="1"/>
      <c r="J476" s="1"/>
      <c r="K476" s="1"/>
      <c r="L476" s="1"/>
      <c r="M476" s="1"/>
      <c r="N476" s="1"/>
      <c r="O476" s="1"/>
      <c r="P476" s="1"/>
      <c r="Q476" s="1"/>
      <c r="R476" s="1"/>
      <c r="S476" s="1"/>
      <c r="T476" s="1"/>
      <c r="U476" s="1"/>
      <c r="V476" s="1"/>
    </row>
    <row r="478" spans="1:22" x14ac:dyDescent="0.35">
      <c r="B478" s="299"/>
      <c r="C478" s="299"/>
      <c r="D478" s="299"/>
      <c r="E478" s="299"/>
      <c r="F478" s="299"/>
      <c r="G478" s="299"/>
      <c r="H478" s="299"/>
      <c r="I478" s="299"/>
      <c r="J478" s="299"/>
    </row>
    <row r="480" spans="1:22" x14ac:dyDescent="0.35">
      <c r="B480" s="299"/>
      <c r="C480" s="299"/>
      <c r="D480" s="299"/>
      <c r="E480" s="299"/>
      <c r="F480" s="299"/>
      <c r="G480" s="299"/>
      <c r="H480" s="299"/>
      <c r="I480" s="299"/>
      <c r="J480" s="299"/>
    </row>
    <row r="482" spans="2:10" x14ac:dyDescent="0.35">
      <c r="B482" s="1"/>
      <c r="C482" s="1"/>
      <c r="D482" s="1"/>
      <c r="E482" s="1"/>
      <c r="F482" s="1"/>
      <c r="G482" s="1"/>
      <c r="H482" s="1"/>
      <c r="I482" s="1"/>
      <c r="J482" s="1"/>
    </row>
  </sheetData>
  <mergeCells count="3">
    <mergeCell ref="A432:K432"/>
    <mergeCell ref="A446:K446"/>
    <mergeCell ref="A461:K461"/>
  </mergeCell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668D4-92CE-46BC-B5EB-66E9B41EA51D}">
  <sheetPr>
    <tabColor theme="7" tint="0.79998168889431442"/>
  </sheetPr>
  <dimension ref="A1:DB198"/>
  <sheetViews>
    <sheetView topLeftCell="A136" zoomScale="50" zoomScaleNormal="50" workbookViewId="0">
      <selection activeCell="A173" sqref="A173"/>
    </sheetView>
  </sheetViews>
  <sheetFormatPr defaultRowHeight="14.5" x14ac:dyDescent="0.35"/>
  <cols>
    <col min="1" max="1" width="86.81640625" customWidth="1"/>
    <col min="2" max="2" width="37.453125" style="28" bestFit="1" customWidth="1"/>
    <col min="3" max="42" width="13.1796875" customWidth="1"/>
    <col min="43" max="51" width="12.1796875" customWidth="1"/>
    <col min="52" max="54" width="8.7265625" customWidth="1"/>
    <col min="55" max="80" width="8.7265625" style="219" customWidth="1"/>
    <col min="81" max="106" width="8.7265625" customWidth="1"/>
  </cols>
  <sheetData>
    <row r="1" spans="1:106" s="11" customFormat="1" ht="21" x14ac:dyDescent="0.5">
      <c r="A1" s="11" t="s">
        <v>72</v>
      </c>
    </row>
    <row r="2" spans="1:106" x14ac:dyDescent="0.35">
      <c r="A2" s="9" t="s">
        <v>0</v>
      </c>
      <c r="B2" s="29"/>
      <c r="C2" s="332" t="s">
        <v>49</v>
      </c>
      <c r="D2" s="332"/>
      <c r="E2" s="332"/>
      <c r="F2" s="332"/>
      <c r="G2" s="332"/>
      <c r="H2" s="332"/>
      <c r="I2" s="332"/>
      <c r="J2" s="332"/>
      <c r="K2" s="332"/>
      <c r="L2" s="332"/>
      <c r="M2" s="332"/>
      <c r="N2" s="332"/>
      <c r="O2" s="332"/>
      <c r="P2" s="332"/>
      <c r="Q2" s="332"/>
      <c r="R2" s="332"/>
      <c r="S2" s="332"/>
      <c r="T2" s="332"/>
      <c r="U2" s="332"/>
      <c r="V2" s="332"/>
      <c r="W2" s="332"/>
      <c r="X2" s="332"/>
      <c r="Y2" s="332"/>
      <c r="Z2" s="332"/>
      <c r="AA2" s="332"/>
      <c r="AB2" s="332"/>
      <c r="AC2" s="333" t="s">
        <v>50</v>
      </c>
      <c r="AD2" s="333"/>
      <c r="AE2" s="333"/>
      <c r="AF2" s="333"/>
      <c r="AG2" s="333"/>
      <c r="AH2" s="333"/>
      <c r="AI2" s="333"/>
      <c r="AJ2" s="333"/>
      <c r="AK2" s="333"/>
      <c r="AL2" s="333"/>
      <c r="AM2" s="333"/>
      <c r="AN2" s="333"/>
      <c r="AO2" s="333"/>
      <c r="AP2" s="333"/>
      <c r="AQ2" s="333"/>
      <c r="AR2" s="333"/>
      <c r="AS2" s="333"/>
      <c r="AT2" s="333"/>
      <c r="AU2" s="333"/>
      <c r="AV2" s="333"/>
      <c r="AW2" s="333"/>
      <c r="AX2" s="333"/>
      <c r="AY2" s="333"/>
      <c r="AZ2" s="333"/>
      <c r="BA2" s="333"/>
      <c r="BB2" s="333"/>
      <c r="BC2" s="334" t="s">
        <v>756</v>
      </c>
      <c r="BD2" s="335"/>
      <c r="BE2" s="335"/>
      <c r="BF2" s="335"/>
      <c r="BG2" s="335"/>
      <c r="BH2" s="335"/>
      <c r="BI2" s="335"/>
      <c r="BJ2" s="335"/>
      <c r="BK2" s="335"/>
      <c r="BL2" s="335"/>
      <c r="BM2" s="335"/>
      <c r="BN2" s="335"/>
      <c r="BO2" s="335"/>
      <c r="BP2" s="335"/>
      <c r="BQ2" s="335"/>
      <c r="BR2" s="335"/>
      <c r="BS2" s="335"/>
      <c r="BT2" s="335"/>
      <c r="BU2" s="335"/>
      <c r="BV2" s="335"/>
      <c r="BW2" s="335"/>
      <c r="BX2" s="335"/>
      <c r="BY2" s="335"/>
      <c r="BZ2" s="335"/>
      <c r="CA2" s="335"/>
      <c r="CB2" s="336"/>
      <c r="CC2" s="337" t="s">
        <v>51</v>
      </c>
      <c r="CD2" s="337"/>
      <c r="CE2" s="337"/>
      <c r="CF2" s="337"/>
      <c r="CG2" s="337"/>
      <c r="CH2" s="337"/>
      <c r="CI2" s="337"/>
      <c r="CJ2" s="337"/>
      <c r="CK2" s="337"/>
      <c r="CL2" s="337"/>
      <c r="CM2" s="337"/>
      <c r="CN2" s="337"/>
      <c r="CO2" s="337"/>
      <c r="CP2" s="337"/>
      <c r="CQ2" s="337"/>
      <c r="CR2" s="337"/>
      <c r="CS2" s="337"/>
      <c r="CT2" s="337"/>
      <c r="CU2" s="337"/>
      <c r="CV2" s="337"/>
      <c r="CW2" s="337"/>
      <c r="CX2" s="337"/>
      <c r="CY2" s="337"/>
      <c r="CZ2" s="337"/>
      <c r="DA2" s="337"/>
      <c r="DB2" s="337"/>
    </row>
    <row r="3" spans="1:106" x14ac:dyDescent="0.35">
      <c r="A3" s="9" t="s">
        <v>1</v>
      </c>
      <c r="B3" s="29" t="s">
        <v>180</v>
      </c>
      <c r="C3" s="10" t="s">
        <v>2</v>
      </c>
      <c r="D3" s="10" t="s">
        <v>52</v>
      </c>
      <c r="E3" s="10" t="s">
        <v>53</v>
      </c>
      <c r="F3" s="10" t="s">
        <v>54</v>
      </c>
      <c r="G3" s="10" t="s">
        <v>55</v>
      </c>
      <c r="H3" s="10" t="s">
        <v>3</v>
      </c>
      <c r="I3" s="10" t="s">
        <v>56</v>
      </c>
      <c r="J3" s="10" t="s">
        <v>57</v>
      </c>
      <c r="K3" s="10" t="s">
        <v>58</v>
      </c>
      <c r="L3" s="10" t="s">
        <v>59</v>
      </c>
      <c r="M3" s="10" t="s">
        <v>4</v>
      </c>
      <c r="N3" s="10" t="s">
        <v>60</v>
      </c>
      <c r="O3" s="10" t="s">
        <v>61</v>
      </c>
      <c r="P3" s="10" t="s">
        <v>62</v>
      </c>
      <c r="Q3" s="10" t="s">
        <v>63</v>
      </c>
      <c r="R3" s="10" t="s">
        <v>5</v>
      </c>
      <c r="S3" s="10" t="s">
        <v>64</v>
      </c>
      <c r="T3" s="10" t="s">
        <v>65</v>
      </c>
      <c r="U3" s="10" t="s">
        <v>66</v>
      </c>
      <c r="V3" s="10" t="s">
        <v>67</v>
      </c>
      <c r="W3" s="10" t="s">
        <v>6</v>
      </c>
      <c r="X3" s="10" t="s">
        <v>68</v>
      </c>
      <c r="Y3" s="10" t="s">
        <v>69</v>
      </c>
      <c r="Z3" s="10" t="s">
        <v>70</v>
      </c>
      <c r="AA3" s="10" t="s">
        <v>71</v>
      </c>
      <c r="AB3" s="10" t="s">
        <v>7</v>
      </c>
      <c r="AC3" s="2" t="s">
        <v>2</v>
      </c>
      <c r="AD3" s="2" t="s">
        <v>52</v>
      </c>
      <c r="AE3" s="2" t="s">
        <v>53</v>
      </c>
      <c r="AF3" s="2" t="s">
        <v>54</v>
      </c>
      <c r="AG3" s="2" t="s">
        <v>55</v>
      </c>
      <c r="AH3" s="2" t="s">
        <v>3</v>
      </c>
      <c r="AI3" s="2" t="s">
        <v>56</v>
      </c>
      <c r="AJ3" s="2" t="s">
        <v>57</v>
      </c>
      <c r="AK3" s="2" t="s">
        <v>58</v>
      </c>
      <c r="AL3" s="2" t="s">
        <v>59</v>
      </c>
      <c r="AM3" s="2" t="s">
        <v>4</v>
      </c>
      <c r="AN3" s="2" t="s">
        <v>60</v>
      </c>
      <c r="AO3" s="2" t="s">
        <v>61</v>
      </c>
      <c r="AP3" s="2" t="s">
        <v>62</v>
      </c>
      <c r="AQ3" s="2" t="s">
        <v>63</v>
      </c>
      <c r="AR3" s="2" t="s">
        <v>5</v>
      </c>
      <c r="AS3" s="2" t="s">
        <v>64</v>
      </c>
      <c r="AT3" s="2" t="s">
        <v>65</v>
      </c>
      <c r="AU3" s="2" t="s">
        <v>66</v>
      </c>
      <c r="AV3" s="2" t="s">
        <v>67</v>
      </c>
      <c r="AW3" s="2" t="s">
        <v>6</v>
      </c>
      <c r="AX3" s="2" t="s">
        <v>68</v>
      </c>
      <c r="AY3" s="2" t="s">
        <v>69</v>
      </c>
      <c r="AZ3" s="2" t="s">
        <v>70</v>
      </c>
      <c r="BA3" s="2" t="s">
        <v>71</v>
      </c>
      <c r="BB3" s="2" t="s">
        <v>7</v>
      </c>
      <c r="BC3" s="203" t="s">
        <v>2</v>
      </c>
      <c r="BD3" s="203" t="s">
        <v>52</v>
      </c>
      <c r="BE3" s="203" t="s">
        <v>53</v>
      </c>
      <c r="BF3" s="203" t="s">
        <v>54</v>
      </c>
      <c r="BG3" s="203" t="s">
        <v>55</v>
      </c>
      <c r="BH3" s="203" t="s">
        <v>3</v>
      </c>
      <c r="BI3" s="203" t="s">
        <v>56</v>
      </c>
      <c r="BJ3" s="203" t="s">
        <v>57</v>
      </c>
      <c r="BK3" s="203" t="s">
        <v>58</v>
      </c>
      <c r="BL3" s="203" t="s">
        <v>59</v>
      </c>
      <c r="BM3" s="203" t="s">
        <v>4</v>
      </c>
      <c r="BN3" s="203" t="s">
        <v>60</v>
      </c>
      <c r="BO3" s="203" t="s">
        <v>61</v>
      </c>
      <c r="BP3" s="203" t="s">
        <v>62</v>
      </c>
      <c r="BQ3" s="203" t="s">
        <v>63</v>
      </c>
      <c r="BR3" s="203" t="s">
        <v>5</v>
      </c>
      <c r="BS3" s="203" t="s">
        <v>64</v>
      </c>
      <c r="BT3" s="203" t="s">
        <v>65</v>
      </c>
      <c r="BU3" s="203" t="s">
        <v>66</v>
      </c>
      <c r="BV3" s="203" t="s">
        <v>67</v>
      </c>
      <c r="BW3" s="203" t="s">
        <v>6</v>
      </c>
      <c r="BX3" s="203" t="s">
        <v>68</v>
      </c>
      <c r="BY3" s="203" t="s">
        <v>69</v>
      </c>
      <c r="BZ3" s="203" t="s">
        <v>70</v>
      </c>
      <c r="CA3" s="203" t="s">
        <v>71</v>
      </c>
      <c r="CB3" s="203" t="s">
        <v>7</v>
      </c>
      <c r="CC3" s="220" t="s">
        <v>2</v>
      </c>
      <c r="CD3" s="220" t="s">
        <v>52</v>
      </c>
      <c r="CE3" s="220" t="s">
        <v>53</v>
      </c>
      <c r="CF3" s="220" t="s">
        <v>54</v>
      </c>
      <c r="CG3" s="220" t="s">
        <v>55</v>
      </c>
      <c r="CH3" s="220" t="s">
        <v>3</v>
      </c>
      <c r="CI3" s="220" t="s">
        <v>56</v>
      </c>
      <c r="CJ3" s="220" t="s">
        <v>57</v>
      </c>
      <c r="CK3" s="220" t="s">
        <v>58</v>
      </c>
      <c r="CL3" s="220" t="s">
        <v>59</v>
      </c>
      <c r="CM3" s="220" t="s">
        <v>4</v>
      </c>
      <c r="CN3" s="220" t="s">
        <v>60</v>
      </c>
      <c r="CO3" s="220" t="s">
        <v>61</v>
      </c>
      <c r="CP3" s="220" t="s">
        <v>62</v>
      </c>
      <c r="CQ3" s="220" t="s">
        <v>63</v>
      </c>
      <c r="CR3" s="220" t="s">
        <v>5</v>
      </c>
      <c r="CS3" s="220" t="s">
        <v>64</v>
      </c>
      <c r="CT3" s="220" t="s">
        <v>65</v>
      </c>
      <c r="CU3" s="220" t="s">
        <v>66</v>
      </c>
      <c r="CV3" s="220" t="s">
        <v>67</v>
      </c>
      <c r="CW3" s="220" t="s">
        <v>6</v>
      </c>
      <c r="CX3" s="220" t="s">
        <v>68</v>
      </c>
      <c r="CY3" s="220" t="s">
        <v>69</v>
      </c>
      <c r="CZ3" s="220" t="s">
        <v>70</v>
      </c>
      <c r="DA3" s="220" t="s">
        <v>71</v>
      </c>
      <c r="DB3" s="220" t="s">
        <v>7</v>
      </c>
    </row>
    <row r="5" spans="1:106" x14ac:dyDescent="0.35">
      <c r="A5" s="137" t="s">
        <v>538</v>
      </c>
      <c r="B5" s="130" t="s">
        <v>545</v>
      </c>
      <c r="C5" s="214">
        <v>2.894941084896093E-3</v>
      </c>
      <c r="D5" s="214">
        <v>2.8892597877608109E-3</v>
      </c>
      <c r="E5" s="214">
        <v>2.8838544461392722E-3</v>
      </c>
      <c r="F5" s="214">
        <v>2.8750113887256721E-3</v>
      </c>
      <c r="G5" s="214">
        <v>2.8703926606956061E-3</v>
      </c>
      <c r="H5" s="214">
        <v>2.8659964750820778E-3</v>
      </c>
      <c r="I5" s="214">
        <v>2.8570364029856651E-3</v>
      </c>
      <c r="J5" s="214">
        <v>2.8495732918125479E-3</v>
      </c>
      <c r="K5" s="214">
        <v>2.8415567265119091E-3</v>
      </c>
      <c r="L5" s="214">
        <v>2.8365644572764929E-3</v>
      </c>
      <c r="M5" s="214">
        <v>2.8326052663205249E-3</v>
      </c>
      <c r="N5" s="214">
        <v>2.838017205138535E-3</v>
      </c>
      <c r="O5" s="214">
        <v>2.844573420548386E-3</v>
      </c>
      <c r="P5" s="214">
        <v>2.8517932660140398E-3</v>
      </c>
      <c r="Q5" s="214">
        <v>2.8603095398742392E-3</v>
      </c>
      <c r="R5" s="214">
        <v>2.870112167559895E-3</v>
      </c>
      <c r="S5" s="214">
        <v>2.8654811996044771E-3</v>
      </c>
      <c r="T5" s="214">
        <v>2.860915908309085E-3</v>
      </c>
      <c r="U5" s="214">
        <v>2.85592088399229E-3</v>
      </c>
      <c r="V5" s="214">
        <v>2.8514187206829279E-3</v>
      </c>
      <c r="W5" s="214">
        <v>2.8469278145274082E-3</v>
      </c>
      <c r="X5" s="214">
        <v>2.8548052103584652E-3</v>
      </c>
      <c r="Y5" s="214">
        <v>2.8413900218615378E-3</v>
      </c>
      <c r="Z5" s="214">
        <v>2.827893252738533E-3</v>
      </c>
      <c r="AA5" s="214">
        <v>2.8143133528151839E-3</v>
      </c>
      <c r="AB5" s="214">
        <v>2.800649103609242E-3</v>
      </c>
      <c r="AC5" s="33">
        <v>3.4065629385513331E-6</v>
      </c>
      <c r="AD5" s="219">
        <v>3.3953613580988118E-6</v>
      </c>
      <c r="AE5" s="219">
        <v>3.3845530100819261E-6</v>
      </c>
      <c r="AF5" s="219">
        <v>3.3626713309814939E-6</v>
      </c>
      <c r="AG5" s="219">
        <v>3.353151426190486E-6</v>
      </c>
      <c r="AH5" s="219">
        <v>3.343946413083318E-6</v>
      </c>
      <c r="AI5" s="219">
        <v>3.3444764397803381E-6</v>
      </c>
      <c r="AJ5" s="219">
        <v>3.3464941059095869E-6</v>
      </c>
      <c r="AK5" s="219">
        <v>3.3436073083286139E-6</v>
      </c>
      <c r="AL5" s="219">
        <v>3.3481089493032089E-6</v>
      </c>
      <c r="AM5" s="219">
        <v>3.3535991354261019E-6</v>
      </c>
      <c r="AN5" s="219">
        <v>3.3769129438636279E-6</v>
      </c>
      <c r="AO5" s="219">
        <v>3.4014149764735988E-6</v>
      </c>
      <c r="AP5" s="219">
        <v>3.4251360734096509E-6</v>
      </c>
      <c r="AQ5" s="219">
        <v>3.4517225958134852E-6</v>
      </c>
      <c r="AR5" s="219">
        <v>3.4801464575339711E-6</v>
      </c>
      <c r="AS5" s="219">
        <v>3.4730782726066821E-6</v>
      </c>
      <c r="AT5" s="219">
        <v>3.465985036295827E-6</v>
      </c>
      <c r="AU5" s="219">
        <v>3.45697206792292E-6</v>
      </c>
      <c r="AV5" s="219">
        <v>3.4497729968923359E-6</v>
      </c>
      <c r="AW5" s="219">
        <v>3.442510729383741E-6</v>
      </c>
      <c r="AX5" s="219">
        <v>3.432522458326159E-6</v>
      </c>
      <c r="AY5" s="219">
        <v>3.4025013848898462E-6</v>
      </c>
      <c r="AZ5" s="219">
        <v>3.372364238792707E-6</v>
      </c>
      <c r="BA5" s="219">
        <v>3.342109436099053E-6</v>
      </c>
      <c r="BB5" s="219">
        <v>3.3117353641089479E-6</v>
      </c>
      <c r="BC5" s="33">
        <v>75.900107259729808</v>
      </c>
      <c r="BD5" s="219">
        <v>75.721092593824352</v>
      </c>
      <c r="BE5" s="219">
        <v>75.547340082107652</v>
      </c>
      <c r="BF5" s="219">
        <v>75.046289284242278</v>
      </c>
      <c r="BG5" s="219">
        <v>74.88744188155988</v>
      </c>
      <c r="BH5" s="219">
        <v>74.732867501868313</v>
      </c>
      <c r="BI5" s="219">
        <v>74.565162168049895</v>
      </c>
      <c r="BJ5" s="219">
        <v>74.408962849238492</v>
      </c>
      <c r="BK5" s="219">
        <v>74.028894578905238</v>
      </c>
      <c r="BL5" s="219">
        <v>73.894283574504485</v>
      </c>
      <c r="BM5" s="219">
        <v>73.768223352111434</v>
      </c>
      <c r="BN5" s="219">
        <v>73.627363347049609</v>
      </c>
      <c r="BO5" s="219">
        <v>73.495823154340883</v>
      </c>
      <c r="BP5" s="219">
        <v>73.300578304648241</v>
      </c>
      <c r="BQ5" s="219">
        <v>73.185462386772031</v>
      </c>
      <c r="BR5" s="219">
        <v>73.083691359881385</v>
      </c>
      <c r="BS5" s="219">
        <v>73.145672292430874</v>
      </c>
      <c r="BT5" s="219">
        <v>73.208525389290443</v>
      </c>
      <c r="BU5" s="219">
        <v>73.203123804352686</v>
      </c>
      <c r="BV5" s="219">
        <v>73.267794264424737</v>
      </c>
      <c r="BW5" s="219">
        <v>73.332865386311511</v>
      </c>
      <c r="BX5" s="219">
        <v>73.318528502666936</v>
      </c>
      <c r="BY5" s="219">
        <v>73.305529813758127</v>
      </c>
      <c r="BZ5" s="219">
        <v>73.293628790363385</v>
      </c>
      <c r="CA5" s="219">
        <v>73.282808068148469</v>
      </c>
      <c r="CB5" s="219">
        <v>73.273062102440193</v>
      </c>
      <c r="CC5" s="33">
        <v>736.5346492975043</v>
      </c>
      <c r="CD5" s="219">
        <v>733.39351010466885</v>
      </c>
      <c r="CE5" s="219">
        <v>730.378452456795</v>
      </c>
      <c r="CF5" s="219">
        <v>725.03574042597052</v>
      </c>
      <c r="CG5" s="219">
        <v>722.4120560797744</v>
      </c>
      <c r="CH5" s="219">
        <v>719.88609923702177</v>
      </c>
      <c r="CI5" s="219">
        <v>718.83518389963831</v>
      </c>
      <c r="CJ5" s="219">
        <v>718.22123153335326</v>
      </c>
      <c r="CK5" s="219">
        <v>716.46033523697758</v>
      </c>
      <c r="CL5" s="219">
        <v>716.58849431309761</v>
      </c>
      <c r="CM5" s="219">
        <v>717.01708679195258</v>
      </c>
      <c r="CN5" s="219">
        <v>721.12466467340505</v>
      </c>
      <c r="CO5" s="219">
        <v>725.57716879084569</v>
      </c>
      <c r="CP5" s="219">
        <v>729.98487544169757</v>
      </c>
      <c r="CQ5" s="219">
        <v>735.02061495711746</v>
      </c>
      <c r="CR5" s="219">
        <v>740.56272312908243</v>
      </c>
      <c r="CS5" s="219">
        <v>738.861415023311</v>
      </c>
      <c r="CT5" s="219">
        <v>737.18514758910248</v>
      </c>
      <c r="CU5" s="219">
        <v>735.17285153122407</v>
      </c>
      <c r="CV5" s="219">
        <v>733.51245658534106</v>
      </c>
      <c r="CW5" s="219">
        <v>731.85178845967471</v>
      </c>
      <c r="CX5" s="219">
        <v>727.86721914393172</v>
      </c>
      <c r="CY5" s="219">
        <v>721.1646347784706</v>
      </c>
      <c r="CZ5" s="219">
        <v>714.46101987398413</v>
      </c>
      <c r="DA5" s="219">
        <v>707.75541478168475</v>
      </c>
      <c r="DB5" s="219">
        <v>701.04715625954748</v>
      </c>
    </row>
    <row r="6" spans="1:106" x14ac:dyDescent="0.35">
      <c r="A6" s="137" t="s">
        <v>533</v>
      </c>
      <c r="B6" s="130" t="s">
        <v>545</v>
      </c>
      <c r="C6" s="214">
        <v>6.0231401899834662E-3</v>
      </c>
      <c r="D6" s="214">
        <v>6.0306415507868994E-3</v>
      </c>
      <c r="E6" s="214">
        <v>6.0380582706523614E-3</v>
      </c>
      <c r="F6" s="214">
        <v>6.0406847810639958E-3</v>
      </c>
      <c r="G6" s="214">
        <v>6.0479908549415798E-3</v>
      </c>
      <c r="H6" s="214">
        <v>6.0552118966401992E-3</v>
      </c>
      <c r="I6" s="214">
        <v>6.050714243915449E-3</v>
      </c>
      <c r="J6" s="214">
        <v>6.0479366213945489E-3</v>
      </c>
      <c r="K6" s="214">
        <v>6.0443011091277183E-3</v>
      </c>
      <c r="L6" s="214">
        <v>6.0444016455184248E-3</v>
      </c>
      <c r="M6" s="214">
        <v>6.0456604123804662E-3</v>
      </c>
      <c r="N6" s="214">
        <v>6.0593486328912134E-3</v>
      </c>
      <c r="O6" s="214">
        <v>6.074223728040392E-3</v>
      </c>
      <c r="P6" s="214">
        <v>6.0896808055929154E-3</v>
      </c>
      <c r="Q6" s="214">
        <v>6.1065636391439016E-3</v>
      </c>
      <c r="R6" s="214">
        <v>6.1245406151247406E-3</v>
      </c>
      <c r="S6" s="214">
        <v>6.1224029703954462E-3</v>
      </c>
      <c r="T6" s="214">
        <v>6.1202155387149824E-3</v>
      </c>
      <c r="U6" s="214">
        <v>6.1173528407857504E-3</v>
      </c>
      <c r="V6" s="214">
        <v>6.115019454783736E-3</v>
      </c>
      <c r="W6" s="214">
        <v>6.1125938204683126E-3</v>
      </c>
      <c r="X6" s="214">
        <v>6.1314661144869411E-3</v>
      </c>
      <c r="Y6" s="214">
        <v>6.1172402984630333E-3</v>
      </c>
      <c r="Z6" s="214">
        <v>6.1028290458211634E-3</v>
      </c>
      <c r="AA6" s="214">
        <v>6.0882328715735849E-3</v>
      </c>
      <c r="AB6" s="214">
        <v>6.0734525881265744E-3</v>
      </c>
      <c r="AC6" s="33">
        <v>5.9775544476410673E-6</v>
      </c>
      <c r="AD6" s="219">
        <v>5.9626064718453801E-6</v>
      </c>
      <c r="AE6" s="219">
        <v>5.9480269048228644E-6</v>
      </c>
      <c r="AF6" s="219">
        <v>5.9193762387447478E-6</v>
      </c>
      <c r="AG6" s="219">
        <v>5.9056299753775843E-6</v>
      </c>
      <c r="AH6" s="219">
        <v>5.8921659239928211E-6</v>
      </c>
      <c r="AI6" s="219">
        <v>5.8999477880936422E-6</v>
      </c>
      <c r="AJ6" s="219">
        <v>5.9089470627181926E-6</v>
      </c>
      <c r="AK6" s="219">
        <v>5.9111978610797168E-6</v>
      </c>
      <c r="AL6" s="219">
        <v>5.9222783917944984E-6</v>
      </c>
      <c r="AM6" s="219">
        <v>5.934128538055947E-6</v>
      </c>
      <c r="AN6" s="219">
        <v>5.9679352805746866E-6</v>
      </c>
      <c r="AO6" s="219">
        <v>6.0026246421504544E-6</v>
      </c>
      <c r="AP6" s="219">
        <v>6.0357835953995333E-6</v>
      </c>
      <c r="AQ6" s="219">
        <v>6.0720651818990328E-6</v>
      </c>
      <c r="AR6" s="219">
        <v>6.109598669465664E-6</v>
      </c>
      <c r="AS6" s="219">
        <v>6.0984314764012321E-6</v>
      </c>
      <c r="AT6" s="219">
        <v>6.0871347112694471E-6</v>
      </c>
      <c r="AU6" s="219">
        <v>6.0733540782812291E-6</v>
      </c>
      <c r="AV6" s="219">
        <v>6.0618029757118342E-6</v>
      </c>
      <c r="AW6" s="219">
        <v>6.0501166625258207E-6</v>
      </c>
      <c r="AX6" s="219">
        <v>6.0425217628117609E-6</v>
      </c>
      <c r="AY6" s="219">
        <v>6.0027848795398254E-6</v>
      </c>
      <c r="AZ6" s="219">
        <v>5.9628505035003523E-6</v>
      </c>
      <c r="BA6" s="219">
        <v>5.9227159450730123E-6</v>
      </c>
      <c r="BB6" s="219">
        <v>5.8823784832452649E-6</v>
      </c>
      <c r="BC6" s="33">
        <v>315.32647070950878</v>
      </c>
      <c r="BD6" s="219">
        <v>314.95418581510762</v>
      </c>
      <c r="BE6" s="219">
        <v>314.59171271176689</v>
      </c>
      <c r="BF6" s="219">
        <v>313.82041743260612</v>
      </c>
      <c r="BG6" s="219">
        <v>313.47838580524382</v>
      </c>
      <c r="BH6" s="219">
        <v>313.14437931688468</v>
      </c>
      <c r="BI6" s="219">
        <v>312.93528430750928</v>
      </c>
      <c r="BJ6" s="219">
        <v>312.73739199816811</v>
      </c>
      <c r="BK6" s="219">
        <v>312.25535634355339</v>
      </c>
      <c r="BL6" s="219">
        <v>312.07989606220758</v>
      </c>
      <c r="BM6" s="219">
        <v>311.9130329292538</v>
      </c>
      <c r="BN6" s="219">
        <v>311.74124160913311</v>
      </c>
      <c r="BO6" s="219">
        <v>311.57821398925648</v>
      </c>
      <c r="BP6" s="219">
        <v>311.33281052072698</v>
      </c>
      <c r="BQ6" s="219">
        <v>311.18563235478138</v>
      </c>
      <c r="BR6" s="219">
        <v>311.04902271662741</v>
      </c>
      <c r="BS6" s="219">
        <v>311.07056554994051</v>
      </c>
      <c r="BT6" s="219">
        <v>311.09332067701689</v>
      </c>
      <c r="BU6" s="219">
        <v>311.03083606677552</v>
      </c>
      <c r="BV6" s="219">
        <v>311.05646086273367</v>
      </c>
      <c r="BW6" s="219">
        <v>311.08291927656518</v>
      </c>
      <c r="BX6" s="219">
        <v>311.03387931537742</v>
      </c>
      <c r="BY6" s="219">
        <v>310.98681496151067</v>
      </c>
      <c r="BZ6" s="219">
        <v>310.94144270989642</v>
      </c>
      <c r="CA6" s="219">
        <v>310.89773897489169</v>
      </c>
      <c r="CB6" s="219">
        <v>310.85569546181978</v>
      </c>
      <c r="CC6" s="33">
        <v>964.71070101214207</v>
      </c>
      <c r="CD6" s="219">
        <v>960.77236762662562</v>
      </c>
      <c r="CE6" s="219">
        <v>956.95796199620793</v>
      </c>
      <c r="CF6" s="219">
        <v>950.17588535309119</v>
      </c>
      <c r="CG6" s="219">
        <v>946.6336726690472</v>
      </c>
      <c r="CH6" s="219">
        <v>943.17968769256402</v>
      </c>
      <c r="CI6" s="219">
        <v>943.89374143927125</v>
      </c>
      <c r="CJ6" s="219">
        <v>944.97396312377657</v>
      </c>
      <c r="CK6" s="219">
        <v>944.44935700570807</v>
      </c>
      <c r="CL6" s="219">
        <v>946.16773659531464</v>
      </c>
      <c r="CM6" s="219">
        <v>948.13018863391517</v>
      </c>
      <c r="CN6" s="219">
        <v>954.63956271057225</v>
      </c>
      <c r="CO6" s="219">
        <v>961.41894663193375</v>
      </c>
      <c r="CP6" s="219">
        <v>967.99213075547573</v>
      </c>
      <c r="CQ6" s="219">
        <v>975.22912383241407</v>
      </c>
      <c r="CR6" s="219">
        <v>982.81377295522657</v>
      </c>
      <c r="CS6" s="219">
        <v>980.1953336259088</v>
      </c>
      <c r="CT6" s="219">
        <v>977.58572416645097</v>
      </c>
      <c r="CU6" s="219">
        <v>974.5326625256647</v>
      </c>
      <c r="CV6" s="219">
        <v>971.91334242392156</v>
      </c>
      <c r="CW6" s="219">
        <v>969.28106280090788</v>
      </c>
      <c r="CX6" s="219">
        <v>964.42259018006871</v>
      </c>
      <c r="CY6" s="219">
        <v>955.64094759735246</v>
      </c>
      <c r="CZ6" s="219">
        <v>946.85110711095683</v>
      </c>
      <c r="DA6" s="219">
        <v>938.05194558188225</v>
      </c>
      <c r="DB6" s="219">
        <v>929.24272813412711</v>
      </c>
    </row>
    <row r="7" spans="1:106" x14ac:dyDescent="0.35">
      <c r="A7" s="137" t="s">
        <v>534</v>
      </c>
      <c r="B7" s="130" t="s">
        <v>545</v>
      </c>
      <c r="C7" s="214">
        <v>1.3717423440267161E-2</v>
      </c>
      <c r="D7" s="214">
        <v>1.369249673343907E-2</v>
      </c>
      <c r="E7" s="214">
        <v>1.366898855955718E-2</v>
      </c>
      <c r="F7" s="214">
        <v>1.3629229505655311E-2</v>
      </c>
      <c r="G7" s="214">
        <v>1.360970997795926E-2</v>
      </c>
      <c r="H7" s="214">
        <v>1.3591333029834739E-2</v>
      </c>
      <c r="I7" s="214">
        <v>1.354401472018121E-2</v>
      </c>
      <c r="J7" s="214">
        <v>1.3503934844376579E-2</v>
      </c>
      <c r="K7" s="214">
        <v>1.346140347242219E-2</v>
      </c>
      <c r="L7" s="214">
        <v>1.343349944331758E-2</v>
      </c>
      <c r="M7" s="214">
        <v>1.3410665824191341E-2</v>
      </c>
      <c r="N7" s="214">
        <v>1.342962595388867E-2</v>
      </c>
      <c r="O7" s="214">
        <v>1.345417014649628E-2</v>
      </c>
      <c r="P7" s="214">
        <v>1.348193835046517E-2</v>
      </c>
      <c r="Q7" s="214">
        <v>1.3515938123424869E-2</v>
      </c>
      <c r="R7" s="214">
        <v>1.355616096764364E-2</v>
      </c>
      <c r="S7" s="214">
        <v>1.35462705985568E-2</v>
      </c>
      <c r="T7" s="214">
        <v>1.3536894925284799E-2</v>
      </c>
      <c r="U7" s="214">
        <v>1.352568460893681E-2</v>
      </c>
      <c r="V7" s="214">
        <v>1.3517029407583611E-2</v>
      </c>
      <c r="W7" s="214">
        <v>1.3508644051225739E-2</v>
      </c>
      <c r="X7" s="214">
        <v>1.356709922707266E-2</v>
      </c>
      <c r="Y7" s="214">
        <v>1.352467132167545E-2</v>
      </c>
      <c r="Z7" s="214">
        <v>1.348210251379644E-2</v>
      </c>
      <c r="AA7" s="214">
        <v>1.3439391008761081E-2</v>
      </c>
      <c r="AB7" s="214">
        <v>1.3396536300284459E-2</v>
      </c>
      <c r="AC7" s="33">
        <v>1.5280120239729288E-5</v>
      </c>
      <c r="AD7" s="219">
        <v>1.5233527503504459E-5</v>
      </c>
      <c r="AE7" s="219">
        <v>1.518898978614201E-5</v>
      </c>
      <c r="AF7" s="219">
        <v>1.5091940182431079E-5</v>
      </c>
      <c r="AG7" s="219">
        <v>1.50539639932355E-5</v>
      </c>
      <c r="AH7" s="219">
        <v>1.5017657262148219E-5</v>
      </c>
      <c r="AI7" s="219">
        <v>1.501241254252939E-5</v>
      </c>
      <c r="AJ7" s="219">
        <v>1.5014468937758771E-5</v>
      </c>
      <c r="AK7" s="219">
        <v>1.4993548958872431E-5</v>
      </c>
      <c r="AL7" s="219">
        <v>1.5007880163002561E-5</v>
      </c>
      <c r="AM7" s="219">
        <v>1.5027296570179049E-5</v>
      </c>
      <c r="AN7" s="219">
        <v>1.512575834906294E-5</v>
      </c>
      <c r="AO7" s="219">
        <v>1.5230147998519451E-5</v>
      </c>
      <c r="AP7" s="219">
        <v>1.533099580798754E-5</v>
      </c>
      <c r="AQ7" s="219">
        <v>1.544567911063022E-5</v>
      </c>
      <c r="AR7" s="219">
        <v>1.5569362529566781E-5</v>
      </c>
      <c r="AS7" s="219">
        <v>1.556116126330798E-5</v>
      </c>
      <c r="AT7" s="219">
        <v>1.5553300051235629E-5</v>
      </c>
      <c r="AU7" s="219">
        <v>1.5536670406800689E-5</v>
      </c>
      <c r="AV7" s="219">
        <v>1.552903616826268E-5</v>
      </c>
      <c r="AW7" s="219">
        <v>1.5521448101055E-5</v>
      </c>
      <c r="AX7" s="219">
        <v>1.552880173719032E-5</v>
      </c>
      <c r="AY7" s="219">
        <v>1.5428983197630941E-5</v>
      </c>
      <c r="AZ7" s="219">
        <v>1.532897674843844E-5</v>
      </c>
      <c r="BA7" s="219">
        <v>1.522877464711443E-5</v>
      </c>
      <c r="BB7" s="219">
        <v>1.512837130499148E-5</v>
      </c>
      <c r="BC7" s="33">
        <v>320.06211166534263</v>
      </c>
      <c r="BD7" s="219">
        <v>319.25983887168547</v>
      </c>
      <c r="BE7" s="219">
        <v>318.48776720191881</v>
      </c>
      <c r="BF7" s="219">
        <v>316.16662470032099</v>
      </c>
      <c r="BG7" s="219">
        <v>315.4762076665333</v>
      </c>
      <c r="BH7" s="219">
        <v>314.81138805597112</v>
      </c>
      <c r="BI7" s="219">
        <v>314.06562278520221</v>
      </c>
      <c r="BJ7" s="219">
        <v>313.37833021477411</v>
      </c>
      <c r="BK7" s="219">
        <v>311.63395818947959</v>
      </c>
      <c r="BL7" s="219">
        <v>311.05605486561723</v>
      </c>
      <c r="BM7" s="219">
        <v>310.52219240349541</v>
      </c>
      <c r="BN7" s="219">
        <v>309.84724498567323</v>
      </c>
      <c r="BO7" s="219">
        <v>309.21842968767589</v>
      </c>
      <c r="BP7" s="219">
        <v>308.28781476136601</v>
      </c>
      <c r="BQ7" s="219">
        <v>307.74058749568212</v>
      </c>
      <c r="BR7" s="219">
        <v>307.25910955084771</v>
      </c>
      <c r="BS7" s="219">
        <v>307.58279916089032</v>
      </c>
      <c r="BT7" s="219">
        <v>307.91280458822519</v>
      </c>
      <c r="BU7" s="219">
        <v>307.91980612039993</v>
      </c>
      <c r="BV7" s="219">
        <v>308.26266186175758</v>
      </c>
      <c r="BW7" s="219">
        <v>308.60947276930438</v>
      </c>
      <c r="BX7" s="219">
        <v>308.53946353470309</v>
      </c>
      <c r="BY7" s="219">
        <v>308.47377216995471</v>
      </c>
      <c r="BZ7" s="219">
        <v>308.41139910154402</v>
      </c>
      <c r="CA7" s="219">
        <v>308.35222963714148</v>
      </c>
      <c r="CB7" s="219">
        <v>308.29619962845692</v>
      </c>
      <c r="CC7" s="33">
        <v>3012.330013181167</v>
      </c>
      <c r="CD7" s="219">
        <v>2999.6754885874711</v>
      </c>
      <c r="CE7" s="219">
        <v>2987.6404363165939</v>
      </c>
      <c r="CF7" s="219">
        <v>2964.5768669888912</v>
      </c>
      <c r="CG7" s="219">
        <v>2954.475905997534</v>
      </c>
      <c r="CH7" s="219">
        <v>2944.8688299486089</v>
      </c>
      <c r="CI7" s="219">
        <v>2938.761372900055</v>
      </c>
      <c r="CJ7" s="219">
        <v>2934.7642803279682</v>
      </c>
      <c r="CK7" s="219">
        <v>2925.38227054251</v>
      </c>
      <c r="CL7" s="219">
        <v>2924.9936157562788</v>
      </c>
      <c r="CM7" s="219">
        <v>2926.0782057516321</v>
      </c>
      <c r="CN7" s="219">
        <v>2943.41413912605</v>
      </c>
      <c r="CO7" s="219">
        <v>2962.4169423378212</v>
      </c>
      <c r="CP7" s="219">
        <v>2981.2392362111882</v>
      </c>
      <c r="CQ7" s="219">
        <v>3003.0841188227641</v>
      </c>
      <c r="CR7" s="219">
        <v>3027.3921842016071</v>
      </c>
      <c r="CS7" s="219">
        <v>3025.649540926604</v>
      </c>
      <c r="CT7" s="219">
        <v>3024.0410978111472</v>
      </c>
      <c r="CU7" s="219">
        <v>3020.859558872763</v>
      </c>
      <c r="CV7" s="219">
        <v>3019.382141295775</v>
      </c>
      <c r="CW7" s="219">
        <v>3017.935232799347</v>
      </c>
      <c r="CX7" s="219">
        <v>3007.6886324333641</v>
      </c>
      <c r="CY7" s="219">
        <v>2985.4798983356068</v>
      </c>
      <c r="CZ7" s="219">
        <v>2963.2692202397839</v>
      </c>
      <c r="DA7" s="219">
        <v>2941.053691296906</v>
      </c>
      <c r="DB7" s="219">
        <v>2918.8313992798262</v>
      </c>
    </row>
    <row r="8" spans="1:106" x14ac:dyDescent="0.35">
      <c r="A8" s="137" t="s">
        <v>535</v>
      </c>
      <c r="B8" s="130" t="s">
        <v>545</v>
      </c>
      <c r="C8" s="214">
        <v>1.68268964507193E-2</v>
      </c>
      <c r="D8" s="214">
        <v>1.6803469848031719E-2</v>
      </c>
      <c r="E8" s="214">
        <v>1.6784101823200209E-2</v>
      </c>
      <c r="F8" s="214">
        <v>1.675227105514538E-2</v>
      </c>
      <c r="G8" s="214">
        <v>1.6734689554686991E-2</v>
      </c>
      <c r="H8" s="214">
        <v>1.671788692132058E-2</v>
      </c>
      <c r="I8" s="214">
        <v>1.6709140892408589E-2</v>
      </c>
      <c r="J8" s="214">
        <v>1.670385875746384E-2</v>
      </c>
      <c r="K8" s="214">
        <v>1.669494142013073E-2</v>
      </c>
      <c r="L8" s="214">
        <v>1.6695123114176841E-2</v>
      </c>
      <c r="M8" s="214">
        <v>1.669768825375844E-2</v>
      </c>
      <c r="N8" s="214">
        <v>1.6732163800793821E-2</v>
      </c>
      <c r="O8" s="214">
        <v>1.6769048762148599E-2</v>
      </c>
      <c r="P8" s="214">
        <v>1.680690927396233E-2</v>
      </c>
      <c r="Q8" s="214">
        <v>1.684807358736012E-2</v>
      </c>
      <c r="R8" s="214">
        <v>1.6892065350654739E-2</v>
      </c>
      <c r="S8" s="214">
        <v>1.6875173955439211E-2</v>
      </c>
      <c r="T8" s="214">
        <v>1.6858278323747481E-2</v>
      </c>
      <c r="U8" s="214">
        <v>1.6839702988622439E-2</v>
      </c>
      <c r="V8" s="214">
        <v>1.6822660719250471E-2</v>
      </c>
      <c r="W8" s="214">
        <v>1.680549932467728E-2</v>
      </c>
      <c r="X8" s="214">
        <v>1.682879525736675E-2</v>
      </c>
      <c r="Y8" s="214">
        <v>1.677990840423323E-2</v>
      </c>
      <c r="Z8" s="214">
        <v>1.6730704735035309E-2</v>
      </c>
      <c r="AA8" s="214">
        <v>1.668118227211423E-2</v>
      </c>
      <c r="AB8" s="214">
        <v>1.663133999037213E-2</v>
      </c>
      <c r="AC8" s="33">
        <v>1.237356434915746E-5</v>
      </c>
      <c r="AD8" s="219">
        <v>1.2330008053210321E-5</v>
      </c>
      <c r="AE8" s="219">
        <v>1.2295320645606521E-5</v>
      </c>
      <c r="AF8" s="219">
        <v>1.22211728110393E-5</v>
      </c>
      <c r="AG8" s="219">
        <v>1.218957898368649E-5</v>
      </c>
      <c r="AH8" s="219">
        <v>1.215936614206576E-5</v>
      </c>
      <c r="AI8" s="219">
        <v>1.218427458721731E-5</v>
      </c>
      <c r="AJ8" s="219">
        <v>1.2212777759857229E-5</v>
      </c>
      <c r="AK8" s="219">
        <v>1.2222478340409419E-5</v>
      </c>
      <c r="AL8" s="219">
        <v>1.2256314918985401E-5</v>
      </c>
      <c r="AM8" s="219">
        <v>1.2292578947358619E-5</v>
      </c>
      <c r="AN8" s="219">
        <v>1.239053472055617E-5</v>
      </c>
      <c r="AO8" s="219">
        <v>1.2490908231345311E-5</v>
      </c>
      <c r="AP8" s="219">
        <v>1.2587094722999199E-5</v>
      </c>
      <c r="AQ8" s="219">
        <v>1.269194186616735E-5</v>
      </c>
      <c r="AR8" s="219">
        <v>1.280080008967376E-5</v>
      </c>
      <c r="AS8" s="219">
        <v>1.276970235019982E-5</v>
      </c>
      <c r="AT8" s="219">
        <v>1.273880264292304E-5</v>
      </c>
      <c r="AU8" s="219">
        <v>1.2701465749833849E-5</v>
      </c>
      <c r="AV8" s="219">
        <v>1.267070754851361E-5</v>
      </c>
      <c r="AW8" s="219">
        <v>1.263993566588313E-5</v>
      </c>
      <c r="AX8" s="219">
        <v>1.259635289593765E-5</v>
      </c>
      <c r="AY8" s="219">
        <v>1.248781531426846E-5</v>
      </c>
      <c r="AZ8" s="219">
        <v>1.237912457957181E-5</v>
      </c>
      <c r="BA8" s="219">
        <v>1.2270249242518551E-5</v>
      </c>
      <c r="BB8" s="219">
        <v>1.2161161882554869E-5</v>
      </c>
      <c r="BC8" s="33">
        <v>246.9725509849394</v>
      </c>
      <c r="BD8" s="219">
        <v>246.48201436227791</v>
      </c>
      <c r="BE8" s="219">
        <v>246.05400394813091</v>
      </c>
      <c r="BF8" s="219">
        <v>244.4704013056064</v>
      </c>
      <c r="BG8" s="219">
        <v>244.07673895586251</v>
      </c>
      <c r="BH8" s="219">
        <v>243.69939390305609</v>
      </c>
      <c r="BI8" s="219">
        <v>243.2980380858456</v>
      </c>
      <c r="BJ8" s="219">
        <v>242.92469951059309</v>
      </c>
      <c r="BK8" s="219">
        <v>241.7559449082309</v>
      </c>
      <c r="BL8" s="219">
        <v>241.42778241407299</v>
      </c>
      <c r="BM8" s="219">
        <v>241.1191647007478</v>
      </c>
      <c r="BN8" s="219">
        <v>240.8076434500918</v>
      </c>
      <c r="BO8" s="219">
        <v>240.51506818281291</v>
      </c>
      <c r="BP8" s="219">
        <v>239.98751793676931</v>
      </c>
      <c r="BQ8" s="219">
        <v>239.7289435269625</v>
      </c>
      <c r="BR8" s="219">
        <v>239.49877791270109</v>
      </c>
      <c r="BS8" s="219">
        <v>239.82040720395139</v>
      </c>
      <c r="BT8" s="219">
        <v>240.1408957829627</v>
      </c>
      <c r="BU8" s="219">
        <v>240.21851615404901</v>
      </c>
      <c r="BV8" s="219">
        <v>240.5382863661761</v>
      </c>
      <c r="BW8" s="219">
        <v>240.8562029105064</v>
      </c>
      <c r="BX8" s="219">
        <v>240.8468049154126</v>
      </c>
      <c r="BY8" s="219">
        <v>240.84139316748841</v>
      </c>
      <c r="BZ8" s="219">
        <v>240.8390604020434</v>
      </c>
      <c r="CA8" s="219">
        <v>240.83976823264911</v>
      </c>
      <c r="CB8" s="219">
        <v>240.84352151209561</v>
      </c>
      <c r="CC8" s="33">
        <v>2745.9417900267481</v>
      </c>
      <c r="CD8" s="219">
        <v>2733.7999799210561</v>
      </c>
      <c r="CE8" s="219">
        <v>2724.2833807897041</v>
      </c>
      <c r="CF8" s="219">
        <v>2706.510637846985</v>
      </c>
      <c r="CG8" s="219">
        <v>2698.006890773649</v>
      </c>
      <c r="CH8" s="219">
        <v>2689.9279024794769</v>
      </c>
      <c r="CI8" s="219">
        <v>2692.248004069937</v>
      </c>
      <c r="CJ8" s="219">
        <v>2695.6184810299801</v>
      </c>
      <c r="CK8" s="219">
        <v>2694.515427422416</v>
      </c>
      <c r="CL8" s="219">
        <v>2699.5518699482659</v>
      </c>
      <c r="CM8" s="219">
        <v>2705.3183990469429</v>
      </c>
      <c r="CN8" s="219">
        <v>2723.9064081189308</v>
      </c>
      <c r="CO8" s="219">
        <v>2743.234028922252</v>
      </c>
      <c r="CP8" s="219">
        <v>2762.007787928123</v>
      </c>
      <c r="CQ8" s="219">
        <v>2782.61019056434</v>
      </c>
      <c r="CR8" s="219">
        <v>2804.3169236386138</v>
      </c>
      <c r="CS8" s="219">
        <v>2798.451284878653</v>
      </c>
      <c r="CT8" s="219">
        <v>2792.622208186116</v>
      </c>
      <c r="CU8" s="219">
        <v>2785.585311592949</v>
      </c>
      <c r="CV8" s="219">
        <v>2779.746283631895</v>
      </c>
      <c r="CW8" s="219">
        <v>2773.8811419629842</v>
      </c>
      <c r="CX8" s="219">
        <v>2759.9804023273518</v>
      </c>
      <c r="CY8" s="219">
        <v>2736.927818730227</v>
      </c>
      <c r="CZ8" s="219">
        <v>2713.87032230464</v>
      </c>
      <c r="DA8" s="219">
        <v>2690.8057790094899</v>
      </c>
      <c r="DB8" s="219">
        <v>2667.7330129869888</v>
      </c>
    </row>
    <row r="9" spans="1:106" x14ac:dyDescent="0.35">
      <c r="A9" s="137" t="s">
        <v>536</v>
      </c>
      <c r="B9" s="130" t="s">
        <v>545</v>
      </c>
      <c r="C9" s="214">
        <v>1.290728015734449E-2</v>
      </c>
      <c r="D9" s="214">
        <v>1.289469496816137E-2</v>
      </c>
      <c r="E9" s="214">
        <v>1.288454876730177E-2</v>
      </c>
      <c r="F9" s="214">
        <v>1.286856117827114E-2</v>
      </c>
      <c r="G9" s="214">
        <v>1.285839114142141E-2</v>
      </c>
      <c r="H9" s="214">
        <v>1.2848402660683289E-2</v>
      </c>
      <c r="I9" s="214">
        <v>1.285549104847717E-2</v>
      </c>
      <c r="J9" s="214">
        <v>1.2862962546078049E-2</v>
      </c>
      <c r="K9" s="214">
        <v>1.2867771770351109E-2</v>
      </c>
      <c r="L9" s="214">
        <v>1.287552729693597E-2</v>
      </c>
      <c r="M9" s="214">
        <v>1.288348669626193E-2</v>
      </c>
      <c r="N9" s="214">
        <v>1.290385332730155E-2</v>
      </c>
      <c r="O9" s="214">
        <v>1.292427647570941E-2</v>
      </c>
      <c r="P9" s="214">
        <v>1.2944337151103869E-2</v>
      </c>
      <c r="Q9" s="214">
        <v>1.296508008885253E-2</v>
      </c>
      <c r="R9" s="214">
        <v>1.2986009444699031E-2</v>
      </c>
      <c r="S9" s="214">
        <v>1.296847077805521E-2</v>
      </c>
      <c r="T9" s="214">
        <v>1.295065823632368E-2</v>
      </c>
      <c r="U9" s="214">
        <v>1.293188197464879E-2</v>
      </c>
      <c r="V9" s="214">
        <v>1.291349894925665E-2</v>
      </c>
      <c r="W9" s="214">
        <v>1.2894818945384591E-2</v>
      </c>
      <c r="X9" s="214">
        <v>1.2920068641231609E-2</v>
      </c>
      <c r="Y9" s="214">
        <v>1.2884845616583479E-2</v>
      </c>
      <c r="Z9" s="214">
        <v>1.284928717447968E-2</v>
      </c>
      <c r="AA9" s="214">
        <v>1.2813389275313459E-2</v>
      </c>
      <c r="AB9" s="214">
        <v>1.277714839265812E-2</v>
      </c>
      <c r="AC9" s="33">
        <v>9.6467851095061977E-6</v>
      </c>
      <c r="AD9" s="219">
        <v>9.6216140030892201E-6</v>
      </c>
      <c r="AE9" s="219">
        <v>9.6021133886179552E-6</v>
      </c>
      <c r="AF9" s="219">
        <v>9.5646922767879139E-6</v>
      </c>
      <c r="AG9" s="219">
        <v>9.5452818306760427E-6</v>
      </c>
      <c r="AH9" s="219">
        <v>9.5263021504497407E-6</v>
      </c>
      <c r="AI9" s="219">
        <v>9.5448703504456792E-6</v>
      </c>
      <c r="AJ9" s="219">
        <v>9.5638014902103275E-6</v>
      </c>
      <c r="AK9" s="219">
        <v>9.5733520571528477E-6</v>
      </c>
      <c r="AL9" s="219">
        <v>9.5923501044106849E-6</v>
      </c>
      <c r="AM9" s="219">
        <v>9.611438218799508E-6</v>
      </c>
      <c r="AN9" s="219">
        <v>9.6544821155093761E-6</v>
      </c>
      <c r="AO9" s="219">
        <v>9.6973376106778518E-6</v>
      </c>
      <c r="AP9" s="219">
        <v>9.7374120477644238E-6</v>
      </c>
      <c r="AQ9" s="219">
        <v>9.7802369247213185E-6</v>
      </c>
      <c r="AR9" s="219">
        <v>9.8231568393566441E-6</v>
      </c>
      <c r="AS9" s="219">
        <v>9.7852240675831679E-6</v>
      </c>
      <c r="AT9" s="219">
        <v>9.747036558776912E-6</v>
      </c>
      <c r="AU9" s="219">
        <v>9.7058364469346896E-6</v>
      </c>
      <c r="AV9" s="219">
        <v>9.6672097767684667E-6</v>
      </c>
      <c r="AW9" s="219">
        <v>9.6283352940317596E-6</v>
      </c>
      <c r="AX9" s="219">
        <v>9.5974118383740842E-6</v>
      </c>
      <c r="AY9" s="219">
        <v>9.522939625915413E-6</v>
      </c>
      <c r="AZ9" s="219">
        <v>9.4481957438505786E-6</v>
      </c>
      <c r="BA9" s="219">
        <v>9.373159641823022E-6</v>
      </c>
      <c r="BB9" s="219">
        <v>9.2978116355052756E-6</v>
      </c>
      <c r="BC9" s="33">
        <v>121.9560327138697</v>
      </c>
      <c r="BD9" s="219">
        <v>121.7687060515053</v>
      </c>
      <c r="BE9" s="219">
        <v>121.6151985156753</v>
      </c>
      <c r="BF9" s="219">
        <v>120.94355004597629</v>
      </c>
      <c r="BG9" s="219">
        <v>120.7864082725209</v>
      </c>
      <c r="BH9" s="219">
        <v>120.63115506404429</v>
      </c>
      <c r="BI9" s="219">
        <v>120.47400221729021</v>
      </c>
      <c r="BJ9" s="219">
        <v>120.3183981922369</v>
      </c>
      <c r="BK9" s="219">
        <v>119.80416629137039</v>
      </c>
      <c r="BL9" s="219">
        <v>119.6468673209703</v>
      </c>
      <c r="BM9" s="219">
        <v>119.4892862157247</v>
      </c>
      <c r="BN9" s="219">
        <v>119.4611397987852</v>
      </c>
      <c r="BO9" s="219">
        <v>119.4324847779594</v>
      </c>
      <c r="BP9" s="219">
        <v>119.2950263834113</v>
      </c>
      <c r="BQ9" s="219">
        <v>119.265946800934</v>
      </c>
      <c r="BR9" s="219">
        <v>119.2371668512213</v>
      </c>
      <c r="BS9" s="219">
        <v>119.30844272460401</v>
      </c>
      <c r="BT9" s="219">
        <v>119.37593510382671</v>
      </c>
      <c r="BU9" s="219">
        <v>119.335579411816</v>
      </c>
      <c r="BV9" s="219">
        <v>119.3969168372204</v>
      </c>
      <c r="BW9" s="219">
        <v>119.454688846267</v>
      </c>
      <c r="BX9" s="219">
        <v>119.4571848785105</v>
      </c>
      <c r="BY9" s="219">
        <v>119.4625111059844</v>
      </c>
      <c r="BZ9" s="219">
        <v>119.470213068562</v>
      </c>
      <c r="CA9" s="219">
        <v>119.4803130855386</v>
      </c>
      <c r="CB9" s="219">
        <v>119.4928540129756</v>
      </c>
      <c r="CC9" s="33">
        <v>1625.298034289408</v>
      </c>
      <c r="CD9" s="219">
        <v>1618.260213918521</v>
      </c>
      <c r="CE9" s="219">
        <v>1612.920709737107</v>
      </c>
      <c r="CF9" s="219">
        <v>1603.8380594472151</v>
      </c>
      <c r="CG9" s="219">
        <v>1598.635453031224</v>
      </c>
      <c r="CH9" s="219">
        <v>1593.5840401429</v>
      </c>
      <c r="CI9" s="219">
        <v>1596.355202631803</v>
      </c>
      <c r="CJ9" s="219">
        <v>1599.262079997307</v>
      </c>
      <c r="CK9" s="219">
        <v>1599.9034701879709</v>
      </c>
      <c r="CL9" s="219">
        <v>1602.9445018361309</v>
      </c>
      <c r="CM9" s="219">
        <v>1606.067295911035</v>
      </c>
      <c r="CN9" s="219">
        <v>1614.244197516701</v>
      </c>
      <c r="CO9" s="219">
        <v>1622.4607532447531</v>
      </c>
      <c r="CP9" s="219">
        <v>1630.1951798907889</v>
      </c>
      <c r="CQ9" s="219">
        <v>1638.4817192499499</v>
      </c>
      <c r="CR9" s="219">
        <v>1646.820099496766</v>
      </c>
      <c r="CS9" s="219">
        <v>1638.459747843151</v>
      </c>
      <c r="CT9" s="219">
        <v>1630.075647241774</v>
      </c>
      <c r="CU9" s="219">
        <v>1621.1358804663209</v>
      </c>
      <c r="CV9" s="219">
        <v>1612.669003923239</v>
      </c>
      <c r="CW9" s="219">
        <v>1604.151978010083</v>
      </c>
      <c r="CX9" s="219">
        <v>1591.5361712842739</v>
      </c>
      <c r="CY9" s="219">
        <v>1575.566509779791</v>
      </c>
      <c r="CZ9" s="219">
        <v>1559.589460440885</v>
      </c>
      <c r="DA9" s="219">
        <v>1543.6032378276809</v>
      </c>
      <c r="DB9" s="219">
        <v>1527.6067444606081</v>
      </c>
    </row>
    <row r="10" spans="1:106" x14ac:dyDescent="0.35">
      <c r="A10" s="137" t="s">
        <v>537</v>
      </c>
      <c r="B10" s="130" t="s">
        <v>545</v>
      </c>
      <c r="C10" s="214">
        <v>8.2577490139394989E-3</v>
      </c>
      <c r="D10" s="214">
        <v>8.2500929767005855E-3</v>
      </c>
      <c r="E10" s="214">
        <v>8.2434582346878928E-3</v>
      </c>
      <c r="F10" s="214">
        <v>8.232045863452251E-3</v>
      </c>
      <c r="G10" s="214">
        <v>8.22552717753431E-3</v>
      </c>
      <c r="H10" s="214">
        <v>8.219074332376123E-3</v>
      </c>
      <c r="I10" s="214">
        <v>8.2196034889187031E-3</v>
      </c>
      <c r="J10" s="214">
        <v>8.2206270373141078E-3</v>
      </c>
      <c r="K10" s="214">
        <v>8.2196615377180971E-3</v>
      </c>
      <c r="L10" s="214">
        <v>8.2214094864284642E-3</v>
      </c>
      <c r="M10" s="214">
        <v>8.2234850245428547E-3</v>
      </c>
      <c r="N10" s="214">
        <v>8.2347603200181238E-3</v>
      </c>
      <c r="O10" s="214">
        <v>8.2463168811345387E-3</v>
      </c>
      <c r="P10" s="214">
        <v>8.2577216735041526E-3</v>
      </c>
      <c r="Q10" s="214">
        <v>8.2698593235204162E-3</v>
      </c>
      <c r="R10" s="214">
        <v>8.2823478608716992E-3</v>
      </c>
      <c r="S10" s="214">
        <v>8.2754363579482793E-3</v>
      </c>
      <c r="T10" s="214">
        <v>8.2684437064846732E-3</v>
      </c>
      <c r="U10" s="214">
        <v>8.2607824018699431E-3</v>
      </c>
      <c r="V10" s="214">
        <v>8.2536120688112731E-3</v>
      </c>
      <c r="W10" s="214">
        <v>8.2463445055890282E-3</v>
      </c>
      <c r="X10" s="214">
        <v>8.2825858211614013E-3</v>
      </c>
      <c r="Y10" s="214">
        <v>8.2663800169755965E-3</v>
      </c>
      <c r="Z10" s="214">
        <v>8.2500451127765807E-3</v>
      </c>
      <c r="AA10" s="214">
        <v>8.2335799003896513E-3</v>
      </c>
      <c r="AB10" s="214">
        <v>8.2169834656681366E-3</v>
      </c>
      <c r="AC10" s="33">
        <v>7.490794425870649E-6</v>
      </c>
      <c r="AD10" s="219">
        <v>7.4771131068967113E-6</v>
      </c>
      <c r="AE10" s="219">
        <v>7.4657539550051954E-6</v>
      </c>
      <c r="AF10" s="219">
        <v>7.4395736873274721E-6</v>
      </c>
      <c r="AG10" s="219">
        <v>7.4285313468953419E-6</v>
      </c>
      <c r="AH10" s="219">
        <v>7.4177405602169521E-6</v>
      </c>
      <c r="AI10" s="219">
        <v>7.4268995047144163E-6</v>
      </c>
      <c r="AJ10" s="219">
        <v>7.4365060949759278E-6</v>
      </c>
      <c r="AK10" s="219">
        <v>7.4385523426762088E-6</v>
      </c>
      <c r="AL10" s="219">
        <v>7.4486963821110352E-6</v>
      </c>
      <c r="AM10" s="219">
        <v>7.4590923945475132E-6</v>
      </c>
      <c r="AN10" s="219">
        <v>7.4867255536947564E-6</v>
      </c>
      <c r="AO10" s="219">
        <v>7.5145205243193087E-6</v>
      </c>
      <c r="AP10" s="219">
        <v>7.5402057722945223E-6</v>
      </c>
      <c r="AQ10" s="219">
        <v>7.5684274782675762E-6</v>
      </c>
      <c r="AR10" s="219">
        <v>7.5970532245433871E-6</v>
      </c>
      <c r="AS10" s="219">
        <v>7.582883289634629E-6</v>
      </c>
      <c r="AT10" s="219">
        <v>7.5686497107565639E-6</v>
      </c>
      <c r="AU10" s="219">
        <v>7.5520039686256836E-6</v>
      </c>
      <c r="AV10" s="219">
        <v>7.5376433859234309E-6</v>
      </c>
      <c r="AW10" s="219">
        <v>7.5232044879568043E-6</v>
      </c>
      <c r="AX10" s="219">
        <v>7.5293113045999428E-6</v>
      </c>
      <c r="AY10" s="219">
        <v>7.4935153109227079E-6</v>
      </c>
      <c r="AZ10" s="219">
        <v>7.4576025466971514E-6</v>
      </c>
      <c r="BA10" s="219">
        <v>7.4215641351264267E-6</v>
      </c>
      <c r="BB10" s="219">
        <v>7.3853919145325607E-6</v>
      </c>
      <c r="BC10" s="33">
        <v>86.300562327748125</v>
      </c>
      <c r="BD10" s="219">
        <v>86.175931706395573</v>
      </c>
      <c r="BE10" s="219">
        <v>86.066569456269477</v>
      </c>
      <c r="BF10" s="219">
        <v>85.529584494328176</v>
      </c>
      <c r="BG10" s="219">
        <v>85.423924322590153</v>
      </c>
      <c r="BH10" s="219">
        <v>85.320798143447533</v>
      </c>
      <c r="BI10" s="219">
        <v>85.216763212809283</v>
      </c>
      <c r="BJ10" s="219">
        <v>85.116419695438879</v>
      </c>
      <c r="BK10" s="219">
        <v>84.721290753377389</v>
      </c>
      <c r="BL10" s="219">
        <v>84.626554782236056</v>
      </c>
      <c r="BM10" s="219">
        <v>84.534051573017919</v>
      </c>
      <c r="BN10" s="219">
        <v>84.483173458181355</v>
      </c>
      <c r="BO10" s="219">
        <v>84.434375640656882</v>
      </c>
      <c r="BP10" s="219">
        <v>84.296798118134603</v>
      </c>
      <c r="BQ10" s="219">
        <v>84.252243621546796</v>
      </c>
      <c r="BR10" s="219">
        <v>84.210874205215589</v>
      </c>
      <c r="BS10" s="219">
        <v>84.261645796077445</v>
      </c>
      <c r="BT10" s="219">
        <v>84.311589792055258</v>
      </c>
      <c r="BU10" s="219">
        <v>84.273528423789656</v>
      </c>
      <c r="BV10" s="219">
        <v>84.322772361760926</v>
      </c>
      <c r="BW10" s="219">
        <v>84.371203371895731</v>
      </c>
      <c r="BX10" s="219">
        <v>84.362774784100765</v>
      </c>
      <c r="BY10" s="219">
        <v>84.355625526049877</v>
      </c>
      <c r="BZ10" s="219">
        <v>84.349515482219488</v>
      </c>
      <c r="CA10" s="219">
        <v>84.344443380456212</v>
      </c>
      <c r="CB10" s="219">
        <v>84.340419885583358</v>
      </c>
      <c r="CC10" s="33">
        <v>1150.5712368961119</v>
      </c>
      <c r="CD10" s="219">
        <v>1146.812022046141</v>
      </c>
      <c r="CE10" s="219">
        <v>1143.7509863689761</v>
      </c>
      <c r="CF10" s="219">
        <v>1137.5846568646921</v>
      </c>
      <c r="CG10" s="219">
        <v>1134.669857208034</v>
      </c>
      <c r="CH10" s="219">
        <v>1131.8407934835491</v>
      </c>
      <c r="CI10" s="219">
        <v>1133.0140447768431</v>
      </c>
      <c r="CJ10" s="219">
        <v>1134.3348569446009</v>
      </c>
      <c r="CK10" s="219">
        <v>1133.826487091653</v>
      </c>
      <c r="CL10" s="219">
        <v>1135.3704114659299</v>
      </c>
      <c r="CM10" s="219">
        <v>1137.0120310038551</v>
      </c>
      <c r="CN10" s="219">
        <v>1142.2809902594231</v>
      </c>
      <c r="CO10" s="219">
        <v>1147.6407227204179</v>
      </c>
      <c r="CP10" s="219">
        <v>1152.6483918097849</v>
      </c>
      <c r="CQ10" s="219">
        <v>1158.1740280739989</v>
      </c>
      <c r="CR10" s="219">
        <v>1163.827153796504</v>
      </c>
      <c r="CS10" s="219">
        <v>1160.623667674136</v>
      </c>
      <c r="CT10" s="219">
        <v>1157.416476186733</v>
      </c>
      <c r="CU10" s="219">
        <v>1153.762682430269</v>
      </c>
      <c r="CV10" s="219">
        <v>1150.5310981914531</v>
      </c>
      <c r="CW10" s="219">
        <v>1147.2814646818949</v>
      </c>
      <c r="CX10" s="219">
        <v>1142.085424125147</v>
      </c>
      <c r="CY10" s="219">
        <v>1134.289437381068</v>
      </c>
      <c r="CZ10" s="219">
        <v>1126.4846848106499</v>
      </c>
      <c r="DA10" s="219">
        <v>1118.6703606558401</v>
      </c>
      <c r="DB10" s="219">
        <v>1110.845987185859</v>
      </c>
    </row>
    <row r="11" spans="1:106" x14ac:dyDescent="0.35">
      <c r="A11" s="137" t="s">
        <v>539</v>
      </c>
      <c r="B11" s="130" t="s">
        <v>545</v>
      </c>
      <c r="C11" s="214">
        <v>6.4251549853091127E-3</v>
      </c>
      <c r="D11" s="214">
        <v>6.4197589937555017E-3</v>
      </c>
      <c r="E11" s="214">
        <v>6.4152245771259024E-3</v>
      </c>
      <c r="F11" s="214">
        <v>6.4079020804651962E-3</v>
      </c>
      <c r="G11" s="214">
        <v>6.4033547505289732E-3</v>
      </c>
      <c r="H11" s="214">
        <v>6.3988697560148512E-3</v>
      </c>
      <c r="I11" s="214">
        <v>6.400592351222441E-3</v>
      </c>
      <c r="J11" s="214">
        <v>6.4025445610306478E-3</v>
      </c>
      <c r="K11" s="214">
        <v>6.4032870607995569E-3</v>
      </c>
      <c r="L11" s="214">
        <v>6.4054786032802591E-3</v>
      </c>
      <c r="M11" s="214">
        <v>6.4078004758956267E-3</v>
      </c>
      <c r="N11" s="214">
        <v>6.4154679918057202E-3</v>
      </c>
      <c r="O11" s="214">
        <v>6.4232117723622617E-3</v>
      </c>
      <c r="P11" s="214">
        <v>6.4308256607618856E-3</v>
      </c>
      <c r="Q11" s="214">
        <v>6.4387983899123463E-3</v>
      </c>
      <c r="R11" s="214">
        <v>6.4468986300169583E-3</v>
      </c>
      <c r="S11" s="214">
        <v>6.4386025795429517E-3</v>
      </c>
      <c r="T11" s="214">
        <v>6.4301852033783122E-3</v>
      </c>
      <c r="U11" s="214">
        <v>6.4213187080146951E-3</v>
      </c>
      <c r="V11" s="214">
        <v>6.4126447373321514E-3</v>
      </c>
      <c r="W11" s="214">
        <v>6.4038360295547818E-3</v>
      </c>
      <c r="X11" s="214">
        <v>6.4233392749009424E-3</v>
      </c>
      <c r="Y11" s="214">
        <v>6.4074726522968216E-3</v>
      </c>
      <c r="Z11" s="214">
        <v>6.3914483009980894E-3</v>
      </c>
      <c r="AA11" s="214">
        <v>6.3752641225117129E-3</v>
      </c>
      <c r="AB11" s="214">
        <v>6.3589182610957482E-3</v>
      </c>
      <c r="AC11" s="33">
        <v>5.3054904136133011E-6</v>
      </c>
      <c r="AD11" s="219">
        <v>5.2939530025951584E-6</v>
      </c>
      <c r="AE11" s="219">
        <v>5.2844302827050348E-6</v>
      </c>
      <c r="AF11" s="219">
        <v>5.2663690930054893E-6</v>
      </c>
      <c r="AG11" s="219">
        <v>5.256895088533062E-6</v>
      </c>
      <c r="AH11" s="219">
        <v>5.2475774757171668E-6</v>
      </c>
      <c r="AI11" s="219">
        <v>5.253735989046709E-6</v>
      </c>
      <c r="AJ11" s="219">
        <v>5.2600842183325688E-6</v>
      </c>
      <c r="AK11" s="219">
        <v>5.262017587225421E-6</v>
      </c>
      <c r="AL11" s="219">
        <v>5.2684851249396283E-6</v>
      </c>
      <c r="AM11" s="219">
        <v>5.2750034156014134E-6</v>
      </c>
      <c r="AN11" s="219">
        <v>5.2915668588992916E-6</v>
      </c>
      <c r="AO11" s="219">
        <v>5.3080772601601461E-6</v>
      </c>
      <c r="AP11" s="219">
        <v>5.3233010887448766E-6</v>
      </c>
      <c r="AQ11" s="219">
        <v>5.3398536723314126E-6</v>
      </c>
      <c r="AR11" s="219">
        <v>5.3564923083443002E-6</v>
      </c>
      <c r="AS11" s="219">
        <v>5.3384756984464884E-6</v>
      </c>
      <c r="AT11" s="219">
        <v>5.320300400168631E-6</v>
      </c>
      <c r="AU11" s="219">
        <v>5.3006664037500656E-6</v>
      </c>
      <c r="AV11" s="219">
        <v>5.2822244207628668E-6</v>
      </c>
      <c r="AW11" s="219">
        <v>5.2636416126055494E-6</v>
      </c>
      <c r="AX11" s="219">
        <v>5.2567951469905459E-6</v>
      </c>
      <c r="AY11" s="219">
        <v>5.223056635504677E-6</v>
      </c>
      <c r="AZ11" s="219">
        <v>5.1891659581673396E-6</v>
      </c>
      <c r="BA11" s="219">
        <v>5.155115571752559E-6</v>
      </c>
      <c r="BB11" s="219">
        <v>5.1208979501936096E-6</v>
      </c>
      <c r="BC11" s="33">
        <v>58.252905588334869</v>
      </c>
      <c r="BD11" s="219">
        <v>58.155313216309018</v>
      </c>
      <c r="BE11" s="219">
        <v>58.06973443061085</v>
      </c>
      <c r="BF11" s="219">
        <v>57.737723748666582</v>
      </c>
      <c r="BG11" s="219">
        <v>57.65105407483999</v>
      </c>
      <c r="BH11" s="219">
        <v>57.564968630907792</v>
      </c>
      <c r="BI11" s="219">
        <v>57.47710308213496</v>
      </c>
      <c r="BJ11" s="219">
        <v>57.390169335554603</v>
      </c>
      <c r="BK11" s="219">
        <v>57.13326236687201</v>
      </c>
      <c r="BL11" s="219">
        <v>57.046609414205918</v>
      </c>
      <c r="BM11" s="219">
        <v>56.960062111328327</v>
      </c>
      <c r="BN11" s="219">
        <v>56.941993831965817</v>
      </c>
      <c r="BO11" s="219">
        <v>56.924113507469308</v>
      </c>
      <c r="BP11" s="219">
        <v>56.855047516464367</v>
      </c>
      <c r="BQ11" s="219">
        <v>56.837727369137703</v>
      </c>
      <c r="BR11" s="219">
        <v>56.820987700399748</v>
      </c>
      <c r="BS11" s="219">
        <v>56.830369723403763</v>
      </c>
      <c r="BT11" s="219">
        <v>56.838276015853793</v>
      </c>
      <c r="BU11" s="219">
        <v>56.795342439400798</v>
      </c>
      <c r="BV11" s="219">
        <v>56.800915194986871</v>
      </c>
      <c r="BW11" s="219">
        <v>56.805074669670809</v>
      </c>
      <c r="BX11" s="219">
        <v>56.800639732350881</v>
      </c>
      <c r="BY11" s="219">
        <v>56.797544190396273</v>
      </c>
      <c r="BZ11" s="219">
        <v>56.79559556931094</v>
      </c>
      <c r="CA11" s="219">
        <v>56.794803835535362</v>
      </c>
      <c r="CB11" s="219">
        <v>56.795187865165808</v>
      </c>
      <c r="CC11" s="33">
        <v>772.05259525488657</v>
      </c>
      <c r="CD11" s="219">
        <v>768.88386758101285</v>
      </c>
      <c r="CE11" s="219">
        <v>766.32420308050735</v>
      </c>
      <c r="CF11" s="219">
        <v>761.97850048389728</v>
      </c>
      <c r="CG11" s="219">
        <v>759.48166111069111</v>
      </c>
      <c r="CH11" s="219">
        <v>757.0422188424094</v>
      </c>
      <c r="CI11" s="219">
        <v>757.75953317681058</v>
      </c>
      <c r="CJ11" s="219">
        <v>758.547942940589</v>
      </c>
      <c r="CK11" s="219">
        <v>758.27068046860893</v>
      </c>
      <c r="CL11" s="219">
        <v>759.14574813429044</v>
      </c>
      <c r="CM11" s="219">
        <v>760.06339303297841</v>
      </c>
      <c r="CN11" s="219">
        <v>763.09356771811747</v>
      </c>
      <c r="CO11" s="219">
        <v>766.15471371318779</v>
      </c>
      <c r="CP11" s="219">
        <v>768.99791544775098</v>
      </c>
      <c r="CQ11" s="219">
        <v>772.11183158220297</v>
      </c>
      <c r="CR11" s="219">
        <v>775.26386654342741</v>
      </c>
      <c r="CS11" s="219">
        <v>771.10122549957237</v>
      </c>
      <c r="CT11" s="219">
        <v>766.92873895946343</v>
      </c>
      <c r="CU11" s="219">
        <v>762.49402076993044</v>
      </c>
      <c r="CV11" s="219">
        <v>758.28417061527557</v>
      </c>
      <c r="CW11" s="219">
        <v>754.05114587558739</v>
      </c>
      <c r="CX11" s="219">
        <v>748.08189740267744</v>
      </c>
      <c r="CY11" s="219">
        <v>740.72222223554365</v>
      </c>
      <c r="CZ11" s="219">
        <v>733.3574568353921</v>
      </c>
      <c r="DA11" s="219">
        <v>725.98666822933239</v>
      </c>
      <c r="DB11" s="219">
        <v>718.60924885213421</v>
      </c>
    </row>
    <row r="12" spans="1:106" x14ac:dyDescent="0.35">
      <c r="A12" s="137" t="s">
        <v>540</v>
      </c>
      <c r="B12" s="130" t="s">
        <v>545</v>
      </c>
      <c r="C12" s="214">
        <v>3.8313181865858421E-3</v>
      </c>
      <c r="D12" s="214">
        <v>3.824093317855689E-3</v>
      </c>
      <c r="E12" s="214">
        <v>3.8169981387689502E-3</v>
      </c>
      <c r="F12" s="214">
        <v>3.8072326185782431E-3</v>
      </c>
      <c r="G12" s="214">
        <v>3.8004523474862071E-3</v>
      </c>
      <c r="H12" s="214">
        <v>3.7937914811682861E-3</v>
      </c>
      <c r="I12" s="214">
        <v>3.7915719665724719E-3</v>
      </c>
      <c r="J12" s="214">
        <v>3.789896181600836E-3</v>
      </c>
      <c r="K12" s="214">
        <v>3.787236554769838E-3</v>
      </c>
      <c r="L12" s="214">
        <v>3.7863920724172349E-3</v>
      </c>
      <c r="M12" s="214">
        <v>3.7859034148305711E-3</v>
      </c>
      <c r="N12" s="214">
        <v>3.7936342934054399E-3</v>
      </c>
      <c r="O12" s="214">
        <v>3.8017429821962968E-3</v>
      </c>
      <c r="P12" s="214">
        <v>3.8099199140015378E-3</v>
      </c>
      <c r="Q12" s="214">
        <v>3.8187333951251079E-3</v>
      </c>
      <c r="R12" s="214">
        <v>3.8279906692522841E-3</v>
      </c>
      <c r="S12" s="214">
        <v>3.8211225871073091E-3</v>
      </c>
      <c r="T12" s="214">
        <v>3.814190604074329E-3</v>
      </c>
      <c r="U12" s="214">
        <v>3.8068054989649071E-3</v>
      </c>
      <c r="V12" s="214">
        <v>3.799718185732636E-3</v>
      </c>
      <c r="W12" s="214">
        <v>3.792543469651377E-3</v>
      </c>
      <c r="X12" s="214">
        <v>3.8016139192748231E-3</v>
      </c>
      <c r="Y12" s="214">
        <v>3.7871044140819501E-3</v>
      </c>
      <c r="Z12" s="214">
        <v>3.7724723205470219E-3</v>
      </c>
      <c r="AA12" s="214">
        <v>3.757715007441298E-3</v>
      </c>
      <c r="AB12" s="214">
        <v>3.7428301615426191E-3</v>
      </c>
      <c r="AC12" s="33">
        <v>4.5452790891056938E-6</v>
      </c>
      <c r="AD12" s="219">
        <v>4.5378947751323832E-6</v>
      </c>
      <c r="AE12" s="219">
        <v>4.530567774141488E-6</v>
      </c>
      <c r="AF12" s="219">
        <v>4.514615009152762E-6</v>
      </c>
      <c r="AG12" s="219">
        <v>4.5075294951991777E-6</v>
      </c>
      <c r="AH12" s="219">
        <v>4.5004744353340682E-6</v>
      </c>
      <c r="AI12" s="219">
        <v>4.5081363701027456E-6</v>
      </c>
      <c r="AJ12" s="219">
        <v>4.516225229869808E-6</v>
      </c>
      <c r="AK12" s="219">
        <v>4.5198790813227767E-6</v>
      </c>
      <c r="AL12" s="219">
        <v>4.5286539476434997E-6</v>
      </c>
      <c r="AM12" s="219">
        <v>4.5376169764214202E-6</v>
      </c>
      <c r="AN12" s="219">
        <v>4.5602025458632877E-6</v>
      </c>
      <c r="AO12" s="219">
        <v>4.5831082433065503E-6</v>
      </c>
      <c r="AP12" s="219">
        <v>4.6049020354758932E-6</v>
      </c>
      <c r="AQ12" s="219">
        <v>4.6284382113597436E-6</v>
      </c>
      <c r="AR12" s="219">
        <v>4.6525491742334446E-6</v>
      </c>
      <c r="AS12" s="219">
        <v>4.6398008861969268E-6</v>
      </c>
      <c r="AT12" s="219">
        <v>4.6268615586373866E-6</v>
      </c>
      <c r="AU12" s="219">
        <v>4.6123102404045486E-6</v>
      </c>
      <c r="AV12" s="219">
        <v>4.5990342616095986E-6</v>
      </c>
      <c r="AW12" s="219">
        <v>4.585592775183206E-6</v>
      </c>
      <c r="AX12" s="219">
        <v>4.5731623544022476E-6</v>
      </c>
      <c r="AY12" s="219">
        <v>4.5396960312839894E-6</v>
      </c>
      <c r="AZ12" s="219">
        <v>4.5060245205410454E-6</v>
      </c>
      <c r="BA12" s="219">
        <v>4.4721466838231051E-6</v>
      </c>
      <c r="BB12" s="219">
        <v>4.438060652917805E-6</v>
      </c>
      <c r="BC12" s="33">
        <v>61.36907317967863</v>
      </c>
      <c r="BD12" s="219">
        <v>61.314542644235829</v>
      </c>
      <c r="BE12" s="219">
        <v>61.259314650909587</v>
      </c>
      <c r="BF12" s="219">
        <v>60.950031149277628</v>
      </c>
      <c r="BG12" s="219">
        <v>60.89497609138261</v>
      </c>
      <c r="BH12" s="219">
        <v>60.838823121460258</v>
      </c>
      <c r="BI12" s="219">
        <v>60.767760074904373</v>
      </c>
      <c r="BJ12" s="219">
        <v>60.699076987636758</v>
      </c>
      <c r="BK12" s="219">
        <v>60.452101108093608</v>
      </c>
      <c r="BL12" s="219">
        <v>60.38857375658521</v>
      </c>
      <c r="BM12" s="219">
        <v>60.326527144610019</v>
      </c>
      <c r="BN12" s="219">
        <v>60.274023823313946</v>
      </c>
      <c r="BO12" s="219">
        <v>60.22418512412618</v>
      </c>
      <c r="BP12" s="219">
        <v>60.121778430621767</v>
      </c>
      <c r="BQ12" s="219">
        <v>60.076758947609562</v>
      </c>
      <c r="BR12" s="219">
        <v>60.035677886409907</v>
      </c>
      <c r="BS12" s="219">
        <v>60.065578955897742</v>
      </c>
      <c r="BT12" s="219">
        <v>60.094881145202713</v>
      </c>
      <c r="BU12" s="219">
        <v>60.070971031436187</v>
      </c>
      <c r="BV12" s="219">
        <v>60.099451549333928</v>
      </c>
      <c r="BW12" s="219">
        <v>60.127209123860673</v>
      </c>
      <c r="BX12" s="219">
        <v>60.111500666280321</v>
      </c>
      <c r="BY12" s="219">
        <v>60.097078997446353</v>
      </c>
      <c r="BZ12" s="219">
        <v>60.083755964477596</v>
      </c>
      <c r="CA12" s="219">
        <v>60.071532800311743</v>
      </c>
      <c r="CB12" s="219">
        <v>60.060420100127018</v>
      </c>
      <c r="CC12" s="33">
        <v>665.02827145034166</v>
      </c>
      <c r="CD12" s="219">
        <v>662.91927718281056</v>
      </c>
      <c r="CE12" s="219">
        <v>660.84897972357635</v>
      </c>
      <c r="CF12" s="219">
        <v>656.95290404093032</v>
      </c>
      <c r="CG12" s="219">
        <v>654.99055522982439</v>
      </c>
      <c r="CH12" s="219">
        <v>653.0491071005423</v>
      </c>
      <c r="CI12" s="219">
        <v>654.06003546902252</v>
      </c>
      <c r="CJ12" s="219">
        <v>655.21474591663093</v>
      </c>
      <c r="CK12" s="219">
        <v>655.30953444488</v>
      </c>
      <c r="CL12" s="219">
        <v>656.70648343718506</v>
      </c>
      <c r="CM12" s="219">
        <v>658.19114459282196</v>
      </c>
      <c r="CN12" s="219">
        <v>662.50875221657338</v>
      </c>
      <c r="CO12" s="219">
        <v>666.94475843699706</v>
      </c>
      <c r="CP12" s="219">
        <v>671.21017139740479</v>
      </c>
      <c r="CQ12" s="219">
        <v>675.84276848750198</v>
      </c>
      <c r="CR12" s="219">
        <v>680.64030741750673</v>
      </c>
      <c r="CS12" s="219">
        <v>677.49665321932696</v>
      </c>
      <c r="CT12" s="219">
        <v>674.35348695077278</v>
      </c>
      <c r="CU12" s="219">
        <v>670.93110162496816</v>
      </c>
      <c r="CV12" s="219">
        <v>667.76798293710306</v>
      </c>
      <c r="CW12" s="219">
        <v>664.58932599505738</v>
      </c>
      <c r="CX12" s="219">
        <v>659.876264406514</v>
      </c>
      <c r="CY12" s="219">
        <v>652.41139555370364</v>
      </c>
      <c r="CZ12" s="219">
        <v>644.94027021572208</v>
      </c>
      <c r="DA12" s="219">
        <v>637.46178884332937</v>
      </c>
      <c r="DB12" s="219">
        <v>629.97517793318741</v>
      </c>
    </row>
    <row r="13" spans="1:106" x14ac:dyDescent="0.35">
      <c r="A13" s="137" t="s">
        <v>541</v>
      </c>
      <c r="B13" s="130" t="s">
        <v>545</v>
      </c>
      <c r="C13" s="214">
        <v>2.209496262897262E-2</v>
      </c>
      <c r="D13" s="214">
        <v>2.204557002480222E-2</v>
      </c>
      <c r="E13" s="214">
        <v>2.199920990246567E-2</v>
      </c>
      <c r="F13" s="214">
        <v>2.192034331898245E-2</v>
      </c>
      <c r="G13" s="214">
        <v>2.1882615405364871E-2</v>
      </c>
      <c r="H13" s="214">
        <v>2.1847348750632149E-2</v>
      </c>
      <c r="I13" s="214">
        <v>2.1748671268234081E-2</v>
      </c>
      <c r="J13" s="214">
        <v>2.1665645676830599E-2</v>
      </c>
      <c r="K13" s="214">
        <v>2.1578552049457599E-2</v>
      </c>
      <c r="L13" s="214">
        <v>2.1521849975035239E-2</v>
      </c>
      <c r="M13" s="214">
        <v>2.1476106590491661E-2</v>
      </c>
      <c r="N13" s="214">
        <v>2.1520046166661651E-2</v>
      </c>
      <c r="O13" s="214">
        <v>2.1576091269626538E-2</v>
      </c>
      <c r="P13" s="214">
        <v>2.163931258813501E-2</v>
      </c>
      <c r="Q13" s="214">
        <v>2.1715801539899458E-2</v>
      </c>
      <c r="R13" s="214">
        <v>2.1805758979897841E-2</v>
      </c>
      <c r="S13" s="214">
        <v>2.1788776344479451E-2</v>
      </c>
      <c r="T13" s="214">
        <v>2.1772947511110929E-2</v>
      </c>
      <c r="U13" s="214">
        <v>2.1753468760028639E-2</v>
      </c>
      <c r="V13" s="214">
        <v>2.1739289998455119E-2</v>
      </c>
      <c r="W13" s="214">
        <v>2.1725744009039889E-2</v>
      </c>
      <c r="X13" s="214">
        <v>2.1794384801158251E-2</v>
      </c>
      <c r="Y13" s="214">
        <v>2.1706980111756279E-2</v>
      </c>
      <c r="Z13" s="214">
        <v>2.1619313165995999E-2</v>
      </c>
      <c r="AA13" s="214">
        <v>2.1531381228481802E-2</v>
      </c>
      <c r="AB13" s="214">
        <v>2.1443184214597871E-2</v>
      </c>
      <c r="AC13" s="33">
        <v>2.519681743962088E-5</v>
      </c>
      <c r="AD13" s="219">
        <v>2.5103062363538429E-5</v>
      </c>
      <c r="AE13" s="219">
        <v>2.5013695937601359E-5</v>
      </c>
      <c r="AF13" s="219">
        <v>2.481887331713395E-5</v>
      </c>
      <c r="AG13" s="219">
        <v>2.4743737868575719E-5</v>
      </c>
      <c r="AH13" s="219">
        <v>2.467220730144468E-5</v>
      </c>
      <c r="AI13" s="219">
        <v>2.466786083688688E-5</v>
      </c>
      <c r="AJ13" s="219">
        <v>2.4679334642446131E-5</v>
      </c>
      <c r="AK13" s="219">
        <v>2.4645213285713329E-5</v>
      </c>
      <c r="AL13" s="219">
        <v>2.4683280288798611E-5</v>
      </c>
      <c r="AM13" s="219">
        <v>2.473236346315692E-5</v>
      </c>
      <c r="AN13" s="219">
        <v>2.4951678062162528E-5</v>
      </c>
      <c r="AO13" s="219">
        <v>2.5183961130361479E-5</v>
      </c>
      <c r="AP13" s="219">
        <v>2.540982350804149E-5</v>
      </c>
      <c r="AQ13" s="219">
        <v>2.5664544494713179E-5</v>
      </c>
      <c r="AR13" s="219">
        <v>2.5938827893472129E-5</v>
      </c>
      <c r="AS13" s="219">
        <v>2.5930581252102399E-5</v>
      </c>
      <c r="AT13" s="219">
        <v>2.592319451189499E-5</v>
      </c>
      <c r="AU13" s="219">
        <v>2.589812675931228E-5</v>
      </c>
      <c r="AV13" s="219">
        <v>2.5891435308328809E-5</v>
      </c>
      <c r="AW13" s="219">
        <v>2.5884940671872859E-5</v>
      </c>
      <c r="AX13" s="219">
        <v>2.5853469106281568E-5</v>
      </c>
      <c r="AY13" s="219">
        <v>2.5646205034552431E-5</v>
      </c>
      <c r="AZ13" s="219">
        <v>2.5438590856949531E-5</v>
      </c>
      <c r="BA13" s="219">
        <v>2.5230610320322361E-5</v>
      </c>
      <c r="BB13" s="219">
        <v>2.502225235919879E-5</v>
      </c>
      <c r="BC13" s="33">
        <v>664.60788560352216</v>
      </c>
      <c r="BD13" s="219">
        <v>662.9277933698387</v>
      </c>
      <c r="BE13" s="219">
        <v>661.31299582059614</v>
      </c>
      <c r="BF13" s="219">
        <v>656.57775699370973</v>
      </c>
      <c r="BG13" s="219">
        <v>655.14004093879134</v>
      </c>
      <c r="BH13" s="219">
        <v>653.75813884826334</v>
      </c>
      <c r="BI13" s="219">
        <v>652.24255964356325</v>
      </c>
      <c r="BJ13" s="219">
        <v>650.85369102914683</v>
      </c>
      <c r="BK13" s="219">
        <v>647.33360499965625</v>
      </c>
      <c r="BL13" s="219">
        <v>646.18095601376831</v>
      </c>
      <c r="BM13" s="219">
        <v>645.123844121915</v>
      </c>
      <c r="BN13" s="219">
        <v>643.66359313008559</v>
      </c>
      <c r="BO13" s="219">
        <v>642.30317220392135</v>
      </c>
      <c r="BP13" s="219">
        <v>640.33624066590846</v>
      </c>
      <c r="BQ13" s="219">
        <v>639.1519487034991</v>
      </c>
      <c r="BR13" s="219">
        <v>638.10992225542714</v>
      </c>
      <c r="BS13" s="219">
        <v>638.88246715059654</v>
      </c>
      <c r="BT13" s="219">
        <v>639.66913422794391</v>
      </c>
      <c r="BU13" s="219">
        <v>639.80231152713873</v>
      </c>
      <c r="BV13" s="219">
        <v>640.61718520371426</v>
      </c>
      <c r="BW13" s="219">
        <v>641.44108479040051</v>
      </c>
      <c r="BX13" s="219">
        <v>641.30178104335948</v>
      </c>
      <c r="BY13" s="219">
        <v>641.17140412878246</v>
      </c>
      <c r="BZ13" s="219">
        <v>641.04785363384144</v>
      </c>
      <c r="CA13" s="219">
        <v>640.93087737339715</v>
      </c>
      <c r="CB13" s="219">
        <v>640.82032990570644</v>
      </c>
      <c r="CC13" s="33">
        <v>6068.501913397412</v>
      </c>
      <c r="CD13" s="219">
        <v>6042.6120289655964</v>
      </c>
      <c r="CE13" s="219">
        <v>6018.0344700322794</v>
      </c>
      <c r="CF13" s="219">
        <v>5971.305614968388</v>
      </c>
      <c r="CG13" s="219">
        <v>5950.9017842307176</v>
      </c>
      <c r="CH13" s="219">
        <v>5931.5610857061483</v>
      </c>
      <c r="CI13" s="219">
        <v>5920.2013236173043</v>
      </c>
      <c r="CJ13" s="219">
        <v>5913.4015761160008</v>
      </c>
      <c r="CK13" s="219">
        <v>5895.9594663844109</v>
      </c>
      <c r="CL13" s="219">
        <v>5896.9456439231326</v>
      </c>
      <c r="CM13" s="219">
        <v>5901.115308231997</v>
      </c>
      <c r="CN13" s="219">
        <v>5940.2633717694616</v>
      </c>
      <c r="CO13" s="219">
        <v>5983.0155659912607</v>
      </c>
      <c r="CP13" s="219">
        <v>6025.5885611748872</v>
      </c>
      <c r="CQ13" s="219">
        <v>6074.4803311565347</v>
      </c>
      <c r="CR13" s="219">
        <v>6128.7037634275957</v>
      </c>
      <c r="CS13" s="219">
        <v>6127.4796123699398</v>
      </c>
      <c r="CT13" s="219">
        <v>6126.5526358470788</v>
      </c>
      <c r="CU13" s="219">
        <v>6122.447859880278</v>
      </c>
      <c r="CV13" s="219">
        <v>6121.8229459959311</v>
      </c>
      <c r="CW13" s="219">
        <v>6121.2762907442566</v>
      </c>
      <c r="CX13" s="219">
        <v>6101.4639194546444</v>
      </c>
      <c r="CY13" s="219">
        <v>6055.4847278980087</v>
      </c>
      <c r="CZ13" s="219">
        <v>6009.5016379041936</v>
      </c>
      <c r="DA13" s="219">
        <v>5963.5088606979534</v>
      </c>
      <c r="DB13" s="219">
        <v>5917.5025996941222</v>
      </c>
    </row>
    <row r="14" spans="1:106" x14ac:dyDescent="0.35">
      <c r="A14" s="137" t="s">
        <v>542</v>
      </c>
      <c r="B14" s="130" t="s">
        <v>545</v>
      </c>
      <c r="C14" s="214">
        <v>5.8245388563263008E-2</v>
      </c>
      <c r="D14" s="214">
        <v>5.8164432078307488E-2</v>
      </c>
      <c r="E14" s="214">
        <v>5.8082641625446747E-2</v>
      </c>
      <c r="F14" s="214">
        <v>5.7981875843864633E-2</v>
      </c>
      <c r="G14" s="214">
        <v>5.7897996211227043E-2</v>
      </c>
      <c r="H14" s="214">
        <v>5.7813393982063997E-2</v>
      </c>
      <c r="I14" s="214">
        <v>5.784973607234719E-2</v>
      </c>
      <c r="J14" s="214">
        <v>5.7886289997556413E-2</v>
      </c>
      <c r="K14" s="214">
        <v>5.7913316656709297E-2</v>
      </c>
      <c r="L14" s="214">
        <v>5.794627418326595E-2</v>
      </c>
      <c r="M14" s="214">
        <v>5.7978146500906387E-2</v>
      </c>
      <c r="N14" s="214">
        <v>5.8074044609015947E-2</v>
      </c>
      <c r="O14" s="214">
        <v>5.8169149378432268E-2</v>
      </c>
      <c r="P14" s="214">
        <v>5.8263054912781428E-2</v>
      </c>
      <c r="Q14" s="214">
        <v>5.8358927372905767E-2</v>
      </c>
      <c r="R14" s="214">
        <v>5.8455093580118113E-2</v>
      </c>
      <c r="S14" s="214">
        <v>5.8229676972607468E-2</v>
      </c>
      <c r="T14" s="214">
        <v>5.8001031769983107E-2</v>
      </c>
      <c r="U14" s="214">
        <v>5.776689142513064E-2</v>
      </c>
      <c r="V14" s="214">
        <v>5.7531370250296109E-2</v>
      </c>
      <c r="W14" s="214">
        <v>5.7292269654123602E-2</v>
      </c>
      <c r="X14" s="214">
        <v>5.7379607176938477E-2</v>
      </c>
      <c r="Y14" s="214">
        <v>5.6994100474199949E-2</v>
      </c>
      <c r="Z14" s="214">
        <v>5.6604484554858628E-2</v>
      </c>
      <c r="AA14" s="214">
        <v>5.6210663260674552E-2</v>
      </c>
      <c r="AB14" s="214">
        <v>5.5812546035807077E-2</v>
      </c>
      <c r="AC14" s="33">
        <v>7.3235179910091571E-5</v>
      </c>
      <c r="AD14" s="219">
        <v>7.3064563273785162E-5</v>
      </c>
      <c r="AE14" s="219">
        <v>7.2892051107613224E-5</v>
      </c>
      <c r="AF14" s="219">
        <v>7.2661772814290685E-5</v>
      </c>
      <c r="AG14" s="219">
        <v>7.2484664455461429E-5</v>
      </c>
      <c r="AH14" s="219">
        <v>7.2305490584141744E-5</v>
      </c>
      <c r="AI14" s="219">
        <v>7.2383143253263474E-5</v>
      </c>
      <c r="AJ14" s="219">
        <v>7.2459523964607303E-5</v>
      </c>
      <c r="AK14" s="219">
        <v>7.2504210635709852E-5</v>
      </c>
      <c r="AL14" s="219">
        <v>7.2577003373586017E-5</v>
      </c>
      <c r="AM14" s="219">
        <v>7.2645034244175278E-5</v>
      </c>
      <c r="AN14" s="219">
        <v>7.2839943850730712E-5</v>
      </c>
      <c r="AO14" s="219">
        <v>7.3031492303394474E-5</v>
      </c>
      <c r="AP14" s="219">
        <v>7.3212867040690671E-5</v>
      </c>
      <c r="AQ14" s="219">
        <v>7.3400696103594466E-5</v>
      </c>
      <c r="AR14" s="219">
        <v>7.3586892145270972E-5</v>
      </c>
      <c r="AS14" s="219">
        <v>7.3122506612500169E-5</v>
      </c>
      <c r="AT14" s="219">
        <v>7.2650231181264836E-5</v>
      </c>
      <c r="AU14" s="219">
        <v>7.2162954963158387E-5</v>
      </c>
      <c r="AV14" s="219">
        <v>7.1677998735988251E-5</v>
      </c>
      <c r="AW14" s="219">
        <v>7.1187000246160142E-5</v>
      </c>
      <c r="AX14" s="219">
        <v>7.0645045147597709E-5</v>
      </c>
      <c r="AY14" s="219">
        <v>6.987164834766624E-5</v>
      </c>
      <c r="AZ14" s="219">
        <v>6.9092204992928524E-5</v>
      </c>
      <c r="BA14" s="219">
        <v>6.8306713987621297E-5</v>
      </c>
      <c r="BB14" s="219">
        <v>6.7515134963494082E-5</v>
      </c>
      <c r="BC14" s="33">
        <v>720.62977688043634</v>
      </c>
      <c r="BD14" s="219">
        <v>719.39927323809741</v>
      </c>
      <c r="BE14" s="219">
        <v>718.09534406681394</v>
      </c>
      <c r="BF14" s="219">
        <v>715.10153778219296</v>
      </c>
      <c r="BG14" s="219">
        <v>713.64999084756425</v>
      </c>
      <c r="BH14" s="219">
        <v>712.11986617647733</v>
      </c>
      <c r="BI14" s="219">
        <v>710.52463923872619</v>
      </c>
      <c r="BJ14" s="219">
        <v>708.88749923617684</v>
      </c>
      <c r="BK14" s="219">
        <v>706.07996114257583</v>
      </c>
      <c r="BL14" s="219">
        <v>704.37256509226745</v>
      </c>
      <c r="BM14" s="219">
        <v>702.62434226578819</v>
      </c>
      <c r="BN14" s="219">
        <v>702.53660573335594</v>
      </c>
      <c r="BO14" s="219">
        <v>702.43438859786875</v>
      </c>
      <c r="BP14" s="219">
        <v>701.98919034433561</v>
      </c>
      <c r="BQ14" s="219">
        <v>701.85890875622931</v>
      </c>
      <c r="BR14" s="219">
        <v>701.71401883876763</v>
      </c>
      <c r="BS14" s="219">
        <v>700.95733607904504</v>
      </c>
      <c r="BT14" s="219">
        <v>700.16461870142871</v>
      </c>
      <c r="BU14" s="219">
        <v>699.02025089842209</v>
      </c>
      <c r="BV14" s="219">
        <v>698.15993511066426</v>
      </c>
      <c r="BW14" s="219">
        <v>697.26453350262159</v>
      </c>
      <c r="BX14" s="219">
        <v>697.20318606339379</v>
      </c>
      <c r="BY14" s="219">
        <v>697.17744295364696</v>
      </c>
      <c r="BZ14" s="219">
        <v>697.18412073643481</v>
      </c>
      <c r="CA14" s="219">
        <v>697.22372995984256</v>
      </c>
      <c r="CB14" s="219">
        <v>697.29688259960085</v>
      </c>
      <c r="CC14" s="33">
        <v>11451.41246529284</v>
      </c>
      <c r="CD14" s="219">
        <v>11401.4128424516</v>
      </c>
      <c r="CE14" s="219">
        <v>11351.463266553859</v>
      </c>
      <c r="CF14" s="219">
        <v>11289.400427754241</v>
      </c>
      <c r="CG14" s="219">
        <v>11239.059327165791</v>
      </c>
      <c r="CH14" s="219">
        <v>11188.46083558926</v>
      </c>
      <c r="CI14" s="219">
        <v>11192.990284722349</v>
      </c>
      <c r="CJ14" s="219">
        <v>11197.752040634519</v>
      </c>
      <c r="CK14" s="219">
        <v>11195.12539872894</v>
      </c>
      <c r="CL14" s="219">
        <v>11199.89408964573</v>
      </c>
      <c r="CM14" s="219">
        <v>11204.452331764989</v>
      </c>
      <c r="CN14" s="219">
        <v>11236.35944514382</v>
      </c>
      <c r="CO14" s="219">
        <v>11268.408984725211</v>
      </c>
      <c r="CP14" s="219">
        <v>11298.82784947136</v>
      </c>
      <c r="CQ14" s="219">
        <v>11330.735291283359</v>
      </c>
      <c r="CR14" s="219">
        <v>11362.58114364131</v>
      </c>
      <c r="CS14" s="219">
        <v>11245.842924953549</v>
      </c>
      <c r="CT14" s="219">
        <v>11128.85380474114</v>
      </c>
      <c r="CU14" s="219">
        <v>11009.829501527711</v>
      </c>
      <c r="CV14" s="219">
        <v>10891.85630091006</v>
      </c>
      <c r="CW14" s="219">
        <v>10773.29919140797</v>
      </c>
      <c r="CX14" s="219">
        <v>10618.24286024888</v>
      </c>
      <c r="CY14" s="219">
        <v>10443.63430484196</v>
      </c>
      <c r="CZ14" s="219">
        <v>10268.97534767899</v>
      </c>
      <c r="DA14" s="219">
        <v>10094.2362778775</v>
      </c>
      <c r="DB14" s="219">
        <v>9919.3948765309287</v>
      </c>
    </row>
    <row r="15" spans="1:106" x14ac:dyDescent="0.35">
      <c r="A15" s="137" t="s">
        <v>543</v>
      </c>
      <c r="B15" s="130" t="s">
        <v>545</v>
      </c>
      <c r="C15" s="214">
        <v>3.0224220416950572E-4</v>
      </c>
      <c r="D15" s="214">
        <v>3.0175779064945871E-4</v>
      </c>
      <c r="E15" s="214">
        <v>3.012740300832469E-4</v>
      </c>
      <c r="F15" s="214">
        <v>3.0113452639126618E-4</v>
      </c>
      <c r="G15" s="214">
        <v>3.0075137419220362E-4</v>
      </c>
      <c r="H15" s="214">
        <v>3.0037902384924889E-4</v>
      </c>
      <c r="I15" s="214">
        <v>3.0011355420623089E-4</v>
      </c>
      <c r="J15" s="214">
        <v>2.9992102360634429E-4</v>
      </c>
      <c r="K15" s="214">
        <v>2.99951847127677E-4</v>
      </c>
      <c r="L15" s="214">
        <v>2.998777934223738E-4</v>
      </c>
      <c r="M15" s="214">
        <v>2.9985530157652002E-4</v>
      </c>
      <c r="N15" s="214">
        <v>3.0043813062129821E-4</v>
      </c>
      <c r="O15" s="214">
        <v>3.0107906950536462E-4</v>
      </c>
      <c r="P15" s="214">
        <v>3.0184370483722612E-4</v>
      </c>
      <c r="Q15" s="214">
        <v>3.0258120839964499E-4</v>
      </c>
      <c r="R15" s="214">
        <v>3.0338585682033802E-4</v>
      </c>
      <c r="S15" s="214">
        <v>3.032709366703015E-4</v>
      </c>
      <c r="T15" s="214">
        <v>3.0316166671964741E-4</v>
      </c>
      <c r="U15" s="214">
        <v>3.0313439884176521E-4</v>
      </c>
      <c r="V15" s="214">
        <v>3.0302969037918591E-4</v>
      </c>
      <c r="W15" s="214">
        <v>3.0292659824975873E-4</v>
      </c>
      <c r="X15" s="214">
        <v>3.0264881679719561E-4</v>
      </c>
      <c r="Y15" s="214">
        <v>3.019620712748728E-4</v>
      </c>
      <c r="Z15" s="214">
        <v>3.012705433385621E-4</v>
      </c>
      <c r="AA15" s="214">
        <v>3.0057414709090409E-4</v>
      </c>
      <c r="AB15" s="214">
        <v>2.9987280785172862E-4</v>
      </c>
      <c r="AC15" s="33">
        <v>7.5090323051228674E-7</v>
      </c>
      <c r="AD15" s="219">
        <v>7.5009598799654038E-7</v>
      </c>
      <c r="AE15" s="219">
        <v>7.4923611437277834E-7</v>
      </c>
      <c r="AF15" s="219">
        <v>7.4932270388277112E-7</v>
      </c>
      <c r="AG15" s="219">
        <v>7.4853242836655214E-7</v>
      </c>
      <c r="AH15" s="219">
        <v>7.4775859053154111E-7</v>
      </c>
      <c r="AI15" s="219">
        <v>7.4792964334770758E-7</v>
      </c>
      <c r="AJ15" s="219">
        <v>7.4817903641147904E-7</v>
      </c>
      <c r="AK15" s="219">
        <v>7.4904252577025136E-7</v>
      </c>
      <c r="AL15" s="219">
        <v>7.494204573249182E-7</v>
      </c>
      <c r="AM15" s="219">
        <v>7.4985288876102311E-7</v>
      </c>
      <c r="AN15" s="219">
        <v>7.5133272666116304E-7</v>
      </c>
      <c r="AO15" s="219">
        <v>7.5287808505940818E-7</v>
      </c>
      <c r="AP15" s="219">
        <v>7.54737865459626E-7</v>
      </c>
      <c r="AQ15" s="219">
        <v>7.5639391880672353E-7</v>
      </c>
      <c r="AR15" s="219">
        <v>7.5815007302030565E-7</v>
      </c>
      <c r="AS15" s="219">
        <v>7.5788155262491738E-7</v>
      </c>
      <c r="AT15" s="219">
        <v>7.576254289540784E-7</v>
      </c>
      <c r="AU15" s="219">
        <v>7.5761120706655609E-7</v>
      </c>
      <c r="AV15" s="219">
        <v>7.573671886736772E-7</v>
      </c>
      <c r="AW15" s="219">
        <v>7.5712734709566868E-7</v>
      </c>
      <c r="AX15" s="219">
        <v>7.5831081597662492E-7</v>
      </c>
      <c r="AY15" s="219">
        <v>7.5673505005327168E-7</v>
      </c>
      <c r="AZ15" s="219">
        <v>7.5515077251241399E-7</v>
      </c>
      <c r="BA15" s="219">
        <v>7.5355788973652702E-7</v>
      </c>
      <c r="BB15" s="219">
        <v>7.5195629661782522E-7</v>
      </c>
      <c r="BC15" s="33">
        <v>53.333868076658177</v>
      </c>
      <c r="BD15" s="219">
        <v>53.328948472352991</v>
      </c>
      <c r="BE15" s="219">
        <v>53.324304267148683</v>
      </c>
      <c r="BF15" s="219">
        <v>53.346502945094407</v>
      </c>
      <c r="BG15" s="219">
        <v>53.342521936131739</v>
      </c>
      <c r="BH15" s="219">
        <v>53.338762033009168</v>
      </c>
      <c r="BI15" s="219">
        <v>53.336226269058088</v>
      </c>
      <c r="BJ15" s="219">
        <v>53.334277483896919</v>
      </c>
      <c r="BK15" s="219">
        <v>53.352250035852137</v>
      </c>
      <c r="BL15" s="219">
        <v>53.351196794363013</v>
      </c>
      <c r="BM15" s="219">
        <v>53.350582367340628</v>
      </c>
      <c r="BN15" s="219">
        <v>53.351234804212062</v>
      </c>
      <c r="BO15" s="219">
        <v>53.352336743164877</v>
      </c>
      <c r="BP15" s="219">
        <v>53.361974256375213</v>
      </c>
      <c r="BQ15" s="219">
        <v>53.36376043060573</v>
      </c>
      <c r="BR15" s="219">
        <v>53.366213801182077</v>
      </c>
      <c r="BS15" s="219">
        <v>53.381022225719953</v>
      </c>
      <c r="BT15" s="219">
        <v>53.395858206810487</v>
      </c>
      <c r="BU15" s="219">
        <v>53.418467443517493</v>
      </c>
      <c r="BV15" s="219">
        <v>53.433265026521958</v>
      </c>
      <c r="BW15" s="219">
        <v>53.448070781803352</v>
      </c>
      <c r="BX15" s="219">
        <v>53.452559996272328</v>
      </c>
      <c r="BY15" s="219">
        <v>53.457105591893587</v>
      </c>
      <c r="BZ15" s="219">
        <v>53.461702235043177</v>
      </c>
      <c r="CA15" s="219">
        <v>53.466349270539389</v>
      </c>
      <c r="CB15" s="219">
        <v>53.471046436072257</v>
      </c>
      <c r="CC15" s="33">
        <v>160.84450915278899</v>
      </c>
      <c r="CD15" s="219">
        <v>160.7152211731474</v>
      </c>
      <c r="CE15" s="219">
        <v>160.59347163121069</v>
      </c>
      <c r="CF15" s="219">
        <v>160.66296886084231</v>
      </c>
      <c r="CG15" s="219">
        <v>160.56108514847509</v>
      </c>
      <c r="CH15" s="219">
        <v>160.46431013210969</v>
      </c>
      <c r="CI15" s="219">
        <v>160.51919968853491</v>
      </c>
      <c r="CJ15" s="219">
        <v>160.5965004877487</v>
      </c>
      <c r="CK15" s="219">
        <v>160.81984739593051</v>
      </c>
      <c r="CL15" s="219">
        <v>160.93287541728961</v>
      </c>
      <c r="CM15" s="219">
        <v>161.06157006005679</v>
      </c>
      <c r="CN15" s="219">
        <v>161.44914774164511</v>
      </c>
      <c r="CO15" s="219">
        <v>161.85489440056341</v>
      </c>
      <c r="CP15" s="219">
        <v>162.32529815325631</v>
      </c>
      <c r="CQ15" s="219">
        <v>162.7597429598128</v>
      </c>
      <c r="CR15" s="219">
        <v>163.22108348411851</v>
      </c>
      <c r="CS15" s="219">
        <v>163.24358218484619</v>
      </c>
      <c r="CT15" s="219">
        <v>163.26863774482521</v>
      </c>
      <c r="CU15" s="219">
        <v>163.34053993483411</v>
      </c>
      <c r="CV15" s="219">
        <v>163.365312350267</v>
      </c>
      <c r="CW15" s="219">
        <v>163.38989748665159</v>
      </c>
      <c r="CX15" s="219">
        <v>163.4038411381328</v>
      </c>
      <c r="CY15" s="219">
        <v>163.09884340763611</v>
      </c>
      <c r="CZ15" s="219">
        <v>162.79272834860711</v>
      </c>
      <c r="DA15" s="219">
        <v>162.48544609200721</v>
      </c>
      <c r="DB15" s="219">
        <v>162.1769585319407</v>
      </c>
    </row>
    <row r="16" spans="1:106" x14ac:dyDescent="0.35">
      <c r="A16" s="137" t="s">
        <v>544</v>
      </c>
      <c r="B16" s="130" t="s">
        <v>545</v>
      </c>
      <c r="C16" s="214">
        <v>9.3081040387393941E-4</v>
      </c>
      <c r="D16" s="214">
        <v>9.2940879288870234E-4</v>
      </c>
      <c r="E16" s="214">
        <v>9.2800313610984643E-4</v>
      </c>
      <c r="F16" s="214">
        <v>9.2553324740277641E-4</v>
      </c>
      <c r="G16" s="214">
        <v>9.241183500894052E-4</v>
      </c>
      <c r="H16" s="214">
        <v>9.227124592533978E-4</v>
      </c>
      <c r="I16" s="214">
        <v>9.2251173927266499E-4</v>
      </c>
      <c r="J16" s="214">
        <v>9.2239845703719113E-4</v>
      </c>
      <c r="K16" s="214">
        <v>9.2182940319480273E-4</v>
      </c>
      <c r="L16" s="214">
        <v>9.2187136245270554E-4</v>
      </c>
      <c r="M16" s="214">
        <v>9.219829202646052E-4</v>
      </c>
      <c r="N16" s="214">
        <v>9.240168067989787E-4</v>
      </c>
      <c r="O16" s="214">
        <v>9.2619348105489889E-4</v>
      </c>
      <c r="P16" s="214">
        <v>9.2841129509005555E-4</v>
      </c>
      <c r="Q16" s="214">
        <v>9.3086881097651712E-4</v>
      </c>
      <c r="R16" s="214">
        <v>9.3347027827520924E-4</v>
      </c>
      <c r="S16" s="214">
        <v>9.3029187833126837E-4</v>
      </c>
      <c r="T16" s="214">
        <v>9.2712727025682671E-4</v>
      </c>
      <c r="U16" s="214">
        <v>9.2383146831222186E-4</v>
      </c>
      <c r="V16" s="214">
        <v>9.2069134458766652E-4</v>
      </c>
      <c r="W16" s="214">
        <v>9.1756329262861311E-4</v>
      </c>
      <c r="X16" s="214">
        <v>9.2367865964365235E-4</v>
      </c>
      <c r="Y16" s="214">
        <v>9.1893540477338198E-4</v>
      </c>
      <c r="Z16" s="214">
        <v>9.1415959008788556E-4</v>
      </c>
      <c r="AA16" s="214">
        <v>9.0935116121870232E-4</v>
      </c>
      <c r="AB16" s="214">
        <v>9.0451013065005889E-4</v>
      </c>
      <c r="AC16" s="33">
        <v>2.0497787420389352E-6</v>
      </c>
      <c r="AD16" s="219">
        <v>2.0505290385582411E-6</v>
      </c>
      <c r="AE16" s="219">
        <v>2.0512571345129012E-6</v>
      </c>
      <c r="AF16" s="219">
        <v>2.0487272911974298E-6</v>
      </c>
      <c r="AG16" s="219">
        <v>2.0494032953036351E-6</v>
      </c>
      <c r="AH16" s="219">
        <v>2.050055491400495E-6</v>
      </c>
      <c r="AI16" s="219">
        <v>2.0611386724930072E-6</v>
      </c>
      <c r="AJ16" s="219">
        <v>2.0722546613925729E-6</v>
      </c>
      <c r="AK16" s="219">
        <v>2.0816286205558439E-6</v>
      </c>
      <c r="AL16" s="219">
        <v>2.0927839028284058E-6</v>
      </c>
      <c r="AM16" s="219">
        <v>2.1039526935666891E-6</v>
      </c>
      <c r="AN16" s="219">
        <v>2.1242202936519081E-6</v>
      </c>
      <c r="AO16" s="219">
        <v>2.1446334570857061E-6</v>
      </c>
      <c r="AP16" s="219">
        <v>2.1646662144376842E-6</v>
      </c>
      <c r="AQ16" s="219">
        <v>2.1853740918925051E-6</v>
      </c>
      <c r="AR16" s="219">
        <v>2.206250444448023E-6</v>
      </c>
      <c r="AS16" s="219">
        <v>2.2166401043350721E-6</v>
      </c>
      <c r="AT16" s="219">
        <v>2.2269370421659851E-6</v>
      </c>
      <c r="AU16" s="219">
        <v>2.2365613810395212E-6</v>
      </c>
      <c r="AV16" s="219">
        <v>2.2466636631693092E-6</v>
      </c>
      <c r="AW16" s="219">
        <v>2.2566737682806589E-6</v>
      </c>
      <c r="AX16" s="219">
        <v>2.2787787681335159E-6</v>
      </c>
      <c r="AY16" s="219">
        <v>2.2762634046188312E-6</v>
      </c>
      <c r="AZ16" s="219">
        <v>2.273655622551394E-6</v>
      </c>
      <c r="BA16" s="219">
        <v>2.2709554388540899E-6</v>
      </c>
      <c r="BB16" s="219">
        <v>2.26816296857691E-6</v>
      </c>
      <c r="BC16" s="33">
        <v>73.573799866942238</v>
      </c>
      <c r="BD16" s="219">
        <v>73.445145455656728</v>
      </c>
      <c r="BE16" s="219">
        <v>73.316701533107789</v>
      </c>
      <c r="BF16" s="219">
        <v>73.095059059364829</v>
      </c>
      <c r="BG16" s="219">
        <v>72.967051094169946</v>
      </c>
      <c r="BH16" s="219">
        <v>72.839222346274596</v>
      </c>
      <c r="BI16" s="219">
        <v>72.518045229549571</v>
      </c>
      <c r="BJ16" s="219">
        <v>72.197380375240641</v>
      </c>
      <c r="BK16" s="219">
        <v>71.810240997939715</v>
      </c>
      <c r="BL16" s="219">
        <v>71.490414004940277</v>
      </c>
      <c r="BM16" s="219">
        <v>71.171031600143039</v>
      </c>
      <c r="BN16" s="219">
        <v>70.673043500892547</v>
      </c>
      <c r="BO16" s="219">
        <v>70.174966430790192</v>
      </c>
      <c r="BP16" s="219">
        <v>69.655894520526104</v>
      </c>
      <c r="BQ16" s="219">
        <v>69.157501258423125</v>
      </c>
      <c r="BR16" s="219">
        <v>68.659124447524562</v>
      </c>
      <c r="BS16" s="219">
        <v>68.134553404890113</v>
      </c>
      <c r="BT16" s="219">
        <v>67.610643194942085</v>
      </c>
      <c r="BU16" s="219">
        <v>67.065974462981089</v>
      </c>
      <c r="BV16" s="219">
        <v>66.543357761238681</v>
      </c>
      <c r="BW16" s="219">
        <v>66.02139979153371</v>
      </c>
      <c r="BX16" s="219">
        <v>65.754050460309941</v>
      </c>
      <c r="BY16" s="219">
        <v>65.486883770920898</v>
      </c>
      <c r="BZ16" s="219">
        <v>65.219852206556297</v>
      </c>
      <c r="CA16" s="219">
        <v>64.95295416546</v>
      </c>
      <c r="CB16" s="219">
        <v>64.686190298882664</v>
      </c>
      <c r="CC16" s="33">
        <v>552.22875745518706</v>
      </c>
      <c r="CD16" s="219">
        <v>551.15765785510723</v>
      </c>
      <c r="CE16" s="219">
        <v>550.09716368140346</v>
      </c>
      <c r="CF16" s="219">
        <v>548.35727618527017</v>
      </c>
      <c r="CG16" s="219">
        <v>547.31838984671128</v>
      </c>
      <c r="CH16" s="219">
        <v>546.28810204839215</v>
      </c>
      <c r="CI16" s="219">
        <v>545.30987610266902</v>
      </c>
      <c r="CJ16" s="219">
        <v>544.37647112780905</v>
      </c>
      <c r="CK16" s="219">
        <v>543.04693226193444</v>
      </c>
      <c r="CL16" s="219">
        <v>542.19729736340139</v>
      </c>
      <c r="CM16" s="219">
        <v>541.38415968154527</v>
      </c>
      <c r="CN16" s="219">
        <v>540.71192926988374</v>
      </c>
      <c r="CO16" s="219">
        <v>540.11577416648367</v>
      </c>
      <c r="CP16" s="219">
        <v>539.49487382396796</v>
      </c>
      <c r="CQ16" s="219">
        <v>539.04732244735351</v>
      </c>
      <c r="CR16" s="219">
        <v>538.67659419265101</v>
      </c>
      <c r="CS16" s="219">
        <v>535.37009093381698</v>
      </c>
      <c r="CT16" s="219">
        <v>532.09201053046036</v>
      </c>
      <c r="CU16" s="219">
        <v>528.73378629378453</v>
      </c>
      <c r="CV16" s="219">
        <v>525.50895218640699</v>
      </c>
      <c r="CW16" s="219">
        <v>522.31005264945509</v>
      </c>
      <c r="CX16" s="219">
        <v>520.13001839381229</v>
      </c>
      <c r="CY16" s="219">
        <v>516.91026217894739</v>
      </c>
      <c r="CZ16" s="219">
        <v>513.67877317691909</v>
      </c>
      <c r="DA16" s="219">
        <v>510.43548654087891</v>
      </c>
      <c r="DB16" s="219">
        <v>507.18038074772022</v>
      </c>
    </row>
    <row r="17" spans="1:106" x14ac:dyDescent="0.35">
      <c r="A17" s="137" t="s">
        <v>546</v>
      </c>
      <c r="B17" s="130" t="s">
        <v>547</v>
      </c>
      <c r="C17" s="214">
        <v>4.0040114297033507E-6</v>
      </c>
      <c r="D17" s="214">
        <v>4.0058487498263378E-6</v>
      </c>
      <c r="E17" s="214">
        <v>4.0077515799868677E-6</v>
      </c>
      <c r="F17" s="214">
        <v>4.0029208767610999E-6</v>
      </c>
      <c r="G17" s="214">
        <v>4.0049307137421672E-6</v>
      </c>
      <c r="H17" s="214">
        <v>4.007017256964767E-6</v>
      </c>
      <c r="I17" s="214">
        <v>3.9988613252217076E-6</v>
      </c>
      <c r="J17" s="214">
        <v>3.9921799598709433E-6</v>
      </c>
      <c r="K17" s="214">
        <v>3.9831753712208079E-6</v>
      </c>
      <c r="L17" s="214">
        <v>3.9789695263487389E-6</v>
      </c>
      <c r="M17" s="214">
        <v>3.9758111501564378E-6</v>
      </c>
      <c r="N17" s="214">
        <v>3.9826415952713724E-6</v>
      </c>
      <c r="O17" s="214">
        <v>3.9906120602595297E-6</v>
      </c>
      <c r="P17" s="214">
        <v>3.9987645675514613E-6</v>
      </c>
      <c r="Q17" s="214">
        <v>4.0086267486999339E-6</v>
      </c>
      <c r="R17" s="214">
        <v>4.0196437077174444E-6</v>
      </c>
      <c r="S17" s="214">
        <v>4.0181156111825192E-6</v>
      </c>
      <c r="T17" s="214">
        <v>4.0166408130956304E-6</v>
      </c>
      <c r="U17" s="214">
        <v>4.0141867822392904E-6</v>
      </c>
      <c r="V17" s="214">
        <v>4.0127705525590746E-6</v>
      </c>
      <c r="W17" s="214">
        <v>4.0113675730119604E-6</v>
      </c>
      <c r="X17" s="214">
        <v>4.037432679165435E-6</v>
      </c>
      <c r="Y17" s="214">
        <v>4.0284664367348844E-6</v>
      </c>
      <c r="Z17" s="214">
        <v>4.0194200751411954E-6</v>
      </c>
      <c r="AA17" s="214">
        <v>4.0102944169559703E-6</v>
      </c>
      <c r="AB17" s="214">
        <v>4.0010905216354072E-6</v>
      </c>
      <c r="AC17" s="33">
        <v>4.544829349235703E-9</v>
      </c>
      <c r="AD17" s="219">
        <v>4.5370103175280047E-9</v>
      </c>
      <c r="AE17" s="219">
        <v>4.5295082577728329E-9</v>
      </c>
      <c r="AF17" s="219">
        <v>4.5014802055061924E-9</v>
      </c>
      <c r="AG17" s="219">
        <v>4.49483568884971E-9</v>
      </c>
      <c r="AH17" s="219">
        <v>4.4884519436746387E-9</v>
      </c>
      <c r="AI17" s="219">
        <v>4.4935534042033732E-9</v>
      </c>
      <c r="AJ17" s="219">
        <v>4.4998105525371587E-9</v>
      </c>
      <c r="AK17" s="219">
        <v>4.4952223754689469E-9</v>
      </c>
      <c r="AL17" s="219">
        <v>4.5034314609723549E-9</v>
      </c>
      <c r="AM17" s="219">
        <v>4.512444669486938E-9</v>
      </c>
      <c r="AN17" s="219">
        <v>4.5410604896206504E-9</v>
      </c>
      <c r="AO17" s="219">
        <v>4.570658915082686E-9</v>
      </c>
      <c r="AP17" s="219">
        <v>4.5974372101618412E-9</v>
      </c>
      <c r="AQ17" s="219">
        <v>4.6286920000062029E-9</v>
      </c>
      <c r="AR17" s="219">
        <v>4.661365143719523E-9</v>
      </c>
      <c r="AS17" s="219">
        <v>4.6629850256534486E-9</v>
      </c>
      <c r="AT17" s="219">
        <v>4.6646729085347469E-9</v>
      </c>
      <c r="AU17" s="219">
        <v>4.6627035666380183E-9</v>
      </c>
      <c r="AV17" s="219">
        <v>4.6644139780419539E-9</v>
      </c>
      <c r="AW17" s="219">
        <v>4.6661197655655212E-9</v>
      </c>
      <c r="AX17" s="219">
        <v>4.6966701881244522E-9</v>
      </c>
      <c r="AY17" s="219">
        <v>4.6753960085142794E-9</v>
      </c>
      <c r="AZ17" s="219">
        <v>4.6540132784134712E-9</v>
      </c>
      <c r="BA17" s="219">
        <v>4.632520233028159E-9</v>
      </c>
      <c r="BB17" s="219">
        <v>4.6109156177230158E-9</v>
      </c>
      <c r="BC17" s="33">
        <v>0.10787070616191249</v>
      </c>
      <c r="BD17" s="219">
        <v>0.1075788682682048</v>
      </c>
      <c r="BE17" s="219">
        <v>0.1072947644663086</v>
      </c>
      <c r="BF17" s="219">
        <v>0.1064056196431864</v>
      </c>
      <c r="BG17" s="219">
        <v>0.1061401879829145</v>
      </c>
      <c r="BH17" s="219">
        <v>0.1058814331206053</v>
      </c>
      <c r="BI17" s="219">
        <v>0.10557566835608551</v>
      </c>
      <c r="BJ17" s="219">
        <v>0.1052811254358839</v>
      </c>
      <c r="BK17" s="219">
        <v>0.1045535526028584</v>
      </c>
      <c r="BL17" s="219">
        <v>0.10428166886920941</v>
      </c>
      <c r="BM17" s="219">
        <v>0.1040184906215266</v>
      </c>
      <c r="BN17" s="219">
        <v>0.1036398169007168</v>
      </c>
      <c r="BO17" s="219">
        <v>0.10326970184043061</v>
      </c>
      <c r="BP17" s="219">
        <v>0.10276986361970369</v>
      </c>
      <c r="BQ17" s="219">
        <v>0.10241555019395129</v>
      </c>
      <c r="BR17" s="219">
        <v>0.1020725337779195</v>
      </c>
      <c r="BS17" s="219">
        <v>0.1018435875230887</v>
      </c>
      <c r="BT17" s="219">
        <v>0.1016162232920487</v>
      </c>
      <c r="BU17" s="219">
        <v>0.1012582610758994</v>
      </c>
      <c r="BV17" s="219">
        <v>0.10103479716124091</v>
      </c>
      <c r="BW17" s="219">
        <v>0.1008125786037565</v>
      </c>
      <c r="BX17" s="219">
        <v>0.10064272518998001</v>
      </c>
      <c r="BY17" s="219">
        <v>0.10047393693230371</v>
      </c>
      <c r="BZ17" s="219">
        <v>0.1003060074447331</v>
      </c>
      <c r="CA17" s="219">
        <v>0.1001389100342637</v>
      </c>
      <c r="CB17" s="219">
        <v>9.9972629912830416E-2</v>
      </c>
      <c r="CC17" s="33">
        <v>0.992422543360855</v>
      </c>
      <c r="CD17" s="219">
        <v>0.98942582734134621</v>
      </c>
      <c r="CE17" s="219">
        <v>0.98653969249775419</v>
      </c>
      <c r="CF17" s="219">
        <v>0.97930453061505218</v>
      </c>
      <c r="CG17" s="219">
        <v>0.97673626965984417</v>
      </c>
      <c r="CH17" s="219">
        <v>0.97425931678542255</v>
      </c>
      <c r="CI17" s="219">
        <v>0.97311163883652541</v>
      </c>
      <c r="CJ17" s="219">
        <v>0.97235089331952573</v>
      </c>
      <c r="CK17" s="219">
        <v>0.9690209884737192</v>
      </c>
      <c r="CL17" s="219">
        <v>0.96894474725518842</v>
      </c>
      <c r="CM17" s="219">
        <v>0.96913840963207976</v>
      </c>
      <c r="CN17" s="219">
        <v>0.97224702096017857</v>
      </c>
      <c r="CO17" s="219">
        <v>0.97567246920075279</v>
      </c>
      <c r="CP17" s="219">
        <v>0.97868358661527299</v>
      </c>
      <c r="CQ17" s="219">
        <v>0.98267095882073152</v>
      </c>
      <c r="CR17" s="219">
        <v>0.98708594003499206</v>
      </c>
      <c r="CS17" s="219">
        <v>0.98479705431935904</v>
      </c>
      <c r="CT17" s="219">
        <v>0.98253598090402217</v>
      </c>
      <c r="CU17" s="219">
        <v>0.97959568694077159</v>
      </c>
      <c r="CV17" s="219">
        <v>0.97737230791882423</v>
      </c>
      <c r="CW17" s="219">
        <v>0.97516058409502326</v>
      </c>
      <c r="CX17" s="219">
        <v>0.9736830988474463</v>
      </c>
      <c r="CY17" s="219">
        <v>0.96760274048859507</v>
      </c>
      <c r="CZ17" s="219">
        <v>0.96151288227774923</v>
      </c>
      <c r="DA17" s="219">
        <v>0.95541292126086208</v>
      </c>
      <c r="DB17" s="219">
        <v>0.94930248644873538</v>
      </c>
    </row>
    <row r="18" spans="1:106" s="214" customFormat="1" x14ac:dyDescent="0.35">
      <c r="A18" s="137" t="s">
        <v>754</v>
      </c>
      <c r="B18" s="130" t="s">
        <v>547</v>
      </c>
      <c r="C18" s="215">
        <v>5.8703574607230146E-6</v>
      </c>
      <c r="D18" s="215">
        <v>5.8684779507417422E-6</v>
      </c>
      <c r="E18" s="215">
        <v>5.8666446880360177E-6</v>
      </c>
      <c r="F18" s="215">
        <v>5.863276400410358E-6</v>
      </c>
      <c r="G18" s="215">
        <v>5.8615385006771038E-6</v>
      </c>
      <c r="H18" s="215">
        <v>5.8598319423068667E-6</v>
      </c>
      <c r="I18" s="215">
        <v>5.8572238126700861E-6</v>
      </c>
      <c r="J18" s="215">
        <v>5.8549069721699291E-6</v>
      </c>
      <c r="K18" s="215">
        <v>5.85207939810061E-6</v>
      </c>
      <c r="L18" s="215">
        <v>5.8502622794691789E-6</v>
      </c>
      <c r="M18" s="215">
        <v>5.8486501440026656E-6</v>
      </c>
      <c r="N18" s="215">
        <v>5.8487924767314172E-6</v>
      </c>
      <c r="O18" s="215">
        <v>5.8491332871161204E-6</v>
      </c>
      <c r="P18" s="215">
        <v>5.8495248225649821E-6</v>
      </c>
      <c r="Q18" s="215">
        <v>5.8502381765054372E-6</v>
      </c>
      <c r="R18" s="215">
        <v>5.8511700291188103E-6</v>
      </c>
      <c r="S18" s="215">
        <v>5.8484990222433882E-6</v>
      </c>
      <c r="T18" s="215">
        <v>5.8458195185522196E-6</v>
      </c>
      <c r="U18" s="215">
        <v>5.8429394548858158E-6</v>
      </c>
      <c r="V18" s="215">
        <v>5.8402294221003419E-6</v>
      </c>
      <c r="W18" s="215">
        <v>5.8374996145758334E-6</v>
      </c>
      <c r="X18" s="215">
        <v>5.8554706926981746E-6</v>
      </c>
      <c r="Y18" s="215">
        <v>5.8511274413112826E-6</v>
      </c>
      <c r="Z18" s="215">
        <v>5.8467442954593126E-6</v>
      </c>
      <c r="AA18" s="215">
        <v>5.842320875842921E-6</v>
      </c>
      <c r="AB18" s="215">
        <v>5.8378568913023197E-6</v>
      </c>
      <c r="AC18" s="33">
        <v>1.176660090785594E-8</v>
      </c>
      <c r="AD18" s="219">
        <v>1.1762366566260141E-8</v>
      </c>
      <c r="AE18" s="219">
        <v>1.175821491236966E-8</v>
      </c>
      <c r="AF18" s="219">
        <v>1.1749293867601599E-8</v>
      </c>
      <c r="AG18" s="219">
        <v>1.17453225801718E-8</v>
      </c>
      <c r="AH18" s="219">
        <v>1.1741407494440679E-8</v>
      </c>
      <c r="AI18" s="219">
        <v>1.174028035133439E-8</v>
      </c>
      <c r="AJ18" s="219">
        <v>1.173939349795182E-8</v>
      </c>
      <c r="AK18" s="219">
        <v>1.1736178059886659E-8</v>
      </c>
      <c r="AL18" s="219">
        <v>1.173570651731838E-8</v>
      </c>
      <c r="AM18" s="219">
        <v>1.1735400967281649E-8</v>
      </c>
      <c r="AN18" s="219">
        <v>1.173773801644939E-8</v>
      </c>
      <c r="AO18" s="219">
        <v>1.174021442931503E-8</v>
      </c>
      <c r="AP18" s="219">
        <v>1.1742100624816771E-8</v>
      </c>
      <c r="AQ18" s="219">
        <v>1.174487931207325E-8</v>
      </c>
      <c r="AR18" s="219">
        <v>1.1747920205312781E-8</v>
      </c>
      <c r="AS18" s="219">
        <v>1.1742152233326491E-8</v>
      </c>
      <c r="AT18" s="219">
        <v>1.1736312975461249E-8</v>
      </c>
      <c r="AU18" s="219">
        <v>1.172965902543216E-8</v>
      </c>
      <c r="AV18" s="219">
        <v>1.172370358019157E-8</v>
      </c>
      <c r="AW18" s="219">
        <v>1.171769337242703E-8</v>
      </c>
      <c r="AX18" s="219">
        <v>1.173019048865087E-8</v>
      </c>
      <c r="AY18" s="219">
        <v>1.171987237753924E-8</v>
      </c>
      <c r="AZ18" s="219">
        <v>1.170948820359532E-8</v>
      </c>
      <c r="BA18" s="219">
        <v>1.16990374210615E-8</v>
      </c>
      <c r="BB18" s="219">
        <v>1.1688519327258621E-8</v>
      </c>
      <c r="BC18" s="33">
        <v>3.7959569008674761E-2</v>
      </c>
      <c r="BD18" s="219">
        <v>3.7902931403742908E-2</v>
      </c>
      <c r="BE18" s="219">
        <v>3.7847759314160498E-2</v>
      </c>
      <c r="BF18" s="219">
        <v>3.7654931484967888E-2</v>
      </c>
      <c r="BG18" s="219">
        <v>3.7603041189137397E-2</v>
      </c>
      <c r="BH18" s="219">
        <v>3.7552261932935947E-2</v>
      </c>
      <c r="BI18" s="219">
        <v>3.7496103466411169E-2</v>
      </c>
      <c r="BJ18" s="219">
        <v>3.7441973797156823E-2</v>
      </c>
      <c r="BK18" s="219">
        <v>3.7293464969613228E-2</v>
      </c>
      <c r="BL18" s="219">
        <v>3.7243545751146592E-2</v>
      </c>
      <c r="BM18" s="219">
        <v>3.7195155527530908E-2</v>
      </c>
      <c r="BN18" s="219">
        <v>3.7173505468305723E-2</v>
      </c>
      <c r="BO18" s="219">
        <v>3.7153350303876689E-2</v>
      </c>
      <c r="BP18" s="219">
        <v>3.7105419288456787E-2</v>
      </c>
      <c r="BQ18" s="219">
        <v>3.7088034550482638E-2</v>
      </c>
      <c r="BR18" s="219">
        <v>3.7072660217172683E-2</v>
      </c>
      <c r="BS18" s="219">
        <v>3.7045881772396143E-2</v>
      </c>
      <c r="BT18" s="219">
        <v>3.7019321146739177E-2</v>
      </c>
      <c r="BU18" s="219">
        <v>3.6964926472752131E-2</v>
      </c>
      <c r="BV18" s="219">
        <v>3.6939009417925557E-2</v>
      </c>
      <c r="BW18" s="219">
        <v>3.6913242246421347E-2</v>
      </c>
      <c r="BX18" s="219">
        <v>3.6897607810371692E-2</v>
      </c>
      <c r="BY18" s="219">
        <v>3.6882319483501243E-2</v>
      </c>
      <c r="BZ18" s="219">
        <v>3.6867322099052621E-2</v>
      </c>
      <c r="CA18" s="219">
        <v>3.6852612425090463E-2</v>
      </c>
      <c r="CB18" s="219">
        <v>3.6838190050075319E-2</v>
      </c>
      <c r="CC18" s="33">
        <v>3.376734359623105</v>
      </c>
      <c r="CD18" s="219">
        <v>3.3756917285417711</v>
      </c>
      <c r="CE18" s="219">
        <v>3.3746796401167729</v>
      </c>
      <c r="CF18" s="219">
        <v>3.3726639402188048</v>
      </c>
      <c r="CG18" s="219">
        <v>3.3717151646914458</v>
      </c>
      <c r="CH18" s="219">
        <v>3.3707849457890142</v>
      </c>
      <c r="CI18" s="219">
        <v>3.3702680157489699</v>
      </c>
      <c r="CJ18" s="219">
        <v>3.3698258535122858</v>
      </c>
      <c r="CK18" s="219">
        <v>3.3688224125939228</v>
      </c>
      <c r="CL18" s="219">
        <v>3.3685150709486389</v>
      </c>
      <c r="CM18" s="219">
        <v>3.368260254046707</v>
      </c>
      <c r="CN18" s="219">
        <v>3.3685094167691041</v>
      </c>
      <c r="CO18" s="219">
        <v>3.3688170547119189</v>
      </c>
      <c r="CP18" s="219">
        <v>3.3690374360209989</v>
      </c>
      <c r="CQ18" s="219">
        <v>3.369446717584959</v>
      </c>
      <c r="CR18" s="219">
        <v>3.3699342346379231</v>
      </c>
      <c r="CS18" s="219">
        <v>3.3683023446167448</v>
      </c>
      <c r="CT18" s="219">
        <v>3.3666709600959619</v>
      </c>
      <c r="CU18" s="219">
        <v>3.364896262954626</v>
      </c>
      <c r="CV18" s="219">
        <v>3.3632565405980812</v>
      </c>
      <c r="CW18" s="219">
        <v>3.3616099624036671</v>
      </c>
      <c r="CX18" s="219">
        <v>3.3595848571525608</v>
      </c>
      <c r="CY18" s="219">
        <v>3.3570677889409928</v>
      </c>
      <c r="CZ18" s="219">
        <v>3.354541861447907</v>
      </c>
      <c r="DA18" s="219">
        <v>3.3520066929910488</v>
      </c>
      <c r="DB18" s="219">
        <v>3.349462001052145</v>
      </c>
    </row>
    <row r="19" spans="1:106" x14ac:dyDescent="0.35">
      <c r="A19" s="137" t="s">
        <v>548</v>
      </c>
      <c r="B19" s="130" t="s">
        <v>545</v>
      </c>
      <c r="C19" s="214">
        <v>2.562978051677503E-5</v>
      </c>
      <c r="D19" s="214">
        <v>2.562577681837131E-5</v>
      </c>
      <c r="E19" s="214">
        <v>2.5621780252090179E-5</v>
      </c>
      <c r="F19" s="214">
        <v>2.5523137691817538E-5</v>
      </c>
      <c r="G19" s="214">
        <v>2.5519118890206081E-5</v>
      </c>
      <c r="H19" s="214">
        <v>2.5515136211319871E-5</v>
      </c>
      <c r="I19" s="214">
        <v>2.5514953283294811E-5</v>
      </c>
      <c r="J19" s="214">
        <v>2.5515114707927231E-5</v>
      </c>
      <c r="K19" s="214">
        <v>2.5460258362669949E-5</v>
      </c>
      <c r="L19" s="214">
        <v>2.54617572796034E-5</v>
      </c>
      <c r="M19" s="214">
        <v>2.5463495228326239E-5</v>
      </c>
      <c r="N19" s="214">
        <v>2.5472092163702129E-5</v>
      </c>
      <c r="O19" s="214">
        <v>2.548099781780302E-5</v>
      </c>
      <c r="P19" s="214">
        <v>2.5475256883419829E-5</v>
      </c>
      <c r="Q19" s="214">
        <v>2.5485501604513009E-5</v>
      </c>
      <c r="R19" s="214">
        <v>2.5496073113852759E-5</v>
      </c>
      <c r="S19" s="214">
        <v>2.5487410560616E-5</v>
      </c>
      <c r="T19" s="214">
        <v>2.5478752216467058E-5</v>
      </c>
      <c r="U19" s="214">
        <v>2.545215204869449E-5</v>
      </c>
      <c r="V19" s="214">
        <v>2.5443590861496859E-5</v>
      </c>
      <c r="W19" s="214">
        <v>2.5435020790726121E-5</v>
      </c>
      <c r="X19" s="214">
        <v>2.5463579590087401E-5</v>
      </c>
      <c r="Y19" s="214">
        <v>2.5446407567440639E-5</v>
      </c>
      <c r="Z19" s="214">
        <v>2.542914092035508E-5</v>
      </c>
      <c r="AA19" s="214">
        <v>2.5411777990047328E-5</v>
      </c>
      <c r="AB19" s="214">
        <v>2.539431783383957E-5</v>
      </c>
      <c r="AC19" s="33">
        <v>6.2983544655369538E-8</v>
      </c>
      <c r="AD19" s="219">
        <v>6.2983278509366193E-8</v>
      </c>
      <c r="AE19" s="219">
        <v>6.2982938969061056E-8</v>
      </c>
      <c r="AF19" s="219">
        <v>6.2678171615887171E-8</v>
      </c>
      <c r="AG19" s="219">
        <v>6.2677231196377803E-8</v>
      </c>
      <c r="AH19" s="219">
        <v>6.2676200471555347E-8</v>
      </c>
      <c r="AI19" s="219">
        <v>6.2697172589439015E-8</v>
      </c>
      <c r="AJ19" s="219">
        <v>6.2718010347544027E-8</v>
      </c>
      <c r="AK19" s="219">
        <v>6.2555257644450591E-8</v>
      </c>
      <c r="AL19" s="219">
        <v>6.2576190990742362E-8</v>
      </c>
      <c r="AM19" s="219">
        <v>6.259689765067926E-8</v>
      </c>
      <c r="AN19" s="219">
        <v>6.2638682869468594E-8</v>
      </c>
      <c r="AO19" s="219">
        <v>6.2680292832503781E-8</v>
      </c>
      <c r="AP19" s="219">
        <v>6.2661238297932005E-8</v>
      </c>
      <c r="AQ19" s="219">
        <v>6.270360965078685E-8</v>
      </c>
      <c r="AR19" s="219">
        <v>6.2745951231466608E-8</v>
      </c>
      <c r="AS19" s="219">
        <v>6.2748148430072199E-8</v>
      </c>
      <c r="AT19" s="219">
        <v>6.2749681583113466E-8</v>
      </c>
      <c r="AU19" s="219">
        <v>6.2691204840773825E-8</v>
      </c>
      <c r="AV19" s="219">
        <v>6.2691249024831054E-8</v>
      </c>
      <c r="AW19" s="219">
        <v>6.2690695874926464E-8</v>
      </c>
      <c r="AX19" s="219">
        <v>6.274483778085977E-8</v>
      </c>
      <c r="AY19" s="219">
        <v>6.2716493909400121E-8</v>
      </c>
      <c r="AZ19" s="219">
        <v>6.2687812700978532E-8</v>
      </c>
      <c r="BA19" s="219">
        <v>6.2658793463083337E-8</v>
      </c>
      <c r="BB19" s="219">
        <v>6.2629436430065605E-8</v>
      </c>
      <c r="BC19" s="33">
        <v>0.36421676125800062</v>
      </c>
      <c r="BD19" s="219">
        <v>0.36392539853016859</v>
      </c>
      <c r="BE19" s="219">
        <v>0.36363650260328151</v>
      </c>
      <c r="BF19" s="219">
        <v>0.35420562502998593</v>
      </c>
      <c r="BG19" s="219">
        <v>0.35394349088844712</v>
      </c>
      <c r="BH19" s="219">
        <v>0.35368342930861407</v>
      </c>
      <c r="BI19" s="219">
        <v>0.3531930493748231</v>
      </c>
      <c r="BJ19" s="219">
        <v>0.3527113398092997</v>
      </c>
      <c r="BK19" s="219">
        <v>0.34542302555844412</v>
      </c>
      <c r="BL19" s="219">
        <v>0.34500076885111169</v>
      </c>
      <c r="BM19" s="219">
        <v>0.34458672472383961</v>
      </c>
      <c r="BN19" s="219">
        <v>0.34398150201405819</v>
      </c>
      <c r="BO19" s="219">
        <v>0.34338578348671761</v>
      </c>
      <c r="BP19" s="219">
        <v>0.3406396142370634</v>
      </c>
      <c r="BQ19" s="219">
        <v>0.3400813794169591</v>
      </c>
      <c r="BR19" s="219">
        <v>0.33953309465828108</v>
      </c>
      <c r="BS19" s="219">
        <v>0.33901763986558853</v>
      </c>
      <c r="BT19" s="219">
        <v>0.33851221833061662</v>
      </c>
      <c r="BU19" s="219">
        <v>0.3359578113882023</v>
      </c>
      <c r="BV19" s="219">
        <v>0.33549178958230369</v>
      </c>
      <c r="BW19" s="219">
        <v>0.33503579137380912</v>
      </c>
      <c r="BX19" s="219">
        <v>0.33476098452906278</v>
      </c>
      <c r="BY19" s="219">
        <v>0.33448986556692978</v>
      </c>
      <c r="BZ19" s="219">
        <v>0.33422221528692969</v>
      </c>
      <c r="CA19" s="219">
        <v>0.33395801233910632</v>
      </c>
      <c r="CB19" s="219">
        <v>0.33369726512802422</v>
      </c>
      <c r="CC19" s="33">
        <v>18.47321316929327</v>
      </c>
      <c r="CD19" s="219">
        <v>18.469823732968891</v>
      </c>
      <c r="CE19" s="219">
        <v>18.466486565203759</v>
      </c>
      <c r="CF19" s="219">
        <v>18.397746549378969</v>
      </c>
      <c r="CG19" s="219">
        <v>18.39462944600097</v>
      </c>
      <c r="CH19" s="219">
        <v>18.39154710590218</v>
      </c>
      <c r="CI19" s="219">
        <v>18.3909602439198</v>
      </c>
      <c r="CJ19" s="219">
        <v>18.390521782676771</v>
      </c>
      <c r="CK19" s="219">
        <v>18.345236696200899</v>
      </c>
      <c r="CL19" s="219">
        <v>18.34557804274251</v>
      </c>
      <c r="CM19" s="219">
        <v>18.346028249943611</v>
      </c>
      <c r="CN19" s="219">
        <v>18.348482875807679</v>
      </c>
      <c r="CO19" s="219">
        <v>18.35110455547759</v>
      </c>
      <c r="CP19" s="219">
        <v>18.342230279791711</v>
      </c>
      <c r="CQ19" s="219">
        <v>18.345581380627589</v>
      </c>
      <c r="CR19" s="219">
        <v>18.34910550794427</v>
      </c>
      <c r="CS19" s="219">
        <v>18.34308868499534</v>
      </c>
      <c r="CT19" s="219">
        <v>18.33715000065353</v>
      </c>
      <c r="CU19" s="219">
        <v>18.319767171890462</v>
      </c>
      <c r="CV19" s="219">
        <v>18.314084913341151</v>
      </c>
      <c r="CW19" s="219">
        <v>18.30846532923362</v>
      </c>
      <c r="CX19" s="219">
        <v>18.301624030994649</v>
      </c>
      <c r="CY19" s="219">
        <v>18.29217752826629</v>
      </c>
      <c r="CZ19" s="219">
        <v>18.282723328749501</v>
      </c>
      <c r="DA19" s="219">
        <v>18.273260416017582</v>
      </c>
      <c r="DB19" s="219">
        <v>18.263788358330562</v>
      </c>
    </row>
    <row r="20" spans="1:106" x14ac:dyDescent="0.35">
      <c r="A20" s="137" t="s">
        <v>549</v>
      </c>
      <c r="B20" s="130" t="s">
        <v>545</v>
      </c>
      <c r="C20" s="214">
        <v>1.2659010996343479E-5</v>
      </c>
      <c r="D20" s="214">
        <v>1.2654997138242791E-5</v>
      </c>
      <c r="E20" s="214">
        <v>1.265098342358023E-5</v>
      </c>
      <c r="F20" s="214">
        <v>1.2543971280317461E-5</v>
      </c>
      <c r="G20" s="214">
        <v>1.253992281510309E-5</v>
      </c>
      <c r="H20" s="214">
        <v>1.253590922743745E-5</v>
      </c>
      <c r="I20" s="214">
        <v>1.253587292614269E-5</v>
      </c>
      <c r="J20" s="214">
        <v>1.2536192934526601E-5</v>
      </c>
      <c r="K20" s="214">
        <v>1.2476716936431939E-5</v>
      </c>
      <c r="L20" s="214">
        <v>1.247846230153266E-5</v>
      </c>
      <c r="M20" s="214">
        <v>1.248045546201146E-5</v>
      </c>
      <c r="N20" s="214">
        <v>1.248986526679571E-5</v>
      </c>
      <c r="O20" s="214">
        <v>1.24996020080263E-5</v>
      </c>
      <c r="P20" s="214">
        <v>1.2493453397235309E-5</v>
      </c>
      <c r="Q20" s="214">
        <v>1.2504630963554659E-5</v>
      </c>
      <c r="R20" s="214">
        <v>1.251615352872468E-5</v>
      </c>
      <c r="S20" s="214">
        <v>1.250728401384684E-5</v>
      </c>
      <c r="T20" s="214">
        <v>1.2498428463519009E-5</v>
      </c>
      <c r="U20" s="214">
        <v>1.247012318188861E-5</v>
      </c>
      <c r="V20" s="214">
        <v>1.2461394126509461E-5</v>
      </c>
      <c r="W20" s="214">
        <v>1.245266659919168E-5</v>
      </c>
      <c r="X20" s="214">
        <v>1.2483755781396839E-5</v>
      </c>
      <c r="Y20" s="214">
        <v>1.246591399974307E-5</v>
      </c>
      <c r="Z20" s="214">
        <v>1.2447977523522269E-5</v>
      </c>
      <c r="AA20" s="214">
        <v>1.2429945039727371E-5</v>
      </c>
      <c r="AB20" s="214">
        <v>1.241181567990726E-5</v>
      </c>
      <c r="AC20" s="33">
        <v>3.1261832748559033E-8</v>
      </c>
      <c r="AD20" s="219">
        <v>3.1262645291983509E-8</v>
      </c>
      <c r="AE20" s="219">
        <v>3.1263354879526607E-8</v>
      </c>
      <c r="AF20" s="219">
        <v>3.0932876277144843E-8</v>
      </c>
      <c r="AG20" s="219">
        <v>3.0932891849921612E-8</v>
      </c>
      <c r="AH20" s="219">
        <v>3.0932791907197121E-8</v>
      </c>
      <c r="AI20" s="219">
        <v>3.0956352205094307E-8</v>
      </c>
      <c r="AJ20" s="219">
        <v>3.0979712878222789E-8</v>
      </c>
      <c r="AK20" s="219">
        <v>3.0803542917419938E-8</v>
      </c>
      <c r="AL20" s="219">
        <v>3.0826903326512349E-8</v>
      </c>
      <c r="AM20" s="219">
        <v>3.0849970794637658E-8</v>
      </c>
      <c r="AN20" s="219">
        <v>3.0896299631418448E-8</v>
      </c>
      <c r="AO20" s="219">
        <v>3.0942392488203029E-8</v>
      </c>
      <c r="AP20" s="219">
        <v>3.0922585331423222E-8</v>
      </c>
      <c r="AQ20" s="219">
        <v>3.0969416044989888E-8</v>
      </c>
      <c r="AR20" s="219">
        <v>3.1016159798007692E-8</v>
      </c>
      <c r="AS20" s="219">
        <v>3.1020474149277462E-8</v>
      </c>
      <c r="AT20" s="219">
        <v>3.1024036931540007E-8</v>
      </c>
      <c r="AU20" s="219">
        <v>3.0962402370119793E-8</v>
      </c>
      <c r="AV20" s="219">
        <v>3.0964280398943428E-8</v>
      </c>
      <c r="AW20" s="219">
        <v>3.0965476720542929E-8</v>
      </c>
      <c r="AX20" s="219">
        <v>3.1027101889993492E-8</v>
      </c>
      <c r="AY20" s="219">
        <v>3.0998410374649967E-8</v>
      </c>
      <c r="AZ20" s="219">
        <v>3.0969347431652952E-8</v>
      </c>
      <c r="BA20" s="219">
        <v>3.0939913639353121E-8</v>
      </c>
      <c r="BB20" s="219">
        <v>3.0910109740520237E-8</v>
      </c>
      <c r="BC20" s="33">
        <v>0.4048684161021201</v>
      </c>
      <c r="BD20" s="219">
        <v>0.404546305324685</v>
      </c>
      <c r="BE20" s="219">
        <v>0.40422690971424619</v>
      </c>
      <c r="BF20" s="219">
        <v>0.39396662461215892</v>
      </c>
      <c r="BG20" s="219">
        <v>0.39367648945578487</v>
      </c>
      <c r="BH20" s="219">
        <v>0.39338872450731233</v>
      </c>
      <c r="BI20" s="219">
        <v>0.39284417711910069</v>
      </c>
      <c r="BJ20" s="219">
        <v>0.39230962854376122</v>
      </c>
      <c r="BK20" s="219">
        <v>0.38437896535590282</v>
      </c>
      <c r="BL20" s="219">
        <v>0.38391016151309848</v>
      </c>
      <c r="BM20" s="219">
        <v>0.38345091347846139</v>
      </c>
      <c r="BN20" s="219">
        <v>0.38277325124041522</v>
      </c>
      <c r="BO20" s="219">
        <v>0.38210673841776749</v>
      </c>
      <c r="BP20" s="219">
        <v>0.37910509219479233</v>
      </c>
      <c r="BQ20" s="219">
        <v>0.3784809934202949</v>
      </c>
      <c r="BR20" s="219">
        <v>0.3778684891514395</v>
      </c>
      <c r="BS20" s="219">
        <v>0.37729590938768842</v>
      </c>
      <c r="BT20" s="219">
        <v>0.37673529880705758</v>
      </c>
      <c r="BU20" s="219">
        <v>0.37394978702559217</v>
      </c>
      <c r="BV20" s="219">
        <v>0.37343414622005883</v>
      </c>
      <c r="BW20" s="219">
        <v>0.37293046512490668</v>
      </c>
      <c r="BX20" s="219">
        <v>0.37262437420496292</v>
      </c>
      <c r="BY20" s="219">
        <v>0.3723225031057848</v>
      </c>
      <c r="BZ20" s="219">
        <v>0.37202462063795738</v>
      </c>
      <c r="CA20" s="219">
        <v>0.37173071983864131</v>
      </c>
      <c r="CB20" s="219">
        <v>0.37144080938549962</v>
      </c>
      <c r="CC20" s="33">
        <v>7.175687916426253</v>
      </c>
      <c r="CD20" s="219">
        <v>7.1721324172718237</v>
      </c>
      <c r="CE20" s="219">
        <v>7.1686308023740102</v>
      </c>
      <c r="CF20" s="219">
        <v>7.0939911491043874</v>
      </c>
      <c r="CG20" s="219">
        <v>7.0907252597680568</v>
      </c>
      <c r="CH20" s="219">
        <v>7.0874965477432061</v>
      </c>
      <c r="CI20" s="219">
        <v>7.0868799004418541</v>
      </c>
      <c r="CJ20" s="219">
        <v>7.0864235707012044</v>
      </c>
      <c r="CK20" s="219">
        <v>7.0372347781035982</v>
      </c>
      <c r="CL20" s="219">
        <v>7.037624464690837</v>
      </c>
      <c r="CM20" s="219">
        <v>7.0381332652922168</v>
      </c>
      <c r="CN20" s="219">
        <v>7.0407843400180719</v>
      </c>
      <c r="CO20" s="219">
        <v>7.0436191655729941</v>
      </c>
      <c r="CP20" s="219">
        <v>7.0339797616955986</v>
      </c>
      <c r="CQ20" s="219">
        <v>7.0376137251927533</v>
      </c>
      <c r="CR20" s="219">
        <v>7.0414358020256334</v>
      </c>
      <c r="CS20" s="219">
        <v>7.035184972423945</v>
      </c>
      <c r="CT20" s="219">
        <v>7.0290258456088814</v>
      </c>
      <c r="CU20" s="219">
        <v>7.0104512252938909</v>
      </c>
      <c r="CV20" s="219">
        <v>7.0045861875215314</v>
      </c>
      <c r="CW20" s="219">
        <v>6.9987971443445431</v>
      </c>
      <c r="CX20" s="219">
        <v>6.9917308978538166</v>
      </c>
      <c r="CY20" s="219">
        <v>6.9818755455842343</v>
      </c>
      <c r="CZ20" s="219">
        <v>6.9720142522934969</v>
      </c>
      <c r="DA20" s="219">
        <v>6.9621462523846738</v>
      </c>
      <c r="DB20" s="219">
        <v>6.9522711361631604</v>
      </c>
    </row>
    <row r="21" spans="1:106" x14ac:dyDescent="0.35">
      <c r="A21" s="137" t="s">
        <v>550</v>
      </c>
      <c r="B21" s="130" t="s">
        <v>545</v>
      </c>
      <c r="C21" s="214">
        <v>4.7878154238684011E-5</v>
      </c>
      <c r="D21" s="214">
        <v>4.7845447348014772E-5</v>
      </c>
      <c r="E21" s="214">
        <v>4.781212565109132E-5</v>
      </c>
      <c r="F21" s="214">
        <v>4.7318002526094368E-5</v>
      </c>
      <c r="G21" s="214">
        <v>4.7282484654992997E-5</v>
      </c>
      <c r="H21" s="214">
        <v>4.7246730540267427E-5</v>
      </c>
      <c r="I21" s="214">
        <v>4.7258109393593861E-5</v>
      </c>
      <c r="J21" s="214">
        <v>4.7270791867537213E-5</v>
      </c>
      <c r="K21" s="214">
        <v>4.7019057521999098E-5</v>
      </c>
      <c r="L21" s="214">
        <v>4.7037418930855803E-5</v>
      </c>
      <c r="M21" s="214">
        <v>4.7056613032813848E-5</v>
      </c>
      <c r="N21" s="214">
        <v>4.7122970618715142E-5</v>
      </c>
      <c r="O21" s="214">
        <v>4.7190331927324047E-5</v>
      </c>
      <c r="P21" s="214">
        <v>4.7188370149686973E-5</v>
      </c>
      <c r="Q21" s="214">
        <v>4.7261975763598488E-5</v>
      </c>
      <c r="R21" s="214">
        <v>4.7337009638789723E-5</v>
      </c>
      <c r="S21" s="214">
        <v>4.7227067233802178E-5</v>
      </c>
      <c r="T21" s="214">
        <v>4.7115969002608973E-5</v>
      </c>
      <c r="U21" s="214">
        <v>4.6918524925795892E-5</v>
      </c>
      <c r="V21" s="214">
        <v>4.6805388349174111E-5</v>
      </c>
      <c r="W21" s="214">
        <v>4.6690907291403128E-5</v>
      </c>
      <c r="X21" s="214">
        <v>4.6800894145315893E-5</v>
      </c>
      <c r="Y21" s="214">
        <v>4.6611472631541473E-5</v>
      </c>
      <c r="Z21" s="214">
        <v>4.6420136894424357E-5</v>
      </c>
      <c r="AA21" s="214">
        <v>4.6226838946619207E-5</v>
      </c>
      <c r="AB21" s="214">
        <v>4.6031537741664328E-5</v>
      </c>
      <c r="AC21" s="33">
        <v>1.3417560966006859E-7</v>
      </c>
      <c r="AD21" s="219">
        <v>1.341428921500874E-7</v>
      </c>
      <c r="AE21" s="219">
        <v>1.34108659278302E-7</v>
      </c>
      <c r="AF21" s="219">
        <v>1.3259927871764709E-7</v>
      </c>
      <c r="AG21" s="219">
        <v>1.325599072803107E-7</v>
      </c>
      <c r="AH21" s="219">
        <v>1.3251905175306721E-7</v>
      </c>
      <c r="AI21" s="219">
        <v>1.3263507229513311E-7</v>
      </c>
      <c r="AJ21" s="219">
        <v>1.3274934368206221E-7</v>
      </c>
      <c r="AK21" s="219">
        <v>1.319814936238249E-7</v>
      </c>
      <c r="AL21" s="219">
        <v>1.3209428951107719E-7</v>
      </c>
      <c r="AM21" s="219">
        <v>1.3220495754626249E-7</v>
      </c>
      <c r="AN21" s="219">
        <v>1.3244884254088359E-7</v>
      </c>
      <c r="AO21" s="219">
        <v>1.3269051068612739E-7</v>
      </c>
      <c r="AP21" s="219">
        <v>1.3264153117848551E-7</v>
      </c>
      <c r="AQ21" s="219">
        <v>1.328851622301502E-7</v>
      </c>
      <c r="AR21" s="219">
        <v>1.33127750902406E-7</v>
      </c>
      <c r="AS21" s="219">
        <v>1.330016453834435E-7</v>
      </c>
      <c r="AT21" s="219">
        <v>1.3286961404106569E-7</v>
      </c>
      <c r="AU21" s="219">
        <v>1.3244802840816579E-7</v>
      </c>
      <c r="AV21" s="219">
        <v>1.323043095499449E-7</v>
      </c>
      <c r="AW21" s="219">
        <v>1.3215555531840779E-7</v>
      </c>
      <c r="AX21" s="219">
        <v>1.321661052202075E-7</v>
      </c>
      <c r="AY21" s="219">
        <v>1.318247753540917E-7</v>
      </c>
      <c r="AZ21" s="219">
        <v>1.3147976181729491E-7</v>
      </c>
      <c r="BA21" s="219">
        <v>1.3113107499561001E-7</v>
      </c>
      <c r="BB21" s="219">
        <v>1.3077871523920561E-7</v>
      </c>
      <c r="BC21" s="33">
        <v>1.866947058622022</v>
      </c>
      <c r="BD21" s="219">
        <v>1.865145274540426</v>
      </c>
      <c r="BE21" s="219">
        <v>1.863318742362376</v>
      </c>
      <c r="BF21" s="219">
        <v>1.8173284948403281</v>
      </c>
      <c r="BG21" s="219">
        <v>1.8155552046085019</v>
      </c>
      <c r="BH21" s="219">
        <v>1.813753339777574</v>
      </c>
      <c r="BI21" s="219">
        <v>1.8107348975115249</v>
      </c>
      <c r="BJ21" s="219">
        <v>1.8077368265671181</v>
      </c>
      <c r="BK21" s="219">
        <v>1.7720174648224549</v>
      </c>
      <c r="BL21" s="219">
        <v>1.769264576772503</v>
      </c>
      <c r="BM21" s="219">
        <v>1.7665305969304239</v>
      </c>
      <c r="BN21" s="219">
        <v>1.763524648323147</v>
      </c>
      <c r="BO21" s="219">
        <v>1.7605587098967861</v>
      </c>
      <c r="BP21" s="219">
        <v>1.7472689956637679</v>
      </c>
      <c r="BQ21" s="219">
        <v>1.7444717692590901</v>
      </c>
      <c r="BR21" s="219">
        <v>1.7417166068449981</v>
      </c>
      <c r="BS21" s="219">
        <v>1.7390023620695361</v>
      </c>
      <c r="BT21" s="219">
        <v>1.7363217572581431</v>
      </c>
      <c r="BU21" s="219">
        <v>1.7237895394586109</v>
      </c>
      <c r="BV21" s="219">
        <v>1.7212703009767081</v>
      </c>
      <c r="BW21" s="219">
        <v>1.7187849945699489</v>
      </c>
      <c r="BX21" s="219">
        <v>1.717551185860029</v>
      </c>
      <c r="BY21" s="219">
        <v>1.716349248949437</v>
      </c>
      <c r="BZ21" s="219">
        <v>1.715177411039817</v>
      </c>
      <c r="CA21" s="219">
        <v>1.714035723002332</v>
      </c>
      <c r="CB21" s="219">
        <v>1.712924492976716</v>
      </c>
      <c r="CC21" s="33">
        <v>26.01784193237237</v>
      </c>
      <c r="CD21" s="219">
        <v>25.98870100745614</v>
      </c>
      <c r="CE21" s="219">
        <v>25.95967680853213</v>
      </c>
      <c r="CF21" s="219">
        <v>25.614265081200511</v>
      </c>
      <c r="CG21" s="219">
        <v>25.58598886471772</v>
      </c>
      <c r="CH21" s="219">
        <v>25.557717204300399</v>
      </c>
      <c r="CI21" s="219">
        <v>25.55264267182659</v>
      </c>
      <c r="CJ21" s="219">
        <v>25.54814757446761</v>
      </c>
      <c r="CK21" s="219">
        <v>25.328242846434151</v>
      </c>
      <c r="CL21" s="219">
        <v>25.327272063442599</v>
      </c>
      <c r="CM21" s="219">
        <v>25.32667393117482</v>
      </c>
      <c r="CN21" s="219">
        <v>25.342138421686919</v>
      </c>
      <c r="CO21" s="219">
        <v>25.35834241585253</v>
      </c>
      <c r="CP21" s="219">
        <v>25.319654487820841</v>
      </c>
      <c r="CQ21" s="219">
        <v>25.339233385315001</v>
      </c>
      <c r="CR21" s="219">
        <v>25.359568124511519</v>
      </c>
      <c r="CS21" s="219">
        <v>25.296535674760062</v>
      </c>
      <c r="CT21" s="219">
        <v>25.23384950939105</v>
      </c>
      <c r="CU21" s="219">
        <v>25.116444640492759</v>
      </c>
      <c r="CV21" s="219">
        <v>25.054796293434851</v>
      </c>
      <c r="CW21" s="219">
        <v>24.99332568896757</v>
      </c>
      <c r="CX21" s="219">
        <v>24.91858912395724</v>
      </c>
      <c r="CY21" s="219">
        <v>24.828412199686142</v>
      </c>
      <c r="CZ21" s="219">
        <v>24.7383310028887</v>
      </c>
      <c r="DA21" s="219">
        <v>24.648328583293029</v>
      </c>
      <c r="DB21" s="219">
        <v>24.558395045687469</v>
      </c>
    </row>
    <row r="22" spans="1:106" x14ac:dyDescent="0.35">
      <c r="A22" s="137" t="s">
        <v>551</v>
      </c>
      <c r="B22" s="130" t="s">
        <v>545</v>
      </c>
      <c r="C22" s="214">
        <v>1.8962109083617121E-5</v>
      </c>
      <c r="D22" s="214">
        <v>1.895286104701996E-5</v>
      </c>
      <c r="E22" s="214">
        <v>1.8943643883628789E-5</v>
      </c>
      <c r="F22" s="214">
        <v>1.8646731473974379E-5</v>
      </c>
      <c r="G22" s="214">
        <v>1.8637504443180411E-5</v>
      </c>
      <c r="H22" s="214">
        <v>1.862839452034765E-5</v>
      </c>
      <c r="I22" s="214">
        <v>1.8627506592043112E-5</v>
      </c>
      <c r="J22" s="214">
        <v>1.8627619454785311E-5</v>
      </c>
      <c r="K22" s="214">
        <v>1.8460444332673692E-5</v>
      </c>
      <c r="L22" s="214">
        <v>1.846456113920342E-5</v>
      </c>
      <c r="M22" s="214">
        <v>1.8469379909769099E-5</v>
      </c>
      <c r="N22" s="214">
        <v>1.8493630547017649E-5</v>
      </c>
      <c r="O22" s="214">
        <v>1.8518821710217381E-5</v>
      </c>
      <c r="P22" s="214">
        <v>1.8499478673396859E-5</v>
      </c>
      <c r="Q22" s="214">
        <v>1.852868366716227E-5</v>
      </c>
      <c r="R22" s="214">
        <v>1.855884546883486E-5</v>
      </c>
      <c r="S22" s="214">
        <v>1.853978385273816E-5</v>
      </c>
      <c r="T22" s="214">
        <v>1.8520847423622061E-5</v>
      </c>
      <c r="U22" s="214">
        <v>1.844750859684566E-5</v>
      </c>
      <c r="V22" s="214">
        <v>1.842910865861851E-5</v>
      </c>
      <c r="W22" s="214">
        <v>1.8410808250474719E-5</v>
      </c>
      <c r="X22" s="214">
        <v>1.8491352537524489E-5</v>
      </c>
      <c r="Y22" s="214">
        <v>1.8450723452619291E-5</v>
      </c>
      <c r="Z22" s="214">
        <v>1.840993513784084E-5</v>
      </c>
      <c r="AA22" s="214">
        <v>1.8368986682832292E-5</v>
      </c>
      <c r="AB22" s="214">
        <v>1.8327878096100131E-5</v>
      </c>
      <c r="AC22" s="33">
        <v>4.693676337495074E-8</v>
      </c>
      <c r="AD22" s="219">
        <v>4.6943714658137627E-8</v>
      </c>
      <c r="AE22" s="219">
        <v>4.6950434822000648E-8</v>
      </c>
      <c r="AF22" s="219">
        <v>4.6031682581634592E-8</v>
      </c>
      <c r="AG22" s="219">
        <v>4.6036564136855058E-8</v>
      </c>
      <c r="AH22" s="219">
        <v>4.6041172063550259E-8</v>
      </c>
      <c r="AI22" s="219">
        <v>4.6106155861032512E-8</v>
      </c>
      <c r="AJ22" s="219">
        <v>4.6170611988273278E-8</v>
      </c>
      <c r="AK22" s="219">
        <v>4.5676856407673E-8</v>
      </c>
      <c r="AL22" s="219">
        <v>4.5741356145151212E-8</v>
      </c>
      <c r="AM22" s="219">
        <v>4.5805073558481597E-8</v>
      </c>
      <c r="AN22" s="219">
        <v>4.5931324431815048E-8</v>
      </c>
      <c r="AO22" s="219">
        <v>4.605698516311318E-8</v>
      </c>
      <c r="AP22" s="219">
        <v>4.5998196902195421E-8</v>
      </c>
      <c r="AQ22" s="219">
        <v>4.6125959621307907E-8</v>
      </c>
      <c r="AR22" s="219">
        <v>4.6253489956411348E-8</v>
      </c>
      <c r="AS22" s="219">
        <v>4.6277789607589572E-8</v>
      </c>
      <c r="AT22" s="219">
        <v>4.6300174513879967E-8</v>
      </c>
      <c r="AU22" s="219">
        <v>4.6140249537601103E-8</v>
      </c>
      <c r="AV22" s="219">
        <v>4.615820988830738E-8</v>
      </c>
      <c r="AW22" s="219">
        <v>4.6174398648870908E-8</v>
      </c>
      <c r="AX22" s="219">
        <v>4.6343398255876558E-8</v>
      </c>
      <c r="AY22" s="219">
        <v>4.6281859710773803E-8</v>
      </c>
      <c r="AZ22" s="219">
        <v>4.621943385349436E-8</v>
      </c>
      <c r="BA22" s="219">
        <v>4.6156121953184779E-8</v>
      </c>
      <c r="BB22" s="219">
        <v>4.6091926442082453E-8</v>
      </c>
      <c r="BC22" s="33">
        <v>1.125598951925316</v>
      </c>
      <c r="BD22" s="219">
        <v>1.124722822559068</v>
      </c>
      <c r="BE22" s="219">
        <v>1.123856357287176</v>
      </c>
      <c r="BF22" s="219">
        <v>1.0952002045990661</v>
      </c>
      <c r="BG22" s="219">
        <v>1.0944198535202629</v>
      </c>
      <c r="BH22" s="219">
        <v>1.093648359658183</v>
      </c>
      <c r="BI22" s="219">
        <v>1.092155925830077</v>
      </c>
      <c r="BJ22" s="219">
        <v>1.0906930285845471</v>
      </c>
      <c r="BK22" s="219">
        <v>1.0685418389020289</v>
      </c>
      <c r="BL22" s="219">
        <v>1.0672658295676001</v>
      </c>
      <c r="BM22" s="219">
        <v>1.066018109059486</v>
      </c>
      <c r="BN22" s="219">
        <v>1.064109503038223</v>
      </c>
      <c r="BO22" s="219">
        <v>1.0622330140473659</v>
      </c>
      <c r="BP22" s="219">
        <v>1.053824428716178</v>
      </c>
      <c r="BQ22" s="219">
        <v>1.052068494958577</v>
      </c>
      <c r="BR22" s="219">
        <v>1.0503459062861229</v>
      </c>
      <c r="BS22" s="219">
        <v>1.0487543440473901</v>
      </c>
      <c r="BT22" s="219">
        <v>1.047197847883482</v>
      </c>
      <c r="BU22" s="219">
        <v>1.0394187230185801</v>
      </c>
      <c r="BV22" s="219">
        <v>1.0379910938351899</v>
      </c>
      <c r="BW22" s="219">
        <v>1.036598476580143</v>
      </c>
      <c r="BX22" s="219">
        <v>1.035735022818864</v>
      </c>
      <c r="BY22" s="219">
        <v>1.034882603101658</v>
      </c>
      <c r="BZ22" s="219">
        <v>1.0340406454042479</v>
      </c>
      <c r="CA22" s="219">
        <v>1.0332091254007969</v>
      </c>
      <c r="CB22" s="219">
        <v>1.0323880508489791</v>
      </c>
      <c r="CC22" s="33">
        <v>8.1637909831742004</v>
      </c>
      <c r="CD22" s="219">
        <v>8.1550285464993184</v>
      </c>
      <c r="CE22" s="219">
        <v>8.1464210558196122</v>
      </c>
      <c r="CF22" s="219">
        <v>7.9389826142608202</v>
      </c>
      <c r="CG22" s="219">
        <v>7.9310463440177674</v>
      </c>
      <c r="CH22" s="219">
        <v>7.9232222136403214</v>
      </c>
      <c r="CI22" s="219">
        <v>7.9213855163053912</v>
      </c>
      <c r="CJ22" s="219">
        <v>7.9200024910136806</v>
      </c>
      <c r="CK22" s="219">
        <v>7.7822861119837254</v>
      </c>
      <c r="CL22" s="219">
        <v>7.783277101111624</v>
      </c>
      <c r="CM22" s="219">
        <v>7.7846094515209057</v>
      </c>
      <c r="CN22" s="219">
        <v>7.791298746884129</v>
      </c>
      <c r="CO22" s="219">
        <v>7.7985057129793773</v>
      </c>
      <c r="CP22" s="219">
        <v>7.7707918651959718</v>
      </c>
      <c r="CQ22" s="219">
        <v>7.7802441549774448</v>
      </c>
      <c r="CR22" s="219">
        <v>7.7902260922056312</v>
      </c>
      <c r="CS22" s="219">
        <v>7.7757200965885938</v>
      </c>
      <c r="CT22" s="219">
        <v>7.7614796499534124</v>
      </c>
      <c r="CU22" s="219">
        <v>7.7124965419334099</v>
      </c>
      <c r="CV22" s="219">
        <v>7.6991098667982056</v>
      </c>
      <c r="CW22" s="219">
        <v>7.6859536965847761</v>
      </c>
      <c r="CX22" s="219">
        <v>7.6699360054459031</v>
      </c>
      <c r="CY22" s="219">
        <v>7.6466104226137617</v>
      </c>
      <c r="CZ22" s="219">
        <v>7.6232686594232044</v>
      </c>
      <c r="DA22" s="219">
        <v>7.5999095268562344</v>
      </c>
      <c r="DB22" s="219">
        <v>7.5765324850372142</v>
      </c>
    </row>
    <row r="23" spans="1:106" x14ac:dyDescent="0.35">
      <c r="A23" s="137" t="s">
        <v>552</v>
      </c>
      <c r="B23" s="130" t="s">
        <v>545</v>
      </c>
      <c r="C23" s="214">
        <v>3.3790708709198369E-5</v>
      </c>
      <c r="D23" s="214">
        <v>3.3785224320728221E-5</v>
      </c>
      <c r="E23" s="214">
        <v>3.3779738014111652E-5</v>
      </c>
      <c r="F23" s="214">
        <v>3.3659948155997188E-5</v>
      </c>
      <c r="G23" s="214">
        <v>3.3654405758162523E-5</v>
      </c>
      <c r="H23" s="214">
        <v>3.3648900536162222E-5</v>
      </c>
      <c r="I23" s="214">
        <v>3.3648861345695622E-5</v>
      </c>
      <c r="J23" s="214">
        <v>3.3649235611108412E-5</v>
      </c>
      <c r="K23" s="214">
        <v>3.3583262356564818E-5</v>
      </c>
      <c r="L23" s="214">
        <v>3.3585243522553703E-5</v>
      </c>
      <c r="M23" s="214">
        <v>3.3587509154129098E-5</v>
      </c>
      <c r="N23" s="214">
        <v>3.3598458895559192E-5</v>
      </c>
      <c r="O23" s="214">
        <v>3.3609773771242517E-5</v>
      </c>
      <c r="P23" s="214">
        <v>3.3603461184116453E-5</v>
      </c>
      <c r="Q23" s="214">
        <v>3.3616396859735271E-5</v>
      </c>
      <c r="R23" s="214">
        <v>3.3629729497843168E-5</v>
      </c>
      <c r="S23" s="214">
        <v>3.3617663023943792E-5</v>
      </c>
      <c r="T23" s="214">
        <v>3.3605577674057597E-5</v>
      </c>
      <c r="U23" s="214">
        <v>3.357186188276452E-5</v>
      </c>
      <c r="V23" s="214">
        <v>3.3559844335477249E-5</v>
      </c>
      <c r="W23" s="214">
        <v>3.3547790349402863E-5</v>
      </c>
      <c r="X23" s="214">
        <v>3.3588433724060313E-5</v>
      </c>
      <c r="Y23" s="214">
        <v>3.3565087729305613E-5</v>
      </c>
      <c r="Z23" s="214">
        <v>3.3541598066504032E-5</v>
      </c>
      <c r="AA23" s="214">
        <v>3.3517962022619069E-5</v>
      </c>
      <c r="AB23" s="214">
        <v>3.3494177781136399E-5</v>
      </c>
      <c r="AC23" s="33">
        <v>8.3066176207996405E-8</v>
      </c>
      <c r="AD23" s="219">
        <v>8.3064289258355119E-8</v>
      </c>
      <c r="AE23" s="219">
        <v>8.3062293577653134E-8</v>
      </c>
      <c r="AF23" s="219">
        <v>8.269278838688252E-8</v>
      </c>
      <c r="AG23" s="219">
        <v>8.2690032464829174E-8</v>
      </c>
      <c r="AH23" s="219">
        <v>8.2687149899878607E-8</v>
      </c>
      <c r="AI23" s="219">
        <v>8.2712656418778069E-8</v>
      </c>
      <c r="AJ23" s="219">
        <v>8.2737984407466765E-8</v>
      </c>
      <c r="AK23" s="219">
        <v>8.2541909613082209E-8</v>
      </c>
      <c r="AL23" s="219">
        <v>8.2567323608715722E-8</v>
      </c>
      <c r="AM23" s="219">
        <v>8.2592443771105716E-8</v>
      </c>
      <c r="AN23" s="219">
        <v>8.2643832662057464E-8</v>
      </c>
      <c r="AO23" s="219">
        <v>8.2694983389242323E-8</v>
      </c>
      <c r="AP23" s="219">
        <v>8.2673008640845505E-8</v>
      </c>
      <c r="AQ23" s="219">
        <v>8.2725054126907484E-8</v>
      </c>
      <c r="AR23" s="219">
        <v>8.2777053828276006E-8</v>
      </c>
      <c r="AS23" s="219">
        <v>8.2776383625830147E-8</v>
      </c>
      <c r="AT23" s="219">
        <v>8.277485242930563E-8</v>
      </c>
      <c r="AU23" s="219">
        <v>8.270093066088207E-8</v>
      </c>
      <c r="AV23" s="219">
        <v>8.2697507597113443E-8</v>
      </c>
      <c r="AW23" s="219">
        <v>8.2693318707236856E-8</v>
      </c>
      <c r="AX23" s="219">
        <v>8.2772527462725471E-8</v>
      </c>
      <c r="AY23" s="219">
        <v>8.2733086369800845E-8</v>
      </c>
      <c r="AZ23" s="219">
        <v>8.2693192699032779E-8</v>
      </c>
      <c r="BA23" s="219">
        <v>8.2652845953532874E-8</v>
      </c>
      <c r="BB23" s="219">
        <v>8.2612046394092224E-8</v>
      </c>
      <c r="BC23" s="33">
        <v>0.44675393600555913</v>
      </c>
      <c r="BD23" s="219">
        <v>0.4463939381372396</v>
      </c>
      <c r="BE23" s="219">
        <v>0.4460363387452102</v>
      </c>
      <c r="BF23" s="219">
        <v>0.43464652475593712</v>
      </c>
      <c r="BG23" s="219">
        <v>0.43432003404176311</v>
      </c>
      <c r="BH23" s="219">
        <v>0.4339954328541803</v>
      </c>
      <c r="BI23" s="219">
        <v>0.43339292981161742</v>
      </c>
      <c r="BJ23" s="219">
        <v>0.43280055708667742</v>
      </c>
      <c r="BK23" s="219">
        <v>0.42399894377039937</v>
      </c>
      <c r="BL23" s="219">
        <v>0.42347765926405229</v>
      </c>
      <c r="BM23" s="219">
        <v>0.42296596092477462</v>
      </c>
      <c r="BN23" s="219">
        <v>0.42223587921171529</v>
      </c>
      <c r="BO23" s="219">
        <v>0.42151715441663379</v>
      </c>
      <c r="BP23" s="219">
        <v>0.41820523474081339</v>
      </c>
      <c r="BQ23" s="219">
        <v>0.41753149261027489</v>
      </c>
      <c r="BR23" s="219">
        <v>0.41686964807872989</v>
      </c>
      <c r="BS23" s="219">
        <v>0.41624351087257139</v>
      </c>
      <c r="BT23" s="219">
        <v>0.41562921311532841</v>
      </c>
      <c r="BU23" s="219">
        <v>0.41254375053769998</v>
      </c>
      <c r="BV23" s="219">
        <v>0.41197648077965499</v>
      </c>
      <c r="BW23" s="219">
        <v>0.4114210469596728</v>
      </c>
      <c r="BX23" s="219">
        <v>0.41109029417673371</v>
      </c>
      <c r="BY23" s="219">
        <v>0.41076425550664453</v>
      </c>
      <c r="BZ23" s="219">
        <v>0.41044264479682607</v>
      </c>
      <c r="CA23" s="219">
        <v>0.41012544069368462</v>
      </c>
      <c r="CB23" s="219">
        <v>0.40981265801618921</v>
      </c>
      <c r="CC23" s="33">
        <v>24.07383995350909</v>
      </c>
      <c r="CD23" s="219">
        <v>24.06942143877011</v>
      </c>
      <c r="CE23" s="219">
        <v>24.065064536893669</v>
      </c>
      <c r="CF23" s="219">
        <v>23.98176773415992</v>
      </c>
      <c r="CG23" s="219">
        <v>23.977672841742269</v>
      </c>
      <c r="CH23" s="219">
        <v>23.973617337894769</v>
      </c>
      <c r="CI23" s="219">
        <v>23.972973218103689</v>
      </c>
      <c r="CJ23" s="219">
        <v>23.97250715065713</v>
      </c>
      <c r="CK23" s="219">
        <v>23.917958883491139</v>
      </c>
      <c r="CL23" s="219">
        <v>23.918432031375069</v>
      </c>
      <c r="CM23" s="219">
        <v>23.91903467342317</v>
      </c>
      <c r="CN23" s="219">
        <v>23.922261440580009</v>
      </c>
      <c r="CO23" s="219">
        <v>23.925689592589102</v>
      </c>
      <c r="CP23" s="219">
        <v>23.915264998120499</v>
      </c>
      <c r="CQ23" s="219">
        <v>23.919572115046851</v>
      </c>
      <c r="CR23" s="219">
        <v>23.924087707106239</v>
      </c>
      <c r="CS23" s="219">
        <v>23.916012584811011</v>
      </c>
      <c r="CT23" s="219">
        <v>23.908030317948029</v>
      </c>
      <c r="CU23" s="219">
        <v>23.88625362176386</v>
      </c>
      <c r="CV23" s="219">
        <v>23.878574284226119</v>
      </c>
      <c r="CW23" s="219">
        <v>23.870966697332349</v>
      </c>
      <c r="CX23" s="219">
        <v>23.861691130020361</v>
      </c>
      <c r="CY23" s="219">
        <v>23.849092977342991</v>
      </c>
      <c r="CZ23" s="219">
        <v>23.83648567588547</v>
      </c>
      <c r="DA23" s="219">
        <v>23.823867783595102</v>
      </c>
      <c r="DB23" s="219">
        <v>23.81123861237959</v>
      </c>
    </row>
    <row r="24" spans="1:106" x14ac:dyDescent="0.35">
      <c r="A24" s="137" t="s">
        <v>553</v>
      </c>
      <c r="B24" s="130" t="s">
        <v>545</v>
      </c>
      <c r="C24" s="214">
        <v>4.9501344387347283E-6</v>
      </c>
      <c r="D24" s="214">
        <v>4.9506369595064372E-6</v>
      </c>
      <c r="E24" s="214">
        <v>4.9509131179793492E-6</v>
      </c>
      <c r="F24" s="214">
        <v>4.8825772865936706E-6</v>
      </c>
      <c r="G24" s="214">
        <v>4.8813002047253046E-6</v>
      </c>
      <c r="H24" s="214">
        <v>4.8800681745155958E-6</v>
      </c>
      <c r="I24" s="214">
        <v>4.8777492483000663E-6</v>
      </c>
      <c r="J24" s="214">
        <v>4.8757856274019371E-6</v>
      </c>
      <c r="K24" s="214">
        <v>4.8345002673932573E-6</v>
      </c>
      <c r="L24" s="214">
        <v>4.8336787225052718E-6</v>
      </c>
      <c r="M24" s="214">
        <v>4.8331054891894078E-6</v>
      </c>
      <c r="N24" s="214">
        <v>4.8382087383832873E-6</v>
      </c>
      <c r="O24" s="214">
        <v>4.8436209603109021E-6</v>
      </c>
      <c r="P24" s="214">
        <v>4.838442482163999E-6</v>
      </c>
      <c r="Q24" s="214">
        <v>4.8449317194460979E-6</v>
      </c>
      <c r="R24" s="214">
        <v>4.8517378100481523E-6</v>
      </c>
      <c r="S24" s="214">
        <v>4.8467827747004347E-6</v>
      </c>
      <c r="T24" s="214">
        <v>4.8418521921183546E-6</v>
      </c>
      <c r="U24" s="214">
        <v>4.8239345906597421E-6</v>
      </c>
      <c r="V24" s="214">
        <v>4.8191129183885016E-6</v>
      </c>
      <c r="W24" s="214">
        <v>4.8143047728537234E-6</v>
      </c>
      <c r="X24" s="214">
        <v>4.8408520711746472E-6</v>
      </c>
      <c r="Y24" s="214">
        <v>4.8320443233616539E-6</v>
      </c>
      <c r="Z24" s="214">
        <v>4.8231938311082254E-6</v>
      </c>
      <c r="AA24" s="214">
        <v>4.8143000851052693E-6</v>
      </c>
      <c r="AB24" s="214">
        <v>4.8053630799399306E-6</v>
      </c>
      <c r="AC24" s="33">
        <v>7.2903050039416263E-9</v>
      </c>
      <c r="AD24" s="219">
        <v>7.2941646369371052E-9</v>
      </c>
      <c r="AE24" s="219">
        <v>7.2980567304023742E-9</v>
      </c>
      <c r="AF24" s="219">
        <v>7.0859131481905781E-9</v>
      </c>
      <c r="AG24" s="219">
        <v>7.089550270509499E-9</v>
      </c>
      <c r="AH24" s="219">
        <v>7.0931887103708381E-9</v>
      </c>
      <c r="AI24" s="219">
        <v>7.1045344487003117E-9</v>
      </c>
      <c r="AJ24" s="219">
        <v>7.1160106028349919E-9</v>
      </c>
      <c r="AK24" s="219">
        <v>6.9961650469338639E-9</v>
      </c>
      <c r="AL24" s="219">
        <v>7.0081207591575298E-9</v>
      </c>
      <c r="AM24" s="219">
        <v>7.0201102247182393E-9</v>
      </c>
      <c r="AN24" s="219">
        <v>7.0494382851302256E-9</v>
      </c>
      <c r="AO24" s="219">
        <v>7.0788839415404407E-9</v>
      </c>
      <c r="AP24" s="219">
        <v>7.0648678309356772E-9</v>
      </c>
      <c r="AQ24" s="219">
        <v>7.0952651288989329E-9</v>
      </c>
      <c r="AR24" s="219">
        <v>7.1258988928634104E-9</v>
      </c>
      <c r="AS24" s="219">
        <v>7.129955063935868E-9</v>
      </c>
      <c r="AT24" s="219">
        <v>7.1337291718775599E-9</v>
      </c>
      <c r="AU24" s="219">
        <v>7.094560273004761E-9</v>
      </c>
      <c r="AV24" s="219">
        <v>7.0976130391068114E-9</v>
      </c>
      <c r="AW24" s="219">
        <v>7.1004041280590513E-9</v>
      </c>
      <c r="AX24" s="219">
        <v>7.1387494200551129E-9</v>
      </c>
      <c r="AY24" s="219">
        <v>7.1252816159619807E-9</v>
      </c>
      <c r="AZ24" s="219">
        <v>7.1116549971346144E-9</v>
      </c>
      <c r="BA24" s="219">
        <v>7.097868543756944E-9</v>
      </c>
      <c r="BB24" s="219">
        <v>7.0839223058635781E-9</v>
      </c>
      <c r="BC24" s="33">
        <v>0.20607304978727789</v>
      </c>
      <c r="BD24" s="219">
        <v>0.2058744142136105</v>
      </c>
      <c r="BE24" s="219">
        <v>0.2056780497451679</v>
      </c>
      <c r="BF24" s="219">
        <v>0.19897094075291361</v>
      </c>
      <c r="BG24" s="219">
        <v>0.19879478417664359</v>
      </c>
      <c r="BH24" s="219">
        <v>0.1986204977127429</v>
      </c>
      <c r="BI24" s="219">
        <v>0.1982701050271703</v>
      </c>
      <c r="BJ24" s="219">
        <v>0.19792487215082361</v>
      </c>
      <c r="BK24" s="219">
        <v>0.19270677694390681</v>
      </c>
      <c r="BL24" s="219">
        <v>0.1924017041769541</v>
      </c>
      <c r="BM24" s="219">
        <v>0.1921012200023251</v>
      </c>
      <c r="BN24" s="219">
        <v>0.1916458493070583</v>
      </c>
      <c r="BO24" s="219">
        <v>0.19119529705719679</v>
      </c>
      <c r="BP24" s="219">
        <v>0.18920149257826621</v>
      </c>
      <c r="BQ24" s="219">
        <v>0.1887735834458012</v>
      </c>
      <c r="BR24" s="219">
        <v>0.18835106564312379</v>
      </c>
      <c r="BS24" s="219">
        <v>0.18794820401725551</v>
      </c>
      <c r="BT24" s="219">
        <v>0.18754987114634281</v>
      </c>
      <c r="BU24" s="219">
        <v>0.18568117863096159</v>
      </c>
      <c r="BV24" s="219">
        <v>0.18530551047306071</v>
      </c>
      <c r="BW24" s="219">
        <v>0.18493430323928831</v>
      </c>
      <c r="BX24" s="219">
        <v>0.18471868345809861</v>
      </c>
      <c r="BY24" s="219">
        <v>0.1845046053700074</v>
      </c>
      <c r="BZ24" s="219">
        <v>0.18429194122937051</v>
      </c>
      <c r="CA24" s="219">
        <v>0.18408066799283429</v>
      </c>
      <c r="CB24" s="219">
        <v>0.1838707853657256</v>
      </c>
      <c r="CC24" s="33">
        <v>1.1152184558702289</v>
      </c>
      <c r="CD24" s="219">
        <v>1.1131459740660929</v>
      </c>
      <c r="CE24" s="219">
        <v>1.111119364499523</v>
      </c>
      <c r="CF24" s="219">
        <v>1.0626003661283081</v>
      </c>
      <c r="CG24" s="219">
        <v>1.060751511110932</v>
      </c>
      <c r="CH24" s="219">
        <v>1.058932940158879</v>
      </c>
      <c r="CI24" s="219">
        <v>1.0579582500322939</v>
      </c>
      <c r="CJ24" s="219">
        <v>1.057109095526841</v>
      </c>
      <c r="CK24" s="219">
        <v>1.024156460204753</v>
      </c>
      <c r="CL24" s="219">
        <v>1.023894650159987</v>
      </c>
      <c r="CM24" s="219">
        <v>1.023723102833642</v>
      </c>
      <c r="CN24" s="219">
        <v>1.024645137122475</v>
      </c>
      <c r="CO24" s="219">
        <v>1.025698895734807</v>
      </c>
      <c r="CP24" s="219">
        <v>1.01847262330431</v>
      </c>
      <c r="CQ24" s="219">
        <v>1.020063972756112</v>
      </c>
      <c r="CR24" s="219">
        <v>1.021803275327688</v>
      </c>
      <c r="CS24" s="219">
        <v>1.0182561921730571</v>
      </c>
      <c r="CT24" s="219">
        <v>1.014754040391153</v>
      </c>
      <c r="CU24" s="219">
        <v>1.002997622724469</v>
      </c>
      <c r="CV24" s="219">
        <v>0.9996594189134127</v>
      </c>
      <c r="CW24" s="219">
        <v>0.99635725417892229</v>
      </c>
      <c r="CX24" s="219">
        <v>0.99297637850098042</v>
      </c>
      <c r="CY24" s="219">
        <v>0.98771428344224488</v>
      </c>
      <c r="CZ24" s="219">
        <v>0.98244383310319205</v>
      </c>
      <c r="DA24" s="219">
        <v>0.97716446400496804</v>
      </c>
      <c r="DB24" s="219">
        <v>0.9718760106392601</v>
      </c>
    </row>
    <row r="25" spans="1:106" x14ac:dyDescent="0.35">
      <c r="A25" s="137" t="s">
        <v>554</v>
      </c>
      <c r="B25" s="130" t="s">
        <v>545</v>
      </c>
      <c r="C25" s="214">
        <v>8.6188168610858168E-6</v>
      </c>
      <c r="D25" s="214">
        <v>8.6170783036147543E-6</v>
      </c>
      <c r="E25" s="214">
        <v>8.6153316317609723E-6</v>
      </c>
      <c r="F25" s="214">
        <v>8.5854436011518104E-6</v>
      </c>
      <c r="G25" s="214">
        <v>8.5836629823366129E-6</v>
      </c>
      <c r="H25" s="214">
        <v>8.5818868598370293E-6</v>
      </c>
      <c r="I25" s="214">
        <v>8.5820122700871156E-6</v>
      </c>
      <c r="J25" s="214">
        <v>8.5822360201445059E-6</v>
      </c>
      <c r="K25" s="214">
        <v>8.5661963293627325E-6</v>
      </c>
      <c r="L25" s="214">
        <v>8.5668071590933889E-6</v>
      </c>
      <c r="M25" s="214">
        <v>8.5674840223031145E-6</v>
      </c>
      <c r="N25" s="214">
        <v>8.5705552054735225E-6</v>
      </c>
      <c r="O25" s="214">
        <v>8.5737103422297875E-6</v>
      </c>
      <c r="P25" s="214">
        <v>8.5725709751945357E-6</v>
      </c>
      <c r="Q25" s="214">
        <v>8.5761258363099735E-6</v>
      </c>
      <c r="R25" s="214">
        <v>8.5797788478256585E-6</v>
      </c>
      <c r="S25" s="214">
        <v>8.5758185493088006E-6</v>
      </c>
      <c r="T25" s="214">
        <v>8.5718389372358122E-6</v>
      </c>
      <c r="U25" s="214">
        <v>8.5625662826504174E-6</v>
      </c>
      <c r="V25" s="214">
        <v>8.5585731811240765E-6</v>
      </c>
      <c r="W25" s="214">
        <v>8.5545554849567568E-6</v>
      </c>
      <c r="X25" s="214">
        <v>8.5685746609562007E-6</v>
      </c>
      <c r="Y25" s="214">
        <v>8.5612129477568196E-6</v>
      </c>
      <c r="Z25" s="214">
        <v>8.5537975438456432E-6</v>
      </c>
      <c r="AA25" s="214">
        <v>8.5463273686294895E-6</v>
      </c>
      <c r="AB25" s="214">
        <v>8.5388015488200444E-6</v>
      </c>
      <c r="AC25" s="33">
        <v>2.1220634069577941E-8</v>
      </c>
      <c r="AD25" s="219">
        <v>2.1219260971928432E-8</v>
      </c>
      <c r="AE25" s="219">
        <v>2.1217845654136369E-8</v>
      </c>
      <c r="AF25" s="219">
        <v>2.1126056361441732E-8</v>
      </c>
      <c r="AG25" s="219">
        <v>2.112442725578664E-8</v>
      </c>
      <c r="AH25" s="219">
        <v>2.112275375251995E-8</v>
      </c>
      <c r="AI25" s="219">
        <v>2.1129224921481779E-8</v>
      </c>
      <c r="AJ25" s="219">
        <v>2.1135636095318492E-8</v>
      </c>
      <c r="AK25" s="219">
        <v>2.1087772604137071E-8</v>
      </c>
      <c r="AL25" s="219">
        <v>2.1094175145189772E-8</v>
      </c>
      <c r="AM25" s="219">
        <v>2.1100487554328311E-8</v>
      </c>
      <c r="AN25" s="219">
        <v>2.111382971630196E-8</v>
      </c>
      <c r="AO25" s="219">
        <v>2.1127091352157092E-8</v>
      </c>
      <c r="AP25" s="219">
        <v>2.1122452108210971E-8</v>
      </c>
      <c r="AQ25" s="219">
        <v>2.113590864780177E-8</v>
      </c>
      <c r="AR25" s="219">
        <v>2.11493419526201E-8</v>
      </c>
      <c r="AS25" s="219">
        <v>2.114720562815201E-8</v>
      </c>
      <c r="AT25" s="219">
        <v>2.114481589679638E-8</v>
      </c>
      <c r="AU25" s="219">
        <v>2.1124668941965778E-8</v>
      </c>
      <c r="AV25" s="219">
        <v>2.112174582409825E-8</v>
      </c>
      <c r="AW25" s="219">
        <v>2.11186019706336E-8</v>
      </c>
      <c r="AX25" s="219">
        <v>2.1147390325806769E-8</v>
      </c>
      <c r="AY25" s="219">
        <v>2.1134502068438089E-8</v>
      </c>
      <c r="AZ25" s="219">
        <v>2.1121472491294789E-8</v>
      </c>
      <c r="BA25" s="219">
        <v>2.110830182896093E-8</v>
      </c>
      <c r="BB25" s="219">
        <v>2.109499018079528E-8</v>
      </c>
      <c r="BC25" s="33">
        <v>0.1153493370411367</v>
      </c>
      <c r="BD25" s="219">
        <v>0.1152548989914986</v>
      </c>
      <c r="BE25" s="219">
        <v>0.1151606759666555</v>
      </c>
      <c r="BF25" s="219">
        <v>0.1123566920796369</v>
      </c>
      <c r="BG25" s="219">
        <v>0.1122693520583576</v>
      </c>
      <c r="BH25" s="219">
        <v>0.1121820889129295</v>
      </c>
      <c r="BI25" s="219">
        <v>0.1120259465661305</v>
      </c>
      <c r="BJ25" s="219">
        <v>0.1118721333943147</v>
      </c>
      <c r="BK25" s="219">
        <v>0.1097055697176267</v>
      </c>
      <c r="BL25" s="219">
        <v>0.10956890004589059</v>
      </c>
      <c r="BM25" s="219">
        <v>0.1094344368818804</v>
      </c>
      <c r="BN25" s="219">
        <v>0.1092533044954227</v>
      </c>
      <c r="BO25" s="219">
        <v>0.10907497121311061</v>
      </c>
      <c r="BP25" s="219">
        <v>0.10826125534655021</v>
      </c>
      <c r="BQ25" s="219">
        <v>0.10809397525234971</v>
      </c>
      <c r="BR25" s="219">
        <v>0.10792962472240621</v>
      </c>
      <c r="BS25" s="219">
        <v>0.1077719228181922</v>
      </c>
      <c r="BT25" s="219">
        <v>0.1076170616612378</v>
      </c>
      <c r="BU25" s="219">
        <v>0.1068565104901778</v>
      </c>
      <c r="BV25" s="219">
        <v>0.1067130788343932</v>
      </c>
      <c r="BW25" s="219">
        <v>0.1065724924850474</v>
      </c>
      <c r="BX25" s="219">
        <v>0.1064910826864371</v>
      </c>
      <c r="BY25" s="219">
        <v>0.1064110242141051</v>
      </c>
      <c r="BZ25" s="219">
        <v>0.1063322333971839</v>
      </c>
      <c r="CA25" s="219">
        <v>0.10625470952361479</v>
      </c>
      <c r="CB25" s="219">
        <v>0.10617845923819259</v>
      </c>
      <c r="CC25" s="33">
        <v>5.7609623485725292</v>
      </c>
      <c r="CD25" s="219">
        <v>5.7596760896035928</v>
      </c>
      <c r="CE25" s="219">
        <v>5.7584037089451083</v>
      </c>
      <c r="CF25" s="219">
        <v>5.7377307021072994</v>
      </c>
      <c r="CG25" s="219">
        <v>5.7365199926780921</v>
      </c>
      <c r="CH25" s="219">
        <v>5.7353172222186606</v>
      </c>
      <c r="CI25" s="219">
        <v>5.7352030205694371</v>
      </c>
      <c r="CJ25" s="219">
        <v>5.7351317718501811</v>
      </c>
      <c r="CK25" s="219">
        <v>5.7218043073131817</v>
      </c>
      <c r="CL25" s="219">
        <v>5.7219623604468461</v>
      </c>
      <c r="CM25" s="219">
        <v>5.7221510720472697</v>
      </c>
      <c r="CN25" s="219">
        <v>5.7231144820128508</v>
      </c>
      <c r="CO25" s="219">
        <v>5.7241274334219394</v>
      </c>
      <c r="CP25" s="219">
        <v>5.7217536748390838</v>
      </c>
      <c r="CQ25" s="219">
        <v>5.7229822963542754</v>
      </c>
      <c r="CR25" s="219">
        <v>5.724261907237854</v>
      </c>
      <c r="CS25" s="219">
        <v>5.7217768233745652</v>
      </c>
      <c r="CT25" s="219">
        <v>5.7193142932306626</v>
      </c>
      <c r="CU25" s="219">
        <v>5.7134768761138419</v>
      </c>
      <c r="CV25" s="219">
        <v>5.7110860528179952</v>
      </c>
      <c r="CW25" s="219">
        <v>5.70871111777645</v>
      </c>
      <c r="CX25" s="219">
        <v>5.7058053300440932</v>
      </c>
      <c r="CY25" s="219">
        <v>5.7019712672840601</v>
      </c>
      <c r="CZ25" s="219">
        <v>5.6981352955651721</v>
      </c>
      <c r="DA25" s="219">
        <v>5.6942969546537281</v>
      </c>
      <c r="DB25" s="219">
        <v>5.6904559725876043</v>
      </c>
    </row>
    <row r="26" spans="1:106" x14ac:dyDescent="0.35">
      <c r="A26" s="137" t="s">
        <v>555</v>
      </c>
      <c r="B26" s="130" t="s">
        <v>545</v>
      </c>
      <c r="C26" s="214">
        <v>1.723763372217163E-5</v>
      </c>
      <c r="D26" s="214">
        <v>1.7234156607229509E-5</v>
      </c>
      <c r="E26" s="214">
        <v>1.7230663263521941E-5</v>
      </c>
      <c r="F26" s="214">
        <v>1.7170887202303621E-5</v>
      </c>
      <c r="G26" s="214">
        <v>1.7167325964673229E-5</v>
      </c>
      <c r="H26" s="214">
        <v>1.7163773719674059E-5</v>
      </c>
      <c r="I26" s="214">
        <v>1.7164024540174231E-5</v>
      </c>
      <c r="J26" s="214">
        <v>1.7164472040289008E-5</v>
      </c>
      <c r="K26" s="214">
        <v>1.7132392658725462E-5</v>
      </c>
      <c r="L26" s="214">
        <v>1.7133614318186781E-5</v>
      </c>
      <c r="M26" s="214">
        <v>1.7134968044606229E-5</v>
      </c>
      <c r="N26" s="214">
        <v>1.7141110410947048E-5</v>
      </c>
      <c r="O26" s="214">
        <v>1.7147420684459578E-5</v>
      </c>
      <c r="P26" s="214">
        <v>1.7145141950389071E-5</v>
      </c>
      <c r="Q26" s="214">
        <v>1.715225167261995E-5</v>
      </c>
      <c r="R26" s="214">
        <v>1.715955769565132E-5</v>
      </c>
      <c r="S26" s="214">
        <v>1.7151637098617601E-5</v>
      </c>
      <c r="T26" s="214">
        <v>1.7143677874471621E-5</v>
      </c>
      <c r="U26" s="214">
        <v>1.7125132565300831E-5</v>
      </c>
      <c r="V26" s="214">
        <v>1.711714636224815E-5</v>
      </c>
      <c r="W26" s="214">
        <v>1.710911096991351E-5</v>
      </c>
      <c r="X26" s="214">
        <v>1.7137149321912401E-5</v>
      </c>
      <c r="Y26" s="214">
        <v>1.7122425895513639E-5</v>
      </c>
      <c r="Z26" s="214">
        <v>1.710759508769129E-5</v>
      </c>
      <c r="AA26" s="214">
        <v>1.7092654737258979E-5</v>
      </c>
      <c r="AB26" s="214">
        <v>1.7077603097640089E-5</v>
      </c>
      <c r="AC26" s="33">
        <v>4.2441268139155882E-8</v>
      </c>
      <c r="AD26" s="219">
        <v>4.2438521943856863E-8</v>
      </c>
      <c r="AE26" s="219">
        <v>4.2435691308272752E-8</v>
      </c>
      <c r="AF26" s="219">
        <v>4.225211272288347E-8</v>
      </c>
      <c r="AG26" s="219">
        <v>4.2248854511573287E-8</v>
      </c>
      <c r="AH26" s="219">
        <v>4.2245507505039912E-8</v>
      </c>
      <c r="AI26" s="219">
        <v>4.2258449842963551E-8</v>
      </c>
      <c r="AJ26" s="219">
        <v>4.2271272190636983E-8</v>
      </c>
      <c r="AK26" s="219">
        <v>4.2175545208274143E-8</v>
      </c>
      <c r="AL26" s="219">
        <v>4.2188350290379543E-8</v>
      </c>
      <c r="AM26" s="219">
        <v>4.2200975108656623E-8</v>
      </c>
      <c r="AN26" s="219">
        <v>4.2227659432603913E-8</v>
      </c>
      <c r="AO26" s="219">
        <v>4.225418270431419E-8</v>
      </c>
      <c r="AP26" s="219">
        <v>4.2244904216421942E-8</v>
      </c>
      <c r="AQ26" s="219">
        <v>4.2271817295603548E-8</v>
      </c>
      <c r="AR26" s="219">
        <v>4.2298683905240213E-8</v>
      </c>
      <c r="AS26" s="219">
        <v>4.2294411256304021E-8</v>
      </c>
      <c r="AT26" s="219">
        <v>4.228963179359276E-8</v>
      </c>
      <c r="AU26" s="219">
        <v>4.2249337883931557E-8</v>
      </c>
      <c r="AV26" s="219">
        <v>4.2243491648196513E-8</v>
      </c>
      <c r="AW26" s="219">
        <v>4.22372039412672E-8</v>
      </c>
      <c r="AX26" s="219">
        <v>4.2294780651613538E-8</v>
      </c>
      <c r="AY26" s="219">
        <v>4.2269004136876177E-8</v>
      </c>
      <c r="AZ26" s="219">
        <v>4.2242944982589577E-8</v>
      </c>
      <c r="BA26" s="219">
        <v>4.2216603657921873E-8</v>
      </c>
      <c r="BB26" s="219">
        <v>4.2189980361590553E-8</v>
      </c>
      <c r="BC26" s="33">
        <v>0.2306986740822734</v>
      </c>
      <c r="BD26" s="219">
        <v>0.2305097979829972</v>
      </c>
      <c r="BE26" s="219">
        <v>0.23032135193331099</v>
      </c>
      <c r="BF26" s="219">
        <v>0.2247133841592738</v>
      </c>
      <c r="BG26" s="219">
        <v>0.2245387041167152</v>
      </c>
      <c r="BH26" s="219">
        <v>0.22436417782585891</v>
      </c>
      <c r="BI26" s="219">
        <v>0.22405189313226101</v>
      </c>
      <c r="BJ26" s="219">
        <v>0.22374426678862949</v>
      </c>
      <c r="BK26" s="219">
        <v>0.21941113943525331</v>
      </c>
      <c r="BL26" s="219">
        <v>0.21913780009178119</v>
      </c>
      <c r="BM26" s="219">
        <v>0.21886887376376091</v>
      </c>
      <c r="BN26" s="219">
        <v>0.2185066089908454</v>
      </c>
      <c r="BO26" s="219">
        <v>0.21814994242622129</v>
      </c>
      <c r="BP26" s="219">
        <v>0.2165225106931005</v>
      </c>
      <c r="BQ26" s="219">
        <v>0.2161879505046993</v>
      </c>
      <c r="BR26" s="219">
        <v>0.21585924944481241</v>
      </c>
      <c r="BS26" s="219">
        <v>0.21554384563638451</v>
      </c>
      <c r="BT26" s="219">
        <v>0.21523412332247549</v>
      </c>
      <c r="BU26" s="219">
        <v>0.21371302098035569</v>
      </c>
      <c r="BV26" s="219">
        <v>0.21342615766878639</v>
      </c>
      <c r="BW26" s="219">
        <v>0.2131449849700949</v>
      </c>
      <c r="BX26" s="219">
        <v>0.21298216537287429</v>
      </c>
      <c r="BY26" s="219">
        <v>0.21282204842821029</v>
      </c>
      <c r="BZ26" s="219">
        <v>0.21266446679436779</v>
      </c>
      <c r="CA26" s="219">
        <v>0.21250941904722959</v>
      </c>
      <c r="CB26" s="219">
        <v>0.2123569184763853</v>
      </c>
      <c r="CC26" s="33">
        <v>11.52192469714506</v>
      </c>
      <c r="CD26" s="219">
        <v>11.519352179207189</v>
      </c>
      <c r="CE26" s="219">
        <v>11.51680741789022</v>
      </c>
      <c r="CF26" s="219">
        <v>11.475461404214601</v>
      </c>
      <c r="CG26" s="219">
        <v>11.473039985356181</v>
      </c>
      <c r="CH26" s="219">
        <v>11.470634444437319</v>
      </c>
      <c r="CI26" s="219">
        <v>11.470406041138871</v>
      </c>
      <c r="CJ26" s="219">
        <v>11.47026354370036</v>
      </c>
      <c r="CK26" s="219">
        <v>11.44360861462636</v>
      </c>
      <c r="CL26" s="219">
        <v>11.443924720893691</v>
      </c>
      <c r="CM26" s="219">
        <v>11.444302144094539</v>
      </c>
      <c r="CN26" s="219">
        <v>11.4462289640257</v>
      </c>
      <c r="CO26" s="219">
        <v>11.448254866843881</v>
      </c>
      <c r="CP26" s="219">
        <v>11.443507349678169</v>
      </c>
      <c r="CQ26" s="219">
        <v>11.445964592708551</v>
      </c>
      <c r="CR26" s="219">
        <v>11.44852381447571</v>
      </c>
      <c r="CS26" s="219">
        <v>11.44355364674913</v>
      </c>
      <c r="CT26" s="219">
        <v>11.438628586461331</v>
      </c>
      <c r="CU26" s="219">
        <v>11.42695375222768</v>
      </c>
      <c r="CV26" s="219">
        <v>11.42217210563599</v>
      </c>
      <c r="CW26" s="219">
        <v>11.4174222355529</v>
      </c>
      <c r="CX26" s="219">
        <v>11.41161066008819</v>
      </c>
      <c r="CY26" s="219">
        <v>11.40394253456812</v>
      </c>
      <c r="CZ26" s="219">
        <v>11.396270591130341</v>
      </c>
      <c r="DA26" s="219">
        <v>11.38859390930746</v>
      </c>
      <c r="DB26" s="219">
        <v>11.38091194517521</v>
      </c>
    </row>
    <row r="27" spans="1:106" x14ac:dyDescent="0.35">
      <c r="A27" s="137" t="s">
        <v>556</v>
      </c>
      <c r="B27" s="130" t="s">
        <v>545</v>
      </c>
      <c r="C27" s="214">
        <v>4.7674290796040403E-5</v>
      </c>
      <c r="D27" s="214">
        <v>4.7647442248610799E-5</v>
      </c>
      <c r="E27" s="214">
        <v>4.7620691143467193E-5</v>
      </c>
      <c r="F27" s="214">
        <v>4.6710626614154619E-5</v>
      </c>
      <c r="G27" s="214">
        <v>4.6683866026644508E-5</v>
      </c>
      <c r="H27" s="214">
        <v>4.6657463937684592E-5</v>
      </c>
      <c r="I27" s="214">
        <v>4.6655555741455818E-5</v>
      </c>
      <c r="J27" s="214">
        <v>4.6656691589708667E-5</v>
      </c>
      <c r="K27" s="214">
        <v>4.6144143163416788E-5</v>
      </c>
      <c r="L27" s="214">
        <v>4.6157530680783367E-5</v>
      </c>
      <c r="M27" s="214">
        <v>4.6173062988558169E-5</v>
      </c>
      <c r="N27" s="214">
        <v>4.6247858723601937E-5</v>
      </c>
      <c r="O27" s="214">
        <v>4.6325521656398892E-5</v>
      </c>
      <c r="P27" s="214">
        <v>4.6266412580081238E-5</v>
      </c>
      <c r="Q27" s="214">
        <v>4.6356360501487482E-5</v>
      </c>
      <c r="R27" s="214">
        <v>4.6449221234608577E-5</v>
      </c>
      <c r="S27" s="214">
        <v>4.6391292481549041E-5</v>
      </c>
      <c r="T27" s="214">
        <v>4.6333756410141627E-5</v>
      </c>
      <c r="U27" s="214">
        <v>4.610917141101055E-5</v>
      </c>
      <c r="V27" s="214">
        <v>4.6053287155547463E-5</v>
      </c>
      <c r="W27" s="214">
        <v>4.5997711147972101E-5</v>
      </c>
      <c r="X27" s="214">
        <v>4.6199137221199453E-5</v>
      </c>
      <c r="Y27" s="214">
        <v>4.6075472413437981E-5</v>
      </c>
      <c r="Z27" s="214">
        <v>4.5951323760183913E-5</v>
      </c>
      <c r="AA27" s="214">
        <v>4.5826688518955138E-5</v>
      </c>
      <c r="AB27" s="214">
        <v>4.5701566746829163E-5</v>
      </c>
      <c r="AC27" s="33">
        <v>1.184861444119771E-7</v>
      </c>
      <c r="AD27" s="219">
        <v>1.1851193497664921E-7</v>
      </c>
      <c r="AE27" s="219">
        <v>1.185370088596047E-7</v>
      </c>
      <c r="AF27" s="219">
        <v>1.157204750052967E-7</v>
      </c>
      <c r="AG27" s="219">
        <v>1.1573988221079309E-7</v>
      </c>
      <c r="AH27" s="219">
        <v>1.157584502251903E-7</v>
      </c>
      <c r="AI27" s="219">
        <v>1.159601019466281E-7</v>
      </c>
      <c r="AJ27" s="219">
        <v>1.161601060382703E-7</v>
      </c>
      <c r="AK27" s="219">
        <v>1.146460896967378E-7</v>
      </c>
      <c r="AL27" s="219">
        <v>1.148461925396061E-7</v>
      </c>
      <c r="AM27" s="219">
        <v>1.150439022356505E-7</v>
      </c>
      <c r="AN27" s="219">
        <v>1.154331449983749E-7</v>
      </c>
      <c r="AO27" s="219">
        <v>1.158205534053424E-7</v>
      </c>
      <c r="AP27" s="219">
        <v>1.156415720339048E-7</v>
      </c>
      <c r="AQ27" s="219">
        <v>1.160353872868189E-7</v>
      </c>
      <c r="AR27" s="219">
        <v>1.164284505755732E-7</v>
      </c>
      <c r="AS27" s="219">
        <v>1.1650456854927989E-7</v>
      </c>
      <c r="AT27" s="219">
        <v>1.1657480820997451E-7</v>
      </c>
      <c r="AU27" s="219">
        <v>1.160852544522174E-7</v>
      </c>
      <c r="AV27" s="219">
        <v>1.161419079831737E-7</v>
      </c>
      <c r="AW27" s="219">
        <v>1.1619312204893E-7</v>
      </c>
      <c r="AX27" s="219">
        <v>1.1658059645740311E-7</v>
      </c>
      <c r="AY27" s="219">
        <v>1.1639411801330011E-7</v>
      </c>
      <c r="AZ27" s="219">
        <v>1.162049242962264E-7</v>
      </c>
      <c r="BA27" s="219">
        <v>1.160130193626278E-7</v>
      </c>
      <c r="BB27" s="219">
        <v>1.158184108047546E-7</v>
      </c>
      <c r="BC27" s="33">
        <v>3.4163251329196052</v>
      </c>
      <c r="BD27" s="219">
        <v>3.413638594731597</v>
      </c>
      <c r="BE27" s="219">
        <v>3.410981558221569</v>
      </c>
      <c r="BF27" s="219">
        <v>3.322997203883757</v>
      </c>
      <c r="BG27" s="219">
        <v>3.3206042212896421</v>
      </c>
      <c r="BH27" s="219">
        <v>3.3182383000137161</v>
      </c>
      <c r="BI27" s="219">
        <v>3.3136551205250422</v>
      </c>
      <c r="BJ27" s="219">
        <v>3.3091624427634669</v>
      </c>
      <c r="BK27" s="219">
        <v>3.2411460685316609</v>
      </c>
      <c r="BL27" s="219">
        <v>3.237226885313055</v>
      </c>
      <c r="BM27" s="219">
        <v>3.2333944238396541</v>
      </c>
      <c r="BN27" s="219">
        <v>3.2275353715909119</v>
      </c>
      <c r="BO27" s="219">
        <v>3.2217748530149528</v>
      </c>
      <c r="BP27" s="219">
        <v>3.1959572748092619</v>
      </c>
      <c r="BQ27" s="219">
        <v>3.1905668143817532</v>
      </c>
      <c r="BR27" s="219">
        <v>3.1852786002625959</v>
      </c>
      <c r="BS27" s="219">
        <v>3.180383041520054</v>
      </c>
      <c r="BT27" s="219">
        <v>3.1755951983206709</v>
      </c>
      <c r="BU27" s="219">
        <v>3.151700663117889</v>
      </c>
      <c r="BV27" s="219">
        <v>3.1473085951508581</v>
      </c>
      <c r="BW27" s="219">
        <v>3.1430240771503368</v>
      </c>
      <c r="BX27" s="219">
        <v>3.1403728399186099</v>
      </c>
      <c r="BY27" s="219">
        <v>3.1377554509218211</v>
      </c>
      <c r="BZ27" s="219">
        <v>3.1351701694411291</v>
      </c>
      <c r="CA27" s="219">
        <v>3.1326169217173172</v>
      </c>
      <c r="CB27" s="219">
        <v>3.130095731738221</v>
      </c>
      <c r="CC27" s="33">
        <v>16.693761700673651</v>
      </c>
      <c r="CD27" s="219">
        <v>16.666984666485011</v>
      </c>
      <c r="CE27" s="219">
        <v>16.64067970246079</v>
      </c>
      <c r="CF27" s="219">
        <v>16.003873274565649</v>
      </c>
      <c r="CG27" s="219">
        <v>15.97962215166123</v>
      </c>
      <c r="CH27" s="219">
        <v>15.9557160411893</v>
      </c>
      <c r="CI27" s="219">
        <v>15.94978718249436</v>
      </c>
      <c r="CJ27" s="219">
        <v>15.94524322644244</v>
      </c>
      <c r="CK27" s="219">
        <v>15.5220795553271</v>
      </c>
      <c r="CL27" s="219">
        <v>15.52481283007878</v>
      </c>
      <c r="CM27" s="219">
        <v>15.52858988029052</v>
      </c>
      <c r="CN27" s="219">
        <v>15.54850432446154</v>
      </c>
      <c r="CO27" s="219">
        <v>15.570002439382669</v>
      </c>
      <c r="CP27" s="219">
        <v>15.48426782490672</v>
      </c>
      <c r="CQ27" s="219">
        <v>15.51265086029411</v>
      </c>
      <c r="CR27" s="219">
        <v>15.54265195849578</v>
      </c>
      <c r="CS27" s="219">
        <v>15.49821615878272</v>
      </c>
      <c r="CT27" s="219">
        <v>15.45459631806305</v>
      </c>
      <c r="CU27" s="219">
        <v>15.30429732032461</v>
      </c>
      <c r="CV27" s="219">
        <v>15.263301589501831</v>
      </c>
      <c r="CW27" s="219">
        <v>15.223015113503649</v>
      </c>
      <c r="CX27" s="219">
        <v>15.17392170015486</v>
      </c>
      <c r="CY27" s="219">
        <v>15.102870483942</v>
      </c>
      <c r="CZ27" s="219">
        <v>15.03177168939434</v>
      </c>
      <c r="DA27" s="219">
        <v>14.96062171322496</v>
      </c>
      <c r="DB27" s="219">
        <v>14.889418930191519</v>
      </c>
    </row>
    <row r="28" spans="1:106" x14ac:dyDescent="0.35">
      <c r="A28" s="137" t="s">
        <v>557</v>
      </c>
      <c r="B28" s="130" t="s">
        <v>545</v>
      </c>
      <c r="C28" s="214">
        <v>6.0845055167217362E-4</v>
      </c>
      <c r="D28" s="214">
        <v>6.0839081022479242E-4</v>
      </c>
      <c r="E28" s="214">
        <v>6.0832979187340464E-4</v>
      </c>
      <c r="F28" s="214">
        <v>6.0776900061936196E-4</v>
      </c>
      <c r="G28" s="214">
        <v>6.0770274666060563E-4</v>
      </c>
      <c r="H28" s="214">
        <v>6.0763602464456454E-4</v>
      </c>
      <c r="I28" s="214">
        <v>6.0765184626714258E-4</v>
      </c>
      <c r="J28" s="214">
        <v>6.0766903502010923E-4</v>
      </c>
      <c r="K28" s="214">
        <v>6.0739389847534156E-4</v>
      </c>
      <c r="L28" s="214">
        <v>6.0741698096594807E-4</v>
      </c>
      <c r="M28" s="214">
        <v>6.0744080952616127E-4</v>
      </c>
      <c r="N28" s="214">
        <v>6.0752958742720463E-4</v>
      </c>
      <c r="O28" s="214">
        <v>6.0761912190993158E-4</v>
      </c>
      <c r="P28" s="214">
        <v>6.076296902534148E-4</v>
      </c>
      <c r="Q28" s="214">
        <v>6.0772588672076977E-4</v>
      </c>
      <c r="R28" s="214">
        <v>6.0782370206210285E-4</v>
      </c>
      <c r="S28" s="214">
        <v>6.0763890064729933E-4</v>
      </c>
      <c r="T28" s="214">
        <v>6.0745178712054058E-4</v>
      </c>
      <c r="U28" s="214">
        <v>6.0716672703709776E-4</v>
      </c>
      <c r="V28" s="214">
        <v>6.0697519397709919E-4</v>
      </c>
      <c r="W28" s="214">
        <v>6.0678105454745881E-4</v>
      </c>
      <c r="X28" s="214">
        <v>6.0710319307172148E-4</v>
      </c>
      <c r="Y28" s="214">
        <v>6.0679598995414181E-4</v>
      </c>
      <c r="Z28" s="214">
        <v>6.0648553842664E-4</v>
      </c>
      <c r="AA28" s="214">
        <v>6.0617175315794527E-4</v>
      </c>
      <c r="AB28" s="214">
        <v>6.0585456128917493E-4</v>
      </c>
      <c r="AC28" s="33">
        <v>9.6191218089862719E-7</v>
      </c>
      <c r="AD28" s="219">
        <v>9.6180382115193446E-7</v>
      </c>
      <c r="AE28" s="219">
        <v>9.6169350214288596E-7</v>
      </c>
      <c r="AF28" s="219">
        <v>9.5999020934638806E-7</v>
      </c>
      <c r="AG28" s="219">
        <v>9.5987376587445175E-7</v>
      </c>
      <c r="AH28" s="219">
        <v>9.5975540229674244E-7</v>
      </c>
      <c r="AI28" s="219">
        <v>9.5986250883002226E-7</v>
      </c>
      <c r="AJ28" s="219">
        <v>9.5996826393026652E-7</v>
      </c>
      <c r="AK28" s="219">
        <v>9.5910528521493997E-7</v>
      </c>
      <c r="AL28" s="219">
        <v>9.5921055101500361E-7</v>
      </c>
      <c r="AM28" s="219">
        <v>9.593138526924987E-7</v>
      </c>
      <c r="AN28" s="219">
        <v>9.5958088872853538E-7</v>
      </c>
      <c r="AO28" s="219">
        <v>9.5984575996623291E-7</v>
      </c>
      <c r="AP28" s="219">
        <v>9.5978980916041564E-7</v>
      </c>
      <c r="AQ28" s="219">
        <v>9.600579585839967E-7</v>
      </c>
      <c r="AR28" s="219">
        <v>9.6032590205996706E-7</v>
      </c>
      <c r="AS28" s="219">
        <v>9.6003258660457248E-7</v>
      </c>
      <c r="AT28" s="219">
        <v>9.5973192766796889E-7</v>
      </c>
      <c r="AU28" s="219">
        <v>9.5911125741916921E-7</v>
      </c>
      <c r="AV28" s="219">
        <v>9.5879698785270575E-7</v>
      </c>
      <c r="AW28" s="219">
        <v>9.5847686725768125E-7</v>
      </c>
      <c r="AX28" s="219">
        <v>9.5885745447839539E-7</v>
      </c>
      <c r="AY28" s="219">
        <v>9.5827495309388247E-7</v>
      </c>
      <c r="AZ28" s="219">
        <v>9.5768721185226066E-7</v>
      </c>
      <c r="BA28" s="219">
        <v>9.5709423987073597E-7</v>
      </c>
      <c r="BB28" s="219">
        <v>9.5649603059543713E-7</v>
      </c>
      <c r="BC28" s="33">
        <v>1.652561942485899</v>
      </c>
      <c r="BD28" s="219">
        <v>1.65053559893044</v>
      </c>
      <c r="BE28" s="219">
        <v>1.648454993272235</v>
      </c>
      <c r="BF28" s="219">
        <v>1.598332373132705</v>
      </c>
      <c r="BG28" s="219">
        <v>1.596253066962444</v>
      </c>
      <c r="BH28" s="219">
        <v>1.594112862424512</v>
      </c>
      <c r="BI28" s="219">
        <v>1.59081400803963</v>
      </c>
      <c r="BJ28" s="219">
        <v>1.587502643154578</v>
      </c>
      <c r="BK28" s="219">
        <v>1.5482615244056579</v>
      </c>
      <c r="BL28" s="219">
        <v>1.545150500457799</v>
      </c>
      <c r="BM28" s="219">
        <v>1.542025000471636</v>
      </c>
      <c r="BN28" s="219">
        <v>1.539304059491899</v>
      </c>
      <c r="BO28" s="219">
        <v>1.5365956225003941</v>
      </c>
      <c r="BP28" s="219">
        <v>1.5225327262289969</v>
      </c>
      <c r="BQ28" s="219">
        <v>1.5199449305696391</v>
      </c>
      <c r="BR28" s="219">
        <v>1.517372508306654</v>
      </c>
      <c r="BS28" s="219">
        <v>1.514626141189908</v>
      </c>
      <c r="BT28" s="219">
        <v>1.5118739665464731</v>
      </c>
      <c r="BU28" s="219">
        <v>1.4982599093469491</v>
      </c>
      <c r="BV28" s="219">
        <v>1.495597681400624</v>
      </c>
      <c r="BW28" s="219">
        <v>1.4929301921930971</v>
      </c>
      <c r="BX28" s="219">
        <v>1.4918307883232711</v>
      </c>
      <c r="BY28" s="219">
        <v>1.49076812302807</v>
      </c>
      <c r="BZ28" s="219">
        <v>1.4897393381258981</v>
      </c>
      <c r="CA28" s="219">
        <v>1.4887444792608839</v>
      </c>
      <c r="CB28" s="219">
        <v>1.487784065416641</v>
      </c>
      <c r="CC28" s="33">
        <v>287.12824142291743</v>
      </c>
      <c r="CD28" s="219">
        <v>287.08428392473672</v>
      </c>
      <c r="CE28" s="219">
        <v>287.0403973790248</v>
      </c>
      <c r="CF28" s="219">
        <v>286.65330826947837</v>
      </c>
      <c r="CG28" s="219">
        <v>286.61006749868028</v>
      </c>
      <c r="CH28" s="219">
        <v>286.56670690842179</v>
      </c>
      <c r="CI28" s="219">
        <v>286.56244733409977</v>
      </c>
      <c r="CJ28" s="219">
        <v>286.55865933871229</v>
      </c>
      <c r="CK28" s="219">
        <v>286.31778844492612</v>
      </c>
      <c r="CL28" s="219">
        <v>286.31753911588612</v>
      </c>
      <c r="CM28" s="219">
        <v>286.3174983681871</v>
      </c>
      <c r="CN28" s="219">
        <v>286.34214746284613</v>
      </c>
      <c r="CO28" s="219">
        <v>286.36742849542247</v>
      </c>
      <c r="CP28" s="219">
        <v>286.33140775286762</v>
      </c>
      <c r="CQ28" s="219">
        <v>286.35990307562349</v>
      </c>
      <c r="CR28" s="219">
        <v>286.38908058028443</v>
      </c>
      <c r="CS28" s="219">
        <v>286.28832466312269</v>
      </c>
      <c r="CT28" s="219">
        <v>286.18772846128729</v>
      </c>
      <c r="CU28" s="219">
        <v>286.0261322272296</v>
      </c>
      <c r="CV28" s="219">
        <v>285.92607773698398</v>
      </c>
      <c r="CW28" s="219">
        <v>285.82590356600502</v>
      </c>
      <c r="CX28" s="219">
        <v>285.70662729150638</v>
      </c>
      <c r="CY28" s="219">
        <v>285.56289070702258</v>
      </c>
      <c r="CZ28" s="219">
        <v>285.41926671581842</v>
      </c>
      <c r="DA28" s="219">
        <v>285.27572518419629</v>
      </c>
      <c r="DB28" s="219">
        <v>285.13224859179462</v>
      </c>
    </row>
    <row r="29" spans="1:106" x14ac:dyDescent="0.35">
      <c r="A29" s="137" t="s">
        <v>558</v>
      </c>
      <c r="B29" s="130" t="s">
        <v>545</v>
      </c>
      <c r="C29" s="214">
        <v>6.2402927884382207E-5</v>
      </c>
      <c r="D29" s="214">
        <v>6.265615576268017E-5</v>
      </c>
      <c r="E29" s="214">
        <v>6.2882720289886233E-5</v>
      </c>
      <c r="F29" s="214">
        <v>6.1978050243334052E-5</v>
      </c>
      <c r="G29" s="214">
        <v>6.2046515973986094E-5</v>
      </c>
      <c r="H29" s="214">
        <v>6.2113808323119397E-5</v>
      </c>
      <c r="I29" s="214">
        <v>6.2124173223196112E-5</v>
      </c>
      <c r="J29" s="214">
        <v>6.2138424626056736E-5</v>
      </c>
      <c r="K29" s="214">
        <v>6.156407645031702E-5</v>
      </c>
      <c r="L29" s="214">
        <v>6.1593026530444513E-5</v>
      </c>
      <c r="M29" s="214">
        <v>6.1624646022688108E-5</v>
      </c>
      <c r="N29" s="214">
        <v>6.1924788892947318E-5</v>
      </c>
      <c r="O29" s="214">
        <v>6.2229621761742817E-5</v>
      </c>
      <c r="P29" s="214">
        <v>6.2371139859357293E-5</v>
      </c>
      <c r="Q29" s="214">
        <v>6.2692284313853238E-5</v>
      </c>
      <c r="R29" s="214">
        <v>6.3018142830528585E-5</v>
      </c>
      <c r="S29" s="214">
        <v>6.2885854423763192E-5</v>
      </c>
      <c r="T29" s="214">
        <v>6.275372512732666E-5</v>
      </c>
      <c r="U29" s="214">
        <v>6.2422339941558958E-5</v>
      </c>
      <c r="V29" s="214">
        <v>6.2291444160157171E-5</v>
      </c>
      <c r="W29" s="214">
        <v>6.2160598804290239E-5</v>
      </c>
      <c r="X29" s="214">
        <v>6.3249213550213486E-5</v>
      </c>
      <c r="Y29" s="214">
        <v>6.3029321963859825E-5</v>
      </c>
      <c r="Z29" s="214">
        <v>6.2808255811918861E-5</v>
      </c>
      <c r="AA29" s="214">
        <v>6.2586007271436383E-5</v>
      </c>
      <c r="AB29" s="214">
        <v>6.2362572431953276E-5</v>
      </c>
      <c r="AC29" s="33">
        <v>1.7135305557255211E-7</v>
      </c>
      <c r="AD29" s="219">
        <v>1.7168275353840881E-7</v>
      </c>
      <c r="AE29" s="219">
        <v>1.7201026423708139E-7</v>
      </c>
      <c r="AF29" s="219">
        <v>1.6917937664870619E-7</v>
      </c>
      <c r="AG29" s="219">
        <v>1.6950097180105021E-7</v>
      </c>
      <c r="AH29" s="219">
        <v>1.698219635835517E-7</v>
      </c>
      <c r="AI29" s="219">
        <v>1.701346472592509E-7</v>
      </c>
      <c r="AJ29" s="219">
        <v>1.704483185839022E-7</v>
      </c>
      <c r="AK29" s="219">
        <v>1.6880009783731421E-7</v>
      </c>
      <c r="AL29" s="219">
        <v>1.6911939381296461E-7</v>
      </c>
      <c r="AM29" s="219">
        <v>1.694384092689667E-7</v>
      </c>
      <c r="AN29" s="219">
        <v>1.7055903709461669E-7</v>
      </c>
      <c r="AO29" s="219">
        <v>1.71683304401283E-7</v>
      </c>
      <c r="AP29" s="219">
        <v>1.7215391397693921E-7</v>
      </c>
      <c r="AQ29" s="219">
        <v>1.7329584705857891E-7</v>
      </c>
      <c r="AR29" s="219">
        <v>1.7444260119290771E-7</v>
      </c>
      <c r="AS29" s="219">
        <v>1.7453363112639069E-7</v>
      </c>
      <c r="AT29" s="219">
        <v>1.746216620107079E-7</v>
      </c>
      <c r="AU29" s="219">
        <v>1.740652788733835E-7</v>
      </c>
      <c r="AV29" s="219">
        <v>1.74144423050731E-7</v>
      </c>
      <c r="AW29" s="219">
        <v>1.742205354488658E-7</v>
      </c>
      <c r="AX29" s="219">
        <v>1.7748624939677441E-7</v>
      </c>
      <c r="AY29" s="219">
        <v>1.771830312628174E-7</v>
      </c>
      <c r="AZ29" s="219">
        <v>1.7687659835400299E-7</v>
      </c>
      <c r="BA29" s="219">
        <v>1.7656694459384321E-7</v>
      </c>
      <c r="BB29" s="219">
        <v>1.7625406832517369E-7</v>
      </c>
      <c r="BC29" s="33">
        <v>4.3252860734468817</v>
      </c>
      <c r="BD29" s="219">
        <v>4.3215114396023493</v>
      </c>
      <c r="BE29" s="219">
        <v>4.3177575746730383</v>
      </c>
      <c r="BF29" s="219">
        <v>4.2180796685548714</v>
      </c>
      <c r="BG29" s="219">
        <v>4.2145919411817081</v>
      </c>
      <c r="BH29" s="219">
        <v>4.2111188622889433</v>
      </c>
      <c r="BI29" s="219">
        <v>4.2032784259115896</v>
      </c>
      <c r="BJ29" s="219">
        <v>4.1954777344005816</v>
      </c>
      <c r="BK29" s="219">
        <v>4.1150230215083923</v>
      </c>
      <c r="BL29" s="219">
        <v>4.1077444770875688</v>
      </c>
      <c r="BM29" s="219">
        <v>4.100500523304909</v>
      </c>
      <c r="BN29" s="219">
        <v>4.0884984818506336</v>
      </c>
      <c r="BO29" s="219">
        <v>4.0765220221761744</v>
      </c>
      <c r="BP29" s="219">
        <v>4.0414505443717594</v>
      </c>
      <c r="BQ29" s="219">
        <v>4.0297182204605004</v>
      </c>
      <c r="BR29" s="219">
        <v>4.0180166056543563</v>
      </c>
      <c r="BS29" s="219">
        <v>4.0073085865246636</v>
      </c>
      <c r="BT29" s="219">
        <v>3.9966363181601872</v>
      </c>
      <c r="BU29" s="219">
        <v>3.9639856214701892</v>
      </c>
      <c r="BV29" s="219">
        <v>3.953581764057426</v>
      </c>
      <c r="BW29" s="219">
        <v>3.9432139831765838</v>
      </c>
      <c r="BX29" s="219">
        <v>3.9372877683744112</v>
      </c>
      <c r="BY29" s="219">
        <v>3.931378177918587</v>
      </c>
      <c r="BZ29" s="219">
        <v>3.9254823383985462</v>
      </c>
      <c r="CA29" s="219">
        <v>3.9196001600090971</v>
      </c>
      <c r="CB29" s="219">
        <v>3.9137316817420391</v>
      </c>
      <c r="CC29" s="33">
        <v>32.197578151596723</v>
      </c>
      <c r="CD29" s="219">
        <v>32.150394598233163</v>
      </c>
      <c r="CE29" s="219">
        <v>32.103867621298058</v>
      </c>
      <c r="CF29" s="219">
        <v>31.375175592845689</v>
      </c>
      <c r="CG29" s="219">
        <v>31.330909903833088</v>
      </c>
      <c r="CH29" s="219">
        <v>31.287003033307979</v>
      </c>
      <c r="CI29" s="219">
        <v>31.291619225283839</v>
      </c>
      <c r="CJ29" s="219">
        <v>31.297783945990581</v>
      </c>
      <c r="CK29" s="219">
        <v>30.824532587386269</v>
      </c>
      <c r="CL29" s="219">
        <v>30.83894274413187</v>
      </c>
      <c r="CM29" s="219">
        <v>30.854439318017199</v>
      </c>
      <c r="CN29" s="219">
        <v>30.915007936114989</v>
      </c>
      <c r="CO29" s="219">
        <v>30.977777906913069</v>
      </c>
      <c r="CP29" s="219">
        <v>30.915437819755759</v>
      </c>
      <c r="CQ29" s="219">
        <v>30.986649273564161</v>
      </c>
      <c r="CR29" s="219">
        <v>31.06012947348723</v>
      </c>
      <c r="CS29" s="219">
        <v>30.98452553782743</v>
      </c>
      <c r="CT29" s="219">
        <v>30.909708388804962</v>
      </c>
      <c r="CU29" s="219">
        <v>30.71018695781942</v>
      </c>
      <c r="CV29" s="219">
        <v>30.637967940221159</v>
      </c>
      <c r="CW29" s="219">
        <v>30.566391033624459</v>
      </c>
      <c r="CX29" s="219">
        <v>31.044775534327009</v>
      </c>
      <c r="CY29" s="219">
        <v>30.91715595105277</v>
      </c>
      <c r="CZ29" s="219">
        <v>30.789205712584941</v>
      </c>
      <c r="DA29" s="219">
        <v>30.660919411160531</v>
      </c>
      <c r="DB29" s="219">
        <v>30.532294285304701</v>
      </c>
    </row>
    <row r="30" spans="1:106" x14ac:dyDescent="0.35">
      <c r="A30" s="137" t="s">
        <v>559</v>
      </c>
      <c r="B30" s="130" t="s">
        <v>545</v>
      </c>
      <c r="C30" s="214">
        <v>4.7107795772142037E-4</v>
      </c>
      <c r="D30" s="214">
        <v>4.7036276425050012E-4</v>
      </c>
      <c r="E30" s="214">
        <v>4.6964380913878858E-4</v>
      </c>
      <c r="F30" s="214">
        <v>4.6838883694870959E-4</v>
      </c>
      <c r="G30" s="214">
        <v>4.676645863639297E-4</v>
      </c>
      <c r="H30" s="214">
        <v>4.669447761200344E-4</v>
      </c>
      <c r="I30" s="214">
        <v>4.6723440631505448E-4</v>
      </c>
      <c r="J30" s="214">
        <v>4.6756696532402638E-4</v>
      </c>
      <c r="K30" s="214">
        <v>4.676689621129547E-4</v>
      </c>
      <c r="L30" s="214">
        <v>4.6807787496137078E-4</v>
      </c>
      <c r="M30" s="214">
        <v>4.6852058964920213E-4</v>
      </c>
      <c r="N30" s="214">
        <v>4.7028439201801919E-4</v>
      </c>
      <c r="O30" s="214">
        <v>4.7212052813359228E-4</v>
      </c>
      <c r="P30" s="214">
        <v>4.73977923601888E-4</v>
      </c>
      <c r="Q30" s="214">
        <v>4.7595645798392068E-4</v>
      </c>
      <c r="R30" s="214">
        <v>4.7800796153316398E-4</v>
      </c>
      <c r="S30" s="214">
        <v>4.7647978108623983E-4</v>
      </c>
      <c r="T30" s="214">
        <v>4.7495798769713651E-4</v>
      </c>
      <c r="U30" s="214">
        <v>4.7336986642442782E-4</v>
      </c>
      <c r="V30" s="214">
        <v>4.7185959286344267E-4</v>
      </c>
      <c r="W30" s="214">
        <v>4.7035501196330469E-4</v>
      </c>
      <c r="X30" s="214">
        <v>4.7323270844518291E-4</v>
      </c>
      <c r="Y30" s="214">
        <v>4.7053195791709271E-4</v>
      </c>
      <c r="Z30" s="214">
        <v>4.6781382862237121E-4</v>
      </c>
      <c r="AA30" s="214">
        <v>4.6507828238971232E-4</v>
      </c>
      <c r="AB30" s="214">
        <v>4.6232531844330469E-4</v>
      </c>
      <c r="AC30" s="33">
        <v>1.0376092270128111E-6</v>
      </c>
      <c r="AD30" s="219">
        <v>1.037935152367133E-6</v>
      </c>
      <c r="AE30" s="219">
        <v>1.0382498482771259E-6</v>
      </c>
      <c r="AF30" s="219">
        <v>1.0369250960617899E-6</v>
      </c>
      <c r="AG30" s="219">
        <v>1.0372133516658461E-6</v>
      </c>
      <c r="AH30" s="219">
        <v>1.0374895312916581E-6</v>
      </c>
      <c r="AI30" s="219">
        <v>1.0439193283169869E-6</v>
      </c>
      <c r="AJ30" s="219">
        <v>1.0503642827567019E-6</v>
      </c>
      <c r="AK30" s="219">
        <v>1.055930882988981E-6</v>
      </c>
      <c r="AL30" s="219">
        <v>1.062394007349764E-6</v>
      </c>
      <c r="AM30" s="219">
        <v>1.068862201485424E-6</v>
      </c>
      <c r="AN30" s="219">
        <v>1.0806626983334939E-6</v>
      </c>
      <c r="AO30" s="219">
        <v>1.0925403161813151E-6</v>
      </c>
      <c r="AP30" s="219">
        <v>1.1042309434707549E-6</v>
      </c>
      <c r="AQ30" s="219">
        <v>1.116265362562029E-6</v>
      </c>
      <c r="AR30" s="219">
        <v>1.128389160122696E-6</v>
      </c>
      <c r="AS30" s="219">
        <v>1.133764999539207E-6</v>
      </c>
      <c r="AT30" s="219">
        <v>1.139096498036184E-6</v>
      </c>
      <c r="AU30" s="219">
        <v>1.144092163091029E-6</v>
      </c>
      <c r="AV30" s="219">
        <v>1.149329776641724E-6</v>
      </c>
      <c r="AW30" s="219">
        <v>1.154522746672498E-6</v>
      </c>
      <c r="AX30" s="219">
        <v>1.165232565786058E-6</v>
      </c>
      <c r="AY30" s="219">
        <v>1.1632424481803849E-6</v>
      </c>
      <c r="AZ30" s="219">
        <v>1.1612035628981969E-6</v>
      </c>
      <c r="BA30" s="219">
        <v>1.1591158968542441E-6</v>
      </c>
      <c r="BB30" s="219">
        <v>1.156979493377398E-6</v>
      </c>
      <c r="BC30" s="33">
        <v>36.972669181701718</v>
      </c>
      <c r="BD30" s="219">
        <v>36.90920078828875</v>
      </c>
      <c r="BE30" s="219">
        <v>36.845844744199269</v>
      </c>
      <c r="BF30" s="219">
        <v>36.735564133466518</v>
      </c>
      <c r="BG30" s="219">
        <v>36.672444913956546</v>
      </c>
      <c r="BH30" s="219">
        <v>36.609422169644091</v>
      </c>
      <c r="BI30" s="219">
        <v>36.45217016857243</v>
      </c>
      <c r="BJ30" s="219">
        <v>36.295169897808741</v>
      </c>
      <c r="BK30" s="219">
        <v>36.104681201772493</v>
      </c>
      <c r="BL30" s="219">
        <v>35.948102929449163</v>
      </c>
      <c r="BM30" s="219">
        <v>35.791744476090017</v>
      </c>
      <c r="BN30" s="219">
        <v>35.543149800879469</v>
      </c>
      <c r="BO30" s="219">
        <v>35.294501018859748</v>
      </c>
      <c r="BP30" s="219">
        <v>35.035288396297062</v>
      </c>
      <c r="BQ30" s="219">
        <v>34.786461533256201</v>
      </c>
      <c r="BR30" s="219">
        <v>34.537631811119113</v>
      </c>
      <c r="BS30" s="219">
        <v>34.282959969350991</v>
      </c>
      <c r="BT30" s="219">
        <v>34.028622099596497</v>
      </c>
      <c r="BU30" s="219">
        <v>33.763860244723347</v>
      </c>
      <c r="BV30" s="219">
        <v>33.51018116304639</v>
      </c>
      <c r="BW30" s="219">
        <v>33.256838118792807</v>
      </c>
      <c r="BX30" s="219">
        <v>33.124742970786812</v>
      </c>
      <c r="BY30" s="219">
        <v>32.992753801479317</v>
      </c>
      <c r="BZ30" s="219">
        <v>32.860842750184112</v>
      </c>
      <c r="CA30" s="219">
        <v>32.729008967767257</v>
      </c>
      <c r="CB30" s="219">
        <v>32.597252836805588</v>
      </c>
      <c r="CC30" s="33">
        <v>279.05313838014132</v>
      </c>
      <c r="CD30" s="219">
        <v>278.51529309971602</v>
      </c>
      <c r="CE30" s="219">
        <v>277.9827682356003</v>
      </c>
      <c r="CF30" s="219">
        <v>277.10815747645393</v>
      </c>
      <c r="CG30" s="219">
        <v>276.5864833609441</v>
      </c>
      <c r="CH30" s="219">
        <v>276.06911224898198</v>
      </c>
      <c r="CI30" s="219">
        <v>275.79416361119081</v>
      </c>
      <c r="CJ30" s="219">
        <v>275.54116894302632</v>
      </c>
      <c r="CK30" s="219">
        <v>275.08808725292118</v>
      </c>
      <c r="CL30" s="219">
        <v>274.87629902862437</v>
      </c>
      <c r="CM30" s="219">
        <v>274.68208697866248</v>
      </c>
      <c r="CN30" s="219">
        <v>274.72062586871112</v>
      </c>
      <c r="CO30" s="219">
        <v>274.79731293579539</v>
      </c>
      <c r="CP30" s="219">
        <v>274.86144774709709</v>
      </c>
      <c r="CQ30" s="219">
        <v>275.01263183822431</v>
      </c>
      <c r="CR30" s="219">
        <v>275.20232995836977</v>
      </c>
      <c r="CS30" s="219">
        <v>273.61545107007299</v>
      </c>
      <c r="CT30" s="219">
        <v>272.0427496578875</v>
      </c>
      <c r="CU30" s="219">
        <v>270.42969376385219</v>
      </c>
      <c r="CV30" s="219">
        <v>268.88357733336278</v>
      </c>
      <c r="CW30" s="219">
        <v>267.35041447331253</v>
      </c>
      <c r="CX30" s="219">
        <v>266.21934507411311</v>
      </c>
      <c r="CY30" s="219">
        <v>264.45889612258122</v>
      </c>
      <c r="CZ30" s="219">
        <v>262.69209336543793</v>
      </c>
      <c r="DA30" s="219">
        <v>260.91889950818972</v>
      </c>
      <c r="DB30" s="219">
        <v>259.13930065370982</v>
      </c>
    </row>
    <row r="31" spans="1:106" x14ac:dyDescent="0.35">
      <c r="A31" s="137" t="s">
        <v>560</v>
      </c>
      <c r="B31" s="130" t="s">
        <v>547</v>
      </c>
      <c r="C31" s="214">
        <v>1.5229950031431969E-8</v>
      </c>
      <c r="D31" s="214">
        <v>1.5225144672698461E-8</v>
      </c>
      <c r="E31" s="214">
        <v>1.522036402171103E-8</v>
      </c>
      <c r="F31" s="214">
        <v>1.506319017082371E-8</v>
      </c>
      <c r="G31" s="214">
        <v>1.5058439210058261E-8</v>
      </c>
      <c r="H31" s="214">
        <v>1.505375223884342E-8</v>
      </c>
      <c r="I31" s="214">
        <v>1.5053379094864869E-8</v>
      </c>
      <c r="J31" s="214">
        <v>1.5053537373490461E-8</v>
      </c>
      <c r="K31" s="214">
        <v>1.4965019699043878E-8</v>
      </c>
      <c r="L31" s="214">
        <v>1.4967302170905081E-8</v>
      </c>
      <c r="M31" s="214">
        <v>1.4969958926232679E-8</v>
      </c>
      <c r="N31" s="214">
        <v>1.49828212725049E-8</v>
      </c>
      <c r="O31" s="214">
        <v>1.4996180971915311E-8</v>
      </c>
      <c r="P31" s="214">
        <v>1.4985913391044971E-8</v>
      </c>
      <c r="Q31" s="214">
        <v>1.500139717575801E-8</v>
      </c>
      <c r="R31" s="214">
        <v>1.5017386314856631E-8</v>
      </c>
      <c r="S31" s="214">
        <v>1.5007208513181132E-8</v>
      </c>
      <c r="T31" s="214">
        <v>1.499709515067328E-8</v>
      </c>
      <c r="U31" s="214">
        <v>1.4958122951278589E-8</v>
      </c>
      <c r="V31" s="214">
        <v>1.4948287208546729E-8</v>
      </c>
      <c r="W31" s="214">
        <v>1.4938500636449269E-8</v>
      </c>
      <c r="X31" s="214">
        <v>1.4972640087729259E-8</v>
      </c>
      <c r="Y31" s="214">
        <v>1.495101152513893E-8</v>
      </c>
      <c r="Z31" s="214">
        <v>1.4929297086968151E-8</v>
      </c>
      <c r="AA31" s="214">
        <v>1.4907496099019129E-8</v>
      </c>
      <c r="AB31" s="214">
        <v>1.488560852981722E-8</v>
      </c>
      <c r="AC31" s="33">
        <v>3.7487384830633762E-11</v>
      </c>
      <c r="AD31" s="219">
        <v>3.7491346737249872E-11</v>
      </c>
      <c r="AE31" s="219">
        <v>3.7495195743742108E-11</v>
      </c>
      <c r="AF31" s="219">
        <v>3.7008663265322738E-11</v>
      </c>
      <c r="AG31" s="219">
        <v>3.7011552532927512E-11</v>
      </c>
      <c r="AH31" s="219">
        <v>3.701430521175204E-11</v>
      </c>
      <c r="AI31" s="219">
        <v>3.7048798311135762E-11</v>
      </c>
      <c r="AJ31" s="219">
        <v>3.7083029199042002E-11</v>
      </c>
      <c r="AK31" s="219">
        <v>3.6821375414227339E-11</v>
      </c>
      <c r="AL31" s="219">
        <v>3.6855667071961529E-11</v>
      </c>
      <c r="AM31" s="219">
        <v>3.6889565490289681E-11</v>
      </c>
      <c r="AN31" s="219">
        <v>3.6956260542641772E-11</v>
      </c>
      <c r="AO31" s="219">
        <v>3.702265780306099E-11</v>
      </c>
      <c r="AP31" s="219">
        <v>3.699126460862423E-11</v>
      </c>
      <c r="AQ31" s="219">
        <v>3.7058804494296923E-11</v>
      </c>
      <c r="AR31" s="219">
        <v>3.712623611429171E-11</v>
      </c>
      <c r="AS31" s="219">
        <v>3.7138622048226452E-11</v>
      </c>
      <c r="AT31" s="219">
        <v>3.7150008311522701E-11</v>
      </c>
      <c r="AU31" s="219">
        <v>3.7064750427945491E-11</v>
      </c>
      <c r="AV31" s="219">
        <v>3.7073823987331288E-11</v>
      </c>
      <c r="AW31" s="219">
        <v>3.7081974441605652E-11</v>
      </c>
      <c r="AX31" s="219">
        <v>3.714654097222561E-11</v>
      </c>
      <c r="AY31" s="219">
        <v>3.7113566195440612E-11</v>
      </c>
      <c r="AZ31" s="219">
        <v>3.7080126695580098E-11</v>
      </c>
      <c r="BA31" s="219">
        <v>3.7046222513391852E-11</v>
      </c>
      <c r="BB31" s="219">
        <v>3.7011854725726801E-11</v>
      </c>
      <c r="BC31" s="33">
        <v>5.8590116387775241E-4</v>
      </c>
      <c r="BD31" s="219">
        <v>5.8544052778524997E-4</v>
      </c>
      <c r="BE31" s="219">
        <v>5.8498499454783556E-4</v>
      </c>
      <c r="BF31" s="219">
        <v>5.6980224129712053E-4</v>
      </c>
      <c r="BG31" s="219">
        <v>5.6939225836160322E-4</v>
      </c>
      <c r="BH31" s="219">
        <v>5.6898692200361858E-4</v>
      </c>
      <c r="BI31" s="219">
        <v>5.6820213874294668E-4</v>
      </c>
      <c r="BJ31" s="219">
        <v>5.6743273380846905E-4</v>
      </c>
      <c r="BK31" s="219">
        <v>5.5569691162696549E-4</v>
      </c>
      <c r="BL31" s="219">
        <v>5.5502603161668477E-4</v>
      </c>
      <c r="BM31" s="219">
        <v>5.5436985650736002E-4</v>
      </c>
      <c r="BN31" s="219">
        <v>5.533684786182808E-4</v>
      </c>
      <c r="BO31" s="219">
        <v>5.5238374939079534E-4</v>
      </c>
      <c r="BP31" s="219">
        <v>5.4793574336881794E-4</v>
      </c>
      <c r="BQ31" s="219">
        <v>5.4701416291107956E-4</v>
      </c>
      <c r="BR31" s="219">
        <v>5.4610988435161074E-4</v>
      </c>
      <c r="BS31" s="219">
        <v>5.452715820320603E-4</v>
      </c>
      <c r="BT31" s="219">
        <v>5.4445142232342552E-4</v>
      </c>
      <c r="BU31" s="219">
        <v>5.4033208558809263E-4</v>
      </c>
      <c r="BV31" s="219">
        <v>5.3957933576405284E-4</v>
      </c>
      <c r="BW31" s="219">
        <v>5.3884470031225829E-4</v>
      </c>
      <c r="BX31" s="219">
        <v>5.3839089014525473E-4</v>
      </c>
      <c r="BY31" s="219">
        <v>5.3794282120329668E-4</v>
      </c>
      <c r="BZ31" s="219">
        <v>5.3750019056645335E-4</v>
      </c>
      <c r="CA31" s="219">
        <v>5.3706297748739608E-4</v>
      </c>
      <c r="CB31" s="219">
        <v>5.3663118612748027E-4</v>
      </c>
      <c r="CC31" s="33">
        <v>9.2983159301886636E-3</v>
      </c>
      <c r="CD31" s="219">
        <v>9.2936484160806646E-3</v>
      </c>
      <c r="CE31" s="219">
        <v>9.2890636740193301E-3</v>
      </c>
      <c r="CF31" s="219">
        <v>9.1791172414819287E-3</v>
      </c>
      <c r="CG31" s="219">
        <v>9.174888390261926E-3</v>
      </c>
      <c r="CH31" s="219">
        <v>9.170719415272385E-3</v>
      </c>
      <c r="CI31" s="219">
        <v>9.169692333765786E-3</v>
      </c>
      <c r="CJ31" s="219">
        <v>9.1689042696246701E-3</v>
      </c>
      <c r="CK31" s="219">
        <v>9.095848006279883E-3</v>
      </c>
      <c r="CL31" s="219">
        <v>9.0963160643532225E-3</v>
      </c>
      <c r="CM31" s="219">
        <v>9.0969636511152308E-3</v>
      </c>
      <c r="CN31" s="219">
        <v>9.1004052344780453E-3</v>
      </c>
      <c r="CO31" s="219">
        <v>9.1041187410866118E-3</v>
      </c>
      <c r="CP31" s="219">
        <v>9.0893116141360693E-3</v>
      </c>
      <c r="CQ31" s="219">
        <v>9.0942100027720466E-3</v>
      </c>
      <c r="CR31" s="219">
        <v>9.0993869909168808E-3</v>
      </c>
      <c r="CS31" s="219">
        <v>9.0916175743696835E-3</v>
      </c>
      <c r="CT31" s="219">
        <v>9.0839859995117105E-3</v>
      </c>
      <c r="CU31" s="219">
        <v>9.0579288066910835E-3</v>
      </c>
      <c r="CV31" s="219">
        <v>9.0507435142366185E-3</v>
      </c>
      <c r="CW31" s="219">
        <v>9.0436772486201383E-3</v>
      </c>
      <c r="CX31" s="219">
        <v>9.0350643893534546E-3</v>
      </c>
      <c r="CY31" s="219">
        <v>9.0226553307307718E-3</v>
      </c>
      <c r="CZ31" s="219">
        <v>9.0102369139271592E-3</v>
      </c>
      <c r="DA31" s="219">
        <v>8.9978083648384714E-3</v>
      </c>
      <c r="DB31" s="219">
        <v>8.9853693831146442E-3</v>
      </c>
    </row>
    <row r="32" spans="1:106" x14ac:dyDescent="0.35">
      <c r="A32" s="137" t="s">
        <v>561</v>
      </c>
      <c r="B32" s="130" t="s">
        <v>705</v>
      </c>
      <c r="C32" s="216">
        <v>2.357201361606037E-3</v>
      </c>
      <c r="D32" s="216">
        <v>2.353600688123866E-3</v>
      </c>
      <c r="E32" s="216">
        <v>2.3500071116123412E-3</v>
      </c>
      <c r="F32" s="216">
        <v>2.338551887019074E-3</v>
      </c>
      <c r="G32" s="216">
        <v>2.334948183247444E-3</v>
      </c>
      <c r="H32" s="216">
        <v>2.331359143562522E-3</v>
      </c>
      <c r="I32" s="216">
        <v>2.3329664166207272E-3</v>
      </c>
      <c r="J32" s="216">
        <v>2.334616646953573E-3</v>
      </c>
      <c r="K32" s="216">
        <v>2.3325229805307031E-3</v>
      </c>
      <c r="L32" s="216">
        <v>2.334292606370443E-3</v>
      </c>
      <c r="M32" s="216">
        <v>2.336092196522456E-3</v>
      </c>
      <c r="N32" s="216">
        <v>2.3402354271006591E-3</v>
      </c>
      <c r="O32" s="216">
        <v>2.344407424713253E-3</v>
      </c>
      <c r="P32" s="216">
        <v>2.3478787798235871E-3</v>
      </c>
      <c r="Q32" s="216">
        <v>2.3521715641440159E-3</v>
      </c>
      <c r="R32" s="216">
        <v>2.3564976098142901E-3</v>
      </c>
      <c r="S32" s="216">
        <v>2.348309135255047E-3</v>
      </c>
      <c r="T32" s="216">
        <v>2.3400539690804929E-3</v>
      </c>
      <c r="U32" s="216">
        <v>2.3307713043124539E-3</v>
      </c>
      <c r="V32" s="216">
        <v>2.322378092485674E-3</v>
      </c>
      <c r="W32" s="216">
        <v>2.3139082606342351E-3</v>
      </c>
      <c r="X32" s="216">
        <v>2.3230274489819871E-3</v>
      </c>
      <c r="Y32" s="216">
        <v>2.308890132934231E-3</v>
      </c>
      <c r="Z32" s="216">
        <v>2.2946569016000559E-3</v>
      </c>
      <c r="AA32" s="216">
        <v>2.2803262576522711E-3</v>
      </c>
      <c r="AB32" s="216">
        <v>2.2658968966170149E-3</v>
      </c>
      <c r="AC32" s="33">
        <v>4.5446143489064019E-6</v>
      </c>
      <c r="AD32" s="219">
        <v>4.5375318532980086E-6</v>
      </c>
      <c r="AE32" s="219">
        <v>4.5304734340900244E-6</v>
      </c>
      <c r="AF32" s="219">
        <v>4.4990771841472508E-6</v>
      </c>
      <c r="AG32" s="219">
        <v>4.4919915866917474E-6</v>
      </c>
      <c r="AH32" s="219">
        <v>4.4849171952101174E-6</v>
      </c>
      <c r="AI32" s="219">
        <v>4.4904228129143327E-6</v>
      </c>
      <c r="AJ32" s="219">
        <v>4.4959352490022174E-6</v>
      </c>
      <c r="AK32" s="219">
        <v>4.4889268251604726E-6</v>
      </c>
      <c r="AL32" s="219">
        <v>4.4944994140002021E-6</v>
      </c>
      <c r="AM32" s="219">
        <v>4.5000640197401953E-6</v>
      </c>
      <c r="AN32" s="219">
        <v>4.5107792253624839E-6</v>
      </c>
      <c r="AO32" s="219">
        <v>4.5214378334785092E-6</v>
      </c>
      <c r="AP32" s="219">
        <v>4.5283096521643754E-6</v>
      </c>
      <c r="AQ32" s="219">
        <v>4.5390097879665774E-6</v>
      </c>
      <c r="AR32" s="219">
        <v>4.5497134383595956E-6</v>
      </c>
      <c r="AS32" s="219">
        <v>4.5331460721649742E-6</v>
      </c>
      <c r="AT32" s="219">
        <v>4.5163606296090708E-6</v>
      </c>
      <c r="AU32" s="219">
        <v>4.4955793454683717E-6</v>
      </c>
      <c r="AV32" s="219">
        <v>4.4784778933645077E-6</v>
      </c>
      <c r="AW32" s="219">
        <v>4.4612376012212993E-6</v>
      </c>
      <c r="AX32" s="219">
        <v>4.4518098931988601E-6</v>
      </c>
      <c r="AY32" s="219">
        <v>4.4218886582910254E-6</v>
      </c>
      <c r="AZ32" s="219">
        <v>4.3918023831125164E-6</v>
      </c>
      <c r="BA32" s="219">
        <v>4.3615476020125354E-6</v>
      </c>
      <c r="BB32" s="219">
        <v>4.3311209293335852E-6</v>
      </c>
      <c r="BC32" s="33">
        <v>118.1930543229993</v>
      </c>
      <c r="BD32" s="219">
        <v>118.1495509706713</v>
      </c>
      <c r="BE32" s="219">
        <v>118.1066016748573</v>
      </c>
      <c r="BF32" s="219">
        <v>117.3708968791351</v>
      </c>
      <c r="BG32" s="219">
        <v>117.330317151248</v>
      </c>
      <c r="BH32" s="219">
        <v>117.29005129331981</v>
      </c>
      <c r="BI32" s="219">
        <v>117.2479070799383</v>
      </c>
      <c r="BJ32" s="219">
        <v>117.20587296292381</v>
      </c>
      <c r="BK32" s="219">
        <v>116.689582257802</v>
      </c>
      <c r="BL32" s="219">
        <v>116.65080958776529</v>
      </c>
      <c r="BM32" s="219">
        <v>116.6120881785565</v>
      </c>
      <c r="BN32" s="219">
        <v>116.59106485862949</v>
      </c>
      <c r="BO32" s="219">
        <v>116.5694194979278</v>
      </c>
      <c r="BP32" s="219">
        <v>116.40036881478591</v>
      </c>
      <c r="BQ32" s="219">
        <v>116.37866001322909</v>
      </c>
      <c r="BR32" s="219">
        <v>116.3562974875733</v>
      </c>
      <c r="BS32" s="219">
        <v>116.3054484089124</v>
      </c>
      <c r="BT32" s="219">
        <v>116.25416343781561</v>
      </c>
      <c r="BU32" s="219">
        <v>116.0610845903859</v>
      </c>
      <c r="BV32" s="219">
        <v>116.0105572281381</v>
      </c>
      <c r="BW32" s="219">
        <v>115.959651673077</v>
      </c>
      <c r="BX32" s="219">
        <v>115.9379738654637</v>
      </c>
      <c r="BY32" s="219">
        <v>115.91683277888509</v>
      </c>
      <c r="BZ32" s="219">
        <v>115.8960785606388</v>
      </c>
      <c r="CA32" s="219">
        <v>115.8757111011497</v>
      </c>
      <c r="CB32" s="219">
        <v>115.8557353614865</v>
      </c>
      <c r="CC32" s="33">
        <v>1186.4815932558031</v>
      </c>
      <c r="CD32" s="219">
        <v>1184.4309868083469</v>
      </c>
      <c r="CE32" s="219">
        <v>1182.4019980169519</v>
      </c>
      <c r="CF32" s="219">
        <v>1175.2724845293581</v>
      </c>
      <c r="CG32" s="219">
        <v>1173.2752967188071</v>
      </c>
      <c r="CH32" s="219">
        <v>1171.2868602262761</v>
      </c>
      <c r="CI32" s="219">
        <v>1172.0887619145631</v>
      </c>
      <c r="CJ32" s="219">
        <v>1172.9075908463119</v>
      </c>
      <c r="CK32" s="219">
        <v>1170.652414406771</v>
      </c>
      <c r="CL32" s="219">
        <v>1171.5419235181971</v>
      </c>
      <c r="CM32" s="219">
        <v>1172.441544749935</v>
      </c>
      <c r="CN32" s="219">
        <v>1174.231826151836</v>
      </c>
      <c r="CO32" s="219">
        <v>1176.0346869666</v>
      </c>
      <c r="CP32" s="219">
        <v>1177.145364002851</v>
      </c>
      <c r="CQ32" s="219">
        <v>1178.9976005413471</v>
      </c>
      <c r="CR32" s="219">
        <v>1180.8592879535349</v>
      </c>
      <c r="CS32" s="219">
        <v>1176.0256071477111</v>
      </c>
      <c r="CT32" s="219">
        <v>1171.1769982701601</v>
      </c>
      <c r="CU32" s="219">
        <v>1165.597336992987</v>
      </c>
      <c r="CV32" s="219">
        <v>1160.70640988018</v>
      </c>
      <c r="CW32" s="219">
        <v>1155.786064528553</v>
      </c>
      <c r="CX32" s="219">
        <v>1149.242533712596</v>
      </c>
      <c r="CY32" s="219">
        <v>1141.6551910246601</v>
      </c>
      <c r="CZ32" s="219">
        <v>1134.033848551484</v>
      </c>
      <c r="DA32" s="219">
        <v>1126.377758844686</v>
      </c>
      <c r="DB32" s="219">
        <v>1118.686334307469</v>
      </c>
    </row>
    <row r="33" spans="1:106" x14ac:dyDescent="0.35">
      <c r="A33" s="137" t="s">
        <v>562</v>
      </c>
      <c r="B33" s="130" t="s">
        <v>547</v>
      </c>
      <c r="C33" s="218">
        <v>6.7993677242686625E-5</v>
      </c>
      <c r="D33" s="218">
        <v>6.7784834500127664E-5</v>
      </c>
      <c r="E33" s="218">
        <v>6.7559754789491428E-5</v>
      </c>
      <c r="F33" s="218">
        <v>6.7291424453726957E-5</v>
      </c>
      <c r="G33" s="218">
        <v>6.7060547545383937E-5</v>
      </c>
      <c r="H33" s="218">
        <v>6.6829467499308844E-5</v>
      </c>
      <c r="I33" s="218">
        <v>7.0465754469168873E-5</v>
      </c>
      <c r="J33" s="218">
        <v>7.4084309608226105E-5</v>
      </c>
      <c r="K33" s="218">
        <v>7.766379142216373E-5</v>
      </c>
      <c r="L33" s="218">
        <v>8.1249911852799628E-5</v>
      </c>
      <c r="M33" s="218">
        <v>8.4816399863887548E-5</v>
      </c>
      <c r="N33" s="218">
        <v>9.1774987825782509E-5</v>
      </c>
      <c r="O33" s="218">
        <v>9.8726611287057827E-5</v>
      </c>
      <c r="P33" s="218">
        <v>1.056682152452996E-4</v>
      </c>
      <c r="Q33" s="218">
        <v>1.126068742598707E-4</v>
      </c>
      <c r="R33" s="218">
        <v>1.1953902787517689E-4</v>
      </c>
      <c r="S33" s="218">
        <v>1.200080665794946E-4</v>
      </c>
      <c r="T33" s="218">
        <v>1.204711020875549E-4</v>
      </c>
      <c r="U33" s="218">
        <v>1.209251358753091E-4</v>
      </c>
      <c r="V33" s="218">
        <v>1.2137893544704319E-4</v>
      </c>
      <c r="W33" s="218">
        <v>1.218282837894018E-4</v>
      </c>
      <c r="X33" s="218">
        <v>1.20057108069528E-4</v>
      </c>
      <c r="Y33" s="218">
        <v>1.1680292291031981E-4</v>
      </c>
      <c r="Z33" s="218">
        <v>1.135505831310654E-4</v>
      </c>
      <c r="AA33" s="218">
        <v>1.103000029707757E-4</v>
      </c>
      <c r="AB33" s="218">
        <v>1.070511763034633E-4</v>
      </c>
      <c r="AC33" s="33">
        <v>1.382512268061777E-7</v>
      </c>
      <c r="AD33" s="219">
        <v>1.3759902917927411E-7</v>
      </c>
      <c r="AE33" s="219">
        <v>1.3694695617310541E-7</v>
      </c>
      <c r="AF33" s="219">
        <v>1.3617655193569549E-7</v>
      </c>
      <c r="AG33" s="219">
        <v>1.355233120711436E-7</v>
      </c>
      <c r="AH33" s="219">
        <v>1.348697375062535E-7</v>
      </c>
      <c r="AI33" s="219">
        <v>1.4313664737331181E-7</v>
      </c>
      <c r="AJ33" s="219">
        <v>1.5136824316444241E-7</v>
      </c>
      <c r="AK33" s="219">
        <v>1.5949544769166939E-7</v>
      </c>
      <c r="AL33" s="219">
        <v>1.6766620597628699E-7</v>
      </c>
      <c r="AM33" s="219">
        <v>1.7579759164313811E-7</v>
      </c>
      <c r="AN33" s="219">
        <v>1.9131079108679199E-7</v>
      </c>
      <c r="AO33" s="219">
        <v>2.0682926523569119E-7</v>
      </c>
      <c r="AP33" s="219">
        <v>2.2233908314421181E-7</v>
      </c>
      <c r="AQ33" s="219">
        <v>2.378751299496791E-7</v>
      </c>
      <c r="AR33" s="219">
        <v>2.5342366243447141E-7</v>
      </c>
      <c r="AS33" s="219">
        <v>2.5487750432641491E-7</v>
      </c>
      <c r="AT33" s="219">
        <v>2.5634654889673389E-7</v>
      </c>
      <c r="AU33" s="219">
        <v>2.5781291549539743E-7</v>
      </c>
      <c r="AV33" s="219">
        <v>2.5930678861789619E-7</v>
      </c>
      <c r="AW33" s="219">
        <v>2.6081043937077869E-7</v>
      </c>
      <c r="AX33" s="219">
        <v>2.572384961452691E-7</v>
      </c>
      <c r="AY33" s="219">
        <v>2.4995945771477488E-7</v>
      </c>
      <c r="AZ33" s="219">
        <v>2.4268367166794739E-7</v>
      </c>
      <c r="BA33" s="219">
        <v>2.3541100195586111E-7</v>
      </c>
      <c r="BB33" s="219">
        <v>2.281414607191169E-7</v>
      </c>
      <c r="BC33" s="33">
        <v>1.859007500003609</v>
      </c>
      <c r="BD33" s="219">
        <v>1.8644341735269589</v>
      </c>
      <c r="BE33" s="219">
        <v>1.8698967572989129</v>
      </c>
      <c r="BF33" s="219">
        <v>1.871638006239942</v>
      </c>
      <c r="BG33" s="219">
        <v>1.8772187690121831</v>
      </c>
      <c r="BH33" s="219">
        <v>1.8828311646103979</v>
      </c>
      <c r="BI33" s="219">
        <v>1.911994067536547</v>
      </c>
      <c r="BJ33" s="219">
        <v>1.941025024434831</v>
      </c>
      <c r="BK33" s="219">
        <v>1.9671560538669111</v>
      </c>
      <c r="BL33" s="219">
        <v>1.996040500976918</v>
      </c>
      <c r="BM33" s="219">
        <v>2.0248112027895231</v>
      </c>
      <c r="BN33" s="219">
        <v>2.0265472948507259</v>
      </c>
      <c r="BO33" s="219">
        <v>2.0281846077687531</v>
      </c>
      <c r="BP33" s="219">
        <v>2.029063023736601</v>
      </c>
      <c r="BQ33" s="219">
        <v>2.0304981229974581</v>
      </c>
      <c r="BR33" s="219">
        <v>2.0318217357448289</v>
      </c>
      <c r="BS33" s="219">
        <v>2.1011444656444689</v>
      </c>
      <c r="BT33" s="219">
        <v>2.1703630147466821</v>
      </c>
      <c r="BU33" s="219">
        <v>2.2389040087752918</v>
      </c>
      <c r="BV33" s="219">
        <v>2.3079612969701322</v>
      </c>
      <c r="BW33" s="219">
        <v>2.3769429769501582</v>
      </c>
      <c r="BX33" s="219">
        <v>2.3873233230194808</v>
      </c>
      <c r="BY33" s="219">
        <v>2.3978248583214001</v>
      </c>
      <c r="BZ33" s="219">
        <v>2.4083638711718072</v>
      </c>
      <c r="CA33" s="219">
        <v>2.4189383285728749</v>
      </c>
      <c r="CB33" s="219">
        <v>2.4295482512840052</v>
      </c>
      <c r="CC33" s="33">
        <v>29.437924966964761</v>
      </c>
      <c r="CD33" s="219">
        <v>29.370897191785971</v>
      </c>
      <c r="CE33" s="219">
        <v>29.304084088828379</v>
      </c>
      <c r="CF33" s="219">
        <v>29.21021975351232</v>
      </c>
      <c r="CG33" s="219">
        <v>29.143892954468061</v>
      </c>
      <c r="CH33" s="219">
        <v>29.077604797022492</v>
      </c>
      <c r="CI33" s="219">
        <v>31.068746566307571</v>
      </c>
      <c r="CJ33" s="219">
        <v>33.049923424910411</v>
      </c>
      <c r="CK33" s="219">
        <v>35.003497219968857</v>
      </c>
      <c r="CL33" s="219">
        <v>36.967044926235992</v>
      </c>
      <c r="CM33" s="219">
        <v>38.91863099122321</v>
      </c>
      <c r="CN33" s="219">
        <v>42.401167474471507</v>
      </c>
      <c r="CO33" s="219">
        <v>45.876836565978593</v>
      </c>
      <c r="CP33" s="219">
        <v>49.342265970799033</v>
      </c>
      <c r="CQ33" s="219">
        <v>52.803949676992417</v>
      </c>
      <c r="CR33" s="219">
        <v>56.258671452773072</v>
      </c>
      <c r="CS33" s="219">
        <v>56.821214478409317</v>
      </c>
      <c r="CT33" s="219">
        <v>57.382219948023639</v>
      </c>
      <c r="CU33" s="219">
        <v>57.938709780279112</v>
      </c>
      <c r="CV33" s="219">
        <v>58.496896665628427</v>
      </c>
      <c r="CW33" s="219">
        <v>59.053714353417107</v>
      </c>
      <c r="CX33" s="219">
        <v>58.552184391963188</v>
      </c>
      <c r="CY33" s="219">
        <v>57.036002902899291</v>
      </c>
      <c r="CZ33" s="219">
        <v>55.520855705983429</v>
      </c>
      <c r="DA33" s="219">
        <v>54.006707487977671</v>
      </c>
      <c r="DB33" s="219">
        <v>52.493557325728418</v>
      </c>
    </row>
    <row r="34" spans="1:106" x14ac:dyDescent="0.35">
      <c r="A34" s="137" t="s">
        <v>755</v>
      </c>
      <c r="B34" s="130" t="s">
        <v>704</v>
      </c>
      <c r="C34" s="217">
        <v>0</v>
      </c>
      <c r="D34" s="217">
        <v>0</v>
      </c>
      <c r="E34" s="217">
        <v>0</v>
      </c>
      <c r="F34" s="217">
        <v>0</v>
      </c>
      <c r="G34" s="217">
        <v>0</v>
      </c>
      <c r="H34" s="217">
        <v>0</v>
      </c>
      <c r="I34" s="217">
        <v>0</v>
      </c>
      <c r="J34" s="217">
        <v>0</v>
      </c>
      <c r="K34" s="217">
        <v>0</v>
      </c>
      <c r="L34" s="217">
        <v>0</v>
      </c>
      <c r="M34" s="217">
        <v>0</v>
      </c>
      <c r="N34" s="217">
        <v>0</v>
      </c>
      <c r="O34" s="217">
        <v>0</v>
      </c>
      <c r="P34" s="217">
        <v>0</v>
      </c>
      <c r="Q34" s="217">
        <v>0</v>
      </c>
      <c r="R34" s="217">
        <v>0</v>
      </c>
      <c r="S34" s="217">
        <v>0</v>
      </c>
      <c r="T34" s="217">
        <v>0</v>
      </c>
      <c r="U34" s="217">
        <v>0</v>
      </c>
      <c r="V34" s="217">
        <v>0</v>
      </c>
      <c r="W34" s="217">
        <v>0</v>
      </c>
      <c r="X34" s="217">
        <v>0</v>
      </c>
      <c r="Y34" s="217">
        <v>0</v>
      </c>
      <c r="Z34" s="217">
        <v>0</v>
      </c>
      <c r="AA34" s="217">
        <v>0</v>
      </c>
      <c r="AB34" s="217">
        <v>0</v>
      </c>
      <c r="AC34" s="33">
        <v>2.0736000294618859E-7</v>
      </c>
      <c r="AD34" s="219">
        <v>2.0736000294618859E-7</v>
      </c>
      <c r="AE34" s="219">
        <v>2.0736000294618859E-7</v>
      </c>
      <c r="AF34" s="219">
        <v>2.0736000294618859E-7</v>
      </c>
      <c r="AG34" s="219">
        <v>2.0736000294618859E-7</v>
      </c>
      <c r="AH34" s="219">
        <v>2.0736000294618859E-7</v>
      </c>
      <c r="AI34" s="219">
        <v>2.0736000294618859E-7</v>
      </c>
      <c r="AJ34" s="219">
        <v>2.0736000294618859E-7</v>
      </c>
      <c r="AK34" s="219">
        <v>2.0736000294618859E-7</v>
      </c>
      <c r="AL34" s="219">
        <v>2.0736000294618859E-7</v>
      </c>
      <c r="AM34" s="219">
        <v>2.0736000294618859E-7</v>
      </c>
      <c r="AN34" s="219">
        <v>2.0736000294618859E-7</v>
      </c>
      <c r="AO34" s="219">
        <v>2.0736000294618859E-7</v>
      </c>
      <c r="AP34" s="219">
        <v>2.0736000294618859E-7</v>
      </c>
      <c r="AQ34" s="219">
        <v>2.0736000294618859E-7</v>
      </c>
      <c r="AR34" s="219">
        <v>2.0736000294618859E-7</v>
      </c>
      <c r="AS34" s="219">
        <v>2.0736000294618859E-7</v>
      </c>
      <c r="AT34" s="219">
        <v>2.0736000294618859E-7</v>
      </c>
      <c r="AU34" s="219">
        <v>2.0736000294618859E-7</v>
      </c>
      <c r="AV34" s="219">
        <v>2.0736000294618859E-7</v>
      </c>
      <c r="AW34" s="219">
        <v>2.0736000294618859E-7</v>
      </c>
      <c r="AX34" s="219">
        <v>2.0736000294618859E-7</v>
      </c>
      <c r="AY34" s="219">
        <v>2.0736000294618859E-7</v>
      </c>
      <c r="AZ34" s="219">
        <v>2.0736000294618859E-7</v>
      </c>
      <c r="BA34" s="219">
        <v>2.0736000294618859E-7</v>
      </c>
      <c r="BB34" s="219">
        <v>2.0736000294618859E-7</v>
      </c>
      <c r="BC34" s="33">
        <v>0</v>
      </c>
      <c r="BD34" s="219">
        <v>0</v>
      </c>
      <c r="BE34" s="219">
        <v>0</v>
      </c>
      <c r="BF34" s="219">
        <v>0</v>
      </c>
      <c r="BG34" s="219">
        <v>0</v>
      </c>
      <c r="BH34" s="219">
        <v>0</v>
      </c>
      <c r="BI34" s="219">
        <v>0</v>
      </c>
      <c r="BJ34" s="219">
        <v>0</v>
      </c>
      <c r="BK34" s="219">
        <v>0</v>
      </c>
      <c r="BL34" s="219">
        <v>0</v>
      </c>
      <c r="BM34" s="219">
        <v>0</v>
      </c>
      <c r="BN34" s="219">
        <v>0</v>
      </c>
      <c r="BO34" s="219">
        <v>0</v>
      </c>
      <c r="BP34" s="219">
        <v>0</v>
      </c>
      <c r="BQ34" s="219">
        <v>0</v>
      </c>
      <c r="BR34" s="219">
        <v>0</v>
      </c>
      <c r="BS34" s="219">
        <v>0</v>
      </c>
      <c r="BT34" s="219">
        <v>0</v>
      </c>
      <c r="BU34" s="219">
        <v>0</v>
      </c>
      <c r="BV34" s="219">
        <v>0</v>
      </c>
      <c r="BW34" s="219">
        <v>0</v>
      </c>
      <c r="BX34" s="219">
        <v>0</v>
      </c>
      <c r="BY34" s="219">
        <v>0</v>
      </c>
      <c r="BZ34" s="219">
        <v>0</v>
      </c>
      <c r="CA34" s="219">
        <v>0</v>
      </c>
      <c r="CB34" s="219">
        <v>0</v>
      </c>
      <c r="CC34" s="33">
        <v>0</v>
      </c>
      <c r="CD34" s="219">
        <v>0</v>
      </c>
      <c r="CE34" s="219">
        <v>0</v>
      </c>
      <c r="CF34" s="219">
        <v>0</v>
      </c>
      <c r="CG34" s="219">
        <v>0</v>
      </c>
      <c r="CH34" s="219">
        <v>0</v>
      </c>
      <c r="CI34" s="219">
        <v>0</v>
      </c>
      <c r="CJ34" s="219">
        <v>0</v>
      </c>
      <c r="CK34" s="219">
        <v>0</v>
      </c>
      <c r="CL34" s="219">
        <v>0</v>
      </c>
      <c r="CM34" s="219">
        <v>0</v>
      </c>
      <c r="CN34" s="219">
        <v>0</v>
      </c>
      <c r="CO34" s="219">
        <v>0</v>
      </c>
      <c r="CP34" s="219">
        <v>0</v>
      </c>
      <c r="CQ34" s="219">
        <v>0</v>
      </c>
      <c r="CR34" s="219">
        <v>0</v>
      </c>
      <c r="CS34" s="219">
        <v>0</v>
      </c>
      <c r="CT34" s="219">
        <v>0</v>
      </c>
      <c r="CU34" s="219">
        <v>0</v>
      </c>
      <c r="CV34" s="219">
        <v>0</v>
      </c>
      <c r="CW34" s="219">
        <v>0</v>
      </c>
      <c r="CX34" s="219">
        <v>0</v>
      </c>
      <c r="CY34" s="219">
        <v>0</v>
      </c>
      <c r="CZ34" s="219">
        <v>0</v>
      </c>
      <c r="DA34" s="219">
        <v>0</v>
      </c>
      <c r="DB34" s="219">
        <v>0</v>
      </c>
    </row>
    <row r="35" spans="1:106" x14ac:dyDescent="0.35">
      <c r="A35" s="137" t="s">
        <v>563</v>
      </c>
      <c r="B35" s="130" t="s">
        <v>704</v>
      </c>
      <c r="C35" s="219">
        <v>7.0909447305629536E-2</v>
      </c>
      <c r="D35" s="219">
        <v>7.0729597576853487E-2</v>
      </c>
      <c r="E35" s="219">
        <v>7.0528013548315796E-2</v>
      </c>
      <c r="F35" s="219">
        <v>7.0277665591519128E-2</v>
      </c>
      <c r="G35" s="219">
        <v>7.0067641490333468E-2</v>
      </c>
      <c r="H35" s="219">
        <v>6.9856831166697067E-2</v>
      </c>
      <c r="I35" s="219">
        <v>7.4731708484015391E-2</v>
      </c>
      <c r="J35" s="219">
        <v>7.95967100678793E-2</v>
      </c>
      <c r="K35" s="219">
        <v>8.4428256444418356E-2</v>
      </c>
      <c r="L35" s="219">
        <v>8.9277421687728051E-2</v>
      </c>
      <c r="M35" s="219">
        <v>9.4114118961245261E-2</v>
      </c>
      <c r="N35" s="219">
        <v>0.10344985773162441</v>
      </c>
      <c r="O35" s="219">
        <v>0.1127973450767826</v>
      </c>
      <c r="P35" s="219">
        <v>0.122153450710752</v>
      </c>
      <c r="Q35" s="219">
        <v>0.13152565619576609</v>
      </c>
      <c r="R35" s="219">
        <v>0.1409102799444979</v>
      </c>
      <c r="S35" s="219">
        <v>0.14167302400756779</v>
      </c>
      <c r="T35" s="219">
        <v>0.1424294071090331</v>
      </c>
      <c r="U35" s="219">
        <v>0.1431766533539571</v>
      </c>
      <c r="V35" s="219">
        <v>0.14392400712011769</v>
      </c>
      <c r="W35" s="219">
        <v>0.14466707061247311</v>
      </c>
      <c r="X35" s="219">
        <v>0.1424172327919703</v>
      </c>
      <c r="Y35" s="219">
        <v>0.13830319413001299</v>
      </c>
      <c r="Z35" s="219">
        <v>0.13417541973035349</v>
      </c>
      <c r="AA35" s="219">
        <v>0.13003377225450399</v>
      </c>
      <c r="AB35" s="219">
        <v>0.12587816397844001</v>
      </c>
      <c r="AC35" s="33">
        <v>1.589981999168003E-4</v>
      </c>
      <c r="AD35" s="219">
        <v>1.583829136001397E-4</v>
      </c>
      <c r="AE35" s="219">
        <v>1.577660127584304E-4</v>
      </c>
      <c r="AF35" s="219">
        <v>1.5701813078844001E-4</v>
      </c>
      <c r="AG35" s="219">
        <v>1.563963001753598E-4</v>
      </c>
      <c r="AH35" s="219">
        <v>1.5577231989261219E-4</v>
      </c>
      <c r="AI35" s="219">
        <v>1.6687490088103691E-4</v>
      </c>
      <c r="AJ35" s="219">
        <v>1.7796190075517271E-4</v>
      </c>
      <c r="AK35" s="219">
        <v>1.889571588882216E-4</v>
      </c>
      <c r="AL35" s="219">
        <v>2.0002569919449101E-4</v>
      </c>
      <c r="AM35" s="219">
        <v>2.1107318377602E-4</v>
      </c>
      <c r="AN35" s="219">
        <v>2.319068938442424E-4</v>
      </c>
      <c r="AO35" s="219">
        <v>2.5279484548076031E-4</v>
      </c>
      <c r="AP35" s="219">
        <v>2.7372295314890763E-4</v>
      </c>
      <c r="AQ35" s="219">
        <v>2.9472895769718503E-4</v>
      </c>
      <c r="AR35" s="219">
        <v>3.1579922373353931E-4</v>
      </c>
      <c r="AS35" s="219">
        <v>3.1806184214588722E-4</v>
      </c>
      <c r="AT35" s="219">
        <v>3.2034971191487112E-4</v>
      </c>
      <c r="AU35" s="219">
        <v>3.2264340714087479E-4</v>
      </c>
      <c r="AV35" s="219">
        <v>3.2497431321338552E-4</v>
      </c>
      <c r="AW35" s="219">
        <v>3.2732328165209869E-4</v>
      </c>
      <c r="AX35" s="219">
        <v>3.2303977149125939E-4</v>
      </c>
      <c r="AY35" s="219">
        <v>3.1388432338712969E-4</v>
      </c>
      <c r="AZ35" s="219">
        <v>3.0469689528125009E-4</v>
      </c>
      <c r="BA35" s="219">
        <v>2.9547721783998882E-4</v>
      </c>
      <c r="BB35" s="219">
        <v>2.8622511361178191E-4</v>
      </c>
      <c r="BC35" s="33">
        <v>2322.1156028821961</v>
      </c>
      <c r="BD35" s="219">
        <v>2332.8507557548551</v>
      </c>
      <c r="BE35" s="219">
        <v>2343.6747205671109</v>
      </c>
      <c r="BF35" s="219">
        <v>2350.4325473014642</v>
      </c>
      <c r="BG35" s="219">
        <v>2361.4920858946348</v>
      </c>
      <c r="BH35" s="219">
        <v>2372.6374563349809</v>
      </c>
      <c r="BI35" s="219">
        <v>2414.344422470358</v>
      </c>
      <c r="BJ35" s="219">
        <v>2455.9963773549689</v>
      </c>
      <c r="BK35" s="219">
        <v>2494.5087850326322</v>
      </c>
      <c r="BL35" s="219">
        <v>2536.1990872373349</v>
      </c>
      <c r="BM35" s="219">
        <v>2577.858450231492</v>
      </c>
      <c r="BN35" s="219">
        <v>2582.8506304151101</v>
      </c>
      <c r="BO35" s="219">
        <v>2587.7225433079388</v>
      </c>
      <c r="BP35" s="219">
        <v>2591.7642004254149</v>
      </c>
      <c r="BQ35" s="219">
        <v>2596.3863005575281</v>
      </c>
      <c r="BR35" s="219">
        <v>2600.8698419603979</v>
      </c>
      <c r="BS35" s="219">
        <v>2696.0408363239512</v>
      </c>
      <c r="BT35" s="219">
        <v>2791.256276568382</v>
      </c>
      <c r="BU35" s="219">
        <v>2885.9126654099659</v>
      </c>
      <c r="BV35" s="219">
        <v>2981.278530338298</v>
      </c>
      <c r="BW35" s="219">
        <v>3076.7277878244122</v>
      </c>
      <c r="BX35" s="219">
        <v>3096.471757898084</v>
      </c>
      <c r="BY35" s="219">
        <v>3116.3989502358882</v>
      </c>
      <c r="BZ35" s="219">
        <v>3136.458086324692</v>
      </c>
      <c r="CA35" s="219">
        <v>3156.6485629656809</v>
      </c>
      <c r="CB35" s="219">
        <v>3176.9710920531138</v>
      </c>
      <c r="CC35" s="33">
        <v>36734.495656845553</v>
      </c>
      <c r="CD35" s="219">
        <v>36705.802152032702</v>
      </c>
      <c r="CE35" s="219">
        <v>36677.329936227477</v>
      </c>
      <c r="CF35" s="219">
        <v>36618.99229773604</v>
      </c>
      <c r="CG35" s="219">
        <v>36591.105469856782</v>
      </c>
      <c r="CH35" s="219">
        <v>36563.265309828312</v>
      </c>
      <c r="CI35" s="219">
        <v>39240.319498199191</v>
      </c>
      <c r="CJ35" s="219">
        <v>41911.667239019072</v>
      </c>
      <c r="CK35" s="219">
        <v>44557.764024419906</v>
      </c>
      <c r="CL35" s="219">
        <v>47220.629336551283</v>
      </c>
      <c r="CM35" s="219">
        <v>49875.089223622163</v>
      </c>
      <c r="CN35" s="219">
        <v>54558.265422112207</v>
      </c>
      <c r="CO35" s="219">
        <v>59242.823156922459</v>
      </c>
      <c r="CP35" s="219">
        <v>63925.13543891225</v>
      </c>
      <c r="CQ35" s="219">
        <v>68612.132681845673</v>
      </c>
      <c r="CR35" s="219">
        <v>73300.410775560464</v>
      </c>
      <c r="CS35" s="219">
        <v>74130.070039558923</v>
      </c>
      <c r="CT35" s="219">
        <v>74959.304908222664</v>
      </c>
      <c r="CU35" s="219">
        <v>75785.007711992759</v>
      </c>
      <c r="CV35" s="219">
        <v>76613.765501983973</v>
      </c>
      <c r="CW35" s="219">
        <v>77442.351857305272</v>
      </c>
      <c r="CX35" s="219">
        <v>76929.198465091424</v>
      </c>
      <c r="CY35" s="219">
        <v>75047.062913840171</v>
      </c>
      <c r="CZ35" s="219">
        <v>73158.834712232681</v>
      </c>
      <c r="DA35" s="219">
        <v>71264.45297187168</v>
      </c>
      <c r="DB35" s="219">
        <v>69363.878498116857</v>
      </c>
    </row>
    <row r="37" spans="1:106" s="11" customFormat="1" ht="21" x14ac:dyDescent="0.5">
      <c r="A37" s="11" t="s">
        <v>73</v>
      </c>
    </row>
    <row r="38" spans="1:106" x14ac:dyDescent="0.35">
      <c r="A38" s="13" t="s">
        <v>0</v>
      </c>
      <c r="B38" s="29"/>
      <c r="C38" s="332" t="s">
        <v>49</v>
      </c>
      <c r="D38" s="332"/>
      <c r="E38" s="332"/>
      <c r="F38" s="332"/>
      <c r="G38" s="332"/>
      <c r="H38" s="332"/>
      <c r="I38" s="332"/>
      <c r="J38" s="332"/>
      <c r="K38" s="332"/>
      <c r="L38" s="332"/>
      <c r="M38" s="332"/>
      <c r="N38" s="332"/>
      <c r="O38" s="332"/>
      <c r="P38" s="332"/>
      <c r="Q38" s="332"/>
      <c r="R38" s="332"/>
      <c r="S38" s="332"/>
      <c r="T38" s="332"/>
      <c r="U38" s="332"/>
      <c r="V38" s="332"/>
      <c r="W38" s="332"/>
      <c r="X38" s="332"/>
      <c r="Y38" s="332"/>
      <c r="Z38" s="332"/>
      <c r="AA38" s="332"/>
      <c r="AB38" s="332"/>
      <c r="AC38" s="333" t="s">
        <v>50</v>
      </c>
      <c r="AD38" s="333"/>
      <c r="AE38" s="333"/>
      <c r="AF38" s="333"/>
      <c r="AG38" s="333"/>
      <c r="AH38" s="333"/>
      <c r="AI38" s="333"/>
      <c r="AJ38" s="333"/>
      <c r="AK38" s="333"/>
      <c r="AL38" s="333"/>
      <c r="AM38" s="333"/>
      <c r="AN38" s="333"/>
      <c r="AO38" s="333"/>
      <c r="AP38" s="333"/>
      <c r="AQ38" s="333"/>
      <c r="AR38" s="333"/>
      <c r="AS38" s="333"/>
      <c r="AT38" s="333"/>
      <c r="AU38" s="333"/>
      <c r="AV38" s="333"/>
      <c r="AW38" s="333"/>
      <c r="AX38" s="333"/>
      <c r="AY38" s="333"/>
      <c r="AZ38" s="333"/>
      <c r="BA38" s="333"/>
      <c r="BB38" s="333"/>
      <c r="BC38" s="334" t="s">
        <v>756</v>
      </c>
      <c r="BD38" s="335"/>
      <c r="BE38" s="335"/>
      <c r="BF38" s="335"/>
      <c r="BG38" s="335"/>
      <c r="BH38" s="335"/>
      <c r="BI38" s="335"/>
      <c r="BJ38" s="335"/>
      <c r="BK38" s="335"/>
      <c r="BL38" s="335"/>
      <c r="BM38" s="335"/>
      <c r="BN38" s="335"/>
      <c r="BO38" s="335"/>
      <c r="BP38" s="335"/>
      <c r="BQ38" s="335"/>
      <c r="BR38" s="335"/>
      <c r="BS38" s="335"/>
      <c r="BT38" s="335"/>
      <c r="BU38" s="335"/>
      <c r="BV38" s="335"/>
      <c r="BW38" s="335"/>
      <c r="BX38" s="335"/>
      <c r="BY38" s="335"/>
      <c r="BZ38" s="335"/>
      <c r="CA38" s="335"/>
      <c r="CB38" s="336"/>
      <c r="CC38" s="337" t="s">
        <v>51</v>
      </c>
      <c r="CD38" s="337"/>
      <c r="CE38" s="337"/>
      <c r="CF38" s="337"/>
      <c r="CG38" s="337"/>
      <c r="CH38" s="337"/>
      <c r="CI38" s="337"/>
      <c r="CJ38" s="337"/>
      <c r="CK38" s="337"/>
      <c r="CL38" s="337"/>
      <c r="CM38" s="337"/>
      <c r="CN38" s="337"/>
      <c r="CO38" s="337"/>
      <c r="CP38" s="337"/>
      <c r="CQ38" s="337"/>
      <c r="CR38" s="337"/>
      <c r="CS38" s="337"/>
      <c r="CT38" s="337"/>
      <c r="CU38" s="337"/>
      <c r="CV38" s="337"/>
      <c r="CW38" s="337"/>
      <c r="CX38" s="337"/>
      <c r="CY38" s="337"/>
      <c r="CZ38" s="337"/>
      <c r="DA38" s="337"/>
      <c r="DB38" s="337"/>
    </row>
    <row r="39" spans="1:106" x14ac:dyDescent="0.35">
      <c r="A39" s="29" t="s">
        <v>1</v>
      </c>
      <c r="B39" s="29" t="s">
        <v>180</v>
      </c>
      <c r="C39" s="10" t="s">
        <v>8</v>
      </c>
      <c r="D39" s="10" t="s">
        <v>74</v>
      </c>
      <c r="E39" s="10" t="s">
        <v>75</v>
      </c>
      <c r="F39" s="10" t="s">
        <v>76</v>
      </c>
      <c r="G39" s="10" t="s">
        <v>77</v>
      </c>
      <c r="H39" s="10" t="s">
        <v>9</v>
      </c>
      <c r="I39" s="10" t="s">
        <v>78</v>
      </c>
      <c r="J39" s="10" t="s">
        <v>79</v>
      </c>
      <c r="K39" s="10" t="s">
        <v>80</v>
      </c>
      <c r="L39" s="10" t="s">
        <v>81</v>
      </c>
      <c r="M39" s="10" t="s">
        <v>10</v>
      </c>
      <c r="N39" s="10" t="s">
        <v>82</v>
      </c>
      <c r="O39" s="10" t="s">
        <v>83</v>
      </c>
      <c r="P39" s="10" t="s">
        <v>84</v>
      </c>
      <c r="Q39" s="10" t="s">
        <v>85</v>
      </c>
      <c r="R39" s="10" t="s">
        <v>11</v>
      </c>
      <c r="S39" s="10" t="s">
        <v>86</v>
      </c>
      <c r="T39" s="10" t="s">
        <v>87</v>
      </c>
      <c r="U39" s="10" t="s">
        <v>88</v>
      </c>
      <c r="V39" s="10" t="s">
        <v>89</v>
      </c>
      <c r="W39" s="10" t="s">
        <v>12</v>
      </c>
      <c r="X39" s="10" t="s">
        <v>90</v>
      </c>
      <c r="Y39" s="10" t="s">
        <v>91</v>
      </c>
      <c r="Z39" s="10" t="s">
        <v>92</v>
      </c>
      <c r="AA39" s="10" t="s">
        <v>93</v>
      </c>
      <c r="AB39" s="10" t="s">
        <v>13</v>
      </c>
      <c r="AC39" s="2" t="s">
        <v>8</v>
      </c>
      <c r="AD39" s="2" t="s">
        <v>74</v>
      </c>
      <c r="AE39" s="2" t="s">
        <v>75</v>
      </c>
      <c r="AF39" s="2" t="s">
        <v>76</v>
      </c>
      <c r="AG39" s="2" t="s">
        <v>77</v>
      </c>
      <c r="AH39" s="2" t="s">
        <v>9</v>
      </c>
      <c r="AI39" s="2" t="s">
        <v>78</v>
      </c>
      <c r="AJ39" s="2" t="s">
        <v>79</v>
      </c>
      <c r="AK39" s="2" t="s">
        <v>80</v>
      </c>
      <c r="AL39" s="2" t="s">
        <v>81</v>
      </c>
      <c r="AM39" s="2" t="s">
        <v>10</v>
      </c>
      <c r="AN39" s="2" t="s">
        <v>82</v>
      </c>
      <c r="AO39" s="2" t="s">
        <v>83</v>
      </c>
      <c r="AP39" s="2" t="s">
        <v>84</v>
      </c>
      <c r="AQ39" s="2" t="s">
        <v>85</v>
      </c>
      <c r="AR39" s="2" t="s">
        <v>11</v>
      </c>
      <c r="AS39" s="2" t="s">
        <v>86</v>
      </c>
      <c r="AT39" s="2" t="s">
        <v>87</v>
      </c>
      <c r="AU39" s="2" t="s">
        <v>88</v>
      </c>
      <c r="AV39" s="2" t="s">
        <v>89</v>
      </c>
      <c r="AW39" s="2" t="s">
        <v>12</v>
      </c>
      <c r="AX39" s="2" t="s">
        <v>90</v>
      </c>
      <c r="AY39" s="2" t="s">
        <v>91</v>
      </c>
      <c r="AZ39" s="2" t="s">
        <v>92</v>
      </c>
      <c r="BA39" s="2" t="s">
        <v>93</v>
      </c>
      <c r="BB39" s="2" t="s">
        <v>13</v>
      </c>
      <c r="BC39" s="203" t="s">
        <v>8</v>
      </c>
      <c r="BD39" s="203" t="s">
        <v>74</v>
      </c>
      <c r="BE39" s="203" t="s">
        <v>75</v>
      </c>
      <c r="BF39" s="203" t="s">
        <v>76</v>
      </c>
      <c r="BG39" s="203" t="s">
        <v>77</v>
      </c>
      <c r="BH39" s="203" t="s">
        <v>9</v>
      </c>
      <c r="BI39" s="203" t="s">
        <v>78</v>
      </c>
      <c r="BJ39" s="203" t="s">
        <v>79</v>
      </c>
      <c r="BK39" s="203" t="s">
        <v>80</v>
      </c>
      <c r="BL39" s="203" t="s">
        <v>81</v>
      </c>
      <c r="BM39" s="203" t="s">
        <v>10</v>
      </c>
      <c r="BN39" s="203" t="s">
        <v>82</v>
      </c>
      <c r="BO39" s="203" t="s">
        <v>83</v>
      </c>
      <c r="BP39" s="203" t="s">
        <v>84</v>
      </c>
      <c r="BQ39" s="203" t="s">
        <v>85</v>
      </c>
      <c r="BR39" s="203" t="s">
        <v>11</v>
      </c>
      <c r="BS39" s="203" t="s">
        <v>86</v>
      </c>
      <c r="BT39" s="203" t="s">
        <v>87</v>
      </c>
      <c r="BU39" s="203" t="s">
        <v>88</v>
      </c>
      <c r="BV39" s="203" t="s">
        <v>89</v>
      </c>
      <c r="BW39" s="203" t="s">
        <v>12</v>
      </c>
      <c r="BX39" s="203" t="s">
        <v>90</v>
      </c>
      <c r="BY39" s="203" t="s">
        <v>91</v>
      </c>
      <c r="BZ39" s="203" t="s">
        <v>92</v>
      </c>
      <c r="CA39" s="203" t="s">
        <v>93</v>
      </c>
      <c r="CB39" s="203" t="s">
        <v>13</v>
      </c>
      <c r="CC39" s="220" t="s">
        <v>8</v>
      </c>
      <c r="CD39" s="220" t="s">
        <v>74</v>
      </c>
      <c r="CE39" s="220" t="s">
        <v>75</v>
      </c>
      <c r="CF39" s="220" t="s">
        <v>76</v>
      </c>
      <c r="CG39" s="220" t="s">
        <v>77</v>
      </c>
      <c r="CH39" s="220" t="s">
        <v>9</v>
      </c>
      <c r="CI39" s="220" t="s">
        <v>78</v>
      </c>
      <c r="CJ39" s="220" t="s">
        <v>79</v>
      </c>
      <c r="CK39" s="220" t="s">
        <v>80</v>
      </c>
      <c r="CL39" s="220" t="s">
        <v>81</v>
      </c>
      <c r="CM39" s="220" t="s">
        <v>10</v>
      </c>
      <c r="CN39" s="220" t="s">
        <v>82</v>
      </c>
      <c r="CO39" s="220" t="s">
        <v>83</v>
      </c>
      <c r="CP39" s="220" t="s">
        <v>84</v>
      </c>
      <c r="CQ39" s="220" t="s">
        <v>85</v>
      </c>
      <c r="CR39" s="220" t="s">
        <v>11</v>
      </c>
      <c r="CS39" s="220" t="s">
        <v>86</v>
      </c>
      <c r="CT39" s="220" t="s">
        <v>87</v>
      </c>
      <c r="CU39" s="220" t="s">
        <v>88</v>
      </c>
      <c r="CV39" s="220" t="s">
        <v>89</v>
      </c>
      <c r="CW39" s="220" t="s">
        <v>12</v>
      </c>
      <c r="CX39" s="220" t="s">
        <v>90</v>
      </c>
      <c r="CY39" s="220" t="s">
        <v>91</v>
      </c>
      <c r="CZ39" s="220" t="s">
        <v>92</v>
      </c>
      <c r="DA39" s="220" t="s">
        <v>93</v>
      </c>
      <c r="DB39" s="220" t="s">
        <v>13</v>
      </c>
    </row>
    <row r="40" spans="1:106" x14ac:dyDescent="0.35">
      <c r="A40" s="2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row>
    <row r="41" spans="1:106" x14ac:dyDescent="0.35">
      <c r="A41" s="137" t="s">
        <v>538</v>
      </c>
      <c r="B41" s="130" t="s">
        <v>545</v>
      </c>
      <c r="C41" s="219">
        <v>2.686627601232994E-3</v>
      </c>
      <c r="D41" s="219">
        <v>2.663946178339044E-3</v>
      </c>
      <c r="E41" s="219">
        <v>2.641047042793668E-3</v>
      </c>
      <c r="F41" s="219">
        <v>2.6146204859094028E-3</v>
      </c>
      <c r="G41" s="219">
        <v>2.5914921799308731E-3</v>
      </c>
      <c r="H41" s="219">
        <v>2.5680902465202121E-3</v>
      </c>
      <c r="I41" s="219">
        <v>2.5335026343037718E-3</v>
      </c>
      <c r="J41" s="219">
        <v>2.5048533128847641E-3</v>
      </c>
      <c r="K41" s="219">
        <v>2.4777164883238688E-3</v>
      </c>
      <c r="L41" s="219">
        <v>2.4531519112571459E-3</v>
      </c>
      <c r="M41" s="219">
        <v>2.429108350527094E-3</v>
      </c>
      <c r="N41" s="219">
        <v>2.4075580421217728E-3</v>
      </c>
      <c r="O41" s="219">
        <v>2.3871740925662638E-3</v>
      </c>
      <c r="P41" s="219">
        <v>2.3671472103815182E-3</v>
      </c>
      <c r="Q41" s="219">
        <v>2.3484479822476578E-3</v>
      </c>
      <c r="R41" s="219">
        <v>2.33035517227307E-3</v>
      </c>
      <c r="S41" s="219">
        <v>2.3213727604834218E-3</v>
      </c>
      <c r="T41" s="219">
        <v>2.312768394297881E-3</v>
      </c>
      <c r="U41" s="219">
        <v>2.303795839416456E-3</v>
      </c>
      <c r="V41" s="219">
        <v>2.2955260378628652E-3</v>
      </c>
      <c r="W41" s="219">
        <v>2.287416990445375E-3</v>
      </c>
      <c r="X41" s="219">
        <v>2.299513426114137E-3</v>
      </c>
      <c r="Y41" s="219">
        <v>2.2991553702410672E-3</v>
      </c>
      <c r="Z41" s="219">
        <v>2.298783425007919E-3</v>
      </c>
      <c r="AA41" s="219">
        <v>2.2983990089285441E-3</v>
      </c>
      <c r="AB41" s="219">
        <v>2.2980063436342691E-3</v>
      </c>
      <c r="AC41" s="33">
        <v>3.1244393966085418E-6</v>
      </c>
      <c r="AD41" s="219">
        <v>3.0755578173277128E-6</v>
      </c>
      <c r="AE41" s="219">
        <v>3.0261439713061089E-6</v>
      </c>
      <c r="AF41" s="219">
        <v>2.9653566710998898E-6</v>
      </c>
      <c r="AG41" s="219">
        <v>2.9153744510634701E-6</v>
      </c>
      <c r="AH41" s="219">
        <v>2.8648646084170678E-6</v>
      </c>
      <c r="AI41" s="219">
        <v>2.8086486230692521E-6</v>
      </c>
      <c r="AJ41" s="219">
        <v>2.761827887168557E-6</v>
      </c>
      <c r="AK41" s="219">
        <v>2.7132238894126832E-6</v>
      </c>
      <c r="AL41" s="219">
        <v>2.670910498945035E-6</v>
      </c>
      <c r="AM41" s="219">
        <v>2.628241721850168E-6</v>
      </c>
      <c r="AN41" s="219">
        <v>2.589604919419886E-6</v>
      </c>
      <c r="AO41" s="219">
        <v>2.551364556279124E-6</v>
      </c>
      <c r="AP41" s="219">
        <v>2.510905942376458E-6</v>
      </c>
      <c r="AQ41" s="219">
        <v>2.47323213001122E-6</v>
      </c>
      <c r="AR41" s="219">
        <v>2.4357986690071538E-6</v>
      </c>
      <c r="AS41" s="219">
        <v>2.4131329890278809E-6</v>
      </c>
      <c r="AT41" s="219">
        <v>2.3910509711755099E-6</v>
      </c>
      <c r="AU41" s="219">
        <v>2.3669222365932631E-6</v>
      </c>
      <c r="AV41" s="219">
        <v>2.3452866459110639E-6</v>
      </c>
      <c r="AW41" s="219">
        <v>2.3239865049731331E-6</v>
      </c>
      <c r="AX41" s="219">
        <v>2.330884761066341E-6</v>
      </c>
      <c r="AY41" s="219">
        <v>2.3256852970180019E-6</v>
      </c>
      <c r="AZ41" s="219">
        <v>2.3204983445607599E-6</v>
      </c>
      <c r="BA41" s="219">
        <v>2.3153249915365659E-6</v>
      </c>
      <c r="BB41" s="219">
        <v>2.3101719563033638E-6</v>
      </c>
      <c r="BC41" s="33">
        <v>74.575809260309001</v>
      </c>
      <c r="BD41" s="219">
        <v>74.270526359684311</v>
      </c>
      <c r="BE41" s="219">
        <v>73.965950127458569</v>
      </c>
      <c r="BF41" s="219">
        <v>73.339187335985457</v>
      </c>
      <c r="BG41" s="219">
        <v>73.041191460630031</v>
      </c>
      <c r="BH41" s="219">
        <v>72.743438912319363</v>
      </c>
      <c r="BI41" s="219">
        <v>72.567887261152947</v>
      </c>
      <c r="BJ41" s="219">
        <v>72.458895420808503</v>
      </c>
      <c r="BK41" s="219">
        <v>72.156840140484007</v>
      </c>
      <c r="BL41" s="219">
        <v>72.085650645334511</v>
      </c>
      <c r="BM41" s="219">
        <v>72.013852148483736</v>
      </c>
      <c r="BN41" s="219">
        <v>71.790880172248663</v>
      </c>
      <c r="BO41" s="219">
        <v>71.571203209509932</v>
      </c>
      <c r="BP41" s="219">
        <v>71.286324277838489</v>
      </c>
      <c r="BQ41" s="219">
        <v>71.07336618711642</v>
      </c>
      <c r="BR41" s="219">
        <v>70.862606702538628</v>
      </c>
      <c r="BS41" s="219">
        <v>70.731667588654886</v>
      </c>
      <c r="BT41" s="219">
        <v>70.605088944646468</v>
      </c>
      <c r="BU41" s="219">
        <v>70.416069711464317</v>
      </c>
      <c r="BV41" s="219">
        <v>70.292594391126926</v>
      </c>
      <c r="BW41" s="219">
        <v>70.169705423896218</v>
      </c>
      <c r="BX41" s="219">
        <v>70.093202628392476</v>
      </c>
      <c r="BY41" s="219">
        <v>70.017628574148802</v>
      </c>
      <c r="BZ41" s="219">
        <v>69.942646767052466</v>
      </c>
      <c r="CA41" s="219">
        <v>69.868232978645509</v>
      </c>
      <c r="CB41" s="219">
        <v>69.794413896750513</v>
      </c>
      <c r="CC41" s="33">
        <v>664.0801386284005</v>
      </c>
      <c r="CD41" s="219">
        <v>652.00832861053016</v>
      </c>
      <c r="CE41" s="219">
        <v>639.92874051801846</v>
      </c>
      <c r="CF41" s="219">
        <v>625.60334331751085</v>
      </c>
      <c r="CG41" s="219">
        <v>613.62701269239415</v>
      </c>
      <c r="CH41" s="219">
        <v>601.62268908751901</v>
      </c>
      <c r="CI41" s="219">
        <v>586.20747563970269</v>
      </c>
      <c r="CJ41" s="219">
        <v>573.52073086559062</v>
      </c>
      <c r="CK41" s="219">
        <v>560.76611320474819</v>
      </c>
      <c r="CL41" s="219">
        <v>549.57074670340751</v>
      </c>
      <c r="CM41" s="219">
        <v>538.37907838378339</v>
      </c>
      <c r="CN41" s="219">
        <v>526.42024510535657</v>
      </c>
      <c r="CO41" s="219">
        <v>514.61680142245939</v>
      </c>
      <c r="CP41" s="219">
        <v>502.51494057538468</v>
      </c>
      <c r="CQ41" s="219">
        <v>490.9738719566439</v>
      </c>
      <c r="CR41" s="219">
        <v>479.54322573431477</v>
      </c>
      <c r="CS41" s="219">
        <v>471.83198356736892</v>
      </c>
      <c r="CT41" s="219">
        <v>464.29939058211897</v>
      </c>
      <c r="CU41" s="219">
        <v>456.49533969258471</v>
      </c>
      <c r="CV41" s="219">
        <v>449.11643938088361</v>
      </c>
      <c r="CW41" s="219">
        <v>441.82241332544731</v>
      </c>
      <c r="CX41" s="219">
        <v>440.22884642821612</v>
      </c>
      <c r="CY41" s="219">
        <v>438.23736174700491</v>
      </c>
      <c r="CZ41" s="219">
        <v>436.25274356140488</v>
      </c>
      <c r="DA41" s="219">
        <v>434.27530270360842</v>
      </c>
      <c r="DB41" s="219">
        <v>432.30675945132708</v>
      </c>
    </row>
    <row r="42" spans="1:106" x14ac:dyDescent="0.35">
      <c r="A42" s="137" t="s">
        <v>533</v>
      </c>
      <c r="B42" s="130" t="s">
        <v>545</v>
      </c>
      <c r="C42" s="219">
        <v>5.7475279188938643E-3</v>
      </c>
      <c r="D42" s="219">
        <v>5.7319919468083154E-3</v>
      </c>
      <c r="E42" s="219">
        <v>5.7155081358144988E-3</v>
      </c>
      <c r="F42" s="219">
        <v>5.6937971940597106E-3</v>
      </c>
      <c r="G42" s="219">
        <v>5.6756136288897488E-3</v>
      </c>
      <c r="H42" s="219">
        <v>5.6564464632621898E-3</v>
      </c>
      <c r="I42" s="219">
        <v>5.6181740989612551E-3</v>
      </c>
      <c r="J42" s="219">
        <v>5.5848327891659666E-3</v>
      </c>
      <c r="K42" s="219">
        <v>5.5519798238563714E-3</v>
      </c>
      <c r="L42" s="219">
        <v>5.5223838508659563E-3</v>
      </c>
      <c r="M42" s="219">
        <v>5.4934144753134382E-3</v>
      </c>
      <c r="N42" s="219">
        <v>5.4694904486361894E-3</v>
      </c>
      <c r="O42" s="219">
        <v>5.44704118221316E-3</v>
      </c>
      <c r="P42" s="219">
        <v>5.4250157267374801E-3</v>
      </c>
      <c r="Q42" s="219">
        <v>5.4046251221752124E-3</v>
      </c>
      <c r="R42" s="219">
        <v>5.3849387855755687E-3</v>
      </c>
      <c r="S42" s="219">
        <v>5.3772707719101781E-3</v>
      </c>
      <c r="T42" s="219">
        <v>5.369883174525812E-3</v>
      </c>
      <c r="U42" s="219">
        <v>5.3619587512022913E-3</v>
      </c>
      <c r="V42" s="219">
        <v>5.3548547377185026E-3</v>
      </c>
      <c r="W42" s="219">
        <v>5.3478916367908774E-3</v>
      </c>
      <c r="X42" s="219">
        <v>5.3715304266066374E-3</v>
      </c>
      <c r="Y42" s="219">
        <v>5.3742687385193184E-3</v>
      </c>
      <c r="Z42" s="219">
        <v>5.3769641502837981E-3</v>
      </c>
      <c r="AA42" s="219">
        <v>5.3796193810366714E-3</v>
      </c>
      <c r="AB42" s="219">
        <v>5.3822387902947681E-3</v>
      </c>
      <c r="AC42" s="33">
        <v>5.6429582916055214E-6</v>
      </c>
      <c r="AD42" s="219">
        <v>5.5740681234871212E-6</v>
      </c>
      <c r="AE42" s="219">
        <v>5.5040777740757768E-6</v>
      </c>
      <c r="AF42" s="219">
        <v>5.4189101111140469E-6</v>
      </c>
      <c r="AG42" s="219">
        <v>5.3470164751457781E-6</v>
      </c>
      <c r="AH42" s="219">
        <v>5.2740236978044947E-6</v>
      </c>
      <c r="AI42" s="219">
        <v>5.2060111734950276E-6</v>
      </c>
      <c r="AJ42" s="219">
        <v>5.1442790878324463E-6</v>
      </c>
      <c r="AK42" s="219">
        <v>5.0771594985259174E-6</v>
      </c>
      <c r="AL42" s="219">
        <v>5.017756946160118E-6</v>
      </c>
      <c r="AM42" s="219">
        <v>4.9577113314531208E-6</v>
      </c>
      <c r="AN42" s="219">
        <v>4.9051888811077501E-6</v>
      </c>
      <c r="AO42" s="219">
        <v>4.8530300070421112E-6</v>
      </c>
      <c r="AP42" s="219">
        <v>4.797995789007749E-6</v>
      </c>
      <c r="AQ42" s="219">
        <v>4.7463474642447739E-6</v>
      </c>
      <c r="AR42" s="219">
        <v>4.6949214269285761E-6</v>
      </c>
      <c r="AS42" s="219">
        <v>4.6635706752748852E-6</v>
      </c>
      <c r="AT42" s="219">
        <v>4.632751090398447E-6</v>
      </c>
      <c r="AU42" s="219">
        <v>4.5994445450512841E-6</v>
      </c>
      <c r="AV42" s="219">
        <v>4.5693042610048244E-6</v>
      </c>
      <c r="AW42" s="219">
        <v>4.5396738773699263E-6</v>
      </c>
      <c r="AX42" s="219">
        <v>4.553865241003368E-6</v>
      </c>
      <c r="AY42" s="219">
        <v>4.5460305064451417E-6</v>
      </c>
      <c r="AZ42" s="219">
        <v>4.5382363669841193E-6</v>
      </c>
      <c r="BA42" s="219">
        <v>4.5304830378587866E-6</v>
      </c>
      <c r="BB42" s="219">
        <v>4.522774264243854E-6</v>
      </c>
      <c r="BC42" s="33">
        <v>313.82231223638792</v>
      </c>
      <c r="BD42" s="219">
        <v>313.25035739442211</v>
      </c>
      <c r="BE42" s="219">
        <v>312.68073607849129</v>
      </c>
      <c r="BF42" s="219">
        <v>311.70374977713561</v>
      </c>
      <c r="BG42" s="219">
        <v>311.14253246116868</v>
      </c>
      <c r="BH42" s="219">
        <v>310.58200337810598</v>
      </c>
      <c r="BI42" s="219">
        <v>310.36102455413072</v>
      </c>
      <c r="BJ42" s="219">
        <v>310.18817437638029</v>
      </c>
      <c r="BK42" s="219">
        <v>309.75259162863671</v>
      </c>
      <c r="BL42" s="219">
        <v>309.60877952124542</v>
      </c>
      <c r="BM42" s="219">
        <v>309.46487763420282</v>
      </c>
      <c r="BN42" s="219">
        <v>309.1130220407635</v>
      </c>
      <c r="BO42" s="219">
        <v>308.76567912275527</v>
      </c>
      <c r="BP42" s="219">
        <v>308.33692615188772</v>
      </c>
      <c r="BQ42" s="219">
        <v>307.99892750465227</v>
      </c>
      <c r="BR42" s="219">
        <v>307.66417455223439</v>
      </c>
      <c r="BS42" s="219">
        <v>307.42651674408017</v>
      </c>
      <c r="BT42" s="219">
        <v>307.19333485706937</v>
      </c>
      <c r="BU42" s="219">
        <v>306.88272011308482</v>
      </c>
      <c r="BV42" s="219">
        <v>306.65522019852699</v>
      </c>
      <c r="BW42" s="219">
        <v>306.42930631360412</v>
      </c>
      <c r="BX42" s="219">
        <v>306.2990280417128</v>
      </c>
      <c r="BY42" s="219">
        <v>306.17026206090293</v>
      </c>
      <c r="BZ42" s="219">
        <v>306.04258628120141</v>
      </c>
      <c r="CA42" s="219">
        <v>305.91593712237278</v>
      </c>
      <c r="CB42" s="219">
        <v>305.79029913932169</v>
      </c>
      <c r="CC42" s="33">
        <v>880.72967752235445</v>
      </c>
      <c r="CD42" s="219">
        <v>864.04523452805256</v>
      </c>
      <c r="CE42" s="219">
        <v>847.26430947565916</v>
      </c>
      <c r="CF42" s="219">
        <v>827.44475198166663</v>
      </c>
      <c r="CG42" s="219">
        <v>810.50998876760548</v>
      </c>
      <c r="CH42" s="219">
        <v>793.44211678799877</v>
      </c>
      <c r="CI42" s="219">
        <v>775.18091032380403</v>
      </c>
      <c r="CJ42" s="219">
        <v>758.83492396642043</v>
      </c>
      <c r="CK42" s="219">
        <v>741.55186161372205</v>
      </c>
      <c r="CL42" s="219">
        <v>726.193731042933</v>
      </c>
      <c r="CM42" s="219">
        <v>710.80186739873591</v>
      </c>
      <c r="CN42" s="219">
        <v>694.73732182941865</v>
      </c>
      <c r="CO42" s="219">
        <v>678.83515093154324</v>
      </c>
      <c r="CP42" s="219">
        <v>662.53602916126135</v>
      </c>
      <c r="CQ42" s="219">
        <v>646.92202178533375</v>
      </c>
      <c r="CR42" s="219">
        <v>631.43406294558008</v>
      </c>
      <c r="CS42" s="219">
        <v>620.93711301692736</v>
      </c>
      <c r="CT42" s="219">
        <v>610.61470189351212</v>
      </c>
      <c r="CU42" s="219">
        <v>599.96917485024585</v>
      </c>
      <c r="CV42" s="219">
        <v>589.87214928997594</v>
      </c>
      <c r="CW42" s="219">
        <v>579.90312696366198</v>
      </c>
      <c r="CX42" s="219">
        <v>578.09323157649067</v>
      </c>
      <c r="CY42" s="219">
        <v>575.24551082174253</v>
      </c>
      <c r="CZ42" s="219">
        <v>572.41384891768826</v>
      </c>
      <c r="DA42" s="219">
        <v>569.59831011809661</v>
      </c>
      <c r="DB42" s="219">
        <v>566.7997983464212</v>
      </c>
    </row>
    <row r="43" spans="1:106" x14ac:dyDescent="0.35">
      <c r="A43" s="137" t="s">
        <v>534</v>
      </c>
      <c r="B43" s="130" t="s">
        <v>545</v>
      </c>
      <c r="C43" s="219">
        <v>1.2845382150857119E-2</v>
      </c>
      <c r="D43" s="219">
        <v>1.277592294496384E-2</v>
      </c>
      <c r="E43" s="219">
        <v>1.270703782011749E-2</v>
      </c>
      <c r="F43" s="219">
        <v>1.2623134029094121E-2</v>
      </c>
      <c r="G43" s="219">
        <v>1.255657680953462E-2</v>
      </c>
      <c r="H43" s="219">
        <v>1.2490456731288339E-2</v>
      </c>
      <c r="I43" s="219">
        <v>1.2365799802015151E-2</v>
      </c>
      <c r="J43" s="219">
        <v>1.227065272905245E-2</v>
      </c>
      <c r="K43" s="219">
        <v>1.2183877277898301E-2</v>
      </c>
      <c r="L43" s="219">
        <v>1.211026832471168E-2</v>
      </c>
      <c r="M43" s="219">
        <v>1.2040015946460061E-2</v>
      </c>
      <c r="N43" s="219">
        <v>1.197427995903203E-2</v>
      </c>
      <c r="O43" s="219">
        <v>1.1913932411260691E-2</v>
      </c>
      <c r="P43" s="219">
        <v>1.1855140510836011E-2</v>
      </c>
      <c r="Q43" s="219">
        <v>1.180252771436832E-2</v>
      </c>
      <c r="R43" s="219">
        <v>1.175270426186004E-2</v>
      </c>
      <c r="S43" s="219">
        <v>1.173060147036843E-2</v>
      </c>
      <c r="T43" s="219">
        <v>1.171009258265418E-2</v>
      </c>
      <c r="U43" s="219">
        <v>1.168760114791256E-2</v>
      </c>
      <c r="V43" s="219">
        <v>1.1668227841255509E-2</v>
      </c>
      <c r="W43" s="219">
        <v>1.1649385890598621E-2</v>
      </c>
      <c r="X43" s="219">
        <v>1.1728129070692849E-2</v>
      </c>
      <c r="Y43" s="219">
        <v>1.173031367074755E-2</v>
      </c>
      <c r="Z43" s="219">
        <v>1.173237927278015E-2</v>
      </c>
      <c r="AA43" s="219">
        <v>1.1734333124199201E-2</v>
      </c>
      <c r="AB43" s="219">
        <v>1.1736195761015171E-2</v>
      </c>
      <c r="AC43" s="33">
        <v>1.418628247834127E-5</v>
      </c>
      <c r="AD43" s="219">
        <v>1.403402173990222E-5</v>
      </c>
      <c r="AE43" s="219">
        <v>1.3882334766180739E-5</v>
      </c>
      <c r="AF43" s="219">
        <v>1.3679906747087311E-5</v>
      </c>
      <c r="AG43" s="219">
        <v>1.3531864425361099E-5</v>
      </c>
      <c r="AH43" s="219">
        <v>1.338451196585165E-5</v>
      </c>
      <c r="AI43" s="219">
        <v>1.320037620833027E-5</v>
      </c>
      <c r="AJ43" s="219">
        <v>1.306331787333812E-5</v>
      </c>
      <c r="AK43" s="219">
        <v>1.292001895330862E-5</v>
      </c>
      <c r="AL43" s="219">
        <v>1.2807924537562471E-5</v>
      </c>
      <c r="AM43" s="219">
        <v>1.269578672168139E-5</v>
      </c>
      <c r="AN43" s="219">
        <v>1.259610886233249E-5</v>
      </c>
      <c r="AO43" s="219">
        <v>1.2497781137633149E-5</v>
      </c>
      <c r="AP43" s="219">
        <v>1.238842473006538E-5</v>
      </c>
      <c r="AQ43" s="219">
        <v>1.229188014116467E-5</v>
      </c>
      <c r="AR43" s="219">
        <v>1.2196091324661659E-5</v>
      </c>
      <c r="AS43" s="219">
        <v>1.2137830226137751E-5</v>
      </c>
      <c r="AT43" s="219">
        <v>1.2081933852938401E-5</v>
      </c>
      <c r="AU43" s="219">
        <v>1.201578642898043E-5</v>
      </c>
      <c r="AV43" s="219">
        <v>1.196100591933944E-5</v>
      </c>
      <c r="AW43" s="219">
        <v>1.190725477984298E-5</v>
      </c>
      <c r="AX43" s="219">
        <v>1.196554996048494E-5</v>
      </c>
      <c r="AY43" s="219">
        <v>1.194921207481811E-5</v>
      </c>
      <c r="AZ43" s="219">
        <v>1.19328139679487E-5</v>
      </c>
      <c r="BA43" s="219">
        <v>1.191636282561428E-5</v>
      </c>
      <c r="BB43" s="219">
        <v>1.1899892481605371E-5</v>
      </c>
      <c r="BC43" s="33">
        <v>315.02558376823708</v>
      </c>
      <c r="BD43" s="219">
        <v>313.93387619592238</v>
      </c>
      <c r="BE43" s="219">
        <v>312.86154353101068</v>
      </c>
      <c r="BF43" s="219">
        <v>310.28152115599369</v>
      </c>
      <c r="BG43" s="219">
        <v>309.2735161158588</v>
      </c>
      <c r="BH43" s="219">
        <v>308.28315096709753</v>
      </c>
      <c r="BI43" s="219">
        <v>307.39006547696408</v>
      </c>
      <c r="BJ43" s="219">
        <v>306.82647419246501</v>
      </c>
      <c r="BK43" s="219">
        <v>305.36321696253918</v>
      </c>
      <c r="BL43" s="219">
        <v>304.99687139053248</v>
      </c>
      <c r="BM43" s="219">
        <v>304.63502700576288</v>
      </c>
      <c r="BN43" s="219">
        <v>303.88043462274572</v>
      </c>
      <c r="BO43" s="219">
        <v>303.13842488895449</v>
      </c>
      <c r="BP43" s="219">
        <v>302.08334086026451</v>
      </c>
      <c r="BQ43" s="219">
        <v>301.367016918594</v>
      </c>
      <c r="BR43" s="219">
        <v>300.65815093656101</v>
      </c>
      <c r="BS43" s="219">
        <v>300.30191367197688</v>
      </c>
      <c r="BT43" s="219">
        <v>299.9648944433776</v>
      </c>
      <c r="BU43" s="219">
        <v>299.32877827214668</v>
      </c>
      <c r="BV43" s="219">
        <v>299.00271795245112</v>
      </c>
      <c r="BW43" s="219">
        <v>298.67768037497228</v>
      </c>
      <c r="BX43" s="219">
        <v>298.38620193980398</v>
      </c>
      <c r="BY43" s="219">
        <v>298.09776919569578</v>
      </c>
      <c r="BZ43" s="219">
        <v>297.81113413995712</v>
      </c>
      <c r="CA43" s="219">
        <v>297.526204223641</v>
      </c>
      <c r="CB43" s="219">
        <v>297.24312789019069</v>
      </c>
      <c r="CC43" s="33">
        <v>2726.2435258181008</v>
      </c>
      <c r="CD43" s="219">
        <v>2687.7862985956631</v>
      </c>
      <c r="CE43" s="219">
        <v>2649.7325761687262</v>
      </c>
      <c r="CF43" s="219">
        <v>2601.5569228769659</v>
      </c>
      <c r="CG43" s="219">
        <v>2564.9976190391039</v>
      </c>
      <c r="CH43" s="219">
        <v>2528.817540765926</v>
      </c>
      <c r="CI43" s="219">
        <v>2475.7522910651828</v>
      </c>
      <c r="CJ43" s="219">
        <v>2436.0098182605229</v>
      </c>
      <c r="CK43" s="219">
        <v>2396.2552546559682</v>
      </c>
      <c r="CL43" s="219">
        <v>2363.9977110944142</v>
      </c>
      <c r="CM43" s="219">
        <v>2331.899776781439</v>
      </c>
      <c r="CN43" s="219">
        <v>2298.3292386902958</v>
      </c>
      <c r="CO43" s="219">
        <v>2265.2360154815742</v>
      </c>
      <c r="CP43" s="219">
        <v>2230.4837720423329</v>
      </c>
      <c r="CQ43" s="219">
        <v>2198.1641737167788</v>
      </c>
      <c r="CR43" s="219">
        <v>2166.1370254567628</v>
      </c>
      <c r="CS43" s="219">
        <v>2144.2555021643439</v>
      </c>
      <c r="CT43" s="219">
        <v>2123.0461218476012</v>
      </c>
      <c r="CU43" s="219">
        <v>2100.3578282827721</v>
      </c>
      <c r="CV43" s="219">
        <v>2079.5104296823561</v>
      </c>
      <c r="CW43" s="219">
        <v>2058.8789226396352</v>
      </c>
      <c r="CX43" s="219">
        <v>2054.1801939071138</v>
      </c>
      <c r="CY43" s="219">
        <v>2047.6074298939029</v>
      </c>
      <c r="CZ43" s="219">
        <v>2041.027371817248</v>
      </c>
      <c r="DA43" s="219">
        <v>2034.4419152695491</v>
      </c>
      <c r="DB43" s="219">
        <v>2027.859677810445</v>
      </c>
    </row>
    <row r="44" spans="1:106" x14ac:dyDescent="0.35">
      <c r="A44" s="137" t="s">
        <v>535</v>
      </c>
      <c r="B44" s="130" t="s">
        <v>545</v>
      </c>
      <c r="C44" s="219">
        <v>1.6265845410914071E-2</v>
      </c>
      <c r="D44" s="219">
        <v>1.6174885672271211E-2</v>
      </c>
      <c r="E44" s="219">
        <v>1.6082871392915209E-2</v>
      </c>
      <c r="F44" s="219">
        <v>1.5977708866461951E-2</v>
      </c>
      <c r="G44" s="219">
        <v>1.588408649832539E-2</v>
      </c>
      <c r="H44" s="219">
        <v>1.578905565257005E-2</v>
      </c>
      <c r="I44" s="219">
        <v>1.5676455123926469E-2</v>
      </c>
      <c r="J44" s="219">
        <v>1.55765289490032E-2</v>
      </c>
      <c r="K44" s="219">
        <v>1.5477238685267739E-2</v>
      </c>
      <c r="L44" s="219">
        <v>1.538595679910758E-2</v>
      </c>
      <c r="M44" s="219">
        <v>1.529560868423685E-2</v>
      </c>
      <c r="N44" s="219">
        <v>1.522494277550124E-2</v>
      </c>
      <c r="O44" s="219">
        <v>1.515703025055427E-2</v>
      </c>
      <c r="P44" s="219">
        <v>1.508937561170145E-2</v>
      </c>
      <c r="Q44" s="219">
        <v>1.502558671089791E-2</v>
      </c>
      <c r="R44" s="219">
        <v>1.49633341079746E-2</v>
      </c>
      <c r="S44" s="219">
        <v>1.493210462791991E-2</v>
      </c>
      <c r="T44" s="219">
        <v>1.490188859750049E-2</v>
      </c>
      <c r="U44" s="219">
        <v>1.4870361434870241E-2</v>
      </c>
      <c r="V44" s="219">
        <v>1.484130180917991E-2</v>
      </c>
      <c r="W44" s="219">
        <v>1.481282678518973E-2</v>
      </c>
      <c r="X44" s="219">
        <v>1.484994293015055E-2</v>
      </c>
      <c r="Y44" s="219">
        <v>1.484573834216505E-2</v>
      </c>
      <c r="Z44" s="219">
        <v>1.484155538273141E-2</v>
      </c>
      <c r="AA44" s="219">
        <v>1.4837378565330661E-2</v>
      </c>
      <c r="AB44" s="219">
        <v>1.4833217096636269E-2</v>
      </c>
      <c r="AC44" s="33">
        <v>1.150422510297097E-5</v>
      </c>
      <c r="AD44" s="219">
        <v>1.1312537381242181E-5</v>
      </c>
      <c r="AE44" s="219">
        <v>1.111953001684934E-5</v>
      </c>
      <c r="AF44" s="219">
        <v>1.0885957586657119E-5</v>
      </c>
      <c r="AG44" s="219">
        <v>1.0691053094967509E-5</v>
      </c>
      <c r="AH44" s="219">
        <v>1.0493930323727859E-5</v>
      </c>
      <c r="AI44" s="219">
        <v>1.029875767258317E-5</v>
      </c>
      <c r="AJ44" s="219">
        <v>1.012362994134807E-5</v>
      </c>
      <c r="AK44" s="219">
        <v>9.9357592947604354E-6</v>
      </c>
      <c r="AL44" s="219">
        <v>9.7699313869587155E-6</v>
      </c>
      <c r="AM44" s="219">
        <v>9.6030265154480329E-6</v>
      </c>
      <c r="AN44" s="219">
        <v>9.4682770537268044E-6</v>
      </c>
      <c r="AO44" s="219">
        <v>9.3349416630068875E-6</v>
      </c>
      <c r="AP44" s="219">
        <v>9.1939960224299299E-6</v>
      </c>
      <c r="AQ44" s="219">
        <v>9.0630077361560552E-6</v>
      </c>
      <c r="AR44" s="219">
        <v>8.933114629308689E-6</v>
      </c>
      <c r="AS44" s="219">
        <v>8.8562665461432653E-6</v>
      </c>
      <c r="AT44" s="219">
        <v>8.7811638857913965E-6</v>
      </c>
      <c r="AU44" s="219">
        <v>8.6990979215685394E-6</v>
      </c>
      <c r="AV44" s="219">
        <v>8.6260841366543291E-6</v>
      </c>
      <c r="AW44" s="219">
        <v>8.5545475727006066E-6</v>
      </c>
      <c r="AX44" s="219">
        <v>8.5739965819514981E-6</v>
      </c>
      <c r="AY44" s="219">
        <v>8.5555247204011188E-6</v>
      </c>
      <c r="AZ44" s="219">
        <v>8.5371680706363265E-6</v>
      </c>
      <c r="BA44" s="219">
        <v>8.518891408180313E-6</v>
      </c>
      <c r="BB44" s="219">
        <v>8.5007103755770063E-6</v>
      </c>
      <c r="BC44" s="33">
        <v>243.43520206801139</v>
      </c>
      <c r="BD44" s="219">
        <v>242.4040002406025</v>
      </c>
      <c r="BE44" s="219">
        <v>241.3737328712993</v>
      </c>
      <c r="BF44" s="219">
        <v>239.20432763271691</v>
      </c>
      <c r="BG44" s="219">
        <v>238.1957847711557</v>
      </c>
      <c r="BH44" s="219">
        <v>237.17891426896301</v>
      </c>
      <c r="BI44" s="219">
        <v>236.77558854520251</v>
      </c>
      <c r="BJ44" s="219">
        <v>236.50809474153061</v>
      </c>
      <c r="BK44" s="219">
        <v>235.51330141954281</v>
      </c>
      <c r="BL44" s="219">
        <v>235.3182344228245</v>
      </c>
      <c r="BM44" s="219">
        <v>235.11376647755199</v>
      </c>
      <c r="BN44" s="219">
        <v>234.59576136085411</v>
      </c>
      <c r="BO44" s="219">
        <v>234.08659679500539</v>
      </c>
      <c r="BP44" s="219">
        <v>233.3468188934205</v>
      </c>
      <c r="BQ44" s="219">
        <v>232.8573156394315</v>
      </c>
      <c r="BR44" s="219">
        <v>232.373814534834</v>
      </c>
      <c r="BS44" s="219">
        <v>232.11279757004959</v>
      </c>
      <c r="BT44" s="219">
        <v>231.86225477033341</v>
      </c>
      <c r="BU44" s="219">
        <v>231.391961737895</v>
      </c>
      <c r="BV44" s="219">
        <v>231.1517339144236</v>
      </c>
      <c r="BW44" s="219">
        <v>230.91337314255571</v>
      </c>
      <c r="BX44" s="219">
        <v>230.57487740815611</v>
      </c>
      <c r="BY44" s="219">
        <v>230.23976196579079</v>
      </c>
      <c r="BZ44" s="219">
        <v>229.90884802990041</v>
      </c>
      <c r="CA44" s="219">
        <v>229.57974841505029</v>
      </c>
      <c r="CB44" s="219">
        <v>229.25250346606171</v>
      </c>
      <c r="CC44" s="33">
        <v>2535.5148250076131</v>
      </c>
      <c r="CD44" s="219">
        <v>2490.4356817157891</v>
      </c>
      <c r="CE44" s="219">
        <v>2445.2805983607709</v>
      </c>
      <c r="CF44" s="219">
        <v>2391.9851872861691</v>
      </c>
      <c r="CG44" s="219">
        <v>2346.9832489594842</v>
      </c>
      <c r="CH44" s="219">
        <v>2301.7260041056829</v>
      </c>
      <c r="CI44" s="219">
        <v>2250.440601457723</v>
      </c>
      <c r="CJ44" s="219">
        <v>2205.1061564476458</v>
      </c>
      <c r="CK44" s="219">
        <v>2157.6939073237409</v>
      </c>
      <c r="CL44" s="219">
        <v>2115.728454289479</v>
      </c>
      <c r="CM44" s="219">
        <v>2073.773134704405</v>
      </c>
      <c r="CN44" s="219">
        <v>2032.015549344879</v>
      </c>
      <c r="CO44" s="219">
        <v>1990.807224536198</v>
      </c>
      <c r="CP44" s="219">
        <v>1948.595672095229</v>
      </c>
      <c r="CQ44" s="219">
        <v>1908.4009267918509</v>
      </c>
      <c r="CR44" s="219">
        <v>1868.651737739335</v>
      </c>
      <c r="CS44" s="219">
        <v>1842.7356761784131</v>
      </c>
      <c r="CT44" s="219">
        <v>1817.368896167513</v>
      </c>
      <c r="CU44" s="219">
        <v>1791.114369225621</v>
      </c>
      <c r="CV44" s="219">
        <v>1766.429897093635</v>
      </c>
      <c r="CW44" s="219">
        <v>1742.121086486984</v>
      </c>
      <c r="CX44" s="219">
        <v>1736.2804255404219</v>
      </c>
      <c r="CY44" s="219">
        <v>1729.297628464087</v>
      </c>
      <c r="CZ44" s="219">
        <v>1722.3652234406291</v>
      </c>
      <c r="DA44" s="219">
        <v>1715.4749042019789</v>
      </c>
      <c r="DB44" s="219">
        <v>1708.6303526095519</v>
      </c>
    </row>
    <row r="45" spans="1:106" x14ac:dyDescent="0.35">
      <c r="A45" s="137" t="s">
        <v>536</v>
      </c>
      <c r="B45" s="130" t="s">
        <v>545</v>
      </c>
      <c r="C45" s="219">
        <v>1.267220629476748E-2</v>
      </c>
      <c r="D45" s="219">
        <v>1.2601102406706919E-2</v>
      </c>
      <c r="E45" s="219">
        <v>1.252814592897767E-2</v>
      </c>
      <c r="F45" s="219">
        <v>1.244756343290066E-2</v>
      </c>
      <c r="G45" s="219">
        <v>1.237080280915313E-2</v>
      </c>
      <c r="H45" s="219">
        <v>1.2291897225452819E-2</v>
      </c>
      <c r="I45" s="219">
        <v>1.222013804513911E-2</v>
      </c>
      <c r="J45" s="219">
        <v>1.214831086471563E-2</v>
      </c>
      <c r="K45" s="219">
        <v>1.207318953721402E-2</v>
      </c>
      <c r="L45" s="219">
        <v>1.2000268349648621E-2</v>
      </c>
      <c r="M45" s="219">
        <v>1.1926589537426631E-2</v>
      </c>
      <c r="N45" s="219">
        <v>1.1870904978851319E-2</v>
      </c>
      <c r="O45" s="219">
        <v>1.1815783747965431E-2</v>
      </c>
      <c r="P45" s="219">
        <v>1.176032449486235E-2</v>
      </c>
      <c r="Q45" s="219">
        <v>1.170617310837934E-2</v>
      </c>
      <c r="R45" s="219">
        <v>1.165240518919701E-2</v>
      </c>
      <c r="S45" s="219">
        <v>1.1622709814229609E-2</v>
      </c>
      <c r="T45" s="219">
        <v>1.159340685151531E-2</v>
      </c>
      <c r="U45" s="219">
        <v>1.156367990746879E-2</v>
      </c>
      <c r="V45" s="219">
        <v>1.153515858503219E-2</v>
      </c>
      <c r="W45" s="219">
        <v>1.150704657382734E-2</v>
      </c>
      <c r="X45" s="219">
        <v>1.153525467107034E-2</v>
      </c>
      <c r="Y45" s="219">
        <v>1.1529254020823399E-2</v>
      </c>
      <c r="Z45" s="219">
        <v>1.152333361077962E-2</v>
      </c>
      <c r="AA45" s="219">
        <v>1.15174800900008E-2</v>
      </c>
      <c r="AB45" s="219">
        <v>1.1511693996588929E-2</v>
      </c>
      <c r="AC45" s="33">
        <v>9.1719333838261594E-6</v>
      </c>
      <c r="AD45" s="219">
        <v>9.0242888321747508E-6</v>
      </c>
      <c r="AE45" s="219">
        <v>8.8737221567422352E-6</v>
      </c>
      <c r="AF45" s="219">
        <v>8.7020319420543879E-6</v>
      </c>
      <c r="AG45" s="219">
        <v>8.5453969080991848E-6</v>
      </c>
      <c r="AH45" s="219">
        <v>8.385141229360819E-6</v>
      </c>
      <c r="AI45" s="219">
        <v>8.2431929078767053E-6</v>
      </c>
      <c r="AJ45" s="219">
        <v>8.1006670666513166E-6</v>
      </c>
      <c r="AK45" s="219">
        <v>7.9470188192158207E-6</v>
      </c>
      <c r="AL45" s="219">
        <v>7.8018987466389738E-6</v>
      </c>
      <c r="AM45" s="219">
        <v>7.6550768582789122E-6</v>
      </c>
      <c r="AN45" s="219">
        <v>7.5326708830196142E-6</v>
      </c>
      <c r="AO45" s="219">
        <v>7.4112014772257678E-6</v>
      </c>
      <c r="AP45" s="219">
        <v>7.2868102778855096E-6</v>
      </c>
      <c r="AQ45" s="219">
        <v>7.1670465176775453E-6</v>
      </c>
      <c r="AR45" s="219">
        <v>7.0480833943520176E-6</v>
      </c>
      <c r="AS45" s="219">
        <v>6.976653693040584E-6</v>
      </c>
      <c r="AT45" s="219">
        <v>6.9060325748506687E-6</v>
      </c>
      <c r="AU45" s="219">
        <v>6.8328255776292963E-6</v>
      </c>
      <c r="AV45" s="219">
        <v>6.7639886720628612E-6</v>
      </c>
      <c r="AW45" s="219">
        <v>6.6962729762141019E-6</v>
      </c>
      <c r="AX45" s="219">
        <v>6.7134423485229334E-6</v>
      </c>
      <c r="AY45" s="219">
        <v>6.6992744610442202E-6</v>
      </c>
      <c r="AZ45" s="219">
        <v>6.6852796522154196E-6</v>
      </c>
      <c r="BA45" s="219">
        <v>6.671429529927031E-6</v>
      </c>
      <c r="BB45" s="219">
        <v>6.6577245653098022E-6</v>
      </c>
      <c r="BC45" s="33">
        <v>119.8877128712579</v>
      </c>
      <c r="BD45" s="219">
        <v>119.1846109422293</v>
      </c>
      <c r="BE45" s="219">
        <v>118.4676720788536</v>
      </c>
      <c r="BF45" s="219">
        <v>117.2232056974234</v>
      </c>
      <c r="BG45" s="219">
        <v>116.4853106249319</v>
      </c>
      <c r="BH45" s="219">
        <v>115.7269875413878</v>
      </c>
      <c r="BI45" s="219">
        <v>115.7086224538851</v>
      </c>
      <c r="BJ45" s="219">
        <v>115.68552165959809</v>
      </c>
      <c r="BK45" s="219">
        <v>115.3030372840374</v>
      </c>
      <c r="BL45" s="219">
        <v>115.266378429789</v>
      </c>
      <c r="BM45" s="219">
        <v>115.2175463043766</v>
      </c>
      <c r="BN45" s="219">
        <v>114.8499793023778</v>
      </c>
      <c r="BO45" s="219">
        <v>114.48712028028</v>
      </c>
      <c r="BP45" s="219">
        <v>114.0256666178817</v>
      </c>
      <c r="BQ45" s="219">
        <v>113.6739634993683</v>
      </c>
      <c r="BR45" s="219">
        <v>113.32630022207699</v>
      </c>
      <c r="BS45" s="219">
        <v>113.046373427701</v>
      </c>
      <c r="BT45" s="219">
        <v>112.7694895560051</v>
      </c>
      <c r="BU45" s="219">
        <v>112.3988299302159</v>
      </c>
      <c r="BV45" s="219">
        <v>112.1291726920348</v>
      </c>
      <c r="BW45" s="219">
        <v>111.8617355972102</v>
      </c>
      <c r="BX45" s="219">
        <v>111.65720387117319</v>
      </c>
      <c r="BY45" s="219">
        <v>111.4551102981935</v>
      </c>
      <c r="BZ45" s="219">
        <v>111.2561982527815</v>
      </c>
      <c r="CA45" s="219">
        <v>111.0587669930311</v>
      </c>
      <c r="CB45" s="219">
        <v>110.8627883304634</v>
      </c>
      <c r="CC45" s="33">
        <v>1516.390580972007</v>
      </c>
      <c r="CD45" s="219">
        <v>1482.3160151108771</v>
      </c>
      <c r="CE45" s="219">
        <v>1447.830677123206</v>
      </c>
      <c r="CF45" s="219">
        <v>1409.1419651568831</v>
      </c>
      <c r="CG45" s="219">
        <v>1373.7798330805711</v>
      </c>
      <c r="CH45" s="219">
        <v>1337.8380007032781</v>
      </c>
      <c r="CI45" s="219">
        <v>1302.759333939315</v>
      </c>
      <c r="CJ45" s="219">
        <v>1267.918670520869</v>
      </c>
      <c r="CK45" s="219">
        <v>1230.846591048225</v>
      </c>
      <c r="CL45" s="219">
        <v>1196.056504584767</v>
      </c>
      <c r="CM45" s="219">
        <v>1161.147955731444</v>
      </c>
      <c r="CN45" s="219">
        <v>1125.518462907286</v>
      </c>
      <c r="CO45" s="219">
        <v>1090.303456569291</v>
      </c>
      <c r="CP45" s="219">
        <v>1054.8365574115121</v>
      </c>
      <c r="CQ45" s="219">
        <v>1020.421115011702</v>
      </c>
      <c r="CR45" s="219">
        <v>986.38449933428569</v>
      </c>
      <c r="CS45" s="219">
        <v>964.09401987447472</v>
      </c>
      <c r="CT45" s="219">
        <v>942.11322616298139</v>
      </c>
      <c r="CU45" s="219">
        <v>919.90854118978348</v>
      </c>
      <c r="CV45" s="219">
        <v>898.54511394690746</v>
      </c>
      <c r="CW45" s="219">
        <v>877.50721935229922</v>
      </c>
      <c r="CX45" s="219">
        <v>872.69731980109759</v>
      </c>
      <c r="CY45" s="219">
        <v>867.55446343338872</v>
      </c>
      <c r="CZ45" s="219">
        <v>862.47498462857607</v>
      </c>
      <c r="DA45" s="219">
        <v>857.45213818190314</v>
      </c>
      <c r="DB45" s="219">
        <v>852.4858251998578</v>
      </c>
    </row>
    <row r="46" spans="1:106" x14ac:dyDescent="0.35">
      <c r="A46" s="137" t="s">
        <v>537</v>
      </c>
      <c r="B46" s="130" t="s">
        <v>545</v>
      </c>
      <c r="C46" s="219">
        <v>8.1155683691255427E-3</v>
      </c>
      <c r="D46" s="219">
        <v>8.0829838626344276E-3</v>
      </c>
      <c r="E46" s="219">
        <v>8.049820303421407E-3</v>
      </c>
      <c r="F46" s="219">
        <v>8.0113708419208493E-3</v>
      </c>
      <c r="G46" s="219">
        <v>7.9770181583396632E-3</v>
      </c>
      <c r="H46" s="219">
        <v>7.9419113913288802E-3</v>
      </c>
      <c r="I46" s="219">
        <v>7.9071410925325766E-3</v>
      </c>
      <c r="J46" s="219">
        <v>7.8736823613703953E-3</v>
      </c>
      <c r="K46" s="219">
        <v>7.8384833485234413E-3</v>
      </c>
      <c r="L46" s="219">
        <v>7.8057159704350669E-3</v>
      </c>
      <c r="M46" s="219">
        <v>7.7728856347147896E-3</v>
      </c>
      <c r="N46" s="219">
        <v>7.7476168772683844E-3</v>
      </c>
      <c r="O46" s="219">
        <v>7.722805943925385E-3</v>
      </c>
      <c r="P46" s="219">
        <v>7.6976724136996414E-3</v>
      </c>
      <c r="Q46" s="219">
        <v>7.6735835257358814E-3</v>
      </c>
      <c r="R46" s="219">
        <v>7.6497686227918844E-3</v>
      </c>
      <c r="S46" s="219">
        <v>7.6366239639348178E-3</v>
      </c>
      <c r="T46" s="219">
        <v>7.6236867118524097E-3</v>
      </c>
      <c r="U46" s="219">
        <v>7.6102375560714378E-3</v>
      </c>
      <c r="V46" s="219">
        <v>7.5976413338360652E-3</v>
      </c>
      <c r="W46" s="219">
        <v>7.5852245116876044E-3</v>
      </c>
      <c r="X46" s="219">
        <v>7.6239622109247011E-3</v>
      </c>
      <c r="Y46" s="219">
        <v>7.6218247204036206E-3</v>
      </c>
      <c r="Z46" s="219">
        <v>7.6197116088834648E-3</v>
      </c>
      <c r="AA46" s="219">
        <v>7.6176181152098387E-3</v>
      </c>
      <c r="AB46" s="219">
        <v>7.6155455032114426E-3</v>
      </c>
      <c r="AC46" s="33">
        <v>7.2421411651487134E-6</v>
      </c>
      <c r="AD46" s="219">
        <v>7.1750450952158881E-6</v>
      </c>
      <c r="AE46" s="219">
        <v>7.1070433649411663E-6</v>
      </c>
      <c r="AF46" s="219">
        <v>7.0232002639202511E-6</v>
      </c>
      <c r="AG46" s="219">
        <v>6.9534106293528236E-6</v>
      </c>
      <c r="AH46" s="219">
        <v>6.8824647781463602E-6</v>
      </c>
      <c r="AI46" s="219">
        <v>6.818064859754778E-6</v>
      </c>
      <c r="AJ46" s="219">
        <v>6.7554868869079194E-6</v>
      </c>
      <c r="AK46" s="219">
        <v>6.6852687942421484E-6</v>
      </c>
      <c r="AL46" s="219">
        <v>6.6228693881746769E-6</v>
      </c>
      <c r="AM46" s="219">
        <v>6.5599051747843E-6</v>
      </c>
      <c r="AN46" s="219">
        <v>6.5073821914436844E-6</v>
      </c>
      <c r="AO46" s="219">
        <v>6.4552230596656336E-6</v>
      </c>
      <c r="AP46" s="219">
        <v>6.4002295511762924E-6</v>
      </c>
      <c r="AQ46" s="219">
        <v>6.3487047914599651E-6</v>
      </c>
      <c r="AR46" s="219">
        <v>6.297488821347897E-6</v>
      </c>
      <c r="AS46" s="219">
        <v>6.2658016796066764E-6</v>
      </c>
      <c r="AT46" s="219">
        <v>6.2345111059263221E-6</v>
      </c>
      <c r="AU46" s="219">
        <v>6.2007036161565827E-6</v>
      </c>
      <c r="AV46" s="219">
        <v>6.1701459389291918E-6</v>
      </c>
      <c r="AW46" s="219">
        <v>6.14009284123616E-6</v>
      </c>
      <c r="AX46" s="219">
        <v>6.1672315526222923E-6</v>
      </c>
      <c r="AY46" s="219">
        <v>6.1600240919528288E-6</v>
      </c>
      <c r="AZ46" s="219">
        <v>6.1528718346889928E-6</v>
      </c>
      <c r="BA46" s="219">
        <v>6.1457641350215584E-6</v>
      </c>
      <c r="BB46" s="219">
        <v>6.138702848702078E-6</v>
      </c>
      <c r="BC46" s="33">
        <v>85.211147912787794</v>
      </c>
      <c r="BD46" s="219">
        <v>84.864538539539211</v>
      </c>
      <c r="BE46" s="219">
        <v>84.514582909125863</v>
      </c>
      <c r="BF46" s="219">
        <v>83.737191395026471</v>
      </c>
      <c r="BG46" s="219">
        <v>83.384793056571411</v>
      </c>
      <c r="BH46" s="219">
        <v>83.026237777592485</v>
      </c>
      <c r="BI46" s="219">
        <v>82.953107681024889</v>
      </c>
      <c r="BJ46" s="219">
        <v>82.892277703427254</v>
      </c>
      <c r="BK46" s="219">
        <v>82.545476306254628</v>
      </c>
      <c r="BL46" s="219">
        <v>82.489586293696263</v>
      </c>
      <c r="BM46" s="219">
        <v>82.429532190166285</v>
      </c>
      <c r="BN46" s="219">
        <v>82.216050469495002</v>
      </c>
      <c r="BO46" s="219">
        <v>82.004712259920396</v>
      </c>
      <c r="BP46" s="219">
        <v>81.709349831074007</v>
      </c>
      <c r="BQ46" s="219">
        <v>81.50353122343121</v>
      </c>
      <c r="BR46" s="219">
        <v>81.299343737150807</v>
      </c>
      <c r="BS46" s="219">
        <v>81.149521633855002</v>
      </c>
      <c r="BT46" s="219">
        <v>81.001525535695095</v>
      </c>
      <c r="BU46" s="219">
        <v>80.773981360785598</v>
      </c>
      <c r="BV46" s="219">
        <v>80.629464134292732</v>
      </c>
      <c r="BW46" s="219">
        <v>80.48566271113728</v>
      </c>
      <c r="BX46" s="219">
        <v>80.381662744303</v>
      </c>
      <c r="BY46" s="219">
        <v>80.27864421312664</v>
      </c>
      <c r="BZ46" s="219">
        <v>80.176825360117689</v>
      </c>
      <c r="CA46" s="219">
        <v>80.075532812980953</v>
      </c>
      <c r="CB46" s="219">
        <v>79.974760774179074</v>
      </c>
      <c r="CC46" s="33">
        <v>1090.8211920973019</v>
      </c>
      <c r="CD46" s="219">
        <v>1074.833363124606</v>
      </c>
      <c r="CE46" s="219">
        <v>1058.743460609837</v>
      </c>
      <c r="CF46" s="219">
        <v>1039.456806692348</v>
      </c>
      <c r="CG46" s="219">
        <v>1023.174643872956</v>
      </c>
      <c r="CH46" s="219">
        <v>1006.723897602841</v>
      </c>
      <c r="CI46" s="219">
        <v>989.75202722069037</v>
      </c>
      <c r="CJ46" s="219">
        <v>973.43917424242659</v>
      </c>
      <c r="CK46" s="219">
        <v>955.54600812813248</v>
      </c>
      <c r="CL46" s="219">
        <v>939.59637318550188</v>
      </c>
      <c r="CM46" s="219">
        <v>923.61716090575294</v>
      </c>
      <c r="CN46" s="219">
        <v>907.37893021732407</v>
      </c>
      <c r="CO46" s="219">
        <v>891.30689506747649</v>
      </c>
      <c r="CP46" s="219">
        <v>874.85239492658059</v>
      </c>
      <c r="CQ46" s="219">
        <v>859.10463123379782</v>
      </c>
      <c r="CR46" s="219">
        <v>843.50590153883149</v>
      </c>
      <c r="CS46" s="219">
        <v>833.0283539938016</v>
      </c>
      <c r="CT46" s="219">
        <v>822.69568474813195</v>
      </c>
      <c r="CU46" s="219">
        <v>812.0483515279991</v>
      </c>
      <c r="CV46" s="219">
        <v>801.97291254301456</v>
      </c>
      <c r="CW46" s="219">
        <v>792.03625125588917</v>
      </c>
      <c r="CX46" s="219">
        <v>789.96521364785735</v>
      </c>
      <c r="CY46" s="219">
        <v>787.35607787519541</v>
      </c>
      <c r="CZ46" s="219">
        <v>784.76905010078144</v>
      </c>
      <c r="DA46" s="219">
        <v>782.20162170616652</v>
      </c>
      <c r="DB46" s="219">
        <v>779.65418476533046</v>
      </c>
    </row>
    <row r="47" spans="1:106" x14ac:dyDescent="0.35">
      <c r="A47" s="137" t="s">
        <v>539</v>
      </c>
      <c r="B47" s="130" t="s">
        <v>545</v>
      </c>
      <c r="C47" s="219">
        <v>6.3101752981999824E-3</v>
      </c>
      <c r="D47" s="219">
        <v>6.2781183778277128E-3</v>
      </c>
      <c r="E47" s="219">
        <v>6.2451928446504721E-3</v>
      </c>
      <c r="F47" s="219">
        <v>6.2086499405754362E-3</v>
      </c>
      <c r="G47" s="219">
        <v>6.1739402051209482E-3</v>
      </c>
      <c r="H47" s="219">
        <v>6.1382395190063728E-3</v>
      </c>
      <c r="I47" s="219">
        <v>6.1047191642475277E-3</v>
      </c>
      <c r="J47" s="219">
        <v>6.0713646909192499E-3</v>
      </c>
      <c r="K47" s="219">
        <v>6.0365601737394376E-3</v>
      </c>
      <c r="L47" s="219">
        <v>6.0028382276916883E-3</v>
      </c>
      <c r="M47" s="219">
        <v>5.968792613536813E-3</v>
      </c>
      <c r="N47" s="219">
        <v>5.9423618635245524E-3</v>
      </c>
      <c r="O47" s="219">
        <v>5.9162380651323803E-3</v>
      </c>
      <c r="P47" s="219">
        <v>5.889982932085102E-3</v>
      </c>
      <c r="Q47" s="219">
        <v>5.8643661000143069E-3</v>
      </c>
      <c r="R47" s="219">
        <v>5.8389435021088858E-3</v>
      </c>
      <c r="S47" s="219">
        <v>5.824767000990467E-3</v>
      </c>
      <c r="T47" s="219">
        <v>5.8107749506746426E-3</v>
      </c>
      <c r="U47" s="219">
        <v>5.7965752074008031E-3</v>
      </c>
      <c r="V47" s="219">
        <v>5.7829373280150441E-3</v>
      </c>
      <c r="W47" s="219">
        <v>5.7694836621011002E-3</v>
      </c>
      <c r="X47" s="219">
        <v>5.7899257729999657E-3</v>
      </c>
      <c r="Y47" s="219">
        <v>5.7873422599022794E-3</v>
      </c>
      <c r="Z47" s="219">
        <v>5.7847922420003473E-3</v>
      </c>
      <c r="AA47" s="219">
        <v>5.7822710777562956E-3</v>
      </c>
      <c r="AB47" s="219">
        <v>5.7797791857476209E-3</v>
      </c>
      <c r="AC47" s="33">
        <v>5.0838586316427567E-6</v>
      </c>
      <c r="AD47" s="219">
        <v>5.016531678857532E-6</v>
      </c>
      <c r="AE47" s="219">
        <v>4.9477677111553896E-6</v>
      </c>
      <c r="AF47" s="219">
        <v>4.8689121136300531E-6</v>
      </c>
      <c r="AG47" s="219">
        <v>4.797211344086926E-6</v>
      </c>
      <c r="AH47" s="219">
        <v>4.7238220746099779E-6</v>
      </c>
      <c r="AI47" s="219">
        <v>4.657899165246408E-6</v>
      </c>
      <c r="AJ47" s="219">
        <v>4.5919520622485908E-6</v>
      </c>
      <c r="AK47" s="219">
        <v>4.5208311787727441E-6</v>
      </c>
      <c r="AL47" s="219">
        <v>4.4537480131039824E-6</v>
      </c>
      <c r="AM47" s="219">
        <v>4.3858446984950863E-6</v>
      </c>
      <c r="AN47" s="219">
        <v>4.3277008264575133E-6</v>
      </c>
      <c r="AO47" s="219">
        <v>4.269976097311259E-6</v>
      </c>
      <c r="AP47" s="219">
        <v>4.2108410629865584E-6</v>
      </c>
      <c r="AQ47" s="219">
        <v>4.1538668923435294E-6</v>
      </c>
      <c r="AR47" s="219">
        <v>4.0972411504465904E-6</v>
      </c>
      <c r="AS47" s="219">
        <v>4.0627889326868789E-6</v>
      </c>
      <c r="AT47" s="219">
        <v>4.0287030510471834E-6</v>
      </c>
      <c r="AU47" s="219">
        <v>3.9933665718554479E-6</v>
      </c>
      <c r="AV47" s="219">
        <v>3.9600698566651592E-6</v>
      </c>
      <c r="AW47" s="219">
        <v>3.9272705937530792E-6</v>
      </c>
      <c r="AX47" s="219">
        <v>3.9422542439120542E-6</v>
      </c>
      <c r="AY47" s="219">
        <v>3.9355801590235862E-6</v>
      </c>
      <c r="AZ47" s="219">
        <v>3.9289841816910807E-6</v>
      </c>
      <c r="BA47" s="219">
        <v>3.9224560728287506E-6</v>
      </c>
      <c r="BB47" s="219">
        <v>3.9159961182382966E-6</v>
      </c>
      <c r="BC47" s="33">
        <v>57.213045992396857</v>
      </c>
      <c r="BD47" s="219">
        <v>56.878528680114421</v>
      </c>
      <c r="BE47" s="219">
        <v>56.53749833805341</v>
      </c>
      <c r="BF47" s="219">
        <v>55.945195850606943</v>
      </c>
      <c r="BG47" s="219">
        <v>55.593806918360933</v>
      </c>
      <c r="BH47" s="219">
        <v>55.233397346562967</v>
      </c>
      <c r="BI47" s="219">
        <v>55.220207279570303</v>
      </c>
      <c r="BJ47" s="219">
        <v>55.207255945253493</v>
      </c>
      <c r="BK47" s="219">
        <v>55.024933100403423</v>
      </c>
      <c r="BL47" s="219">
        <v>55.007515747499369</v>
      </c>
      <c r="BM47" s="219">
        <v>54.984937530160231</v>
      </c>
      <c r="BN47" s="219">
        <v>54.790824475481337</v>
      </c>
      <c r="BO47" s="219">
        <v>54.599027705624799</v>
      </c>
      <c r="BP47" s="219">
        <v>54.360582129349858</v>
      </c>
      <c r="BQ47" s="219">
        <v>54.174189869661078</v>
      </c>
      <c r="BR47" s="219">
        <v>53.989783057993662</v>
      </c>
      <c r="BS47" s="219">
        <v>53.83452101788194</v>
      </c>
      <c r="BT47" s="219">
        <v>53.68080887675611</v>
      </c>
      <c r="BU47" s="219">
        <v>53.482706391830213</v>
      </c>
      <c r="BV47" s="219">
        <v>53.332451694572008</v>
      </c>
      <c r="BW47" s="219">
        <v>53.183279163303027</v>
      </c>
      <c r="BX47" s="219">
        <v>53.094682519248437</v>
      </c>
      <c r="BY47" s="219">
        <v>53.007201098492978</v>
      </c>
      <c r="BZ47" s="219">
        <v>52.921038466603513</v>
      </c>
      <c r="CA47" s="219">
        <v>52.835585646749813</v>
      </c>
      <c r="CB47" s="219">
        <v>52.750830081964537</v>
      </c>
      <c r="CC47" s="33">
        <v>720.17360726585548</v>
      </c>
      <c r="CD47" s="219">
        <v>704.49962845729192</v>
      </c>
      <c r="CE47" s="219">
        <v>688.63126441763961</v>
      </c>
      <c r="CF47" s="219">
        <v>670.76065525359502</v>
      </c>
      <c r="CG47" s="219">
        <v>654.47360771477986</v>
      </c>
      <c r="CH47" s="219">
        <v>637.92075675594651</v>
      </c>
      <c r="CI47" s="219">
        <v>621.48857676404782</v>
      </c>
      <c r="CJ47" s="219">
        <v>605.23868878795349</v>
      </c>
      <c r="CK47" s="219">
        <v>587.95875432305854</v>
      </c>
      <c r="CL47" s="219">
        <v>571.7587986595629</v>
      </c>
      <c r="CM47" s="219">
        <v>555.49996555517919</v>
      </c>
      <c r="CN47" s="219">
        <v>538.59026468873049</v>
      </c>
      <c r="CO47" s="219">
        <v>521.86969998170207</v>
      </c>
      <c r="CP47" s="219">
        <v>505.02175041387619</v>
      </c>
      <c r="CQ47" s="219">
        <v>488.66330301015779</v>
      </c>
      <c r="CR47" s="219">
        <v>472.47632566595252</v>
      </c>
      <c r="CS47" s="219">
        <v>461.73576384711998</v>
      </c>
      <c r="CT47" s="219">
        <v>451.13839225206351</v>
      </c>
      <c r="CU47" s="219">
        <v>440.42875663651381</v>
      </c>
      <c r="CV47" s="219">
        <v>430.11066639418578</v>
      </c>
      <c r="CW47" s="219">
        <v>419.93934275540909</v>
      </c>
      <c r="CX47" s="219">
        <v>417.67454540739971</v>
      </c>
      <c r="CY47" s="219">
        <v>415.24252066345372</v>
      </c>
      <c r="CZ47" s="219">
        <v>412.83891515240362</v>
      </c>
      <c r="DA47" s="219">
        <v>410.46129981364629</v>
      </c>
      <c r="DB47" s="219">
        <v>408.10966761868031</v>
      </c>
    </row>
    <row r="48" spans="1:106" x14ac:dyDescent="0.35">
      <c r="A48" s="137" t="s">
        <v>540</v>
      </c>
      <c r="B48" s="130" t="s">
        <v>545</v>
      </c>
      <c r="C48" s="219">
        <v>3.6673559301182651E-3</v>
      </c>
      <c r="D48" s="219">
        <v>3.6355511788238311E-3</v>
      </c>
      <c r="E48" s="219">
        <v>3.6031169550479608E-3</v>
      </c>
      <c r="F48" s="219">
        <v>3.5673434692806128E-3</v>
      </c>
      <c r="G48" s="219">
        <v>3.53362595019799E-3</v>
      </c>
      <c r="H48" s="219">
        <v>3.499202835003469E-3</v>
      </c>
      <c r="I48" s="219">
        <v>3.465642949540243E-3</v>
      </c>
      <c r="J48" s="219">
        <v>3.4338218421465999E-3</v>
      </c>
      <c r="K48" s="219">
        <v>3.4013799005872458E-3</v>
      </c>
      <c r="L48" s="219">
        <v>3.370341594837933E-3</v>
      </c>
      <c r="M48" s="219">
        <v>3.3391986396062931E-3</v>
      </c>
      <c r="N48" s="219">
        <v>3.3140235630260799E-3</v>
      </c>
      <c r="O48" s="219">
        <v>3.289343763432922E-3</v>
      </c>
      <c r="P48" s="219">
        <v>3.2646195001358258E-3</v>
      </c>
      <c r="Q48" s="219">
        <v>3.2406720631781871E-3</v>
      </c>
      <c r="R48" s="219">
        <v>3.2169849575410091E-3</v>
      </c>
      <c r="S48" s="219">
        <v>3.2044603301055771E-3</v>
      </c>
      <c r="T48" s="219">
        <v>3.192153391803911E-3</v>
      </c>
      <c r="U48" s="219">
        <v>3.1795852932384621E-3</v>
      </c>
      <c r="V48" s="219">
        <v>3.1675904023929489E-3</v>
      </c>
      <c r="W48" s="219">
        <v>3.1557574246976901E-3</v>
      </c>
      <c r="X48" s="219">
        <v>3.167049722602921E-3</v>
      </c>
      <c r="Y48" s="219">
        <v>3.166155827355876E-3</v>
      </c>
      <c r="Z48" s="219">
        <v>3.1652888867441829E-3</v>
      </c>
      <c r="AA48" s="219">
        <v>3.1644494346757721E-3</v>
      </c>
      <c r="AB48" s="219">
        <v>3.1636391609714751E-3</v>
      </c>
      <c r="AC48" s="33">
        <v>4.2855500853218693E-6</v>
      </c>
      <c r="AD48" s="219">
        <v>4.2264891426658796E-6</v>
      </c>
      <c r="AE48" s="219">
        <v>4.1659395490867654E-6</v>
      </c>
      <c r="AF48" s="219">
        <v>4.0953196841841774E-6</v>
      </c>
      <c r="AG48" s="219">
        <v>4.0319855116884084E-6</v>
      </c>
      <c r="AH48" s="219">
        <v>3.967184413981524E-6</v>
      </c>
      <c r="AI48" s="219">
        <v>3.9081331299672237E-6</v>
      </c>
      <c r="AJ48" s="219">
        <v>3.8515439482965624E-6</v>
      </c>
      <c r="AK48" s="219">
        <v>3.790752455742242E-6</v>
      </c>
      <c r="AL48" s="219">
        <v>3.7343482983483449E-6</v>
      </c>
      <c r="AM48" s="219">
        <v>3.6771462424500072E-6</v>
      </c>
      <c r="AN48" s="219">
        <v>3.6258638053646479E-6</v>
      </c>
      <c r="AO48" s="219">
        <v>3.574887958548929E-6</v>
      </c>
      <c r="AP48" s="219">
        <v>3.5222414289277309E-6</v>
      </c>
      <c r="AQ48" s="219">
        <v>3.471723074481483E-6</v>
      </c>
      <c r="AR48" s="219">
        <v>3.421398995892136E-6</v>
      </c>
      <c r="AS48" s="219">
        <v>3.3915034340756138E-6</v>
      </c>
      <c r="AT48" s="219">
        <v>3.3619886275890399E-6</v>
      </c>
      <c r="AU48" s="219">
        <v>3.331064054342009E-6</v>
      </c>
      <c r="AV48" s="219">
        <v>3.3021526159859689E-6</v>
      </c>
      <c r="AW48" s="219">
        <v>3.2736496574817321E-6</v>
      </c>
      <c r="AX48" s="219">
        <v>3.2807858082609431E-6</v>
      </c>
      <c r="AY48" s="219">
        <v>3.2740483027614678E-6</v>
      </c>
      <c r="AZ48" s="219">
        <v>3.267358005788153E-6</v>
      </c>
      <c r="BA48" s="219">
        <v>3.260714756825565E-6</v>
      </c>
      <c r="BB48" s="219">
        <v>3.254120739896854E-6</v>
      </c>
      <c r="BC48" s="33">
        <v>60.149320712686112</v>
      </c>
      <c r="BD48" s="219">
        <v>59.87833413575666</v>
      </c>
      <c r="BE48" s="219">
        <v>59.599706505261047</v>
      </c>
      <c r="BF48" s="219">
        <v>59.062292384988453</v>
      </c>
      <c r="BG48" s="219">
        <v>58.770249300586507</v>
      </c>
      <c r="BH48" s="219">
        <v>58.4701009346973</v>
      </c>
      <c r="BI48" s="219">
        <v>58.411650071223193</v>
      </c>
      <c r="BJ48" s="219">
        <v>58.371940526168977</v>
      </c>
      <c r="BK48" s="219">
        <v>58.162950178368753</v>
      </c>
      <c r="BL48" s="219">
        <v>58.130112313860351</v>
      </c>
      <c r="BM48" s="219">
        <v>58.093567088951858</v>
      </c>
      <c r="BN48" s="219">
        <v>57.845990610984082</v>
      </c>
      <c r="BO48" s="219">
        <v>57.600360412498247</v>
      </c>
      <c r="BP48" s="219">
        <v>57.304387459778951</v>
      </c>
      <c r="BQ48" s="219">
        <v>57.063164054812077</v>
      </c>
      <c r="BR48" s="219">
        <v>56.823382521848373</v>
      </c>
      <c r="BS48" s="219">
        <v>56.651072638828857</v>
      </c>
      <c r="BT48" s="219">
        <v>56.480814498978042</v>
      </c>
      <c r="BU48" s="219">
        <v>56.263015055633957</v>
      </c>
      <c r="BV48" s="219">
        <v>56.095552439794957</v>
      </c>
      <c r="BW48" s="219">
        <v>55.928799281948542</v>
      </c>
      <c r="BX48" s="219">
        <v>55.853478365122548</v>
      </c>
      <c r="BY48" s="219">
        <v>55.778938887663983</v>
      </c>
      <c r="BZ48" s="219">
        <v>55.704856998035908</v>
      </c>
      <c r="CA48" s="219">
        <v>55.631206446606079</v>
      </c>
      <c r="CB48" s="219">
        <v>55.55798568524807</v>
      </c>
      <c r="CC48" s="33">
        <v>600.64271598941855</v>
      </c>
      <c r="CD48" s="219">
        <v>586.31335652173141</v>
      </c>
      <c r="CE48" s="219">
        <v>571.81612901689869</v>
      </c>
      <c r="CF48" s="219">
        <v>555.33236660979685</v>
      </c>
      <c r="CG48" s="219">
        <v>540.48304226951166</v>
      </c>
      <c r="CH48" s="219">
        <v>525.42194468773653</v>
      </c>
      <c r="CI48" s="219">
        <v>509.99642628331708</v>
      </c>
      <c r="CJ48" s="219">
        <v>495.43852173222132</v>
      </c>
      <c r="CK48" s="219">
        <v>480.13139605298232</v>
      </c>
      <c r="CL48" s="219">
        <v>465.97682783072418</v>
      </c>
      <c r="CM48" s="219">
        <v>451.76699350319132</v>
      </c>
      <c r="CN48" s="219">
        <v>436.67261832624399</v>
      </c>
      <c r="CO48" s="219">
        <v>421.73215890085419</v>
      </c>
      <c r="CP48" s="219">
        <v>406.60103250565948</v>
      </c>
      <c r="CQ48" s="219">
        <v>391.93822383089179</v>
      </c>
      <c r="CR48" s="219">
        <v>377.40402950084763</v>
      </c>
      <c r="CS48" s="219">
        <v>367.75664158465958</v>
      </c>
      <c r="CT48" s="219">
        <v>358.24702880895268</v>
      </c>
      <c r="CU48" s="219">
        <v>348.58133887015123</v>
      </c>
      <c r="CV48" s="219">
        <v>339.28772501865768</v>
      </c>
      <c r="CW48" s="219">
        <v>330.11053825191459</v>
      </c>
      <c r="CX48" s="219">
        <v>328.50557678004918</v>
      </c>
      <c r="CY48" s="219">
        <v>326.04346303375871</v>
      </c>
      <c r="CZ48" s="219">
        <v>323.59918966806907</v>
      </c>
      <c r="DA48" s="219">
        <v>321.17272645221641</v>
      </c>
      <c r="DB48" s="219">
        <v>318.76460365558728</v>
      </c>
    </row>
    <row r="49" spans="1:106" x14ac:dyDescent="0.35">
      <c r="A49" s="137" t="s">
        <v>541</v>
      </c>
      <c r="B49" s="130" t="s">
        <v>545</v>
      </c>
      <c r="C49" s="219">
        <v>2.0251561932952661E-2</v>
      </c>
      <c r="D49" s="219">
        <v>2.0116420964079802E-2</v>
      </c>
      <c r="E49" s="219">
        <v>1.9982777558277119E-2</v>
      </c>
      <c r="F49" s="219">
        <v>1.981955698224358E-2</v>
      </c>
      <c r="G49" s="219">
        <v>1.9691509807776321E-2</v>
      </c>
      <c r="H49" s="219">
        <v>1.9564696860407241E-2</v>
      </c>
      <c r="I49" s="219">
        <v>1.9308505028792559E-2</v>
      </c>
      <c r="J49" s="219">
        <v>1.9116266760645258E-2</v>
      </c>
      <c r="K49" s="219">
        <v>1.8943523877008671E-2</v>
      </c>
      <c r="L49" s="219">
        <v>1.879810906902175E-2</v>
      </c>
      <c r="M49" s="219">
        <v>1.866007112444797E-2</v>
      </c>
      <c r="N49" s="219">
        <v>1.8528213465512519E-2</v>
      </c>
      <c r="O49" s="219">
        <v>1.8407955480745589E-2</v>
      </c>
      <c r="P49" s="219">
        <v>1.8291352302905461E-2</v>
      </c>
      <c r="Q49" s="219">
        <v>1.8187717464314829E-2</v>
      </c>
      <c r="R49" s="219">
        <v>1.8090073360610661E-2</v>
      </c>
      <c r="S49" s="219">
        <v>1.804849479023574E-2</v>
      </c>
      <c r="T49" s="219">
        <v>1.8010308727634459E-2</v>
      </c>
      <c r="U49" s="219">
        <v>1.796811535417767E-2</v>
      </c>
      <c r="V49" s="219">
        <v>1.7932270464325419E-2</v>
      </c>
      <c r="W49" s="219">
        <v>1.7897516391203811E-2</v>
      </c>
      <c r="X49" s="219">
        <v>1.8011295895390671E-2</v>
      </c>
      <c r="Y49" s="219">
        <v>1.801733126006156E-2</v>
      </c>
      <c r="Z49" s="219">
        <v>1.8023096846473751E-2</v>
      </c>
      <c r="AA49" s="219">
        <v>1.8028608591675321E-2</v>
      </c>
      <c r="AB49" s="219">
        <v>1.8033910916592379E-2</v>
      </c>
      <c r="AC49" s="33">
        <v>2.291638491689332E-5</v>
      </c>
      <c r="AD49" s="219">
        <v>2.2615574138687201E-5</v>
      </c>
      <c r="AE49" s="219">
        <v>2.231660341110857E-5</v>
      </c>
      <c r="AF49" s="219">
        <v>2.1916664667690229E-5</v>
      </c>
      <c r="AG49" s="219">
        <v>2.1626697920868161E-5</v>
      </c>
      <c r="AH49" s="219">
        <v>2.1338771992812559E-5</v>
      </c>
      <c r="AI49" s="219">
        <v>2.0966871481527708E-5</v>
      </c>
      <c r="AJ49" s="219">
        <v>2.0697116416111159E-5</v>
      </c>
      <c r="AK49" s="219">
        <v>2.0418501783716689E-5</v>
      </c>
      <c r="AL49" s="219">
        <v>2.020333490581372E-5</v>
      </c>
      <c r="AM49" s="219">
        <v>1.998833567637784E-5</v>
      </c>
      <c r="AN49" s="219">
        <v>1.9795376252865489E-5</v>
      </c>
      <c r="AO49" s="219">
        <v>1.9605244830270901E-5</v>
      </c>
      <c r="AP49" s="219">
        <v>1.9392767112284881E-5</v>
      </c>
      <c r="AQ49" s="219">
        <v>1.9206334328732408E-5</v>
      </c>
      <c r="AR49" s="219">
        <v>1.902146342248561E-5</v>
      </c>
      <c r="AS49" s="219">
        <v>1.8909752842239681E-5</v>
      </c>
      <c r="AT49" s="219">
        <v>1.8803075050910202E-5</v>
      </c>
      <c r="AU49" s="219">
        <v>1.8675595616402401E-5</v>
      </c>
      <c r="AV49" s="219">
        <v>1.8571116198911701E-5</v>
      </c>
      <c r="AW49" s="219">
        <v>1.8468721271723218E-5</v>
      </c>
      <c r="AX49" s="219">
        <v>1.8541018168410709E-5</v>
      </c>
      <c r="AY49" s="219">
        <v>1.8508129810364189E-5</v>
      </c>
      <c r="AZ49" s="219">
        <v>1.847508549982655E-5</v>
      </c>
      <c r="BA49" s="219">
        <v>1.8441901272678571E-5</v>
      </c>
      <c r="BB49" s="219">
        <v>1.8408650273423339E-5</v>
      </c>
      <c r="BC49" s="33">
        <v>654.34504301961317</v>
      </c>
      <c r="BD49" s="219">
        <v>652.15758716303139</v>
      </c>
      <c r="BE49" s="219">
        <v>650.01518957421024</v>
      </c>
      <c r="BF49" s="219">
        <v>644.84415623994323</v>
      </c>
      <c r="BG49" s="219">
        <v>642.84649692065796</v>
      </c>
      <c r="BH49" s="219">
        <v>640.89045182690631</v>
      </c>
      <c r="BI49" s="219">
        <v>638.99600286707755</v>
      </c>
      <c r="BJ49" s="219">
        <v>637.81566744668783</v>
      </c>
      <c r="BK49" s="219">
        <v>634.8424785514776</v>
      </c>
      <c r="BL49" s="219">
        <v>634.08951822213839</v>
      </c>
      <c r="BM49" s="219">
        <v>633.34763716859072</v>
      </c>
      <c r="BN49" s="219">
        <v>631.82022005025078</v>
      </c>
      <c r="BO49" s="219">
        <v>630.31935024275595</v>
      </c>
      <c r="BP49" s="219">
        <v>628.18444455511371</v>
      </c>
      <c r="BQ49" s="219">
        <v>626.73702234280222</v>
      </c>
      <c r="BR49" s="219">
        <v>625.30514396298997</v>
      </c>
      <c r="BS49" s="219">
        <v>624.63230646433624</v>
      </c>
      <c r="BT49" s="219">
        <v>624.00048235373504</v>
      </c>
      <c r="BU49" s="219">
        <v>622.7622038369135</v>
      </c>
      <c r="BV49" s="219">
        <v>622.15220904586738</v>
      </c>
      <c r="BW49" s="219">
        <v>621.54390916263912</v>
      </c>
      <c r="BX49" s="219">
        <v>620.92816052446983</v>
      </c>
      <c r="BY49" s="219">
        <v>620.31860046095767</v>
      </c>
      <c r="BZ49" s="219">
        <v>619.71259768140567</v>
      </c>
      <c r="CA49" s="219">
        <v>619.10998002019676</v>
      </c>
      <c r="CB49" s="219">
        <v>618.51107201007642</v>
      </c>
      <c r="CC49" s="33">
        <v>5471.4360123760534</v>
      </c>
      <c r="CD49" s="219">
        <v>5395.0340308314471</v>
      </c>
      <c r="CE49" s="219">
        <v>5319.5563418730917</v>
      </c>
      <c r="CF49" s="219">
        <v>5223.9468555017011</v>
      </c>
      <c r="CG49" s="219">
        <v>5151.8339924788306</v>
      </c>
      <c r="CH49" s="219">
        <v>5080.6175147652384</v>
      </c>
      <c r="CI49" s="219">
        <v>4972.4420283782983</v>
      </c>
      <c r="CJ49" s="219">
        <v>4893.0949331911106</v>
      </c>
      <c r="CK49" s="219">
        <v>4814.7357776808794</v>
      </c>
      <c r="CL49" s="219">
        <v>4751.5896304212647</v>
      </c>
      <c r="CM49" s="219">
        <v>4688.8054486678957</v>
      </c>
      <c r="CN49" s="219">
        <v>4622.7715532888587</v>
      </c>
      <c r="CO49" s="219">
        <v>4557.7129300141751</v>
      </c>
      <c r="CP49" s="219">
        <v>4489.2816989186831</v>
      </c>
      <c r="CQ49" s="219">
        <v>4425.7778947755996</v>
      </c>
      <c r="CR49" s="219">
        <v>4362.8513519971684</v>
      </c>
      <c r="CS49" s="219">
        <v>4319.9647510509658</v>
      </c>
      <c r="CT49" s="219">
        <v>4278.4897605318647</v>
      </c>
      <c r="CU49" s="219">
        <v>4233.9962838048596</v>
      </c>
      <c r="CV49" s="219">
        <v>4193.2116761296211</v>
      </c>
      <c r="CW49" s="219">
        <v>4152.8477449246957</v>
      </c>
      <c r="CX49" s="219">
        <v>4143.6279845426143</v>
      </c>
      <c r="CY49" s="219">
        <v>4130.4033321236548</v>
      </c>
      <c r="CZ49" s="219">
        <v>4117.1528070535296</v>
      </c>
      <c r="DA49" s="219">
        <v>4103.8806690055717</v>
      </c>
      <c r="DB49" s="219">
        <v>4090.605597177344</v>
      </c>
    </row>
    <row r="50" spans="1:106" x14ac:dyDescent="0.35">
      <c r="A50" s="137" t="s">
        <v>542</v>
      </c>
      <c r="B50" s="130" t="s">
        <v>545</v>
      </c>
      <c r="C50" s="219">
        <v>5.5780352999011518E-2</v>
      </c>
      <c r="D50" s="219">
        <v>5.5047017282853147E-2</v>
      </c>
      <c r="E50" s="219">
        <v>5.4287702146233727E-2</v>
      </c>
      <c r="F50" s="219">
        <v>5.3482533110041773E-2</v>
      </c>
      <c r="G50" s="219">
        <v>5.2668258621981212E-2</v>
      </c>
      <c r="H50" s="219">
        <v>5.1825729715390789E-2</v>
      </c>
      <c r="I50" s="219">
        <v>5.107270034810997E-2</v>
      </c>
      <c r="J50" s="219">
        <v>5.0308766246683428E-2</v>
      </c>
      <c r="K50" s="219">
        <v>4.9522580513875668E-2</v>
      </c>
      <c r="L50" s="219">
        <v>4.8730645154510942E-2</v>
      </c>
      <c r="M50" s="219">
        <v>4.7925166861817699E-2</v>
      </c>
      <c r="N50" s="219">
        <v>4.7251198928158919E-2</v>
      </c>
      <c r="O50" s="219">
        <v>4.6581455677099377E-2</v>
      </c>
      <c r="P50" s="219">
        <v>4.5912735880992039E-2</v>
      </c>
      <c r="Q50" s="219">
        <v>4.5249948021144563E-2</v>
      </c>
      <c r="R50" s="219">
        <v>4.4589529676794568E-2</v>
      </c>
      <c r="S50" s="219">
        <v>4.4213482230621479E-2</v>
      </c>
      <c r="T50" s="219">
        <v>4.3841476914449187E-2</v>
      </c>
      <c r="U50" s="219">
        <v>4.3471070732434572E-2</v>
      </c>
      <c r="V50" s="219">
        <v>4.3107119273459997E-2</v>
      </c>
      <c r="W50" s="219">
        <v>4.2747187595963923E-2</v>
      </c>
      <c r="X50" s="219">
        <v>4.2831870670115277E-2</v>
      </c>
      <c r="Y50" s="219">
        <v>4.2759363192839191E-2</v>
      </c>
      <c r="Z50" s="219">
        <v>4.2687737152588362E-2</v>
      </c>
      <c r="AA50" s="219">
        <v>4.2616983289962232E-2</v>
      </c>
      <c r="AB50" s="219">
        <v>4.2547099130816383E-2</v>
      </c>
      <c r="AC50" s="33">
        <v>6.8369970539627651E-5</v>
      </c>
      <c r="AD50" s="219">
        <v>6.6876606166855847E-5</v>
      </c>
      <c r="AE50" s="219">
        <v>6.5331724293968133E-5</v>
      </c>
      <c r="AF50" s="219">
        <v>6.3676275865257075E-5</v>
      </c>
      <c r="AG50" s="219">
        <v>6.2027690174615803E-5</v>
      </c>
      <c r="AH50" s="219">
        <v>6.0326503713289061E-5</v>
      </c>
      <c r="AI50" s="219">
        <v>5.8785854149251308E-5</v>
      </c>
      <c r="AJ50" s="219">
        <v>5.7222214573948882E-5</v>
      </c>
      <c r="AK50" s="219">
        <v>5.560049168395101E-5</v>
      </c>
      <c r="AL50" s="219">
        <v>5.3987158839366468E-5</v>
      </c>
      <c r="AM50" s="219">
        <v>5.2346407915216569E-5</v>
      </c>
      <c r="AN50" s="219">
        <v>5.0830972069312223E-5</v>
      </c>
      <c r="AO50" s="219">
        <v>4.9324753949071819E-5</v>
      </c>
      <c r="AP50" s="219">
        <v>4.7814757661003449E-5</v>
      </c>
      <c r="AQ50" s="219">
        <v>4.6323707448637158E-5</v>
      </c>
      <c r="AR50" s="219">
        <v>4.4838884139033958E-5</v>
      </c>
      <c r="AS50" s="219">
        <v>4.3944587698362738E-5</v>
      </c>
      <c r="AT50" s="219">
        <v>4.3057759816879693E-5</v>
      </c>
      <c r="AU50" s="219">
        <v>4.2168714068554313E-5</v>
      </c>
      <c r="AV50" s="219">
        <v>4.1298351020737972E-5</v>
      </c>
      <c r="AW50" s="219">
        <v>4.0437043149566642E-5</v>
      </c>
      <c r="AX50" s="219">
        <v>4.0420908368597622E-5</v>
      </c>
      <c r="AY50" s="219">
        <v>4.0267243215982211E-5</v>
      </c>
      <c r="AZ50" s="219">
        <v>4.0115582375293827E-5</v>
      </c>
      <c r="BA50" s="219">
        <v>3.9965889688030958E-5</v>
      </c>
      <c r="BB50" s="219">
        <v>3.9818142825202373E-5</v>
      </c>
      <c r="BC50" s="33">
        <v>693.55879573755169</v>
      </c>
      <c r="BD50" s="219">
        <v>686.49558447323204</v>
      </c>
      <c r="BE50" s="219">
        <v>679.17166608267121</v>
      </c>
      <c r="BF50" s="219">
        <v>669.89271694926902</v>
      </c>
      <c r="BG50" s="219">
        <v>662.04453393123583</v>
      </c>
      <c r="BH50" s="219">
        <v>653.92765279932462</v>
      </c>
      <c r="BI50" s="219">
        <v>654.42181625394335</v>
      </c>
      <c r="BJ50" s="219">
        <v>654.81752068840058</v>
      </c>
      <c r="BK50" s="219">
        <v>653.93432143034295</v>
      </c>
      <c r="BL50" s="219">
        <v>654.11738378759912</v>
      </c>
      <c r="BM50" s="219">
        <v>654.17847909194586</v>
      </c>
      <c r="BN50" s="219">
        <v>648.45318141166399</v>
      </c>
      <c r="BO50" s="219">
        <v>642.78203767379432</v>
      </c>
      <c r="BP50" s="219">
        <v>636.84465373240459</v>
      </c>
      <c r="BQ50" s="219">
        <v>631.28769895440269</v>
      </c>
      <c r="BR50" s="219">
        <v>625.78183477930429</v>
      </c>
      <c r="BS50" s="219">
        <v>620.90703365604259</v>
      </c>
      <c r="BT50" s="219">
        <v>616.06511568876681</v>
      </c>
      <c r="BU50" s="219">
        <v>610.96322111156303</v>
      </c>
      <c r="BV50" s="219">
        <v>606.19165806890192</v>
      </c>
      <c r="BW50" s="219">
        <v>601.45118006212044</v>
      </c>
      <c r="BX50" s="219">
        <v>600.1663590336633</v>
      </c>
      <c r="BY50" s="219">
        <v>598.90667238667766</v>
      </c>
      <c r="BZ50" s="219">
        <v>597.665567559328</v>
      </c>
      <c r="CA50" s="219">
        <v>596.44252806049928</v>
      </c>
      <c r="CB50" s="219">
        <v>595.23728080296451</v>
      </c>
      <c r="CC50" s="33">
        <v>10289.89043583642</v>
      </c>
      <c r="CD50" s="219">
        <v>9937.4106783025072</v>
      </c>
      <c r="CE50" s="219">
        <v>9578.0043953124678</v>
      </c>
      <c r="CF50" s="219">
        <v>9198.4354181088929</v>
      </c>
      <c r="CG50" s="219">
        <v>8823.276052823825</v>
      </c>
      <c r="CH50" s="219">
        <v>8439.8739180564207</v>
      </c>
      <c r="CI50" s="219">
        <v>8061.1266186687071</v>
      </c>
      <c r="CJ50" s="219">
        <v>7681.5059183478543</v>
      </c>
      <c r="CK50" s="219">
        <v>7292.5673020554841</v>
      </c>
      <c r="CL50" s="219">
        <v>6909.3749722459197</v>
      </c>
      <c r="CM50" s="219">
        <v>6523.9581383400564</v>
      </c>
      <c r="CN50" s="219">
        <v>6101.3439765266521</v>
      </c>
      <c r="CO50" s="219">
        <v>5683.3254887955227</v>
      </c>
      <c r="CP50" s="219">
        <v>5267.4728657072819</v>
      </c>
      <c r="CQ50" s="219">
        <v>4857.7402323282386</v>
      </c>
      <c r="CR50" s="219">
        <v>4452.0143674036462</v>
      </c>
      <c r="CS50" s="219">
        <v>4183.0279005697012</v>
      </c>
      <c r="CT50" s="219">
        <v>3917.2592292635809</v>
      </c>
      <c r="CU50" s="219">
        <v>3653.054494015299</v>
      </c>
      <c r="CV50" s="219">
        <v>3393.5611922710441</v>
      </c>
      <c r="CW50" s="219">
        <v>3137.1900953508539</v>
      </c>
      <c r="CX50" s="219">
        <v>3085.1551291709839</v>
      </c>
      <c r="CY50" s="219">
        <v>3030.523220375921</v>
      </c>
      <c r="CZ50" s="219">
        <v>2976.571578300342</v>
      </c>
      <c r="DA50" s="219">
        <v>2923.2927715877231</v>
      </c>
      <c r="DB50" s="219">
        <v>2870.681949384958</v>
      </c>
    </row>
    <row r="51" spans="1:106" x14ac:dyDescent="0.35">
      <c r="A51" s="137" t="s">
        <v>543</v>
      </c>
      <c r="B51" s="130" t="s">
        <v>545</v>
      </c>
      <c r="C51" s="219">
        <v>2.8664307292717168E-4</v>
      </c>
      <c r="D51" s="219">
        <v>2.8481261346953983E-4</v>
      </c>
      <c r="E51" s="219">
        <v>2.8295607370099469E-4</v>
      </c>
      <c r="F51" s="219">
        <v>2.8144115064620829E-4</v>
      </c>
      <c r="G51" s="219">
        <v>2.79632128976085E-4</v>
      </c>
      <c r="H51" s="219">
        <v>2.7780807043274952E-4</v>
      </c>
      <c r="I51" s="219">
        <v>2.7599781950832052E-4</v>
      </c>
      <c r="J51" s="219">
        <v>2.7448992303345408E-4</v>
      </c>
      <c r="K51" s="219">
        <v>2.7332152439700269E-4</v>
      </c>
      <c r="L51" s="219">
        <v>2.7201681423880868E-4</v>
      </c>
      <c r="M51" s="219">
        <v>2.707370609431899E-4</v>
      </c>
      <c r="N51" s="219">
        <v>2.6961257762291149E-4</v>
      </c>
      <c r="O51" s="219">
        <v>2.6853951634200478E-4</v>
      </c>
      <c r="P51" s="219">
        <v>2.6758583644809881E-4</v>
      </c>
      <c r="Q51" s="219">
        <v>2.6657953118479859E-4</v>
      </c>
      <c r="R51" s="219">
        <v>2.6559718165289901E-4</v>
      </c>
      <c r="S51" s="219">
        <v>2.6480103063249069E-4</v>
      </c>
      <c r="T51" s="219">
        <v>2.6401545428529188E-4</v>
      </c>
      <c r="U51" s="219">
        <v>2.6329745690297E-4</v>
      </c>
      <c r="V51" s="219">
        <v>2.6250965877951988E-4</v>
      </c>
      <c r="W51" s="219">
        <v>2.6172114888462779E-4</v>
      </c>
      <c r="X51" s="219">
        <v>2.6179459027265902E-4</v>
      </c>
      <c r="Y51" s="219">
        <v>2.6175902083017219E-4</v>
      </c>
      <c r="Z51" s="219">
        <v>2.617226294689811E-4</v>
      </c>
      <c r="AA51" s="219">
        <v>2.6168546823000528E-4</v>
      </c>
      <c r="AB51" s="219">
        <v>2.6164774041103928E-4</v>
      </c>
      <c r="AC51" s="33">
        <v>7.1745132553752663E-7</v>
      </c>
      <c r="AD51" s="219">
        <v>7.1305312504899196E-7</v>
      </c>
      <c r="AE51" s="219">
        <v>7.0854524094434991E-7</v>
      </c>
      <c r="AF51" s="219">
        <v>7.0499235354953213E-7</v>
      </c>
      <c r="AG51" s="219">
        <v>7.0044895089041586E-7</v>
      </c>
      <c r="AH51" s="219">
        <v>6.9587129895235646E-7</v>
      </c>
      <c r="AI51" s="219">
        <v>6.9229786697648734E-7</v>
      </c>
      <c r="AJ51" s="219">
        <v>6.8921940568917161E-7</v>
      </c>
      <c r="AK51" s="219">
        <v>6.8698270113165812E-7</v>
      </c>
      <c r="AL51" s="219">
        <v>6.8415459397917398E-7</v>
      </c>
      <c r="AM51" s="219">
        <v>6.8131412747720814E-7</v>
      </c>
      <c r="AN51" s="219">
        <v>6.7851246777259321E-7</v>
      </c>
      <c r="AO51" s="219">
        <v>6.7572635451823301E-7</v>
      </c>
      <c r="AP51" s="219">
        <v>6.7324240589080428E-7</v>
      </c>
      <c r="AQ51" s="219">
        <v>6.7046606218360636E-7</v>
      </c>
      <c r="AR51" s="219">
        <v>6.6769212353557236E-7</v>
      </c>
      <c r="AS51" s="219">
        <v>6.6497042162215485E-7</v>
      </c>
      <c r="AT51" s="219">
        <v>6.6226062704742495E-7</v>
      </c>
      <c r="AU51" s="219">
        <v>6.5977151230514067E-7</v>
      </c>
      <c r="AV51" s="219">
        <v>6.5704675828504788E-7</v>
      </c>
      <c r="AW51" s="219">
        <v>6.5431928539049182E-7</v>
      </c>
      <c r="AX51" s="219">
        <v>6.5652108881558498E-7</v>
      </c>
      <c r="AY51" s="219">
        <v>6.5630920557098089E-7</v>
      </c>
      <c r="AZ51" s="219">
        <v>6.5609661267707827E-7</v>
      </c>
      <c r="BA51" s="219">
        <v>6.5588338353156295E-7</v>
      </c>
      <c r="BB51" s="219">
        <v>6.5566989039256416E-7</v>
      </c>
      <c r="BC51" s="33">
        <v>53.610983579825508</v>
      </c>
      <c r="BD51" s="219">
        <v>53.620897772916948</v>
      </c>
      <c r="BE51" s="219">
        <v>53.630358314904001</v>
      </c>
      <c r="BF51" s="219">
        <v>53.665730778164708</v>
      </c>
      <c r="BG51" s="219">
        <v>53.67437760329851</v>
      </c>
      <c r="BH51" s="219">
        <v>53.68255597323671</v>
      </c>
      <c r="BI51" s="219">
        <v>53.68529490280644</v>
      </c>
      <c r="BJ51" s="219">
        <v>53.691306004956388</v>
      </c>
      <c r="BK51" s="219">
        <v>53.717548543946272</v>
      </c>
      <c r="BL51" s="219">
        <v>53.724807825722522</v>
      </c>
      <c r="BM51" s="219">
        <v>53.731866938107082</v>
      </c>
      <c r="BN51" s="219">
        <v>53.743845524288332</v>
      </c>
      <c r="BO51" s="219">
        <v>53.755659541365517</v>
      </c>
      <c r="BP51" s="219">
        <v>53.774841699467807</v>
      </c>
      <c r="BQ51" s="219">
        <v>53.786139933171448</v>
      </c>
      <c r="BR51" s="219">
        <v>53.797220376355163</v>
      </c>
      <c r="BS51" s="219">
        <v>53.822318621374848</v>
      </c>
      <c r="BT51" s="219">
        <v>53.847022285255299</v>
      </c>
      <c r="BU51" s="219">
        <v>53.878210592833398</v>
      </c>
      <c r="BV51" s="219">
        <v>53.901686843272287</v>
      </c>
      <c r="BW51" s="219">
        <v>53.924579468924193</v>
      </c>
      <c r="BX51" s="219">
        <v>53.920721404575943</v>
      </c>
      <c r="BY51" s="219">
        <v>53.916884531854343</v>
      </c>
      <c r="BZ51" s="219">
        <v>53.913056914204986</v>
      </c>
      <c r="CA51" s="219">
        <v>53.909237040093821</v>
      </c>
      <c r="CB51" s="219">
        <v>53.905426555719828</v>
      </c>
      <c r="CC51" s="33">
        <v>149.83026646962881</v>
      </c>
      <c r="CD51" s="219">
        <v>148.64822310546171</v>
      </c>
      <c r="CE51" s="219">
        <v>147.46198866853689</v>
      </c>
      <c r="CF51" s="219">
        <v>146.46659700205831</v>
      </c>
      <c r="CG51" s="219">
        <v>145.27724041373011</v>
      </c>
      <c r="CH51" s="219">
        <v>144.08231647523019</v>
      </c>
      <c r="CI51" s="219">
        <v>143.19954788427961</v>
      </c>
      <c r="CJ51" s="219">
        <v>142.4572757353863</v>
      </c>
      <c r="CK51" s="219">
        <v>141.91485100814461</v>
      </c>
      <c r="CL51" s="219">
        <v>141.24326511742129</v>
      </c>
      <c r="CM51" s="219">
        <v>140.57006796021611</v>
      </c>
      <c r="CN51" s="219">
        <v>139.83183195093631</v>
      </c>
      <c r="CO51" s="219">
        <v>139.09825987675501</v>
      </c>
      <c r="CP51" s="219">
        <v>138.4170215488144</v>
      </c>
      <c r="CQ51" s="219">
        <v>137.68463273940191</v>
      </c>
      <c r="CR51" s="219">
        <v>136.95270208902019</v>
      </c>
      <c r="CS51" s="219">
        <v>136.06985759075161</v>
      </c>
      <c r="CT51" s="219">
        <v>135.18908229644131</v>
      </c>
      <c r="CU51" s="219">
        <v>134.340579776411</v>
      </c>
      <c r="CV51" s="219">
        <v>133.4516626620038</v>
      </c>
      <c r="CW51" s="219">
        <v>132.55986759217049</v>
      </c>
      <c r="CX51" s="219">
        <v>132.65371398379671</v>
      </c>
      <c r="CY51" s="219">
        <v>132.56951857007681</v>
      </c>
      <c r="CZ51" s="219">
        <v>132.4852823337161</v>
      </c>
      <c r="DA51" s="219">
        <v>132.4010172027242</v>
      </c>
      <c r="DB51" s="219">
        <v>132.3168117647314</v>
      </c>
    </row>
    <row r="52" spans="1:106" x14ac:dyDescent="0.35">
      <c r="A52" s="137" t="s">
        <v>544</v>
      </c>
      <c r="B52" s="130" t="s">
        <v>545</v>
      </c>
      <c r="C52" s="219">
        <v>9.0979496556399054E-4</v>
      </c>
      <c r="D52" s="219">
        <v>9.0401370862857331E-4</v>
      </c>
      <c r="E52" s="219">
        <v>8.9820045956123036E-4</v>
      </c>
      <c r="F52" s="219">
        <v>8.9129188940518676E-4</v>
      </c>
      <c r="G52" s="219">
        <v>8.8540254970782405E-4</v>
      </c>
      <c r="H52" s="219">
        <v>8.7948953262544983E-4</v>
      </c>
      <c r="I52" s="219">
        <v>8.6910785846627445E-4</v>
      </c>
      <c r="J52" s="219">
        <v>8.5889875993480473E-4</v>
      </c>
      <c r="K52" s="219">
        <v>8.4820811683110895E-4</v>
      </c>
      <c r="L52" s="219">
        <v>8.3811145703280581E-4</v>
      </c>
      <c r="M52" s="219">
        <v>8.2803235674098401E-4</v>
      </c>
      <c r="N52" s="219">
        <v>8.1542820954508515E-4</v>
      </c>
      <c r="O52" s="219">
        <v>8.0288606364861594E-4</v>
      </c>
      <c r="P52" s="219">
        <v>7.9021426191646185E-4</v>
      </c>
      <c r="Q52" s="219">
        <v>7.7776452857582007E-4</v>
      </c>
      <c r="R52" s="219">
        <v>7.653559658262586E-4</v>
      </c>
      <c r="S52" s="219">
        <v>7.5463995846623149E-4</v>
      </c>
      <c r="T52" s="219">
        <v>7.4397864447205597E-4</v>
      </c>
      <c r="U52" s="219">
        <v>7.3317708483757002E-4</v>
      </c>
      <c r="V52" s="219">
        <v>7.2261796993790066E-4</v>
      </c>
      <c r="W52" s="219">
        <v>7.1211310909483896E-4</v>
      </c>
      <c r="X52" s="219">
        <v>7.2000294762118483E-4</v>
      </c>
      <c r="Y52" s="219">
        <v>7.1855832974737741E-4</v>
      </c>
      <c r="Z52" s="219">
        <v>7.1711704154457298E-4</v>
      </c>
      <c r="AA52" s="219">
        <v>7.1567911377776216E-4</v>
      </c>
      <c r="AB52" s="219">
        <v>7.1424472643196726E-4</v>
      </c>
      <c r="AC52" s="33">
        <v>2.0194466025799359E-6</v>
      </c>
      <c r="AD52" s="219">
        <v>2.0136786609175361E-6</v>
      </c>
      <c r="AE52" s="219">
        <v>2.0077834454814959E-6</v>
      </c>
      <c r="AF52" s="219">
        <v>1.9984530720899888E-6</v>
      </c>
      <c r="AG52" s="219">
        <v>1.9922881678577999E-6</v>
      </c>
      <c r="AH52" s="219">
        <v>1.9860032948282691E-6</v>
      </c>
      <c r="AI52" s="219">
        <v>1.9842933556010638E-6</v>
      </c>
      <c r="AJ52" s="219">
        <v>1.982636734247029E-6</v>
      </c>
      <c r="AK52" s="219">
        <v>1.9789100383141069E-6</v>
      </c>
      <c r="AL52" s="219">
        <v>1.976919298466068E-6</v>
      </c>
      <c r="AM52" s="219">
        <v>1.9747199747197279E-6</v>
      </c>
      <c r="AN52" s="219">
        <v>1.9733076396900592E-6</v>
      </c>
      <c r="AO52" s="219">
        <v>1.9717199698637932E-6</v>
      </c>
      <c r="AP52" s="219">
        <v>1.9691470130419981E-6</v>
      </c>
      <c r="AQ52" s="219">
        <v>1.967175119624802E-6</v>
      </c>
      <c r="AR52" s="219">
        <v>1.9650311395605311E-6</v>
      </c>
      <c r="AS52" s="219">
        <v>1.9619357764644409E-6</v>
      </c>
      <c r="AT52" s="219">
        <v>1.9587809661285419E-6</v>
      </c>
      <c r="AU52" s="219">
        <v>1.9547726836522611E-6</v>
      </c>
      <c r="AV52" s="219">
        <v>1.9514881667014698E-6</v>
      </c>
      <c r="AW52" s="219">
        <v>1.948170618862602E-6</v>
      </c>
      <c r="AX52" s="219">
        <v>1.9654026599209148E-6</v>
      </c>
      <c r="AY52" s="219">
        <v>1.9606557030521201E-6</v>
      </c>
      <c r="AZ52" s="219">
        <v>1.955917740577453E-6</v>
      </c>
      <c r="BA52" s="219">
        <v>1.9511887827737559E-6</v>
      </c>
      <c r="BB52" s="219">
        <v>1.946469145194788E-6</v>
      </c>
      <c r="BC52" s="33">
        <v>73.167744204374856</v>
      </c>
      <c r="BD52" s="219">
        <v>72.893443389788331</v>
      </c>
      <c r="BE52" s="219">
        <v>72.618852611824806</v>
      </c>
      <c r="BF52" s="219">
        <v>72.24969834289476</v>
      </c>
      <c r="BG52" s="219">
        <v>71.974406547933356</v>
      </c>
      <c r="BH52" s="219">
        <v>71.698782036029812</v>
      </c>
      <c r="BI52" s="219">
        <v>70.979431722764375</v>
      </c>
      <c r="BJ52" s="219">
        <v>70.260897184736564</v>
      </c>
      <c r="BK52" s="219">
        <v>69.472890660533423</v>
      </c>
      <c r="BL52" s="219">
        <v>68.752781874599179</v>
      </c>
      <c r="BM52" s="219">
        <v>68.031656547771632</v>
      </c>
      <c r="BN52" s="219">
        <v>67.034096564039999</v>
      </c>
      <c r="BO52" s="219">
        <v>66.03495847457782</v>
      </c>
      <c r="BP52" s="219">
        <v>65.012243021750209</v>
      </c>
      <c r="BQ52" s="219">
        <v>64.00988243264834</v>
      </c>
      <c r="BR52" s="219">
        <v>63.005956571969143</v>
      </c>
      <c r="BS52" s="219">
        <v>62.146347552834541</v>
      </c>
      <c r="BT52" s="219">
        <v>61.286076971606107</v>
      </c>
      <c r="BU52" s="219">
        <v>60.402407200807517</v>
      </c>
      <c r="BV52" s="219">
        <v>59.540708162893509</v>
      </c>
      <c r="BW52" s="219">
        <v>58.678253821008902</v>
      </c>
      <c r="BX52" s="219">
        <v>58.640938503817623</v>
      </c>
      <c r="BY52" s="219">
        <v>58.603694898006808</v>
      </c>
      <c r="BZ52" s="219">
        <v>58.566439059299448</v>
      </c>
      <c r="CA52" s="219">
        <v>58.529165979221368</v>
      </c>
      <c r="CB52" s="219">
        <v>58.491875079152322</v>
      </c>
      <c r="CC52" s="33">
        <v>540.2049660112441</v>
      </c>
      <c r="CD52" s="219">
        <v>535.95697916219933</v>
      </c>
      <c r="CE52" s="219">
        <v>531.71603468979197</v>
      </c>
      <c r="CF52" s="219">
        <v>526.79014809742534</v>
      </c>
      <c r="CG52" s="219">
        <v>522.55887097090863</v>
      </c>
      <c r="CH52" s="219">
        <v>518.33130020484123</v>
      </c>
      <c r="CI52" s="219">
        <v>508.78808239122969</v>
      </c>
      <c r="CJ52" s="219">
        <v>499.34619589615602</v>
      </c>
      <c r="CK52" s="219">
        <v>489.50774520449949</v>
      </c>
      <c r="CL52" s="219">
        <v>480.15248188686741</v>
      </c>
      <c r="CM52" s="219">
        <v>470.82042356992798</v>
      </c>
      <c r="CN52" s="219">
        <v>458.1289861666595</v>
      </c>
      <c r="CO52" s="219">
        <v>445.48501116003598</v>
      </c>
      <c r="CP52" s="219">
        <v>432.74911048469511</v>
      </c>
      <c r="CQ52" s="219">
        <v>420.19624498796719</v>
      </c>
      <c r="CR52" s="219">
        <v>407.68830249857899</v>
      </c>
      <c r="CS52" s="219">
        <v>396.29768423929238</v>
      </c>
      <c r="CT52" s="219">
        <v>384.96895838896779</v>
      </c>
      <c r="CU52" s="219">
        <v>373.57860538722588</v>
      </c>
      <c r="CV52" s="219">
        <v>362.37070159037552</v>
      </c>
      <c r="CW52" s="219">
        <v>351.22508463083273</v>
      </c>
      <c r="CX52" s="219">
        <v>349.66334616869352</v>
      </c>
      <c r="CY52" s="219">
        <v>347.91815750313953</v>
      </c>
      <c r="CZ52" s="219">
        <v>346.17685686012828</v>
      </c>
      <c r="DA52" s="219">
        <v>344.43944259449171</v>
      </c>
      <c r="DB52" s="219">
        <v>342.70598079308218</v>
      </c>
    </row>
    <row r="53" spans="1:106" x14ac:dyDescent="0.35">
      <c r="A53" s="137" t="s">
        <v>546</v>
      </c>
      <c r="B53" s="130" t="s">
        <v>547</v>
      </c>
      <c r="C53" s="219">
        <v>3.8025533906393129E-6</v>
      </c>
      <c r="D53" s="219">
        <v>3.7936448069402232E-6</v>
      </c>
      <c r="E53" s="219">
        <v>3.7845155329311242E-6</v>
      </c>
      <c r="F53" s="219">
        <v>3.7687449344670529E-6</v>
      </c>
      <c r="G53" s="219">
        <v>3.7592061630726868E-6</v>
      </c>
      <c r="H53" s="219">
        <v>3.7494638099802401E-6</v>
      </c>
      <c r="I53" s="219">
        <v>3.720905236312776E-6</v>
      </c>
      <c r="J53" s="219">
        <v>3.6974733348211889E-6</v>
      </c>
      <c r="K53" s="219">
        <v>3.6733854671902069E-6</v>
      </c>
      <c r="L53" s="219">
        <v>3.653835621433287E-6</v>
      </c>
      <c r="M53" s="219">
        <v>3.63498981240888E-6</v>
      </c>
      <c r="N53" s="219">
        <v>3.6169326843400122E-6</v>
      </c>
      <c r="O53" s="219">
        <v>3.6000544607993111E-6</v>
      </c>
      <c r="P53" s="219">
        <v>3.5829298386120822E-6</v>
      </c>
      <c r="Q53" s="219">
        <v>3.5676469170865449E-6</v>
      </c>
      <c r="R53" s="219">
        <v>3.5529503962902119E-6</v>
      </c>
      <c r="S53" s="219">
        <v>3.5449112669238611E-6</v>
      </c>
      <c r="T53" s="219">
        <v>3.5371395672259778E-6</v>
      </c>
      <c r="U53" s="219">
        <v>3.5284111980424081E-6</v>
      </c>
      <c r="V53" s="219">
        <v>3.520860154175435E-6</v>
      </c>
      <c r="W53" s="219">
        <v>3.5134159897926208E-6</v>
      </c>
      <c r="X53" s="219">
        <v>3.5438826201068419E-6</v>
      </c>
      <c r="Y53" s="219">
        <v>3.545434085194778E-6</v>
      </c>
      <c r="Z53" s="219">
        <v>3.5469523424759972E-6</v>
      </c>
      <c r="AA53" s="219">
        <v>3.5484395149822369E-6</v>
      </c>
      <c r="AB53" s="219">
        <v>3.5498996660450312E-6</v>
      </c>
      <c r="AC53" s="33">
        <v>4.3063190758316633E-9</v>
      </c>
      <c r="AD53" s="219">
        <v>4.2726948219128101E-9</v>
      </c>
      <c r="AE53" s="219">
        <v>4.2389553883157031E-9</v>
      </c>
      <c r="AF53" s="219">
        <v>4.1845151960448277E-9</v>
      </c>
      <c r="AG53" s="219">
        <v>4.1507588212964236E-9</v>
      </c>
      <c r="AH53" s="219">
        <v>4.1168976998524006E-9</v>
      </c>
      <c r="AI53" s="219">
        <v>4.0797665182052022E-9</v>
      </c>
      <c r="AJ53" s="219">
        <v>4.0500354718000493E-9</v>
      </c>
      <c r="AK53" s="219">
        <v>4.0114450260052994E-9</v>
      </c>
      <c r="AL53" s="219">
        <v>3.9852153469273439E-9</v>
      </c>
      <c r="AM53" s="219">
        <v>3.9588002371256568E-9</v>
      </c>
      <c r="AN53" s="219">
        <v>3.9365393685592598E-9</v>
      </c>
      <c r="AO53" s="219">
        <v>3.9144260141736286E-9</v>
      </c>
      <c r="AP53" s="219">
        <v>3.8875530843183501E-9</v>
      </c>
      <c r="AQ53" s="219">
        <v>3.8654627719728143E-9</v>
      </c>
      <c r="AR53" s="219">
        <v>3.8434233194540118E-9</v>
      </c>
      <c r="AS53" s="219">
        <v>3.8277257714005768E-9</v>
      </c>
      <c r="AT53" s="219">
        <v>3.8124602975026176E-9</v>
      </c>
      <c r="AU53" s="219">
        <v>3.7931151868761277E-9</v>
      </c>
      <c r="AV53" s="219">
        <v>3.7781508589567937E-9</v>
      </c>
      <c r="AW53" s="219">
        <v>3.7634643182219794E-9</v>
      </c>
      <c r="AX53" s="219">
        <v>3.8014628333908981E-9</v>
      </c>
      <c r="AY53" s="219">
        <v>3.7952253031651339E-9</v>
      </c>
      <c r="AZ53" s="219">
        <v>3.7889900211140177E-9</v>
      </c>
      <c r="BA53" s="219">
        <v>3.7827582484824186E-9</v>
      </c>
      <c r="BB53" s="219">
        <v>3.7765352461676329E-9</v>
      </c>
      <c r="BC53" s="33">
        <v>0.10677798589336331</v>
      </c>
      <c r="BD53" s="219">
        <v>0.106363559187497</v>
      </c>
      <c r="BE53" s="219">
        <v>0.10595385916739961</v>
      </c>
      <c r="BF53" s="219">
        <v>0.1049474680190194</v>
      </c>
      <c r="BG53" s="219">
        <v>0.1045521434739221</v>
      </c>
      <c r="BH53" s="219">
        <v>0.1041607530352691</v>
      </c>
      <c r="BI53" s="219">
        <v>0.1036387812901919</v>
      </c>
      <c r="BJ53" s="219">
        <v>0.1031702961225555</v>
      </c>
      <c r="BK53" s="219">
        <v>0.1022974892526281</v>
      </c>
      <c r="BL53" s="219">
        <v>0.10186306188446261</v>
      </c>
      <c r="BM53" s="219">
        <v>0.1014292210312619</v>
      </c>
      <c r="BN53" s="219">
        <v>0.1007597561554151</v>
      </c>
      <c r="BO53" s="219">
        <v>0.10009237965616199</v>
      </c>
      <c r="BP53" s="219">
        <v>9.9296243389334793E-2</v>
      </c>
      <c r="BQ53" s="219">
        <v>9.8634095089343274E-2</v>
      </c>
      <c r="BR53" s="219">
        <v>9.7973010311537642E-2</v>
      </c>
      <c r="BS53" s="219">
        <v>9.7438689147302693E-2</v>
      </c>
      <c r="BT53" s="219">
        <v>9.690741699936882E-2</v>
      </c>
      <c r="BU53" s="219">
        <v>9.6254020231452964E-2</v>
      </c>
      <c r="BV53" s="219">
        <v>9.5725438516256672E-2</v>
      </c>
      <c r="BW53" s="219">
        <v>9.5196874206047361E-2</v>
      </c>
      <c r="BX53" s="219">
        <v>9.5102380282469812E-2</v>
      </c>
      <c r="BY53" s="219">
        <v>9.5008679606654739E-2</v>
      </c>
      <c r="BZ53" s="219">
        <v>9.4915489403518655E-2</v>
      </c>
      <c r="CA53" s="219">
        <v>9.4822780692323042E-2</v>
      </c>
      <c r="CB53" s="219">
        <v>9.4730561607753616E-2</v>
      </c>
      <c r="CC53" s="33">
        <v>0.92854228959986618</v>
      </c>
      <c r="CD53" s="219">
        <v>0.91854111967434227</v>
      </c>
      <c r="CE53" s="219">
        <v>0.90858592355669088</v>
      </c>
      <c r="CF53" s="219">
        <v>0.89439396992758557</v>
      </c>
      <c r="CG53" s="219">
        <v>0.88462882390419195</v>
      </c>
      <c r="CH53" s="219">
        <v>0.87490199598719454</v>
      </c>
      <c r="CI53" s="219">
        <v>0.8600577155129161</v>
      </c>
      <c r="CJ53" s="219">
        <v>0.84737695477794206</v>
      </c>
      <c r="CK53" s="219">
        <v>0.83295345263234255</v>
      </c>
      <c r="CL53" s="219">
        <v>0.82149660163637961</v>
      </c>
      <c r="CM53" s="219">
        <v>0.81006231429697517</v>
      </c>
      <c r="CN53" s="219">
        <v>0.79635356689872261</v>
      </c>
      <c r="CO53" s="219">
        <v>0.78275360181464071</v>
      </c>
      <c r="CP53" s="219">
        <v>0.76842097475822468</v>
      </c>
      <c r="CQ53" s="219">
        <v>0.75501703506809859</v>
      </c>
      <c r="CR53" s="219">
        <v>0.7416907291483591</v>
      </c>
      <c r="CS53" s="219">
        <v>0.73095647997870838</v>
      </c>
      <c r="CT53" s="219">
        <v>0.72036389497796982</v>
      </c>
      <c r="CU53" s="219">
        <v>0.70918570748627707</v>
      </c>
      <c r="CV53" s="219">
        <v>0.69874065526865181</v>
      </c>
      <c r="CW53" s="219">
        <v>0.68837863821438527</v>
      </c>
      <c r="CX53" s="219">
        <v>0.68831776508714959</v>
      </c>
      <c r="CY53" s="219">
        <v>0.68596054408931029</v>
      </c>
      <c r="CZ53" s="219">
        <v>0.68360715545715067</v>
      </c>
      <c r="DA53" s="219">
        <v>0.68125789001350501</v>
      </c>
      <c r="DB53" s="219">
        <v>0.6789140337304187</v>
      </c>
    </row>
    <row r="54" spans="1:106" s="219" customFormat="1" x14ac:dyDescent="0.35">
      <c r="A54" s="137" t="s">
        <v>754</v>
      </c>
      <c r="B54" s="130" t="s">
        <v>547</v>
      </c>
      <c r="C54" s="219">
        <v>5.8116417402595247E-6</v>
      </c>
      <c r="D54" s="219">
        <v>5.8034088146755454E-6</v>
      </c>
      <c r="E54" s="219">
        <v>5.7950625274549422E-6</v>
      </c>
      <c r="F54" s="219">
        <v>5.7850999219481923E-6</v>
      </c>
      <c r="G54" s="219">
        <v>5.7765486551572886E-6</v>
      </c>
      <c r="H54" s="219">
        <v>5.7678670206136674E-6</v>
      </c>
      <c r="I54" s="219">
        <v>5.7562564944007586E-6</v>
      </c>
      <c r="J54" s="219">
        <v>5.7455881841642846E-6</v>
      </c>
      <c r="K54" s="219">
        <v>5.7346715221641729E-6</v>
      </c>
      <c r="L54" s="219">
        <v>5.7246644598044623E-6</v>
      </c>
      <c r="M54" s="219">
        <v>5.714739538747591E-6</v>
      </c>
      <c r="N54" s="219">
        <v>5.7048291223789367E-6</v>
      </c>
      <c r="O54" s="219">
        <v>5.6951740888262223E-6</v>
      </c>
      <c r="P54" s="219">
        <v>5.6855004443779007E-6</v>
      </c>
      <c r="Q54" s="219">
        <v>5.6762270946731534E-6</v>
      </c>
      <c r="R54" s="219">
        <v>5.6670941062599908E-6</v>
      </c>
      <c r="S54" s="219">
        <v>5.6616167299448391E-6</v>
      </c>
      <c r="T54" s="219">
        <v>5.6562174661821491E-6</v>
      </c>
      <c r="U54" s="219">
        <v>5.6506496965090749E-6</v>
      </c>
      <c r="V54" s="219">
        <v>5.6453470712755933E-6</v>
      </c>
      <c r="W54" s="219">
        <v>5.6400919798592499E-6</v>
      </c>
      <c r="X54" s="219">
        <v>5.6579972092253991E-6</v>
      </c>
      <c r="Y54" s="219">
        <v>5.6577013498501388E-6</v>
      </c>
      <c r="Z54" s="219">
        <v>5.6574075785921552E-6</v>
      </c>
      <c r="AA54" s="219">
        <v>5.6571161761292918E-6</v>
      </c>
      <c r="AB54" s="219">
        <v>5.6568278945566933E-6</v>
      </c>
      <c r="AC54" s="33">
        <v>1.1680250917995529E-8</v>
      </c>
      <c r="AD54" s="219">
        <v>1.1661999395892729E-8</v>
      </c>
      <c r="AE54" s="219">
        <v>1.164349479788086E-8</v>
      </c>
      <c r="AF54" s="219">
        <v>1.1619961336637681E-8</v>
      </c>
      <c r="AG54" s="219">
        <v>1.16010518680658E-8</v>
      </c>
      <c r="AH54" s="219">
        <v>1.158191239059915E-8</v>
      </c>
      <c r="AI54" s="219">
        <v>1.1561154663235511E-8</v>
      </c>
      <c r="AJ54" s="219">
        <v>1.154170044170667E-8</v>
      </c>
      <c r="AK54" s="219">
        <v>1.1520134693217751E-8</v>
      </c>
      <c r="AL54" s="219">
        <v>1.1501113226341359E-8</v>
      </c>
      <c r="AM54" s="219">
        <v>1.148192664859516E-8</v>
      </c>
      <c r="AN54" s="219">
        <v>1.146098071938307E-8</v>
      </c>
      <c r="AO54" s="219">
        <v>1.14401431839012E-8</v>
      </c>
      <c r="AP54" s="219">
        <v>1.14183857964083E-8</v>
      </c>
      <c r="AQ54" s="219">
        <v>1.1397726477766069E-8</v>
      </c>
      <c r="AR54" s="219">
        <v>1.13771494706516E-8</v>
      </c>
      <c r="AS54" s="219">
        <v>1.1363347960080239E-8</v>
      </c>
      <c r="AT54" s="219">
        <v>1.134965969129305E-8</v>
      </c>
      <c r="AU54" s="219">
        <v>1.133512527295563E-8</v>
      </c>
      <c r="AV54" s="219">
        <v>1.132158731385928E-8</v>
      </c>
      <c r="AW54" s="219">
        <v>1.1308161002158531E-8</v>
      </c>
      <c r="AX54" s="219">
        <v>1.13268740051741E-8</v>
      </c>
      <c r="AY54" s="219">
        <v>1.1324452433814529E-8</v>
      </c>
      <c r="AZ54" s="219">
        <v>1.132204674100692E-8</v>
      </c>
      <c r="BA54" s="219">
        <v>1.131965674069989E-8</v>
      </c>
      <c r="BB54" s="219">
        <v>1.1317283226261509E-8</v>
      </c>
      <c r="BC54" s="33">
        <v>3.7419525631090057E-2</v>
      </c>
      <c r="BD54" s="219">
        <v>3.7299713288158592E-2</v>
      </c>
      <c r="BE54" s="219">
        <v>3.7179772101364542E-2</v>
      </c>
      <c r="BF54" s="219">
        <v>3.6922304628520287E-2</v>
      </c>
      <c r="BG54" s="219">
        <v>3.6803124933086767E-2</v>
      </c>
      <c r="BH54" s="219">
        <v>3.6683604748452579E-2</v>
      </c>
      <c r="BI54" s="219">
        <v>3.66757497463404E-2</v>
      </c>
      <c r="BJ54" s="219">
        <v>3.667772561606579E-2</v>
      </c>
      <c r="BK54" s="219">
        <v>3.6590406592861779E-2</v>
      </c>
      <c r="BL54" s="219">
        <v>3.6598207864335319E-2</v>
      </c>
      <c r="BM54" s="219">
        <v>3.6605587597567622E-2</v>
      </c>
      <c r="BN54" s="219">
        <v>3.650881854542954E-2</v>
      </c>
      <c r="BO54" s="219">
        <v>3.6413019158610997E-2</v>
      </c>
      <c r="BP54" s="219">
        <v>3.6290465981574503E-2</v>
      </c>
      <c r="BQ54" s="219">
        <v>3.6196893809482961E-2</v>
      </c>
      <c r="BR54" s="219">
        <v>3.6104058982329067E-2</v>
      </c>
      <c r="BS54" s="219">
        <v>3.6014880528513822E-2</v>
      </c>
      <c r="BT54" s="219">
        <v>3.5926596626858813E-2</v>
      </c>
      <c r="BU54" s="219">
        <v>3.5812871392431167E-2</v>
      </c>
      <c r="BV54" s="219">
        <v>3.5725821704508172E-2</v>
      </c>
      <c r="BW54" s="219">
        <v>3.5639071970628697E-2</v>
      </c>
      <c r="BX54" s="219">
        <v>3.5609270197162153E-2</v>
      </c>
      <c r="BY54" s="219">
        <v>3.557979524840995E-2</v>
      </c>
      <c r="BZ54" s="219">
        <v>3.5550572069602618E-2</v>
      </c>
      <c r="CA54" s="219">
        <v>3.5521584429118062E-2</v>
      </c>
      <c r="CB54" s="219">
        <v>3.549283205353345E-2</v>
      </c>
      <c r="CC54" s="33">
        <v>3.3543375462158198</v>
      </c>
      <c r="CD54" s="219">
        <v>3.349756975609707</v>
      </c>
      <c r="CE54" s="219">
        <v>3.3451628539577509</v>
      </c>
      <c r="CF54" s="219">
        <v>3.3395585466826319</v>
      </c>
      <c r="CG54" s="219">
        <v>3.3349446390207378</v>
      </c>
      <c r="CH54" s="219">
        <v>3.3303060065128469</v>
      </c>
      <c r="CI54" s="219">
        <v>3.3245178715913561</v>
      </c>
      <c r="CJ54" s="219">
        <v>3.319137532878234</v>
      </c>
      <c r="CK54" s="219">
        <v>3.3133420648344289</v>
      </c>
      <c r="CL54" s="219">
        <v>3.3081745233205688</v>
      </c>
      <c r="CM54" s="219">
        <v>3.3029963541331551</v>
      </c>
      <c r="CN54" s="219">
        <v>3.296603317844252</v>
      </c>
      <c r="CO54" s="219">
        <v>3.290259341020636</v>
      </c>
      <c r="CP54" s="219">
        <v>3.2837874990023468</v>
      </c>
      <c r="CQ54" s="219">
        <v>3.277536536169269</v>
      </c>
      <c r="CR54" s="219">
        <v>3.2713271766017251</v>
      </c>
      <c r="CS54" s="219">
        <v>3.266902011117307</v>
      </c>
      <c r="CT54" s="219">
        <v>3.262524797418128</v>
      </c>
      <c r="CU54" s="219">
        <v>3.2580401811898518</v>
      </c>
      <c r="CV54" s="219">
        <v>3.2537308815504642</v>
      </c>
      <c r="CW54" s="219">
        <v>3.2494569632664301</v>
      </c>
      <c r="CX54" s="219">
        <v>3.2486721901338518</v>
      </c>
      <c r="CY54" s="219">
        <v>3.2477214432151449</v>
      </c>
      <c r="CZ54" s="219">
        <v>3.2467765101243149</v>
      </c>
      <c r="DA54" s="219">
        <v>3.24583736488204</v>
      </c>
      <c r="DB54" s="219">
        <v>3.2449042179942409</v>
      </c>
    </row>
    <row r="55" spans="1:106" x14ac:dyDescent="0.35">
      <c r="A55" s="137" t="s">
        <v>548</v>
      </c>
      <c r="B55" s="130" t="s">
        <v>545</v>
      </c>
      <c r="C55" s="219">
        <v>2.5518239441859811E-5</v>
      </c>
      <c r="D55" s="219">
        <v>2.5492889080346341E-5</v>
      </c>
      <c r="E55" s="219">
        <v>2.546714960435423E-5</v>
      </c>
      <c r="F55" s="219">
        <v>2.5346018192911151E-5</v>
      </c>
      <c r="G55" s="219">
        <v>2.5319193736940481E-5</v>
      </c>
      <c r="H55" s="219">
        <v>2.5291981573078131E-5</v>
      </c>
      <c r="I55" s="219">
        <v>2.5257580359711151E-5</v>
      </c>
      <c r="J55" s="219">
        <v>2.5223959754153049E-5</v>
      </c>
      <c r="K55" s="219">
        <v>2.513432961451392E-5</v>
      </c>
      <c r="L55" s="219">
        <v>2.5101694278138309E-5</v>
      </c>
      <c r="M55" s="219">
        <v>2.5069009040843039E-5</v>
      </c>
      <c r="N55" s="219">
        <v>2.503408002784532E-5</v>
      </c>
      <c r="O55" s="219">
        <v>2.499952235647778E-5</v>
      </c>
      <c r="P55" s="219">
        <v>2.4946478609241399E-5</v>
      </c>
      <c r="Q55" s="219">
        <v>2.491281895331654E-5</v>
      </c>
      <c r="R55" s="219">
        <v>2.4879418861837481E-5</v>
      </c>
      <c r="S55" s="219">
        <v>2.485537270102347E-5</v>
      </c>
      <c r="T55" s="219">
        <v>2.4831576182984689E-5</v>
      </c>
      <c r="U55" s="219">
        <v>2.4791130790151669E-5</v>
      </c>
      <c r="V55" s="219">
        <v>2.476813582619574E-5</v>
      </c>
      <c r="W55" s="219">
        <v>2.4745487705471309E-5</v>
      </c>
      <c r="X55" s="219">
        <v>2.477621215232339E-5</v>
      </c>
      <c r="Y55" s="219">
        <v>2.4771665183026581E-5</v>
      </c>
      <c r="Z55" s="219">
        <v>2.4767150718100481E-5</v>
      </c>
      <c r="AA55" s="219">
        <v>2.4762670432088011E-5</v>
      </c>
      <c r="AB55" s="219">
        <v>2.4758227109898541E-5</v>
      </c>
      <c r="AC55" s="33">
        <v>6.2799031117698615E-8</v>
      </c>
      <c r="AD55" s="219">
        <v>6.2758583673129416E-8</v>
      </c>
      <c r="AE55" s="219">
        <v>6.2717067866586236E-8</v>
      </c>
      <c r="AF55" s="219">
        <v>6.2364283949520859E-8</v>
      </c>
      <c r="AG55" s="219">
        <v>6.2319187419637851E-8</v>
      </c>
      <c r="AH55" s="219">
        <v>6.2273110870884065E-8</v>
      </c>
      <c r="AI55" s="219">
        <v>6.2238349936137081E-8</v>
      </c>
      <c r="AJ55" s="219">
        <v>6.2203925304376589E-8</v>
      </c>
      <c r="AK55" s="219">
        <v>6.1974625910201356E-8</v>
      </c>
      <c r="AL55" s="219">
        <v>6.1937738622124932E-8</v>
      </c>
      <c r="AM55" s="219">
        <v>6.1899864388616587E-8</v>
      </c>
      <c r="AN55" s="219">
        <v>6.1862144105150254E-8</v>
      </c>
      <c r="AO55" s="219">
        <v>6.1824096532793666E-8</v>
      </c>
      <c r="AP55" s="219">
        <v>6.1710862556938078E-8</v>
      </c>
      <c r="AQ55" s="219">
        <v>6.1671785653730551E-8</v>
      </c>
      <c r="AR55" s="219">
        <v>6.1632492961787585E-8</v>
      </c>
      <c r="AS55" s="219">
        <v>6.1605294088560546E-8</v>
      </c>
      <c r="AT55" s="219">
        <v>6.1578201740691863E-8</v>
      </c>
      <c r="AU55" s="219">
        <v>6.1488568600730507E-8</v>
      </c>
      <c r="AV55" s="219">
        <v>6.1462044210170155E-8</v>
      </c>
      <c r="AW55" s="219">
        <v>6.1436345881825463E-8</v>
      </c>
      <c r="AX55" s="219">
        <v>6.1502344164796527E-8</v>
      </c>
      <c r="AY55" s="219">
        <v>6.1494393268996016E-8</v>
      </c>
      <c r="AZ55" s="219">
        <v>6.1486479856611503E-8</v>
      </c>
      <c r="BA55" s="219">
        <v>6.1478607554612128E-8</v>
      </c>
      <c r="BB55" s="219">
        <v>6.1470782717841561E-8</v>
      </c>
      <c r="BC55" s="33">
        <v>0.36305160741769521</v>
      </c>
      <c r="BD55" s="219">
        <v>0.36242828743841349</v>
      </c>
      <c r="BE55" s="219">
        <v>0.36180298448492099</v>
      </c>
      <c r="BF55" s="219">
        <v>0.35213500540174553</v>
      </c>
      <c r="BG55" s="219">
        <v>0.35154132358830759</v>
      </c>
      <c r="BH55" s="219">
        <v>0.35094449494439123</v>
      </c>
      <c r="BI55" s="219">
        <v>0.34993618757564399</v>
      </c>
      <c r="BJ55" s="219">
        <v>0.34894150548938319</v>
      </c>
      <c r="BK55" s="219">
        <v>0.34134846459804791</v>
      </c>
      <c r="BL55" s="219">
        <v>0.34044712171634878</v>
      </c>
      <c r="BM55" s="219">
        <v>0.3395495678673372</v>
      </c>
      <c r="BN55" s="219">
        <v>0.33812660403660699</v>
      </c>
      <c r="BO55" s="219">
        <v>0.33671196008887799</v>
      </c>
      <c r="BP55" s="219">
        <v>0.33327806381530217</v>
      </c>
      <c r="BQ55" s="219">
        <v>0.33191520999071389</v>
      </c>
      <c r="BR55" s="219">
        <v>0.33056012375418009</v>
      </c>
      <c r="BS55" s="219">
        <v>0.32942959484953022</v>
      </c>
      <c r="BT55" s="219">
        <v>0.3283046563246832</v>
      </c>
      <c r="BU55" s="219">
        <v>0.32529782984010291</v>
      </c>
      <c r="BV55" s="219">
        <v>0.3242109153585232</v>
      </c>
      <c r="BW55" s="219">
        <v>0.32312836991801203</v>
      </c>
      <c r="BX55" s="219">
        <v>0.32292879165339777</v>
      </c>
      <c r="BY55" s="219">
        <v>0.32273056683653373</v>
      </c>
      <c r="BZ55" s="219">
        <v>0.32253336023982432</v>
      </c>
      <c r="CA55" s="219">
        <v>0.32233715306889849</v>
      </c>
      <c r="CB55" s="219">
        <v>0.32214194653386158</v>
      </c>
      <c r="CC55" s="33">
        <v>18.410434428417549</v>
      </c>
      <c r="CD55" s="219">
        <v>18.3933232643436</v>
      </c>
      <c r="CE55" s="219">
        <v>18.376178751673809</v>
      </c>
      <c r="CF55" s="219">
        <v>18.293776783269479</v>
      </c>
      <c r="CG55" s="219">
        <v>18.276638977939449</v>
      </c>
      <c r="CH55" s="219">
        <v>18.259452836487391</v>
      </c>
      <c r="CI55" s="219">
        <v>18.23517858535509</v>
      </c>
      <c r="CJ55" s="219">
        <v>18.21136139114083</v>
      </c>
      <c r="CK55" s="219">
        <v>18.143386325851999</v>
      </c>
      <c r="CL55" s="219">
        <v>18.12058031657887</v>
      </c>
      <c r="CM55" s="219">
        <v>18.09782148121954</v>
      </c>
      <c r="CN55" s="219">
        <v>18.06942075970289</v>
      </c>
      <c r="CO55" s="219">
        <v>18.04125913249008</v>
      </c>
      <c r="CP55" s="219">
        <v>18.000396785290562</v>
      </c>
      <c r="CQ55" s="219">
        <v>17.973025589225401</v>
      </c>
      <c r="CR55" s="219">
        <v>17.945898635259262</v>
      </c>
      <c r="CS55" s="219">
        <v>17.923896767035188</v>
      </c>
      <c r="CT55" s="219">
        <v>17.902134227714178</v>
      </c>
      <c r="CU55" s="219">
        <v>17.87087167593582</v>
      </c>
      <c r="CV55" s="219">
        <v>17.84992305403313</v>
      </c>
      <c r="CW55" s="219">
        <v>17.829303756409011</v>
      </c>
      <c r="CX55" s="219">
        <v>17.82450887234091</v>
      </c>
      <c r="CY55" s="219">
        <v>17.81940164629729</v>
      </c>
      <c r="CZ55" s="219">
        <v>17.814327799846019</v>
      </c>
      <c r="DA55" s="219">
        <v>17.809288110870401</v>
      </c>
      <c r="DB55" s="219">
        <v>17.804283951364731</v>
      </c>
    </row>
    <row r="56" spans="1:106" x14ac:dyDescent="0.35">
      <c r="A56" s="137" t="s">
        <v>549</v>
      </c>
      <c r="B56" s="130" t="s">
        <v>545</v>
      </c>
      <c r="C56" s="219">
        <v>1.2548464337069409E-5</v>
      </c>
      <c r="D56" s="219">
        <v>1.2523115352382601E-5</v>
      </c>
      <c r="E56" s="219">
        <v>1.249738901399326E-5</v>
      </c>
      <c r="F56" s="219">
        <v>1.236791366529751E-5</v>
      </c>
      <c r="G56" s="219">
        <v>1.2341101497142319E-5</v>
      </c>
      <c r="H56" s="219">
        <v>1.231391387690809E-5</v>
      </c>
      <c r="I56" s="219">
        <v>1.227842149508359E-5</v>
      </c>
      <c r="J56" s="219">
        <v>1.2243725968102479E-5</v>
      </c>
      <c r="K56" s="219">
        <v>1.214816413477479E-5</v>
      </c>
      <c r="L56" s="219">
        <v>1.2114552000032731E-5</v>
      </c>
      <c r="M56" s="219">
        <v>1.208092114714311E-5</v>
      </c>
      <c r="N56" s="219">
        <v>1.2044735273572031E-5</v>
      </c>
      <c r="O56" s="219">
        <v>1.200893239260073E-5</v>
      </c>
      <c r="P56" s="219">
        <v>1.1953048261509779E-5</v>
      </c>
      <c r="Q56" s="219">
        <v>1.19181846642119E-5</v>
      </c>
      <c r="R56" s="219">
        <v>1.1883585667895519E-5</v>
      </c>
      <c r="S56" s="219">
        <v>1.1858400169598989E-5</v>
      </c>
      <c r="T56" s="219">
        <v>1.18334583431923E-5</v>
      </c>
      <c r="U56" s="219">
        <v>1.179040076241728E-5</v>
      </c>
      <c r="V56" s="219">
        <v>1.176622643604071E-5</v>
      </c>
      <c r="W56" s="219">
        <v>1.1742316751440231E-5</v>
      </c>
      <c r="X56" s="219">
        <v>1.177586876341816E-5</v>
      </c>
      <c r="Y56" s="219">
        <v>1.177094127543506E-5</v>
      </c>
      <c r="Z56" s="219">
        <v>1.1766045049885801E-5</v>
      </c>
      <c r="AA56" s="219">
        <v>1.176118094708814E-5</v>
      </c>
      <c r="AB56" s="219">
        <v>1.175635058710418E-5</v>
      </c>
      <c r="AC56" s="33">
        <v>3.1090242840109088E-8</v>
      </c>
      <c r="AD56" s="219">
        <v>3.1053057282539799E-8</v>
      </c>
      <c r="AE56" s="219">
        <v>3.1014765061389697E-8</v>
      </c>
      <c r="AF56" s="219">
        <v>3.0637937664895879E-8</v>
      </c>
      <c r="AG56" s="219">
        <v>3.0595836272025311E-8</v>
      </c>
      <c r="AH56" s="219">
        <v>3.0552693146837562E-8</v>
      </c>
      <c r="AI56" s="219">
        <v>3.0520702163052489E-8</v>
      </c>
      <c r="AJ56" s="219">
        <v>3.0488961842664302E-8</v>
      </c>
      <c r="AK56" s="219">
        <v>3.0245443620550501E-8</v>
      </c>
      <c r="AL56" s="219">
        <v>3.0210987802493623E-8</v>
      </c>
      <c r="AM56" s="219">
        <v>3.0175480781343972E-8</v>
      </c>
      <c r="AN56" s="219">
        <v>3.0140496472317598E-8</v>
      </c>
      <c r="AO56" s="219">
        <v>3.0105054990846358E-8</v>
      </c>
      <c r="AP56" s="219">
        <v>2.9987832615887148E-8</v>
      </c>
      <c r="AQ56" s="219">
        <v>2.9951015729118513E-8</v>
      </c>
      <c r="AR56" s="219">
        <v>2.9913779747196017E-8</v>
      </c>
      <c r="AS56" s="219">
        <v>2.988777735254821E-8</v>
      </c>
      <c r="AT56" s="219">
        <v>2.9861728901839498E-8</v>
      </c>
      <c r="AU56" s="219">
        <v>2.976748227469331E-8</v>
      </c>
      <c r="AV56" s="219">
        <v>2.9741450103063481E-8</v>
      </c>
      <c r="AW56" s="219">
        <v>2.971566907922143E-8</v>
      </c>
      <c r="AX56" s="219">
        <v>2.9788981280719199E-8</v>
      </c>
      <c r="AY56" s="219">
        <v>2.978090680861233E-8</v>
      </c>
      <c r="AZ56" s="219">
        <v>2.977285591309153E-8</v>
      </c>
      <c r="BA56" s="219">
        <v>2.976482971528415E-8</v>
      </c>
      <c r="BB56" s="219">
        <v>2.975683103604173E-8</v>
      </c>
      <c r="BC56" s="33">
        <v>0.40335501475465663</v>
      </c>
      <c r="BD56" s="219">
        <v>0.40262355755954948</v>
      </c>
      <c r="BE56" s="219">
        <v>0.4018921172130473</v>
      </c>
      <c r="BF56" s="219">
        <v>0.39133013825701207</v>
      </c>
      <c r="BG56" s="219">
        <v>0.3906379110584059</v>
      </c>
      <c r="BH56" s="219">
        <v>0.38994510517239711</v>
      </c>
      <c r="BI56" s="219">
        <v>0.38879709712348509</v>
      </c>
      <c r="BJ56" s="219">
        <v>0.38766422218034241</v>
      </c>
      <c r="BK56" s="219">
        <v>0.37936187430314833</v>
      </c>
      <c r="BL56" s="219">
        <v>0.37833252009178092</v>
      </c>
      <c r="BM56" s="219">
        <v>0.37730881970191521</v>
      </c>
      <c r="BN56" s="219">
        <v>0.37573548222792957</v>
      </c>
      <c r="BO56" s="219">
        <v>0.37417215766721912</v>
      </c>
      <c r="BP56" s="219">
        <v>0.37041640372808382</v>
      </c>
      <c r="BQ56" s="219">
        <v>0.36891158505999649</v>
      </c>
      <c r="BR56" s="219">
        <v>0.36741664003803481</v>
      </c>
      <c r="BS56" s="219">
        <v>0.36617346378325338</v>
      </c>
      <c r="BT56" s="219">
        <v>0.36493675850950208</v>
      </c>
      <c r="BU56" s="219">
        <v>0.3616559984347899</v>
      </c>
      <c r="BV56" s="219">
        <v>0.3604611027947684</v>
      </c>
      <c r="BW56" s="219">
        <v>0.35927201554418409</v>
      </c>
      <c r="BX56" s="219">
        <v>0.35904754517195547</v>
      </c>
      <c r="BY56" s="219">
        <v>0.35882453695528738</v>
      </c>
      <c r="BZ56" s="219">
        <v>0.35860263790699742</v>
      </c>
      <c r="CA56" s="219">
        <v>0.35838182732894691</v>
      </c>
      <c r="CB56" s="219">
        <v>0.35816210309657498</v>
      </c>
      <c r="CC56" s="33">
        <v>7.1164608713353994</v>
      </c>
      <c r="CD56" s="219">
        <v>7.0996755601632726</v>
      </c>
      <c r="CE56" s="219">
        <v>7.0828679412020579</v>
      </c>
      <c r="CF56" s="219">
        <v>6.995098871480689</v>
      </c>
      <c r="CG56" s="219">
        <v>6.9783189998555288</v>
      </c>
      <c r="CH56" s="219">
        <v>6.9614898256467272</v>
      </c>
      <c r="CI56" s="219">
        <v>6.936049343305946</v>
      </c>
      <c r="CJ56" s="219">
        <v>6.9110858716524497</v>
      </c>
      <c r="CK56" s="219">
        <v>6.8381414498003972</v>
      </c>
      <c r="CL56" s="219">
        <v>6.8142947864514021</v>
      </c>
      <c r="CM56" s="219">
        <v>6.7905229199003001</v>
      </c>
      <c r="CN56" s="219">
        <v>6.760644151505276</v>
      </c>
      <c r="CO56" s="219">
        <v>6.7310210099521006</v>
      </c>
      <c r="CP56" s="219">
        <v>6.6875974725657894</v>
      </c>
      <c r="CQ56" s="219">
        <v>6.6588167394411339</v>
      </c>
      <c r="CR56" s="219">
        <v>6.6302844876173328</v>
      </c>
      <c r="CS56" s="219">
        <v>6.6069173260906533</v>
      </c>
      <c r="CT56" s="219">
        <v>6.5837908138564041</v>
      </c>
      <c r="CU56" s="219">
        <v>6.5503119257531877</v>
      </c>
      <c r="CV56" s="219">
        <v>6.5279880571086384</v>
      </c>
      <c r="CW56" s="219">
        <v>6.5059272055323234</v>
      </c>
      <c r="CX56" s="219">
        <v>6.5006830712361037</v>
      </c>
      <c r="CY56" s="219">
        <v>6.4951386258832979</v>
      </c>
      <c r="CZ56" s="219">
        <v>6.4896280891119771</v>
      </c>
      <c r="DA56" s="219">
        <v>6.4841516951127067</v>
      </c>
      <c r="DB56" s="219">
        <v>6.4787100471857446</v>
      </c>
    </row>
    <row r="57" spans="1:106" x14ac:dyDescent="0.35">
      <c r="A57" s="137" t="s">
        <v>550</v>
      </c>
      <c r="B57" s="130" t="s">
        <v>545</v>
      </c>
      <c r="C57" s="219">
        <v>4.6613472942476112E-5</v>
      </c>
      <c r="D57" s="219">
        <v>4.6249879626807662E-5</v>
      </c>
      <c r="E57" s="219">
        <v>4.5873016003019662E-5</v>
      </c>
      <c r="F57" s="219">
        <v>4.5020712921095638E-5</v>
      </c>
      <c r="G57" s="219">
        <v>4.4614258769636642E-5</v>
      </c>
      <c r="H57" s="219">
        <v>4.4193941965618532E-5</v>
      </c>
      <c r="I57" s="219">
        <v>4.378737273794721E-5</v>
      </c>
      <c r="J57" s="219">
        <v>4.3379015069879893E-5</v>
      </c>
      <c r="K57" s="219">
        <v>4.2696069757635479E-5</v>
      </c>
      <c r="L57" s="219">
        <v>4.2281354623356969E-5</v>
      </c>
      <c r="M57" s="219">
        <v>4.18609361296457E-5</v>
      </c>
      <c r="N57" s="219">
        <v>4.1529919786661049E-5</v>
      </c>
      <c r="O57" s="219">
        <v>4.12021353942681E-5</v>
      </c>
      <c r="P57" s="219">
        <v>4.078750645782006E-5</v>
      </c>
      <c r="Q57" s="219">
        <v>4.0466760577323292E-5</v>
      </c>
      <c r="R57" s="219">
        <v>4.0148491278771383E-5</v>
      </c>
      <c r="S57" s="219">
        <v>3.9940824331821072E-5</v>
      </c>
      <c r="T57" s="219">
        <v>3.9735973178862702E-5</v>
      </c>
      <c r="U57" s="219">
        <v>3.9453110056421682E-5</v>
      </c>
      <c r="V57" s="219">
        <v>3.9255620721230908E-5</v>
      </c>
      <c r="W57" s="219">
        <v>3.9061886573595311E-5</v>
      </c>
      <c r="X57" s="219">
        <v>3.9176716993522563E-5</v>
      </c>
      <c r="Y57" s="219">
        <v>3.913294615285879E-5</v>
      </c>
      <c r="Z57" s="219">
        <v>3.9089665701826947E-5</v>
      </c>
      <c r="AA57" s="219">
        <v>3.9046886024631158E-5</v>
      </c>
      <c r="AB57" s="219">
        <v>3.9004626411645843E-5</v>
      </c>
      <c r="AC57" s="33">
        <v>1.318117661213589E-7</v>
      </c>
      <c r="AD57" s="219">
        <v>1.3112826550895461E-7</v>
      </c>
      <c r="AE57" s="219">
        <v>1.3041776252788251E-7</v>
      </c>
      <c r="AF57" s="219">
        <v>1.281783910209987E-7</v>
      </c>
      <c r="AG57" s="219">
        <v>1.2740736124416311E-7</v>
      </c>
      <c r="AH57" s="219">
        <v>1.266096703864067E-7</v>
      </c>
      <c r="AI57" s="219">
        <v>1.259566611279793E-7</v>
      </c>
      <c r="AJ57" s="219">
        <v>1.2529503506935959E-7</v>
      </c>
      <c r="AK57" s="219">
        <v>1.236873874442288E-7</v>
      </c>
      <c r="AL57" s="219">
        <v>1.229940855140588E-7</v>
      </c>
      <c r="AM57" s="219">
        <v>1.222863641271031E-7</v>
      </c>
      <c r="AN57" s="219">
        <v>1.217387127584407E-7</v>
      </c>
      <c r="AO57" s="219">
        <v>1.211934191518693E-7</v>
      </c>
      <c r="AP57" s="219">
        <v>1.2029106828498411E-7</v>
      </c>
      <c r="AQ57" s="219">
        <v>1.197486386522212E-7</v>
      </c>
      <c r="AR57" s="219">
        <v>1.192091813996316E-7</v>
      </c>
      <c r="AS57" s="219">
        <v>1.1886151867185399E-7</v>
      </c>
      <c r="AT57" s="219">
        <v>1.1851807670607231E-7</v>
      </c>
      <c r="AU57" s="219">
        <v>1.1787748167629901E-7</v>
      </c>
      <c r="AV57" s="219">
        <v>1.175461365788156E-7</v>
      </c>
      <c r="AW57" s="219">
        <v>1.1722554554963209E-7</v>
      </c>
      <c r="AX57" s="219">
        <v>1.17430956643613E-7</v>
      </c>
      <c r="AY57" s="219">
        <v>1.173475986803988E-7</v>
      </c>
      <c r="AZ57" s="219">
        <v>1.1726518145436089E-7</v>
      </c>
      <c r="BA57" s="219">
        <v>1.171837262399769E-7</v>
      </c>
      <c r="BB57" s="219">
        <v>1.1710327681248651E-7</v>
      </c>
      <c r="BC57" s="33">
        <v>1.854951793945893</v>
      </c>
      <c r="BD57" s="219">
        <v>1.849798042891337</v>
      </c>
      <c r="BE57" s="219">
        <v>1.84451627864112</v>
      </c>
      <c r="BF57" s="219">
        <v>1.795434945061509</v>
      </c>
      <c r="BG57" s="219">
        <v>1.790062071146608</v>
      </c>
      <c r="BH57" s="219">
        <v>1.784549171352684</v>
      </c>
      <c r="BI57" s="219">
        <v>1.7793669441766991</v>
      </c>
      <c r="BJ57" s="219">
        <v>1.77420007581954</v>
      </c>
      <c r="BK57" s="219">
        <v>1.7372565493191909</v>
      </c>
      <c r="BL57" s="219">
        <v>1.73243734993594</v>
      </c>
      <c r="BM57" s="219">
        <v>1.7275839176958709</v>
      </c>
      <c r="BN57" s="219">
        <v>1.7193621188822501</v>
      </c>
      <c r="BO57" s="219">
        <v>1.711203178032638</v>
      </c>
      <c r="BP57" s="219">
        <v>1.693371821330953</v>
      </c>
      <c r="BQ57" s="219">
        <v>1.685506116342923</v>
      </c>
      <c r="BR57" s="219">
        <v>1.6776978260109869</v>
      </c>
      <c r="BS57" s="219">
        <v>1.670899345051265</v>
      </c>
      <c r="BT57" s="219">
        <v>1.66414128776184</v>
      </c>
      <c r="BU57" s="219">
        <v>1.6483583825658079</v>
      </c>
      <c r="BV57" s="219">
        <v>1.64181321526918</v>
      </c>
      <c r="BW57" s="219">
        <v>1.6352989705141741</v>
      </c>
      <c r="BX57" s="219">
        <v>1.634038964274952</v>
      </c>
      <c r="BY57" s="219">
        <v>1.6327936037963859</v>
      </c>
      <c r="BZ57" s="219">
        <v>1.6315593295908439</v>
      </c>
      <c r="CA57" s="219">
        <v>1.6303359130110771</v>
      </c>
      <c r="CB57" s="219">
        <v>1.629123279982452</v>
      </c>
      <c r="CC57" s="33">
        <v>25.353188694785551</v>
      </c>
      <c r="CD57" s="219">
        <v>25.154717612524799</v>
      </c>
      <c r="CE57" s="219">
        <v>24.952891934748219</v>
      </c>
      <c r="CF57" s="219">
        <v>24.43216061222088</v>
      </c>
      <c r="CG57" s="219">
        <v>24.223677703038241</v>
      </c>
      <c r="CH57" s="219">
        <v>24.011532563815791</v>
      </c>
      <c r="CI57" s="219">
        <v>23.781798520937631</v>
      </c>
      <c r="CJ57" s="219">
        <v>23.553470498651969</v>
      </c>
      <c r="CK57" s="219">
        <v>23.112164035678799</v>
      </c>
      <c r="CL57" s="219">
        <v>22.8869802875628</v>
      </c>
      <c r="CM57" s="219">
        <v>22.661106797459301</v>
      </c>
      <c r="CN57" s="219">
        <v>22.42080911879183</v>
      </c>
      <c r="CO57" s="219">
        <v>22.183346487850809</v>
      </c>
      <c r="CP57" s="219">
        <v>21.886625195061502</v>
      </c>
      <c r="CQ57" s="219">
        <v>21.656301785736471</v>
      </c>
      <c r="CR57" s="219">
        <v>21.428841566983252</v>
      </c>
      <c r="CS57" s="219">
        <v>21.256893426465659</v>
      </c>
      <c r="CT57" s="219">
        <v>21.087369460193511</v>
      </c>
      <c r="CU57" s="219">
        <v>20.873433480157889</v>
      </c>
      <c r="CV57" s="219">
        <v>20.710577086841429</v>
      </c>
      <c r="CW57" s="219">
        <v>20.550976192807919</v>
      </c>
      <c r="CX57" s="219">
        <v>20.512934714950649</v>
      </c>
      <c r="CY57" s="219">
        <v>20.473673575462591</v>
      </c>
      <c r="CZ57" s="219">
        <v>20.434824644620559</v>
      </c>
      <c r="DA57" s="219">
        <v>20.396392714219459</v>
      </c>
      <c r="DB57" s="219">
        <v>20.358387254419359</v>
      </c>
    </row>
    <row r="58" spans="1:106" x14ac:dyDescent="0.35">
      <c r="A58" s="137" t="s">
        <v>551</v>
      </c>
      <c r="B58" s="130" t="s">
        <v>545</v>
      </c>
      <c r="C58" s="219">
        <v>1.871608018425422E-5</v>
      </c>
      <c r="D58" s="219">
        <v>1.8663981281652361E-5</v>
      </c>
      <c r="E58" s="219">
        <v>1.8611542059731501E-5</v>
      </c>
      <c r="F58" s="219">
        <v>1.8270010633240039E-5</v>
      </c>
      <c r="G58" s="219">
        <v>1.8216043518711339E-5</v>
      </c>
      <c r="H58" s="219">
        <v>1.8161785811069109E-5</v>
      </c>
      <c r="I58" s="219">
        <v>1.8081740318141109E-5</v>
      </c>
      <c r="J58" s="219">
        <v>1.8004207697979389E-5</v>
      </c>
      <c r="K58" s="219">
        <v>1.7756725250237989E-5</v>
      </c>
      <c r="L58" s="219">
        <v>1.7682896400020639E-5</v>
      </c>
      <c r="M58" s="219">
        <v>1.7609369259520361E-5</v>
      </c>
      <c r="N58" s="219">
        <v>1.7524217715517879E-5</v>
      </c>
      <c r="O58" s="219">
        <v>1.744001654238062E-5</v>
      </c>
      <c r="P58" s="219">
        <v>1.7299485029040391E-5</v>
      </c>
      <c r="Q58" s="219">
        <v>1.7217690326731832E-5</v>
      </c>
      <c r="R58" s="219">
        <v>1.7136536414346599E-5</v>
      </c>
      <c r="S58" s="219">
        <v>1.7075685254577432E-5</v>
      </c>
      <c r="T58" s="219">
        <v>1.7015402002800699E-5</v>
      </c>
      <c r="U58" s="219">
        <v>1.6904301309228469E-5</v>
      </c>
      <c r="V58" s="219">
        <v>1.6845909631540741E-5</v>
      </c>
      <c r="W58" s="219">
        <v>1.6788096187745851E-5</v>
      </c>
      <c r="X58" s="219">
        <v>1.6875948147624649E-5</v>
      </c>
      <c r="Y58" s="219">
        <v>1.6863927142809579E-5</v>
      </c>
      <c r="Z58" s="219">
        <v>1.685196913157908E-5</v>
      </c>
      <c r="AA58" s="219">
        <v>1.6840076209704161E-5</v>
      </c>
      <c r="AB58" s="219">
        <v>1.682825222204813E-5</v>
      </c>
      <c r="AC58" s="33">
        <v>4.659133230991124E-8</v>
      </c>
      <c r="AD58" s="219">
        <v>4.6527257243640891E-8</v>
      </c>
      <c r="AE58" s="219">
        <v>4.6461497594889693E-8</v>
      </c>
      <c r="AF58" s="219">
        <v>4.5451063812954507E-8</v>
      </c>
      <c r="AG58" s="219">
        <v>4.5377396482129093E-8</v>
      </c>
      <c r="AH58" s="219">
        <v>4.5302202026092058E-8</v>
      </c>
      <c r="AI58" s="219">
        <v>4.5253640432851432E-8</v>
      </c>
      <c r="AJ58" s="219">
        <v>4.5206340332867488E-8</v>
      </c>
      <c r="AK58" s="219">
        <v>4.4567207915707892E-8</v>
      </c>
      <c r="AL58" s="219">
        <v>4.451356454245073E-8</v>
      </c>
      <c r="AM58" s="219">
        <v>4.4457628249283312E-8</v>
      </c>
      <c r="AN58" s="219">
        <v>4.4397982044154417E-8</v>
      </c>
      <c r="AO58" s="219">
        <v>4.4336742756279428E-8</v>
      </c>
      <c r="AP58" s="219">
        <v>4.4046412771192008E-8</v>
      </c>
      <c r="AQ58" s="219">
        <v>4.3980696789680953E-8</v>
      </c>
      <c r="AR58" s="219">
        <v>4.3913476707554352E-8</v>
      </c>
      <c r="AS58" s="219">
        <v>4.3864778361492868E-8</v>
      </c>
      <c r="AT58" s="219">
        <v>4.3815671457551043E-8</v>
      </c>
      <c r="AU58" s="219">
        <v>4.3575541136761551E-8</v>
      </c>
      <c r="AV58" s="219">
        <v>4.3525728885520332E-8</v>
      </c>
      <c r="AW58" s="219">
        <v>4.3476029246676771E-8</v>
      </c>
      <c r="AX58" s="219">
        <v>4.3665358015069228E-8</v>
      </c>
      <c r="AY58" s="219">
        <v>4.3646832296320057E-8</v>
      </c>
      <c r="AZ58" s="219">
        <v>4.3628311919005339E-8</v>
      </c>
      <c r="BA58" s="219">
        <v>4.3609799371464648E-8</v>
      </c>
      <c r="BB58" s="219">
        <v>4.3591300920073802E-8</v>
      </c>
      <c r="BC58" s="33">
        <v>1.1216944898798831</v>
      </c>
      <c r="BD58" s="219">
        <v>1.119779339044878</v>
      </c>
      <c r="BE58" s="219">
        <v>1.1178724056990139</v>
      </c>
      <c r="BF58" s="219">
        <v>1.088493133366448</v>
      </c>
      <c r="BG58" s="219">
        <v>1.086712691626099</v>
      </c>
      <c r="BH58" s="219">
        <v>1.0849393555954741</v>
      </c>
      <c r="BI58" s="219">
        <v>1.0816777615831941</v>
      </c>
      <c r="BJ58" s="219">
        <v>1.0784615656969521</v>
      </c>
      <c r="BK58" s="219">
        <v>1.0551953417355651</v>
      </c>
      <c r="BL58" s="219">
        <v>1.052276139944279</v>
      </c>
      <c r="BM58" s="219">
        <v>1.04937687032136</v>
      </c>
      <c r="BN58" s="219">
        <v>1.045071713956363</v>
      </c>
      <c r="BO58" s="219">
        <v>1.0407937201305411</v>
      </c>
      <c r="BP58" s="219">
        <v>1.030381675254193</v>
      </c>
      <c r="BQ58" s="219">
        <v>1.02626580552897</v>
      </c>
      <c r="BR58" s="219">
        <v>1.022177024117455</v>
      </c>
      <c r="BS58" s="219">
        <v>1.018799720018889</v>
      </c>
      <c r="BT58" s="219">
        <v>1.0154401926162839</v>
      </c>
      <c r="BU58" s="219">
        <v>1.006362346516243</v>
      </c>
      <c r="BV58" s="219">
        <v>1.003118891810397</v>
      </c>
      <c r="BW58" s="219">
        <v>0.99989176992080231</v>
      </c>
      <c r="BX58" s="219">
        <v>0.99928998202848485</v>
      </c>
      <c r="BY58" s="219">
        <v>0.99869167912171086</v>
      </c>
      <c r="BZ58" s="219">
        <v>0.99809603282811765</v>
      </c>
      <c r="CA58" s="219">
        <v>0.99750299663896524</v>
      </c>
      <c r="CB58" s="219">
        <v>0.99691256972442321</v>
      </c>
      <c r="CC58" s="33">
        <v>8.03293521711125</v>
      </c>
      <c r="CD58" s="219">
        <v>7.9955241343061303</v>
      </c>
      <c r="CE58" s="219">
        <v>7.9582516470529976</v>
      </c>
      <c r="CF58" s="219">
        <v>7.7228497162828393</v>
      </c>
      <c r="CG58" s="219">
        <v>7.6860785557448663</v>
      </c>
      <c r="CH58" s="219">
        <v>7.6493877718228829</v>
      </c>
      <c r="CI58" s="219">
        <v>7.5878157904031234</v>
      </c>
      <c r="CJ58" s="219">
        <v>7.5276039542237516</v>
      </c>
      <c r="CK58" s="219">
        <v>7.3332175553585524</v>
      </c>
      <c r="CL58" s="219">
        <v>7.2762426828374576</v>
      </c>
      <c r="CM58" s="219">
        <v>7.219548362330328</v>
      </c>
      <c r="CN58" s="219">
        <v>7.1462685551746992</v>
      </c>
      <c r="CO58" s="219">
        <v>7.0735887459276183</v>
      </c>
      <c r="CP58" s="219">
        <v>6.9621853415187394</v>
      </c>
      <c r="CQ58" s="219">
        <v>6.8916335256122716</v>
      </c>
      <c r="CR58" s="219">
        <v>6.8216598508433712</v>
      </c>
      <c r="CS58" s="219">
        <v>6.7632684953007498</v>
      </c>
      <c r="CT58" s="219">
        <v>6.7054612443671404</v>
      </c>
      <c r="CU58" s="219">
        <v>6.6186102016874857</v>
      </c>
      <c r="CV58" s="219">
        <v>6.5628502995693001</v>
      </c>
      <c r="CW58" s="219">
        <v>6.5076966438273516</v>
      </c>
      <c r="CX58" s="219">
        <v>6.4941774734136413</v>
      </c>
      <c r="CY58" s="219">
        <v>6.4799388732568364</v>
      </c>
      <c r="CZ58" s="219">
        <v>6.4657770621929176</v>
      </c>
      <c r="DA58" s="219">
        <v>6.4516925251757771</v>
      </c>
      <c r="DB58" s="219">
        <v>6.4376865812991833</v>
      </c>
    </row>
    <row r="59" spans="1:106" x14ac:dyDescent="0.35">
      <c r="A59" s="137" t="s">
        <v>552</v>
      </c>
      <c r="B59" s="130" t="s">
        <v>545</v>
      </c>
      <c r="C59" s="219">
        <v>3.3638991460371409E-5</v>
      </c>
      <c r="D59" s="219">
        <v>3.3603120656974527E-5</v>
      </c>
      <c r="E59" s="219">
        <v>3.3566580776256348E-5</v>
      </c>
      <c r="F59" s="219">
        <v>3.3414645190879972E-5</v>
      </c>
      <c r="G59" s="219">
        <v>3.3376373183511688E-5</v>
      </c>
      <c r="H59" s="219">
        <v>3.3337421227592353E-5</v>
      </c>
      <c r="I59" s="219">
        <v>3.329045520885334E-5</v>
      </c>
      <c r="J59" s="219">
        <v>3.3244348498440882E-5</v>
      </c>
      <c r="K59" s="219">
        <v>3.3130606437575087E-5</v>
      </c>
      <c r="L59" s="219">
        <v>3.3085501705834442E-5</v>
      </c>
      <c r="M59" s="219">
        <v>3.3040240968142462E-5</v>
      </c>
      <c r="N59" s="219">
        <v>3.2993501044837002E-5</v>
      </c>
      <c r="O59" s="219">
        <v>3.294724245997512E-5</v>
      </c>
      <c r="P59" s="219">
        <v>3.2878737751467453E-5</v>
      </c>
      <c r="Q59" s="219">
        <v>3.2833622376851867E-5</v>
      </c>
      <c r="R59" s="219">
        <v>3.2788846698465292E-5</v>
      </c>
      <c r="S59" s="219">
        <v>3.2757113887999669E-5</v>
      </c>
      <c r="T59" s="219">
        <v>3.272570975702197E-5</v>
      </c>
      <c r="U59" s="219">
        <v>3.2674263406500597E-5</v>
      </c>
      <c r="V59" s="219">
        <v>3.2643880826611037E-5</v>
      </c>
      <c r="W59" s="219">
        <v>3.2613942555769533E-5</v>
      </c>
      <c r="X59" s="219">
        <v>3.2657129605232751E-5</v>
      </c>
      <c r="Y59" s="219">
        <v>3.2651129934813393E-5</v>
      </c>
      <c r="Z59" s="219">
        <v>3.2645175809686697E-5</v>
      </c>
      <c r="AA59" s="219">
        <v>3.2639269159817092E-5</v>
      </c>
      <c r="AB59" s="219">
        <v>3.2633413285106852E-5</v>
      </c>
      <c r="AC59" s="33">
        <v>8.2808297437238568E-8</v>
      </c>
      <c r="AD59" s="219">
        <v>8.2748515233909256E-8</v>
      </c>
      <c r="AE59" s="219">
        <v>8.2687044164036247E-8</v>
      </c>
      <c r="AF59" s="219">
        <v>8.2249437843036084E-8</v>
      </c>
      <c r="AG59" s="219">
        <v>8.218286548530205E-8</v>
      </c>
      <c r="AH59" s="219">
        <v>8.2114711661355756E-8</v>
      </c>
      <c r="AI59" s="219">
        <v>8.2061392259243568E-8</v>
      </c>
      <c r="AJ59" s="219">
        <v>8.2008308493036208E-8</v>
      </c>
      <c r="AK59" s="219">
        <v>8.1720034317123958E-8</v>
      </c>
      <c r="AL59" s="219">
        <v>8.166361460114885E-8</v>
      </c>
      <c r="AM59" s="219">
        <v>8.1605817155060863E-8</v>
      </c>
      <c r="AN59" s="219">
        <v>8.1549623009294593E-8</v>
      </c>
      <c r="AO59" s="219">
        <v>8.1493106964656377E-8</v>
      </c>
      <c r="AP59" s="219">
        <v>8.1345992769332263E-8</v>
      </c>
      <c r="AQ59" s="219">
        <v>8.1288370015361391E-8</v>
      </c>
      <c r="AR59" s="219">
        <v>8.1230548786562547E-8</v>
      </c>
      <c r="AS59" s="219">
        <v>8.1191095564319809E-8</v>
      </c>
      <c r="AT59" s="219">
        <v>8.1151822048504601E-8</v>
      </c>
      <c r="AU59" s="219">
        <v>8.1037149558241905E-8</v>
      </c>
      <c r="AV59" s="219">
        <v>8.0998665871786015E-8</v>
      </c>
      <c r="AW59" s="219">
        <v>8.0961228190392942E-8</v>
      </c>
      <c r="AX59" s="219">
        <v>8.1058221847930238E-8</v>
      </c>
      <c r="AY59" s="219">
        <v>8.1047523800294479E-8</v>
      </c>
      <c r="AZ59" s="219">
        <v>8.1036885425146978E-8</v>
      </c>
      <c r="BA59" s="219">
        <v>8.1026310749086041E-8</v>
      </c>
      <c r="BB59" s="219">
        <v>8.101580714536936E-8</v>
      </c>
      <c r="BC59" s="33">
        <v>0.44521236921333063</v>
      </c>
      <c r="BD59" s="219">
        <v>0.44441182480411462</v>
      </c>
      <c r="BE59" s="219">
        <v>0.44360691938937058</v>
      </c>
      <c r="BF59" s="219">
        <v>0.43188747987378462</v>
      </c>
      <c r="BG59" s="219">
        <v>0.4311167400524531</v>
      </c>
      <c r="BH59" s="219">
        <v>0.43034019944561591</v>
      </c>
      <c r="BI59" s="219">
        <v>0.42912921764560558</v>
      </c>
      <c r="BJ59" s="219">
        <v>0.42793393593805262</v>
      </c>
      <c r="BK59" s="219">
        <v>0.4187793917333188</v>
      </c>
      <c r="BL59" s="219">
        <v>0.4176949564116777</v>
      </c>
      <c r="BM59" s="219">
        <v>0.41661417404882789</v>
      </c>
      <c r="BN59" s="219">
        <v>0.4148640945642969</v>
      </c>
      <c r="BO59" s="219">
        <v>0.41312446933564761</v>
      </c>
      <c r="BP59" s="219">
        <v>0.40895021127563158</v>
      </c>
      <c r="BQ59" s="219">
        <v>0.40727389278795928</v>
      </c>
      <c r="BR59" s="219">
        <v>0.40560735563956268</v>
      </c>
      <c r="BS59" s="219">
        <v>0.40421166450478713</v>
      </c>
      <c r="BT59" s="219">
        <v>0.40282286917904142</v>
      </c>
      <c r="BU59" s="219">
        <v>0.3991647283307832</v>
      </c>
      <c r="BV59" s="219">
        <v>0.39782209976916361</v>
      </c>
      <c r="BW59" s="219">
        <v>0.39648489474880239</v>
      </c>
      <c r="BX59" s="219">
        <v>0.39623463689337862</v>
      </c>
      <c r="BY59" s="219">
        <v>0.39598618845800038</v>
      </c>
      <c r="BZ59" s="219">
        <v>0.39573909912647148</v>
      </c>
      <c r="CA59" s="219">
        <v>0.39549334266602593</v>
      </c>
      <c r="CB59" s="219">
        <v>0.39524891839906651</v>
      </c>
      <c r="CC59" s="33">
        <v>23.989206994181579</v>
      </c>
      <c r="CD59" s="219">
        <v>23.966056953706079</v>
      </c>
      <c r="CE59" s="219">
        <v>23.942811140520071</v>
      </c>
      <c r="CF59" s="219">
        <v>23.84074408099999</v>
      </c>
      <c r="CG59" s="219">
        <v>23.817387414815091</v>
      </c>
      <c r="CH59" s="219">
        <v>23.79390938322075</v>
      </c>
      <c r="CI59" s="219">
        <v>23.761941366387369</v>
      </c>
      <c r="CJ59" s="219">
        <v>23.730517658416851</v>
      </c>
      <c r="CK59" s="219">
        <v>23.645828007616341</v>
      </c>
      <c r="CL59" s="219">
        <v>23.615596555707349</v>
      </c>
      <c r="CM59" s="219">
        <v>23.58540560849443</v>
      </c>
      <c r="CN59" s="219">
        <v>23.548247488028949</v>
      </c>
      <c r="CO59" s="219">
        <v>23.511410622306531</v>
      </c>
      <c r="CP59" s="219">
        <v>23.459291306729511</v>
      </c>
      <c r="CQ59" s="219">
        <v>23.42347127155475</v>
      </c>
      <c r="CR59" s="219">
        <v>23.38797669547132</v>
      </c>
      <c r="CS59" s="219">
        <v>23.35943717476297</v>
      </c>
      <c r="CT59" s="219">
        <v>23.33120869506407</v>
      </c>
      <c r="CU59" s="219">
        <v>23.291541973723241</v>
      </c>
      <c r="CV59" s="219">
        <v>23.264337210400289</v>
      </c>
      <c r="CW59" s="219">
        <v>23.23754940551925</v>
      </c>
      <c r="CX59" s="219">
        <v>23.231439061657358</v>
      </c>
      <c r="CY59" s="219">
        <v>23.22489851140682</v>
      </c>
      <c r="CZ59" s="219">
        <v>23.218403046695329</v>
      </c>
      <c r="DA59" s="219">
        <v>23.21195353922505</v>
      </c>
      <c r="DB59" s="219">
        <v>23.205551585424661</v>
      </c>
    </row>
    <row r="60" spans="1:106" x14ac:dyDescent="0.35">
      <c r="A60" s="137" t="s">
        <v>553</v>
      </c>
      <c r="B60" s="130" t="s">
        <v>545</v>
      </c>
      <c r="C60" s="219">
        <v>4.8775404394066759E-6</v>
      </c>
      <c r="D60" s="219">
        <v>4.86817010792422E-6</v>
      </c>
      <c r="E60" s="219">
        <v>4.8584423330068204E-6</v>
      </c>
      <c r="F60" s="219">
        <v>4.7797270512313502E-6</v>
      </c>
      <c r="G60" s="219">
        <v>4.7680195530015187E-6</v>
      </c>
      <c r="H60" s="219">
        <v>4.7562323739512069E-6</v>
      </c>
      <c r="I60" s="219">
        <v>4.7362355765648744E-6</v>
      </c>
      <c r="J60" s="219">
        <v>4.7172954973712704E-6</v>
      </c>
      <c r="K60" s="219">
        <v>4.6585604546296823E-6</v>
      </c>
      <c r="L60" s="219">
        <v>4.6408084471389637E-6</v>
      </c>
      <c r="M60" s="219">
        <v>4.6231567674937817E-6</v>
      </c>
      <c r="N60" s="219">
        <v>4.6044035175267836E-6</v>
      </c>
      <c r="O60" s="219">
        <v>4.5859432709141434E-6</v>
      </c>
      <c r="P60" s="219">
        <v>4.554171195858031E-6</v>
      </c>
      <c r="Q60" s="219">
        <v>4.5363677864885298E-6</v>
      </c>
      <c r="R60" s="219">
        <v>4.5187432794382036E-6</v>
      </c>
      <c r="S60" s="219">
        <v>4.5045327610604591E-6</v>
      </c>
      <c r="T60" s="219">
        <v>4.4904778684684391E-6</v>
      </c>
      <c r="U60" s="219">
        <v>4.4644218915416427E-6</v>
      </c>
      <c r="V60" s="219">
        <v>4.4508698719655901E-6</v>
      </c>
      <c r="W60" s="219">
        <v>4.4375376705231673E-6</v>
      </c>
      <c r="X60" s="219">
        <v>4.4660728374969703E-6</v>
      </c>
      <c r="Y60" s="219">
        <v>4.4640824094792913E-6</v>
      </c>
      <c r="Z60" s="219">
        <v>4.462103239618415E-6</v>
      </c>
      <c r="AA60" s="219">
        <v>4.4601367480851334E-6</v>
      </c>
      <c r="AB60" s="219">
        <v>4.4581853468104428E-6</v>
      </c>
      <c r="AC60" s="33">
        <v>7.1835812919464096E-9</v>
      </c>
      <c r="AD60" s="219">
        <v>7.1688292077647714E-9</v>
      </c>
      <c r="AE60" s="219">
        <v>7.1537548336796962E-9</v>
      </c>
      <c r="AF60" s="219">
        <v>6.9181040863833576E-9</v>
      </c>
      <c r="AG60" s="219">
        <v>6.9013601750951997E-9</v>
      </c>
      <c r="AH60" s="219">
        <v>6.8843586848080373E-9</v>
      </c>
      <c r="AI60" s="219">
        <v>6.8681802109413051E-9</v>
      </c>
      <c r="AJ60" s="219">
        <v>6.8531825123519081E-9</v>
      </c>
      <c r="AK60" s="219">
        <v>6.6992200908410393E-9</v>
      </c>
      <c r="AL60" s="219">
        <v>6.6833861006033224E-9</v>
      </c>
      <c r="AM60" s="219">
        <v>6.667131972414162E-9</v>
      </c>
      <c r="AN60" s="219">
        <v>6.6543756892730616E-9</v>
      </c>
      <c r="AO60" s="219">
        <v>6.6414353078210129E-9</v>
      </c>
      <c r="AP60" s="219">
        <v>6.5746710597347126E-9</v>
      </c>
      <c r="AQ60" s="219">
        <v>6.5610994451638251E-9</v>
      </c>
      <c r="AR60" s="219">
        <v>6.5474289581623677E-9</v>
      </c>
      <c r="AS60" s="219">
        <v>6.533824965597524E-9</v>
      </c>
      <c r="AT60" s="219">
        <v>6.5203352347119619E-9</v>
      </c>
      <c r="AU60" s="219">
        <v>6.4622247385161704E-9</v>
      </c>
      <c r="AV60" s="219">
        <v>6.4491852501203398E-9</v>
      </c>
      <c r="AW60" s="219">
        <v>6.4367964126113971E-9</v>
      </c>
      <c r="AX60" s="219">
        <v>6.4782211539381146E-9</v>
      </c>
      <c r="AY60" s="219">
        <v>6.4729893670921879E-9</v>
      </c>
      <c r="AZ60" s="219">
        <v>6.4677756585570726E-9</v>
      </c>
      <c r="BA60" s="219">
        <v>6.462583175159231E-9</v>
      </c>
      <c r="BB60" s="219">
        <v>6.4574174615946471E-9</v>
      </c>
      <c r="BC60" s="33">
        <v>0.20544702356759839</v>
      </c>
      <c r="BD60" s="219">
        <v>0.2050814350920675</v>
      </c>
      <c r="BE60" s="219">
        <v>0.20471543251813271</v>
      </c>
      <c r="BF60" s="219">
        <v>0.19791194898891989</v>
      </c>
      <c r="BG60" s="219">
        <v>0.19757081957323119</v>
      </c>
      <c r="BH60" s="219">
        <v>0.19722838515798519</v>
      </c>
      <c r="BI60" s="219">
        <v>0.19650060956851809</v>
      </c>
      <c r="BJ60" s="219">
        <v>0.1957855532327176</v>
      </c>
      <c r="BK60" s="219">
        <v>0.1903501880770988</v>
      </c>
      <c r="BL60" s="219">
        <v>0.189701463906747</v>
      </c>
      <c r="BM60" s="219">
        <v>0.18905398517255551</v>
      </c>
      <c r="BN60" s="219">
        <v>0.1880743583398953</v>
      </c>
      <c r="BO60" s="219">
        <v>0.1870974565633127</v>
      </c>
      <c r="BP60" s="219">
        <v>0.1846705578092378</v>
      </c>
      <c r="BQ60" s="219">
        <v>0.1837240943184579</v>
      </c>
      <c r="BR60" s="219">
        <v>0.1827798088556104</v>
      </c>
      <c r="BS60" s="219">
        <v>0.18198920106052471</v>
      </c>
      <c r="BT60" s="219">
        <v>0.18120097681957839</v>
      </c>
      <c r="BU60" s="219">
        <v>0.179063188351445</v>
      </c>
      <c r="BV60" s="219">
        <v>0.17829840072600711</v>
      </c>
      <c r="BW60" s="219">
        <v>0.17753477820886859</v>
      </c>
      <c r="BX60" s="219">
        <v>0.17743443206111209</v>
      </c>
      <c r="BY60" s="219">
        <v>0.17733466792271421</v>
      </c>
      <c r="BZ60" s="219">
        <v>0.17723530518520919</v>
      </c>
      <c r="CA60" s="219">
        <v>0.17713632900602139</v>
      </c>
      <c r="CB60" s="219">
        <v>0.17703774399668781</v>
      </c>
      <c r="CC60" s="33">
        <v>1.077767276348534</v>
      </c>
      <c r="CD60" s="219">
        <v>1.068487648999207</v>
      </c>
      <c r="CE60" s="219">
        <v>1.0592287719764619</v>
      </c>
      <c r="CF60" s="219">
        <v>1.003621437235477</v>
      </c>
      <c r="CG60" s="219">
        <v>0.99447541283997209</v>
      </c>
      <c r="CH60" s="219">
        <v>0.98535068649383351</v>
      </c>
      <c r="CI60" s="219">
        <v>0.97106839068943418</v>
      </c>
      <c r="CJ60" s="219">
        <v>0.95728521163937308</v>
      </c>
      <c r="CK60" s="219">
        <v>0.91196898246157576</v>
      </c>
      <c r="CL60" s="219">
        <v>0.89899674266559515</v>
      </c>
      <c r="CM60" s="219">
        <v>0.88605498317749487</v>
      </c>
      <c r="CN60" s="219">
        <v>0.86941427182689446</v>
      </c>
      <c r="CO60" s="219">
        <v>0.85288838308574455</v>
      </c>
      <c r="CP60" s="219">
        <v>0.82719939962099553</v>
      </c>
      <c r="CQ60" s="219">
        <v>0.81112796547134136</v>
      </c>
      <c r="CR60" s="219">
        <v>0.7951757768828257</v>
      </c>
      <c r="CS60" s="219">
        <v>0.78184713838354281</v>
      </c>
      <c r="CT60" s="219">
        <v>0.76865556339077035</v>
      </c>
      <c r="CU60" s="219">
        <v>0.7486368329954437</v>
      </c>
      <c r="CV60" s="219">
        <v>0.73595302883880831</v>
      </c>
      <c r="CW60" s="219">
        <v>0.72347500063857628</v>
      </c>
      <c r="CX60" s="219">
        <v>0.72109256028640711</v>
      </c>
      <c r="CY60" s="219">
        <v>0.71827977819539279</v>
      </c>
      <c r="CZ60" s="219">
        <v>0.71548127274260809</v>
      </c>
      <c r="DA60" s="219">
        <v>0.71269773507552991</v>
      </c>
      <c r="DB60" s="219">
        <v>0.70993039674002745</v>
      </c>
    </row>
    <row r="61" spans="1:106" x14ac:dyDescent="0.35">
      <c r="A61" s="137" t="s">
        <v>554</v>
      </c>
      <c r="B61" s="130" t="s">
        <v>545</v>
      </c>
      <c r="C61" s="219">
        <v>8.5714772245922475E-6</v>
      </c>
      <c r="D61" s="219">
        <v>8.5594472903277018E-6</v>
      </c>
      <c r="E61" s="219">
        <v>8.5471274791808688E-6</v>
      </c>
      <c r="F61" s="219">
        <v>8.5062789341639706E-6</v>
      </c>
      <c r="G61" s="219">
        <v>8.4932673199826355E-6</v>
      </c>
      <c r="H61" s="219">
        <v>8.479954994518325E-6</v>
      </c>
      <c r="I61" s="219">
        <v>8.4650562442380041E-6</v>
      </c>
      <c r="J61" s="219">
        <v>8.4503093000054757E-6</v>
      </c>
      <c r="K61" s="219">
        <v>8.4189240344332215E-6</v>
      </c>
      <c r="L61" s="219">
        <v>8.4043023841615668E-6</v>
      </c>
      <c r="M61" s="219">
        <v>8.3895835245290272E-6</v>
      </c>
      <c r="N61" s="219">
        <v>8.3752913305357015E-6</v>
      </c>
      <c r="O61" s="219">
        <v>8.361136923346171E-6</v>
      </c>
      <c r="P61" s="219">
        <v>8.34156102862012E-6</v>
      </c>
      <c r="Q61" s="219">
        <v>8.3277224719874022E-6</v>
      </c>
      <c r="R61" s="219">
        <v>8.3139828254394545E-6</v>
      </c>
      <c r="S61" s="219">
        <v>8.3045148558659557E-6</v>
      </c>
      <c r="T61" s="219">
        <v>8.2951426822746403E-6</v>
      </c>
      <c r="U61" s="219">
        <v>8.2808784755295249E-6</v>
      </c>
      <c r="V61" s="219">
        <v>8.2717820327842968E-6</v>
      </c>
      <c r="W61" s="219">
        <v>8.2628000737677046E-6</v>
      </c>
      <c r="X61" s="219">
        <v>8.277409502482119E-6</v>
      </c>
      <c r="Y61" s="219">
        <v>8.2756030805414058E-6</v>
      </c>
      <c r="Z61" s="219">
        <v>8.2738115544071811E-6</v>
      </c>
      <c r="AA61" s="219">
        <v>8.2720352410769784E-6</v>
      </c>
      <c r="AB61" s="219">
        <v>8.2702747680360067E-6</v>
      </c>
      <c r="AC61" s="33">
        <v>2.1137269917442342E-8</v>
      </c>
      <c r="AD61" s="219">
        <v>2.111611801149791E-8</v>
      </c>
      <c r="AE61" s="219">
        <v>2.1094296111743139E-8</v>
      </c>
      <c r="AF61" s="219">
        <v>2.097974864868568E-8</v>
      </c>
      <c r="AG61" s="219">
        <v>2.0956173212419619E-8</v>
      </c>
      <c r="AH61" s="219">
        <v>2.09319515093833E-8</v>
      </c>
      <c r="AI61" s="219">
        <v>2.0912025660107311E-8</v>
      </c>
      <c r="AJ61" s="219">
        <v>2.0892034907929501E-8</v>
      </c>
      <c r="AK61" s="219">
        <v>2.0814274266992509E-8</v>
      </c>
      <c r="AL61" s="219">
        <v>2.0793222691592741E-8</v>
      </c>
      <c r="AM61" s="219">
        <v>2.0771713103290381E-8</v>
      </c>
      <c r="AN61" s="219">
        <v>2.0751558536832598E-8</v>
      </c>
      <c r="AO61" s="219">
        <v>2.0731362273196198E-8</v>
      </c>
      <c r="AP61" s="219">
        <v>2.068899812173177E-8</v>
      </c>
      <c r="AQ61" s="219">
        <v>2.0668592345147649E-8</v>
      </c>
      <c r="AR61" s="219">
        <v>2.064815945759629E-8</v>
      </c>
      <c r="AS61" s="219">
        <v>2.0634505606929392E-8</v>
      </c>
      <c r="AT61" s="219">
        <v>2.06209127994203E-8</v>
      </c>
      <c r="AU61" s="219">
        <v>2.058882839698509E-8</v>
      </c>
      <c r="AV61" s="219">
        <v>2.057543653290086E-8</v>
      </c>
      <c r="AW61" s="219">
        <v>2.0562267788214882E-8</v>
      </c>
      <c r="AX61" s="219">
        <v>2.0597570863726261E-8</v>
      </c>
      <c r="AY61" s="219">
        <v>2.0594281409827421E-8</v>
      </c>
      <c r="AZ61" s="219">
        <v>2.0591014286244739E-8</v>
      </c>
      <c r="BA61" s="219">
        <v>2.0587769966053419E-8</v>
      </c>
      <c r="BB61" s="219">
        <v>2.0584549651148869E-8</v>
      </c>
      <c r="BC61" s="33">
        <v>0.11485718275553521</v>
      </c>
      <c r="BD61" s="219">
        <v>0.114623539421362</v>
      </c>
      <c r="BE61" s="219">
        <v>0.1143877618460436</v>
      </c>
      <c r="BF61" s="219">
        <v>0.11146996120464089</v>
      </c>
      <c r="BG61" s="219">
        <v>0.1112404608240402</v>
      </c>
      <c r="BH61" s="219">
        <v>0.1110085177432006</v>
      </c>
      <c r="BI61" s="219">
        <v>0.11070961174606871</v>
      </c>
      <c r="BJ61" s="219">
        <v>0.11041410984650391</v>
      </c>
      <c r="BK61" s="219">
        <v>0.1081664127751142</v>
      </c>
      <c r="BL61" s="219">
        <v>0.10789717392730259</v>
      </c>
      <c r="BM61" s="219">
        <v>0.10762838839614459</v>
      </c>
      <c r="BN61" s="219">
        <v>0.10717441183849261</v>
      </c>
      <c r="BO61" s="219">
        <v>0.106723371660827</v>
      </c>
      <c r="BP61" s="219">
        <v>0.1056760537869864</v>
      </c>
      <c r="BQ61" s="219">
        <v>0.1052413135665073</v>
      </c>
      <c r="BR61" s="219">
        <v>0.10480938720631131</v>
      </c>
      <c r="BS61" s="219">
        <v>0.1044446666622979</v>
      </c>
      <c r="BT61" s="219">
        <v>0.10408177738212709</v>
      </c>
      <c r="BU61" s="219">
        <v>0.10316279489217681</v>
      </c>
      <c r="BV61" s="219">
        <v>0.10281147550363511</v>
      </c>
      <c r="BW61" s="219">
        <v>0.1024616945441299</v>
      </c>
      <c r="BX61" s="219">
        <v>0.10239332367617</v>
      </c>
      <c r="BY61" s="219">
        <v>0.1023255112063467</v>
      </c>
      <c r="BZ61" s="219">
        <v>0.1022581178288386</v>
      </c>
      <c r="CA61" s="219">
        <v>0.1021911347554563</v>
      </c>
      <c r="CB61" s="219">
        <v>0.10212456007438581</v>
      </c>
      <c r="CC61" s="33">
        <v>5.7353037106426017</v>
      </c>
      <c r="CD61" s="219">
        <v>5.7281708857913047</v>
      </c>
      <c r="CE61" s="219">
        <v>5.7209797205232009</v>
      </c>
      <c r="CF61" s="219">
        <v>5.6943818890702982</v>
      </c>
      <c r="CG61" s="219">
        <v>5.6870879552628528</v>
      </c>
      <c r="CH61" s="219">
        <v>5.6797234074610428</v>
      </c>
      <c r="CI61" s="219">
        <v>5.6702230897667141</v>
      </c>
      <c r="CJ61" s="219">
        <v>5.6608497000568523</v>
      </c>
      <c r="CK61" s="219">
        <v>5.6384111192290396</v>
      </c>
      <c r="CL61" s="219">
        <v>5.6293140553230208</v>
      </c>
      <c r="CM61" s="219">
        <v>5.6202186151468982</v>
      </c>
      <c r="CN61" s="219">
        <v>5.6093111366735782</v>
      </c>
      <c r="CO61" s="219">
        <v>5.5985034768960711</v>
      </c>
      <c r="CP61" s="219">
        <v>5.5839720673619713</v>
      </c>
      <c r="CQ61" s="219">
        <v>5.5734535144904616</v>
      </c>
      <c r="CR61" s="219">
        <v>5.5630332055168186</v>
      </c>
      <c r="CS61" s="219">
        <v>5.554782369477226</v>
      </c>
      <c r="CT61" s="219">
        <v>5.5466204427427144</v>
      </c>
      <c r="CU61" s="219">
        <v>5.5356637569216813</v>
      </c>
      <c r="CV61" s="219">
        <v>5.5277719785983068</v>
      </c>
      <c r="CW61" s="219">
        <v>5.5199856877879387</v>
      </c>
      <c r="CX61" s="219">
        <v>5.5182703030448534</v>
      </c>
      <c r="CY61" s="219">
        <v>5.5164184814756521</v>
      </c>
      <c r="CZ61" s="219">
        <v>5.5145806260018579</v>
      </c>
      <c r="DA61" s="219">
        <v>5.512756844731129</v>
      </c>
      <c r="DB61" s="219">
        <v>5.5109474006655486</v>
      </c>
    </row>
    <row r="62" spans="1:106" x14ac:dyDescent="0.35">
      <c r="A62" s="137" t="s">
        <v>555</v>
      </c>
      <c r="B62" s="130" t="s">
        <v>545</v>
      </c>
      <c r="C62" s="219">
        <v>1.7142954449184498E-5</v>
      </c>
      <c r="D62" s="219">
        <v>1.71188945806554E-5</v>
      </c>
      <c r="E62" s="219">
        <v>1.7094254958361741E-5</v>
      </c>
      <c r="F62" s="219">
        <v>1.7012557868327941E-5</v>
      </c>
      <c r="G62" s="219">
        <v>1.6986534639965271E-5</v>
      </c>
      <c r="H62" s="219">
        <v>1.695990998903665E-5</v>
      </c>
      <c r="I62" s="219">
        <v>1.6930112488476012E-5</v>
      </c>
      <c r="J62" s="219">
        <v>1.6900618600010951E-5</v>
      </c>
      <c r="K62" s="219">
        <v>1.683784806886644E-5</v>
      </c>
      <c r="L62" s="219">
        <v>1.680860476832313E-5</v>
      </c>
      <c r="M62" s="219">
        <v>1.6779167049058051E-5</v>
      </c>
      <c r="N62" s="219">
        <v>1.67505826610714E-5</v>
      </c>
      <c r="O62" s="219">
        <v>1.6722273846692339E-5</v>
      </c>
      <c r="P62" s="219">
        <v>1.668312205724024E-5</v>
      </c>
      <c r="Q62" s="219">
        <v>1.6655444943974801E-5</v>
      </c>
      <c r="R62" s="219">
        <v>1.6627965650878909E-5</v>
      </c>
      <c r="S62" s="219">
        <v>1.6609029711731911E-5</v>
      </c>
      <c r="T62" s="219">
        <v>1.6590285364549281E-5</v>
      </c>
      <c r="U62" s="219">
        <v>1.656175695105905E-5</v>
      </c>
      <c r="V62" s="219">
        <v>1.654356406556859E-5</v>
      </c>
      <c r="W62" s="219">
        <v>1.6525600147535409E-5</v>
      </c>
      <c r="X62" s="219">
        <v>1.6554819004964241E-5</v>
      </c>
      <c r="Y62" s="219">
        <v>1.6551206161082808E-5</v>
      </c>
      <c r="Z62" s="219">
        <v>1.6547623108814359E-5</v>
      </c>
      <c r="AA62" s="219">
        <v>1.654407048215396E-5</v>
      </c>
      <c r="AB62" s="219">
        <v>1.654054953607201E-5</v>
      </c>
      <c r="AC62" s="33">
        <v>4.2274539834884683E-8</v>
      </c>
      <c r="AD62" s="219">
        <v>4.2232236022995832E-8</v>
      </c>
      <c r="AE62" s="219">
        <v>4.2188592223486292E-8</v>
      </c>
      <c r="AF62" s="219">
        <v>4.1959497297371352E-8</v>
      </c>
      <c r="AG62" s="219">
        <v>4.1912346424839237E-8</v>
      </c>
      <c r="AH62" s="219">
        <v>4.1863903018766613E-8</v>
      </c>
      <c r="AI62" s="219">
        <v>4.1824051320214623E-8</v>
      </c>
      <c r="AJ62" s="219">
        <v>4.1784069815859002E-8</v>
      </c>
      <c r="AK62" s="219">
        <v>4.1628548533985012E-8</v>
      </c>
      <c r="AL62" s="219">
        <v>4.1586445383185482E-8</v>
      </c>
      <c r="AM62" s="219">
        <v>4.1543426206580761E-8</v>
      </c>
      <c r="AN62" s="219">
        <v>4.1503117073665197E-8</v>
      </c>
      <c r="AO62" s="219">
        <v>4.1462724546392397E-8</v>
      </c>
      <c r="AP62" s="219">
        <v>4.1377996243463527E-8</v>
      </c>
      <c r="AQ62" s="219">
        <v>4.1337184690295298E-8</v>
      </c>
      <c r="AR62" s="219">
        <v>4.1296318915192567E-8</v>
      </c>
      <c r="AS62" s="219">
        <v>4.126901121385879E-8</v>
      </c>
      <c r="AT62" s="219">
        <v>4.1241825598840588E-8</v>
      </c>
      <c r="AU62" s="219">
        <v>4.1177656793970187E-8</v>
      </c>
      <c r="AV62" s="219">
        <v>4.1150873065801733E-8</v>
      </c>
      <c r="AW62" s="219">
        <v>4.112453557642977E-8</v>
      </c>
      <c r="AX62" s="219">
        <v>4.1195141727452523E-8</v>
      </c>
      <c r="AY62" s="219">
        <v>4.1188562819654842E-8</v>
      </c>
      <c r="AZ62" s="219">
        <v>4.1182028572489472E-8</v>
      </c>
      <c r="BA62" s="219">
        <v>4.1175539932106838E-8</v>
      </c>
      <c r="BB62" s="219">
        <v>4.1169099302297739E-8</v>
      </c>
      <c r="BC62" s="33">
        <v>0.22971436551107041</v>
      </c>
      <c r="BD62" s="219">
        <v>0.22924707884272411</v>
      </c>
      <c r="BE62" s="219">
        <v>0.22877552369208709</v>
      </c>
      <c r="BF62" s="219">
        <v>0.22293992240928179</v>
      </c>
      <c r="BG62" s="219">
        <v>0.22248092164808039</v>
      </c>
      <c r="BH62" s="219">
        <v>0.22201703548640131</v>
      </c>
      <c r="BI62" s="219">
        <v>0.2214192234921373</v>
      </c>
      <c r="BJ62" s="219">
        <v>0.22082821969300789</v>
      </c>
      <c r="BK62" s="219">
        <v>0.2163328255502284</v>
      </c>
      <c r="BL62" s="219">
        <v>0.21579434785460519</v>
      </c>
      <c r="BM62" s="219">
        <v>0.21525677679228919</v>
      </c>
      <c r="BN62" s="219">
        <v>0.2143488236769853</v>
      </c>
      <c r="BO62" s="219">
        <v>0.213446743321654</v>
      </c>
      <c r="BP62" s="219">
        <v>0.21135210757397269</v>
      </c>
      <c r="BQ62" s="219">
        <v>0.2104826271330146</v>
      </c>
      <c r="BR62" s="219">
        <v>0.20961877441262261</v>
      </c>
      <c r="BS62" s="219">
        <v>0.20888933332459589</v>
      </c>
      <c r="BT62" s="219">
        <v>0.20816355476425419</v>
      </c>
      <c r="BU62" s="219">
        <v>0.20632558978435361</v>
      </c>
      <c r="BV62" s="219">
        <v>0.20562295100727021</v>
      </c>
      <c r="BW62" s="219">
        <v>0.2049233890882598</v>
      </c>
      <c r="BX62" s="219">
        <v>0.20478664735234001</v>
      </c>
      <c r="BY62" s="219">
        <v>0.20465102241269351</v>
      </c>
      <c r="BZ62" s="219">
        <v>0.20451623565767721</v>
      </c>
      <c r="CA62" s="219">
        <v>0.20438226951091251</v>
      </c>
      <c r="CB62" s="219">
        <v>0.2042491201487717</v>
      </c>
      <c r="CC62" s="33">
        <v>11.4706074212852</v>
      </c>
      <c r="CD62" s="219">
        <v>11.456341771582609</v>
      </c>
      <c r="CE62" s="219">
        <v>11.4419594410464</v>
      </c>
      <c r="CF62" s="219">
        <v>11.3887637781406</v>
      </c>
      <c r="CG62" s="219">
        <v>11.374175910525709</v>
      </c>
      <c r="CH62" s="219">
        <v>11.359446814922091</v>
      </c>
      <c r="CI62" s="219">
        <v>11.34044617953343</v>
      </c>
      <c r="CJ62" s="219">
        <v>11.321699400113699</v>
      </c>
      <c r="CK62" s="219">
        <v>11.276822238458079</v>
      </c>
      <c r="CL62" s="219">
        <v>11.25862811064604</v>
      </c>
      <c r="CM62" s="219">
        <v>11.2404372302938</v>
      </c>
      <c r="CN62" s="219">
        <v>11.21862227334716</v>
      </c>
      <c r="CO62" s="219">
        <v>11.19700695379214</v>
      </c>
      <c r="CP62" s="219">
        <v>11.167944134723941</v>
      </c>
      <c r="CQ62" s="219">
        <v>11.14690702898092</v>
      </c>
      <c r="CR62" s="219">
        <v>11.126066411033641</v>
      </c>
      <c r="CS62" s="219">
        <v>11.10956473895445</v>
      </c>
      <c r="CT62" s="219">
        <v>11.093240885485431</v>
      </c>
      <c r="CU62" s="219">
        <v>11.071327513843359</v>
      </c>
      <c r="CV62" s="219">
        <v>11.05554395719661</v>
      </c>
      <c r="CW62" s="219">
        <v>11.039971375575879</v>
      </c>
      <c r="CX62" s="219">
        <v>11.03654060608971</v>
      </c>
      <c r="CY62" s="219">
        <v>11.032836962951301</v>
      </c>
      <c r="CZ62" s="219">
        <v>11.029161252003719</v>
      </c>
      <c r="DA62" s="219">
        <v>11.02551368946226</v>
      </c>
      <c r="DB62" s="219">
        <v>11.021894801331101</v>
      </c>
    </row>
    <row r="63" spans="1:106" x14ac:dyDescent="0.35">
      <c r="A63" s="137" t="s">
        <v>556</v>
      </c>
      <c r="B63" s="130" t="s">
        <v>545</v>
      </c>
      <c r="C63" s="219">
        <v>4.6928447927230723E-5</v>
      </c>
      <c r="D63" s="219">
        <v>4.6771283132247868E-5</v>
      </c>
      <c r="E63" s="219">
        <v>4.6613086110786459E-5</v>
      </c>
      <c r="F63" s="219">
        <v>4.5567289827375843E-5</v>
      </c>
      <c r="G63" s="219">
        <v>4.5404443290484297E-5</v>
      </c>
      <c r="H63" s="219">
        <v>4.524071481219928E-5</v>
      </c>
      <c r="I63" s="219">
        <v>4.4997709959978112E-5</v>
      </c>
      <c r="J63" s="219">
        <v>4.4762316683544693E-5</v>
      </c>
      <c r="K63" s="219">
        <v>4.4005033184030661E-5</v>
      </c>
      <c r="L63" s="219">
        <v>4.3780945467279728E-5</v>
      </c>
      <c r="M63" s="219">
        <v>4.3557783946846041E-5</v>
      </c>
      <c r="N63" s="219">
        <v>4.3299438527828871E-5</v>
      </c>
      <c r="O63" s="219">
        <v>4.3043986537203628E-5</v>
      </c>
      <c r="P63" s="219">
        <v>4.2615549348097872E-5</v>
      </c>
      <c r="Q63" s="219">
        <v>4.2367453868249078E-5</v>
      </c>
      <c r="R63" s="219">
        <v>4.2121313540981798E-5</v>
      </c>
      <c r="S63" s="219">
        <v>4.1935846702049948E-5</v>
      </c>
      <c r="T63" s="219">
        <v>4.1752124798828507E-5</v>
      </c>
      <c r="U63" s="219">
        <v>4.1412362985275852E-5</v>
      </c>
      <c r="V63" s="219">
        <v>4.1234443958425529E-5</v>
      </c>
      <c r="W63" s="219">
        <v>4.10582967965354E-5</v>
      </c>
      <c r="X63" s="219">
        <v>4.1281819279045322E-5</v>
      </c>
      <c r="Y63" s="219">
        <v>4.124499069974506E-5</v>
      </c>
      <c r="Z63" s="219">
        <v>4.1208355246647653E-5</v>
      </c>
      <c r="AA63" s="219">
        <v>4.1171919330931541E-5</v>
      </c>
      <c r="AB63" s="219">
        <v>4.1135694665004371E-5</v>
      </c>
      <c r="AC63" s="33">
        <v>1.1744508048746779E-7</v>
      </c>
      <c r="AD63" s="219">
        <v>1.172558833982946E-7</v>
      </c>
      <c r="AE63" s="219">
        <v>1.170615336058296E-7</v>
      </c>
      <c r="AF63" s="219">
        <v>1.139666303912803E-7</v>
      </c>
      <c r="AG63" s="219">
        <v>1.1374802410334699E-7</v>
      </c>
      <c r="AH63" s="219">
        <v>1.135247513219611E-7</v>
      </c>
      <c r="AI63" s="219">
        <v>1.13382382734753E-7</v>
      </c>
      <c r="AJ63" s="219">
        <v>1.132437378298704E-7</v>
      </c>
      <c r="AK63" s="219">
        <v>1.112877983719842E-7</v>
      </c>
      <c r="AL63" s="219">
        <v>1.1112962830863039E-7</v>
      </c>
      <c r="AM63" s="219">
        <v>1.109644586010325E-7</v>
      </c>
      <c r="AN63" s="219">
        <v>1.1078946763872229E-7</v>
      </c>
      <c r="AO63" s="219">
        <v>1.106095740682714E-7</v>
      </c>
      <c r="AP63" s="219">
        <v>1.097262470310335E-7</v>
      </c>
      <c r="AQ63" s="219">
        <v>1.0953259593085619E-7</v>
      </c>
      <c r="AR63" s="219">
        <v>1.093343194172769E-7</v>
      </c>
      <c r="AS63" s="219">
        <v>1.09188606598302E-7</v>
      </c>
      <c r="AT63" s="219">
        <v>1.090416300085465E-7</v>
      </c>
      <c r="AU63" s="219">
        <v>1.083081157569574E-7</v>
      </c>
      <c r="AV63" s="219">
        <v>1.0815896012791859E-7</v>
      </c>
      <c r="AW63" s="219">
        <v>1.080101352338774E-7</v>
      </c>
      <c r="AX63" s="219">
        <v>1.084586429205167E-7</v>
      </c>
      <c r="AY63" s="219">
        <v>1.084021797056621E-7</v>
      </c>
      <c r="AZ63" s="219">
        <v>1.083457311967922E-7</v>
      </c>
      <c r="BA63" s="219">
        <v>1.082893050409224E-7</v>
      </c>
      <c r="BB63" s="219">
        <v>1.0823292034173589E-7</v>
      </c>
      <c r="BC63" s="33">
        <v>3.4042744175896358</v>
      </c>
      <c r="BD63" s="219">
        <v>3.3984002140306169</v>
      </c>
      <c r="BE63" s="219">
        <v>3.3925513933306379</v>
      </c>
      <c r="BF63" s="219">
        <v>3.3023500892179811</v>
      </c>
      <c r="BG63" s="219">
        <v>3.2968899127655211</v>
      </c>
      <c r="BH63" s="219">
        <v>3.291451731664524</v>
      </c>
      <c r="BI63" s="219">
        <v>3.2814323274535089</v>
      </c>
      <c r="BJ63" s="219">
        <v>3.2715513255393001</v>
      </c>
      <c r="BK63" s="219">
        <v>3.2001064460307989</v>
      </c>
      <c r="BL63" s="219">
        <v>3.1911370847408351</v>
      </c>
      <c r="BM63" s="219">
        <v>3.1822290894080911</v>
      </c>
      <c r="BN63" s="219">
        <v>3.1690206305953552</v>
      </c>
      <c r="BO63" s="219">
        <v>3.1558956748754259</v>
      </c>
      <c r="BP63" s="219">
        <v>3.1239361293049539</v>
      </c>
      <c r="BQ63" s="219">
        <v>3.1113092036231751</v>
      </c>
      <c r="BR63" s="219">
        <v>3.0987655834143428</v>
      </c>
      <c r="BS63" s="219">
        <v>3.0883998060272808</v>
      </c>
      <c r="BT63" s="219">
        <v>3.078088777303027</v>
      </c>
      <c r="BU63" s="219">
        <v>3.0502198018028399</v>
      </c>
      <c r="BV63" s="219">
        <v>3.0402656020353671</v>
      </c>
      <c r="BW63" s="219">
        <v>3.030361787800635</v>
      </c>
      <c r="BX63" s="219">
        <v>3.0285198136502718</v>
      </c>
      <c r="BY63" s="219">
        <v>3.0266885038374962</v>
      </c>
      <c r="BZ63" s="219">
        <v>3.0248653369222729</v>
      </c>
      <c r="CA63" s="219">
        <v>3.0230501723671872</v>
      </c>
      <c r="CB63" s="219">
        <v>3.0212430076618322</v>
      </c>
      <c r="CC63" s="33">
        <v>16.29765449617511</v>
      </c>
      <c r="CD63" s="219">
        <v>16.1837551575892</v>
      </c>
      <c r="CE63" s="219">
        <v>16.070281004010671</v>
      </c>
      <c r="CF63" s="219">
        <v>15.348460392442719</v>
      </c>
      <c r="CG63" s="219">
        <v>15.236526326193591</v>
      </c>
      <c r="CH63" s="219">
        <v>15.12484373459089</v>
      </c>
      <c r="CI63" s="219">
        <v>14.936749791762731</v>
      </c>
      <c r="CJ63" s="219">
        <v>14.75278682482787</v>
      </c>
      <c r="CK63" s="219">
        <v>14.15681790074235</v>
      </c>
      <c r="CL63" s="219">
        <v>13.98277262731505</v>
      </c>
      <c r="CM63" s="219">
        <v>13.809590796090131</v>
      </c>
      <c r="CN63" s="219">
        <v>13.58572957501408</v>
      </c>
      <c r="CO63" s="219">
        <v>13.363706890061019</v>
      </c>
      <c r="CP63" s="219">
        <v>13.022779781404919</v>
      </c>
      <c r="CQ63" s="219">
        <v>12.807286054417981</v>
      </c>
      <c r="CR63" s="219">
        <v>12.593565128786111</v>
      </c>
      <c r="CS63" s="219">
        <v>12.41519248803851</v>
      </c>
      <c r="CT63" s="219">
        <v>12.23861037914145</v>
      </c>
      <c r="CU63" s="219">
        <v>11.972848392211789</v>
      </c>
      <c r="CV63" s="219">
        <v>11.802549726421869</v>
      </c>
      <c r="CW63" s="219">
        <v>11.63410990938368</v>
      </c>
      <c r="CX63" s="219">
        <v>11.59247066465683</v>
      </c>
      <c r="CY63" s="219">
        <v>11.548897704010111</v>
      </c>
      <c r="CZ63" s="219">
        <v>11.50556006469947</v>
      </c>
      <c r="DA63" s="219">
        <v>11.4624592345025</v>
      </c>
      <c r="DB63" s="219">
        <v>11.41959922893834</v>
      </c>
    </row>
    <row r="64" spans="1:106" x14ac:dyDescent="0.35">
      <c r="A64" s="137" t="s">
        <v>557</v>
      </c>
      <c r="B64" s="130" t="s">
        <v>545</v>
      </c>
      <c r="C64" s="219">
        <v>6.0626323384056053E-4</v>
      </c>
      <c r="D64" s="219">
        <v>6.0564677033897799E-4</v>
      </c>
      <c r="E64" s="219">
        <v>6.0500718519456006E-4</v>
      </c>
      <c r="F64" s="219">
        <v>6.0384316467348531E-4</v>
      </c>
      <c r="G64" s="219">
        <v>6.0315178379360653E-4</v>
      </c>
      <c r="H64" s="219">
        <v>6.0243645430541407E-4</v>
      </c>
      <c r="I64" s="219">
        <v>6.017767483752262E-4</v>
      </c>
      <c r="J64" s="219">
        <v>6.0111230617104468E-4</v>
      </c>
      <c r="K64" s="219">
        <v>6.0014167044362726E-4</v>
      </c>
      <c r="L64" s="219">
        <v>5.9946279975576296E-4</v>
      </c>
      <c r="M64" s="219">
        <v>5.9877353221747152E-4</v>
      </c>
      <c r="N64" s="219">
        <v>5.98238637893013E-4</v>
      </c>
      <c r="O64" s="219">
        <v>5.9770844604200809E-4</v>
      </c>
      <c r="P64" s="219">
        <v>5.9708295046065167E-4</v>
      </c>
      <c r="Q64" s="219">
        <v>5.9656255218237233E-4</v>
      </c>
      <c r="R64" s="219">
        <v>5.9604577462583712E-4</v>
      </c>
      <c r="S64" s="219">
        <v>5.9571480736862422E-4</v>
      </c>
      <c r="T64" s="219">
        <v>5.9538798844933525E-4</v>
      </c>
      <c r="U64" s="219">
        <v>5.9497620489561793E-4</v>
      </c>
      <c r="V64" s="219">
        <v>5.9466007972404529E-4</v>
      </c>
      <c r="W64" s="219">
        <v>5.9434998383170608E-4</v>
      </c>
      <c r="X64" s="219">
        <v>5.9467596975779676E-4</v>
      </c>
      <c r="Y64" s="219">
        <v>5.9461293668632812E-4</v>
      </c>
      <c r="Z64" s="219">
        <v>5.9455068952499776E-4</v>
      </c>
      <c r="AA64" s="219">
        <v>5.9448924584171799E-4</v>
      </c>
      <c r="AB64" s="219">
        <v>5.9442863905606071E-4</v>
      </c>
      <c r="AC64" s="33">
        <v>9.5746699091398608E-7</v>
      </c>
      <c r="AD64" s="219">
        <v>9.5621655630199623E-7</v>
      </c>
      <c r="AE64" s="219">
        <v>9.5492090758357233E-7</v>
      </c>
      <c r="AF64" s="219">
        <v>9.5195736636874085E-7</v>
      </c>
      <c r="AG64" s="219">
        <v>9.5056498882130316E-7</v>
      </c>
      <c r="AH64" s="219">
        <v>9.4912811608858469E-7</v>
      </c>
      <c r="AI64" s="219">
        <v>9.4791025010314043E-7</v>
      </c>
      <c r="AJ64" s="219">
        <v>9.4667861804986421E-7</v>
      </c>
      <c r="AK64" s="219">
        <v>9.4440361155450047E-7</v>
      </c>
      <c r="AL64" s="219">
        <v>9.4312582211950289E-7</v>
      </c>
      <c r="AM64" s="219">
        <v>9.4182582935485537E-7</v>
      </c>
      <c r="AN64" s="219">
        <v>9.4076454709778518E-7</v>
      </c>
      <c r="AO64" s="219">
        <v>9.3971035581841187E-7</v>
      </c>
      <c r="AP64" s="219">
        <v>9.3827069420800437E-7</v>
      </c>
      <c r="AQ64" s="219">
        <v>9.3722894045615663E-7</v>
      </c>
      <c r="AR64" s="219">
        <v>9.3619541053954019E-7</v>
      </c>
      <c r="AS64" s="219">
        <v>9.355153554928081E-7</v>
      </c>
      <c r="AT64" s="219">
        <v>9.3484372908790058E-7</v>
      </c>
      <c r="AU64" s="219">
        <v>9.3385274980962626E-7</v>
      </c>
      <c r="AV64" s="219">
        <v>9.3320506854348967E-7</v>
      </c>
      <c r="AW64" s="219">
        <v>9.3257809705065123E-7</v>
      </c>
      <c r="AX64" s="219">
        <v>9.3331123126395156E-7</v>
      </c>
      <c r="AY64" s="219">
        <v>9.3317236801199033E-7</v>
      </c>
      <c r="AZ64" s="219">
        <v>9.3303528745078183E-7</v>
      </c>
      <c r="BA64" s="219">
        <v>9.3290002951854711E-7</v>
      </c>
      <c r="BB64" s="219">
        <v>9.3276667480870324E-7</v>
      </c>
      <c r="BC64" s="33">
        <v>1.641939682028041</v>
      </c>
      <c r="BD64" s="219">
        <v>1.6357892178590361</v>
      </c>
      <c r="BE64" s="219">
        <v>1.629385622056537</v>
      </c>
      <c r="BF64" s="219">
        <v>1.5752219407119079</v>
      </c>
      <c r="BG64" s="219">
        <v>1.5684846540701849</v>
      </c>
      <c r="BH64" s="219">
        <v>1.56147256585823</v>
      </c>
      <c r="BI64" s="219">
        <v>1.557282225072804</v>
      </c>
      <c r="BJ64" s="219">
        <v>1.5530575016341841</v>
      </c>
      <c r="BK64" s="219">
        <v>1.5138975529004439</v>
      </c>
      <c r="BL64" s="219">
        <v>1.509928024537019</v>
      </c>
      <c r="BM64" s="219">
        <v>1.505850110734821</v>
      </c>
      <c r="BN64" s="219">
        <v>1.496964180210937</v>
      </c>
      <c r="BO64" s="219">
        <v>1.48813025881701</v>
      </c>
      <c r="BP64" s="219">
        <v>1.46866811949278</v>
      </c>
      <c r="BQ64" s="219">
        <v>1.460117823341444</v>
      </c>
      <c r="BR64" s="219">
        <v>1.451608092207924</v>
      </c>
      <c r="BS64" s="219">
        <v>1.4440644613574309</v>
      </c>
      <c r="BT64" s="219">
        <v>1.4365490149798901</v>
      </c>
      <c r="BU64" s="219">
        <v>1.4191055252701581</v>
      </c>
      <c r="BV64" s="219">
        <v>1.4117927531852399</v>
      </c>
      <c r="BW64" s="219">
        <v>1.4044904039180099</v>
      </c>
      <c r="BX64" s="219">
        <v>1.403128852177107</v>
      </c>
      <c r="BY64" s="219">
        <v>1.4017885415163871</v>
      </c>
      <c r="BZ64" s="219">
        <v>1.400463740827204</v>
      </c>
      <c r="CA64" s="219">
        <v>1.399154055783115</v>
      </c>
      <c r="CB64" s="219">
        <v>1.397859361117471</v>
      </c>
      <c r="CC64" s="33">
        <v>285.8979395305339</v>
      </c>
      <c r="CD64" s="219">
        <v>285.56630936828822</v>
      </c>
      <c r="CE64" s="219">
        <v>285.22858489918491</v>
      </c>
      <c r="CF64" s="219">
        <v>284.54217735221101</v>
      </c>
      <c r="CG64" s="219">
        <v>284.19209608478627</v>
      </c>
      <c r="CH64" s="219">
        <v>283.83544256476239</v>
      </c>
      <c r="CI64" s="219">
        <v>283.48330194628608</v>
      </c>
      <c r="CJ64" s="219">
        <v>283.13249258131862</v>
      </c>
      <c r="CK64" s="219">
        <v>282.54715237423409</v>
      </c>
      <c r="CL64" s="219">
        <v>282.19832318544297</v>
      </c>
      <c r="CM64" s="219">
        <v>281.84773267412743</v>
      </c>
      <c r="CN64" s="219">
        <v>281.47982317841007</v>
      </c>
      <c r="CO64" s="219">
        <v>281.11600141021222</v>
      </c>
      <c r="CP64" s="219">
        <v>280.6882543531118</v>
      </c>
      <c r="CQ64" s="219">
        <v>280.33425783526008</v>
      </c>
      <c r="CR64" s="219">
        <v>279.98444947680849</v>
      </c>
      <c r="CS64" s="219">
        <v>279.72205934562771</v>
      </c>
      <c r="CT64" s="219">
        <v>279.46308802988159</v>
      </c>
      <c r="CU64" s="219">
        <v>279.1564184815312</v>
      </c>
      <c r="CV64" s="219">
        <v>278.90665190371197</v>
      </c>
      <c r="CW64" s="219">
        <v>278.6619387730525</v>
      </c>
      <c r="CX64" s="219">
        <v>278.61490667822142</v>
      </c>
      <c r="CY64" s="219">
        <v>278.56239378878422</v>
      </c>
      <c r="CZ64" s="219">
        <v>278.51050231898489</v>
      </c>
      <c r="DA64" s="219">
        <v>278.45924154762872</v>
      </c>
      <c r="DB64" s="219">
        <v>278.40862922323691</v>
      </c>
    </row>
    <row r="65" spans="1:106" x14ac:dyDescent="0.35">
      <c r="A65" s="137" t="s">
        <v>558</v>
      </c>
      <c r="B65" s="130" t="s">
        <v>545</v>
      </c>
      <c r="C65" s="219">
        <v>6.1271109686032138E-5</v>
      </c>
      <c r="D65" s="219">
        <v>6.1303848616091303E-5</v>
      </c>
      <c r="E65" s="219">
        <v>6.1307378782905108E-5</v>
      </c>
      <c r="F65" s="219">
        <v>6.01710965191461E-5</v>
      </c>
      <c r="G65" s="219">
        <v>6.0008592312115058E-5</v>
      </c>
      <c r="H65" s="219">
        <v>5.9842325786257977E-5</v>
      </c>
      <c r="I65" s="219">
        <v>5.9415713785316951E-5</v>
      </c>
      <c r="J65" s="219">
        <v>5.8998848399416211E-5</v>
      </c>
      <c r="K65" s="219">
        <v>5.7983054585250881E-5</v>
      </c>
      <c r="L65" s="219">
        <v>5.757889258423711E-5</v>
      </c>
      <c r="M65" s="219">
        <v>5.7175313006534748E-5</v>
      </c>
      <c r="N65" s="219">
        <v>5.6864029364691027E-5</v>
      </c>
      <c r="O65" s="219">
        <v>5.6555881709989108E-5</v>
      </c>
      <c r="P65" s="219">
        <v>5.6045035056822018E-5</v>
      </c>
      <c r="Q65" s="219">
        <v>5.5744579350305692E-5</v>
      </c>
      <c r="R65" s="219">
        <v>5.5445915410374457E-5</v>
      </c>
      <c r="S65" s="219">
        <v>5.5088459956284369E-5</v>
      </c>
      <c r="T65" s="219">
        <v>5.4732852327161273E-5</v>
      </c>
      <c r="U65" s="219">
        <v>5.4196048697763881E-5</v>
      </c>
      <c r="V65" s="219">
        <v>5.3846681829636993E-5</v>
      </c>
      <c r="W65" s="219">
        <v>5.3499137051866482E-5</v>
      </c>
      <c r="X65" s="219">
        <v>5.4672570580188431E-5</v>
      </c>
      <c r="Y65" s="219">
        <v>5.4628143862364187E-5</v>
      </c>
      <c r="Z65" s="219">
        <v>5.4583852911773688E-5</v>
      </c>
      <c r="AA65" s="219">
        <v>5.4539699490104918E-5</v>
      </c>
      <c r="AB65" s="219">
        <v>5.4495694436448252E-5</v>
      </c>
      <c r="AC65" s="33">
        <v>1.6945805979728311E-7</v>
      </c>
      <c r="AD65" s="219">
        <v>1.6937788522553941E-7</v>
      </c>
      <c r="AE65" s="219">
        <v>1.6928880060169911E-7</v>
      </c>
      <c r="AF65" s="219">
        <v>1.6596729090717111E-7</v>
      </c>
      <c r="AG65" s="219">
        <v>1.6584769158146391E-7</v>
      </c>
      <c r="AH65" s="219">
        <v>1.6572176566914269E-7</v>
      </c>
      <c r="AI65" s="219">
        <v>1.6531629744505749E-7</v>
      </c>
      <c r="AJ65" s="219">
        <v>1.6491856173723529E-7</v>
      </c>
      <c r="AK65" s="219">
        <v>1.6243756462386279E-7</v>
      </c>
      <c r="AL65" s="219">
        <v>1.6201976582100361E-7</v>
      </c>
      <c r="AM65" s="219">
        <v>1.6159454283147991E-7</v>
      </c>
      <c r="AN65" s="219">
        <v>1.6161813058663621E-7</v>
      </c>
      <c r="AO65" s="219">
        <v>1.6163735540631821E-7</v>
      </c>
      <c r="AP65" s="219">
        <v>1.608499757675788E-7</v>
      </c>
      <c r="AQ65" s="219">
        <v>1.6085526556215221E-7</v>
      </c>
      <c r="AR65" s="219">
        <v>1.6085603249630689E-7</v>
      </c>
      <c r="AS65" s="219">
        <v>1.6049849678965871E-7</v>
      </c>
      <c r="AT65" s="219">
        <v>1.6014012910749441E-7</v>
      </c>
      <c r="AU65" s="219">
        <v>1.5911681302581081E-7</v>
      </c>
      <c r="AV65" s="219">
        <v>1.5875673686475869E-7</v>
      </c>
      <c r="AW65" s="219">
        <v>1.583972594260157E-7</v>
      </c>
      <c r="AX65" s="219">
        <v>1.6168728065831871E-7</v>
      </c>
      <c r="AY65" s="219">
        <v>1.6155012364384471E-7</v>
      </c>
      <c r="AZ65" s="219">
        <v>1.6141322678849571E-7</v>
      </c>
      <c r="BA65" s="219">
        <v>1.6127658943828059E-7</v>
      </c>
      <c r="BB65" s="219">
        <v>1.611402296218587E-7</v>
      </c>
      <c r="BC65" s="33">
        <v>4.3158924523362261</v>
      </c>
      <c r="BD65" s="219">
        <v>4.3075502920704274</v>
      </c>
      <c r="BE65" s="219">
        <v>4.2991939791465734</v>
      </c>
      <c r="BF65" s="219">
        <v>4.195967899638811</v>
      </c>
      <c r="BG65" s="219">
        <v>4.18795921747589</v>
      </c>
      <c r="BH65" s="219">
        <v>4.1799321911771941</v>
      </c>
      <c r="BI65" s="219">
        <v>4.161533009140248</v>
      </c>
      <c r="BJ65" s="219">
        <v>4.1432211586423753</v>
      </c>
      <c r="BK65" s="219">
        <v>4.0544378828055221</v>
      </c>
      <c r="BL65" s="219">
        <v>4.0369869831619392</v>
      </c>
      <c r="BM65" s="219">
        <v>4.0195174362710464</v>
      </c>
      <c r="BN65" s="219">
        <v>3.9946221336779222</v>
      </c>
      <c r="BO65" s="219">
        <v>3.969710084518677</v>
      </c>
      <c r="BP65" s="219">
        <v>3.9230624516514472</v>
      </c>
      <c r="BQ65" s="219">
        <v>3.8984891731537261</v>
      </c>
      <c r="BR65" s="219">
        <v>3.8738981908086778</v>
      </c>
      <c r="BS65" s="219">
        <v>3.853552831577177</v>
      </c>
      <c r="BT65" s="219">
        <v>3.8332003507721262</v>
      </c>
      <c r="BU65" s="219">
        <v>3.7926295998316348</v>
      </c>
      <c r="BV65" s="219">
        <v>3.77253439687501</v>
      </c>
      <c r="BW65" s="219">
        <v>3.752426301409951</v>
      </c>
      <c r="BX65" s="219">
        <v>3.7506855233742149</v>
      </c>
      <c r="BY65" s="219">
        <v>3.748951267347608</v>
      </c>
      <c r="BZ65" s="219">
        <v>3.7472191109631581</v>
      </c>
      <c r="CA65" s="219">
        <v>3.7454886419278992</v>
      </c>
      <c r="CB65" s="219">
        <v>3.743759832372394</v>
      </c>
      <c r="CC65" s="33">
        <v>31.57919816757245</v>
      </c>
      <c r="CD65" s="219">
        <v>31.38585004353201</v>
      </c>
      <c r="CE65" s="219">
        <v>31.192486323283429</v>
      </c>
      <c r="CF65" s="219">
        <v>30.317523586821579</v>
      </c>
      <c r="CG65" s="219">
        <v>30.124678221539622</v>
      </c>
      <c r="CH65" s="219">
        <v>29.931616193088281</v>
      </c>
      <c r="CI65" s="219">
        <v>29.613069284470299</v>
      </c>
      <c r="CJ65" s="219">
        <v>29.299613413278241</v>
      </c>
      <c r="CK65" s="219">
        <v>28.513748664736841</v>
      </c>
      <c r="CL65" s="219">
        <v>28.211117608808721</v>
      </c>
      <c r="CM65" s="219">
        <v>27.909065033504831</v>
      </c>
      <c r="CN65" s="219">
        <v>27.52828207287013</v>
      </c>
      <c r="CO65" s="219">
        <v>27.14919582209723</v>
      </c>
      <c r="CP65" s="219">
        <v>26.632807660634651</v>
      </c>
      <c r="CQ65" s="219">
        <v>26.2602348975003</v>
      </c>
      <c r="CR65" s="219">
        <v>25.889165191395541</v>
      </c>
      <c r="CS65" s="219">
        <v>25.568562504915011</v>
      </c>
      <c r="CT65" s="219">
        <v>25.249878268602298</v>
      </c>
      <c r="CU65" s="219">
        <v>24.829472896057489</v>
      </c>
      <c r="CV65" s="219">
        <v>24.517660077887889</v>
      </c>
      <c r="CW65" s="219">
        <v>24.207811034157441</v>
      </c>
      <c r="CX65" s="219">
        <v>24.712913478510931</v>
      </c>
      <c r="CY65" s="219">
        <v>24.657504190495612</v>
      </c>
      <c r="CZ65" s="219">
        <v>24.602260365508059</v>
      </c>
      <c r="DA65" s="219">
        <v>24.547181732291531</v>
      </c>
      <c r="DB65" s="219">
        <v>24.49227214150886</v>
      </c>
    </row>
    <row r="66" spans="1:106" x14ac:dyDescent="0.35">
      <c r="A66" s="137" t="s">
        <v>559</v>
      </c>
      <c r="B66" s="130" t="s">
        <v>545</v>
      </c>
      <c r="C66" s="219">
        <v>4.5970045221840379E-4</v>
      </c>
      <c r="D66" s="219">
        <v>4.5650220371472772E-4</v>
      </c>
      <c r="E66" s="219">
        <v>4.5328657159539809E-4</v>
      </c>
      <c r="F66" s="219">
        <v>4.4951907552001201E-4</v>
      </c>
      <c r="G66" s="219">
        <v>4.4626445963611019E-4</v>
      </c>
      <c r="H66" s="219">
        <v>4.42997792756237E-4</v>
      </c>
      <c r="I66" s="219">
        <v>4.3762674085430248E-4</v>
      </c>
      <c r="J66" s="219">
        <v>4.3234235195096588E-4</v>
      </c>
      <c r="K66" s="219">
        <v>4.2681476829861648E-4</v>
      </c>
      <c r="L66" s="219">
        <v>4.2158667362835188E-4</v>
      </c>
      <c r="M66" s="219">
        <v>4.1636728048188371E-4</v>
      </c>
      <c r="N66" s="219">
        <v>4.0994974707682938E-4</v>
      </c>
      <c r="O66" s="219">
        <v>4.0356267630184368E-4</v>
      </c>
      <c r="P66" s="219">
        <v>3.9710949991321199E-4</v>
      </c>
      <c r="Q66" s="219">
        <v>3.9076730856899152E-4</v>
      </c>
      <c r="R66" s="219">
        <v>3.8444511827342921E-4</v>
      </c>
      <c r="S66" s="219">
        <v>3.7904548114167408E-4</v>
      </c>
      <c r="T66" s="219">
        <v>3.7367291060851901E-4</v>
      </c>
      <c r="U66" s="219">
        <v>3.6822946060105461E-4</v>
      </c>
      <c r="V66" s="219">
        <v>3.6290770141658902E-4</v>
      </c>
      <c r="W66" s="219">
        <v>3.5761295985634902E-4</v>
      </c>
      <c r="X66" s="219">
        <v>3.6157278604857692E-4</v>
      </c>
      <c r="Y66" s="219">
        <v>3.6083176940314828E-4</v>
      </c>
      <c r="Z66" s="219">
        <v>3.600923655395845E-4</v>
      </c>
      <c r="AA66" s="219">
        <v>3.5935458474486748E-4</v>
      </c>
      <c r="AB66" s="219">
        <v>3.5861851676882538E-4</v>
      </c>
      <c r="AC66" s="33">
        <v>1.0203958609731901E-6</v>
      </c>
      <c r="AD66" s="219">
        <v>1.0167708714650419E-6</v>
      </c>
      <c r="AE66" s="219">
        <v>1.013081724327161E-6</v>
      </c>
      <c r="AF66" s="219">
        <v>1.0076632889301531E-6</v>
      </c>
      <c r="AG66" s="219">
        <v>1.003838049162004E-6</v>
      </c>
      <c r="AH66" s="219">
        <v>9.9995227801794276E-7</v>
      </c>
      <c r="AI66" s="219">
        <v>9.986300304447943E-7</v>
      </c>
      <c r="AJ66" s="219">
        <v>9.9733425271439491E-7</v>
      </c>
      <c r="AK66" s="219">
        <v>9.9499420462170243E-7</v>
      </c>
      <c r="AL66" s="219">
        <v>9.935297103339477E-7</v>
      </c>
      <c r="AM66" s="219">
        <v>9.9196006631438768E-7</v>
      </c>
      <c r="AN66" s="219">
        <v>9.909383013094072E-7</v>
      </c>
      <c r="AO66" s="219">
        <v>9.8982730069608063E-7</v>
      </c>
      <c r="AP66" s="219">
        <v>9.8821923113713094E-7</v>
      </c>
      <c r="AQ66" s="219">
        <v>9.8691235728604436E-7</v>
      </c>
      <c r="AR66" s="219">
        <v>9.855178883697335E-7</v>
      </c>
      <c r="AS66" s="219">
        <v>9.8382710149855698E-7</v>
      </c>
      <c r="AT66" s="219">
        <v>9.8210697764443314E-7</v>
      </c>
      <c r="AU66" s="219">
        <v>9.7995809625428307E-7</v>
      </c>
      <c r="AV66" s="219">
        <v>9.7817373991528659E-7</v>
      </c>
      <c r="AW66" s="219">
        <v>9.763732737746648E-7</v>
      </c>
      <c r="AX66" s="219">
        <v>9.8499152213822376E-7</v>
      </c>
      <c r="AY66" s="219">
        <v>9.8255079037837526E-7</v>
      </c>
      <c r="AZ66" s="219">
        <v>9.8011423334316673E-7</v>
      </c>
      <c r="BA66" s="219">
        <v>9.7768184832398183E-7</v>
      </c>
      <c r="BB66" s="219">
        <v>9.752537934613079E-7</v>
      </c>
      <c r="BC66" s="33">
        <v>36.775637189643398</v>
      </c>
      <c r="BD66" s="219">
        <v>36.63709077308625</v>
      </c>
      <c r="BE66" s="219">
        <v>36.498401396289758</v>
      </c>
      <c r="BF66" s="219">
        <v>36.312073530774377</v>
      </c>
      <c r="BG66" s="219">
        <v>36.173038800730367</v>
      </c>
      <c r="BH66" s="219">
        <v>36.033839462310112</v>
      </c>
      <c r="BI66" s="219">
        <v>35.673780552936947</v>
      </c>
      <c r="BJ66" s="219">
        <v>35.314119427218913</v>
      </c>
      <c r="BK66" s="219">
        <v>34.919394957554381</v>
      </c>
      <c r="BL66" s="219">
        <v>34.558912180755833</v>
      </c>
      <c r="BM66" s="219">
        <v>34.197905754920527</v>
      </c>
      <c r="BN66" s="219">
        <v>33.697931534436542</v>
      </c>
      <c r="BO66" s="219">
        <v>33.197146660501247</v>
      </c>
      <c r="BP66" s="219">
        <v>32.684477716704883</v>
      </c>
      <c r="BQ66" s="219">
        <v>32.18203954981405</v>
      </c>
      <c r="BR66" s="219">
        <v>31.678797547302889</v>
      </c>
      <c r="BS66" s="219">
        <v>31.250077401805079</v>
      </c>
      <c r="BT66" s="219">
        <v>30.82100529660196</v>
      </c>
      <c r="BU66" s="219">
        <v>30.380139956882239</v>
      </c>
      <c r="BV66" s="219">
        <v>29.950312217302258</v>
      </c>
      <c r="BW66" s="219">
        <v>29.520086465215329</v>
      </c>
      <c r="BX66" s="219">
        <v>29.499716380370241</v>
      </c>
      <c r="BY66" s="219">
        <v>29.47938235804839</v>
      </c>
      <c r="BZ66" s="219">
        <v>29.459035106263279</v>
      </c>
      <c r="CA66" s="219">
        <v>29.43867185674495</v>
      </c>
      <c r="CB66" s="219">
        <v>29.41829224346278</v>
      </c>
      <c r="CC66" s="33">
        <v>272.64003694233492</v>
      </c>
      <c r="CD66" s="219">
        <v>270.34769495811679</v>
      </c>
      <c r="CE66" s="219">
        <v>268.05894168439431</v>
      </c>
      <c r="CF66" s="219">
        <v>265.42519583489479</v>
      </c>
      <c r="CG66" s="219">
        <v>263.14136322494983</v>
      </c>
      <c r="CH66" s="219">
        <v>260.85940389946842</v>
      </c>
      <c r="CI66" s="219">
        <v>255.95356817123141</v>
      </c>
      <c r="CJ66" s="219">
        <v>251.09865445145101</v>
      </c>
      <c r="CK66" s="219">
        <v>246.04350298664369</v>
      </c>
      <c r="CL66" s="219">
        <v>241.2320449604247</v>
      </c>
      <c r="CM66" s="219">
        <v>236.43220957349439</v>
      </c>
      <c r="CN66" s="219">
        <v>229.9789529973809</v>
      </c>
      <c r="CO66" s="219">
        <v>223.54900750826761</v>
      </c>
      <c r="CP66" s="219">
        <v>217.07225039836831</v>
      </c>
      <c r="CQ66" s="219">
        <v>210.6870375533785</v>
      </c>
      <c r="CR66" s="219">
        <v>204.32388370272301</v>
      </c>
      <c r="CS66" s="219">
        <v>198.56952326988451</v>
      </c>
      <c r="CT66" s="219">
        <v>192.84610567460459</v>
      </c>
      <c r="CU66" s="219">
        <v>187.0915016998847</v>
      </c>
      <c r="CV66" s="219">
        <v>181.4285061333332</v>
      </c>
      <c r="CW66" s="219">
        <v>175.7966841459226</v>
      </c>
      <c r="CX66" s="219">
        <v>174.99442643062361</v>
      </c>
      <c r="CY66" s="219">
        <v>174.0986268641206</v>
      </c>
      <c r="CZ66" s="219">
        <v>173.20469308630231</v>
      </c>
      <c r="DA66" s="219">
        <v>172.31262239435989</v>
      </c>
      <c r="DB66" s="219">
        <v>171.42244732722909</v>
      </c>
    </row>
    <row r="67" spans="1:106" x14ac:dyDescent="0.35">
      <c r="A67" s="137" t="s">
        <v>560</v>
      </c>
      <c r="B67" s="130" t="s">
        <v>547</v>
      </c>
      <c r="C67" s="219">
        <v>1.509718211551854E-8</v>
      </c>
      <c r="D67" s="219">
        <v>1.5069200356563792E-8</v>
      </c>
      <c r="E67" s="219">
        <v>1.504103306837502E-8</v>
      </c>
      <c r="F67" s="219">
        <v>1.4859713976567859E-8</v>
      </c>
      <c r="G67" s="219">
        <v>1.4830746543953359E-8</v>
      </c>
      <c r="H67" s="219">
        <v>1.4801615756633179E-8</v>
      </c>
      <c r="I67" s="219">
        <v>1.475905103466546E-8</v>
      </c>
      <c r="J67" s="219">
        <v>1.4717818565799759E-8</v>
      </c>
      <c r="K67" s="219">
        <v>1.458649077696912E-8</v>
      </c>
      <c r="L67" s="219">
        <v>1.4547205437241099E-8</v>
      </c>
      <c r="M67" s="219">
        <v>1.450806649474915E-8</v>
      </c>
      <c r="N67" s="219">
        <v>1.446281497573791E-8</v>
      </c>
      <c r="O67" s="219">
        <v>1.44180694486372E-8</v>
      </c>
      <c r="P67" s="219">
        <v>1.434345525060765E-8</v>
      </c>
      <c r="Q67" s="219">
        <v>1.429999208645141E-8</v>
      </c>
      <c r="R67" s="219">
        <v>1.425687286349455E-8</v>
      </c>
      <c r="S67" s="219">
        <v>1.422452515746556E-8</v>
      </c>
      <c r="T67" s="219">
        <v>1.419249041913956E-8</v>
      </c>
      <c r="U67" s="219">
        <v>1.413352865263798E-8</v>
      </c>
      <c r="V67" s="219">
        <v>1.410254324265303E-8</v>
      </c>
      <c r="W67" s="219">
        <v>1.407191676619629E-8</v>
      </c>
      <c r="X67" s="219">
        <v>1.410981320519736E-8</v>
      </c>
      <c r="Y67" s="219">
        <v>1.410345902094664E-8</v>
      </c>
      <c r="Z67" s="219">
        <v>1.4097139941390651E-8</v>
      </c>
      <c r="AA67" s="219">
        <v>1.4090857538857629E-8</v>
      </c>
      <c r="AB67" s="219">
        <v>1.408461451015901E-8</v>
      </c>
      <c r="AC67" s="33">
        <v>3.7295723316418998E-11</v>
      </c>
      <c r="AD67" s="219">
        <v>3.7260294799111787E-11</v>
      </c>
      <c r="AE67" s="219">
        <v>3.7223970124815757E-11</v>
      </c>
      <c r="AF67" s="219">
        <v>3.6687065623438742E-11</v>
      </c>
      <c r="AG67" s="219">
        <v>3.6646551481661917E-11</v>
      </c>
      <c r="AH67" s="219">
        <v>3.6605240071107368E-11</v>
      </c>
      <c r="AI67" s="219">
        <v>3.6578493264287819E-11</v>
      </c>
      <c r="AJ67" s="219">
        <v>3.6552434521831131E-11</v>
      </c>
      <c r="AK67" s="219">
        <v>3.6212657741898181E-11</v>
      </c>
      <c r="AL67" s="219">
        <v>3.6183253127073271E-11</v>
      </c>
      <c r="AM67" s="219">
        <v>3.6152637556451348E-11</v>
      </c>
      <c r="AN67" s="219">
        <v>3.6119994823849779E-11</v>
      </c>
      <c r="AO67" s="219">
        <v>3.6086548874973802E-11</v>
      </c>
      <c r="AP67" s="219">
        <v>3.5931699861688207E-11</v>
      </c>
      <c r="AQ67" s="219">
        <v>3.5895991979757469E-11</v>
      </c>
      <c r="AR67" s="219">
        <v>3.585956968275614E-11</v>
      </c>
      <c r="AS67" s="219">
        <v>3.5833034631527473E-11</v>
      </c>
      <c r="AT67" s="219">
        <v>3.5806355300110257E-11</v>
      </c>
      <c r="AU67" s="219">
        <v>3.5678530673388173E-11</v>
      </c>
      <c r="AV67" s="219">
        <v>3.565175804249669E-11</v>
      </c>
      <c r="AW67" s="219">
        <v>3.5625350984933101E-11</v>
      </c>
      <c r="AX67" s="219">
        <v>3.5700891930452601E-11</v>
      </c>
      <c r="AY67" s="219">
        <v>3.569093798506298E-11</v>
      </c>
      <c r="AZ67" s="219">
        <v>3.5680994073226388E-11</v>
      </c>
      <c r="BA67" s="219">
        <v>3.5671062893842507E-11</v>
      </c>
      <c r="BB67" s="219">
        <v>3.5661149721176532E-11</v>
      </c>
      <c r="BC67" s="33">
        <v>5.8394657020320638E-4</v>
      </c>
      <c r="BD67" s="219">
        <v>5.8296063161523742E-4</v>
      </c>
      <c r="BE67" s="219">
        <v>5.8197813856718207E-4</v>
      </c>
      <c r="BF67" s="219">
        <v>5.6643563214303758E-4</v>
      </c>
      <c r="BG67" s="219">
        <v>5.6551810871860485E-4</v>
      </c>
      <c r="BH67" s="219">
        <v>5.6460312581708646E-4</v>
      </c>
      <c r="BI67" s="219">
        <v>5.6289857868827052E-4</v>
      </c>
      <c r="BJ67" s="219">
        <v>5.6121772631727556E-4</v>
      </c>
      <c r="BK67" s="219">
        <v>5.4890861847595195E-4</v>
      </c>
      <c r="BL67" s="219">
        <v>5.4738423684246495E-4</v>
      </c>
      <c r="BM67" s="219">
        <v>5.4586979291879403E-4</v>
      </c>
      <c r="BN67" s="219">
        <v>5.4360416351815545E-4</v>
      </c>
      <c r="BO67" s="219">
        <v>5.4135250523630564E-4</v>
      </c>
      <c r="BP67" s="219">
        <v>5.3584853472389603E-4</v>
      </c>
      <c r="BQ67" s="219">
        <v>5.3368183025478066E-4</v>
      </c>
      <c r="BR67" s="219">
        <v>5.315288433671479E-4</v>
      </c>
      <c r="BS67" s="219">
        <v>5.2974821161087121E-4</v>
      </c>
      <c r="BT67" s="219">
        <v>5.2797685507006531E-4</v>
      </c>
      <c r="BU67" s="219">
        <v>5.2317399881886164E-4</v>
      </c>
      <c r="BV67" s="219">
        <v>5.2146404966511275E-4</v>
      </c>
      <c r="BW67" s="219">
        <v>5.1976230882590799E-4</v>
      </c>
      <c r="BX67" s="219">
        <v>5.1944791179135154E-4</v>
      </c>
      <c r="BY67" s="219">
        <v>5.1913535459089831E-4</v>
      </c>
      <c r="BZ67" s="219">
        <v>5.1882419857416848E-4</v>
      </c>
      <c r="CA67" s="219">
        <v>5.1851441991315782E-4</v>
      </c>
      <c r="CB67" s="219">
        <v>5.1820601990818708E-4</v>
      </c>
      <c r="CC67" s="33">
        <v>9.2260825380375295E-3</v>
      </c>
      <c r="CD67" s="219">
        <v>9.2056636015608248E-3</v>
      </c>
      <c r="CE67" s="219">
        <v>9.1853143279292549E-3</v>
      </c>
      <c r="CF67" s="219">
        <v>9.0599694988171484E-3</v>
      </c>
      <c r="CG67" s="219">
        <v>9.0398823204478791E-3</v>
      </c>
      <c r="CH67" s="219">
        <v>9.0198403091654358E-3</v>
      </c>
      <c r="CI67" s="219">
        <v>8.9870446646688595E-3</v>
      </c>
      <c r="CJ67" s="219">
        <v>8.9549676241104867E-3</v>
      </c>
      <c r="CK67" s="219">
        <v>8.8517616668361762E-3</v>
      </c>
      <c r="CL67" s="219">
        <v>8.8213875410572753E-3</v>
      </c>
      <c r="CM67" s="219">
        <v>8.7911522423164603E-3</v>
      </c>
      <c r="CN67" s="219">
        <v>8.752159105021402E-3</v>
      </c>
      <c r="CO67" s="219">
        <v>8.7134841013781841E-3</v>
      </c>
      <c r="CP67" s="219">
        <v>8.6542806629683177E-3</v>
      </c>
      <c r="CQ67" s="219">
        <v>8.6167383537713391E-3</v>
      </c>
      <c r="CR67" s="219">
        <v>8.5795091413067154E-3</v>
      </c>
      <c r="CS67" s="219">
        <v>8.5485445145545378E-3</v>
      </c>
      <c r="CT67" s="219">
        <v>8.517897415054319E-3</v>
      </c>
      <c r="CU67" s="219">
        <v>8.4718681815297275E-3</v>
      </c>
      <c r="CV67" s="219">
        <v>8.4423438710572209E-3</v>
      </c>
      <c r="CW67" s="219">
        <v>8.4131855562752395E-3</v>
      </c>
      <c r="CX67" s="219">
        <v>8.4060157421549115E-3</v>
      </c>
      <c r="CY67" s="219">
        <v>8.3985019700653571E-3</v>
      </c>
      <c r="CZ67" s="219">
        <v>8.3910298123149648E-3</v>
      </c>
      <c r="DA67" s="219">
        <v>8.3835998236248491E-3</v>
      </c>
      <c r="DB67" s="219">
        <v>8.376213125612611E-3</v>
      </c>
    </row>
    <row r="68" spans="1:106" x14ac:dyDescent="0.35">
      <c r="A68" s="137" t="s">
        <v>561</v>
      </c>
      <c r="B68" s="130" t="s">
        <v>705</v>
      </c>
      <c r="C68" s="219">
        <v>2.2868444478900299E-3</v>
      </c>
      <c r="D68" s="219">
        <v>2.2688618108593619E-3</v>
      </c>
      <c r="E68" s="219">
        <v>2.250613145045521E-3</v>
      </c>
      <c r="F68" s="219">
        <v>2.2242630345716192E-3</v>
      </c>
      <c r="G68" s="219">
        <v>2.205439178557477E-3</v>
      </c>
      <c r="H68" s="219">
        <v>2.1863319204748952E-3</v>
      </c>
      <c r="I68" s="219">
        <v>2.1636441841529248E-3</v>
      </c>
      <c r="J68" s="219">
        <v>2.140943809067155E-3</v>
      </c>
      <c r="K68" s="219">
        <v>2.1142905920493878E-3</v>
      </c>
      <c r="L68" s="219">
        <v>2.0913940629818349E-3</v>
      </c>
      <c r="M68" s="219">
        <v>2.068344889906047E-3</v>
      </c>
      <c r="N68" s="219">
        <v>2.0396732943811142E-3</v>
      </c>
      <c r="O68" s="219">
        <v>2.0111593851075741E-3</v>
      </c>
      <c r="P68" s="219">
        <v>1.9816419194333399E-3</v>
      </c>
      <c r="Q68" s="219">
        <v>1.9534224916984309E-3</v>
      </c>
      <c r="R68" s="219">
        <v>1.925325558619934E-3</v>
      </c>
      <c r="S68" s="219">
        <v>1.90651589386873E-3</v>
      </c>
      <c r="T68" s="219">
        <v>1.887805505923892E-3</v>
      </c>
      <c r="U68" s="219">
        <v>1.868103373074346E-3</v>
      </c>
      <c r="V68" s="219">
        <v>1.8496113901087679E-3</v>
      </c>
      <c r="W68" s="219">
        <v>1.831221787405327E-3</v>
      </c>
      <c r="X68" s="219">
        <v>1.839484702599319E-3</v>
      </c>
      <c r="Y68" s="219">
        <v>1.836581954761485E-3</v>
      </c>
      <c r="Z68" s="219">
        <v>1.8337028304043451E-3</v>
      </c>
      <c r="AA68" s="219">
        <v>1.8308470230828889E-3</v>
      </c>
      <c r="AB68" s="219">
        <v>1.828014515582491E-3</v>
      </c>
      <c r="AC68" s="33">
        <v>4.3941155135361717E-6</v>
      </c>
      <c r="AD68" s="219">
        <v>4.3551339936524957E-6</v>
      </c>
      <c r="AE68" s="219">
        <v>4.3155764585668393E-6</v>
      </c>
      <c r="AF68" s="219">
        <v>4.2507924568478764E-6</v>
      </c>
      <c r="AG68" s="219">
        <v>4.2100362106520597E-6</v>
      </c>
      <c r="AH68" s="219">
        <v>4.1687095630562638E-6</v>
      </c>
      <c r="AI68" s="219">
        <v>4.1207843305059888E-6</v>
      </c>
      <c r="AJ68" s="219">
        <v>4.0725727703376247E-6</v>
      </c>
      <c r="AK68" s="219">
        <v>4.01062457106556E-6</v>
      </c>
      <c r="AL68" s="219">
        <v>3.961479922998473E-6</v>
      </c>
      <c r="AM68" s="219">
        <v>3.9118591966726191E-6</v>
      </c>
      <c r="AN68" s="219">
        <v>3.8471478244737326E-6</v>
      </c>
      <c r="AO68" s="219">
        <v>3.782659921523485E-6</v>
      </c>
      <c r="AP68" s="219">
        <v>3.713272756861E-6</v>
      </c>
      <c r="AQ68" s="219">
        <v>3.6491625076252609E-6</v>
      </c>
      <c r="AR68" s="219">
        <v>3.5852486401048028E-6</v>
      </c>
      <c r="AS68" s="219">
        <v>3.541524251276272E-6</v>
      </c>
      <c r="AT68" s="219">
        <v>3.497920157316386E-6</v>
      </c>
      <c r="AU68" s="219">
        <v>3.4498744880293848E-6</v>
      </c>
      <c r="AV68" s="219">
        <v>3.40659234526044E-6</v>
      </c>
      <c r="AW68" s="219">
        <v>3.3635236817237319E-6</v>
      </c>
      <c r="AX68" s="219">
        <v>3.372986237475297E-6</v>
      </c>
      <c r="AY68" s="219">
        <v>3.366594014311087E-6</v>
      </c>
      <c r="AZ68" s="219">
        <v>3.3602610921714248E-6</v>
      </c>
      <c r="BA68" s="219">
        <v>3.3539861692443772E-6</v>
      </c>
      <c r="BB68" s="219">
        <v>3.3477685563855158E-6</v>
      </c>
      <c r="BC68" s="33">
        <v>117.4164153447413</v>
      </c>
      <c r="BD68" s="219">
        <v>117.22450567272359</v>
      </c>
      <c r="BE68" s="219">
        <v>117.0302875893984</v>
      </c>
      <c r="BF68" s="219">
        <v>116.14482404943</v>
      </c>
      <c r="BG68" s="219">
        <v>115.9485520514929</v>
      </c>
      <c r="BH68" s="219">
        <v>115.7497578563647</v>
      </c>
      <c r="BI68" s="219">
        <v>115.85431461269189</v>
      </c>
      <c r="BJ68" s="219">
        <v>115.9586781641881</v>
      </c>
      <c r="BK68" s="219">
        <v>115.5987692292539</v>
      </c>
      <c r="BL68" s="219">
        <v>115.7060268138878</v>
      </c>
      <c r="BM68" s="219">
        <v>115.8115094107404</v>
      </c>
      <c r="BN68" s="219">
        <v>115.5173498619511</v>
      </c>
      <c r="BO68" s="219">
        <v>115.22430296168601</v>
      </c>
      <c r="BP68" s="219">
        <v>114.7936526068347</v>
      </c>
      <c r="BQ68" s="219">
        <v>114.5052775721217</v>
      </c>
      <c r="BR68" s="219">
        <v>114.21787004973891</v>
      </c>
      <c r="BS68" s="219">
        <v>113.9841517876385</v>
      </c>
      <c r="BT68" s="219">
        <v>113.7508966638362</v>
      </c>
      <c r="BU68" s="219">
        <v>113.3881732416237</v>
      </c>
      <c r="BV68" s="219">
        <v>113.15789542976781</v>
      </c>
      <c r="BW68" s="219">
        <v>112.9279936934194</v>
      </c>
      <c r="BX68" s="219">
        <v>112.8508899058024</v>
      </c>
      <c r="BY68" s="219">
        <v>112.7745546080785</v>
      </c>
      <c r="BZ68" s="219">
        <v>112.6987835438154</v>
      </c>
      <c r="CA68" s="219">
        <v>112.6235531268987</v>
      </c>
      <c r="CB68" s="219">
        <v>112.5488555125539</v>
      </c>
      <c r="CC68" s="33">
        <v>1148.3409729516229</v>
      </c>
      <c r="CD68" s="219">
        <v>1138.060168440604</v>
      </c>
      <c r="CE68" s="219">
        <v>1127.7127066101459</v>
      </c>
      <c r="CF68" s="219">
        <v>1112.2182425813739</v>
      </c>
      <c r="CG68" s="219">
        <v>1101.723968475133</v>
      </c>
      <c r="CH68" s="219">
        <v>1091.139656450338</v>
      </c>
      <c r="CI68" s="219">
        <v>1076.9191461281321</v>
      </c>
      <c r="CJ68" s="219">
        <v>1062.730546817681</v>
      </c>
      <c r="CK68" s="219">
        <v>1045.4717263922239</v>
      </c>
      <c r="CL68" s="219">
        <v>1031.286216035297</v>
      </c>
      <c r="CM68" s="219">
        <v>1017.05516653554</v>
      </c>
      <c r="CN68" s="219">
        <v>997.19821038309715</v>
      </c>
      <c r="CO68" s="219">
        <v>977.44851845379105</v>
      </c>
      <c r="CP68" s="219">
        <v>956.93102796878463</v>
      </c>
      <c r="CQ68" s="219">
        <v>937.40861002536712</v>
      </c>
      <c r="CR68" s="219">
        <v>917.987027187487</v>
      </c>
      <c r="CS68" s="219">
        <v>904.09536731961418</v>
      </c>
      <c r="CT68" s="219">
        <v>890.28838396677645</v>
      </c>
      <c r="CU68" s="219">
        <v>875.86379727760391</v>
      </c>
      <c r="CV68" s="219">
        <v>862.23848950309525</v>
      </c>
      <c r="CW68" s="219">
        <v>848.69548558566385</v>
      </c>
      <c r="CX68" s="219">
        <v>846.3879160889735</v>
      </c>
      <c r="CY68" s="219">
        <v>843.918831246026</v>
      </c>
      <c r="CZ68" s="219">
        <v>841.46837575009522</v>
      </c>
      <c r="DA68" s="219">
        <v>839.0363303143256</v>
      </c>
      <c r="DB68" s="219">
        <v>836.62259689965549</v>
      </c>
    </row>
    <row r="69" spans="1:106" x14ac:dyDescent="0.35">
      <c r="A69" s="137" t="s">
        <v>562</v>
      </c>
      <c r="B69" s="130" t="s">
        <v>547</v>
      </c>
      <c r="C69" s="219">
        <v>5.941975584121318E-5</v>
      </c>
      <c r="D69" s="219">
        <v>5.6392093242708651E-5</v>
      </c>
      <c r="E69" s="219">
        <v>5.3364012775946309E-5</v>
      </c>
      <c r="F69" s="219">
        <v>5.0302367711032332E-5</v>
      </c>
      <c r="G69" s="219">
        <v>4.7290834870319263E-5</v>
      </c>
      <c r="H69" s="219">
        <v>4.4290017479485969E-5</v>
      </c>
      <c r="I69" s="219">
        <v>4.2537680028041157E-5</v>
      </c>
      <c r="J69" s="219">
        <v>4.0792273730117469E-5</v>
      </c>
      <c r="K69" s="219">
        <v>3.9023768692301498E-5</v>
      </c>
      <c r="L69" s="219">
        <v>3.7285535864472607E-5</v>
      </c>
      <c r="M69" s="219">
        <v>3.5549715926132791E-5</v>
      </c>
      <c r="N69" s="219">
        <v>3.4425631906990672E-5</v>
      </c>
      <c r="O69" s="219">
        <v>3.3297140791255258E-5</v>
      </c>
      <c r="P69" s="219">
        <v>3.2156256377198051E-5</v>
      </c>
      <c r="Q69" s="219">
        <v>3.1016491857213022E-5</v>
      </c>
      <c r="R69" s="219">
        <v>2.9871753558259679E-5</v>
      </c>
      <c r="S69" s="219">
        <v>2.945325002502398E-5</v>
      </c>
      <c r="T69" s="219">
        <v>2.9031720155841011E-5</v>
      </c>
      <c r="U69" s="219">
        <v>2.860168069664347E-5</v>
      </c>
      <c r="V69" s="219">
        <v>2.8176519553675509E-5</v>
      </c>
      <c r="W69" s="219">
        <v>2.774981131982846E-5</v>
      </c>
      <c r="X69" s="219">
        <v>2.7974518649709169E-5</v>
      </c>
      <c r="Y69" s="219">
        <v>2.7793616825937739E-5</v>
      </c>
      <c r="Z69" s="219">
        <v>2.7612768881797639E-5</v>
      </c>
      <c r="AA69" s="219">
        <v>2.7431908352950561E-5</v>
      </c>
      <c r="AB69" s="219">
        <v>2.725103727787782E-5</v>
      </c>
      <c r="AC69" s="33">
        <v>1.1803537657042929E-7</v>
      </c>
      <c r="AD69" s="219">
        <v>1.1073155861344529E-7</v>
      </c>
      <c r="AE69" s="219">
        <v>1.0345410243321971E-7</v>
      </c>
      <c r="AF69" s="219">
        <v>9.6076734762525379E-8</v>
      </c>
      <c r="AG69" s="219">
        <v>8.8850274124384597E-8</v>
      </c>
      <c r="AH69" s="219">
        <v>8.1649981181105521E-8</v>
      </c>
      <c r="AI69" s="219">
        <v>7.7124545581239992E-8</v>
      </c>
      <c r="AJ69" s="219">
        <v>7.2606091517102968E-8</v>
      </c>
      <c r="AK69" s="219">
        <v>6.7997153185198535E-8</v>
      </c>
      <c r="AL69" s="219">
        <v>6.348021501818439E-8</v>
      </c>
      <c r="AM69" s="219">
        <v>5.8963671944136383E-8</v>
      </c>
      <c r="AN69" s="219">
        <v>5.5916639914165488E-8</v>
      </c>
      <c r="AO69" s="219">
        <v>5.2856066738563167E-8</v>
      </c>
      <c r="AP69" s="219">
        <v>4.9750806813161593E-8</v>
      </c>
      <c r="AQ69" s="219">
        <v>4.6657076029889533E-8</v>
      </c>
      <c r="AR69" s="219">
        <v>4.3549751300134577E-8</v>
      </c>
      <c r="AS69" s="219">
        <v>4.2158964067818079E-8</v>
      </c>
      <c r="AT69" s="219">
        <v>4.0768847583429948E-8</v>
      </c>
      <c r="AU69" s="219">
        <v>3.9352947430933969E-8</v>
      </c>
      <c r="AV69" s="219">
        <v>3.7962663629180192E-8</v>
      </c>
      <c r="AW69" s="219">
        <v>3.657320802410929E-8</v>
      </c>
      <c r="AX69" s="219">
        <v>3.6679197950260158E-8</v>
      </c>
      <c r="AY69" s="219">
        <v>3.6029840180959273E-8</v>
      </c>
      <c r="AZ69" s="219">
        <v>3.5379422713850679E-8</v>
      </c>
      <c r="BA69" s="219">
        <v>3.4727851788264591E-8</v>
      </c>
      <c r="BB69" s="219">
        <v>3.4075148691800488E-8</v>
      </c>
      <c r="BC69" s="33">
        <v>1.9080831926169219</v>
      </c>
      <c r="BD69" s="219">
        <v>1.8905559074903731</v>
      </c>
      <c r="BE69" s="219">
        <v>1.8730922369522791</v>
      </c>
      <c r="BF69" s="219">
        <v>1.851699361405257</v>
      </c>
      <c r="BG69" s="219">
        <v>1.834380456107173</v>
      </c>
      <c r="BH69" s="219">
        <v>1.8171214162802769</v>
      </c>
      <c r="BI69" s="219">
        <v>1.8117559912768739</v>
      </c>
      <c r="BJ69" s="219">
        <v>1.806301957656486</v>
      </c>
      <c r="BK69" s="219">
        <v>1.7973481702796159</v>
      </c>
      <c r="BL69" s="219">
        <v>1.791588306038729</v>
      </c>
      <c r="BM69" s="219">
        <v>1.785689029111825</v>
      </c>
      <c r="BN69" s="219">
        <v>1.774089420359019</v>
      </c>
      <c r="BO69" s="219">
        <v>1.762296090332617</v>
      </c>
      <c r="BP69" s="219">
        <v>1.749496902502498</v>
      </c>
      <c r="BQ69" s="219">
        <v>1.737328165462303</v>
      </c>
      <c r="BR69" s="219">
        <v>1.724968265332175</v>
      </c>
      <c r="BS69" s="219">
        <v>1.737505835792603</v>
      </c>
      <c r="BT69" s="219">
        <v>1.7499066308481841</v>
      </c>
      <c r="BU69" s="219">
        <v>1.761376127203222</v>
      </c>
      <c r="BV69" s="219">
        <v>1.773507746092007</v>
      </c>
      <c r="BW69" s="219">
        <v>1.785504723806963</v>
      </c>
      <c r="BX69" s="219">
        <v>1.7668801572539721</v>
      </c>
      <c r="BY69" s="219">
        <v>1.7483445945761209</v>
      </c>
      <c r="BZ69" s="219">
        <v>1.7297929612138141</v>
      </c>
      <c r="CA69" s="219">
        <v>1.711222224813973</v>
      </c>
      <c r="CB69" s="219">
        <v>1.692632034064433</v>
      </c>
      <c r="CC69" s="33">
        <v>25.4297481093942</v>
      </c>
      <c r="CD69" s="219">
        <v>23.761908223022349</v>
      </c>
      <c r="CE69" s="219">
        <v>22.101983564813288</v>
      </c>
      <c r="CF69" s="219">
        <v>20.421089575522348</v>
      </c>
      <c r="CG69" s="219">
        <v>18.77650477533971</v>
      </c>
      <c r="CH69" s="219">
        <v>17.139317286688911</v>
      </c>
      <c r="CI69" s="219">
        <v>15.84154339401424</v>
      </c>
      <c r="CJ69" s="219">
        <v>14.54894864644972</v>
      </c>
      <c r="CK69" s="219">
        <v>13.2378204389006</v>
      </c>
      <c r="CL69" s="219">
        <v>11.951988527569281</v>
      </c>
      <c r="CM69" s="219">
        <v>10.66897624418465</v>
      </c>
      <c r="CN69" s="219">
        <v>9.6358440519466839</v>
      </c>
      <c r="CO69" s="219">
        <v>8.5991567497999526</v>
      </c>
      <c r="CP69" s="219">
        <v>7.5541292956805277</v>
      </c>
      <c r="CQ69" s="219">
        <v>6.5104604210442778</v>
      </c>
      <c r="CR69" s="219">
        <v>5.4633480393535834</v>
      </c>
      <c r="CS69" s="219">
        <v>4.8939242557480052</v>
      </c>
      <c r="CT69" s="219">
        <v>4.3229621235982076</v>
      </c>
      <c r="CU69" s="219">
        <v>3.7463757247809442</v>
      </c>
      <c r="CV69" s="219">
        <v>3.17244406053852</v>
      </c>
      <c r="CW69" s="219">
        <v>2.597229299402259</v>
      </c>
      <c r="CX69" s="219">
        <v>2.3930004870743891</v>
      </c>
      <c r="CY69" s="219">
        <v>2.1720126571922478</v>
      </c>
      <c r="CZ69" s="219">
        <v>1.95097160236182</v>
      </c>
      <c r="DA69" s="219">
        <v>1.729858048397322</v>
      </c>
      <c r="DB69" s="219">
        <v>1.508671659872775</v>
      </c>
    </row>
    <row r="70" spans="1:106" x14ac:dyDescent="0.35">
      <c r="A70" s="137" t="s">
        <v>755</v>
      </c>
      <c r="B70" s="130" t="s">
        <v>507</v>
      </c>
      <c r="C70" s="219">
        <v>0</v>
      </c>
      <c r="D70" s="219">
        <v>0</v>
      </c>
      <c r="E70" s="219">
        <v>0</v>
      </c>
      <c r="F70" s="219">
        <v>0</v>
      </c>
      <c r="G70" s="219">
        <v>0</v>
      </c>
      <c r="H70" s="219">
        <v>0</v>
      </c>
      <c r="I70" s="219">
        <v>0</v>
      </c>
      <c r="J70" s="219">
        <v>0</v>
      </c>
      <c r="K70" s="219">
        <v>0</v>
      </c>
      <c r="L70" s="219">
        <v>0</v>
      </c>
      <c r="M70" s="219">
        <v>0</v>
      </c>
      <c r="N70" s="219">
        <v>0</v>
      </c>
      <c r="O70" s="219">
        <v>0</v>
      </c>
      <c r="P70" s="219">
        <v>0</v>
      </c>
      <c r="Q70" s="219">
        <v>0</v>
      </c>
      <c r="R70" s="219">
        <v>0</v>
      </c>
      <c r="S70" s="219">
        <v>0</v>
      </c>
      <c r="T70" s="219">
        <v>0</v>
      </c>
      <c r="U70" s="219">
        <v>0</v>
      </c>
      <c r="V70" s="219">
        <v>0</v>
      </c>
      <c r="W70" s="219">
        <v>0</v>
      </c>
      <c r="X70" s="219">
        <v>0</v>
      </c>
      <c r="Y70" s="219">
        <v>0</v>
      </c>
      <c r="Z70" s="219">
        <v>0</v>
      </c>
      <c r="AA70" s="219">
        <v>0</v>
      </c>
      <c r="AB70" s="219">
        <v>0</v>
      </c>
      <c r="AC70" s="33">
        <v>2.0736000294618859E-7</v>
      </c>
      <c r="AD70" s="219">
        <v>2.0736000294618859E-7</v>
      </c>
      <c r="AE70" s="219">
        <v>2.0736000294618859E-7</v>
      </c>
      <c r="AF70" s="219">
        <v>2.0736000294618859E-7</v>
      </c>
      <c r="AG70" s="219">
        <v>2.0736000294618859E-7</v>
      </c>
      <c r="AH70" s="219">
        <v>2.0736000294618859E-7</v>
      </c>
      <c r="AI70" s="219">
        <v>2.0736000294618859E-7</v>
      </c>
      <c r="AJ70" s="219">
        <v>2.0736000294618859E-7</v>
      </c>
      <c r="AK70" s="219">
        <v>2.0736000294618859E-7</v>
      </c>
      <c r="AL70" s="219">
        <v>2.0736000294618859E-7</v>
      </c>
      <c r="AM70" s="219">
        <v>2.0736000294618859E-7</v>
      </c>
      <c r="AN70" s="219">
        <v>2.0736000294618859E-7</v>
      </c>
      <c r="AO70" s="219">
        <v>2.0736000294618859E-7</v>
      </c>
      <c r="AP70" s="219">
        <v>2.0736000294618859E-7</v>
      </c>
      <c r="AQ70" s="219">
        <v>2.0736000294618859E-7</v>
      </c>
      <c r="AR70" s="219">
        <v>2.0736000294618859E-7</v>
      </c>
      <c r="AS70" s="219">
        <v>2.0736000294618859E-7</v>
      </c>
      <c r="AT70" s="219">
        <v>2.0736000294618859E-7</v>
      </c>
      <c r="AU70" s="219">
        <v>2.0736000294618859E-7</v>
      </c>
      <c r="AV70" s="219">
        <v>2.0736000294618859E-7</v>
      </c>
      <c r="AW70" s="219">
        <v>2.0736000294618859E-7</v>
      </c>
      <c r="AX70" s="219">
        <v>2.0736000294618859E-7</v>
      </c>
      <c r="AY70" s="219">
        <v>2.0736000294618859E-7</v>
      </c>
      <c r="AZ70" s="219">
        <v>2.0736000294618859E-7</v>
      </c>
      <c r="BA70" s="219">
        <v>2.0736000294618859E-7</v>
      </c>
      <c r="BB70" s="219">
        <v>2.0736000294618859E-7</v>
      </c>
      <c r="BC70" s="33">
        <v>0</v>
      </c>
      <c r="BD70" s="219">
        <v>0</v>
      </c>
      <c r="BE70" s="219">
        <v>0</v>
      </c>
      <c r="BF70" s="219">
        <v>0</v>
      </c>
      <c r="BG70" s="219">
        <v>0</v>
      </c>
      <c r="BH70" s="219">
        <v>0</v>
      </c>
      <c r="BI70" s="219">
        <v>0</v>
      </c>
      <c r="BJ70" s="219">
        <v>0</v>
      </c>
      <c r="BK70" s="219">
        <v>0</v>
      </c>
      <c r="BL70" s="219">
        <v>0</v>
      </c>
      <c r="BM70" s="219">
        <v>0</v>
      </c>
      <c r="BN70" s="219">
        <v>0</v>
      </c>
      <c r="BO70" s="219">
        <v>0</v>
      </c>
      <c r="BP70" s="219">
        <v>0</v>
      </c>
      <c r="BQ70" s="219">
        <v>0</v>
      </c>
      <c r="BR70" s="219">
        <v>0</v>
      </c>
      <c r="BS70" s="219">
        <v>0</v>
      </c>
      <c r="BT70" s="219">
        <v>0</v>
      </c>
      <c r="BU70" s="219">
        <v>0</v>
      </c>
      <c r="BV70" s="219">
        <v>0</v>
      </c>
      <c r="BW70" s="219">
        <v>0</v>
      </c>
      <c r="BX70" s="219">
        <v>0</v>
      </c>
      <c r="BY70" s="219">
        <v>0</v>
      </c>
      <c r="BZ70" s="219">
        <v>0</v>
      </c>
      <c r="CA70" s="219">
        <v>0</v>
      </c>
      <c r="CB70" s="219">
        <v>0</v>
      </c>
      <c r="CC70" s="33">
        <v>0</v>
      </c>
      <c r="CD70" s="219">
        <v>0</v>
      </c>
      <c r="CE70" s="219">
        <v>0</v>
      </c>
      <c r="CF70" s="219">
        <v>0</v>
      </c>
      <c r="CG70" s="219">
        <v>0</v>
      </c>
      <c r="CH70" s="219">
        <v>0</v>
      </c>
      <c r="CI70" s="219">
        <v>0</v>
      </c>
      <c r="CJ70" s="219">
        <v>0</v>
      </c>
      <c r="CK70" s="219">
        <v>0</v>
      </c>
      <c r="CL70" s="219">
        <v>0</v>
      </c>
      <c r="CM70" s="219">
        <v>0</v>
      </c>
      <c r="CN70" s="219">
        <v>0</v>
      </c>
      <c r="CO70" s="219">
        <v>0</v>
      </c>
      <c r="CP70" s="219">
        <v>0</v>
      </c>
      <c r="CQ70" s="219">
        <v>0</v>
      </c>
      <c r="CR70" s="219">
        <v>0</v>
      </c>
      <c r="CS70" s="219">
        <v>0</v>
      </c>
      <c r="CT70" s="219">
        <v>0</v>
      </c>
      <c r="CU70" s="219">
        <v>0</v>
      </c>
      <c r="CV70" s="219">
        <v>0</v>
      </c>
      <c r="CW70" s="219">
        <v>0</v>
      </c>
      <c r="CX70" s="219">
        <v>0</v>
      </c>
      <c r="CY70" s="219">
        <v>0</v>
      </c>
      <c r="CZ70" s="219">
        <v>0</v>
      </c>
      <c r="DA70" s="219">
        <v>0</v>
      </c>
      <c r="DB70" s="219">
        <v>0</v>
      </c>
    </row>
    <row r="71" spans="1:106" x14ac:dyDescent="0.35">
      <c r="A71" s="137" t="s">
        <v>563</v>
      </c>
      <c r="B71" s="130" t="s">
        <v>704</v>
      </c>
      <c r="C71" s="219">
        <v>6.0037117955109028E-2</v>
      </c>
      <c r="D71" s="219">
        <v>5.6191867505510959E-2</v>
      </c>
      <c r="E71" s="219">
        <v>5.2329272684781568E-2</v>
      </c>
      <c r="F71" s="219">
        <v>4.841413521773321E-2</v>
      </c>
      <c r="G71" s="219">
        <v>4.4539809777472107E-2</v>
      </c>
      <c r="H71" s="219">
        <v>4.0662830543897487E-2</v>
      </c>
      <c r="I71" s="219">
        <v>3.84101452645636E-2</v>
      </c>
      <c r="J71" s="219">
        <v>3.616214979454152E-2</v>
      </c>
      <c r="K71" s="219">
        <v>3.388387353827356E-2</v>
      </c>
      <c r="L71" s="219">
        <v>3.1636813899357991E-2</v>
      </c>
      <c r="M71" s="219">
        <v>2.9388776392389161E-2</v>
      </c>
      <c r="N71" s="219">
        <v>2.7945528803582399E-2</v>
      </c>
      <c r="O71" s="219">
        <v>2.6495555969194919E-2</v>
      </c>
      <c r="P71" s="219">
        <v>2.5029611937261359E-2</v>
      </c>
      <c r="Q71" s="219">
        <v>2.3563053513519231E-2</v>
      </c>
      <c r="R71" s="219">
        <v>2.2089192003759049E-2</v>
      </c>
      <c r="S71" s="219">
        <v>2.1568773856969221E-2</v>
      </c>
      <c r="T71" s="219">
        <v>2.1044854656145601E-2</v>
      </c>
      <c r="U71" s="219">
        <v>2.0511477278365761E-2</v>
      </c>
      <c r="V71" s="219">
        <v>1.9983955595474681E-2</v>
      </c>
      <c r="W71" s="219">
        <v>1.9455066361617632E-2</v>
      </c>
      <c r="X71" s="219">
        <v>1.964140297480697E-2</v>
      </c>
      <c r="Y71" s="219">
        <v>1.9407556618260911E-2</v>
      </c>
      <c r="Z71" s="219">
        <v>1.9173059591223431E-2</v>
      </c>
      <c r="AA71" s="219">
        <v>1.893784819983222E-2</v>
      </c>
      <c r="AB71" s="219">
        <v>1.870191941052032E-2</v>
      </c>
      <c r="AC71" s="33">
        <v>1.33406996040256E-4</v>
      </c>
      <c r="AD71" s="219">
        <v>1.241442625783911E-4</v>
      </c>
      <c r="AE71" s="219">
        <v>1.1487501983016359E-4</v>
      </c>
      <c r="AF71" s="219">
        <v>1.0545941106449679E-4</v>
      </c>
      <c r="AG71" s="219">
        <v>9.6174565413820084E-5</v>
      </c>
      <c r="AH71" s="219">
        <v>8.6882882547603411E-5</v>
      </c>
      <c r="AI71" s="219">
        <v>8.1041908053245822E-5</v>
      </c>
      <c r="AJ71" s="219">
        <v>7.5198569885999916E-5</v>
      </c>
      <c r="AK71" s="219">
        <v>6.9239818308114852E-5</v>
      </c>
      <c r="AL71" s="219">
        <v>6.3375763761424841E-5</v>
      </c>
      <c r="AM71" s="219">
        <v>5.7500986931553743E-5</v>
      </c>
      <c r="AN71" s="219">
        <v>5.3556018304734959E-5</v>
      </c>
      <c r="AO71" s="219">
        <v>4.9591447052307587E-5</v>
      </c>
      <c r="AP71" s="219">
        <v>4.5571557701640838E-5</v>
      </c>
      <c r="AQ71" s="219">
        <v>4.1559968420540401E-5</v>
      </c>
      <c r="AR71" s="219">
        <v>3.7528982368349858E-5</v>
      </c>
      <c r="AS71" s="219">
        <v>3.5740165829207997E-5</v>
      </c>
      <c r="AT71" s="219">
        <v>3.3956182252024573E-5</v>
      </c>
      <c r="AU71" s="219">
        <v>3.2146930351901807E-5</v>
      </c>
      <c r="AV71" s="219">
        <v>3.0370707056901139E-5</v>
      </c>
      <c r="AW71" s="219">
        <v>2.859955429203854E-5</v>
      </c>
      <c r="AX71" s="219">
        <v>2.862740222205861E-5</v>
      </c>
      <c r="AY71" s="219">
        <v>2.7786735653935509E-5</v>
      </c>
      <c r="AZ71" s="219">
        <v>2.694203818051411E-5</v>
      </c>
      <c r="BA71" s="219">
        <v>2.6093211713794149E-5</v>
      </c>
      <c r="BB71" s="219">
        <v>2.524026079893224E-5</v>
      </c>
      <c r="BC71" s="33">
        <v>2397.063593199709</v>
      </c>
      <c r="BD71" s="219">
        <v>2379.6134774011311</v>
      </c>
      <c r="BE71" s="219">
        <v>2362.188629716703</v>
      </c>
      <c r="BF71" s="219">
        <v>2340.3044915874762</v>
      </c>
      <c r="BG71" s="219">
        <v>2322.9440845460231</v>
      </c>
      <c r="BH71" s="219">
        <v>2305.605553690335</v>
      </c>
      <c r="BI71" s="219">
        <v>2300.808644434393</v>
      </c>
      <c r="BJ71" s="219">
        <v>2295.8854356329139</v>
      </c>
      <c r="BK71" s="219">
        <v>2286.8703410958919</v>
      </c>
      <c r="BL71" s="219">
        <v>2281.515543203242</v>
      </c>
      <c r="BM71" s="219">
        <v>2275.968512933965</v>
      </c>
      <c r="BN71" s="219">
        <v>2261.0406552066361</v>
      </c>
      <c r="BO71" s="219">
        <v>2245.842790154612</v>
      </c>
      <c r="BP71" s="219">
        <v>2229.4525728716731</v>
      </c>
      <c r="BQ71" s="219">
        <v>2213.7291686234798</v>
      </c>
      <c r="BR71" s="219">
        <v>2197.7407664790348</v>
      </c>
      <c r="BS71" s="219">
        <v>2211.2953173476822</v>
      </c>
      <c r="BT71" s="219">
        <v>2224.5851349859472</v>
      </c>
      <c r="BU71" s="219">
        <v>2236.7044559808719</v>
      </c>
      <c r="BV71" s="219">
        <v>2249.4766981934999</v>
      </c>
      <c r="BW71" s="219">
        <v>2261.9944338859809</v>
      </c>
      <c r="BX71" s="219">
        <v>2240.5891057678832</v>
      </c>
      <c r="BY71" s="219">
        <v>2219.186363062181</v>
      </c>
      <c r="BZ71" s="219">
        <v>2197.694707669616</v>
      </c>
      <c r="CA71" s="219">
        <v>2176.1108391783118</v>
      </c>
      <c r="CB71" s="219">
        <v>2154.433798582294</v>
      </c>
      <c r="CC71" s="33">
        <v>31719.42420891019</v>
      </c>
      <c r="CD71" s="219">
        <v>29615.067212715021</v>
      </c>
      <c r="CE71" s="219">
        <v>27511.55424373363</v>
      </c>
      <c r="CF71" s="219">
        <v>25376.522327277871</v>
      </c>
      <c r="CG71" s="219">
        <v>23274.096743693699</v>
      </c>
      <c r="CH71" s="219">
        <v>21171.9224630998</v>
      </c>
      <c r="CI71" s="219">
        <v>19494.08719520552</v>
      </c>
      <c r="CJ71" s="219">
        <v>17819.456292159281</v>
      </c>
      <c r="CK71" s="219">
        <v>16120.37980492665</v>
      </c>
      <c r="CL71" s="219">
        <v>14447.550212391679</v>
      </c>
      <c r="CM71" s="219">
        <v>12774.972356630589</v>
      </c>
      <c r="CN71" s="219">
        <v>11430.748925640561</v>
      </c>
      <c r="CO71" s="219">
        <v>10081.27410312286</v>
      </c>
      <c r="CP71" s="219">
        <v>8721.1894502593204</v>
      </c>
      <c r="CQ71" s="219">
        <v>7361.43824243366</v>
      </c>
      <c r="CR71" s="219">
        <v>5996.6556679204514</v>
      </c>
      <c r="CS71" s="219">
        <v>5258.5143779775881</v>
      </c>
      <c r="CT71" s="219">
        <v>4520.3310015196421</v>
      </c>
      <c r="CU71" s="219">
        <v>3777.4875783923999</v>
      </c>
      <c r="CV71" s="219">
        <v>3039.441726812468</v>
      </c>
      <c r="CW71" s="219">
        <v>2301.7728813207682</v>
      </c>
      <c r="CX71" s="219">
        <v>2034.41682845842</v>
      </c>
      <c r="CY71" s="219">
        <v>1744.3514068857951</v>
      </c>
      <c r="CZ71" s="219">
        <v>1453.308202973933</v>
      </c>
      <c r="DA71" s="219">
        <v>1161.2637139228491</v>
      </c>
      <c r="DB71" s="219">
        <v>868.21163360125047</v>
      </c>
    </row>
    <row r="73" spans="1:106" s="11" customFormat="1" ht="21" x14ac:dyDescent="0.5">
      <c r="A73" s="11" t="s">
        <v>94</v>
      </c>
    </row>
    <row r="74" spans="1:106" x14ac:dyDescent="0.35">
      <c r="A74" s="14" t="s">
        <v>0</v>
      </c>
      <c r="B74" s="29"/>
      <c r="C74" s="332" t="s">
        <v>49</v>
      </c>
      <c r="D74" s="332"/>
      <c r="E74" s="332"/>
      <c r="F74" s="332"/>
      <c r="G74" s="332"/>
      <c r="H74" s="332"/>
      <c r="I74" s="332"/>
      <c r="J74" s="332"/>
      <c r="K74" s="332"/>
      <c r="L74" s="332"/>
      <c r="M74" s="332"/>
      <c r="N74" s="332"/>
      <c r="O74" s="332"/>
      <c r="P74" s="332"/>
      <c r="Q74" s="332"/>
      <c r="R74" s="332"/>
      <c r="S74" s="332"/>
      <c r="T74" s="332"/>
      <c r="U74" s="332"/>
      <c r="V74" s="332"/>
      <c r="W74" s="332"/>
      <c r="X74" s="332"/>
      <c r="Y74" s="332"/>
      <c r="Z74" s="332"/>
      <c r="AA74" s="332"/>
      <c r="AB74" s="332"/>
      <c r="AC74" s="333" t="s">
        <v>50</v>
      </c>
      <c r="AD74" s="333"/>
      <c r="AE74" s="333"/>
      <c r="AF74" s="333"/>
      <c r="AG74" s="333"/>
      <c r="AH74" s="333"/>
      <c r="AI74" s="333"/>
      <c r="AJ74" s="333"/>
      <c r="AK74" s="333"/>
      <c r="AL74" s="333"/>
      <c r="AM74" s="333"/>
      <c r="AN74" s="333"/>
      <c r="AO74" s="333"/>
      <c r="AP74" s="333"/>
      <c r="AQ74" s="333"/>
      <c r="AR74" s="333"/>
      <c r="AS74" s="333"/>
      <c r="AT74" s="333"/>
      <c r="AU74" s="333"/>
      <c r="AV74" s="333"/>
      <c r="AW74" s="333"/>
      <c r="AX74" s="333"/>
      <c r="AY74" s="333"/>
      <c r="AZ74" s="333"/>
      <c r="BA74" s="333"/>
      <c r="BB74" s="333"/>
      <c r="BC74" s="334" t="s">
        <v>756</v>
      </c>
      <c r="BD74" s="335"/>
      <c r="BE74" s="335"/>
      <c r="BF74" s="335"/>
      <c r="BG74" s="335"/>
      <c r="BH74" s="335"/>
      <c r="BI74" s="335"/>
      <c r="BJ74" s="335"/>
      <c r="BK74" s="335"/>
      <c r="BL74" s="335"/>
      <c r="BM74" s="335"/>
      <c r="BN74" s="335"/>
      <c r="BO74" s="335"/>
      <c r="BP74" s="335"/>
      <c r="BQ74" s="335"/>
      <c r="BR74" s="335"/>
      <c r="BS74" s="335"/>
      <c r="BT74" s="335"/>
      <c r="BU74" s="335"/>
      <c r="BV74" s="335"/>
      <c r="BW74" s="335"/>
      <c r="BX74" s="335"/>
      <c r="BY74" s="335"/>
      <c r="BZ74" s="335"/>
      <c r="CA74" s="335"/>
      <c r="CB74" s="336"/>
      <c r="CC74" s="337" t="s">
        <v>51</v>
      </c>
      <c r="CD74" s="337"/>
      <c r="CE74" s="337"/>
      <c r="CF74" s="337"/>
      <c r="CG74" s="337"/>
      <c r="CH74" s="337"/>
      <c r="CI74" s="337"/>
      <c r="CJ74" s="337"/>
      <c r="CK74" s="337"/>
      <c r="CL74" s="337"/>
      <c r="CM74" s="337"/>
      <c r="CN74" s="337"/>
      <c r="CO74" s="337"/>
      <c r="CP74" s="337"/>
      <c r="CQ74" s="337"/>
      <c r="CR74" s="337"/>
      <c r="CS74" s="337"/>
      <c r="CT74" s="337"/>
      <c r="CU74" s="337"/>
      <c r="CV74" s="337"/>
      <c r="CW74" s="337"/>
      <c r="CX74" s="337"/>
      <c r="CY74" s="337"/>
      <c r="CZ74" s="337"/>
      <c r="DA74" s="337"/>
      <c r="DB74" s="337"/>
    </row>
    <row r="75" spans="1:106" x14ac:dyDescent="0.35">
      <c r="A75" s="29" t="s">
        <v>1</v>
      </c>
      <c r="B75" s="29" t="s">
        <v>180</v>
      </c>
      <c r="C75" s="10" t="s">
        <v>14</v>
      </c>
      <c r="D75" s="10" t="s">
        <v>95</v>
      </c>
      <c r="E75" s="10" t="s">
        <v>96</v>
      </c>
      <c r="F75" s="10" t="s">
        <v>97</v>
      </c>
      <c r="G75" s="10" t="s">
        <v>98</v>
      </c>
      <c r="H75" s="10" t="s">
        <v>15</v>
      </c>
      <c r="I75" s="10" t="s">
        <v>99</v>
      </c>
      <c r="J75" s="10" t="s">
        <v>100</v>
      </c>
      <c r="K75" s="10" t="s">
        <v>101</v>
      </c>
      <c r="L75" s="10" t="s">
        <v>102</v>
      </c>
      <c r="M75" s="10" t="s">
        <v>16</v>
      </c>
      <c r="N75" s="10" t="s">
        <v>103</v>
      </c>
      <c r="O75" s="10" t="s">
        <v>104</v>
      </c>
      <c r="P75" s="10" t="s">
        <v>105</v>
      </c>
      <c r="Q75" s="10" t="s">
        <v>106</v>
      </c>
      <c r="R75" s="10" t="s">
        <v>17</v>
      </c>
      <c r="S75" s="10" t="s">
        <v>107</v>
      </c>
      <c r="T75" s="10" t="s">
        <v>108</v>
      </c>
      <c r="U75" s="10" t="s">
        <v>109</v>
      </c>
      <c r="V75" s="10" t="s">
        <v>110</v>
      </c>
      <c r="W75" s="10" t="s">
        <v>18</v>
      </c>
      <c r="X75" s="10" t="s">
        <v>111</v>
      </c>
      <c r="Y75" s="10" t="s">
        <v>112</v>
      </c>
      <c r="Z75" s="10" t="s">
        <v>113</v>
      </c>
      <c r="AA75" s="10" t="s">
        <v>114</v>
      </c>
      <c r="AB75" s="10" t="s">
        <v>19</v>
      </c>
      <c r="AC75" s="2" t="s">
        <v>14</v>
      </c>
      <c r="AD75" s="2" t="s">
        <v>95</v>
      </c>
      <c r="AE75" s="2" t="s">
        <v>96</v>
      </c>
      <c r="AF75" s="2" t="s">
        <v>97</v>
      </c>
      <c r="AG75" s="2" t="s">
        <v>98</v>
      </c>
      <c r="AH75" s="2" t="s">
        <v>15</v>
      </c>
      <c r="AI75" s="2" t="s">
        <v>99</v>
      </c>
      <c r="AJ75" s="2" t="s">
        <v>100</v>
      </c>
      <c r="AK75" s="2" t="s">
        <v>101</v>
      </c>
      <c r="AL75" s="2" t="s">
        <v>102</v>
      </c>
      <c r="AM75" s="2" t="s">
        <v>16</v>
      </c>
      <c r="AN75" s="2" t="s">
        <v>103</v>
      </c>
      <c r="AO75" s="2" t="s">
        <v>104</v>
      </c>
      <c r="AP75" s="2" t="s">
        <v>105</v>
      </c>
      <c r="AQ75" s="2" t="s">
        <v>106</v>
      </c>
      <c r="AR75" s="2" t="s">
        <v>17</v>
      </c>
      <c r="AS75" s="2" t="s">
        <v>107</v>
      </c>
      <c r="AT75" s="2" t="s">
        <v>108</v>
      </c>
      <c r="AU75" s="2" t="s">
        <v>109</v>
      </c>
      <c r="AV75" s="2" t="s">
        <v>110</v>
      </c>
      <c r="AW75" s="2" t="s">
        <v>18</v>
      </c>
      <c r="AX75" s="2" t="s">
        <v>111</v>
      </c>
      <c r="AY75" s="2" t="s">
        <v>112</v>
      </c>
      <c r="AZ75" s="2" t="s">
        <v>113</v>
      </c>
      <c r="BA75" s="2" t="s">
        <v>114</v>
      </c>
      <c r="BB75" s="2" t="s">
        <v>19</v>
      </c>
      <c r="BC75" s="203" t="s">
        <v>14</v>
      </c>
      <c r="BD75" s="203" t="s">
        <v>95</v>
      </c>
      <c r="BE75" s="203" t="s">
        <v>96</v>
      </c>
      <c r="BF75" s="203" t="s">
        <v>97</v>
      </c>
      <c r="BG75" s="203" t="s">
        <v>98</v>
      </c>
      <c r="BH75" s="203" t="s">
        <v>15</v>
      </c>
      <c r="BI75" s="203" t="s">
        <v>99</v>
      </c>
      <c r="BJ75" s="203" t="s">
        <v>100</v>
      </c>
      <c r="BK75" s="203" t="s">
        <v>101</v>
      </c>
      <c r="BL75" s="203" t="s">
        <v>102</v>
      </c>
      <c r="BM75" s="203" t="s">
        <v>16</v>
      </c>
      <c r="BN75" s="203" t="s">
        <v>103</v>
      </c>
      <c r="BO75" s="203" t="s">
        <v>104</v>
      </c>
      <c r="BP75" s="203" t="s">
        <v>105</v>
      </c>
      <c r="BQ75" s="203" t="s">
        <v>106</v>
      </c>
      <c r="BR75" s="203" t="s">
        <v>17</v>
      </c>
      <c r="BS75" s="203" t="s">
        <v>107</v>
      </c>
      <c r="BT75" s="203" t="s">
        <v>108</v>
      </c>
      <c r="BU75" s="203" t="s">
        <v>109</v>
      </c>
      <c r="BV75" s="203" t="s">
        <v>110</v>
      </c>
      <c r="BW75" s="203" t="s">
        <v>18</v>
      </c>
      <c r="BX75" s="203" t="s">
        <v>111</v>
      </c>
      <c r="BY75" s="203" t="s">
        <v>112</v>
      </c>
      <c r="BZ75" s="203" t="s">
        <v>113</v>
      </c>
      <c r="CA75" s="203" t="s">
        <v>114</v>
      </c>
      <c r="CB75" s="203" t="s">
        <v>19</v>
      </c>
      <c r="CC75" s="220" t="s">
        <v>14</v>
      </c>
      <c r="CD75" s="220" t="s">
        <v>95</v>
      </c>
      <c r="CE75" s="220" t="s">
        <v>96</v>
      </c>
      <c r="CF75" s="220" t="s">
        <v>97</v>
      </c>
      <c r="CG75" s="220" t="s">
        <v>98</v>
      </c>
      <c r="CH75" s="220" t="s">
        <v>15</v>
      </c>
      <c r="CI75" s="220" t="s">
        <v>99</v>
      </c>
      <c r="CJ75" s="220" t="s">
        <v>100</v>
      </c>
      <c r="CK75" s="220" t="s">
        <v>101</v>
      </c>
      <c r="CL75" s="220" t="s">
        <v>102</v>
      </c>
      <c r="CM75" s="220" t="s">
        <v>16</v>
      </c>
      <c r="CN75" s="220" t="s">
        <v>103</v>
      </c>
      <c r="CO75" s="220" t="s">
        <v>104</v>
      </c>
      <c r="CP75" s="220" t="s">
        <v>105</v>
      </c>
      <c r="CQ75" s="220" t="s">
        <v>106</v>
      </c>
      <c r="CR75" s="220" t="s">
        <v>17</v>
      </c>
      <c r="CS75" s="220" t="s">
        <v>107</v>
      </c>
      <c r="CT75" s="220" t="s">
        <v>108</v>
      </c>
      <c r="CU75" s="220" t="s">
        <v>109</v>
      </c>
      <c r="CV75" s="220" t="s">
        <v>110</v>
      </c>
      <c r="CW75" s="220" t="s">
        <v>18</v>
      </c>
      <c r="CX75" s="220" t="s">
        <v>111</v>
      </c>
      <c r="CY75" s="220" t="s">
        <v>112</v>
      </c>
      <c r="CZ75" s="220" t="s">
        <v>113</v>
      </c>
      <c r="DA75" s="220" t="s">
        <v>114</v>
      </c>
      <c r="DB75" s="220" t="s">
        <v>19</v>
      </c>
    </row>
    <row r="76" spans="1:106" x14ac:dyDescent="0.35">
      <c r="A76" s="28"/>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row>
    <row r="77" spans="1:106" x14ac:dyDescent="0.35">
      <c r="A77" s="137" t="s">
        <v>538</v>
      </c>
      <c r="B77" s="130" t="s">
        <v>545</v>
      </c>
      <c r="C77" s="33">
        <v>2.4100049612117481E-3</v>
      </c>
      <c r="D77" s="219">
        <v>2.383425293723083E-3</v>
      </c>
      <c r="E77" s="219">
        <v>2.3578447238988809E-3</v>
      </c>
      <c r="F77" s="219">
        <v>2.3287476277572979E-3</v>
      </c>
      <c r="G77" s="219">
        <v>2.3031586467254801E-3</v>
      </c>
      <c r="H77" s="219">
        <v>2.277547116869645E-3</v>
      </c>
      <c r="I77" s="219">
        <v>2.2628470555870459E-3</v>
      </c>
      <c r="J77" s="219">
        <v>2.2498059956319759E-3</v>
      </c>
      <c r="K77" s="219">
        <v>2.236386602471815E-3</v>
      </c>
      <c r="L77" s="219">
        <v>2.2257524091402968E-3</v>
      </c>
      <c r="M77" s="219">
        <v>2.2162761501258359E-3</v>
      </c>
      <c r="N77" s="219">
        <v>2.2087230391768858E-3</v>
      </c>
      <c r="O77" s="219">
        <v>2.2024993341214871E-3</v>
      </c>
      <c r="P77" s="219">
        <v>2.1966526440753901E-3</v>
      </c>
      <c r="Q77" s="219">
        <v>2.1919829814154731E-3</v>
      </c>
      <c r="R77" s="219">
        <v>2.1878500000056169E-3</v>
      </c>
      <c r="S77" s="219">
        <v>2.1862947521475041E-3</v>
      </c>
      <c r="T77" s="219">
        <v>2.1847801385495602E-3</v>
      </c>
      <c r="U77" s="219">
        <v>2.18284560106823E-3</v>
      </c>
      <c r="V77" s="219">
        <v>2.1813981687797E-3</v>
      </c>
      <c r="W77" s="219">
        <v>2.17992610240375E-3</v>
      </c>
      <c r="X77" s="219">
        <v>2.193217010604443E-3</v>
      </c>
      <c r="Y77" s="219">
        <v>2.194245428650926E-3</v>
      </c>
      <c r="Z77" s="219">
        <v>2.1952653316403498E-3</v>
      </c>
      <c r="AA77" s="219">
        <v>2.1962768101983681E-3</v>
      </c>
      <c r="AB77" s="219">
        <v>2.197280182100208E-3</v>
      </c>
      <c r="AC77" s="33">
        <v>2.5730574523951919E-6</v>
      </c>
      <c r="AD77" s="219">
        <v>2.5163477874502681E-6</v>
      </c>
      <c r="AE77" s="219">
        <v>2.4607246359450089E-6</v>
      </c>
      <c r="AF77" s="219">
        <v>2.392859073662578E-6</v>
      </c>
      <c r="AG77" s="219">
        <v>2.3361808793991232E-6</v>
      </c>
      <c r="AH77" s="219">
        <v>2.2791152987445341E-6</v>
      </c>
      <c r="AI77" s="219">
        <v>2.2668209939819588E-6</v>
      </c>
      <c r="AJ77" s="219">
        <v>2.2548089937352381E-6</v>
      </c>
      <c r="AK77" s="219">
        <v>2.2363976652760059E-6</v>
      </c>
      <c r="AL77" s="219">
        <v>2.2248071064622492E-6</v>
      </c>
      <c r="AM77" s="219">
        <v>2.213877420711151E-6</v>
      </c>
      <c r="AN77" s="219">
        <v>2.2075848071219188E-6</v>
      </c>
      <c r="AO77" s="219">
        <v>2.2019670254495021E-6</v>
      </c>
      <c r="AP77" s="219">
        <v>2.19404252160226E-6</v>
      </c>
      <c r="AQ77" s="219">
        <v>2.1887473270484742E-6</v>
      </c>
      <c r="AR77" s="219">
        <v>2.18352909885209E-6</v>
      </c>
      <c r="AS77" s="219">
        <v>2.1759626306431231E-6</v>
      </c>
      <c r="AT77" s="219">
        <v>2.168478238805844E-6</v>
      </c>
      <c r="AU77" s="219">
        <v>2.1588959256883838E-6</v>
      </c>
      <c r="AV77" s="219">
        <v>2.1515499112339471E-6</v>
      </c>
      <c r="AW77" s="219">
        <v>2.143943553922331E-6</v>
      </c>
      <c r="AX77" s="219">
        <v>2.154164901076746E-6</v>
      </c>
      <c r="AY77" s="219">
        <v>2.1520577053291192E-6</v>
      </c>
      <c r="AZ77" s="219">
        <v>2.149971310287622E-6</v>
      </c>
      <c r="BA77" s="219">
        <v>2.147904680713983E-6</v>
      </c>
      <c r="BB77" s="219">
        <v>2.1458571712283421E-6</v>
      </c>
      <c r="BC77" s="33">
        <v>71.38267553879804</v>
      </c>
      <c r="BD77" s="219">
        <v>70.88965801962172</v>
      </c>
      <c r="BE77" s="219">
        <v>70.409887108425707</v>
      </c>
      <c r="BF77" s="219">
        <v>69.615867343628096</v>
      </c>
      <c r="BG77" s="219">
        <v>69.140105176640262</v>
      </c>
      <c r="BH77" s="219">
        <v>68.669136300216294</v>
      </c>
      <c r="BI77" s="219">
        <v>69.02828135966341</v>
      </c>
      <c r="BJ77" s="219">
        <v>69.380753094774462</v>
      </c>
      <c r="BK77" s="219">
        <v>69.509679660722171</v>
      </c>
      <c r="BL77" s="219">
        <v>69.85196251904523</v>
      </c>
      <c r="BM77" s="219">
        <v>70.192600089885303</v>
      </c>
      <c r="BN77" s="219">
        <v>70.391088973196943</v>
      </c>
      <c r="BO77" s="219">
        <v>70.593810565084596</v>
      </c>
      <c r="BP77" s="219">
        <v>70.732046883132568</v>
      </c>
      <c r="BQ77" s="219">
        <v>70.934400055068195</v>
      </c>
      <c r="BR77" s="219">
        <v>71.135144709509433</v>
      </c>
      <c r="BS77" s="219">
        <v>70.893544998948869</v>
      </c>
      <c r="BT77" s="219">
        <v>70.650919174500359</v>
      </c>
      <c r="BU77" s="219">
        <v>70.347300405400219</v>
      </c>
      <c r="BV77" s="219">
        <v>70.103420573949265</v>
      </c>
      <c r="BW77" s="219">
        <v>69.85670733465048</v>
      </c>
      <c r="BX77" s="219">
        <v>69.825057997024857</v>
      </c>
      <c r="BY77" s="219">
        <v>69.793397663624944</v>
      </c>
      <c r="BZ77" s="219">
        <v>69.761388383061416</v>
      </c>
      <c r="CA77" s="219">
        <v>69.72903407481563</v>
      </c>
      <c r="CB77" s="219">
        <v>69.696346471432619</v>
      </c>
      <c r="CC77" s="33">
        <v>522.14630630241095</v>
      </c>
      <c r="CD77" s="219">
        <v>504.26441881083582</v>
      </c>
      <c r="CE77" s="219">
        <v>486.86055436449482</v>
      </c>
      <c r="CF77" s="219">
        <v>467.2573612470411</v>
      </c>
      <c r="CG77" s="219">
        <v>449.95074039540441</v>
      </c>
      <c r="CH77" s="219">
        <v>432.70604500156031</v>
      </c>
      <c r="CI77" s="219">
        <v>426.1295167894624</v>
      </c>
      <c r="CJ77" s="219">
        <v>419.71505909657878</v>
      </c>
      <c r="CK77" s="219">
        <v>412.15414052429531</v>
      </c>
      <c r="CL77" s="219">
        <v>406.03705567163468</v>
      </c>
      <c r="CM77" s="219">
        <v>400.16484738000128</v>
      </c>
      <c r="CN77" s="219">
        <v>396.73475407277613</v>
      </c>
      <c r="CO77" s="219">
        <v>393.50028329677679</v>
      </c>
      <c r="CP77" s="219">
        <v>389.99361415762809</v>
      </c>
      <c r="CQ77" s="219">
        <v>386.91542860596638</v>
      </c>
      <c r="CR77" s="219">
        <v>383.88922453453722</v>
      </c>
      <c r="CS77" s="219">
        <v>380.66899557386841</v>
      </c>
      <c r="CT77" s="219">
        <v>377.49454233904947</v>
      </c>
      <c r="CU77" s="219">
        <v>374.11066484545222</v>
      </c>
      <c r="CV77" s="219">
        <v>371.03494381852579</v>
      </c>
      <c r="CW77" s="219">
        <v>368.0181050227539</v>
      </c>
      <c r="CX77" s="219">
        <v>366.67006187563231</v>
      </c>
      <c r="CY77" s="219">
        <v>364.99653915203493</v>
      </c>
      <c r="CZ77" s="219">
        <v>363.343426468139</v>
      </c>
      <c r="DA77" s="219">
        <v>361.71027710514602</v>
      </c>
      <c r="DB77" s="219">
        <v>360.09670869948889</v>
      </c>
    </row>
    <row r="78" spans="1:106" x14ac:dyDescent="0.35">
      <c r="A78" s="137" t="s">
        <v>533</v>
      </c>
      <c r="B78" s="130" t="s">
        <v>545</v>
      </c>
      <c r="C78" s="33">
        <v>5.3713425904224309E-3</v>
      </c>
      <c r="D78" s="219">
        <v>5.3487505267825154E-3</v>
      </c>
      <c r="E78" s="219">
        <v>5.3261812685096704E-3</v>
      </c>
      <c r="F78" s="219">
        <v>5.2985381950000354E-3</v>
      </c>
      <c r="G78" s="219">
        <v>5.2745080845039271E-3</v>
      </c>
      <c r="H78" s="219">
        <v>5.2505108695051613E-3</v>
      </c>
      <c r="I78" s="219">
        <v>5.2353637519064718E-3</v>
      </c>
      <c r="J78" s="219">
        <v>5.2224003426841088E-3</v>
      </c>
      <c r="K78" s="219">
        <v>5.2090022890594161E-3</v>
      </c>
      <c r="L78" s="219">
        <v>5.1991202197417324E-3</v>
      </c>
      <c r="M78" s="219">
        <v>5.1905111178424919E-3</v>
      </c>
      <c r="N78" s="219">
        <v>5.1853307885129348E-3</v>
      </c>
      <c r="O78" s="219">
        <v>5.181636940778455E-3</v>
      </c>
      <c r="P78" s="219">
        <v>5.1783517121585573E-3</v>
      </c>
      <c r="Q78" s="219">
        <v>5.1764998045254586E-3</v>
      </c>
      <c r="R78" s="219">
        <v>5.1752606987396756E-3</v>
      </c>
      <c r="S78" s="219">
        <v>5.1769366444153666E-3</v>
      </c>
      <c r="T78" s="219">
        <v>5.1785747079978843E-3</v>
      </c>
      <c r="U78" s="219">
        <v>5.1795987972864336E-3</v>
      </c>
      <c r="V78" s="219">
        <v>5.1811580955570744E-3</v>
      </c>
      <c r="W78" s="219">
        <v>5.1826023569980662E-3</v>
      </c>
      <c r="X78" s="219">
        <v>5.2070247801368624E-3</v>
      </c>
      <c r="Y78" s="219">
        <v>5.2110538784468684E-3</v>
      </c>
      <c r="Z78" s="219">
        <v>5.2150439871722909E-3</v>
      </c>
      <c r="AA78" s="219">
        <v>5.2189964867599067E-3</v>
      </c>
      <c r="AB78" s="219">
        <v>5.2229130066934609E-3</v>
      </c>
      <c r="AC78" s="33">
        <v>4.8920761983372821E-6</v>
      </c>
      <c r="AD78" s="219">
        <v>4.8118400860235401E-6</v>
      </c>
      <c r="AE78" s="219">
        <v>4.7309604436526608E-6</v>
      </c>
      <c r="AF78" s="219">
        <v>4.6340967375793779E-6</v>
      </c>
      <c r="AG78" s="219">
        <v>4.5504544287492584E-6</v>
      </c>
      <c r="AH78" s="219">
        <v>4.4670794508534168E-6</v>
      </c>
      <c r="AI78" s="219">
        <v>4.4512771776584984E-6</v>
      </c>
      <c r="AJ78" s="219">
        <v>4.4356302203122471E-6</v>
      </c>
      <c r="AK78" s="219">
        <v>4.4117660929368939E-6</v>
      </c>
      <c r="AL78" s="219">
        <v>4.3963203196269309E-6</v>
      </c>
      <c r="AM78" s="219">
        <v>4.3812433517961414E-6</v>
      </c>
      <c r="AN78" s="219">
        <v>4.3737360138239973E-6</v>
      </c>
      <c r="AO78" s="219">
        <v>4.3667289780132543E-6</v>
      </c>
      <c r="AP78" s="219">
        <v>4.3567680009429233E-6</v>
      </c>
      <c r="AQ78" s="219">
        <v>4.3500517632303029E-6</v>
      </c>
      <c r="AR78" s="219">
        <v>4.3434021632132576E-6</v>
      </c>
      <c r="AS78" s="219">
        <v>4.3344408448965021E-6</v>
      </c>
      <c r="AT78" s="219">
        <v>4.3255875313555814E-6</v>
      </c>
      <c r="AU78" s="219">
        <v>4.314145646176191E-6</v>
      </c>
      <c r="AV78" s="219">
        <v>4.3054906375362196E-6</v>
      </c>
      <c r="AW78" s="219">
        <v>4.2964601283110234E-6</v>
      </c>
      <c r="AX78" s="219">
        <v>4.3152732007210082E-6</v>
      </c>
      <c r="AY78" s="219">
        <v>4.3120228330729419E-6</v>
      </c>
      <c r="AZ78" s="219">
        <v>4.3087839371529867E-6</v>
      </c>
      <c r="BA78" s="219">
        <v>4.3055555033391469E-6</v>
      </c>
      <c r="BB78" s="219">
        <v>4.3023370048200772E-6</v>
      </c>
      <c r="BC78" s="33">
        <v>309.39379081190958</v>
      </c>
      <c r="BD78" s="219">
        <v>308.56160818705189</v>
      </c>
      <c r="BE78" s="219">
        <v>307.73606599291668</v>
      </c>
      <c r="BF78" s="219">
        <v>306.51410902427159</v>
      </c>
      <c r="BG78" s="219">
        <v>305.68966240234312</v>
      </c>
      <c r="BH78" s="219">
        <v>304.88507015038698</v>
      </c>
      <c r="BI78" s="219">
        <v>305.29174549799149</v>
      </c>
      <c r="BJ78" s="219">
        <v>305.69117860764561</v>
      </c>
      <c r="BK78" s="219">
        <v>305.8104710348108</v>
      </c>
      <c r="BL78" s="219">
        <v>306.19903524196582</v>
      </c>
      <c r="BM78" s="219">
        <v>306.58350074206732</v>
      </c>
      <c r="BN78" s="219">
        <v>306.75255050775371</v>
      </c>
      <c r="BO78" s="219">
        <v>306.92479154054121</v>
      </c>
      <c r="BP78" s="219">
        <v>307.01680502886359</v>
      </c>
      <c r="BQ78" s="219">
        <v>307.19044727203112</v>
      </c>
      <c r="BR78" s="219">
        <v>307.36317658023069</v>
      </c>
      <c r="BS78" s="219">
        <v>306.97083438756522</v>
      </c>
      <c r="BT78" s="219">
        <v>306.57989025866323</v>
      </c>
      <c r="BU78" s="219">
        <v>306.11493081282572</v>
      </c>
      <c r="BV78" s="219">
        <v>305.72752230519689</v>
      </c>
      <c r="BW78" s="219">
        <v>305.33865108417177</v>
      </c>
      <c r="BX78" s="219">
        <v>305.25173667581271</v>
      </c>
      <c r="BY78" s="219">
        <v>305.16553362112631</v>
      </c>
      <c r="BZ78" s="219">
        <v>305.0795875203919</v>
      </c>
      <c r="CA78" s="219">
        <v>304.99387963583803</v>
      </c>
      <c r="CB78" s="219">
        <v>304.90840205806973</v>
      </c>
      <c r="CC78" s="33">
        <v>689.59917152625098</v>
      </c>
      <c r="CD78" s="219">
        <v>664.59801708938994</v>
      </c>
      <c r="CE78" s="219">
        <v>639.77309695531676</v>
      </c>
      <c r="CF78" s="219">
        <v>612.07992663012078</v>
      </c>
      <c r="CG78" s="219">
        <v>587.08364138180445</v>
      </c>
      <c r="CH78" s="219">
        <v>562.38235001817725</v>
      </c>
      <c r="CI78" s="219">
        <v>553.88316236504147</v>
      </c>
      <c r="CJ78" s="219">
        <v>545.51752104250852</v>
      </c>
      <c r="CK78" s="219">
        <v>535.65171616562327</v>
      </c>
      <c r="CL78" s="219">
        <v>527.54680804709812</v>
      </c>
      <c r="CM78" s="219">
        <v>519.61827483862942</v>
      </c>
      <c r="CN78" s="219">
        <v>515.30960766276996</v>
      </c>
      <c r="CO78" s="219">
        <v>511.14658628984012</v>
      </c>
      <c r="CP78" s="219">
        <v>506.61146630010029</v>
      </c>
      <c r="CQ78" s="219">
        <v>502.5922823896899</v>
      </c>
      <c r="CR78" s="219">
        <v>498.62147445792033</v>
      </c>
      <c r="CS78" s="219">
        <v>494.87110444080611</v>
      </c>
      <c r="CT78" s="219">
        <v>491.17675019547221</v>
      </c>
      <c r="CU78" s="219">
        <v>487.2216728016877</v>
      </c>
      <c r="CV78" s="219">
        <v>483.64963750250172</v>
      </c>
      <c r="CW78" s="219">
        <v>480.15482010734468</v>
      </c>
      <c r="CX78" s="219">
        <v>478.69966617017758</v>
      </c>
      <c r="CY78" s="219">
        <v>476.37819966538359</v>
      </c>
      <c r="CZ78" s="219">
        <v>474.07687610253089</v>
      </c>
      <c r="DA78" s="219">
        <v>471.79532967229562</v>
      </c>
      <c r="DB78" s="219">
        <v>469.53326635606749</v>
      </c>
    </row>
    <row r="79" spans="1:106" x14ac:dyDescent="0.35">
      <c r="A79" s="137" t="s">
        <v>534</v>
      </c>
      <c r="B79" s="130" t="s">
        <v>545</v>
      </c>
      <c r="C79" s="33">
        <v>1.2015567507973911E-2</v>
      </c>
      <c r="D79" s="219">
        <v>1.193184493938183E-2</v>
      </c>
      <c r="E79" s="219">
        <v>1.1854560719709899E-2</v>
      </c>
      <c r="F79" s="219">
        <v>1.17624580429552E-2</v>
      </c>
      <c r="G79" s="219">
        <v>1.1689275274068029E-2</v>
      </c>
      <c r="H79" s="219">
        <v>1.161850644780394E-2</v>
      </c>
      <c r="I79" s="219">
        <v>1.1553405139610951E-2</v>
      </c>
      <c r="J79" s="219">
        <v>1.149627364617779E-2</v>
      </c>
      <c r="K79" s="219">
        <v>1.1437468433161419E-2</v>
      </c>
      <c r="L79" s="219">
        <v>1.1392100034737189E-2</v>
      </c>
      <c r="M79" s="219">
        <v>1.135237351870806E-2</v>
      </c>
      <c r="N79" s="219">
        <v>1.131779460296478E-2</v>
      </c>
      <c r="O79" s="219">
        <v>1.128961221596394E-2</v>
      </c>
      <c r="P79" s="219">
        <v>1.126326176612996E-2</v>
      </c>
      <c r="Q79" s="219">
        <v>1.124254524441206E-2</v>
      </c>
      <c r="R79" s="219">
        <v>1.122441315380918E-2</v>
      </c>
      <c r="S79" s="219">
        <v>1.1218847160499279E-2</v>
      </c>
      <c r="T79" s="219">
        <v>1.1213448637478829E-2</v>
      </c>
      <c r="U79" s="219">
        <v>1.1206023157705001E-2</v>
      </c>
      <c r="V79" s="219">
        <v>1.120088808663141E-2</v>
      </c>
      <c r="W79" s="219">
        <v>1.11956250177392E-2</v>
      </c>
      <c r="X79" s="219">
        <v>1.1277825014591869E-2</v>
      </c>
      <c r="Y79" s="219">
        <v>1.1283753553345091E-2</v>
      </c>
      <c r="Z79" s="219">
        <v>1.128962227674195E-2</v>
      </c>
      <c r="AA79" s="219">
        <v>1.129543186068215E-2</v>
      </c>
      <c r="AB79" s="219">
        <v>1.130118380631868E-2</v>
      </c>
      <c r="AC79" s="33">
        <v>1.2592987091342301E-5</v>
      </c>
      <c r="AD79" s="219">
        <v>1.24158211809999E-5</v>
      </c>
      <c r="AE79" s="219">
        <v>1.224755620060878E-5</v>
      </c>
      <c r="AF79" s="219">
        <v>1.202497580599355E-5</v>
      </c>
      <c r="AG79" s="219">
        <v>1.186015305044472E-5</v>
      </c>
      <c r="AH79" s="219">
        <v>1.1698549185368711E-5</v>
      </c>
      <c r="AI79" s="219">
        <v>1.165216452640519E-5</v>
      </c>
      <c r="AJ79" s="219">
        <v>1.1607491784808369E-5</v>
      </c>
      <c r="AK79" s="219">
        <v>1.1532841491016431E-5</v>
      </c>
      <c r="AL79" s="219">
        <v>1.1490764458101789E-5</v>
      </c>
      <c r="AM79" s="219">
        <v>1.1452267942302211E-5</v>
      </c>
      <c r="AN79" s="219">
        <v>1.142751812945977E-5</v>
      </c>
      <c r="AO79" s="219">
        <v>1.140600402457083E-5</v>
      </c>
      <c r="AP79" s="219">
        <v>1.137349148850676E-5</v>
      </c>
      <c r="AQ79" s="219">
        <v>1.1353484342067961E-5</v>
      </c>
      <c r="AR79" s="219">
        <v>1.1333835728003319E-5</v>
      </c>
      <c r="AS79" s="219">
        <v>1.1303423584206341E-5</v>
      </c>
      <c r="AT79" s="219">
        <v>1.127330442019151E-5</v>
      </c>
      <c r="AU79" s="219">
        <v>1.1233100112555381E-5</v>
      </c>
      <c r="AV79" s="219">
        <v>1.120345842826477E-5</v>
      </c>
      <c r="AW79" s="219">
        <v>1.117261548986595E-5</v>
      </c>
      <c r="AX79" s="219">
        <v>1.123973636125736E-5</v>
      </c>
      <c r="AY79" s="219">
        <v>1.1231013762691841E-5</v>
      </c>
      <c r="AZ79" s="219">
        <v>1.122238068642387E-5</v>
      </c>
      <c r="BA79" s="219">
        <v>1.1213832108614369E-5</v>
      </c>
      <c r="BB79" s="219">
        <v>1.120536448281277E-5</v>
      </c>
      <c r="BC79" s="33">
        <v>304.2681794288975</v>
      </c>
      <c r="BD79" s="219">
        <v>302.44313751880338</v>
      </c>
      <c r="BE79" s="219">
        <v>300.7004850396346</v>
      </c>
      <c r="BF79" s="219">
        <v>297.48511388064168</v>
      </c>
      <c r="BG79" s="219">
        <v>295.80407338925818</v>
      </c>
      <c r="BH79" s="219">
        <v>294.17056845803438</v>
      </c>
      <c r="BI79" s="219">
        <v>295.31374836842429</v>
      </c>
      <c r="BJ79" s="219">
        <v>296.44130690166259</v>
      </c>
      <c r="BK79" s="219">
        <v>296.52663691681948</v>
      </c>
      <c r="BL79" s="219">
        <v>297.63715170570981</v>
      </c>
      <c r="BM79" s="219">
        <v>298.75538951311398</v>
      </c>
      <c r="BN79" s="219">
        <v>299.67273428413739</v>
      </c>
      <c r="BO79" s="219">
        <v>300.61149105796881</v>
      </c>
      <c r="BP79" s="219">
        <v>301.24464181472212</v>
      </c>
      <c r="BQ79" s="219">
        <v>302.18341881349522</v>
      </c>
      <c r="BR79" s="219">
        <v>303.11544477374639</v>
      </c>
      <c r="BS79" s="219">
        <v>302.33462613663153</v>
      </c>
      <c r="BT79" s="219">
        <v>301.54482441040221</v>
      </c>
      <c r="BU79" s="219">
        <v>300.46112026033222</v>
      </c>
      <c r="BV79" s="219">
        <v>299.65739019927088</v>
      </c>
      <c r="BW79" s="219">
        <v>298.83694086414641</v>
      </c>
      <c r="BX79" s="219">
        <v>298.71656738088728</v>
      </c>
      <c r="BY79" s="219">
        <v>298.59558513539753</v>
      </c>
      <c r="BZ79" s="219">
        <v>298.47281058025033</v>
      </c>
      <c r="CA79" s="219">
        <v>298.3482746275331</v>
      </c>
      <c r="CB79" s="219">
        <v>298.22203553527402</v>
      </c>
      <c r="CC79" s="33">
        <v>2299.7919129358629</v>
      </c>
      <c r="CD79" s="219">
        <v>2241.126108650642</v>
      </c>
      <c r="CE79" s="219">
        <v>2185.2990414190231</v>
      </c>
      <c r="CF79" s="219">
        <v>2119.7117203498251</v>
      </c>
      <c r="CG79" s="219">
        <v>2065.8411566788509</v>
      </c>
      <c r="CH79" s="219">
        <v>2013.168092478106</v>
      </c>
      <c r="CI79" s="219">
        <v>1988.3361793695819</v>
      </c>
      <c r="CJ79" s="219">
        <v>1964.2142312993481</v>
      </c>
      <c r="CK79" s="219">
        <v>1934.614913885727</v>
      </c>
      <c r="CL79" s="219">
        <v>1911.8006206158509</v>
      </c>
      <c r="CM79" s="219">
        <v>1890.1168121346641</v>
      </c>
      <c r="CN79" s="219">
        <v>1875.67426232809</v>
      </c>
      <c r="CO79" s="219">
        <v>1862.166265981617</v>
      </c>
      <c r="CP79" s="219">
        <v>1847.357069733036</v>
      </c>
      <c r="CQ79" s="219">
        <v>1834.580472205228</v>
      </c>
      <c r="CR79" s="219">
        <v>1822.043770456313</v>
      </c>
      <c r="CS79" s="219">
        <v>1808.1637723883</v>
      </c>
      <c r="CT79" s="219">
        <v>1794.46880519808</v>
      </c>
      <c r="CU79" s="219">
        <v>1779.744527859023</v>
      </c>
      <c r="CV79" s="219">
        <v>1766.455241670086</v>
      </c>
      <c r="CW79" s="219">
        <v>1753.4080286183109</v>
      </c>
      <c r="CX79" s="219">
        <v>1748.0652739904269</v>
      </c>
      <c r="CY79" s="219">
        <v>1741.1992258308239</v>
      </c>
      <c r="CZ79" s="219">
        <v>1734.410141432287</v>
      </c>
      <c r="DA79" s="219">
        <v>1727.696011145041</v>
      </c>
      <c r="DB79" s="219">
        <v>1721.0550706153319</v>
      </c>
    </row>
    <row r="80" spans="1:106" x14ac:dyDescent="0.35">
      <c r="A80" s="137" t="s">
        <v>535</v>
      </c>
      <c r="B80" s="130" t="s">
        <v>545</v>
      </c>
      <c r="C80" s="33">
        <v>1.529227024432098E-2</v>
      </c>
      <c r="D80" s="219">
        <v>1.519722529538591E-2</v>
      </c>
      <c r="E80" s="219">
        <v>1.5103299023211079E-2</v>
      </c>
      <c r="F80" s="219">
        <v>1.499576319870637E-2</v>
      </c>
      <c r="G80" s="219">
        <v>1.489919833815531E-2</v>
      </c>
      <c r="H80" s="219">
        <v>1.480096892297251E-2</v>
      </c>
      <c r="I80" s="219">
        <v>1.476135131203455E-2</v>
      </c>
      <c r="J80" s="219">
        <v>1.472528419308353E-2</v>
      </c>
      <c r="K80" s="219">
        <v>1.468611125553693E-2</v>
      </c>
      <c r="L80" s="219">
        <v>1.4655288299377751E-2</v>
      </c>
      <c r="M80" s="219">
        <v>1.4626953844904511E-2</v>
      </c>
      <c r="N80" s="219">
        <v>1.4608233907580681E-2</v>
      </c>
      <c r="O80" s="219">
        <v>1.4592375277321511E-2</v>
      </c>
      <c r="P80" s="219">
        <v>1.4576660304995701E-2</v>
      </c>
      <c r="Q80" s="219">
        <v>1.4564153429797871E-2</v>
      </c>
      <c r="R80" s="219">
        <v>1.4552793009987099E-2</v>
      </c>
      <c r="S80" s="219">
        <v>1.454621998751379E-2</v>
      </c>
      <c r="T80" s="219">
        <v>1.4539757422508849E-2</v>
      </c>
      <c r="U80" s="219">
        <v>1.453180848325851E-2</v>
      </c>
      <c r="V80" s="219">
        <v>1.452555649305041E-2</v>
      </c>
      <c r="W80" s="219">
        <v>1.4519207430935261E-2</v>
      </c>
      <c r="X80" s="219">
        <v>1.456061404937053E-2</v>
      </c>
      <c r="Y80" s="219">
        <v>1.4561150778041539E-2</v>
      </c>
      <c r="Z80" s="219">
        <v>1.4561683434644909E-2</v>
      </c>
      <c r="AA80" s="219">
        <v>1.4562211795272719E-2</v>
      </c>
      <c r="AB80" s="219">
        <v>1.4562736440201E-2</v>
      </c>
      <c r="AC80" s="33">
        <v>9.5688269134472151E-6</v>
      </c>
      <c r="AD80" s="219">
        <v>9.3690709010833387E-6</v>
      </c>
      <c r="AE80" s="219">
        <v>9.1696843742293654E-6</v>
      </c>
      <c r="AF80" s="219">
        <v>8.9256860871827262E-6</v>
      </c>
      <c r="AG80" s="219">
        <v>8.7192070054499865E-6</v>
      </c>
      <c r="AH80" s="219">
        <v>8.5089075075165141E-6</v>
      </c>
      <c r="AI80" s="219">
        <v>8.4663053808838969E-6</v>
      </c>
      <c r="AJ80" s="219">
        <v>8.4243336956660185E-6</v>
      </c>
      <c r="AK80" s="219">
        <v>8.3597497595389175E-6</v>
      </c>
      <c r="AL80" s="219">
        <v>8.318686803913958E-6</v>
      </c>
      <c r="AM80" s="219">
        <v>8.279102363448821E-6</v>
      </c>
      <c r="AN80" s="219">
        <v>8.2596549329179096E-6</v>
      </c>
      <c r="AO80" s="219">
        <v>8.2417043859025173E-6</v>
      </c>
      <c r="AP80" s="219">
        <v>8.215407195778625E-6</v>
      </c>
      <c r="AQ80" s="219">
        <v>8.1981859254993092E-6</v>
      </c>
      <c r="AR80" s="219">
        <v>8.1811198790975851E-6</v>
      </c>
      <c r="AS80" s="219">
        <v>8.1559310729269236E-6</v>
      </c>
      <c r="AT80" s="219">
        <v>8.1310246288524723E-6</v>
      </c>
      <c r="AU80" s="219">
        <v>8.0987284459790123E-6</v>
      </c>
      <c r="AV80" s="219">
        <v>8.0742929617996128E-6</v>
      </c>
      <c r="AW80" s="219">
        <v>8.0488406955891053E-6</v>
      </c>
      <c r="AX80" s="219">
        <v>8.0810476275764121E-6</v>
      </c>
      <c r="AY80" s="219">
        <v>8.0742295764296942E-6</v>
      </c>
      <c r="AZ80" s="219">
        <v>8.0674412418872111E-6</v>
      </c>
      <c r="BA80" s="219">
        <v>8.0606805143307037E-6</v>
      </c>
      <c r="BB80" s="219">
        <v>8.0539466820317085E-6</v>
      </c>
      <c r="BC80" s="33">
        <v>232.33757803762921</v>
      </c>
      <c r="BD80" s="219">
        <v>230.7059135968434</v>
      </c>
      <c r="BE80" s="219">
        <v>229.09255383463241</v>
      </c>
      <c r="BF80" s="219">
        <v>226.35953563642059</v>
      </c>
      <c r="BG80" s="219">
        <v>224.7325644469089</v>
      </c>
      <c r="BH80" s="219">
        <v>223.10103140452861</v>
      </c>
      <c r="BI80" s="219">
        <v>224.59995737687089</v>
      </c>
      <c r="BJ80" s="219">
        <v>226.0699914822699</v>
      </c>
      <c r="BK80" s="219">
        <v>226.75320081292881</v>
      </c>
      <c r="BL80" s="219">
        <v>228.17729957616439</v>
      </c>
      <c r="BM80" s="219">
        <v>229.58440521546299</v>
      </c>
      <c r="BN80" s="219">
        <v>230.40356616819639</v>
      </c>
      <c r="BO80" s="219">
        <v>231.2295434416252</v>
      </c>
      <c r="BP80" s="219">
        <v>231.8278604955124</v>
      </c>
      <c r="BQ80" s="219">
        <v>232.65062277674741</v>
      </c>
      <c r="BR80" s="219">
        <v>233.4675265335716</v>
      </c>
      <c r="BS80" s="219">
        <v>232.49894134070931</v>
      </c>
      <c r="BT80" s="219">
        <v>231.5310073706527</v>
      </c>
      <c r="BU80" s="219">
        <v>230.35304354162821</v>
      </c>
      <c r="BV80" s="219">
        <v>229.38872718397741</v>
      </c>
      <c r="BW80" s="219">
        <v>228.41767431561451</v>
      </c>
      <c r="BX80" s="219">
        <v>228.32191156311529</v>
      </c>
      <c r="BY80" s="219">
        <v>228.22680707141279</v>
      </c>
      <c r="BZ80" s="219">
        <v>228.13109655796421</v>
      </c>
      <c r="CA80" s="219">
        <v>228.03477645702449</v>
      </c>
      <c r="CB80" s="219">
        <v>227.93787281754089</v>
      </c>
      <c r="CC80" s="33">
        <v>2048.7708155777868</v>
      </c>
      <c r="CD80" s="219">
        <v>1987.771274180109</v>
      </c>
      <c r="CE80" s="219">
        <v>1927.527094221115</v>
      </c>
      <c r="CF80" s="219">
        <v>1859.236957303448</v>
      </c>
      <c r="CG80" s="219">
        <v>1798.5261312249979</v>
      </c>
      <c r="CH80" s="219">
        <v>1737.4758620702769</v>
      </c>
      <c r="CI80" s="219">
        <v>1716.066377500051</v>
      </c>
      <c r="CJ80" s="219">
        <v>1695.045389829914</v>
      </c>
      <c r="CK80" s="219">
        <v>1669.8769116576379</v>
      </c>
      <c r="CL80" s="219">
        <v>1649.608315157016</v>
      </c>
      <c r="CM80" s="219">
        <v>1629.8978421219999</v>
      </c>
      <c r="CN80" s="219">
        <v>1619.7289832155409</v>
      </c>
      <c r="CO80" s="219">
        <v>1609.996685667164</v>
      </c>
      <c r="CP80" s="219">
        <v>1599.211412238036</v>
      </c>
      <c r="CQ80" s="219">
        <v>1589.862575186359</v>
      </c>
      <c r="CR80" s="219">
        <v>1580.63966887068</v>
      </c>
      <c r="CS80" s="219">
        <v>1570.539589697938</v>
      </c>
      <c r="CT80" s="219">
        <v>1560.5777357393349</v>
      </c>
      <c r="CU80" s="219">
        <v>1549.8579694979619</v>
      </c>
      <c r="CV80" s="219">
        <v>1540.2015910710761</v>
      </c>
      <c r="CW80" s="219">
        <v>1530.7384067573589</v>
      </c>
      <c r="CX80" s="219">
        <v>1526.0730843764029</v>
      </c>
      <c r="CY80" s="219">
        <v>1520.44008896373</v>
      </c>
      <c r="CZ80" s="219">
        <v>1514.8718168045959</v>
      </c>
      <c r="DA80" s="219">
        <v>1509.366907733086</v>
      </c>
      <c r="DB80" s="219">
        <v>1503.9242180752151</v>
      </c>
    </row>
    <row r="81" spans="1:106" x14ac:dyDescent="0.35">
      <c r="A81" s="137" t="s">
        <v>536</v>
      </c>
      <c r="B81" s="130" t="s">
        <v>545</v>
      </c>
      <c r="C81" s="33">
        <v>1.1898439492001591E-2</v>
      </c>
      <c r="D81" s="219">
        <v>1.1825229000281341E-2</v>
      </c>
      <c r="E81" s="219">
        <v>1.1749912170078749E-2</v>
      </c>
      <c r="F81" s="219">
        <v>1.166650077211984E-2</v>
      </c>
      <c r="G81" s="219">
        <v>1.1585543348493771E-2</v>
      </c>
      <c r="H81" s="219">
        <v>1.150117537823277E-2</v>
      </c>
      <c r="I81" s="219">
        <v>1.148638340304607E-2</v>
      </c>
      <c r="J81" s="219">
        <v>1.1471867838550431E-2</v>
      </c>
      <c r="K81" s="219">
        <v>1.145496483475518E-2</v>
      </c>
      <c r="L81" s="219">
        <v>1.14407732357544E-2</v>
      </c>
      <c r="M81" s="219">
        <v>1.1426707879393269E-2</v>
      </c>
      <c r="N81" s="219">
        <v>1.142194049895609E-2</v>
      </c>
      <c r="O81" s="219">
        <v>1.14173717087731E-2</v>
      </c>
      <c r="P81" s="219">
        <v>1.1412207382008E-2</v>
      </c>
      <c r="Q81" s="219">
        <v>1.1407896214631679E-2</v>
      </c>
      <c r="R81" s="219">
        <v>1.1403656671892181E-2</v>
      </c>
      <c r="S81" s="219">
        <v>1.1399359317241E-2</v>
      </c>
      <c r="T81" s="219">
        <v>1.1395107519802741E-2</v>
      </c>
      <c r="U81" s="219">
        <v>1.139022649890423E-2</v>
      </c>
      <c r="V81" s="219">
        <v>1.13860813783505E-2</v>
      </c>
      <c r="W81" s="219">
        <v>1.1381901539110039E-2</v>
      </c>
      <c r="X81" s="219">
        <v>1.141359536931739E-2</v>
      </c>
      <c r="Y81" s="219">
        <v>1.1411748509489649E-2</v>
      </c>
      <c r="Z81" s="219">
        <v>1.140992758823794E-2</v>
      </c>
      <c r="AA81" s="219">
        <v>1.14081321879145E-2</v>
      </c>
      <c r="AB81" s="219">
        <v>1.1406362382928741E-2</v>
      </c>
      <c r="AC81" s="33">
        <v>7.5789098247603887E-6</v>
      </c>
      <c r="AD81" s="219">
        <v>7.4245031360613338E-6</v>
      </c>
      <c r="AE81" s="219">
        <v>7.2652697185455174E-6</v>
      </c>
      <c r="AF81" s="219">
        <v>7.0824894115284708E-6</v>
      </c>
      <c r="AG81" s="219">
        <v>6.9118041557380194E-6</v>
      </c>
      <c r="AH81" s="219">
        <v>6.7343587526803578E-6</v>
      </c>
      <c r="AI81" s="219">
        <v>6.7067942690414252E-6</v>
      </c>
      <c r="AJ81" s="219">
        <v>6.6789477845503006E-6</v>
      </c>
      <c r="AK81" s="219">
        <v>6.6407886368421183E-6</v>
      </c>
      <c r="AL81" s="219">
        <v>6.6124564388698753E-6</v>
      </c>
      <c r="AM81" s="219">
        <v>6.5838949097499916E-6</v>
      </c>
      <c r="AN81" s="219">
        <v>6.5734102088595438E-6</v>
      </c>
      <c r="AO81" s="219">
        <v>6.5630453104474493E-6</v>
      </c>
      <c r="AP81" s="219">
        <v>6.5489528413859233E-6</v>
      </c>
      <c r="AQ81" s="219">
        <v>6.5386822637714517E-6</v>
      </c>
      <c r="AR81" s="219">
        <v>6.5284153919045343E-6</v>
      </c>
      <c r="AS81" s="219">
        <v>6.5153599876535928E-6</v>
      </c>
      <c r="AT81" s="219">
        <v>6.5024729097252871E-6</v>
      </c>
      <c r="AU81" s="219">
        <v>6.4864288890030852E-6</v>
      </c>
      <c r="AV81" s="219">
        <v>6.4738369664209637E-6</v>
      </c>
      <c r="AW81" s="219">
        <v>6.4607919202497692E-6</v>
      </c>
      <c r="AX81" s="219">
        <v>6.4893933323659233E-6</v>
      </c>
      <c r="AY81" s="219">
        <v>6.4862959529596237E-6</v>
      </c>
      <c r="AZ81" s="219">
        <v>6.4831967948213078E-6</v>
      </c>
      <c r="BA81" s="219">
        <v>6.4800959235885352E-6</v>
      </c>
      <c r="BB81" s="219">
        <v>6.4769942090486219E-6</v>
      </c>
      <c r="BC81" s="33">
        <v>112.28629490364889</v>
      </c>
      <c r="BD81" s="219">
        <v>111.294129041549</v>
      </c>
      <c r="BE81" s="219">
        <v>110.2791794668025</v>
      </c>
      <c r="BF81" s="219">
        <v>108.74727056181629</v>
      </c>
      <c r="BG81" s="219">
        <v>107.67964365003181</v>
      </c>
      <c r="BH81" s="219">
        <v>106.5804416280525</v>
      </c>
      <c r="BI81" s="219">
        <v>107.63062405110171</v>
      </c>
      <c r="BJ81" s="219">
        <v>108.65437207548069</v>
      </c>
      <c r="BK81" s="219">
        <v>109.320091682648</v>
      </c>
      <c r="BL81" s="219">
        <v>110.2971162421664</v>
      </c>
      <c r="BM81" s="219">
        <v>111.2498262660901</v>
      </c>
      <c r="BN81" s="219">
        <v>111.5083572117457</v>
      </c>
      <c r="BO81" s="219">
        <v>111.7650147811825</v>
      </c>
      <c r="BP81" s="219">
        <v>111.922364848038</v>
      </c>
      <c r="BQ81" s="219">
        <v>112.176593008431</v>
      </c>
      <c r="BR81" s="219">
        <v>112.4281753600082</v>
      </c>
      <c r="BS81" s="219">
        <v>111.7163800813364</v>
      </c>
      <c r="BT81" s="219">
        <v>111.01009463336869</v>
      </c>
      <c r="BU81" s="219">
        <v>110.2178403299917</v>
      </c>
      <c r="BV81" s="219">
        <v>109.52321886252879</v>
      </c>
      <c r="BW81" s="219">
        <v>108.83026014443</v>
      </c>
      <c r="BX81" s="219">
        <v>108.7632843539823</v>
      </c>
      <c r="BY81" s="219">
        <v>108.69741423966791</v>
      </c>
      <c r="BZ81" s="219">
        <v>108.6318279181732</v>
      </c>
      <c r="CA81" s="219">
        <v>108.5665058906532</v>
      </c>
      <c r="CB81" s="219">
        <v>108.50144799861761</v>
      </c>
      <c r="CC81" s="33">
        <v>1127.30474085434</v>
      </c>
      <c r="CD81" s="219">
        <v>1082.454925604012</v>
      </c>
      <c r="CE81" s="219">
        <v>1036.973140039428</v>
      </c>
      <c r="CF81" s="219">
        <v>987.2279864803387</v>
      </c>
      <c r="CG81" s="219">
        <v>939.9257450758198</v>
      </c>
      <c r="CH81" s="219">
        <v>891.485220094954</v>
      </c>
      <c r="CI81" s="219">
        <v>878.07966296389804</v>
      </c>
      <c r="CJ81" s="219">
        <v>864.79530176213564</v>
      </c>
      <c r="CK81" s="219">
        <v>849.66636939580985</v>
      </c>
      <c r="CL81" s="219">
        <v>836.64172611195181</v>
      </c>
      <c r="CM81" s="219">
        <v>823.72080488067888</v>
      </c>
      <c r="CN81" s="219">
        <v>818.88793815724284</v>
      </c>
      <c r="CO81" s="219">
        <v>814.09590840989677</v>
      </c>
      <c r="CP81" s="219">
        <v>808.79679312865574</v>
      </c>
      <c r="CQ81" s="219">
        <v>804.08024036224424</v>
      </c>
      <c r="CR81" s="219">
        <v>799.38843999159997</v>
      </c>
      <c r="CS81" s="219">
        <v>794.95356185722312</v>
      </c>
      <c r="CT81" s="219">
        <v>790.58642414970814</v>
      </c>
      <c r="CU81" s="219">
        <v>785.89934098113997</v>
      </c>
      <c r="CV81" s="219">
        <v>781.68172498434728</v>
      </c>
      <c r="CW81" s="219">
        <v>777.56001387390506</v>
      </c>
      <c r="CX81" s="219">
        <v>774.97777957077221</v>
      </c>
      <c r="CY81" s="219">
        <v>772.08806729758749</v>
      </c>
      <c r="CZ81" s="219">
        <v>769.23663656468841</v>
      </c>
      <c r="DA81" s="219">
        <v>766.4230183237222</v>
      </c>
      <c r="DB81" s="219">
        <v>763.64686478819601</v>
      </c>
    </row>
    <row r="82" spans="1:106" x14ac:dyDescent="0.35">
      <c r="A82" s="137" t="s">
        <v>537</v>
      </c>
      <c r="B82" s="130" t="s">
        <v>545</v>
      </c>
      <c r="C82" s="33">
        <v>7.7672923315607531E-3</v>
      </c>
      <c r="D82" s="219">
        <v>7.7308780961086229E-3</v>
      </c>
      <c r="E82" s="219">
        <v>7.6940580061981047E-3</v>
      </c>
      <c r="F82" s="219">
        <v>7.6519053264537586E-3</v>
      </c>
      <c r="G82" s="219">
        <v>7.6133458621064293E-3</v>
      </c>
      <c r="H82" s="219">
        <v>7.5740954662225548E-3</v>
      </c>
      <c r="I82" s="219">
        <v>7.5630448575765147E-3</v>
      </c>
      <c r="J82" s="219">
        <v>7.552479318368624E-3</v>
      </c>
      <c r="K82" s="219">
        <v>7.5401444661921287E-3</v>
      </c>
      <c r="L82" s="219">
        <v>7.5302945726822921E-3</v>
      </c>
      <c r="M82" s="219">
        <v>7.5207584597239254E-3</v>
      </c>
      <c r="N82" s="219">
        <v>7.5165452789926358E-3</v>
      </c>
      <c r="O82" s="219">
        <v>7.5126977022526107E-3</v>
      </c>
      <c r="P82" s="219">
        <v>7.5084778098536784E-3</v>
      </c>
      <c r="Q82" s="219">
        <v>7.5050763576750999E-3</v>
      </c>
      <c r="R82" s="219">
        <v>7.5018190030239186E-3</v>
      </c>
      <c r="S82" s="219">
        <v>7.4992316899974883E-3</v>
      </c>
      <c r="T82" s="219">
        <v>7.4966689779215161E-3</v>
      </c>
      <c r="U82" s="219">
        <v>7.4935634953013901E-3</v>
      </c>
      <c r="V82" s="219">
        <v>7.491060549321896E-3</v>
      </c>
      <c r="W82" s="219">
        <v>7.4885300893529844E-3</v>
      </c>
      <c r="X82" s="219">
        <v>7.5284185553139748E-3</v>
      </c>
      <c r="Y82" s="219">
        <v>7.5277830147785383E-3</v>
      </c>
      <c r="Z82" s="219">
        <v>7.5271561918941708E-3</v>
      </c>
      <c r="AA82" s="219">
        <v>7.526538024054447E-3</v>
      </c>
      <c r="AB82" s="219">
        <v>7.5259286870412757E-3</v>
      </c>
      <c r="AC82" s="33">
        <v>6.5339554735163091E-6</v>
      </c>
      <c r="AD82" s="219">
        <v>6.4603580974038136E-6</v>
      </c>
      <c r="AE82" s="219">
        <v>6.3854792036307966E-6</v>
      </c>
      <c r="AF82" s="219">
        <v>6.2937118770923886E-6</v>
      </c>
      <c r="AG82" s="219">
        <v>6.2151283037435644E-6</v>
      </c>
      <c r="AH82" s="219">
        <v>6.1351773458079513E-6</v>
      </c>
      <c r="AI82" s="219">
        <v>6.1212188845918984E-6</v>
      </c>
      <c r="AJ82" s="219">
        <v>6.1072111045465736E-6</v>
      </c>
      <c r="AK82" s="219">
        <v>6.084789386583499E-6</v>
      </c>
      <c r="AL82" s="219">
        <v>6.0706670136666029E-6</v>
      </c>
      <c r="AM82" s="219">
        <v>6.056604638073031E-6</v>
      </c>
      <c r="AN82" s="219">
        <v>6.0514411575682959E-6</v>
      </c>
      <c r="AO82" s="219">
        <v>6.0464331760754896E-6</v>
      </c>
      <c r="AP82" s="219">
        <v>6.0383039912732766E-6</v>
      </c>
      <c r="AQ82" s="219">
        <v>6.0333380977908204E-6</v>
      </c>
      <c r="AR82" s="219">
        <v>6.0283567116602291E-6</v>
      </c>
      <c r="AS82" s="219">
        <v>6.0207139611578928E-6</v>
      </c>
      <c r="AT82" s="219">
        <v>6.0131419766573576E-6</v>
      </c>
      <c r="AU82" s="219">
        <v>6.0028818185182364E-6</v>
      </c>
      <c r="AV82" s="219">
        <v>5.9954287578897093E-6</v>
      </c>
      <c r="AW82" s="219">
        <v>5.9876613063432706E-6</v>
      </c>
      <c r="AX82" s="219">
        <v>6.0192221603355621E-6</v>
      </c>
      <c r="AY82" s="219">
        <v>6.0162726320401097E-6</v>
      </c>
      <c r="AZ82" s="219">
        <v>6.0133072610415314E-6</v>
      </c>
      <c r="BA82" s="219">
        <v>6.0103255833389911E-6</v>
      </c>
      <c r="BB82" s="219">
        <v>6.0073275535559191E-6</v>
      </c>
      <c r="BC82" s="33">
        <v>81.434527823734626</v>
      </c>
      <c r="BD82" s="219">
        <v>80.88796548521843</v>
      </c>
      <c r="BE82" s="219">
        <v>80.335108816121021</v>
      </c>
      <c r="BF82" s="219">
        <v>79.364691008605661</v>
      </c>
      <c r="BG82" s="219">
        <v>78.794438458425446</v>
      </c>
      <c r="BH82" s="219">
        <v>78.222475632758091</v>
      </c>
      <c r="BI82" s="219">
        <v>78.683721309335141</v>
      </c>
      <c r="BJ82" s="219">
        <v>79.133944020491782</v>
      </c>
      <c r="BK82" s="219">
        <v>79.297672217807815</v>
      </c>
      <c r="BL82" s="219">
        <v>79.730175438802249</v>
      </c>
      <c r="BM82" s="219">
        <v>80.153373204495466</v>
      </c>
      <c r="BN82" s="219">
        <v>80.305939499555052</v>
      </c>
      <c r="BO82" s="219">
        <v>80.458555379463718</v>
      </c>
      <c r="BP82" s="219">
        <v>80.529273130842952</v>
      </c>
      <c r="BQ82" s="219">
        <v>80.68148935339886</v>
      </c>
      <c r="BR82" s="219">
        <v>80.832266344137068</v>
      </c>
      <c r="BS82" s="219">
        <v>80.467159634077092</v>
      </c>
      <c r="BT82" s="219">
        <v>80.103862351169738</v>
      </c>
      <c r="BU82" s="219">
        <v>79.66622307317067</v>
      </c>
      <c r="BV82" s="219">
        <v>79.307326007814922</v>
      </c>
      <c r="BW82" s="219">
        <v>78.947936959137124</v>
      </c>
      <c r="BX82" s="219">
        <v>78.8980114519522</v>
      </c>
      <c r="BY82" s="219">
        <v>78.84861617329409</v>
      </c>
      <c r="BZ82" s="219">
        <v>78.799357984926473</v>
      </c>
      <c r="CA82" s="219">
        <v>78.750229604124144</v>
      </c>
      <c r="CB82" s="219">
        <v>78.701232978335923</v>
      </c>
      <c r="CC82" s="33">
        <v>911.6428381501903</v>
      </c>
      <c r="CD82" s="219">
        <v>888.94224547922056</v>
      </c>
      <c r="CE82" s="219">
        <v>866.16104334819636</v>
      </c>
      <c r="CF82" s="219">
        <v>840.30176226353046</v>
      </c>
      <c r="CG82" s="219">
        <v>817.02701835825053</v>
      </c>
      <c r="CH82" s="219">
        <v>793.61255880006956</v>
      </c>
      <c r="CI82" s="219">
        <v>785.8519379361021</v>
      </c>
      <c r="CJ82" s="219">
        <v>778.16416382806426</v>
      </c>
      <c r="CK82" s="219">
        <v>768.91674249721098</v>
      </c>
      <c r="CL82" s="219">
        <v>761.39139613162217</v>
      </c>
      <c r="CM82" s="219">
        <v>753.9486735904685</v>
      </c>
      <c r="CN82" s="219">
        <v>750.64083208878208</v>
      </c>
      <c r="CO82" s="219">
        <v>747.38865036460697</v>
      </c>
      <c r="CP82" s="219">
        <v>743.71823662106681</v>
      </c>
      <c r="CQ82" s="219">
        <v>740.53466532944333</v>
      </c>
      <c r="CR82" s="219">
        <v>737.37180817682179</v>
      </c>
      <c r="CS82" s="219">
        <v>734.30857569600369</v>
      </c>
      <c r="CT82" s="219">
        <v>731.28489693756137</v>
      </c>
      <c r="CU82" s="219">
        <v>727.97898002252361</v>
      </c>
      <c r="CV82" s="219">
        <v>725.04685416240682</v>
      </c>
      <c r="CW82" s="219">
        <v>722.17165236766039</v>
      </c>
      <c r="CX82" s="219">
        <v>720.62484602970062</v>
      </c>
      <c r="CY82" s="219">
        <v>718.61940070491789</v>
      </c>
      <c r="CZ82" s="219">
        <v>716.63222978798672</v>
      </c>
      <c r="DA82" s="219">
        <v>714.66305983136272</v>
      </c>
      <c r="DB82" s="219">
        <v>712.7116777981887</v>
      </c>
    </row>
    <row r="83" spans="1:106" x14ac:dyDescent="0.35">
      <c r="A83" s="137" t="s">
        <v>539</v>
      </c>
      <c r="B83" s="130" t="s">
        <v>545</v>
      </c>
      <c r="C83" s="33">
        <v>5.948865391495731E-3</v>
      </c>
      <c r="D83" s="219">
        <v>5.9148374980869632E-3</v>
      </c>
      <c r="E83" s="219">
        <v>5.8798718588167556E-3</v>
      </c>
      <c r="F83" s="219">
        <v>5.841102783402944E-3</v>
      </c>
      <c r="G83" s="219">
        <v>5.8035625141108337E-3</v>
      </c>
      <c r="H83" s="219">
        <v>5.7644942030070419E-3</v>
      </c>
      <c r="I83" s="219">
        <v>5.757022680479236E-3</v>
      </c>
      <c r="J83" s="219">
        <v>5.7497669568510028E-3</v>
      </c>
      <c r="K83" s="219">
        <v>5.7414460918706646E-3</v>
      </c>
      <c r="L83" s="219">
        <v>5.7344603458858506E-3</v>
      </c>
      <c r="M83" s="219">
        <v>5.727584812664787E-3</v>
      </c>
      <c r="N83" s="219">
        <v>5.7251567305967649E-3</v>
      </c>
      <c r="O83" s="219">
        <v>5.7228779892637052E-3</v>
      </c>
      <c r="P83" s="219">
        <v>5.720357075733578E-3</v>
      </c>
      <c r="Q83" s="219">
        <v>5.7182689096318779E-3</v>
      </c>
      <c r="R83" s="219">
        <v>5.7162376506494812E-3</v>
      </c>
      <c r="S83" s="219">
        <v>5.7143834542419418E-3</v>
      </c>
      <c r="T83" s="219">
        <v>5.7125489128609826E-3</v>
      </c>
      <c r="U83" s="219">
        <v>5.7104144982498906E-3</v>
      </c>
      <c r="V83" s="219">
        <v>5.7086253058195877E-3</v>
      </c>
      <c r="W83" s="219">
        <v>5.7068192248792499E-3</v>
      </c>
      <c r="X83" s="219">
        <v>5.7288667328367271E-3</v>
      </c>
      <c r="Y83" s="219">
        <v>5.7282381904214218E-3</v>
      </c>
      <c r="Z83" s="219">
        <v>5.7276202613859729E-3</v>
      </c>
      <c r="AA83" s="219">
        <v>5.7270128291262382E-3</v>
      </c>
      <c r="AB83" s="219">
        <v>5.7264159955073921E-3</v>
      </c>
      <c r="AC83" s="33">
        <v>4.3369769417194421E-6</v>
      </c>
      <c r="AD83" s="219">
        <v>4.2645497364871028E-6</v>
      </c>
      <c r="AE83" s="219">
        <v>4.1898854585095834E-6</v>
      </c>
      <c r="AF83" s="219">
        <v>4.1040715347655048E-6</v>
      </c>
      <c r="AG83" s="219">
        <v>4.0240982748451047E-6</v>
      </c>
      <c r="AH83" s="219">
        <v>3.9410649768035864E-6</v>
      </c>
      <c r="AI83" s="219">
        <v>3.9279612083308327E-6</v>
      </c>
      <c r="AJ83" s="219">
        <v>3.9147141542944171E-6</v>
      </c>
      <c r="AK83" s="219">
        <v>3.8965681700664129E-6</v>
      </c>
      <c r="AL83" s="219">
        <v>3.8830749437996698E-6</v>
      </c>
      <c r="AM83" s="219">
        <v>3.869473868699858E-6</v>
      </c>
      <c r="AN83" s="219">
        <v>3.8645007281626118E-6</v>
      </c>
      <c r="AO83" s="219">
        <v>3.859598025466014E-6</v>
      </c>
      <c r="AP83" s="219">
        <v>3.8529356122554728E-6</v>
      </c>
      <c r="AQ83" s="219">
        <v>3.8480817757227538E-6</v>
      </c>
      <c r="AR83" s="219">
        <v>3.8432301648112878E-6</v>
      </c>
      <c r="AS83" s="219">
        <v>3.8372111128673879E-6</v>
      </c>
      <c r="AT83" s="219">
        <v>3.8312668770129783E-6</v>
      </c>
      <c r="AU83" s="219">
        <v>3.8238243235018839E-6</v>
      </c>
      <c r="AV83" s="219">
        <v>3.8180126718891106E-6</v>
      </c>
      <c r="AW83" s="219">
        <v>3.8120019744798859E-6</v>
      </c>
      <c r="AX83" s="219">
        <v>3.8323687216132953E-6</v>
      </c>
      <c r="AY83" s="219">
        <v>3.8309551900465662E-6</v>
      </c>
      <c r="AZ83" s="219">
        <v>3.8295419194816624E-6</v>
      </c>
      <c r="BA83" s="219">
        <v>3.8281289125153193E-6</v>
      </c>
      <c r="BB83" s="219">
        <v>3.8267165266351114E-6</v>
      </c>
      <c r="BC83" s="33">
        <v>53.72069534285378</v>
      </c>
      <c r="BD83" s="219">
        <v>53.259493580864422</v>
      </c>
      <c r="BE83" s="219">
        <v>52.788239265521987</v>
      </c>
      <c r="BF83" s="219">
        <v>52.071783731231307</v>
      </c>
      <c r="BG83" s="219">
        <v>51.576882520918701</v>
      </c>
      <c r="BH83" s="219">
        <v>51.068374502016127</v>
      </c>
      <c r="BI83" s="219">
        <v>51.529341251095488</v>
      </c>
      <c r="BJ83" s="219">
        <v>51.978297375532087</v>
      </c>
      <c r="BK83" s="219">
        <v>52.257931595910918</v>
      </c>
      <c r="BL83" s="219">
        <v>52.685730217970857</v>
      </c>
      <c r="BM83" s="219">
        <v>53.102577098723557</v>
      </c>
      <c r="BN83" s="219">
        <v>53.184515358413037</v>
      </c>
      <c r="BO83" s="219">
        <v>53.26585378523832</v>
      </c>
      <c r="BP83" s="219">
        <v>53.300340544609682</v>
      </c>
      <c r="BQ83" s="219">
        <v>53.380819080849598</v>
      </c>
      <c r="BR83" s="219">
        <v>53.460170923831853</v>
      </c>
      <c r="BS83" s="219">
        <v>53.135152269207858</v>
      </c>
      <c r="BT83" s="219">
        <v>52.812610589186797</v>
      </c>
      <c r="BU83" s="219">
        <v>52.449240441717407</v>
      </c>
      <c r="BV83" s="219">
        <v>52.1319895430088</v>
      </c>
      <c r="BW83" s="219">
        <v>51.815526426392474</v>
      </c>
      <c r="BX83" s="219">
        <v>51.779693514622082</v>
      </c>
      <c r="BY83" s="219">
        <v>51.744378381721887</v>
      </c>
      <c r="BZ83" s="219">
        <v>51.709216509745431</v>
      </c>
      <c r="CA83" s="219">
        <v>51.674198951915713</v>
      </c>
      <c r="CB83" s="219">
        <v>51.63932533448795</v>
      </c>
      <c r="CC83" s="33">
        <v>536.54433466923933</v>
      </c>
      <c r="CD83" s="219">
        <v>515.38662026457496</v>
      </c>
      <c r="CE83" s="219">
        <v>493.94439990862003</v>
      </c>
      <c r="CF83" s="219">
        <v>470.48036721996527</v>
      </c>
      <c r="CG83" s="219">
        <v>448.1910579986735</v>
      </c>
      <c r="CH83" s="219">
        <v>425.38744256568913</v>
      </c>
      <c r="CI83" s="219">
        <v>418.94006581639729</v>
      </c>
      <c r="CJ83" s="219">
        <v>412.55481275624192</v>
      </c>
      <c r="CK83" s="219">
        <v>405.29875281483459</v>
      </c>
      <c r="CL83" s="219">
        <v>399.04436016495282</v>
      </c>
      <c r="CM83" s="219">
        <v>392.84555455462129</v>
      </c>
      <c r="CN83" s="219">
        <v>390.47810490017122</v>
      </c>
      <c r="CO83" s="219">
        <v>388.13410101935102</v>
      </c>
      <c r="CP83" s="219">
        <v>385.55150469358591</v>
      </c>
      <c r="CQ83" s="219">
        <v>383.24497637526218</v>
      </c>
      <c r="CR83" s="219">
        <v>380.95042586407271</v>
      </c>
      <c r="CS83" s="219">
        <v>378.856322540539</v>
      </c>
      <c r="CT83" s="219">
        <v>376.79407666157317</v>
      </c>
      <c r="CU83" s="219">
        <v>374.58022102129718</v>
      </c>
      <c r="CV83" s="219">
        <v>372.58835827214051</v>
      </c>
      <c r="CW83" s="219">
        <v>370.64066361370772</v>
      </c>
      <c r="CX83" s="219">
        <v>369.45153865982292</v>
      </c>
      <c r="CY83" s="219">
        <v>368.11092583072548</v>
      </c>
      <c r="CZ83" s="219">
        <v>366.78806694112728</v>
      </c>
      <c r="DA83" s="219">
        <v>365.48275656480178</v>
      </c>
      <c r="DB83" s="219">
        <v>364.19484339950998</v>
      </c>
    </row>
    <row r="84" spans="1:106" x14ac:dyDescent="0.35">
      <c r="A84" s="137" t="s">
        <v>540</v>
      </c>
      <c r="B84" s="130" t="s">
        <v>545</v>
      </c>
      <c r="C84" s="33">
        <v>3.321744155878405E-3</v>
      </c>
      <c r="D84" s="219">
        <v>3.2830248968034499E-3</v>
      </c>
      <c r="E84" s="219">
        <v>3.244274356323954E-3</v>
      </c>
      <c r="F84" s="219">
        <v>3.202359533574708E-3</v>
      </c>
      <c r="G84" s="219">
        <v>3.1624191606080139E-3</v>
      </c>
      <c r="H84" s="219">
        <v>3.122623502557187E-3</v>
      </c>
      <c r="I84" s="219">
        <v>3.110663251962974E-3</v>
      </c>
      <c r="J84" s="219">
        <v>3.099330661374479E-3</v>
      </c>
      <c r="K84" s="219">
        <v>3.0871758066456979E-3</v>
      </c>
      <c r="L84" s="219">
        <v>3.0767077143186682E-3</v>
      </c>
      <c r="M84" s="219">
        <v>3.066655835387217E-3</v>
      </c>
      <c r="N84" s="219">
        <v>3.06146120938651E-3</v>
      </c>
      <c r="O84" s="219">
        <v>3.0567387561198458E-3</v>
      </c>
      <c r="P84" s="219">
        <v>3.0519439682048671E-3</v>
      </c>
      <c r="Q84" s="219">
        <v>3.047782904977842E-3</v>
      </c>
      <c r="R84" s="219">
        <v>3.043813237694534E-3</v>
      </c>
      <c r="S84" s="219">
        <v>3.04148317511945E-3</v>
      </c>
      <c r="T84" s="219">
        <v>3.03918097446136E-3</v>
      </c>
      <c r="U84" s="219">
        <v>3.036554540656362E-3</v>
      </c>
      <c r="V84" s="219">
        <v>3.034309544923348E-3</v>
      </c>
      <c r="W84" s="219">
        <v>3.032050208801206E-3</v>
      </c>
      <c r="X84" s="219">
        <v>3.0443366129323359E-3</v>
      </c>
      <c r="Y84" s="219">
        <v>3.0450130903435829E-3</v>
      </c>
      <c r="Z84" s="219">
        <v>3.0457049863579729E-3</v>
      </c>
      <c r="AA84" s="219">
        <v>3.0464123507729342E-3</v>
      </c>
      <c r="AB84" s="219">
        <v>3.0471354578627879E-3</v>
      </c>
      <c r="AC84" s="33">
        <v>3.5786050973205839E-6</v>
      </c>
      <c r="AD84" s="219">
        <v>3.5084511464089149E-6</v>
      </c>
      <c r="AE84" s="219">
        <v>3.4370942346483569E-6</v>
      </c>
      <c r="AF84" s="219">
        <v>3.3551831567078451E-6</v>
      </c>
      <c r="AG84" s="219">
        <v>3.2801927445395921E-6</v>
      </c>
      <c r="AH84" s="219">
        <v>3.2048994902522168E-6</v>
      </c>
      <c r="AI84" s="219">
        <v>3.192820307865371E-6</v>
      </c>
      <c r="AJ84" s="219">
        <v>3.1806618931904012E-6</v>
      </c>
      <c r="AK84" s="219">
        <v>3.1633090695969012E-6</v>
      </c>
      <c r="AL84" s="219">
        <v>3.1509849214458191E-6</v>
      </c>
      <c r="AM84" s="219">
        <v>3.1386968993019829E-6</v>
      </c>
      <c r="AN84" s="219">
        <v>3.1331977207207358E-6</v>
      </c>
      <c r="AO84" s="219">
        <v>3.12791706558719E-6</v>
      </c>
      <c r="AP84" s="219">
        <v>3.1207886496559419E-6</v>
      </c>
      <c r="AQ84" s="219">
        <v>3.1155860562410919E-6</v>
      </c>
      <c r="AR84" s="219">
        <v>3.1103867201354461E-6</v>
      </c>
      <c r="AS84" s="219">
        <v>3.1039771793542281E-6</v>
      </c>
      <c r="AT84" s="219">
        <v>3.0976412975867821E-6</v>
      </c>
      <c r="AU84" s="219">
        <v>3.0897387589233062E-6</v>
      </c>
      <c r="AV84" s="219">
        <v>3.083529248597832E-6</v>
      </c>
      <c r="AW84" s="219">
        <v>3.0771065251447232E-6</v>
      </c>
      <c r="AX84" s="219">
        <v>3.0884082654246741E-6</v>
      </c>
      <c r="AY84" s="219">
        <v>3.0860272280106462E-6</v>
      </c>
      <c r="AZ84" s="219">
        <v>3.0836512842937168E-6</v>
      </c>
      <c r="BA84" s="219">
        <v>3.0812799694522979E-6</v>
      </c>
      <c r="BB84" s="219">
        <v>3.078913179081548E-6</v>
      </c>
      <c r="BC84" s="33">
        <v>56.4741510532414</v>
      </c>
      <c r="BD84" s="219">
        <v>56.00932012659127</v>
      </c>
      <c r="BE84" s="219">
        <v>55.538073851052808</v>
      </c>
      <c r="BF84" s="219">
        <v>54.815471420393543</v>
      </c>
      <c r="BG84" s="219">
        <v>54.322744779811018</v>
      </c>
      <c r="BH84" s="219">
        <v>53.838175168933333</v>
      </c>
      <c r="BI84" s="219">
        <v>54.270932944493751</v>
      </c>
      <c r="BJ84" s="219">
        <v>54.693698734164997</v>
      </c>
      <c r="BK84" s="219">
        <v>54.939124662158299</v>
      </c>
      <c r="BL84" s="219">
        <v>55.344496176635793</v>
      </c>
      <c r="BM84" s="219">
        <v>55.741939656797001</v>
      </c>
      <c r="BN84" s="219">
        <v>55.878580676073568</v>
      </c>
      <c r="BO84" s="219">
        <v>56.015800872264663</v>
      </c>
      <c r="BP84" s="219">
        <v>56.102981175014079</v>
      </c>
      <c r="BQ84" s="219">
        <v>56.239033606164213</v>
      </c>
      <c r="BR84" s="219">
        <v>56.373648575727302</v>
      </c>
      <c r="BS84" s="219">
        <v>56.077154924398471</v>
      </c>
      <c r="BT84" s="219">
        <v>55.782026058295067</v>
      </c>
      <c r="BU84" s="219">
        <v>55.442140249022799</v>
      </c>
      <c r="BV84" s="219">
        <v>55.150186796764878</v>
      </c>
      <c r="BW84" s="219">
        <v>54.857943626400512</v>
      </c>
      <c r="BX84" s="219">
        <v>54.809102533142458</v>
      </c>
      <c r="BY84" s="219">
        <v>54.760488303800891</v>
      </c>
      <c r="BZ84" s="219">
        <v>54.711744145005191</v>
      </c>
      <c r="CA84" s="219">
        <v>54.66286381561703</v>
      </c>
      <c r="CB84" s="219">
        <v>54.61384929984267</v>
      </c>
      <c r="CC84" s="33">
        <v>423.50186488159068</v>
      </c>
      <c r="CD84" s="219">
        <v>401.92351889481722</v>
      </c>
      <c r="CE84" s="219">
        <v>380.38971923608898</v>
      </c>
      <c r="CF84" s="219">
        <v>356.98489945818591</v>
      </c>
      <c r="CG84" s="219">
        <v>335.03150270513459</v>
      </c>
      <c r="CH84" s="219">
        <v>313.2305046797776</v>
      </c>
      <c r="CI84" s="219">
        <v>306.55994435219282</v>
      </c>
      <c r="CJ84" s="219">
        <v>299.97070023419479</v>
      </c>
      <c r="CK84" s="219">
        <v>292.46028383514908</v>
      </c>
      <c r="CL84" s="219">
        <v>286.03049858522661</v>
      </c>
      <c r="CM84" s="219">
        <v>279.70184360828841</v>
      </c>
      <c r="CN84" s="219">
        <v>276.64585292678709</v>
      </c>
      <c r="CO84" s="219">
        <v>273.65860432774309</v>
      </c>
      <c r="CP84" s="219">
        <v>270.43244808477141</v>
      </c>
      <c r="CQ84" s="219">
        <v>267.51000863209492</v>
      </c>
      <c r="CR84" s="219">
        <v>264.60810832463761</v>
      </c>
      <c r="CS84" s="219">
        <v>262.07631408180828</v>
      </c>
      <c r="CT84" s="219">
        <v>259.57948332632299</v>
      </c>
      <c r="CU84" s="219">
        <v>256.92540106500292</v>
      </c>
      <c r="CV84" s="219">
        <v>254.50497204060929</v>
      </c>
      <c r="CW84" s="219">
        <v>252.13188105137269</v>
      </c>
      <c r="CX84" s="219">
        <v>251.14278703521779</v>
      </c>
      <c r="CY84" s="219">
        <v>249.4387344241685</v>
      </c>
      <c r="CZ84" s="219">
        <v>247.75023631804831</v>
      </c>
      <c r="DA84" s="219">
        <v>246.07705202454289</v>
      </c>
      <c r="DB84" s="219">
        <v>244.4189973036666</v>
      </c>
    </row>
    <row r="85" spans="1:106" x14ac:dyDescent="0.35">
      <c r="A85" s="137" t="s">
        <v>541</v>
      </c>
      <c r="B85" s="130" t="s">
        <v>545</v>
      </c>
      <c r="C85" s="33">
        <v>1.8593796959748408E-2</v>
      </c>
      <c r="D85" s="219">
        <v>1.8428496651123689E-2</v>
      </c>
      <c r="E85" s="219">
        <v>1.8277487774222719E-2</v>
      </c>
      <c r="F85" s="219">
        <v>1.809733141972809E-2</v>
      </c>
      <c r="G85" s="219">
        <v>1.7956142192222531E-2</v>
      </c>
      <c r="H85" s="219">
        <v>1.7820777775730129E-2</v>
      </c>
      <c r="I85" s="219">
        <v>1.7684408762434659E-2</v>
      </c>
      <c r="J85" s="219">
        <v>1.7565260313142411E-2</v>
      </c>
      <c r="K85" s="219">
        <v>1.7443578523976051E-2</v>
      </c>
      <c r="L85" s="219">
        <v>1.7349823969724579E-2</v>
      </c>
      <c r="M85" s="219">
        <v>1.726825564093433E-2</v>
      </c>
      <c r="N85" s="219">
        <v>1.719464289885872E-2</v>
      </c>
      <c r="O85" s="219">
        <v>1.7134864292698771E-2</v>
      </c>
      <c r="P85" s="219">
        <v>1.7079344111469962E-2</v>
      </c>
      <c r="Q85" s="219">
        <v>1.7035704463078241E-2</v>
      </c>
      <c r="R85" s="219">
        <v>1.6997656042851559E-2</v>
      </c>
      <c r="S85" s="219">
        <v>1.6986415742235569E-2</v>
      </c>
      <c r="T85" s="219">
        <v>1.6975524796105451E-2</v>
      </c>
      <c r="U85" s="219">
        <v>1.6960519826935271E-2</v>
      </c>
      <c r="V85" s="219">
        <v>1.695017412378642E-2</v>
      </c>
      <c r="W85" s="219">
        <v>1.6939553651151181E-2</v>
      </c>
      <c r="X85" s="219">
        <v>1.706023943659998E-2</v>
      </c>
      <c r="Y85" s="219">
        <v>1.7073618176868841E-2</v>
      </c>
      <c r="Z85" s="219">
        <v>1.7086860149561709E-2</v>
      </c>
      <c r="AA85" s="219">
        <v>1.70999669016547E-2</v>
      </c>
      <c r="AB85" s="219">
        <v>1.7112941694524469E-2</v>
      </c>
      <c r="AC85" s="33">
        <v>1.9755647666104199E-5</v>
      </c>
      <c r="AD85" s="219">
        <v>1.940204868028231E-5</v>
      </c>
      <c r="AE85" s="219">
        <v>1.9068942320871559E-5</v>
      </c>
      <c r="AF85" s="219">
        <v>1.8627600789187689E-5</v>
      </c>
      <c r="AG85" s="219">
        <v>1.8304213641076851E-5</v>
      </c>
      <c r="AH85" s="219">
        <v>1.7989104641216899E-5</v>
      </c>
      <c r="AI85" s="219">
        <v>1.7896302852978311E-5</v>
      </c>
      <c r="AJ85" s="219">
        <v>1.780729240899224E-5</v>
      </c>
      <c r="AK85" s="219">
        <v>1.7657793520468701E-5</v>
      </c>
      <c r="AL85" s="219">
        <v>1.7574541431420851E-5</v>
      </c>
      <c r="AM85" s="219">
        <v>1.7499087820229509E-5</v>
      </c>
      <c r="AN85" s="219">
        <v>1.7447345545141119E-5</v>
      </c>
      <c r="AO85" s="219">
        <v>1.7402606100588E-5</v>
      </c>
      <c r="AP85" s="219">
        <v>1.733567089010429E-5</v>
      </c>
      <c r="AQ85" s="219">
        <v>1.7294200238594471E-5</v>
      </c>
      <c r="AR85" s="219">
        <v>1.7253513963713198E-5</v>
      </c>
      <c r="AS85" s="219">
        <v>1.718929202980861E-5</v>
      </c>
      <c r="AT85" s="219">
        <v>1.7125697559205618E-5</v>
      </c>
      <c r="AU85" s="219">
        <v>1.7041700560859091E-5</v>
      </c>
      <c r="AV85" s="219">
        <v>1.6979124774134389E-5</v>
      </c>
      <c r="AW85" s="219">
        <v>1.691402276849913E-5</v>
      </c>
      <c r="AX85" s="219">
        <v>1.7003133612792749E-5</v>
      </c>
      <c r="AY85" s="219">
        <v>1.6984412533353959E-5</v>
      </c>
      <c r="AZ85" s="219">
        <v>1.6965886378897409E-5</v>
      </c>
      <c r="BA85" s="219">
        <v>1.6947544168173479E-5</v>
      </c>
      <c r="BB85" s="219">
        <v>1.692937801193292E-5</v>
      </c>
      <c r="BC85" s="33">
        <v>632.20465263923336</v>
      </c>
      <c r="BD85" s="219">
        <v>628.43082938890495</v>
      </c>
      <c r="BE85" s="219">
        <v>624.84045487825722</v>
      </c>
      <c r="BF85" s="219">
        <v>618.28753915305117</v>
      </c>
      <c r="BG85" s="219">
        <v>614.84008947583209</v>
      </c>
      <c r="BH85" s="219">
        <v>611.50284544945362</v>
      </c>
      <c r="BI85" s="219">
        <v>613.9259426415631</v>
      </c>
      <c r="BJ85" s="219">
        <v>616.31955338373007</v>
      </c>
      <c r="BK85" s="219">
        <v>616.60502861998327</v>
      </c>
      <c r="BL85" s="219">
        <v>618.96801543012589</v>
      </c>
      <c r="BM85" s="219">
        <v>621.35182063833952</v>
      </c>
      <c r="BN85" s="219">
        <v>623.4454252427023</v>
      </c>
      <c r="BO85" s="219">
        <v>625.58517589027008</v>
      </c>
      <c r="BP85" s="219">
        <v>627.10464335610061</v>
      </c>
      <c r="BQ85" s="219">
        <v>629.24306783703253</v>
      </c>
      <c r="BR85" s="219">
        <v>631.36675462016422</v>
      </c>
      <c r="BS85" s="219">
        <v>629.78022552737241</v>
      </c>
      <c r="BT85" s="219">
        <v>628.17361128141999</v>
      </c>
      <c r="BU85" s="219">
        <v>625.9692954390465</v>
      </c>
      <c r="BV85" s="219">
        <v>624.3307779988902</v>
      </c>
      <c r="BW85" s="219">
        <v>622.65594859453745</v>
      </c>
      <c r="BX85" s="219">
        <v>622.41940740219627</v>
      </c>
      <c r="BY85" s="219">
        <v>622.18127298626314</v>
      </c>
      <c r="BZ85" s="219">
        <v>621.93909861071324</v>
      </c>
      <c r="CA85" s="219">
        <v>621.69295299096223</v>
      </c>
      <c r="CB85" s="219">
        <v>621.44296132019826</v>
      </c>
      <c r="CC85" s="33">
        <v>4620.2212963694537</v>
      </c>
      <c r="CD85" s="219">
        <v>4502.1410926417311</v>
      </c>
      <c r="CE85" s="219">
        <v>4390.3106890843283</v>
      </c>
      <c r="CF85" s="219">
        <v>4259.0389351145568</v>
      </c>
      <c r="CG85" s="219">
        <v>4151.7675772877628</v>
      </c>
      <c r="CH85" s="219">
        <v>4047.3179034700602</v>
      </c>
      <c r="CI85" s="219">
        <v>3997.0028125525569</v>
      </c>
      <c r="CJ85" s="219">
        <v>3948.189345083495</v>
      </c>
      <c r="CK85" s="219">
        <v>3888.3264483506791</v>
      </c>
      <c r="CL85" s="219">
        <v>3842.2557745626232</v>
      </c>
      <c r="CM85" s="219">
        <v>3798.6021178795691</v>
      </c>
      <c r="CN85" s="219">
        <v>3768.6181147964339</v>
      </c>
      <c r="CO85" s="219">
        <v>3740.6536830878308</v>
      </c>
      <c r="CP85" s="219">
        <v>3710.097774043666</v>
      </c>
      <c r="CQ85" s="219">
        <v>3683.7027277093011</v>
      </c>
      <c r="CR85" s="219">
        <v>3657.8250672560121</v>
      </c>
      <c r="CS85" s="219">
        <v>3628.5201487054519</v>
      </c>
      <c r="CT85" s="219">
        <v>3599.6058010115962</v>
      </c>
      <c r="CU85" s="219">
        <v>3568.620302556822</v>
      </c>
      <c r="CV85" s="219">
        <v>3540.5569051253492</v>
      </c>
      <c r="CW85" s="219">
        <v>3513.0040427235872</v>
      </c>
      <c r="CX85" s="219">
        <v>3501.89725923272</v>
      </c>
      <c r="CY85" s="219">
        <v>3487.5456024746391</v>
      </c>
      <c r="CZ85" s="219">
        <v>3473.3522888966199</v>
      </c>
      <c r="DA85" s="219">
        <v>3459.3130117942692</v>
      </c>
      <c r="DB85" s="219">
        <v>3445.423978169546</v>
      </c>
    </row>
    <row r="86" spans="1:106" x14ac:dyDescent="0.35">
      <c r="A86" s="137" t="s">
        <v>542</v>
      </c>
      <c r="B86" s="130" t="s">
        <v>545</v>
      </c>
      <c r="C86" s="33">
        <v>4.6894275088252467E-2</v>
      </c>
      <c r="D86" s="219">
        <v>4.6068732788880677E-2</v>
      </c>
      <c r="E86" s="219">
        <v>4.5218015226287912E-2</v>
      </c>
      <c r="F86" s="219">
        <v>4.4319493268033007E-2</v>
      </c>
      <c r="G86" s="219">
        <v>4.3401610499637783E-2</v>
      </c>
      <c r="H86" s="219">
        <v>4.2445548297538611E-2</v>
      </c>
      <c r="I86" s="219">
        <v>4.2318380432808451E-2</v>
      </c>
      <c r="J86" s="219">
        <v>4.2192171201795699E-2</v>
      </c>
      <c r="K86" s="219">
        <v>4.2058130643480372E-2</v>
      </c>
      <c r="L86" s="219">
        <v>4.1930030295729982E-2</v>
      </c>
      <c r="M86" s="219">
        <v>4.1801469127057962E-2</v>
      </c>
      <c r="N86" s="219">
        <v>4.1760290365859112E-2</v>
      </c>
      <c r="O86" s="219">
        <v>4.1719795471736987E-2</v>
      </c>
      <c r="P86" s="219">
        <v>4.1677587402232853E-2</v>
      </c>
      <c r="Q86" s="219">
        <v>4.1638050355014541E-2</v>
      </c>
      <c r="R86" s="219">
        <v>4.1598735141440232E-2</v>
      </c>
      <c r="S86" s="219">
        <v>4.1560460784418447E-2</v>
      </c>
      <c r="T86" s="219">
        <v>4.1522741503118007E-2</v>
      </c>
      <c r="U86" s="219">
        <v>4.1483518395926851E-2</v>
      </c>
      <c r="V86" s="219">
        <v>4.1446974769412233E-2</v>
      </c>
      <c r="W86" s="219">
        <v>4.1410782094792681E-2</v>
      </c>
      <c r="X86" s="219">
        <v>4.1533635288806978E-2</v>
      </c>
      <c r="Y86" s="219">
        <v>4.151221723302502E-2</v>
      </c>
      <c r="Z86" s="219">
        <v>4.149114450106467E-2</v>
      </c>
      <c r="AA86" s="219">
        <v>4.1470412060345803E-2</v>
      </c>
      <c r="AB86" s="219">
        <v>4.145001968546283E-2</v>
      </c>
      <c r="AC86" s="33">
        <v>4.9672540671057758E-5</v>
      </c>
      <c r="AD86" s="219">
        <v>4.7944186634398759E-5</v>
      </c>
      <c r="AE86" s="219">
        <v>4.615454974807579E-5</v>
      </c>
      <c r="AF86" s="219">
        <v>4.4242121761919531E-5</v>
      </c>
      <c r="AG86" s="219">
        <v>4.2309578687095433E-5</v>
      </c>
      <c r="AH86" s="219">
        <v>4.0297895425044642E-5</v>
      </c>
      <c r="AI86" s="219">
        <v>4.0038321689396223E-5</v>
      </c>
      <c r="AJ86" s="219">
        <v>3.9772888109602723E-5</v>
      </c>
      <c r="AK86" s="219">
        <v>3.9470453553881667E-5</v>
      </c>
      <c r="AL86" s="219">
        <v>3.9195564299034333E-5</v>
      </c>
      <c r="AM86" s="219">
        <v>3.8914391219003719E-5</v>
      </c>
      <c r="AN86" s="219">
        <v>3.88113494895523E-5</v>
      </c>
      <c r="AO86" s="219">
        <v>3.8708948844805321E-5</v>
      </c>
      <c r="AP86" s="219">
        <v>3.8595479336668758E-5</v>
      </c>
      <c r="AQ86" s="219">
        <v>3.8493938355443822E-5</v>
      </c>
      <c r="AR86" s="219">
        <v>3.8392641205417248E-5</v>
      </c>
      <c r="AS86" s="219">
        <v>3.8283533947816943E-5</v>
      </c>
      <c r="AT86" s="219">
        <v>3.8176006804260302E-5</v>
      </c>
      <c r="AU86" s="219">
        <v>3.8059905258140248E-5</v>
      </c>
      <c r="AV86" s="219">
        <v>3.7955421798102432E-5</v>
      </c>
      <c r="AW86" s="219">
        <v>3.7850930753013187E-5</v>
      </c>
      <c r="AX86" s="219">
        <v>3.7959434221510609E-5</v>
      </c>
      <c r="AY86" s="219">
        <v>3.7934921092778581E-5</v>
      </c>
      <c r="AZ86" s="219">
        <v>3.7910594903179589E-5</v>
      </c>
      <c r="BA86" s="219">
        <v>3.7886455307759332E-5</v>
      </c>
      <c r="BB86" s="219">
        <v>3.7862509352651688E-5</v>
      </c>
      <c r="BC86" s="33">
        <v>613.14460127904488</v>
      </c>
      <c r="BD86" s="219">
        <v>603.17844333696962</v>
      </c>
      <c r="BE86" s="219">
        <v>592.90659959031825</v>
      </c>
      <c r="BF86" s="219">
        <v>580.77853506293957</v>
      </c>
      <c r="BG86" s="219">
        <v>569.80065786073772</v>
      </c>
      <c r="BH86" s="219">
        <v>558.47535383706713</v>
      </c>
      <c r="BI86" s="219">
        <v>568.24806521249343</v>
      </c>
      <c r="BJ86" s="219">
        <v>577.73194516888611</v>
      </c>
      <c r="BK86" s="219">
        <v>585.87419380554797</v>
      </c>
      <c r="BL86" s="219">
        <v>594.80939060352387</v>
      </c>
      <c r="BM86" s="219">
        <v>603.47468965369171</v>
      </c>
      <c r="BN86" s="219">
        <v>603.69648252438333</v>
      </c>
      <c r="BO86" s="219">
        <v>603.90588517084211</v>
      </c>
      <c r="BP86" s="219">
        <v>603.80037435158135</v>
      </c>
      <c r="BQ86" s="219">
        <v>603.98744041936288</v>
      </c>
      <c r="BR86" s="219">
        <v>604.15854031720107</v>
      </c>
      <c r="BS86" s="219">
        <v>597.46556204483386</v>
      </c>
      <c r="BT86" s="219">
        <v>590.8345770881125</v>
      </c>
      <c r="BU86" s="219">
        <v>583.98175560674179</v>
      </c>
      <c r="BV86" s="219">
        <v>577.47665839425053</v>
      </c>
      <c r="BW86" s="219">
        <v>571.02365545747966</v>
      </c>
      <c r="BX86" s="219">
        <v>570.39502384856894</v>
      </c>
      <c r="BY86" s="219">
        <v>569.77665223275653</v>
      </c>
      <c r="BZ86" s="219">
        <v>569.16063543064797</v>
      </c>
      <c r="CA86" s="219">
        <v>568.54678792555274</v>
      </c>
      <c r="CB86" s="219">
        <v>567.93510755121599</v>
      </c>
      <c r="CC86" s="33">
        <v>5739.6171857742838</v>
      </c>
      <c r="CD86" s="219">
        <v>5242.9484714936816</v>
      </c>
      <c r="CE86" s="219">
        <v>4738.3124381422049</v>
      </c>
      <c r="CF86" s="219">
        <v>4211.9571963696062</v>
      </c>
      <c r="CG86" s="219">
        <v>3683.2445075390528</v>
      </c>
      <c r="CH86" s="219">
        <v>3141.1882043704718</v>
      </c>
      <c r="CI86" s="219">
        <v>3008.1374792396459</v>
      </c>
      <c r="CJ86" s="219">
        <v>2876.4988025563648</v>
      </c>
      <c r="CK86" s="219">
        <v>2739.9195790878121</v>
      </c>
      <c r="CL86" s="219">
        <v>2610.8943800469792</v>
      </c>
      <c r="CM86" s="219">
        <v>2482.9734681715772</v>
      </c>
      <c r="CN86" s="219">
        <v>2440.294507343217</v>
      </c>
      <c r="CO86" s="219">
        <v>2397.8599393814561</v>
      </c>
      <c r="CP86" s="219">
        <v>2353.9860827800212</v>
      </c>
      <c r="CQ86" s="219">
        <v>2311.9993941753301</v>
      </c>
      <c r="CR86" s="219">
        <v>2270.1897244734159</v>
      </c>
      <c r="CS86" s="219">
        <v>2238.1279508137559</v>
      </c>
      <c r="CT86" s="219">
        <v>2206.6673526170412</v>
      </c>
      <c r="CU86" s="219">
        <v>2174.6182620319191</v>
      </c>
      <c r="CV86" s="219">
        <v>2144.3941759710979</v>
      </c>
      <c r="CW86" s="219">
        <v>2114.8287246404211</v>
      </c>
      <c r="CX86" s="219">
        <v>2094.011966443918</v>
      </c>
      <c r="CY86" s="219">
        <v>2070.968240806485</v>
      </c>
      <c r="CZ86" s="219">
        <v>2048.3157418538922</v>
      </c>
      <c r="DA86" s="219">
        <v>2026.051937841775</v>
      </c>
      <c r="DB86" s="219">
        <v>2004.1754265265511</v>
      </c>
    </row>
    <row r="87" spans="1:106" x14ac:dyDescent="0.35">
      <c r="A87" s="137" t="s">
        <v>543</v>
      </c>
      <c r="B87" s="130" t="s">
        <v>545</v>
      </c>
      <c r="C87" s="33">
        <v>2.6822864157904019E-4</v>
      </c>
      <c r="D87" s="219">
        <v>2.6673726228505329E-4</v>
      </c>
      <c r="E87" s="219">
        <v>2.6528904999415019E-4</v>
      </c>
      <c r="F87" s="219">
        <v>2.6417035665550519E-4</v>
      </c>
      <c r="G87" s="219">
        <v>2.6278667418665479E-4</v>
      </c>
      <c r="H87" s="219">
        <v>2.6141058096086232E-4</v>
      </c>
      <c r="I87" s="219">
        <v>2.6069458267993491E-4</v>
      </c>
      <c r="J87" s="219">
        <v>2.6005875290826663E-4</v>
      </c>
      <c r="K87" s="219">
        <v>2.5963258994557339E-4</v>
      </c>
      <c r="L87" s="219">
        <v>2.5910554923790541E-4</v>
      </c>
      <c r="M87" s="219">
        <v>2.5863420068659488E-4</v>
      </c>
      <c r="N87" s="219">
        <v>2.5831099815793509E-4</v>
      </c>
      <c r="O87" s="219">
        <v>2.5805113008082808E-4</v>
      </c>
      <c r="P87" s="219">
        <v>2.5790302861580252E-4</v>
      </c>
      <c r="Q87" s="219">
        <v>2.5771217028612602E-4</v>
      </c>
      <c r="R87" s="219">
        <v>2.5754611651848149E-4</v>
      </c>
      <c r="S87" s="219">
        <v>2.575152533654419E-4</v>
      </c>
      <c r="T87" s="219">
        <v>2.5748658486044612E-4</v>
      </c>
      <c r="U87" s="219">
        <v>2.5751790874990082E-4</v>
      </c>
      <c r="V87" s="219">
        <v>2.5749155120435732E-4</v>
      </c>
      <c r="W87" s="219">
        <v>2.5746454585177768E-4</v>
      </c>
      <c r="X87" s="219">
        <v>2.5765237866910468E-4</v>
      </c>
      <c r="Y87" s="219">
        <v>2.5773825660305053E-4</v>
      </c>
      <c r="Z87" s="219">
        <v>2.5782329989979609E-4</v>
      </c>
      <c r="AA87" s="219">
        <v>2.5790750279497512E-4</v>
      </c>
      <c r="AB87" s="219">
        <v>2.5799086857229551E-4</v>
      </c>
      <c r="AC87" s="33">
        <v>6.7173966351855849E-7</v>
      </c>
      <c r="AD87" s="219">
        <v>6.6830213051919501E-7</v>
      </c>
      <c r="AE87" s="219">
        <v>6.648669684458501E-7</v>
      </c>
      <c r="AF87" s="219">
        <v>6.6239384192689725E-7</v>
      </c>
      <c r="AG87" s="219">
        <v>6.5894103914451023E-7</v>
      </c>
      <c r="AH87" s="219">
        <v>6.5549127056384135E-7</v>
      </c>
      <c r="AI87" s="219">
        <v>6.5448838335413753E-7</v>
      </c>
      <c r="AJ87" s="219">
        <v>6.5351239622271179E-7</v>
      </c>
      <c r="AK87" s="219">
        <v>6.531321985250148E-7</v>
      </c>
      <c r="AL87" s="219">
        <v>6.5218215996407845E-7</v>
      </c>
      <c r="AM87" s="219">
        <v>6.5126911801524364E-7</v>
      </c>
      <c r="AN87" s="219">
        <v>6.5059102115530656E-7</v>
      </c>
      <c r="AO87" s="219">
        <v>6.4994865510238904E-7</v>
      </c>
      <c r="AP87" s="219">
        <v>6.4960591345448321E-7</v>
      </c>
      <c r="AQ87" s="219">
        <v>6.4897986495120886E-7</v>
      </c>
      <c r="AR87" s="219">
        <v>6.4835858747795912E-7</v>
      </c>
      <c r="AS87" s="219">
        <v>6.4780518953751996E-7</v>
      </c>
      <c r="AT87" s="219">
        <v>6.4725980203787816E-7</v>
      </c>
      <c r="AU87" s="219">
        <v>6.4693760158994842E-7</v>
      </c>
      <c r="AV87" s="219">
        <v>6.4640638499299148E-7</v>
      </c>
      <c r="AW87" s="219">
        <v>6.4586785355714417E-7</v>
      </c>
      <c r="AX87" s="219">
        <v>6.4822744387478822E-7</v>
      </c>
      <c r="AY87" s="219">
        <v>6.4816357777622598E-7</v>
      </c>
      <c r="AZ87" s="219">
        <v>6.4810035929751346E-7</v>
      </c>
      <c r="BA87" s="219">
        <v>6.4803773578785421E-7</v>
      </c>
      <c r="BB87" s="219">
        <v>6.4797566931388301E-7</v>
      </c>
      <c r="BC87" s="33">
        <v>53.80292885804797</v>
      </c>
      <c r="BD87" s="219">
        <v>53.784917263304273</v>
      </c>
      <c r="BE87" s="219">
        <v>53.767444692734117</v>
      </c>
      <c r="BF87" s="219">
        <v>53.775090581256542</v>
      </c>
      <c r="BG87" s="219">
        <v>53.757059613258633</v>
      </c>
      <c r="BH87" s="219">
        <v>53.739172775979519</v>
      </c>
      <c r="BI87" s="219">
        <v>53.766092557110802</v>
      </c>
      <c r="BJ87" s="219">
        <v>53.792779161487992</v>
      </c>
      <c r="BK87" s="219">
        <v>53.83666188551048</v>
      </c>
      <c r="BL87" s="219">
        <v>53.862579310670547</v>
      </c>
      <c r="BM87" s="219">
        <v>53.888525307672978</v>
      </c>
      <c r="BN87" s="219">
        <v>53.911860478426142</v>
      </c>
      <c r="BO87" s="219">
        <v>53.935295642404448</v>
      </c>
      <c r="BP87" s="219">
        <v>53.96557715329196</v>
      </c>
      <c r="BQ87" s="219">
        <v>53.988517612550091</v>
      </c>
      <c r="BR87" s="219">
        <v>54.011257639774257</v>
      </c>
      <c r="BS87" s="219">
        <v>54.001426968638292</v>
      </c>
      <c r="BT87" s="219">
        <v>53.991609781422497</v>
      </c>
      <c r="BU87" s="219">
        <v>53.988438755945573</v>
      </c>
      <c r="BV87" s="219">
        <v>53.978566368247009</v>
      </c>
      <c r="BW87" s="219">
        <v>53.968629638614217</v>
      </c>
      <c r="BX87" s="219">
        <v>53.972865002039697</v>
      </c>
      <c r="BY87" s="219">
        <v>53.977077112273562</v>
      </c>
      <c r="BZ87" s="219">
        <v>53.981253646109757</v>
      </c>
      <c r="CA87" s="219">
        <v>53.985395173937263</v>
      </c>
      <c r="CB87" s="219">
        <v>53.989502526404159</v>
      </c>
      <c r="CC87" s="33">
        <v>135.80998010115019</v>
      </c>
      <c r="CD87" s="219">
        <v>134.96328691018749</v>
      </c>
      <c r="CE87" s="219">
        <v>134.14309627894701</v>
      </c>
      <c r="CF87" s="219">
        <v>133.49462709242121</v>
      </c>
      <c r="CG87" s="219">
        <v>132.67329959666739</v>
      </c>
      <c r="CH87" s="219">
        <v>131.8569007630629</v>
      </c>
      <c r="CI87" s="219">
        <v>131.5813202801294</v>
      </c>
      <c r="CJ87" s="219">
        <v>131.31646262465691</v>
      </c>
      <c r="CK87" s="219">
        <v>131.1639809508911</v>
      </c>
      <c r="CL87" s="219">
        <v>130.9072255981182</v>
      </c>
      <c r="CM87" s="219">
        <v>130.6618996197069</v>
      </c>
      <c r="CN87" s="219">
        <v>130.58247936634629</v>
      </c>
      <c r="CO87" s="219">
        <v>130.51194093184429</v>
      </c>
      <c r="CP87" s="219">
        <v>130.4851545192621</v>
      </c>
      <c r="CQ87" s="219">
        <v>130.4178242387683</v>
      </c>
      <c r="CR87" s="219">
        <v>130.35192800269289</v>
      </c>
      <c r="CS87" s="219">
        <v>130.27214942985671</v>
      </c>
      <c r="CT87" s="219">
        <v>130.19411804023849</v>
      </c>
      <c r="CU87" s="219">
        <v>130.14345770942191</v>
      </c>
      <c r="CV87" s="219">
        <v>130.06751812509179</v>
      </c>
      <c r="CW87" s="219">
        <v>129.99394790959221</v>
      </c>
      <c r="CX87" s="219">
        <v>130.157723120665</v>
      </c>
      <c r="CY87" s="219">
        <v>130.14715394175479</v>
      </c>
      <c r="CZ87" s="219">
        <v>130.13688288084401</v>
      </c>
      <c r="DA87" s="219">
        <v>130.126884758844</v>
      </c>
      <c r="DB87" s="219">
        <v>130.11713734319031</v>
      </c>
    </row>
    <row r="88" spans="1:106" x14ac:dyDescent="0.35">
      <c r="A88" s="137" t="s">
        <v>544</v>
      </c>
      <c r="B88" s="130" t="s">
        <v>545</v>
      </c>
      <c r="C88" s="33">
        <v>8.5216131252606215E-4</v>
      </c>
      <c r="D88" s="219">
        <v>8.3724878711983401E-4</v>
      </c>
      <c r="E88" s="219">
        <v>8.2235950799110409E-4</v>
      </c>
      <c r="F88" s="219">
        <v>8.0636676286234966E-4</v>
      </c>
      <c r="G88" s="219">
        <v>7.9142862603117118E-4</v>
      </c>
      <c r="H88" s="219">
        <v>7.7659280819902463E-4</v>
      </c>
      <c r="I88" s="219">
        <v>7.6691716937114188E-4</v>
      </c>
      <c r="J88" s="219">
        <v>7.573396099356018E-4</v>
      </c>
      <c r="K88" s="219">
        <v>7.4726903738310318E-4</v>
      </c>
      <c r="L88" s="219">
        <v>7.3784980931978074E-4</v>
      </c>
      <c r="M88" s="219">
        <v>7.2850860831391942E-4</v>
      </c>
      <c r="N88" s="219">
        <v>7.1739345642668397E-4</v>
      </c>
      <c r="O88" s="219">
        <v>7.0638346596352589E-4</v>
      </c>
      <c r="P88" s="219">
        <v>6.9528772422120476E-4</v>
      </c>
      <c r="Q88" s="219">
        <v>6.8444630151739245E-4</v>
      </c>
      <c r="R88" s="219">
        <v>6.7368124458290078E-4</v>
      </c>
      <c r="S88" s="219">
        <v>6.6252823133689008E-4</v>
      </c>
      <c r="T88" s="219">
        <v>6.5143157229133471E-4</v>
      </c>
      <c r="U88" s="219">
        <v>6.402177928143168E-4</v>
      </c>
      <c r="V88" s="219">
        <v>6.2923419360674153E-4</v>
      </c>
      <c r="W88" s="219">
        <v>6.1829636623689623E-4</v>
      </c>
      <c r="X88" s="219">
        <v>6.2201218885637945E-4</v>
      </c>
      <c r="Y88" s="219">
        <v>6.1637385966784182E-4</v>
      </c>
      <c r="Z88" s="219">
        <v>6.1074393268837322E-4</v>
      </c>
      <c r="AA88" s="219">
        <v>6.0512234923691655E-4</v>
      </c>
      <c r="AB88" s="219">
        <v>5.9950910594124853E-4</v>
      </c>
      <c r="AC88" s="33">
        <v>1.9363285429090501E-6</v>
      </c>
      <c r="AD88" s="219">
        <v>1.9220285631975899E-6</v>
      </c>
      <c r="AE88" s="219">
        <v>1.9075524375908702E-6</v>
      </c>
      <c r="AF88" s="219">
        <v>1.8892531183025879E-6</v>
      </c>
      <c r="AG88" s="219">
        <v>1.874268607653791E-6</v>
      </c>
      <c r="AH88" s="219">
        <v>1.859277373751982E-6</v>
      </c>
      <c r="AI88" s="219">
        <v>1.8588890305904119E-6</v>
      </c>
      <c r="AJ88" s="219">
        <v>1.8584288937861031E-6</v>
      </c>
      <c r="AK88" s="219">
        <v>1.855657966532536E-6</v>
      </c>
      <c r="AL88" s="219">
        <v>1.854999716989757E-6</v>
      </c>
      <c r="AM88" s="219">
        <v>1.8542794188333181E-6</v>
      </c>
      <c r="AN88" s="219">
        <v>1.8510279724961209E-6</v>
      </c>
      <c r="AO88" s="219">
        <v>1.847752601151951E-6</v>
      </c>
      <c r="AP88" s="219">
        <v>1.8435614847186539E-6</v>
      </c>
      <c r="AQ88" s="219">
        <v>1.840183880949558E-6</v>
      </c>
      <c r="AR88" s="219">
        <v>1.8367606329240139E-6</v>
      </c>
      <c r="AS88" s="219">
        <v>1.8302856127352629E-6</v>
      </c>
      <c r="AT88" s="219">
        <v>1.8237835676198079E-6</v>
      </c>
      <c r="AU88" s="219">
        <v>1.8164400900791631E-6</v>
      </c>
      <c r="AV88" s="219">
        <v>1.809869078806641E-6</v>
      </c>
      <c r="AW88" s="219">
        <v>1.803203189536614E-6</v>
      </c>
      <c r="AX88" s="219">
        <v>1.8187482770333161E-6</v>
      </c>
      <c r="AY88" s="219">
        <v>1.8121692628603461E-6</v>
      </c>
      <c r="AZ88" s="219">
        <v>1.805587254435879E-6</v>
      </c>
      <c r="BA88" s="219">
        <v>1.7990020929645579E-6</v>
      </c>
      <c r="BB88" s="219">
        <v>1.792413718731471E-6</v>
      </c>
      <c r="BC88" s="33">
        <v>70.811968393392803</v>
      </c>
      <c r="BD88" s="219">
        <v>69.97219050713737</v>
      </c>
      <c r="BE88" s="219">
        <v>69.128568983717273</v>
      </c>
      <c r="BF88" s="219">
        <v>68.182677159170396</v>
      </c>
      <c r="BG88" s="219">
        <v>67.330113919275547</v>
      </c>
      <c r="BH88" s="219">
        <v>66.476068821002983</v>
      </c>
      <c r="BI88" s="219">
        <v>65.83559114535926</v>
      </c>
      <c r="BJ88" s="219">
        <v>65.195647831706168</v>
      </c>
      <c r="BK88" s="219">
        <v>64.4825197075792</v>
      </c>
      <c r="BL88" s="219">
        <v>63.843277163078909</v>
      </c>
      <c r="BM88" s="219">
        <v>63.204635700282878</v>
      </c>
      <c r="BN88" s="219">
        <v>62.460048043980812</v>
      </c>
      <c r="BO88" s="219">
        <v>61.717419740178251</v>
      </c>
      <c r="BP88" s="219">
        <v>60.953949328169173</v>
      </c>
      <c r="BQ88" s="219">
        <v>60.215042829032477</v>
      </c>
      <c r="BR88" s="219">
        <v>59.477836865246793</v>
      </c>
      <c r="BS88" s="219">
        <v>58.591023337724899</v>
      </c>
      <c r="BT88" s="219">
        <v>57.702589305676391</v>
      </c>
      <c r="BU88" s="219">
        <v>56.789494169309357</v>
      </c>
      <c r="BV88" s="219">
        <v>55.897818496863273</v>
      </c>
      <c r="BW88" s="219">
        <v>55.004201071407941</v>
      </c>
      <c r="BX88" s="219">
        <v>54.671094111105504</v>
      </c>
      <c r="BY88" s="219">
        <v>54.338024010665627</v>
      </c>
      <c r="BZ88" s="219">
        <v>54.00490035039919</v>
      </c>
      <c r="CA88" s="219">
        <v>53.671721842999233</v>
      </c>
      <c r="CB88" s="219">
        <v>53.338489357294243</v>
      </c>
      <c r="CC88" s="33">
        <v>495.26793776870988</v>
      </c>
      <c r="CD88" s="219">
        <v>480.42157418412609</v>
      </c>
      <c r="CE88" s="219">
        <v>465.62571015399169</v>
      </c>
      <c r="CF88" s="219">
        <v>450.1860144613301</v>
      </c>
      <c r="CG88" s="219">
        <v>435.45918329817272</v>
      </c>
      <c r="CH88" s="219">
        <v>420.816106456657</v>
      </c>
      <c r="CI88" s="219">
        <v>410.65160361867601</v>
      </c>
      <c r="CJ88" s="219">
        <v>400.54657898388439</v>
      </c>
      <c r="CK88" s="219">
        <v>390.06341162378669</v>
      </c>
      <c r="CL88" s="219">
        <v>380.07499563988159</v>
      </c>
      <c r="CM88" s="219">
        <v>370.14548994612278</v>
      </c>
      <c r="CN88" s="219">
        <v>358.08827641363689</v>
      </c>
      <c r="CO88" s="219">
        <v>346.1122539261118</v>
      </c>
      <c r="CP88" s="219">
        <v>334.08943970850243</v>
      </c>
      <c r="CQ88" s="219">
        <v>322.26948291723301</v>
      </c>
      <c r="CR88" s="219">
        <v>310.52441557961549</v>
      </c>
      <c r="CS88" s="219">
        <v>298.38269546996497</v>
      </c>
      <c r="CT88" s="219">
        <v>286.31543812129757</v>
      </c>
      <c r="CU88" s="219">
        <v>274.22659726659163</v>
      </c>
      <c r="CV88" s="219">
        <v>262.30883856900272</v>
      </c>
      <c r="CW88" s="219">
        <v>250.46637423606941</v>
      </c>
      <c r="CX88" s="219">
        <v>244.197788288444</v>
      </c>
      <c r="CY88" s="219">
        <v>237.77243080162381</v>
      </c>
      <c r="CZ88" s="219">
        <v>231.3574187918579</v>
      </c>
      <c r="DA88" s="219">
        <v>224.95269355478899</v>
      </c>
      <c r="DB88" s="219">
        <v>218.55820990353709</v>
      </c>
    </row>
    <row r="89" spans="1:106" x14ac:dyDescent="0.35">
      <c r="A89" s="137" t="s">
        <v>546</v>
      </c>
      <c r="B89" s="130" t="s">
        <v>547</v>
      </c>
      <c r="C89" s="33">
        <v>3.5909746967405102E-6</v>
      </c>
      <c r="D89" s="219">
        <v>3.5717201684472969E-6</v>
      </c>
      <c r="E89" s="219">
        <v>3.5532843012534628E-6</v>
      </c>
      <c r="F89" s="219">
        <v>3.528465325590003E-6</v>
      </c>
      <c r="G89" s="219">
        <v>3.510111934910731E-6</v>
      </c>
      <c r="H89" s="219">
        <v>3.4926291380332001E-6</v>
      </c>
      <c r="I89" s="219">
        <v>3.4751515076422532E-6</v>
      </c>
      <c r="J89" s="219">
        <v>3.4594093468159402E-6</v>
      </c>
      <c r="K89" s="219">
        <v>3.4417168836188731E-6</v>
      </c>
      <c r="L89" s="219">
        <v>3.4284735394578922E-6</v>
      </c>
      <c r="M89" s="219">
        <v>3.416370519045029E-6</v>
      </c>
      <c r="N89" s="219">
        <v>3.405874054461112E-6</v>
      </c>
      <c r="O89" s="219">
        <v>3.3967016537176448E-6</v>
      </c>
      <c r="P89" s="219">
        <v>3.3874078297416789E-6</v>
      </c>
      <c r="Q89" s="219">
        <v>3.3797906852109652E-6</v>
      </c>
      <c r="R89" s="219">
        <v>3.3727319707441469E-6</v>
      </c>
      <c r="S89" s="219">
        <v>3.3681214164490898E-6</v>
      </c>
      <c r="T89" s="219">
        <v>3.3635327859332841E-6</v>
      </c>
      <c r="U89" s="219">
        <v>3.358056594793971E-6</v>
      </c>
      <c r="V89" s="219">
        <v>3.3535065728826671E-6</v>
      </c>
      <c r="W89" s="219">
        <v>3.3489088081898129E-6</v>
      </c>
      <c r="X89" s="219">
        <v>3.3776862051129901E-6</v>
      </c>
      <c r="Y89" s="219">
        <v>3.3777962665478841E-6</v>
      </c>
      <c r="Z89" s="219">
        <v>3.377886330914445E-6</v>
      </c>
      <c r="AA89" s="219">
        <v>3.3779571770063291E-6</v>
      </c>
      <c r="AB89" s="219">
        <v>3.378009748378577E-6</v>
      </c>
      <c r="AC89" s="33">
        <v>3.9146385309138393E-9</v>
      </c>
      <c r="AD89" s="219">
        <v>3.8678311384877438E-9</v>
      </c>
      <c r="AE89" s="219">
        <v>3.822227041961098E-9</v>
      </c>
      <c r="AF89" s="219">
        <v>3.7552185930773963E-9</v>
      </c>
      <c r="AG89" s="219">
        <v>3.709771119998778E-9</v>
      </c>
      <c r="AH89" s="219">
        <v>3.6659562003204631E-9</v>
      </c>
      <c r="AI89" s="219">
        <v>3.6554069549120749E-9</v>
      </c>
      <c r="AJ89" s="219">
        <v>3.6451467936624761E-9</v>
      </c>
      <c r="AK89" s="219">
        <v>3.622364448443529E-9</v>
      </c>
      <c r="AL89" s="219">
        <v>3.6124293722903659E-9</v>
      </c>
      <c r="AM89" s="219">
        <v>3.6030343311418229E-9</v>
      </c>
      <c r="AN89" s="219">
        <v>3.597300614466638E-9</v>
      </c>
      <c r="AO89" s="219">
        <v>3.592080844124104E-9</v>
      </c>
      <c r="AP89" s="219">
        <v>3.582194843976455E-9</v>
      </c>
      <c r="AQ89" s="219">
        <v>3.577111933052387E-9</v>
      </c>
      <c r="AR89" s="219">
        <v>3.5720665426761472E-9</v>
      </c>
      <c r="AS89" s="219">
        <v>3.562980613090353E-9</v>
      </c>
      <c r="AT89" s="219">
        <v>3.5539633996386601E-9</v>
      </c>
      <c r="AU89" s="219">
        <v>3.5409487256739271E-9</v>
      </c>
      <c r="AV89" s="219">
        <v>3.5320316474674748E-9</v>
      </c>
      <c r="AW89" s="219">
        <v>3.5227797459262952E-9</v>
      </c>
      <c r="AX89" s="219">
        <v>3.5619852510430551E-9</v>
      </c>
      <c r="AY89" s="219">
        <v>3.5568481423481141E-9</v>
      </c>
      <c r="AZ89" s="219">
        <v>3.5517264661529082E-9</v>
      </c>
      <c r="BA89" s="219">
        <v>3.5466189056085521E-9</v>
      </c>
      <c r="BB89" s="219">
        <v>3.5415245233126709E-9</v>
      </c>
      <c r="BC89" s="33">
        <v>0.1035552329625308</v>
      </c>
      <c r="BD89" s="219">
        <v>0.1026984246586462</v>
      </c>
      <c r="BE89" s="219">
        <v>0.1018523519254708</v>
      </c>
      <c r="BF89" s="219">
        <v>0.1004221261191126</v>
      </c>
      <c r="BG89" s="219">
        <v>9.9585807810028584E-2</v>
      </c>
      <c r="BH89" s="219">
        <v>9.8770488002020845E-2</v>
      </c>
      <c r="BI89" s="219">
        <v>9.8655181800830091E-2</v>
      </c>
      <c r="BJ89" s="219">
        <v>9.8537339609964095E-2</v>
      </c>
      <c r="BK89" s="219">
        <v>9.8003452256441845E-2</v>
      </c>
      <c r="BL89" s="219">
        <v>9.7885717961056412E-2</v>
      </c>
      <c r="BM89" s="219">
        <v>9.7768909935775389E-2</v>
      </c>
      <c r="BN89" s="219">
        <v>9.7526317980480323E-2</v>
      </c>
      <c r="BO89" s="219">
        <v>9.728827600947329E-2</v>
      </c>
      <c r="BP89" s="219">
        <v>9.6928186784729489E-2</v>
      </c>
      <c r="BQ89" s="219">
        <v>9.6694014791897695E-2</v>
      </c>
      <c r="BR89" s="219">
        <v>9.6459800452069575E-2</v>
      </c>
      <c r="BS89" s="219">
        <v>9.5820673141552612E-2</v>
      </c>
      <c r="BT89" s="219">
        <v>9.5180012199296574E-2</v>
      </c>
      <c r="BU89" s="219">
        <v>9.4421619447041943E-2</v>
      </c>
      <c r="BV89" s="219">
        <v>9.3779261171779565E-2</v>
      </c>
      <c r="BW89" s="219">
        <v>9.3133193542190629E-2</v>
      </c>
      <c r="BX89" s="219">
        <v>9.2919861459103803E-2</v>
      </c>
      <c r="BY89" s="219">
        <v>9.2706702969176519E-2</v>
      </c>
      <c r="BZ89" s="219">
        <v>9.2493440163576385E-2</v>
      </c>
      <c r="CA89" s="219">
        <v>9.2280069430203782E-2</v>
      </c>
      <c r="CB89" s="219">
        <v>9.20665936294284E-2</v>
      </c>
      <c r="CC89" s="33">
        <v>0.81224625777211612</v>
      </c>
      <c r="CD89" s="219">
        <v>0.7917831289696351</v>
      </c>
      <c r="CE89" s="219">
        <v>0.77174940956167826</v>
      </c>
      <c r="CF89" s="219">
        <v>0.7477879267920654</v>
      </c>
      <c r="CG89" s="219">
        <v>0.72813089327353031</v>
      </c>
      <c r="CH89" s="219">
        <v>0.70899102500971589</v>
      </c>
      <c r="CI89" s="219">
        <v>0.69881613295542511</v>
      </c>
      <c r="CJ89" s="219">
        <v>0.68876472783436993</v>
      </c>
      <c r="CK89" s="219">
        <v>0.67636676693891251</v>
      </c>
      <c r="CL89" s="219">
        <v>0.66659192765812203</v>
      </c>
      <c r="CM89" s="219">
        <v>0.65701244054050545</v>
      </c>
      <c r="CN89" s="219">
        <v>0.64809017366735244</v>
      </c>
      <c r="CO89" s="219">
        <v>0.63936020751303124</v>
      </c>
      <c r="CP89" s="219">
        <v>0.63005763974671569</v>
      </c>
      <c r="CQ89" s="219">
        <v>0.62154757763045032</v>
      </c>
      <c r="CR89" s="219">
        <v>0.61311837786742773</v>
      </c>
      <c r="CS89" s="219">
        <v>0.60439464833465872</v>
      </c>
      <c r="CT89" s="219">
        <v>0.59574446325414898</v>
      </c>
      <c r="CU89" s="219">
        <v>0.58669023797456732</v>
      </c>
      <c r="CV89" s="219">
        <v>0.57820448934004043</v>
      </c>
      <c r="CW89" s="219">
        <v>0.56980839631198654</v>
      </c>
      <c r="CX89" s="219">
        <v>0.56734205541621829</v>
      </c>
      <c r="CY89" s="219">
        <v>0.56272866805188948</v>
      </c>
      <c r="CZ89" s="219">
        <v>0.55813389571792538</v>
      </c>
      <c r="DA89" s="219">
        <v>0.55355738142923383</v>
      </c>
      <c r="DB89" s="219">
        <v>0.54899881829323294</v>
      </c>
    </row>
    <row r="90" spans="1:106" s="219" customFormat="1" x14ac:dyDescent="0.35">
      <c r="A90" s="137" t="s">
        <v>754</v>
      </c>
      <c r="B90" s="130" t="s">
        <v>547</v>
      </c>
      <c r="C90" s="33">
        <v>5.692117209769876E-6</v>
      </c>
      <c r="D90" s="219">
        <v>5.6801364182850154E-6</v>
      </c>
      <c r="E90" s="219">
        <v>5.6681700338786004E-6</v>
      </c>
      <c r="F90" s="219">
        <v>5.6545794263090846E-6</v>
      </c>
      <c r="G90" s="219">
        <v>5.642288388951849E-6</v>
      </c>
      <c r="H90" s="219">
        <v>5.629980509722236E-6</v>
      </c>
      <c r="I90" s="219">
        <v>5.6255091120452152E-6</v>
      </c>
      <c r="J90" s="219">
        <v>5.6213789915215764E-6</v>
      </c>
      <c r="K90" s="219">
        <v>5.6168270833076917E-6</v>
      </c>
      <c r="L90" s="219">
        <v>5.6132026645622929E-6</v>
      </c>
      <c r="M90" s="219">
        <v>5.6097986053032708E-6</v>
      </c>
      <c r="N90" s="219">
        <v>5.6081707516120527E-6</v>
      </c>
      <c r="O90" s="219">
        <v>5.6067866065226839E-6</v>
      </c>
      <c r="P90" s="219">
        <v>5.6053715793319184E-6</v>
      </c>
      <c r="Q90" s="219">
        <v>5.604284891146016E-6</v>
      </c>
      <c r="R90" s="219">
        <v>5.6032973552992492E-6</v>
      </c>
      <c r="S90" s="219">
        <v>5.6027802929286294E-6</v>
      </c>
      <c r="T90" s="219">
        <v>5.6022710423876831E-6</v>
      </c>
      <c r="U90" s="219">
        <v>5.6015868653900747E-6</v>
      </c>
      <c r="V90" s="219">
        <v>5.6010929088943962E-6</v>
      </c>
      <c r="W90" s="219">
        <v>5.6005911311988447E-6</v>
      </c>
      <c r="X90" s="219">
        <v>5.618921196523977E-6</v>
      </c>
      <c r="Y90" s="219">
        <v>5.6192705687710436E-6</v>
      </c>
      <c r="Z90" s="219">
        <v>5.619619874071323E-6</v>
      </c>
      <c r="AA90" s="219">
        <v>5.6199692271539794E-6</v>
      </c>
      <c r="AB90" s="219">
        <v>5.6203188027943649E-6</v>
      </c>
      <c r="AC90" s="33">
        <v>1.14309839522748E-8</v>
      </c>
      <c r="AD90" s="219">
        <v>1.140570011867433E-8</v>
      </c>
      <c r="AE90" s="219">
        <v>1.1380111927187409E-8</v>
      </c>
      <c r="AF90" s="219">
        <v>1.13491438385801E-8</v>
      </c>
      <c r="AG90" s="219">
        <v>1.13225650227988E-8</v>
      </c>
      <c r="AH90" s="219">
        <v>1.129581138303212E-8</v>
      </c>
      <c r="AI90" s="219">
        <v>1.129107682790487E-8</v>
      </c>
      <c r="AJ90" s="219">
        <v>1.128630921694621E-8</v>
      </c>
      <c r="AK90" s="219">
        <v>1.127881324496774E-8</v>
      </c>
      <c r="AL90" s="219">
        <v>1.1273978666062451E-8</v>
      </c>
      <c r="AM90" s="219">
        <v>1.126918745958059E-8</v>
      </c>
      <c r="AN90" s="219">
        <v>1.126760631191089E-8</v>
      </c>
      <c r="AO90" s="219">
        <v>1.1266124317554969E-8</v>
      </c>
      <c r="AP90" s="219">
        <v>1.1263663014329931E-8</v>
      </c>
      <c r="AQ90" s="219">
        <v>1.126222735430134E-8</v>
      </c>
      <c r="AR90" s="219">
        <v>1.1260798404058171E-8</v>
      </c>
      <c r="AS90" s="219">
        <v>1.1258555786085959E-8</v>
      </c>
      <c r="AT90" s="219">
        <v>1.125633620038643E-8</v>
      </c>
      <c r="AU90" s="219">
        <v>1.1253257544673299E-8</v>
      </c>
      <c r="AV90" s="219">
        <v>1.125107986719408E-8</v>
      </c>
      <c r="AW90" s="219">
        <v>1.1248832665752301E-8</v>
      </c>
      <c r="AX90" s="219">
        <v>1.126936714881722E-8</v>
      </c>
      <c r="AY90" s="219">
        <v>1.126883029150714E-8</v>
      </c>
      <c r="AZ90" s="219">
        <v>1.126829367188518E-8</v>
      </c>
      <c r="BA90" s="219">
        <v>1.126775716876779E-8</v>
      </c>
      <c r="BB90" s="219">
        <v>1.126722076388944E-8</v>
      </c>
      <c r="BC90" s="33">
        <v>3.6267044827517372E-2</v>
      </c>
      <c r="BD90" s="219">
        <v>3.6101236820078153E-2</v>
      </c>
      <c r="BE90" s="219">
        <v>3.593563640879692E-2</v>
      </c>
      <c r="BF90" s="219">
        <v>3.5636798120020068E-2</v>
      </c>
      <c r="BG90" s="219">
        <v>3.5469076834036301E-2</v>
      </c>
      <c r="BH90" s="219">
        <v>3.5303955242534678E-2</v>
      </c>
      <c r="BI90" s="219">
        <v>3.5444241619210573E-2</v>
      </c>
      <c r="BJ90" s="219">
        <v>3.5581189891784958E-2</v>
      </c>
      <c r="BK90" s="219">
        <v>3.5626064424565132E-2</v>
      </c>
      <c r="BL90" s="219">
        <v>3.5757720756494978E-2</v>
      </c>
      <c r="BM90" s="219">
        <v>3.588687116403072E-2</v>
      </c>
      <c r="BN90" s="219">
        <v>3.5872279605299033E-2</v>
      </c>
      <c r="BO90" s="219">
        <v>3.5858321059428329E-2</v>
      </c>
      <c r="BP90" s="219">
        <v>3.5818400738396899E-2</v>
      </c>
      <c r="BQ90" s="219">
        <v>3.5804797261288962E-2</v>
      </c>
      <c r="BR90" s="219">
        <v>3.5790929758196789E-2</v>
      </c>
      <c r="BS90" s="219">
        <v>3.5669078331741551E-2</v>
      </c>
      <c r="BT90" s="219">
        <v>3.5547676774493712E-2</v>
      </c>
      <c r="BU90" s="219">
        <v>3.5402334503924292E-2</v>
      </c>
      <c r="BV90" s="219">
        <v>3.528213213410273E-2</v>
      </c>
      <c r="BW90" s="219">
        <v>3.516184158871645E-2</v>
      </c>
      <c r="BX90" s="219">
        <v>3.5137629847741172E-2</v>
      </c>
      <c r="BY90" s="219">
        <v>3.5113612411980397E-2</v>
      </c>
      <c r="BZ90" s="219">
        <v>3.508969193622577E-2</v>
      </c>
      <c r="CA90" s="219">
        <v>3.5065866052021902E-2</v>
      </c>
      <c r="CB90" s="219">
        <v>3.5042134712943457E-2</v>
      </c>
      <c r="CC90" s="33">
        <v>3.2875924498611648</v>
      </c>
      <c r="CD90" s="219">
        <v>3.279645402899495</v>
      </c>
      <c r="CE90" s="219">
        <v>3.2717015346903482</v>
      </c>
      <c r="CF90" s="219">
        <v>3.262767486133431</v>
      </c>
      <c r="CG90" s="219">
        <v>3.2546879917668319</v>
      </c>
      <c r="CH90" s="219">
        <v>3.246608396573829</v>
      </c>
      <c r="CI90" s="219">
        <v>3.2439482262018138</v>
      </c>
      <c r="CJ90" s="219">
        <v>3.241325459060898</v>
      </c>
      <c r="CK90" s="219">
        <v>3.238211963758709</v>
      </c>
      <c r="CL90" s="219">
        <v>3.2356644651540041</v>
      </c>
      <c r="CM90" s="219">
        <v>3.233161884466361</v>
      </c>
      <c r="CN90" s="219">
        <v>3.2321122793960462</v>
      </c>
      <c r="CO90" s="219">
        <v>3.231092514390812</v>
      </c>
      <c r="CP90" s="219">
        <v>3.2299429849314589</v>
      </c>
      <c r="CQ90" s="219">
        <v>3.2289514087553628</v>
      </c>
      <c r="CR90" s="219">
        <v>3.227967927645544</v>
      </c>
      <c r="CS90" s="219">
        <v>3.227005789857488</v>
      </c>
      <c r="CT90" s="219">
        <v>3.226057992632466</v>
      </c>
      <c r="CU90" s="219">
        <v>3.225021541705174</v>
      </c>
      <c r="CV90" s="219">
        <v>3.2241062600368959</v>
      </c>
      <c r="CW90" s="219">
        <v>3.2232091554920461</v>
      </c>
      <c r="CX90" s="219">
        <v>3.2227553208735111</v>
      </c>
      <c r="CY90" s="219">
        <v>3.2221680985336749</v>
      </c>
      <c r="CZ90" s="219">
        <v>3.2215867901461972</v>
      </c>
      <c r="DA90" s="219">
        <v>3.2210113078655929</v>
      </c>
      <c r="DB90" s="219">
        <v>3.2204415799203781</v>
      </c>
    </row>
    <row r="91" spans="1:106" x14ac:dyDescent="0.35">
      <c r="A91" s="137" t="s">
        <v>548</v>
      </c>
      <c r="B91" s="130" t="s">
        <v>545</v>
      </c>
      <c r="C91" s="33">
        <v>2.521283185901464E-5</v>
      </c>
      <c r="D91" s="219">
        <v>2.5165062748304728E-5</v>
      </c>
      <c r="E91" s="219">
        <v>2.5116853343841829E-5</v>
      </c>
      <c r="F91" s="219">
        <v>2.4977454161689991E-5</v>
      </c>
      <c r="G91" s="219">
        <v>2.492898216182646E-5</v>
      </c>
      <c r="H91" s="219">
        <v>2.4879886417908039E-5</v>
      </c>
      <c r="I91" s="219">
        <v>2.4853181263297921E-5</v>
      </c>
      <c r="J91" s="219">
        <v>2.482687590330121E-5</v>
      </c>
      <c r="K91" s="219">
        <v>2.4750946372937029E-5</v>
      </c>
      <c r="L91" s="219">
        <v>2.472619512414964E-5</v>
      </c>
      <c r="M91" s="219">
        <v>2.4701711715973231E-5</v>
      </c>
      <c r="N91" s="219">
        <v>2.4678693623495879E-5</v>
      </c>
      <c r="O91" s="219">
        <v>2.4656060418953541E-5</v>
      </c>
      <c r="P91" s="219">
        <v>2.461732286180287E-5</v>
      </c>
      <c r="Q91" s="219">
        <v>2.4595654237166128E-5</v>
      </c>
      <c r="R91" s="219">
        <v>2.4574210370809259E-5</v>
      </c>
      <c r="S91" s="219">
        <v>2.4557708484361079E-5</v>
      </c>
      <c r="T91" s="219">
        <v>2.4541414619896882E-5</v>
      </c>
      <c r="U91" s="219">
        <v>2.4511020651085239E-5</v>
      </c>
      <c r="V91" s="219">
        <v>2.4495425388746839E-5</v>
      </c>
      <c r="W91" s="219">
        <v>2.4479844438119789E-5</v>
      </c>
      <c r="X91" s="219">
        <v>2.4504123227721851E-5</v>
      </c>
      <c r="Y91" s="219">
        <v>2.4492783147594052E-5</v>
      </c>
      <c r="Z91" s="219">
        <v>2.448156641747946E-5</v>
      </c>
      <c r="AA91" s="219">
        <v>2.4470472695532149E-5</v>
      </c>
      <c r="AB91" s="219">
        <v>2.4459501919924121E-5</v>
      </c>
      <c r="AC91" s="33">
        <v>6.2235646236779036E-8</v>
      </c>
      <c r="AD91" s="219">
        <v>6.2184926092177864E-8</v>
      </c>
      <c r="AE91" s="219">
        <v>6.213252558568497E-8</v>
      </c>
      <c r="AF91" s="219">
        <v>6.1763518202452569E-8</v>
      </c>
      <c r="AG91" s="219">
        <v>6.170697042606838E-8</v>
      </c>
      <c r="AH91" s="219">
        <v>6.1648650910850632E-8</v>
      </c>
      <c r="AI91" s="219">
        <v>6.1663397350743769E-8</v>
      </c>
      <c r="AJ91" s="219">
        <v>6.1677595383117957E-8</v>
      </c>
      <c r="AK91" s="219">
        <v>6.1497815107685697E-8</v>
      </c>
      <c r="AL91" s="219">
        <v>6.1510686659498529E-8</v>
      </c>
      <c r="AM91" s="219">
        <v>6.1523114033003611E-8</v>
      </c>
      <c r="AN91" s="219">
        <v>6.1535630266558844E-8</v>
      </c>
      <c r="AO91" s="219">
        <v>6.154784514599805E-8</v>
      </c>
      <c r="AP91" s="219">
        <v>6.1486159091274199E-8</v>
      </c>
      <c r="AQ91" s="219">
        <v>6.1497627472378928E-8</v>
      </c>
      <c r="AR91" s="219">
        <v>6.1508625078427576E-8</v>
      </c>
      <c r="AS91" s="219">
        <v>6.1502625757004285E-8</v>
      </c>
      <c r="AT91" s="219">
        <v>6.1496495277202774E-8</v>
      </c>
      <c r="AU91" s="219">
        <v>6.1430535273072579E-8</v>
      </c>
      <c r="AV91" s="219">
        <v>6.1424168175542716E-8</v>
      </c>
      <c r="AW91" s="219">
        <v>6.1416244358854042E-8</v>
      </c>
      <c r="AX91" s="219">
        <v>6.1484838914348091E-8</v>
      </c>
      <c r="AY91" s="219">
        <v>6.1477724678957848E-8</v>
      </c>
      <c r="AZ91" s="219">
        <v>6.1470540826262555E-8</v>
      </c>
      <c r="BA91" s="219">
        <v>6.1463287504351536E-8</v>
      </c>
      <c r="BB91" s="219">
        <v>6.1455965245574224E-8</v>
      </c>
      <c r="BC91" s="33">
        <v>0.35675791731792572</v>
      </c>
      <c r="BD91" s="219">
        <v>0.35487985481245488</v>
      </c>
      <c r="BE91" s="219">
        <v>0.35298813707870891</v>
      </c>
      <c r="BF91" s="219">
        <v>0.34237100693268607</v>
      </c>
      <c r="BG91" s="219">
        <v>0.34054793816394191</v>
      </c>
      <c r="BH91" s="219">
        <v>0.33871293918625611</v>
      </c>
      <c r="BI91" s="219">
        <v>0.33753555310202499</v>
      </c>
      <c r="BJ91" s="219">
        <v>0.33635130684195991</v>
      </c>
      <c r="BK91" s="219">
        <v>0.32892574552679898</v>
      </c>
      <c r="BL91" s="219">
        <v>0.327822923537053</v>
      </c>
      <c r="BM91" s="219">
        <v>0.32671354135236541</v>
      </c>
      <c r="BN91" s="219">
        <v>0.32527701505268869</v>
      </c>
      <c r="BO91" s="219">
        <v>0.32384576779678959</v>
      </c>
      <c r="BP91" s="219">
        <v>0.32052497998905</v>
      </c>
      <c r="BQ91" s="219">
        <v>0.31914577742650341</v>
      </c>
      <c r="BR91" s="219">
        <v>0.31777055278407701</v>
      </c>
      <c r="BS91" s="219">
        <v>0.31633160970115531</v>
      </c>
      <c r="BT91" s="219">
        <v>0.31490025615412481</v>
      </c>
      <c r="BU91" s="219">
        <v>0.31169781245418349</v>
      </c>
      <c r="BV91" s="219">
        <v>0.31030565553502693</v>
      </c>
      <c r="BW91" s="219">
        <v>0.30891274218271131</v>
      </c>
      <c r="BX91" s="219">
        <v>0.30826124732294841</v>
      </c>
      <c r="BY91" s="219">
        <v>0.30761586739817048</v>
      </c>
      <c r="BZ91" s="219">
        <v>0.30697620965134548</v>
      </c>
      <c r="CA91" s="219">
        <v>0.30634226930476899</v>
      </c>
      <c r="CB91" s="219">
        <v>0.30571405251380251</v>
      </c>
      <c r="CC91" s="33">
        <v>18.21600724330505</v>
      </c>
      <c r="CD91" s="219">
        <v>18.173425973280739</v>
      </c>
      <c r="CE91" s="219">
        <v>18.13073801761314</v>
      </c>
      <c r="CF91" s="219">
        <v>18.028424355562439</v>
      </c>
      <c r="CG91" s="219">
        <v>17.986813279838209</v>
      </c>
      <c r="CH91" s="219">
        <v>17.945011806390589</v>
      </c>
      <c r="CI91" s="219">
        <v>17.918048070591102</v>
      </c>
      <c r="CJ91" s="219">
        <v>17.891254932917491</v>
      </c>
      <c r="CK91" s="219">
        <v>17.827313614434921</v>
      </c>
      <c r="CL91" s="219">
        <v>17.801813143499729</v>
      </c>
      <c r="CM91" s="219">
        <v>17.77647446790456</v>
      </c>
      <c r="CN91" s="219">
        <v>17.752466812400819</v>
      </c>
      <c r="CO91" s="219">
        <v>17.7286878859342</v>
      </c>
      <c r="CP91" s="219">
        <v>17.694652248278889</v>
      </c>
      <c r="CQ91" s="219">
        <v>17.671709868075411</v>
      </c>
      <c r="CR91" s="219">
        <v>17.648972177358988</v>
      </c>
      <c r="CS91" s="219">
        <v>17.63151650923923</v>
      </c>
      <c r="CT91" s="219">
        <v>17.614309231917971</v>
      </c>
      <c r="CU91" s="219">
        <v>17.590297892489591</v>
      </c>
      <c r="CV91" s="219">
        <v>17.573922825782361</v>
      </c>
      <c r="CW91" s="219">
        <v>17.557861944005399</v>
      </c>
      <c r="CX91" s="219">
        <v>17.544656336117299</v>
      </c>
      <c r="CY91" s="219">
        <v>17.531301418686841</v>
      </c>
      <c r="CZ91" s="219">
        <v>17.518088876605681</v>
      </c>
      <c r="DA91" s="219">
        <v>17.50501830102143</v>
      </c>
      <c r="DB91" s="219">
        <v>17.49208937693901</v>
      </c>
    </row>
    <row r="92" spans="1:106" x14ac:dyDescent="0.35">
      <c r="A92" s="137" t="s">
        <v>549</v>
      </c>
      <c r="B92" s="130" t="s">
        <v>545</v>
      </c>
      <c r="C92" s="33">
        <v>1.223903197587413E-5</v>
      </c>
      <c r="D92" s="219">
        <v>1.218929387308827E-5</v>
      </c>
      <c r="E92" s="219">
        <v>1.213912466193549E-5</v>
      </c>
      <c r="F92" s="219">
        <v>1.198980457812872E-5</v>
      </c>
      <c r="G92" s="219">
        <v>1.193949124925048E-5</v>
      </c>
      <c r="H92" s="219">
        <v>1.188855770389595E-5</v>
      </c>
      <c r="I92" s="219">
        <v>1.18592007538672E-5</v>
      </c>
      <c r="J92" s="219">
        <v>1.1830264615877901E-5</v>
      </c>
      <c r="K92" s="219">
        <v>1.174739713202489E-5</v>
      </c>
      <c r="L92" s="219">
        <v>1.172013573137828E-5</v>
      </c>
      <c r="M92" s="219">
        <v>1.169315820868492E-5</v>
      </c>
      <c r="N92" s="219">
        <v>1.1667196593594719E-5</v>
      </c>
      <c r="O92" s="219">
        <v>1.1641649355081879E-5</v>
      </c>
      <c r="P92" s="219">
        <v>1.159862486693338E-5</v>
      </c>
      <c r="Q92" s="219">
        <v>1.157413727509988E-5</v>
      </c>
      <c r="R92" s="219">
        <v>1.154991373374153E-5</v>
      </c>
      <c r="S92" s="219">
        <v>1.153154101291256E-5</v>
      </c>
      <c r="T92" s="219">
        <v>1.1513405836606361E-5</v>
      </c>
      <c r="U92" s="219">
        <v>1.147997344526212E-5</v>
      </c>
      <c r="V92" s="219">
        <v>1.146263152210031E-5</v>
      </c>
      <c r="W92" s="219">
        <v>1.144543882038855E-5</v>
      </c>
      <c r="X92" s="219">
        <v>1.147080519002178E-5</v>
      </c>
      <c r="Y92" s="219">
        <v>1.1457799588589031E-5</v>
      </c>
      <c r="Z92" s="219">
        <v>1.1444938903575049E-5</v>
      </c>
      <c r="AA92" s="219">
        <v>1.143222276225724E-5</v>
      </c>
      <c r="AB92" s="219">
        <v>1.141965108651563E-5</v>
      </c>
      <c r="AC92" s="33">
        <v>3.0531135795154771E-8</v>
      </c>
      <c r="AD92" s="219">
        <v>3.0485460016894137E-8</v>
      </c>
      <c r="AE92" s="219">
        <v>3.0438091666625587E-8</v>
      </c>
      <c r="AF92" s="219">
        <v>3.0046495078790812E-8</v>
      </c>
      <c r="AG92" s="219">
        <v>2.999491984071327E-8</v>
      </c>
      <c r="AH92" s="219">
        <v>2.9941540999697113E-8</v>
      </c>
      <c r="AI92" s="219">
        <v>2.9962102770458998E-8</v>
      </c>
      <c r="AJ92" s="219">
        <v>2.9982063405504133E-8</v>
      </c>
      <c r="AK92" s="219">
        <v>2.9791233312979111E-8</v>
      </c>
      <c r="AL92" s="219">
        <v>2.9809735969645213E-8</v>
      </c>
      <c r="AM92" s="219">
        <v>2.9827745334631803E-8</v>
      </c>
      <c r="AN92" s="219">
        <v>2.984383145026254E-8</v>
      </c>
      <c r="AO92" s="219">
        <v>2.9859557669177878E-8</v>
      </c>
      <c r="AP92" s="219">
        <v>2.9794971630061729E-8</v>
      </c>
      <c r="AQ92" s="219">
        <v>2.9809865372277942E-8</v>
      </c>
      <c r="AR92" s="219">
        <v>2.9824293860054458E-8</v>
      </c>
      <c r="AS92" s="219">
        <v>2.9818834481510269E-8</v>
      </c>
      <c r="AT92" s="219">
        <v>2.981321131178696E-8</v>
      </c>
      <c r="AU92" s="219">
        <v>2.974253177695896E-8</v>
      </c>
      <c r="AV92" s="219">
        <v>2.9736664465451529E-8</v>
      </c>
      <c r="AW92" s="219">
        <v>2.9730039519972031E-8</v>
      </c>
      <c r="AX92" s="219">
        <v>2.9804468598596368E-8</v>
      </c>
      <c r="AY92" s="219">
        <v>2.9796704369717921E-8</v>
      </c>
      <c r="AZ92" s="219">
        <v>2.9788858148615448E-8</v>
      </c>
      <c r="BA92" s="219">
        <v>2.9780930154979231E-8</v>
      </c>
      <c r="BB92" s="219">
        <v>2.9772921009882429E-8</v>
      </c>
      <c r="BC92" s="33">
        <v>0.39661935883991839</v>
      </c>
      <c r="BD92" s="219">
        <v>0.39446896588824593</v>
      </c>
      <c r="BE92" s="219">
        <v>0.39230479078691738</v>
      </c>
      <c r="BF92" s="219">
        <v>0.38065362243631312</v>
      </c>
      <c r="BG92" s="219">
        <v>0.37856659915535013</v>
      </c>
      <c r="BH92" s="219">
        <v>0.37646750829218589</v>
      </c>
      <c r="BI92" s="219">
        <v>0.37504096219311872</v>
      </c>
      <c r="BJ92" s="219">
        <v>0.37360819580929339</v>
      </c>
      <c r="BK92" s="219">
        <v>0.36539323620374531</v>
      </c>
      <c r="BL92" s="219">
        <v>0.36405138436251699</v>
      </c>
      <c r="BM92" s="219">
        <v>0.36270382517628669</v>
      </c>
      <c r="BN92" s="219">
        <v>0.36105719469718872</v>
      </c>
      <c r="BO92" s="219">
        <v>0.35941668646231328</v>
      </c>
      <c r="BP92" s="219">
        <v>0.35572360266761721</v>
      </c>
      <c r="BQ92" s="219">
        <v>0.35414066672124411</v>
      </c>
      <c r="BR92" s="219">
        <v>0.35256278502547311</v>
      </c>
      <c r="BS92" s="219">
        <v>0.35097130177615349</v>
      </c>
      <c r="BT92" s="219">
        <v>0.34938850055323539</v>
      </c>
      <c r="BU92" s="219">
        <v>0.34588180281879899</v>
      </c>
      <c r="BV92" s="219">
        <v>0.34434314338387889</v>
      </c>
      <c r="BW92" s="219">
        <v>0.34280987368283328</v>
      </c>
      <c r="BX92" s="219">
        <v>0.34206642753386651</v>
      </c>
      <c r="BY92" s="219">
        <v>0.34133015023386493</v>
      </c>
      <c r="BZ92" s="219">
        <v>0.34060062987669182</v>
      </c>
      <c r="CA92" s="219">
        <v>0.33987786273119752</v>
      </c>
      <c r="CB92" s="219">
        <v>0.33916185658511722</v>
      </c>
      <c r="CC92" s="33">
        <v>6.9166936086704833</v>
      </c>
      <c r="CD92" s="219">
        <v>6.8720264979871297</v>
      </c>
      <c r="CE92" s="219">
        <v>6.8272742820664734</v>
      </c>
      <c r="CF92" s="219">
        <v>6.7177185753331106</v>
      </c>
      <c r="CG92" s="219">
        <v>6.6742204873232529</v>
      </c>
      <c r="CH92" s="219">
        <v>6.6305492094992839</v>
      </c>
      <c r="CI92" s="219">
        <v>6.6008236544847092</v>
      </c>
      <c r="CJ92" s="219">
        <v>6.5712892428427594</v>
      </c>
      <c r="CK92" s="219">
        <v>6.5013917514553494</v>
      </c>
      <c r="CL92" s="219">
        <v>6.4732737716235809</v>
      </c>
      <c r="CM92" s="219">
        <v>6.4453362575295117</v>
      </c>
      <c r="CN92" s="219">
        <v>6.4181096183557473</v>
      </c>
      <c r="CO92" s="219">
        <v>6.3911435073522211</v>
      </c>
      <c r="CP92" s="219">
        <v>6.3530470200155751</v>
      </c>
      <c r="CQ92" s="219">
        <v>6.3270155953745686</v>
      </c>
      <c r="CR92" s="219">
        <v>6.3012177836235921</v>
      </c>
      <c r="CS92" s="219">
        <v>6.2817359221663578</v>
      </c>
      <c r="CT92" s="219">
        <v>6.262537646128715</v>
      </c>
      <c r="CU92" s="219">
        <v>6.2359574267969782</v>
      </c>
      <c r="CV92" s="219">
        <v>6.2176913559594764</v>
      </c>
      <c r="CW92" s="219">
        <v>6.1997280317148364</v>
      </c>
      <c r="CX92" s="219">
        <v>6.1846357281775939</v>
      </c>
      <c r="CY92" s="219">
        <v>6.1694225418986841</v>
      </c>
      <c r="CZ92" s="219">
        <v>6.1543758583227133</v>
      </c>
      <c r="DA92" s="219">
        <v>6.1394952400305867</v>
      </c>
      <c r="DB92" s="219">
        <v>6.1247803480867482</v>
      </c>
    </row>
    <row r="93" spans="1:106" x14ac:dyDescent="0.35">
      <c r="A93" s="137" t="s">
        <v>550</v>
      </c>
      <c r="B93" s="130" t="s">
        <v>545</v>
      </c>
      <c r="C93" s="33">
        <v>4.2575352183670388E-5</v>
      </c>
      <c r="D93" s="219">
        <v>4.2112567063842849E-5</v>
      </c>
      <c r="E93" s="219">
        <v>4.163702729005831E-5</v>
      </c>
      <c r="F93" s="219">
        <v>4.0706359939489732E-5</v>
      </c>
      <c r="G93" s="219">
        <v>4.0202066176534148E-5</v>
      </c>
      <c r="H93" s="219">
        <v>3.9678082316700259E-5</v>
      </c>
      <c r="I93" s="219">
        <v>3.9513566953905508E-5</v>
      </c>
      <c r="J93" s="219">
        <v>3.9350947046638208E-5</v>
      </c>
      <c r="K93" s="219">
        <v>3.895009531111379E-5</v>
      </c>
      <c r="L93" s="219">
        <v>3.8794848934554742E-5</v>
      </c>
      <c r="M93" s="219">
        <v>3.8640822880883512E-5</v>
      </c>
      <c r="N93" s="219">
        <v>3.8519318553151707E-5</v>
      </c>
      <c r="O93" s="219">
        <v>3.8399745441314907E-5</v>
      </c>
      <c r="P93" s="219">
        <v>3.8203394472301083E-5</v>
      </c>
      <c r="Q93" s="219">
        <v>3.8088593512737938E-5</v>
      </c>
      <c r="R93" s="219">
        <v>3.7974864699622017E-5</v>
      </c>
      <c r="S93" s="219">
        <v>3.7884571039509209E-5</v>
      </c>
      <c r="T93" s="219">
        <v>3.7795493998771922E-5</v>
      </c>
      <c r="U93" s="219">
        <v>3.7639150550911347E-5</v>
      </c>
      <c r="V93" s="219">
        <v>3.7553793063518493E-5</v>
      </c>
      <c r="W93" s="219">
        <v>3.7467993910496778E-5</v>
      </c>
      <c r="X93" s="219">
        <v>3.7568140993453278E-5</v>
      </c>
      <c r="Y93" s="219">
        <v>3.7508261997307727E-5</v>
      </c>
      <c r="Z93" s="219">
        <v>3.744910919840411E-5</v>
      </c>
      <c r="AA93" s="219">
        <v>3.739067920649309E-5</v>
      </c>
      <c r="AB93" s="219">
        <v>3.7332971422646988E-5</v>
      </c>
      <c r="AC93" s="33">
        <v>1.2381169694720169E-7</v>
      </c>
      <c r="AD93" s="219">
        <v>1.2307654386296169E-7</v>
      </c>
      <c r="AE93" s="219">
        <v>1.2231010461436059E-7</v>
      </c>
      <c r="AF93" s="219">
        <v>1.1998777193325851E-7</v>
      </c>
      <c r="AG93" s="219">
        <v>1.191479844830944E-7</v>
      </c>
      <c r="AH93" s="219">
        <v>1.182666483508759E-7</v>
      </c>
      <c r="AI93" s="219">
        <v>1.182543461314624E-7</v>
      </c>
      <c r="AJ93" s="219">
        <v>1.1823776471114611E-7</v>
      </c>
      <c r="AK93" s="219">
        <v>1.172885336589317E-7</v>
      </c>
      <c r="AL93" s="219">
        <v>1.172630232463841E-7</v>
      </c>
      <c r="AM93" s="219">
        <v>1.1723433980556339E-7</v>
      </c>
      <c r="AN93" s="219">
        <v>1.1726438081570339E-7</v>
      </c>
      <c r="AO93" s="219">
        <v>1.172932148051371E-7</v>
      </c>
      <c r="AP93" s="219">
        <v>1.1696728889035679E-7</v>
      </c>
      <c r="AQ93" s="219">
        <v>1.169928287695166E-7</v>
      </c>
      <c r="AR93" s="219">
        <v>1.1701593068091791E-7</v>
      </c>
      <c r="AS93" s="219">
        <v>1.1695683610838209E-7</v>
      </c>
      <c r="AT93" s="219">
        <v>1.168976844382376E-7</v>
      </c>
      <c r="AU93" s="219">
        <v>1.1655057754108419E-7</v>
      </c>
      <c r="AV93" s="219">
        <v>1.164910813929203E-7</v>
      </c>
      <c r="AW93" s="219">
        <v>1.16419057526147E-7</v>
      </c>
      <c r="AX93" s="219">
        <v>1.166817971163379E-7</v>
      </c>
      <c r="AY93" s="219">
        <v>1.166419143071228E-7</v>
      </c>
      <c r="AZ93" s="219">
        <v>1.1660181272717871E-7</v>
      </c>
      <c r="BA93" s="219">
        <v>1.1656149191787559E-7</v>
      </c>
      <c r="BB93" s="219">
        <v>1.165209555663353E-7</v>
      </c>
      <c r="BC93" s="33">
        <v>1.8016127134008311</v>
      </c>
      <c r="BD93" s="219">
        <v>1.7900204790266581</v>
      </c>
      <c r="BE93" s="219">
        <v>1.778240787071939</v>
      </c>
      <c r="BF93" s="219">
        <v>1.72422361477151</v>
      </c>
      <c r="BG93" s="219">
        <v>1.712489927120237</v>
      </c>
      <c r="BH93" s="219">
        <v>1.7005265375484231</v>
      </c>
      <c r="BI93" s="219">
        <v>1.6972180601980451</v>
      </c>
      <c r="BJ93" s="219">
        <v>1.693784758362578</v>
      </c>
      <c r="BK93" s="219">
        <v>1.6602632554928569</v>
      </c>
      <c r="BL93" s="219">
        <v>1.657041318711171</v>
      </c>
      <c r="BM93" s="219">
        <v>1.6537002372894021</v>
      </c>
      <c r="BN93" s="219">
        <v>1.6466674959996559</v>
      </c>
      <c r="BO93" s="219">
        <v>1.6396564254227839</v>
      </c>
      <c r="BP93" s="219">
        <v>1.6235696299163189</v>
      </c>
      <c r="BQ93" s="219">
        <v>1.616800886988788</v>
      </c>
      <c r="BR93" s="219">
        <v>1.6100455232866631</v>
      </c>
      <c r="BS93" s="219">
        <v>1.6013658101676269</v>
      </c>
      <c r="BT93" s="219">
        <v>1.5927453105811289</v>
      </c>
      <c r="BU93" s="219">
        <v>1.575641192979444</v>
      </c>
      <c r="BV93" s="219">
        <v>1.5672505266332439</v>
      </c>
      <c r="BW93" s="219">
        <v>1.558844980605111</v>
      </c>
      <c r="BX93" s="219">
        <v>1.5556229297250099</v>
      </c>
      <c r="BY93" s="219">
        <v>1.5524319911160209</v>
      </c>
      <c r="BZ93" s="219">
        <v>1.5492678969867579</v>
      </c>
      <c r="CA93" s="219">
        <v>1.54613057891552</v>
      </c>
      <c r="CB93" s="219">
        <v>1.543020075254113</v>
      </c>
      <c r="CC93" s="33">
        <v>23.201285808367299</v>
      </c>
      <c r="CD93" s="219">
        <v>22.857087437369511</v>
      </c>
      <c r="CE93" s="219">
        <v>22.508980832045349</v>
      </c>
      <c r="CF93" s="219">
        <v>21.86888413875625</v>
      </c>
      <c r="CG93" s="219">
        <v>21.517140749775599</v>
      </c>
      <c r="CH93" s="219">
        <v>21.158888908902458</v>
      </c>
      <c r="CI93" s="219">
        <v>20.990680313422811</v>
      </c>
      <c r="CJ93" s="219">
        <v>20.823698770226969</v>
      </c>
      <c r="CK93" s="219">
        <v>20.478712876541511</v>
      </c>
      <c r="CL93" s="219">
        <v>20.318670188262409</v>
      </c>
      <c r="CM93" s="219">
        <v>20.159732904479149</v>
      </c>
      <c r="CN93" s="219">
        <v>20.031971373313262</v>
      </c>
      <c r="CO93" s="219">
        <v>19.90543345295443</v>
      </c>
      <c r="CP93" s="219">
        <v>19.729773021492779</v>
      </c>
      <c r="CQ93" s="219">
        <v>19.60750337321231</v>
      </c>
      <c r="CR93" s="219">
        <v>19.486351099373369</v>
      </c>
      <c r="CS93" s="219">
        <v>19.393939119578611</v>
      </c>
      <c r="CT93" s="219">
        <v>19.302940928527089</v>
      </c>
      <c r="CU93" s="219">
        <v>19.179375118776839</v>
      </c>
      <c r="CV93" s="219">
        <v>19.09281010954858</v>
      </c>
      <c r="CW93" s="219">
        <v>19.008273475173599</v>
      </c>
      <c r="CX93" s="219">
        <v>18.94004411605027</v>
      </c>
      <c r="CY93" s="219">
        <v>18.871367157021719</v>
      </c>
      <c r="CZ93" s="219">
        <v>18.80351715636564</v>
      </c>
      <c r="DA93" s="219">
        <v>18.736491486506349</v>
      </c>
      <c r="DB93" s="219">
        <v>18.67028829974263</v>
      </c>
    </row>
    <row r="94" spans="1:106" x14ac:dyDescent="0.35">
      <c r="A94" s="137" t="s">
        <v>551</v>
      </c>
      <c r="B94" s="130" t="s">
        <v>545</v>
      </c>
      <c r="C94" s="33">
        <v>1.8069454148435671E-5</v>
      </c>
      <c r="D94" s="219">
        <v>1.7950387995269359E-5</v>
      </c>
      <c r="E94" s="219">
        <v>1.7830822496464099E-5</v>
      </c>
      <c r="F94" s="219">
        <v>1.743506471346875E-5</v>
      </c>
      <c r="G94" s="219">
        <v>1.73169182303733E-5</v>
      </c>
      <c r="H94" s="219">
        <v>1.7198131308692899E-5</v>
      </c>
      <c r="I94" s="219">
        <v>1.711877729258727E-5</v>
      </c>
      <c r="J94" s="219">
        <v>1.7040582727749361E-5</v>
      </c>
      <c r="K94" s="219">
        <v>1.6811491633419429E-5</v>
      </c>
      <c r="L94" s="219">
        <v>1.6737964236939469E-5</v>
      </c>
      <c r="M94" s="219">
        <v>1.6665226779541439E-5</v>
      </c>
      <c r="N94" s="219">
        <v>1.6593081257325171E-5</v>
      </c>
      <c r="O94" s="219">
        <v>1.6522083091005141E-5</v>
      </c>
      <c r="P94" s="219">
        <v>1.6402150462750599E-5</v>
      </c>
      <c r="Q94" s="219">
        <v>1.6334110464078321E-5</v>
      </c>
      <c r="R94" s="219">
        <v>1.6266816098180021E-5</v>
      </c>
      <c r="S94" s="219">
        <v>1.62161995943301E-5</v>
      </c>
      <c r="T94" s="219">
        <v>1.616624097861174E-5</v>
      </c>
      <c r="U94" s="219">
        <v>1.60734627975654E-5</v>
      </c>
      <c r="V94" s="219">
        <v>1.6025713898324851E-5</v>
      </c>
      <c r="W94" s="219">
        <v>1.5978448414613711E-5</v>
      </c>
      <c r="X94" s="219">
        <v>1.6041705262254909E-5</v>
      </c>
      <c r="Y94" s="219">
        <v>1.6005374470944061E-5</v>
      </c>
      <c r="Z94" s="219">
        <v>1.5969447452262121E-5</v>
      </c>
      <c r="AA94" s="219">
        <v>1.593392328279023E-5</v>
      </c>
      <c r="AB94" s="219">
        <v>1.5898801744832639E-5</v>
      </c>
      <c r="AC94" s="33">
        <v>4.5497922050564191E-8</v>
      </c>
      <c r="AD94" s="219">
        <v>4.5415833289322418E-8</v>
      </c>
      <c r="AE94" s="219">
        <v>4.5330673269996413E-8</v>
      </c>
      <c r="AF94" s="219">
        <v>4.4285135829566032E-8</v>
      </c>
      <c r="AG94" s="219">
        <v>4.4191934882625022E-8</v>
      </c>
      <c r="AH94" s="219">
        <v>4.4095914080919578E-8</v>
      </c>
      <c r="AI94" s="219">
        <v>4.4162920552694402E-8</v>
      </c>
      <c r="AJ94" s="219">
        <v>4.4228385044420152E-8</v>
      </c>
      <c r="AK94" s="219">
        <v>4.3704249194493663E-8</v>
      </c>
      <c r="AL94" s="219">
        <v>4.3765853046845289E-8</v>
      </c>
      <c r="AM94" s="219">
        <v>4.3826166110474118E-8</v>
      </c>
      <c r="AN94" s="219">
        <v>4.3875736614561417E-8</v>
      </c>
      <c r="AO94" s="219">
        <v>4.3924262330283651E-8</v>
      </c>
      <c r="AP94" s="219">
        <v>4.3748096949408797E-8</v>
      </c>
      <c r="AQ94" s="219">
        <v>4.3794250684097797E-8</v>
      </c>
      <c r="AR94" s="219">
        <v>4.3839115212479962E-8</v>
      </c>
      <c r="AS94" s="219">
        <v>4.3827447037086391E-8</v>
      </c>
      <c r="AT94" s="219">
        <v>4.3815266842392369E-8</v>
      </c>
      <c r="AU94" s="219">
        <v>4.3621134139607269E-8</v>
      </c>
      <c r="AV94" s="219">
        <v>4.360819814769552E-8</v>
      </c>
      <c r="AW94" s="219">
        <v>4.3593663476493277E-8</v>
      </c>
      <c r="AX94" s="219">
        <v>4.3782075228296848E-8</v>
      </c>
      <c r="AY94" s="219">
        <v>4.3760912995005972E-8</v>
      </c>
      <c r="AZ94" s="219">
        <v>4.3739511058272677E-8</v>
      </c>
      <c r="BA94" s="219">
        <v>4.3717870155312199E-8</v>
      </c>
      <c r="BB94" s="219">
        <v>4.369599195323635E-8</v>
      </c>
      <c r="BC94" s="33">
        <v>1.104614282870632</v>
      </c>
      <c r="BD94" s="219">
        <v>1.098760583075185</v>
      </c>
      <c r="BE94" s="219">
        <v>1.0928764403379141</v>
      </c>
      <c r="BF94" s="219">
        <v>1.0604773438173249</v>
      </c>
      <c r="BG94" s="219">
        <v>1.054827937758344</v>
      </c>
      <c r="BH94" s="219">
        <v>1.049155753175316</v>
      </c>
      <c r="BI94" s="219">
        <v>1.044839683317822</v>
      </c>
      <c r="BJ94" s="219">
        <v>1.0405140812138181</v>
      </c>
      <c r="BK94" s="219">
        <v>1.017224625565315</v>
      </c>
      <c r="BL94" s="219">
        <v>1.013168727224024</v>
      </c>
      <c r="BM94" s="219">
        <v>1.009104372944944</v>
      </c>
      <c r="BN94" s="219">
        <v>1.0044394990628061</v>
      </c>
      <c r="BO94" s="219">
        <v>0.9997922767755425</v>
      </c>
      <c r="BP94" s="219">
        <v>0.98940341097324958</v>
      </c>
      <c r="BQ94" s="219">
        <v>0.98491842333151713</v>
      </c>
      <c r="BR94" s="219">
        <v>0.98044836733673024</v>
      </c>
      <c r="BS94" s="219">
        <v>0.97614288844887731</v>
      </c>
      <c r="BT94" s="219">
        <v>0.97186042630257152</v>
      </c>
      <c r="BU94" s="219">
        <v>0.96219462158548574</v>
      </c>
      <c r="BV94" s="219">
        <v>0.95803350209341753</v>
      </c>
      <c r="BW94" s="219">
        <v>0.95388967049623763</v>
      </c>
      <c r="BX94" s="219">
        <v>0.95179875278225923</v>
      </c>
      <c r="BY94" s="219">
        <v>0.94972800784888756</v>
      </c>
      <c r="BZ94" s="219">
        <v>0.94767647932860843</v>
      </c>
      <c r="CA94" s="219">
        <v>0.94564416196411627</v>
      </c>
      <c r="CB94" s="219">
        <v>0.94363107818711944</v>
      </c>
      <c r="CC94" s="33">
        <v>7.5890963328402758</v>
      </c>
      <c r="CD94" s="219">
        <v>7.4763997444036843</v>
      </c>
      <c r="CE94" s="219">
        <v>7.3637172193756779</v>
      </c>
      <c r="CF94" s="219">
        <v>7.0701796651095181</v>
      </c>
      <c r="CG94" s="219">
        <v>6.9616633739491212</v>
      </c>
      <c r="CH94" s="219">
        <v>6.8530614558051779</v>
      </c>
      <c r="CI94" s="219">
        <v>6.7726410686972969</v>
      </c>
      <c r="CJ94" s="219">
        <v>6.6927259066023579</v>
      </c>
      <c r="CK94" s="219">
        <v>6.4998652311679948</v>
      </c>
      <c r="CL94" s="219">
        <v>6.4238623764170812</v>
      </c>
      <c r="CM94" s="219">
        <v>6.3483418343492586</v>
      </c>
      <c r="CN94" s="219">
        <v>6.2723783274176812</v>
      </c>
      <c r="CO94" s="219">
        <v>6.1971447286706249</v>
      </c>
      <c r="CP94" s="219">
        <v>6.0907761715438706</v>
      </c>
      <c r="CQ94" s="219">
        <v>6.0181621334374764</v>
      </c>
      <c r="CR94" s="219">
        <v>5.9462033891264943</v>
      </c>
      <c r="CS94" s="219">
        <v>5.8921755136591809</v>
      </c>
      <c r="CT94" s="219">
        <v>5.8389347549967159</v>
      </c>
      <c r="CU94" s="219">
        <v>5.7650457550132428</v>
      </c>
      <c r="CV94" s="219">
        <v>5.714400674556626</v>
      </c>
      <c r="CW94" s="219">
        <v>5.664565398989331</v>
      </c>
      <c r="CX94" s="219">
        <v>5.6222492389375311</v>
      </c>
      <c r="CY94" s="219">
        <v>5.5797195913601376</v>
      </c>
      <c r="CZ94" s="219">
        <v>5.5376538732983036</v>
      </c>
      <c r="DA94" s="219">
        <v>5.4960509125157726</v>
      </c>
      <c r="DB94" s="219">
        <v>5.4549097850337294</v>
      </c>
    </row>
    <row r="95" spans="1:106" x14ac:dyDescent="0.35">
      <c r="A95" s="137" t="s">
        <v>552</v>
      </c>
      <c r="B95" s="130" t="s">
        <v>545</v>
      </c>
      <c r="C95" s="33">
        <v>3.3209622022510722E-5</v>
      </c>
      <c r="D95" s="219">
        <v>3.3146311807262401E-5</v>
      </c>
      <c r="E95" s="219">
        <v>3.3082275166333518E-5</v>
      </c>
      <c r="F95" s="219">
        <v>3.2907905178073523E-5</v>
      </c>
      <c r="G95" s="219">
        <v>3.2843045472204978E-5</v>
      </c>
      <c r="H95" s="219">
        <v>3.2777128238171541E-5</v>
      </c>
      <c r="I95" s="219">
        <v>3.2743899560077057E-5</v>
      </c>
      <c r="J95" s="219">
        <v>3.2711158774736372E-5</v>
      </c>
      <c r="K95" s="219">
        <v>3.261857986986767E-5</v>
      </c>
      <c r="L95" s="219">
        <v>3.2587719769110217E-5</v>
      </c>
      <c r="M95" s="219">
        <v>3.2557183730362637E-5</v>
      </c>
      <c r="N95" s="219">
        <v>3.2528944835102251E-5</v>
      </c>
      <c r="O95" s="219">
        <v>3.2501175135130728E-5</v>
      </c>
      <c r="P95" s="219">
        <v>3.2454002086021092E-5</v>
      </c>
      <c r="Q95" s="219">
        <v>3.2427402098120682E-5</v>
      </c>
      <c r="R95" s="219">
        <v>3.2401075768806082E-5</v>
      </c>
      <c r="S95" s="219">
        <v>3.2380815423672871E-5</v>
      </c>
      <c r="T95" s="219">
        <v>3.2360809450997172E-5</v>
      </c>
      <c r="U95" s="219">
        <v>3.2323811332911562E-5</v>
      </c>
      <c r="V95" s="219">
        <v>3.2304657103595868E-5</v>
      </c>
      <c r="W95" s="219">
        <v>3.228552609388465E-5</v>
      </c>
      <c r="X95" s="219">
        <v>3.2321213134172852E-5</v>
      </c>
      <c r="Y95" s="219">
        <v>3.2307392704496913E-5</v>
      </c>
      <c r="Z95" s="219">
        <v>3.2293723488889828E-5</v>
      </c>
      <c r="AA95" s="219">
        <v>3.2280205040430099E-5</v>
      </c>
      <c r="AB95" s="219">
        <v>3.2266837283738597E-5</v>
      </c>
      <c r="AC95" s="33">
        <v>8.1998215398839681E-8</v>
      </c>
      <c r="AD95" s="219">
        <v>8.1924821428782927E-8</v>
      </c>
      <c r="AE95" s="219">
        <v>8.1848942538953282E-8</v>
      </c>
      <c r="AF95" s="219">
        <v>8.1390442787819023E-8</v>
      </c>
      <c r="AG95" s="219">
        <v>8.1308531338921834E-8</v>
      </c>
      <c r="AH95" s="219">
        <v>8.1223861383047528E-8</v>
      </c>
      <c r="AI95" s="219">
        <v>8.1239356986226055E-8</v>
      </c>
      <c r="AJ95" s="219">
        <v>8.1254149725993427E-8</v>
      </c>
      <c r="AK95" s="219">
        <v>8.1034981434632836E-8</v>
      </c>
      <c r="AL95" s="219">
        <v>8.1048106481316982E-8</v>
      </c>
      <c r="AM95" s="219">
        <v>8.1060666003858387E-8</v>
      </c>
      <c r="AN95" s="219">
        <v>8.1074447606520571E-8</v>
      </c>
      <c r="AO95" s="219">
        <v>8.1087871789233708E-8</v>
      </c>
      <c r="AP95" s="219">
        <v>8.1012176790188633E-8</v>
      </c>
      <c r="AQ95" s="219">
        <v>8.1024709474445933E-8</v>
      </c>
      <c r="AR95" s="219">
        <v>8.1036679650311901E-8</v>
      </c>
      <c r="AS95" s="219">
        <v>8.1028443714479525E-8</v>
      </c>
      <c r="AT95" s="219">
        <v>8.1020061707390437E-8</v>
      </c>
      <c r="AU95" s="219">
        <v>8.0939505830241842E-8</v>
      </c>
      <c r="AV95" s="219">
        <v>8.0930862930421555E-8</v>
      </c>
      <c r="AW95" s="219">
        <v>8.0920367158262568E-8</v>
      </c>
      <c r="AX95" s="219">
        <v>8.1021359225957143E-8</v>
      </c>
      <c r="AY95" s="219">
        <v>8.1012590384282457E-8</v>
      </c>
      <c r="AZ95" s="219">
        <v>8.1003739401368674E-8</v>
      </c>
      <c r="BA95" s="219">
        <v>8.0994806426941983E-8</v>
      </c>
      <c r="BB95" s="219">
        <v>8.0985792129504609E-8</v>
      </c>
      <c r="BC95" s="33">
        <v>0.43711785073772541</v>
      </c>
      <c r="BD95" s="219">
        <v>0.43478228947983999</v>
      </c>
      <c r="BE95" s="219">
        <v>0.43242810674675219</v>
      </c>
      <c r="BF95" s="219">
        <v>0.41954283444738261</v>
      </c>
      <c r="BG95" s="219">
        <v>0.41726640080232569</v>
      </c>
      <c r="BH95" s="219">
        <v>0.41497260217895598</v>
      </c>
      <c r="BI95" s="219">
        <v>0.41362304971796388</v>
      </c>
      <c r="BJ95" s="219">
        <v>0.41226313007747922</v>
      </c>
      <c r="BK95" s="219">
        <v>0.40337349717308651</v>
      </c>
      <c r="BL95" s="219">
        <v>0.40210768389759621</v>
      </c>
      <c r="BM95" s="219">
        <v>0.40083201372889488</v>
      </c>
      <c r="BN95" s="219">
        <v>0.39910258858165049</v>
      </c>
      <c r="BO95" s="219">
        <v>0.39737944848672591</v>
      </c>
      <c r="BP95" s="219">
        <v>0.3933775557202322</v>
      </c>
      <c r="BQ95" s="219">
        <v>0.391717011732791</v>
      </c>
      <c r="BR95" s="219">
        <v>0.39006116175115868</v>
      </c>
      <c r="BS95" s="219">
        <v>0.38827569252737992</v>
      </c>
      <c r="BT95" s="219">
        <v>0.3864998284162881</v>
      </c>
      <c r="BU95" s="219">
        <v>0.38258855129786518</v>
      </c>
      <c r="BV95" s="219">
        <v>0.38086087403712787</v>
      </c>
      <c r="BW95" s="219">
        <v>0.37913281036615681</v>
      </c>
      <c r="BX95" s="219">
        <v>0.37834352805615717</v>
      </c>
      <c r="BY95" s="219">
        <v>0.37756168517733663</v>
      </c>
      <c r="BZ95" s="219">
        <v>0.37678675184231408</v>
      </c>
      <c r="CA95" s="219">
        <v>0.37601872100948219</v>
      </c>
      <c r="CB95" s="219">
        <v>0.37525760012127363</v>
      </c>
      <c r="CC95" s="33">
        <v>23.722350882304319</v>
      </c>
      <c r="CD95" s="219">
        <v>23.667626806129022</v>
      </c>
      <c r="CE95" s="219">
        <v>23.61270719439791</v>
      </c>
      <c r="CF95" s="219">
        <v>23.485750882863769</v>
      </c>
      <c r="CG95" s="219">
        <v>23.431953830455811</v>
      </c>
      <c r="CH95" s="219">
        <v>23.377818064289858</v>
      </c>
      <c r="CI95" s="219">
        <v>23.344393860006651</v>
      </c>
      <c r="CJ95" s="219">
        <v>23.311185440451091</v>
      </c>
      <c r="CK95" s="219">
        <v>23.233186500130731</v>
      </c>
      <c r="CL95" s="219">
        <v>23.20155420407443</v>
      </c>
      <c r="CM95" s="219">
        <v>23.170124821017879</v>
      </c>
      <c r="CN95" s="219">
        <v>23.14088660088489</v>
      </c>
      <c r="CO95" s="219">
        <v>23.111926406611008</v>
      </c>
      <c r="CP95" s="219">
        <v>23.070599080644211</v>
      </c>
      <c r="CQ95" s="219">
        <v>23.04265127785656</v>
      </c>
      <c r="CR95" s="219">
        <v>23.014951932402479</v>
      </c>
      <c r="CS95" s="219">
        <v>22.993648270358459</v>
      </c>
      <c r="CT95" s="219">
        <v>22.972648636893449</v>
      </c>
      <c r="CU95" s="219">
        <v>22.943444871382741</v>
      </c>
      <c r="CV95" s="219">
        <v>22.92345783552231</v>
      </c>
      <c r="CW95" s="219">
        <v>22.903853316310801</v>
      </c>
      <c r="CX95" s="219">
        <v>22.887830462532399</v>
      </c>
      <c r="CY95" s="219">
        <v>22.871573704051361</v>
      </c>
      <c r="CZ95" s="219">
        <v>22.855491384692129</v>
      </c>
      <c r="DA95" s="219">
        <v>22.839582996658049</v>
      </c>
      <c r="DB95" s="219">
        <v>22.82384815290996</v>
      </c>
    </row>
    <row r="96" spans="1:106" x14ac:dyDescent="0.35">
      <c r="A96" s="137" t="s">
        <v>553</v>
      </c>
      <c r="B96" s="130" t="s">
        <v>545</v>
      </c>
      <c r="C96" s="33">
        <v>4.7281307357465434E-6</v>
      </c>
      <c r="D96" s="219">
        <v>4.7041581020651627E-6</v>
      </c>
      <c r="E96" s="219">
        <v>4.6799519784315219E-6</v>
      </c>
      <c r="F96" s="219">
        <v>4.5897934331483611E-6</v>
      </c>
      <c r="G96" s="219">
        <v>4.5644742576283716E-6</v>
      </c>
      <c r="H96" s="219">
        <v>4.5392189059397906E-6</v>
      </c>
      <c r="I96" s="219">
        <v>4.522169871832786E-6</v>
      </c>
      <c r="J96" s="219">
        <v>4.5055208838991322E-6</v>
      </c>
      <c r="K96" s="219">
        <v>4.4534195564012291E-6</v>
      </c>
      <c r="L96" s="219">
        <v>4.438049527836702E-6</v>
      </c>
      <c r="M96" s="219">
        <v>4.4229488207873731E-6</v>
      </c>
      <c r="N96" s="219">
        <v>4.4094311517600152E-6</v>
      </c>
      <c r="O96" s="219">
        <v>4.3962547196887906E-6</v>
      </c>
      <c r="P96" s="219">
        <v>4.3715117745925082E-6</v>
      </c>
      <c r="Q96" s="219">
        <v>4.3590806060915317E-6</v>
      </c>
      <c r="R96" s="219">
        <v>4.3468196836088151E-6</v>
      </c>
      <c r="S96" s="219">
        <v>4.3353520678946073E-6</v>
      </c>
      <c r="T96" s="219">
        <v>4.3239907485853967E-6</v>
      </c>
      <c r="U96" s="219">
        <v>4.3024551575286262E-6</v>
      </c>
      <c r="V96" s="219">
        <v>4.2915037836095429E-6</v>
      </c>
      <c r="W96" s="219">
        <v>4.2805032752392471E-6</v>
      </c>
      <c r="X96" s="219">
        <v>4.3051357895928466E-6</v>
      </c>
      <c r="Y96" s="219">
        <v>4.2988329214915346E-6</v>
      </c>
      <c r="Z96" s="219">
        <v>4.2925804222102646E-6</v>
      </c>
      <c r="AA96" s="219">
        <v>4.2863781753696463E-6</v>
      </c>
      <c r="AB96" s="219">
        <v>4.2802262208572117E-6</v>
      </c>
      <c r="AC96" s="33">
        <v>6.9273187844683262E-9</v>
      </c>
      <c r="AD96" s="219">
        <v>6.9025559267734448E-9</v>
      </c>
      <c r="AE96" s="219">
        <v>6.8773544850438489E-9</v>
      </c>
      <c r="AF96" s="219">
        <v>6.6278144527950634E-9</v>
      </c>
      <c r="AG96" s="219">
        <v>6.6010757224717022E-9</v>
      </c>
      <c r="AH96" s="219">
        <v>6.5741103047801397E-9</v>
      </c>
      <c r="AI96" s="219">
        <v>6.5779024968899446E-9</v>
      </c>
      <c r="AJ96" s="219">
        <v>6.5814761290772538E-9</v>
      </c>
      <c r="AK96" s="219">
        <v>6.4463115074124096E-9</v>
      </c>
      <c r="AL96" s="219">
        <v>6.4492616005351704E-9</v>
      </c>
      <c r="AM96" s="219">
        <v>6.4520738514488267E-9</v>
      </c>
      <c r="AN96" s="219">
        <v>6.4586179437564183E-9</v>
      </c>
      <c r="AO96" s="219">
        <v>6.4650864624620646E-9</v>
      </c>
      <c r="AP96" s="219">
        <v>6.4187819440709202E-9</v>
      </c>
      <c r="AQ96" s="219">
        <v>6.4249280372463331E-9</v>
      </c>
      <c r="AR96" s="219">
        <v>6.4308264435903974E-9</v>
      </c>
      <c r="AS96" s="219">
        <v>6.423854855543691E-9</v>
      </c>
      <c r="AT96" s="219">
        <v>6.4168212547272542E-9</v>
      </c>
      <c r="AU96" s="219">
        <v>6.3671816827843234E-9</v>
      </c>
      <c r="AV96" s="219">
        <v>6.3600354833264088E-9</v>
      </c>
      <c r="AW96" s="219">
        <v>6.3516846926936873E-9</v>
      </c>
      <c r="AX96" s="219">
        <v>6.3941075164324727E-9</v>
      </c>
      <c r="AY96" s="219">
        <v>6.3885021312967204E-9</v>
      </c>
      <c r="AZ96" s="219">
        <v>6.3828655516487886E-9</v>
      </c>
      <c r="BA96" s="219">
        <v>6.377197675436085E-9</v>
      </c>
      <c r="BB96" s="219">
        <v>6.3714986052788613E-9</v>
      </c>
      <c r="BC96" s="33">
        <v>0.2017781719684639</v>
      </c>
      <c r="BD96" s="219">
        <v>0.20064249282762411</v>
      </c>
      <c r="BE96" s="219">
        <v>0.19950130878259539</v>
      </c>
      <c r="BF96" s="219">
        <v>0.19214876707276449</v>
      </c>
      <c r="BG96" s="219">
        <v>0.1910642589985104</v>
      </c>
      <c r="BH96" s="219">
        <v>0.18997807648792431</v>
      </c>
      <c r="BI96" s="219">
        <v>0.1892374413968691</v>
      </c>
      <c r="BJ96" s="219">
        <v>0.1884943180509866</v>
      </c>
      <c r="BK96" s="219">
        <v>0.18328982393031379</v>
      </c>
      <c r="BL96" s="219">
        <v>0.18261007702822249</v>
      </c>
      <c r="BM96" s="219">
        <v>0.18192816144273441</v>
      </c>
      <c r="BN96" s="219">
        <v>0.1810664308116981</v>
      </c>
      <c r="BO96" s="219">
        <v>0.1802080416573239</v>
      </c>
      <c r="BP96" s="219">
        <v>0.1779961972354285</v>
      </c>
      <c r="BQ96" s="219">
        <v>0.1771733906252671</v>
      </c>
      <c r="BR96" s="219">
        <v>0.1763525725283108</v>
      </c>
      <c r="BS96" s="219">
        <v>0.17542314507495591</v>
      </c>
      <c r="BT96" s="219">
        <v>0.1744959341174368</v>
      </c>
      <c r="BU96" s="219">
        <v>0.17229807432081359</v>
      </c>
      <c r="BV96" s="219">
        <v>0.17139232785088149</v>
      </c>
      <c r="BW96" s="219">
        <v>0.1704820605046703</v>
      </c>
      <c r="BX96" s="219">
        <v>0.1700903033966269</v>
      </c>
      <c r="BY96" s="219">
        <v>0.16970101046957281</v>
      </c>
      <c r="BZ96" s="219">
        <v>0.16931397295804551</v>
      </c>
      <c r="CA96" s="219">
        <v>0.1689291870015715</v>
      </c>
      <c r="CB96" s="219">
        <v>0.1685466548292042</v>
      </c>
      <c r="CC96" s="33">
        <v>0.97942055979502718</v>
      </c>
      <c r="CD96" s="219">
        <v>0.95425956874983431</v>
      </c>
      <c r="CE96" s="219">
        <v>0.92915228497974456</v>
      </c>
      <c r="CF96" s="219">
        <v>0.8617216416638479</v>
      </c>
      <c r="CG96" s="219">
        <v>0.83763722096184268</v>
      </c>
      <c r="CH96" s="219">
        <v>0.813621775578386</v>
      </c>
      <c r="CI96" s="219">
        <v>0.79783237469703627</v>
      </c>
      <c r="CJ96" s="219">
        <v>0.78214567828214865</v>
      </c>
      <c r="CK96" s="219">
        <v>0.73984572820458172</v>
      </c>
      <c r="CL96" s="219">
        <v>0.72504826104187436</v>
      </c>
      <c r="CM96" s="219">
        <v>0.7103564412058132</v>
      </c>
      <c r="CN96" s="219">
        <v>0.69567127486807401</v>
      </c>
      <c r="CO96" s="219">
        <v>0.68112771379212567</v>
      </c>
      <c r="CP96" s="219">
        <v>0.65921279832393609</v>
      </c>
      <c r="CQ96" s="219">
        <v>0.64520874963459252</v>
      </c>
      <c r="CR96" s="219">
        <v>0.63132063592575849</v>
      </c>
      <c r="CS96" s="219">
        <v>0.61936909202259871</v>
      </c>
      <c r="CT96" s="219">
        <v>0.60754919434482113</v>
      </c>
      <c r="CU96" s="219">
        <v>0.59083101456707821</v>
      </c>
      <c r="CV96" s="219">
        <v>0.57951494879588639</v>
      </c>
      <c r="CW96" s="219">
        <v>0.56838543796253471</v>
      </c>
      <c r="CX96" s="219">
        <v>0.56079930840908854</v>
      </c>
      <c r="CY96" s="219">
        <v>0.55288262211797912</v>
      </c>
      <c r="CZ96" s="219">
        <v>0.54502748888204267</v>
      </c>
      <c r="DA96" s="219">
        <v>0.53723365181465099</v>
      </c>
      <c r="DB96" s="219">
        <v>0.52950091210920258</v>
      </c>
    </row>
    <row r="97" spans="1:106" x14ac:dyDescent="0.35">
      <c r="A97" s="137" t="s">
        <v>554</v>
      </c>
      <c r="B97" s="130" t="s">
        <v>545</v>
      </c>
      <c r="C97" s="33">
        <v>8.4286351384087428E-6</v>
      </c>
      <c r="D97" s="219">
        <v>8.4096129023122717E-6</v>
      </c>
      <c r="E97" s="219">
        <v>8.3902897762075554E-6</v>
      </c>
      <c r="F97" s="219">
        <v>8.3436786244653665E-6</v>
      </c>
      <c r="G97" s="219">
        <v>8.3238374119402888E-6</v>
      </c>
      <c r="H97" s="219">
        <v>8.3035434371602384E-6</v>
      </c>
      <c r="I97" s="219">
        <v>8.2946955528899398E-6</v>
      </c>
      <c r="J97" s="219">
        <v>8.2859696358394952E-6</v>
      </c>
      <c r="K97" s="219">
        <v>8.262579495712675E-6</v>
      </c>
      <c r="L97" s="219">
        <v>8.2543173902845062E-6</v>
      </c>
      <c r="M97" s="219">
        <v>8.2461346808745549E-6</v>
      </c>
      <c r="N97" s="219">
        <v>8.238802537916532E-6</v>
      </c>
      <c r="O97" s="219">
        <v>8.2315883021734014E-6</v>
      </c>
      <c r="P97" s="219">
        <v>8.2196317746742462E-6</v>
      </c>
      <c r="Q97" s="219">
        <v>8.2127096576041267E-6</v>
      </c>
      <c r="R97" s="219">
        <v>8.2058583423541296E-6</v>
      </c>
      <c r="S97" s="219">
        <v>8.2006122042890785E-6</v>
      </c>
      <c r="T97" s="219">
        <v>8.1954318795649748E-6</v>
      </c>
      <c r="U97" s="219">
        <v>8.1860967116371059E-6</v>
      </c>
      <c r="V97" s="219">
        <v>8.1811346892398707E-6</v>
      </c>
      <c r="W97" s="219">
        <v>8.1761958581516754E-6</v>
      </c>
      <c r="X97" s="219">
        <v>8.1890249951977576E-6</v>
      </c>
      <c r="Y97" s="219">
        <v>8.1854732128229531E-6</v>
      </c>
      <c r="Z97" s="219">
        <v>8.1819612100140001E-6</v>
      </c>
      <c r="AA97" s="219">
        <v>8.1784888544495171E-6</v>
      </c>
      <c r="AB97" s="219">
        <v>8.1750561260056346E-6</v>
      </c>
      <c r="AC97" s="33">
        <v>2.0858770555848631E-8</v>
      </c>
      <c r="AD97" s="219">
        <v>2.0833755214239221E-8</v>
      </c>
      <c r="AE97" s="219">
        <v>2.080784491810107E-8</v>
      </c>
      <c r="AF97" s="219">
        <v>2.0687599426014352E-8</v>
      </c>
      <c r="AG97" s="219">
        <v>2.065956751030011E-8</v>
      </c>
      <c r="AH97" s="219">
        <v>2.0630465675595341E-8</v>
      </c>
      <c r="AI97" s="219">
        <v>2.0633231691138391E-8</v>
      </c>
      <c r="AJ97" s="219">
        <v>2.0635797780388559E-8</v>
      </c>
      <c r="AK97" s="219">
        <v>2.0580993505165819E-8</v>
      </c>
      <c r="AL97" s="219">
        <v>2.0583104699142272E-8</v>
      </c>
      <c r="AM97" s="219">
        <v>2.0585056684532519E-8</v>
      </c>
      <c r="AN97" s="219">
        <v>2.0587830752387478E-8</v>
      </c>
      <c r="AO97" s="219">
        <v>2.0590517825517011E-8</v>
      </c>
      <c r="AP97" s="219">
        <v>2.057136031465992E-8</v>
      </c>
      <c r="AQ97" s="219">
        <v>2.0573832405022501E-8</v>
      </c>
      <c r="AR97" s="219">
        <v>2.057617473894358E-8</v>
      </c>
      <c r="AS97" s="219">
        <v>2.0573610058724319E-8</v>
      </c>
      <c r="AT97" s="219">
        <v>2.05710153103506E-8</v>
      </c>
      <c r="AU97" s="219">
        <v>2.055071032205805E-8</v>
      </c>
      <c r="AV97" s="219">
        <v>2.0548068917032791E-8</v>
      </c>
      <c r="AW97" s="219">
        <v>2.0545084381741351E-8</v>
      </c>
      <c r="AX97" s="219">
        <v>2.0581760556391989E-8</v>
      </c>
      <c r="AY97" s="219">
        <v>2.0579484012478291E-8</v>
      </c>
      <c r="AZ97" s="219">
        <v>2.0577187873008479E-8</v>
      </c>
      <c r="BA97" s="219">
        <v>2.0574872161815658E-8</v>
      </c>
      <c r="BB97" s="219">
        <v>2.0572537064416462E-8</v>
      </c>
      <c r="BC97" s="33">
        <v>0.1125540066661589</v>
      </c>
      <c r="BD97" s="219">
        <v>0.1119241773665148</v>
      </c>
      <c r="BE97" s="219">
        <v>0.11128848439271929</v>
      </c>
      <c r="BF97" s="219">
        <v>0.108065183883963</v>
      </c>
      <c r="BG97" s="219">
        <v>0.1074455184514878</v>
      </c>
      <c r="BH97" s="219">
        <v>0.106819743053127</v>
      </c>
      <c r="BI97" s="219">
        <v>0.10651988532738819</v>
      </c>
      <c r="BJ97" s="219">
        <v>0.10621624439572409</v>
      </c>
      <c r="BK97" s="219">
        <v>0.1040649566611181</v>
      </c>
      <c r="BL97" s="219">
        <v>0.10378196160625321</v>
      </c>
      <c r="BM97" s="219">
        <v>0.1034954244579419</v>
      </c>
      <c r="BN97" s="219">
        <v>0.1030647205939908</v>
      </c>
      <c r="BO97" s="219">
        <v>0.10263554355299249</v>
      </c>
      <c r="BP97" s="219">
        <v>0.10164782997022009</v>
      </c>
      <c r="BQ97" s="219">
        <v>0.101233990899427</v>
      </c>
      <c r="BR97" s="219">
        <v>0.1008213095239236</v>
      </c>
      <c r="BS97" s="219">
        <v>0.10034805122232519</v>
      </c>
      <c r="BT97" s="219">
        <v>9.9877487118140706E-2</v>
      </c>
      <c r="BU97" s="219">
        <v>9.8883841164501982E-2</v>
      </c>
      <c r="BV97" s="219">
        <v>9.842584558587511E-2</v>
      </c>
      <c r="BW97" s="219">
        <v>9.7968731018712507E-2</v>
      </c>
      <c r="BX97" s="219">
        <v>9.7769289688964256E-2</v>
      </c>
      <c r="BY97" s="219">
        <v>9.7571767789524533E-2</v>
      </c>
      <c r="BZ97" s="219">
        <v>9.7376000218856854E-2</v>
      </c>
      <c r="CA97" s="219">
        <v>9.7181984563696311E-2</v>
      </c>
      <c r="CB97" s="219">
        <v>9.6989722772859929E-2</v>
      </c>
      <c r="CC97" s="33">
        <v>5.6499121987861667</v>
      </c>
      <c r="CD97" s="219">
        <v>5.6344585352875027</v>
      </c>
      <c r="CE97" s="219">
        <v>5.6189164030709158</v>
      </c>
      <c r="CF97" s="219">
        <v>5.5856299094362809</v>
      </c>
      <c r="CG97" s="219">
        <v>5.5702564723181984</v>
      </c>
      <c r="CH97" s="219">
        <v>5.5547321871040429</v>
      </c>
      <c r="CI97" s="219">
        <v>5.5459034163986463</v>
      </c>
      <c r="CJ97" s="219">
        <v>5.5371346901698386</v>
      </c>
      <c r="CK97" s="219">
        <v>5.5173927702342338</v>
      </c>
      <c r="CL97" s="219">
        <v>5.5090228335557736</v>
      </c>
      <c r="CM97" s="219">
        <v>5.5007081996706164</v>
      </c>
      <c r="CN97" s="219">
        <v>5.4932385136806019</v>
      </c>
      <c r="CO97" s="219">
        <v>5.485839627104756</v>
      </c>
      <c r="CP97" s="219">
        <v>5.4754121209285334</v>
      </c>
      <c r="CQ97" s="219">
        <v>5.4682663268775764</v>
      </c>
      <c r="CR97" s="219">
        <v>5.4611836262163314</v>
      </c>
      <c r="CS97" s="219">
        <v>5.4557441607467849</v>
      </c>
      <c r="CT97" s="219">
        <v>5.4503835373083991</v>
      </c>
      <c r="CU97" s="219">
        <v>5.4430139107156874</v>
      </c>
      <c r="CV97" s="219">
        <v>5.4379102066604892</v>
      </c>
      <c r="CW97" s="219">
        <v>5.4328986969158528</v>
      </c>
      <c r="CX97" s="219">
        <v>5.4288318942592051</v>
      </c>
      <c r="CY97" s="219">
        <v>5.4246768024966734</v>
      </c>
      <c r="CZ97" s="219">
        <v>5.4205674599069713</v>
      </c>
      <c r="DA97" s="219">
        <v>5.4165037330899706</v>
      </c>
      <c r="DB97" s="219">
        <v>5.4124855228329638</v>
      </c>
    </row>
    <row r="98" spans="1:106" x14ac:dyDescent="0.35">
      <c r="A98" s="137" t="s">
        <v>555</v>
      </c>
      <c r="B98" s="130" t="s">
        <v>545</v>
      </c>
      <c r="C98" s="33">
        <v>1.6857270276817489E-5</v>
      </c>
      <c r="D98" s="219">
        <v>1.681922580462454E-5</v>
      </c>
      <c r="E98" s="219">
        <v>1.6780579552415111E-5</v>
      </c>
      <c r="F98" s="219">
        <v>1.668735724893073E-5</v>
      </c>
      <c r="G98" s="219">
        <v>1.6647674823880581E-5</v>
      </c>
      <c r="H98" s="219">
        <v>1.660708687432048E-5</v>
      </c>
      <c r="I98" s="219">
        <v>1.658939110577988E-5</v>
      </c>
      <c r="J98" s="219">
        <v>1.657193927167899E-5</v>
      </c>
      <c r="K98" s="219">
        <v>1.652515899142535E-5</v>
      </c>
      <c r="L98" s="219">
        <v>1.6508634780569009E-5</v>
      </c>
      <c r="M98" s="219">
        <v>1.649226936174911E-5</v>
      </c>
      <c r="N98" s="219">
        <v>1.6477605075833061E-5</v>
      </c>
      <c r="O98" s="219">
        <v>1.6463176604346799E-5</v>
      </c>
      <c r="P98" s="219">
        <v>1.6439263549348489E-5</v>
      </c>
      <c r="Q98" s="219">
        <v>1.642541931520825E-5</v>
      </c>
      <c r="R98" s="219">
        <v>1.6411716684708259E-5</v>
      </c>
      <c r="S98" s="219">
        <v>1.640122440857816E-5</v>
      </c>
      <c r="T98" s="219">
        <v>1.639086375912995E-5</v>
      </c>
      <c r="U98" s="219">
        <v>1.6372193423274208E-5</v>
      </c>
      <c r="V98" s="219">
        <v>1.6362269378479741E-5</v>
      </c>
      <c r="W98" s="219">
        <v>1.6352391716303351E-5</v>
      </c>
      <c r="X98" s="219">
        <v>1.6378049990395519E-5</v>
      </c>
      <c r="Y98" s="219">
        <v>1.637094642564591E-5</v>
      </c>
      <c r="Z98" s="219">
        <v>1.6363922420028E-5</v>
      </c>
      <c r="AA98" s="219">
        <v>1.6356977708899031E-5</v>
      </c>
      <c r="AB98" s="219">
        <v>1.6350112252011269E-5</v>
      </c>
      <c r="AC98" s="33">
        <v>4.1717541111697261E-8</v>
      </c>
      <c r="AD98" s="219">
        <v>4.1667510428478441E-8</v>
      </c>
      <c r="AE98" s="219">
        <v>4.1615689836202139E-8</v>
      </c>
      <c r="AF98" s="219">
        <v>4.1375198852028703E-8</v>
      </c>
      <c r="AG98" s="219">
        <v>4.1319135020600233E-8</v>
      </c>
      <c r="AH98" s="219">
        <v>4.1260931351190682E-8</v>
      </c>
      <c r="AI98" s="219">
        <v>4.1266463382276788E-8</v>
      </c>
      <c r="AJ98" s="219">
        <v>4.1271595560777111E-8</v>
      </c>
      <c r="AK98" s="219">
        <v>4.1161987010331652E-8</v>
      </c>
      <c r="AL98" s="219">
        <v>4.1166209398284543E-8</v>
      </c>
      <c r="AM98" s="219">
        <v>4.1170113369065037E-8</v>
      </c>
      <c r="AN98" s="219">
        <v>4.1175661504774957E-8</v>
      </c>
      <c r="AO98" s="219">
        <v>4.1181035651034008E-8</v>
      </c>
      <c r="AP98" s="219">
        <v>4.1142720629319847E-8</v>
      </c>
      <c r="AQ98" s="219">
        <v>4.1147664810044988E-8</v>
      </c>
      <c r="AR98" s="219">
        <v>4.1152349477887167E-8</v>
      </c>
      <c r="AS98" s="219">
        <v>4.1147220117448637E-8</v>
      </c>
      <c r="AT98" s="219">
        <v>4.1142030620701193E-8</v>
      </c>
      <c r="AU98" s="219">
        <v>4.1101420644116087E-8</v>
      </c>
      <c r="AV98" s="219">
        <v>4.1096137834065581E-8</v>
      </c>
      <c r="AW98" s="219">
        <v>4.1090168763482709E-8</v>
      </c>
      <c r="AX98" s="219">
        <v>4.1163521112783972E-8</v>
      </c>
      <c r="AY98" s="219">
        <v>4.115896802495659E-8</v>
      </c>
      <c r="AZ98" s="219">
        <v>4.1154375746016959E-8</v>
      </c>
      <c r="BA98" s="219">
        <v>4.114974432363133E-8</v>
      </c>
      <c r="BB98" s="219">
        <v>4.1145074128832923E-8</v>
      </c>
      <c r="BC98" s="33">
        <v>0.2251080133323177</v>
      </c>
      <c r="BD98" s="219">
        <v>0.2238483547330295</v>
      </c>
      <c r="BE98" s="219">
        <v>0.22257696878543859</v>
      </c>
      <c r="BF98" s="219">
        <v>0.21613036776792599</v>
      </c>
      <c r="BG98" s="219">
        <v>0.2148910369029757</v>
      </c>
      <c r="BH98" s="219">
        <v>0.21363948610625391</v>
      </c>
      <c r="BI98" s="219">
        <v>0.21303977065477639</v>
      </c>
      <c r="BJ98" s="219">
        <v>0.2124324887914483</v>
      </c>
      <c r="BK98" s="219">
        <v>0.20812991332223621</v>
      </c>
      <c r="BL98" s="219">
        <v>0.20756392321250641</v>
      </c>
      <c r="BM98" s="219">
        <v>0.20699084891588379</v>
      </c>
      <c r="BN98" s="219">
        <v>0.20612944118798149</v>
      </c>
      <c r="BO98" s="219">
        <v>0.20527108710598491</v>
      </c>
      <c r="BP98" s="219">
        <v>0.20329565994044019</v>
      </c>
      <c r="BQ98" s="219">
        <v>0.20246798179885411</v>
      </c>
      <c r="BR98" s="219">
        <v>0.20164261904784719</v>
      </c>
      <c r="BS98" s="219">
        <v>0.2006961024446503</v>
      </c>
      <c r="BT98" s="219">
        <v>0.19975497423628141</v>
      </c>
      <c r="BU98" s="219">
        <v>0.19776768232900399</v>
      </c>
      <c r="BV98" s="219">
        <v>0.19685169117175019</v>
      </c>
      <c r="BW98" s="219">
        <v>0.19593746203742499</v>
      </c>
      <c r="BX98" s="219">
        <v>0.19553857937792851</v>
      </c>
      <c r="BY98" s="219">
        <v>0.19514353557904909</v>
      </c>
      <c r="BZ98" s="219">
        <v>0.19475200043771371</v>
      </c>
      <c r="CA98" s="219">
        <v>0.19436396912739259</v>
      </c>
      <c r="CB98" s="219">
        <v>0.19397944554571989</v>
      </c>
      <c r="CC98" s="33">
        <v>11.29982439757233</v>
      </c>
      <c r="CD98" s="219">
        <v>11.268917070575011</v>
      </c>
      <c r="CE98" s="219">
        <v>11.23783280614183</v>
      </c>
      <c r="CF98" s="219">
        <v>11.17125981887256</v>
      </c>
      <c r="CG98" s="219">
        <v>11.1405129446364</v>
      </c>
      <c r="CH98" s="219">
        <v>11.109464374208089</v>
      </c>
      <c r="CI98" s="219">
        <v>11.091806832797291</v>
      </c>
      <c r="CJ98" s="219">
        <v>11.074269380339681</v>
      </c>
      <c r="CK98" s="219">
        <v>11.034785540468469</v>
      </c>
      <c r="CL98" s="219">
        <v>11.018045667111551</v>
      </c>
      <c r="CM98" s="219">
        <v>11.001416399341229</v>
      </c>
      <c r="CN98" s="219">
        <v>10.9864770273612</v>
      </c>
      <c r="CO98" s="219">
        <v>10.97167925420951</v>
      </c>
      <c r="CP98" s="219">
        <v>10.95082424185707</v>
      </c>
      <c r="CQ98" s="219">
        <v>10.936532653755149</v>
      </c>
      <c r="CR98" s="219">
        <v>10.922367252432659</v>
      </c>
      <c r="CS98" s="219">
        <v>10.91148832149357</v>
      </c>
      <c r="CT98" s="219">
        <v>10.9007670746168</v>
      </c>
      <c r="CU98" s="219">
        <v>10.886027821431369</v>
      </c>
      <c r="CV98" s="219">
        <v>10.87582041332098</v>
      </c>
      <c r="CW98" s="219">
        <v>10.865797393831709</v>
      </c>
      <c r="CX98" s="219">
        <v>10.85766378851841</v>
      </c>
      <c r="CY98" s="219">
        <v>10.84935360499335</v>
      </c>
      <c r="CZ98" s="219">
        <v>10.841134919813941</v>
      </c>
      <c r="DA98" s="219">
        <v>10.833007466179939</v>
      </c>
      <c r="DB98" s="219">
        <v>10.824971045665929</v>
      </c>
    </row>
    <row r="99" spans="1:106" x14ac:dyDescent="0.35">
      <c r="A99" s="137" t="s">
        <v>556</v>
      </c>
      <c r="B99" s="130" t="s">
        <v>545</v>
      </c>
      <c r="C99" s="33">
        <v>4.4962682682091841E-5</v>
      </c>
      <c r="D99" s="219">
        <v>4.4600235455156552E-5</v>
      </c>
      <c r="E99" s="219">
        <v>4.4236251651589888E-5</v>
      </c>
      <c r="F99" s="219">
        <v>4.3024286253227631E-5</v>
      </c>
      <c r="G99" s="219">
        <v>4.2664715280260088E-5</v>
      </c>
      <c r="H99" s="219">
        <v>4.2303168347481393E-5</v>
      </c>
      <c r="I99" s="219">
        <v>4.2061161371531978E-5</v>
      </c>
      <c r="J99" s="219">
        <v>4.1822680764453117E-5</v>
      </c>
      <c r="K99" s="219">
        <v>4.112084810848434E-5</v>
      </c>
      <c r="L99" s="219">
        <v>4.0896656424906323E-5</v>
      </c>
      <c r="M99" s="219">
        <v>4.0674877628162388E-5</v>
      </c>
      <c r="N99" s="219">
        <v>4.0455049857002592E-5</v>
      </c>
      <c r="O99" s="219">
        <v>4.023872042432003E-5</v>
      </c>
      <c r="P99" s="219">
        <v>3.9872118488657803E-5</v>
      </c>
      <c r="Q99" s="219">
        <v>3.9664845886450062E-5</v>
      </c>
      <c r="R99" s="219">
        <v>3.9459853618371297E-5</v>
      </c>
      <c r="S99" s="219">
        <v>3.9304959941757013E-5</v>
      </c>
      <c r="T99" s="219">
        <v>3.9152092693088171E-5</v>
      </c>
      <c r="U99" s="219">
        <v>3.8867745456775151E-5</v>
      </c>
      <c r="V99" s="219">
        <v>3.872166262775327E-5</v>
      </c>
      <c r="W99" s="219">
        <v>3.8577066954394977E-5</v>
      </c>
      <c r="X99" s="219">
        <v>3.8725006298923628E-5</v>
      </c>
      <c r="Y99" s="219">
        <v>3.8613451234039769E-5</v>
      </c>
      <c r="Z99" s="219">
        <v>3.8503136784020207E-5</v>
      </c>
      <c r="AA99" s="219">
        <v>3.8394060112131092E-5</v>
      </c>
      <c r="AB99" s="219">
        <v>3.8286220534017967E-5</v>
      </c>
      <c r="AC99" s="33">
        <v>1.1413390982381281E-7</v>
      </c>
      <c r="AD99" s="219">
        <v>1.138901166713277E-7</v>
      </c>
      <c r="AE99" s="219">
        <v>1.1363691163258951E-7</v>
      </c>
      <c r="AF99" s="219">
        <v>1.1043496870276221E-7</v>
      </c>
      <c r="AG99" s="219">
        <v>1.101571574988753E-7</v>
      </c>
      <c r="AH99" s="219">
        <v>1.098706888244011E-7</v>
      </c>
      <c r="AI99" s="219">
        <v>1.100806787359833E-7</v>
      </c>
      <c r="AJ99" s="219">
        <v>1.102859343763643E-7</v>
      </c>
      <c r="AK99" s="219">
        <v>1.0868082973219679E-7</v>
      </c>
      <c r="AL99" s="219">
        <v>1.088742489919345E-7</v>
      </c>
      <c r="AM99" s="219">
        <v>1.090637260711709E-7</v>
      </c>
      <c r="AN99" s="219">
        <v>1.0922080823492559E-7</v>
      </c>
      <c r="AO99" s="219">
        <v>1.093746701551978E-7</v>
      </c>
      <c r="AP99" s="219">
        <v>1.088386135217407E-7</v>
      </c>
      <c r="AQ99" s="219">
        <v>1.089851890136141E-7</v>
      </c>
      <c r="AR99" s="219">
        <v>1.091278056291081E-7</v>
      </c>
      <c r="AS99" s="219">
        <v>1.090936481888742E-7</v>
      </c>
      <c r="AT99" s="219">
        <v>1.0905791281694881E-7</v>
      </c>
      <c r="AU99" s="219">
        <v>1.084634931678312E-7</v>
      </c>
      <c r="AV99" s="219">
        <v>1.084254274713411E-7</v>
      </c>
      <c r="AW99" s="219">
        <v>1.083824706311217E-7</v>
      </c>
      <c r="AX99" s="219">
        <v>1.088279548980115E-7</v>
      </c>
      <c r="AY99" s="219">
        <v>1.08763200215428E-7</v>
      </c>
      <c r="AZ99" s="219">
        <v>1.086977092521622E-7</v>
      </c>
      <c r="BA99" s="219">
        <v>1.0863148431932961E-7</v>
      </c>
      <c r="BB99" s="219">
        <v>1.085645305564983E-7</v>
      </c>
      <c r="BC99" s="33">
        <v>3.3519711556503649</v>
      </c>
      <c r="BD99" s="219">
        <v>3.3340285045564308</v>
      </c>
      <c r="BE99" s="219">
        <v>3.315992415451539</v>
      </c>
      <c r="BF99" s="219">
        <v>3.2165435749177318</v>
      </c>
      <c r="BG99" s="219">
        <v>3.19922875230557</v>
      </c>
      <c r="BH99" s="219">
        <v>3.1818436298208939</v>
      </c>
      <c r="BI99" s="219">
        <v>3.168548707015618</v>
      </c>
      <c r="BJ99" s="219">
        <v>3.1552250266801209</v>
      </c>
      <c r="BK99" s="219">
        <v>3.083673698603</v>
      </c>
      <c r="BL99" s="219">
        <v>3.071179188523911</v>
      </c>
      <c r="BM99" s="219">
        <v>3.0586591284764668</v>
      </c>
      <c r="BN99" s="219">
        <v>3.044311194417737</v>
      </c>
      <c r="BO99" s="219">
        <v>3.0300174863299878</v>
      </c>
      <c r="BP99" s="219">
        <v>2.998094117829281</v>
      </c>
      <c r="BQ99" s="219">
        <v>2.984298774697443</v>
      </c>
      <c r="BR99" s="219">
        <v>2.970549410918284</v>
      </c>
      <c r="BS99" s="219">
        <v>2.9573543565351761</v>
      </c>
      <c r="BT99" s="219">
        <v>2.944229958534117</v>
      </c>
      <c r="BU99" s="219">
        <v>2.9145759475207038</v>
      </c>
      <c r="BV99" s="219">
        <v>2.9018241140164491</v>
      </c>
      <c r="BW99" s="219">
        <v>2.8891254834366258</v>
      </c>
      <c r="BX99" s="219">
        <v>2.8827062265698502</v>
      </c>
      <c r="BY99" s="219">
        <v>2.876348912843218</v>
      </c>
      <c r="BZ99" s="219">
        <v>2.8700506299624551</v>
      </c>
      <c r="CA99" s="219">
        <v>2.8638113623765111</v>
      </c>
      <c r="CB99" s="219">
        <v>2.857631178984636</v>
      </c>
      <c r="CC99" s="33">
        <v>14.94802063663502</v>
      </c>
      <c r="CD99" s="219">
        <v>14.6033019598556</v>
      </c>
      <c r="CE99" s="219">
        <v>14.258622972147281</v>
      </c>
      <c r="CF99" s="219">
        <v>13.35864625758246</v>
      </c>
      <c r="CG99" s="219">
        <v>13.02677537705968</v>
      </c>
      <c r="CH99" s="219">
        <v>12.694640864264009</v>
      </c>
      <c r="CI99" s="219">
        <v>12.44805880941561</v>
      </c>
      <c r="CJ99" s="219">
        <v>12.20302372154025</v>
      </c>
      <c r="CK99" s="219">
        <v>11.611187978409321</v>
      </c>
      <c r="CL99" s="219">
        <v>11.37816106920028</v>
      </c>
      <c r="CM99" s="219">
        <v>11.14661108273525</v>
      </c>
      <c r="CN99" s="219">
        <v>10.913479035166469</v>
      </c>
      <c r="CO99" s="219">
        <v>10.68258578692009</v>
      </c>
      <c r="CP99" s="219">
        <v>10.356091809227109</v>
      </c>
      <c r="CQ99" s="219">
        <v>10.13324136826475</v>
      </c>
      <c r="CR99" s="219">
        <v>9.9124030574053954</v>
      </c>
      <c r="CS99" s="219">
        <v>9.7467027847510899</v>
      </c>
      <c r="CT99" s="219">
        <v>9.5834184840796031</v>
      </c>
      <c r="CU99" s="219">
        <v>9.3567334897592183</v>
      </c>
      <c r="CV99" s="219">
        <v>9.2014175617280021</v>
      </c>
      <c r="CW99" s="219">
        <v>9.0485861506279139</v>
      </c>
      <c r="CX99" s="219">
        <v>8.9184852402370005</v>
      </c>
      <c r="CY99" s="219">
        <v>8.787999724943516</v>
      </c>
      <c r="CZ99" s="219">
        <v>8.6589391013059451</v>
      </c>
      <c r="DA99" s="219">
        <v>8.5312997818991647</v>
      </c>
      <c r="DB99" s="219">
        <v>8.4050789379944195</v>
      </c>
    </row>
    <row r="100" spans="1:106" x14ac:dyDescent="0.35">
      <c r="A100" s="137" t="s">
        <v>557</v>
      </c>
      <c r="B100" s="130" t="s">
        <v>545</v>
      </c>
      <c r="C100" s="33">
        <v>5.9937418582401835E-4</v>
      </c>
      <c r="D100" s="219">
        <v>5.9866113458925132E-4</v>
      </c>
      <c r="E100" s="219">
        <v>5.9792641798118605E-4</v>
      </c>
      <c r="F100" s="219">
        <v>5.9668896737183992E-4</v>
      </c>
      <c r="G100" s="219">
        <v>5.9590121615291222E-4</v>
      </c>
      <c r="H100" s="219">
        <v>5.9508027754769381E-4</v>
      </c>
      <c r="I100" s="219">
        <v>5.9489152604396225E-4</v>
      </c>
      <c r="J100" s="219">
        <v>5.947050462057551E-4</v>
      </c>
      <c r="K100" s="219">
        <v>5.9425649456923478E-4</v>
      </c>
      <c r="L100" s="219">
        <v>5.9407824203938176E-4</v>
      </c>
      <c r="M100" s="219">
        <v>5.9390132271428561E-4</v>
      </c>
      <c r="N100" s="219">
        <v>5.9378631060836803E-4</v>
      </c>
      <c r="O100" s="219">
        <v>5.936733661077643E-4</v>
      </c>
      <c r="P100" s="219">
        <v>5.9347517641093967E-4</v>
      </c>
      <c r="Q100" s="219">
        <v>5.9336703108940755E-4</v>
      </c>
      <c r="R100" s="219">
        <v>5.9325969757158844E-4</v>
      </c>
      <c r="S100" s="219">
        <v>5.9316411396208172E-4</v>
      </c>
      <c r="T100" s="219">
        <v>5.9306954208067201E-4</v>
      </c>
      <c r="U100" s="219">
        <v>5.9290040283783573E-4</v>
      </c>
      <c r="V100" s="219">
        <v>5.9280921253305075E-4</v>
      </c>
      <c r="W100" s="219">
        <v>5.9271599449224979E-4</v>
      </c>
      <c r="X100" s="219">
        <v>5.9305945858822658E-4</v>
      </c>
      <c r="Y100" s="219">
        <v>5.9301049967533793E-4</v>
      </c>
      <c r="Z100" s="219">
        <v>5.9296207112734169E-4</v>
      </c>
      <c r="AA100" s="219">
        <v>5.9291416813558179E-4</v>
      </c>
      <c r="AB100" s="219">
        <v>5.9286679026333963E-4</v>
      </c>
      <c r="AC100" s="33">
        <v>9.4320633270912436E-7</v>
      </c>
      <c r="AD100" s="219">
        <v>9.4183061646006607E-7</v>
      </c>
      <c r="AE100" s="219">
        <v>9.4040359564646618E-7</v>
      </c>
      <c r="AF100" s="219">
        <v>9.3727678713581991E-7</v>
      </c>
      <c r="AG100" s="219">
        <v>9.3573053104399552E-7</v>
      </c>
      <c r="AH100" s="219">
        <v>9.3411567372551673E-7</v>
      </c>
      <c r="AI100" s="219">
        <v>9.3391479136250802E-7</v>
      </c>
      <c r="AJ100" s="219">
        <v>9.3370858397613788E-7</v>
      </c>
      <c r="AK100" s="219">
        <v>9.3248073785876549E-7</v>
      </c>
      <c r="AL100" s="219">
        <v>9.3226420458088102E-7</v>
      </c>
      <c r="AM100" s="219">
        <v>9.320440211588002E-7</v>
      </c>
      <c r="AN100" s="219">
        <v>9.3196307699364453E-7</v>
      </c>
      <c r="AO100" s="219">
        <v>9.3188215211825499E-7</v>
      </c>
      <c r="AP100" s="219">
        <v>9.3141591778538189E-7</v>
      </c>
      <c r="AQ100" s="219">
        <v>9.3133347056159148E-7</v>
      </c>
      <c r="AR100" s="219">
        <v>9.3124878920462149E-7</v>
      </c>
      <c r="AS100" s="219">
        <v>9.3112362308403859E-7</v>
      </c>
      <c r="AT100" s="219">
        <v>9.3099937964563226E-7</v>
      </c>
      <c r="AU100" s="219">
        <v>9.3056279889492776E-7</v>
      </c>
      <c r="AV100" s="219">
        <v>9.3043957688194522E-7</v>
      </c>
      <c r="AW100" s="219">
        <v>9.3029376797432586E-7</v>
      </c>
      <c r="AX100" s="219">
        <v>9.3114190298044691E-7</v>
      </c>
      <c r="AY100" s="219">
        <v>9.310932105168431E-7</v>
      </c>
      <c r="AZ100" s="219">
        <v>9.3104457858285839E-7</v>
      </c>
      <c r="BA100" s="219">
        <v>9.3099600369301554E-7</v>
      </c>
      <c r="BB100" s="219">
        <v>9.3094748909561949E-7</v>
      </c>
      <c r="BC100" s="33">
        <v>1.5717106332843971</v>
      </c>
      <c r="BD100" s="219">
        <v>1.5592794491716711</v>
      </c>
      <c r="BE100" s="219">
        <v>1.546560689298011</v>
      </c>
      <c r="BF100" s="219">
        <v>1.4878252159320351</v>
      </c>
      <c r="BG100" s="219">
        <v>1.474954210865677</v>
      </c>
      <c r="BH100" s="219">
        <v>1.4617199484457111</v>
      </c>
      <c r="BI100" s="219">
        <v>1.464015138420715</v>
      </c>
      <c r="BJ100" s="219">
        <v>1.4660867892043929</v>
      </c>
      <c r="BK100" s="219">
        <v>1.4351013761634359</v>
      </c>
      <c r="BL100" s="219">
        <v>1.437236386490244</v>
      </c>
      <c r="BM100" s="219">
        <v>1.4391573045135271</v>
      </c>
      <c r="BN100" s="219">
        <v>1.434356386149565</v>
      </c>
      <c r="BO100" s="219">
        <v>1.4295643319392981</v>
      </c>
      <c r="BP100" s="219">
        <v>1.4148110011493209</v>
      </c>
      <c r="BQ100" s="219">
        <v>1.410247329869073</v>
      </c>
      <c r="BR100" s="219">
        <v>1.4056788330145551</v>
      </c>
      <c r="BS100" s="219">
        <v>1.395754662061153</v>
      </c>
      <c r="BT100" s="219">
        <v>1.385889435389724</v>
      </c>
      <c r="BU100" s="219">
        <v>1.366707694544157</v>
      </c>
      <c r="BV100" s="219">
        <v>1.357074671322946</v>
      </c>
      <c r="BW100" s="219">
        <v>1.3473594606595789</v>
      </c>
      <c r="BX100" s="219">
        <v>1.344925361396399</v>
      </c>
      <c r="BY100" s="219">
        <v>1.342509456956456</v>
      </c>
      <c r="BZ100" s="219">
        <v>1.3401048558208271</v>
      </c>
      <c r="CA100" s="219">
        <v>1.3377114098727929</v>
      </c>
      <c r="CB100" s="219">
        <v>1.3353291380908769</v>
      </c>
      <c r="CC100" s="33">
        <v>282.22344275382608</v>
      </c>
      <c r="CD100" s="219">
        <v>281.73133222196429</v>
      </c>
      <c r="CE100" s="219">
        <v>281.23236825037873</v>
      </c>
      <c r="CF100" s="219">
        <v>280.41324526857869</v>
      </c>
      <c r="CG100" s="219">
        <v>279.90324453014608</v>
      </c>
      <c r="CH100" s="219">
        <v>279.38197215729491</v>
      </c>
      <c r="CI100" s="219">
        <v>279.197057579008</v>
      </c>
      <c r="CJ100" s="219">
        <v>279.01364137258969</v>
      </c>
      <c r="CK100" s="219">
        <v>278.63524564638021</v>
      </c>
      <c r="CL100" s="219">
        <v>278.45967434787792</v>
      </c>
      <c r="CM100" s="219">
        <v>278.28540853155982</v>
      </c>
      <c r="CN100" s="219">
        <v>278.17392837622151</v>
      </c>
      <c r="CO100" s="219">
        <v>278.0634532785092</v>
      </c>
      <c r="CP100" s="219">
        <v>277.89903809767731</v>
      </c>
      <c r="CQ100" s="219">
        <v>277.79251719846349</v>
      </c>
      <c r="CR100" s="219">
        <v>277.68687961357648</v>
      </c>
      <c r="CS100" s="219">
        <v>277.59519001327283</v>
      </c>
      <c r="CT100" s="219">
        <v>277.50469405532027</v>
      </c>
      <c r="CU100" s="219">
        <v>277.37836066815908</v>
      </c>
      <c r="CV100" s="219">
        <v>277.29200326761838</v>
      </c>
      <c r="CW100" s="219">
        <v>277.20805452018101</v>
      </c>
      <c r="CX100" s="219">
        <v>277.15616148309078</v>
      </c>
      <c r="CY100" s="219">
        <v>277.09936364573178</v>
      </c>
      <c r="CZ100" s="219">
        <v>277.04317711566313</v>
      </c>
      <c r="DA100" s="219">
        <v>276.98759875301192</v>
      </c>
      <c r="DB100" s="219">
        <v>276.9326265673883</v>
      </c>
    </row>
    <row r="101" spans="1:106" x14ac:dyDescent="0.35">
      <c r="A101" s="137" t="s">
        <v>558</v>
      </c>
      <c r="B101" s="130" t="s">
        <v>545</v>
      </c>
      <c r="C101" s="33">
        <v>5.8463844848014138E-5</v>
      </c>
      <c r="D101" s="219">
        <v>5.8241671975232572E-5</v>
      </c>
      <c r="E101" s="219">
        <v>5.799209567011206E-5</v>
      </c>
      <c r="F101" s="219">
        <v>5.6645313485207611E-5</v>
      </c>
      <c r="G101" s="219">
        <v>5.6243607154554501E-5</v>
      </c>
      <c r="H101" s="219">
        <v>5.583917484039425E-5</v>
      </c>
      <c r="I101" s="219">
        <v>5.5500748295017239E-5</v>
      </c>
      <c r="J101" s="219">
        <v>5.5167060718250518E-5</v>
      </c>
      <c r="K101" s="219">
        <v>5.4301313835968702E-5</v>
      </c>
      <c r="L101" s="219">
        <v>5.39848263605134E-5</v>
      </c>
      <c r="M101" s="219">
        <v>5.3671502040535048E-5</v>
      </c>
      <c r="N101" s="219">
        <v>5.3467918057084287E-5</v>
      </c>
      <c r="O101" s="219">
        <v>5.3268548011649181E-5</v>
      </c>
      <c r="P101" s="219">
        <v>5.2893363253452068E-5</v>
      </c>
      <c r="Q101" s="219">
        <v>5.2704341253117671E-5</v>
      </c>
      <c r="R101" s="219">
        <v>5.2517872679264578E-5</v>
      </c>
      <c r="S101" s="219">
        <v>5.2186736921811697E-5</v>
      </c>
      <c r="T101" s="219">
        <v>5.1857275331078657E-5</v>
      </c>
      <c r="U101" s="219">
        <v>5.1374483270670863E-5</v>
      </c>
      <c r="V101" s="219">
        <v>5.1051569035759203E-5</v>
      </c>
      <c r="W101" s="219">
        <v>5.0729820522562941E-5</v>
      </c>
      <c r="X101" s="219">
        <v>5.1800802710756648E-5</v>
      </c>
      <c r="Y101" s="219">
        <v>5.1653337762695913E-5</v>
      </c>
      <c r="Z101" s="219">
        <v>5.1506320662447459E-5</v>
      </c>
      <c r="AA101" s="219">
        <v>5.1359748101639407E-5</v>
      </c>
      <c r="AB101" s="219">
        <v>5.1213620099792958E-5</v>
      </c>
      <c r="AC101" s="33">
        <v>1.6444735905201189E-7</v>
      </c>
      <c r="AD101" s="219">
        <v>1.641686388140263E-7</v>
      </c>
      <c r="AE101" s="219">
        <v>1.638791889169142E-7</v>
      </c>
      <c r="AF101" s="219">
        <v>1.602947698067915E-7</v>
      </c>
      <c r="AG101" s="219">
        <v>1.5997852542613881E-7</v>
      </c>
      <c r="AH101" s="219">
        <v>1.596544107131977E-7</v>
      </c>
      <c r="AI101" s="219">
        <v>1.5953209024311411E-7</v>
      </c>
      <c r="AJ101" s="219">
        <v>1.594071037902838E-7</v>
      </c>
      <c r="AK101" s="219">
        <v>1.5720577724190731E-7</v>
      </c>
      <c r="AL101" s="219">
        <v>1.5707168947887421E-7</v>
      </c>
      <c r="AM101" s="219">
        <v>1.5693543121803591E-7</v>
      </c>
      <c r="AN101" s="219">
        <v>1.5715951972145191E-7</v>
      </c>
      <c r="AO101" s="219">
        <v>1.5738282632579471E-7</v>
      </c>
      <c r="AP101" s="219">
        <v>1.5681841795507679E-7</v>
      </c>
      <c r="AQ101" s="219">
        <v>1.5703855809330901E-7</v>
      </c>
      <c r="AR101" s="219">
        <v>1.5725669015547171E-7</v>
      </c>
      <c r="AS101" s="219">
        <v>1.569279663711363E-7</v>
      </c>
      <c r="AT101" s="219">
        <v>1.5659872400964301E-7</v>
      </c>
      <c r="AU101" s="219">
        <v>1.5563844880241431E-7</v>
      </c>
      <c r="AV101" s="219">
        <v>1.553091047026171E-7</v>
      </c>
      <c r="AW101" s="219">
        <v>1.5497567941878751E-7</v>
      </c>
      <c r="AX101" s="219">
        <v>1.5823614977733079E-7</v>
      </c>
      <c r="AY101" s="219">
        <v>1.5806268166718711E-7</v>
      </c>
      <c r="AZ101" s="219">
        <v>1.5788900017542549E-7</v>
      </c>
      <c r="BA101" s="219">
        <v>1.5771509757995021E-7</v>
      </c>
      <c r="BB101" s="219">
        <v>1.5754097126731139E-7</v>
      </c>
      <c r="BC101" s="33">
        <v>4.2349761550281846</v>
      </c>
      <c r="BD101" s="219">
        <v>4.2089255768933329</v>
      </c>
      <c r="BE101" s="219">
        <v>4.1827486325761942</v>
      </c>
      <c r="BF101" s="219">
        <v>4.0648310856702352</v>
      </c>
      <c r="BG101" s="219">
        <v>4.0393939580009706</v>
      </c>
      <c r="BH101" s="219">
        <v>4.0138652788849614</v>
      </c>
      <c r="BI101" s="219">
        <v>3.9992690596071472</v>
      </c>
      <c r="BJ101" s="219">
        <v>3.9846528280534592</v>
      </c>
      <c r="BK101" s="219">
        <v>3.9034283941986092</v>
      </c>
      <c r="BL101" s="219">
        <v>3.8897828174086779</v>
      </c>
      <c r="BM101" s="219">
        <v>3.8761214509406821</v>
      </c>
      <c r="BN101" s="219">
        <v>3.8596198146924858</v>
      </c>
      <c r="BO101" s="219">
        <v>3.8431680652416231</v>
      </c>
      <c r="BP101" s="219">
        <v>3.8064667953741789</v>
      </c>
      <c r="BQ101" s="219">
        <v>3.7905479842129588</v>
      </c>
      <c r="BR101" s="219">
        <v>3.774666563556464</v>
      </c>
      <c r="BS101" s="219">
        <v>3.7514309778538859</v>
      </c>
      <c r="BT101" s="219">
        <v>3.728182863615594</v>
      </c>
      <c r="BU101" s="219">
        <v>3.685873720101478</v>
      </c>
      <c r="BV101" s="219">
        <v>3.6628611908829281</v>
      </c>
      <c r="BW101" s="219">
        <v>3.6398175978435261</v>
      </c>
      <c r="BX101" s="219">
        <v>3.6313433468667409</v>
      </c>
      <c r="BY101" s="219">
        <v>3.622886130260798</v>
      </c>
      <c r="BZ101" s="219">
        <v>3.6144410687730719</v>
      </c>
      <c r="CA101" s="219">
        <v>3.6060080522679621</v>
      </c>
      <c r="CB101" s="219">
        <v>3.5975871008727731</v>
      </c>
      <c r="CC101" s="33">
        <v>29.609515301185851</v>
      </c>
      <c r="CD101" s="219">
        <v>29.105410775517001</v>
      </c>
      <c r="CE101" s="219">
        <v>28.602246809591101</v>
      </c>
      <c r="CF101" s="219">
        <v>27.475697115532249</v>
      </c>
      <c r="CG101" s="219">
        <v>26.98810636994623</v>
      </c>
      <c r="CH101" s="219">
        <v>26.50117373705762</v>
      </c>
      <c r="CI101" s="219">
        <v>26.19105370633326</v>
      </c>
      <c r="CJ101" s="219">
        <v>25.882903485333149</v>
      </c>
      <c r="CK101" s="219">
        <v>25.176820861644451</v>
      </c>
      <c r="CL101" s="219">
        <v>24.882533842092691</v>
      </c>
      <c r="CM101" s="219">
        <v>24.590036719885759</v>
      </c>
      <c r="CN101" s="219">
        <v>24.267982381191139</v>
      </c>
      <c r="CO101" s="219">
        <v>23.948321111983251</v>
      </c>
      <c r="CP101" s="219">
        <v>23.518784404170582</v>
      </c>
      <c r="CQ101" s="219">
        <v>23.207896488680039</v>
      </c>
      <c r="CR101" s="219">
        <v>22.899074784673839</v>
      </c>
      <c r="CS101" s="219">
        <v>22.592183434186339</v>
      </c>
      <c r="CT101" s="219">
        <v>22.28749831235104</v>
      </c>
      <c r="CU101" s="219">
        <v>21.910329516243941</v>
      </c>
      <c r="CV101" s="219">
        <v>21.613660689989679</v>
      </c>
      <c r="CW101" s="219">
        <v>21.31929999092576</v>
      </c>
      <c r="CX101" s="219">
        <v>21.70478334220245</v>
      </c>
      <c r="CY101" s="219">
        <v>21.530762660811071</v>
      </c>
      <c r="CZ101" s="219">
        <v>21.357298786805789</v>
      </c>
      <c r="DA101" s="219">
        <v>21.184388048874229</v>
      </c>
      <c r="DB101" s="219">
        <v>21.012027863372019</v>
      </c>
    </row>
    <row r="102" spans="1:106" x14ac:dyDescent="0.35">
      <c r="A102" s="137" t="s">
        <v>559</v>
      </c>
      <c r="B102" s="130" t="s">
        <v>545</v>
      </c>
      <c r="C102" s="33">
        <v>4.2863826918079068E-4</v>
      </c>
      <c r="D102" s="219">
        <v>4.2095311742085939E-4</v>
      </c>
      <c r="E102" s="219">
        <v>4.1327840081818409E-4</v>
      </c>
      <c r="F102" s="219">
        <v>4.0504664920456733E-4</v>
      </c>
      <c r="G102" s="219">
        <v>3.973449966724684E-4</v>
      </c>
      <c r="H102" s="219">
        <v>3.8969355223321969E-4</v>
      </c>
      <c r="I102" s="219">
        <v>3.8483525264391987E-4</v>
      </c>
      <c r="J102" s="219">
        <v>3.800255524909938E-4</v>
      </c>
      <c r="K102" s="219">
        <v>3.7496557272593617E-4</v>
      </c>
      <c r="L102" s="219">
        <v>3.7023395880219609E-4</v>
      </c>
      <c r="M102" s="219">
        <v>3.6554085389470898E-4</v>
      </c>
      <c r="N102" s="219">
        <v>3.5997224331106272E-4</v>
      </c>
      <c r="O102" s="219">
        <v>3.5445639898425743E-4</v>
      </c>
      <c r="P102" s="219">
        <v>3.4889700825762329E-4</v>
      </c>
      <c r="Q102" s="219">
        <v>3.4346545870973252E-4</v>
      </c>
      <c r="R102" s="219">
        <v>3.3807212335678439E-4</v>
      </c>
      <c r="S102" s="219">
        <v>3.3244636615198489E-4</v>
      </c>
      <c r="T102" s="219">
        <v>3.2684899603841551E-4</v>
      </c>
      <c r="U102" s="219">
        <v>3.2119279082290817E-4</v>
      </c>
      <c r="V102" s="219">
        <v>3.1565267728285288E-4</v>
      </c>
      <c r="W102" s="219">
        <v>3.101357591051119E-4</v>
      </c>
      <c r="X102" s="219">
        <v>3.1199652575589042E-4</v>
      </c>
      <c r="Y102" s="219">
        <v>3.0914420444809958E-4</v>
      </c>
      <c r="Z102" s="219">
        <v>3.0629599340995379E-4</v>
      </c>
      <c r="AA102" s="219">
        <v>3.0345185886003018E-4</v>
      </c>
      <c r="AB102" s="219">
        <v>3.0061179881373998E-4</v>
      </c>
      <c r="AC102" s="33">
        <v>9.7324506895799496E-7</v>
      </c>
      <c r="AD102" s="219">
        <v>9.6548288233931405E-7</v>
      </c>
      <c r="AE102" s="219">
        <v>9.576306592113994E-7</v>
      </c>
      <c r="AF102" s="219">
        <v>9.4785139101305439E-7</v>
      </c>
      <c r="AG102" s="219">
        <v>9.3974014611117077E-7</v>
      </c>
      <c r="AH102" s="219">
        <v>9.3162358499599555E-7</v>
      </c>
      <c r="AI102" s="219">
        <v>9.313797492688632E-7</v>
      </c>
      <c r="AJ102" s="219">
        <v>9.3109918965188671E-7</v>
      </c>
      <c r="AK102" s="219">
        <v>9.2964990630305658E-7</v>
      </c>
      <c r="AL102" s="219">
        <v>9.292679151546118E-7</v>
      </c>
      <c r="AM102" s="219">
        <v>9.2885402048345494E-7</v>
      </c>
      <c r="AN102" s="219">
        <v>9.271923375684321E-7</v>
      </c>
      <c r="AO102" s="219">
        <v>9.2551856999433631E-7</v>
      </c>
      <c r="AP102" s="219">
        <v>9.2338311777954769E-7</v>
      </c>
      <c r="AQ102" s="219">
        <v>9.2165710236870945E-7</v>
      </c>
      <c r="AR102" s="219">
        <v>9.1990784862776022E-7</v>
      </c>
      <c r="AS102" s="219">
        <v>9.1652700234762576E-7</v>
      </c>
      <c r="AT102" s="219">
        <v>9.1313434758048202E-7</v>
      </c>
      <c r="AU102" s="219">
        <v>9.0931980892193965E-7</v>
      </c>
      <c r="AV102" s="219">
        <v>9.0589581533108045E-7</v>
      </c>
      <c r="AW102" s="219">
        <v>9.0242548888188206E-7</v>
      </c>
      <c r="AX102" s="219">
        <v>9.1017722967144288E-7</v>
      </c>
      <c r="AY102" s="219">
        <v>9.067913272067882E-7</v>
      </c>
      <c r="AZ102" s="219">
        <v>9.034037816553612E-7</v>
      </c>
      <c r="BA102" s="219">
        <v>9.0001449736656561E-7</v>
      </c>
      <c r="BB102" s="219">
        <v>8.9662343601983583E-7</v>
      </c>
      <c r="BC102" s="33">
        <v>35.522439216574632</v>
      </c>
      <c r="BD102" s="219">
        <v>35.093266912572489</v>
      </c>
      <c r="BE102" s="219">
        <v>34.662098492791458</v>
      </c>
      <c r="BF102" s="219">
        <v>34.179301377537193</v>
      </c>
      <c r="BG102" s="219">
        <v>33.743494624463523</v>
      </c>
      <c r="BH102" s="219">
        <v>33.306872759828423</v>
      </c>
      <c r="BI102" s="219">
        <v>32.998218739762173</v>
      </c>
      <c r="BJ102" s="219">
        <v>32.689803261257893</v>
      </c>
      <c r="BK102" s="219">
        <v>32.344336389466903</v>
      </c>
      <c r="BL102" s="219">
        <v>32.036198507367693</v>
      </c>
      <c r="BM102" s="219">
        <v>31.728334710680301</v>
      </c>
      <c r="BN102" s="219">
        <v>31.370320274836789</v>
      </c>
      <c r="BO102" s="219">
        <v>31.013239439171571</v>
      </c>
      <c r="BP102" s="219">
        <v>30.645596094217851</v>
      </c>
      <c r="BQ102" s="219">
        <v>30.290286673834711</v>
      </c>
      <c r="BR102" s="219">
        <v>29.935781275611411</v>
      </c>
      <c r="BS102" s="219">
        <v>29.487263212142221</v>
      </c>
      <c r="BT102" s="219">
        <v>29.037961429779749</v>
      </c>
      <c r="BU102" s="219">
        <v>28.57626927379539</v>
      </c>
      <c r="BV102" s="219">
        <v>28.125401199980871</v>
      </c>
      <c r="BW102" s="219">
        <v>27.673587252081781</v>
      </c>
      <c r="BX102" s="219">
        <v>27.507093946754701</v>
      </c>
      <c r="BY102" s="219">
        <v>27.340624868582221</v>
      </c>
      <c r="BZ102" s="219">
        <v>27.17412773599003</v>
      </c>
      <c r="CA102" s="219">
        <v>27.00760175944605</v>
      </c>
      <c r="CB102" s="219">
        <v>26.84104739174132</v>
      </c>
      <c r="CC102" s="33">
        <v>248.75862098369379</v>
      </c>
      <c r="CD102" s="219">
        <v>241.14489817710199</v>
      </c>
      <c r="CE102" s="219">
        <v>233.5562248352667</v>
      </c>
      <c r="CF102" s="219">
        <v>225.642552346586</v>
      </c>
      <c r="CG102" s="219">
        <v>218.08774508481881</v>
      </c>
      <c r="CH102" s="219">
        <v>210.57450601766649</v>
      </c>
      <c r="CI102" s="219">
        <v>205.44650466471319</v>
      </c>
      <c r="CJ102" s="219">
        <v>200.347994760673</v>
      </c>
      <c r="CK102" s="219">
        <v>195.05760792638529</v>
      </c>
      <c r="CL102" s="219">
        <v>190.0168146000878</v>
      </c>
      <c r="CM102" s="219">
        <v>185.00522026513389</v>
      </c>
      <c r="CN102" s="219">
        <v>178.95370628116331</v>
      </c>
      <c r="CO102" s="219">
        <v>172.9428445120858</v>
      </c>
      <c r="CP102" s="219">
        <v>166.90816923464479</v>
      </c>
      <c r="CQ102" s="219">
        <v>160.9754571193252</v>
      </c>
      <c r="CR102" s="219">
        <v>155.0802335154705</v>
      </c>
      <c r="CS102" s="219">
        <v>148.9629077537972</v>
      </c>
      <c r="CT102" s="219">
        <v>142.88317209482969</v>
      </c>
      <c r="CU102" s="219">
        <v>136.7926734549587</v>
      </c>
      <c r="CV102" s="219">
        <v>130.78841998552309</v>
      </c>
      <c r="CW102" s="219">
        <v>124.82219022969841</v>
      </c>
      <c r="CX102" s="219">
        <v>121.64628341945721</v>
      </c>
      <c r="CY102" s="219">
        <v>118.39082169631961</v>
      </c>
      <c r="CZ102" s="219">
        <v>115.14041593532021</v>
      </c>
      <c r="DA102" s="219">
        <v>111.8950350765938</v>
      </c>
      <c r="DB102" s="219">
        <v>108.6546557589449</v>
      </c>
    </row>
    <row r="103" spans="1:106" x14ac:dyDescent="0.35">
      <c r="A103" s="137" t="s">
        <v>560</v>
      </c>
      <c r="B103" s="130" t="s">
        <v>547</v>
      </c>
      <c r="C103" s="33">
        <v>1.47499205994086E-8</v>
      </c>
      <c r="D103" s="219">
        <v>1.468651585558826E-8</v>
      </c>
      <c r="E103" s="219">
        <v>1.4622833525933539E-8</v>
      </c>
      <c r="F103" s="219">
        <v>1.4412823035764841E-8</v>
      </c>
      <c r="G103" s="219">
        <v>1.434988174004855E-8</v>
      </c>
      <c r="H103" s="219">
        <v>1.428658208521413E-8</v>
      </c>
      <c r="I103" s="219">
        <v>1.42450080729106E-8</v>
      </c>
      <c r="J103" s="219">
        <v>1.420404595447938E-8</v>
      </c>
      <c r="K103" s="219">
        <v>1.4083094595974481E-8</v>
      </c>
      <c r="L103" s="219">
        <v>1.4044601081868359E-8</v>
      </c>
      <c r="M103" s="219">
        <v>1.4006525421485681E-8</v>
      </c>
      <c r="N103" s="219">
        <v>1.396902149760178E-8</v>
      </c>
      <c r="O103" s="219">
        <v>1.393212106188844E-8</v>
      </c>
      <c r="P103" s="219">
        <v>1.38692665206668E-8</v>
      </c>
      <c r="Q103" s="219">
        <v>1.3833921673407089E-8</v>
      </c>
      <c r="R103" s="219">
        <v>1.3798960217339759E-8</v>
      </c>
      <c r="S103" s="219">
        <v>1.377244969152848E-8</v>
      </c>
      <c r="T103" s="219">
        <v>1.374628394464608E-8</v>
      </c>
      <c r="U103" s="219">
        <v>1.369740897762842E-8</v>
      </c>
      <c r="V103" s="219">
        <v>1.367239891511159E-8</v>
      </c>
      <c r="W103" s="219">
        <v>1.3647581538283619E-8</v>
      </c>
      <c r="X103" s="219">
        <v>1.367297018808941E-8</v>
      </c>
      <c r="Y103" s="219">
        <v>1.3654017215453501E-8</v>
      </c>
      <c r="Z103" s="219">
        <v>1.363527365940353E-8</v>
      </c>
      <c r="AA103" s="219">
        <v>1.3616739030439629E-8</v>
      </c>
      <c r="AB103" s="219">
        <v>1.359841321378429E-8</v>
      </c>
      <c r="AC103" s="33">
        <v>3.670470002699973E-11</v>
      </c>
      <c r="AD103" s="219">
        <v>3.6658681008548641E-11</v>
      </c>
      <c r="AE103" s="219">
        <v>3.6610988975716548E-11</v>
      </c>
      <c r="AF103" s="219">
        <v>3.6054348439437681E-11</v>
      </c>
      <c r="AG103" s="219">
        <v>3.6002307409494398E-11</v>
      </c>
      <c r="AH103" s="219">
        <v>3.5948734782056419E-11</v>
      </c>
      <c r="AI103" s="219">
        <v>3.5983067749692699E-11</v>
      </c>
      <c r="AJ103" s="219">
        <v>3.6016585433472208E-11</v>
      </c>
      <c r="AK103" s="219">
        <v>3.5737575662225192E-11</v>
      </c>
      <c r="AL103" s="219">
        <v>3.5769056455053672E-11</v>
      </c>
      <c r="AM103" s="219">
        <v>3.5799860244301912E-11</v>
      </c>
      <c r="AN103" s="219">
        <v>3.5825914071052217E-11</v>
      </c>
      <c r="AO103" s="219">
        <v>3.5851424409989892E-11</v>
      </c>
      <c r="AP103" s="219">
        <v>3.5757832583155802E-11</v>
      </c>
      <c r="AQ103" s="219">
        <v>3.5782090786501618E-11</v>
      </c>
      <c r="AR103" s="219">
        <v>3.5805641128115757E-11</v>
      </c>
      <c r="AS103" s="219">
        <v>3.5799345769243569E-11</v>
      </c>
      <c r="AT103" s="219">
        <v>3.5792786872689368E-11</v>
      </c>
      <c r="AU103" s="219">
        <v>3.5689798157441372E-11</v>
      </c>
      <c r="AV103" s="219">
        <v>3.5682827942734309E-11</v>
      </c>
      <c r="AW103" s="219">
        <v>3.5674561144228292E-11</v>
      </c>
      <c r="AX103" s="219">
        <v>3.5750361442086227E-11</v>
      </c>
      <c r="AY103" s="219">
        <v>3.5739220329669078E-11</v>
      </c>
      <c r="AZ103" s="219">
        <v>3.5727954712931238E-11</v>
      </c>
      <c r="BA103" s="219">
        <v>3.5716564968595088E-11</v>
      </c>
      <c r="BB103" s="219">
        <v>3.5705051966931722E-11</v>
      </c>
      <c r="BC103" s="33">
        <v>5.7488649790737249E-4</v>
      </c>
      <c r="BD103" s="219">
        <v>5.7184317262088714E-4</v>
      </c>
      <c r="BE103" s="219">
        <v>5.6878326714468366E-4</v>
      </c>
      <c r="BF103" s="219">
        <v>5.5167139477309908E-4</v>
      </c>
      <c r="BG103" s="219">
        <v>5.4873497194491371E-4</v>
      </c>
      <c r="BH103" s="219">
        <v>5.4578603796895842E-4</v>
      </c>
      <c r="BI103" s="219">
        <v>5.4355548219899323E-4</v>
      </c>
      <c r="BJ103" s="219">
        <v>5.4131946338801347E-4</v>
      </c>
      <c r="BK103" s="219">
        <v>5.2903150462644069E-4</v>
      </c>
      <c r="BL103" s="219">
        <v>5.2693763678625762E-4</v>
      </c>
      <c r="BM103" s="219">
        <v>5.2483875469355528E-4</v>
      </c>
      <c r="BN103" s="219">
        <v>5.2239995001361855E-4</v>
      </c>
      <c r="BO103" s="219">
        <v>5.1997033100711627E-4</v>
      </c>
      <c r="BP103" s="219">
        <v>5.1449691704186598E-4</v>
      </c>
      <c r="BQ103" s="219">
        <v>5.1215288239212799E-4</v>
      </c>
      <c r="BR103" s="219">
        <v>5.0981645435720861E-4</v>
      </c>
      <c r="BS103" s="219">
        <v>5.0755354935720653E-4</v>
      </c>
      <c r="BT103" s="219">
        <v>5.0530265799217887E-4</v>
      </c>
      <c r="BU103" s="219">
        <v>5.0019789522096189E-4</v>
      </c>
      <c r="BV103" s="219">
        <v>4.9801062629800815E-4</v>
      </c>
      <c r="BW103" s="219">
        <v>4.9582957004540968E-4</v>
      </c>
      <c r="BX103" s="219">
        <v>4.947374656009433E-4</v>
      </c>
      <c r="BY103" s="219">
        <v>4.9365583056776221E-4</v>
      </c>
      <c r="BZ103" s="219">
        <v>4.9258415754386544E-4</v>
      </c>
      <c r="CA103" s="219">
        <v>4.9152244322832816E-4</v>
      </c>
      <c r="CB103" s="219">
        <v>4.9047069901633799E-4</v>
      </c>
      <c r="CC103" s="33">
        <v>8.9889960129330322E-3</v>
      </c>
      <c r="CD103" s="219">
        <v>8.9288448353527904E-3</v>
      </c>
      <c r="CE103" s="219">
        <v>8.868687456087123E-3</v>
      </c>
      <c r="CF103" s="219">
        <v>8.712674590181187E-3</v>
      </c>
      <c r="CG103" s="219">
        <v>8.6546948547938131E-3</v>
      </c>
      <c r="CH103" s="219">
        <v>8.596656495702782E-3</v>
      </c>
      <c r="CI103" s="219">
        <v>8.5542940321167212E-3</v>
      </c>
      <c r="CJ103" s="219">
        <v>8.5121954450647578E-3</v>
      </c>
      <c r="CK103" s="219">
        <v>8.4102251734397004E-3</v>
      </c>
      <c r="CL103" s="219">
        <v>8.3701932972865302E-3</v>
      </c>
      <c r="CM103" s="219">
        <v>8.3304136821704296E-3</v>
      </c>
      <c r="CN103" s="219">
        <v>8.2906935913715611E-3</v>
      </c>
      <c r="CO103" s="219">
        <v>8.251354334038466E-3</v>
      </c>
      <c r="CP103" s="219">
        <v>8.1955041788675104E-3</v>
      </c>
      <c r="CQ103" s="219">
        <v>8.1575416996321846E-3</v>
      </c>
      <c r="CR103" s="219">
        <v>8.1199215719136575E-3</v>
      </c>
      <c r="CS103" s="219">
        <v>8.0915717401980995E-3</v>
      </c>
      <c r="CT103" s="219">
        <v>8.0636328651711459E-3</v>
      </c>
      <c r="CU103" s="219">
        <v>8.0247435972488831E-3</v>
      </c>
      <c r="CV103" s="219">
        <v>7.9981678222053234E-3</v>
      </c>
      <c r="CW103" s="219">
        <v>7.9720400928131995E-3</v>
      </c>
      <c r="CX103" s="219">
        <v>7.9499114688025892E-3</v>
      </c>
      <c r="CY103" s="219">
        <v>7.9277054045884324E-3</v>
      </c>
      <c r="CZ103" s="219">
        <v>7.9057401361169941E-3</v>
      </c>
      <c r="DA103" s="219">
        <v>7.8840150412988301E-3</v>
      </c>
      <c r="DB103" s="219">
        <v>7.8625296303580696E-3</v>
      </c>
    </row>
    <row r="104" spans="1:106" x14ac:dyDescent="0.35">
      <c r="A104" s="137" t="s">
        <v>561</v>
      </c>
      <c r="B104" s="130" t="s">
        <v>705</v>
      </c>
      <c r="C104" s="33">
        <v>1.9848842622015748E-3</v>
      </c>
      <c r="D104" s="219">
        <v>1.9562150558131639E-3</v>
      </c>
      <c r="E104" s="219">
        <v>1.927059632671337E-3</v>
      </c>
      <c r="F104" s="219">
        <v>1.889975707684352E-3</v>
      </c>
      <c r="G104" s="219">
        <v>1.8596825109945729E-3</v>
      </c>
      <c r="H104" s="219">
        <v>1.8287132515525651E-3</v>
      </c>
      <c r="I104" s="219">
        <v>1.8240269819210511E-3</v>
      </c>
      <c r="J104" s="219">
        <v>1.81940860209094E-3</v>
      </c>
      <c r="K104" s="219">
        <v>1.8114375105735641E-3</v>
      </c>
      <c r="L104" s="219">
        <v>1.8069758007361711E-3</v>
      </c>
      <c r="M104" s="219">
        <v>1.802550656783997E-3</v>
      </c>
      <c r="N104" s="219">
        <v>1.8011237099181739E-3</v>
      </c>
      <c r="O104" s="219">
        <v>1.799728004873463E-3</v>
      </c>
      <c r="P104" s="219">
        <v>1.797350991149333E-3</v>
      </c>
      <c r="Q104" s="219">
        <v>1.7960072204838511E-3</v>
      </c>
      <c r="R104" s="219">
        <v>1.7946676192961261E-3</v>
      </c>
      <c r="S104" s="219">
        <v>1.7921661278737079E-3</v>
      </c>
      <c r="T104" s="219">
        <v>1.789684688556732E-3</v>
      </c>
      <c r="U104" s="219">
        <v>1.786311731211142E-3</v>
      </c>
      <c r="V104" s="219">
        <v>1.783894800268534E-3</v>
      </c>
      <c r="W104" s="219">
        <v>1.78148582755011E-3</v>
      </c>
      <c r="X104" s="219">
        <v>1.790817045871237E-3</v>
      </c>
      <c r="Y104" s="219">
        <v>1.7895035743440109E-3</v>
      </c>
      <c r="Z104" s="219">
        <v>1.7881953599072019E-3</v>
      </c>
      <c r="AA104" s="219">
        <v>1.786892271072078E-3</v>
      </c>
      <c r="AB104" s="219">
        <v>1.785594336320062E-3</v>
      </c>
      <c r="AC104" s="33">
        <v>3.715731652454359E-6</v>
      </c>
      <c r="AD104" s="219">
        <v>3.653971786261327E-6</v>
      </c>
      <c r="AE104" s="219">
        <v>3.590700222859685E-6</v>
      </c>
      <c r="AF104" s="219">
        <v>3.5013590415283682E-6</v>
      </c>
      <c r="AG104" s="219">
        <v>3.4350987731988199E-6</v>
      </c>
      <c r="AH104" s="219">
        <v>3.3672208371307779E-6</v>
      </c>
      <c r="AI104" s="219">
        <v>3.359625974222981E-6</v>
      </c>
      <c r="AJ104" s="219">
        <v>3.3517806086884919E-6</v>
      </c>
      <c r="AK104" s="219">
        <v>3.330478938302756E-6</v>
      </c>
      <c r="AL104" s="219">
        <v>3.3222042704526711E-6</v>
      </c>
      <c r="AM104" s="219">
        <v>3.3137581199034298E-6</v>
      </c>
      <c r="AN104" s="219">
        <v>3.3117835992973371E-6</v>
      </c>
      <c r="AO104" s="219">
        <v>3.3098090978734569E-6</v>
      </c>
      <c r="AP104" s="219">
        <v>3.3027531832062708E-6</v>
      </c>
      <c r="AQ104" s="219">
        <v>3.300744338648619E-6</v>
      </c>
      <c r="AR104" s="219">
        <v>3.2987119954850761E-6</v>
      </c>
      <c r="AS104" s="219">
        <v>3.2935302766583081E-6</v>
      </c>
      <c r="AT104" s="219">
        <v>3.288392539742852E-6</v>
      </c>
      <c r="AU104" s="219">
        <v>3.278896138541998E-6</v>
      </c>
      <c r="AV104" s="219">
        <v>3.273848587933931E-6</v>
      </c>
      <c r="AW104" s="219">
        <v>3.268749516231205E-6</v>
      </c>
      <c r="AX104" s="219">
        <v>3.2828870256197742E-6</v>
      </c>
      <c r="AY104" s="219">
        <v>3.2812446458292191E-6</v>
      </c>
      <c r="AZ104" s="219">
        <v>3.2795974630278679E-6</v>
      </c>
      <c r="BA104" s="219">
        <v>3.2779455111866361E-6</v>
      </c>
      <c r="BB104" s="219">
        <v>3.2762890837638608E-6</v>
      </c>
      <c r="BC104" s="33">
        <v>114.06781731957111</v>
      </c>
      <c r="BD104" s="219">
        <v>113.7328675530224</v>
      </c>
      <c r="BE104" s="219">
        <v>113.3929663091527</v>
      </c>
      <c r="BF104" s="219">
        <v>112.3911675049322</v>
      </c>
      <c r="BG104" s="219">
        <v>112.0478306078531</v>
      </c>
      <c r="BH104" s="219">
        <v>111.69872823537609</v>
      </c>
      <c r="BI104" s="219">
        <v>112.2010947204887</v>
      </c>
      <c r="BJ104" s="219">
        <v>112.69351643430041</v>
      </c>
      <c r="BK104" s="219">
        <v>112.74009000216979</v>
      </c>
      <c r="BL104" s="219">
        <v>113.21958271568749</v>
      </c>
      <c r="BM104" s="219">
        <v>113.6897765530383</v>
      </c>
      <c r="BN104" s="219">
        <v>113.65222917100461</v>
      </c>
      <c r="BO104" s="219">
        <v>113.61473943331841</v>
      </c>
      <c r="BP104" s="219">
        <v>113.44770784519361</v>
      </c>
      <c r="BQ104" s="219">
        <v>113.41332719801061</v>
      </c>
      <c r="BR104" s="219">
        <v>113.3787859326078</v>
      </c>
      <c r="BS104" s="219">
        <v>113.0512155274629</v>
      </c>
      <c r="BT104" s="219">
        <v>112.7253429675897</v>
      </c>
      <c r="BU104" s="219">
        <v>112.2791950057142</v>
      </c>
      <c r="BV104" s="219">
        <v>111.9583975303494</v>
      </c>
      <c r="BW104" s="219">
        <v>111.6387040996559</v>
      </c>
      <c r="BX104" s="219">
        <v>111.5739444092645</v>
      </c>
      <c r="BY104" s="219">
        <v>111.50977454615681</v>
      </c>
      <c r="BZ104" s="219">
        <v>111.4459321675379</v>
      </c>
      <c r="CA104" s="219">
        <v>111.3824079888096</v>
      </c>
      <c r="CB104" s="219">
        <v>111.3191991499793</v>
      </c>
      <c r="CC104" s="33">
        <v>960.18627888201729</v>
      </c>
      <c r="CD104" s="219">
        <v>940.20848272169962</v>
      </c>
      <c r="CE104" s="219">
        <v>919.97849385793086</v>
      </c>
      <c r="CF104" s="219">
        <v>894.9053469828998</v>
      </c>
      <c r="CG104" s="219">
        <v>874.14560255740878</v>
      </c>
      <c r="CH104" s="219">
        <v>853.02566083551835</v>
      </c>
      <c r="CI104" s="219">
        <v>847.74542197239737</v>
      </c>
      <c r="CJ104" s="219">
        <v>842.52429825235538</v>
      </c>
      <c r="CK104" s="219">
        <v>834.79260296691643</v>
      </c>
      <c r="CL104" s="219">
        <v>829.74040861154253</v>
      </c>
      <c r="CM104" s="219">
        <v>824.73326237106448</v>
      </c>
      <c r="CN104" s="219">
        <v>823.07344849097387</v>
      </c>
      <c r="CO104" s="219">
        <v>821.41329377436136</v>
      </c>
      <c r="CP104" s="219">
        <v>819.03371604470158</v>
      </c>
      <c r="CQ104" s="219">
        <v>817.39547696635384</v>
      </c>
      <c r="CR104" s="219">
        <v>815.75248373031479</v>
      </c>
      <c r="CS104" s="219">
        <v>813.65077703361283</v>
      </c>
      <c r="CT104" s="219">
        <v>811.56970808838173</v>
      </c>
      <c r="CU104" s="219">
        <v>808.99669973300752</v>
      </c>
      <c r="CV104" s="219">
        <v>806.98075822559349</v>
      </c>
      <c r="CW104" s="219">
        <v>804.98906592315427</v>
      </c>
      <c r="CX104" s="219">
        <v>803.6131276705886</v>
      </c>
      <c r="CY104" s="219">
        <v>802.07562707288832</v>
      </c>
      <c r="CZ104" s="219">
        <v>800.54526605146236</v>
      </c>
      <c r="DA104" s="219">
        <v>799.02195316520056</v>
      </c>
      <c r="DB104" s="219">
        <v>797.50563572794943</v>
      </c>
    </row>
    <row r="105" spans="1:106" x14ac:dyDescent="0.35">
      <c r="A105" s="137" t="s">
        <v>562</v>
      </c>
      <c r="B105" s="130" t="s">
        <v>547</v>
      </c>
      <c r="C105" s="33">
        <v>3.7592465014811449E-5</v>
      </c>
      <c r="D105" s="219">
        <v>3.534874192889682E-5</v>
      </c>
      <c r="E105" s="219">
        <v>3.3107364795979848E-5</v>
      </c>
      <c r="F105" s="219">
        <v>3.0823253054801681E-5</v>
      </c>
      <c r="G105" s="219">
        <v>2.8585015990500941E-5</v>
      </c>
      <c r="H105" s="219">
        <v>2.6351042361758059E-5</v>
      </c>
      <c r="I105" s="219">
        <v>2.615095787508594E-5</v>
      </c>
      <c r="J105" s="219">
        <v>2.5947561730891031E-5</v>
      </c>
      <c r="K105" s="219">
        <v>2.570666503673113E-5</v>
      </c>
      <c r="L105" s="219">
        <v>2.5494905097519892E-5</v>
      </c>
      <c r="M105" s="219">
        <v>2.5279275495489251E-5</v>
      </c>
      <c r="N105" s="219">
        <v>2.5166466052062081E-5</v>
      </c>
      <c r="O105" s="219">
        <v>2.50554767531597E-5</v>
      </c>
      <c r="P105" s="219">
        <v>2.4937453526695438E-5</v>
      </c>
      <c r="Q105" s="219">
        <v>2.4826723670918491E-5</v>
      </c>
      <c r="R105" s="219">
        <v>2.4716325391011589E-5</v>
      </c>
      <c r="S105" s="219">
        <v>2.4232245060826091E-5</v>
      </c>
      <c r="T105" s="219">
        <v>2.3746259866759499E-5</v>
      </c>
      <c r="U105" s="219">
        <v>2.3253024364863469E-5</v>
      </c>
      <c r="V105" s="219">
        <v>2.2766157353047871E-5</v>
      </c>
      <c r="W105" s="219">
        <v>2.227836212108216E-5</v>
      </c>
      <c r="X105" s="219">
        <v>2.239856500246863E-5</v>
      </c>
      <c r="Y105" s="219">
        <v>2.2090374049832951E-5</v>
      </c>
      <c r="Z105" s="219">
        <v>2.1782262381614492E-5</v>
      </c>
      <c r="AA105" s="219">
        <v>2.1474172710699439E-5</v>
      </c>
      <c r="AB105" s="219">
        <v>2.1166107202232578E-5</v>
      </c>
      <c r="AC105" s="33">
        <v>6.3817447397678702E-8</v>
      </c>
      <c r="AD105" s="219">
        <v>5.7821592952878008E-8</v>
      </c>
      <c r="AE105" s="219">
        <v>5.1844443130182072E-8</v>
      </c>
      <c r="AF105" s="219">
        <v>4.573849456068004E-8</v>
      </c>
      <c r="AG105" s="219">
        <v>3.9790659179141383E-8</v>
      </c>
      <c r="AH105" s="219">
        <v>3.386146355504995E-8</v>
      </c>
      <c r="AI105" s="219">
        <v>3.3374682082654147E-8</v>
      </c>
      <c r="AJ105" s="219">
        <v>3.2881570368442092E-8</v>
      </c>
      <c r="AK105" s="219">
        <v>3.2253656685543868E-8</v>
      </c>
      <c r="AL105" s="219">
        <v>3.1741680482204188E-8</v>
      </c>
      <c r="AM105" s="219">
        <v>3.1223148211611093E-8</v>
      </c>
      <c r="AN105" s="219">
        <v>3.0875438210041067E-8</v>
      </c>
      <c r="AO105" s="219">
        <v>3.0526438684044577E-8</v>
      </c>
      <c r="AP105" s="219">
        <v>3.0137586886540928E-8</v>
      </c>
      <c r="AQ105" s="219">
        <v>2.977769193576682E-8</v>
      </c>
      <c r="AR105" s="219">
        <v>2.9413690235047201E-8</v>
      </c>
      <c r="AS105" s="219">
        <v>2.8046124052885331E-8</v>
      </c>
      <c r="AT105" s="219">
        <v>2.668261086883535E-8</v>
      </c>
      <c r="AU105" s="219">
        <v>2.5292721893432099E-8</v>
      </c>
      <c r="AV105" s="219">
        <v>2.3935320689052199E-8</v>
      </c>
      <c r="AW105" s="219">
        <v>2.2576695351428629E-8</v>
      </c>
      <c r="AX105" s="219">
        <v>2.2491397340091358E-8</v>
      </c>
      <c r="AY105" s="219">
        <v>2.1590820324197841E-8</v>
      </c>
      <c r="AZ105" s="219">
        <v>2.0691563580032741E-8</v>
      </c>
      <c r="BA105" s="219">
        <v>1.979344892901283E-8</v>
      </c>
      <c r="BB105" s="219">
        <v>1.8896405222111831E-8</v>
      </c>
      <c r="BC105" s="33">
        <v>1.1876496369982781</v>
      </c>
      <c r="BD105" s="219">
        <v>1.095932384447962</v>
      </c>
      <c r="BE105" s="219">
        <v>1.004146001287072</v>
      </c>
      <c r="BF105" s="219">
        <v>0.90777455527861917</v>
      </c>
      <c r="BG105" s="219">
        <v>0.81570934765721914</v>
      </c>
      <c r="BH105" s="219">
        <v>0.72359798079795146</v>
      </c>
      <c r="BI105" s="219">
        <v>0.83090067110340482</v>
      </c>
      <c r="BJ105" s="219">
        <v>0.9374628099815876</v>
      </c>
      <c r="BK105" s="219">
        <v>1.0388763060054831</v>
      </c>
      <c r="BL105" s="219">
        <v>1.143832111332129</v>
      </c>
      <c r="BM105" s="219">
        <v>1.2480731488947061</v>
      </c>
      <c r="BN105" s="219">
        <v>1.380260259358314</v>
      </c>
      <c r="BO105" s="219">
        <v>1.512246892594209</v>
      </c>
      <c r="BP105" s="219">
        <v>1.6430326053808799</v>
      </c>
      <c r="BQ105" s="219">
        <v>1.7746409800010441</v>
      </c>
      <c r="BR105" s="219">
        <v>1.906043132586914</v>
      </c>
      <c r="BS105" s="219">
        <v>1.8655163632819101</v>
      </c>
      <c r="BT105" s="219">
        <v>1.8248171861042379</v>
      </c>
      <c r="BU105" s="219">
        <v>1.783031344515325</v>
      </c>
      <c r="BV105" s="219">
        <v>1.742006730580381</v>
      </c>
      <c r="BW105" s="219">
        <v>1.7008012725792041</v>
      </c>
      <c r="BX105" s="219">
        <v>1.699149619203435</v>
      </c>
      <c r="BY105" s="219">
        <v>1.6975846340264731</v>
      </c>
      <c r="BZ105" s="219">
        <v>1.696005452630758</v>
      </c>
      <c r="CA105" s="219">
        <v>1.69440997700291</v>
      </c>
      <c r="CB105" s="219">
        <v>1.692798472037037</v>
      </c>
      <c r="CC105" s="33">
        <v>11.717536079012399</v>
      </c>
      <c r="CD105" s="219">
        <v>9.85518483250444</v>
      </c>
      <c r="CE105" s="219">
        <v>8.0031926123191042</v>
      </c>
      <c r="CF105" s="219">
        <v>6.130353074848256</v>
      </c>
      <c r="CG105" s="219">
        <v>4.2965944414908606</v>
      </c>
      <c r="CH105" s="219">
        <v>2.4719654517566712</v>
      </c>
      <c r="CI105" s="219">
        <v>2.037246030808602</v>
      </c>
      <c r="CJ105" s="219">
        <v>1.6020421119621819</v>
      </c>
      <c r="CK105" s="219">
        <v>1.1401691925412281</v>
      </c>
      <c r="CL105" s="219">
        <v>0.70328108989120297</v>
      </c>
      <c r="CM105" s="219">
        <v>0.26586889365791921</v>
      </c>
      <c r="CN105" s="219">
        <v>4.7592472154073473E-2</v>
      </c>
      <c r="CO105" s="219">
        <v>-0.1704226626832096</v>
      </c>
      <c r="CP105" s="219">
        <v>-0.39319844983061059</v>
      </c>
      <c r="CQ105" s="219">
        <v>-0.61064918789892042</v>
      </c>
      <c r="CR105" s="219">
        <v>-0.82796745892243417</v>
      </c>
      <c r="CS105" s="219">
        <v>-1.2824040253891349</v>
      </c>
      <c r="CT105" s="219">
        <v>-1.7374520002908029</v>
      </c>
      <c r="CU105" s="219">
        <v>-2.196599073118497</v>
      </c>
      <c r="CV105" s="219">
        <v>-2.6525926317957271</v>
      </c>
      <c r="CW105" s="219">
        <v>-3.1088974248680579</v>
      </c>
      <c r="CX105" s="219">
        <v>-3.4961909568361529</v>
      </c>
      <c r="CY105" s="219">
        <v>-3.8936755041297459</v>
      </c>
      <c r="CZ105" s="219">
        <v>-4.2910525550438612</v>
      </c>
      <c r="DA105" s="219">
        <v>-4.6883374695402216</v>
      </c>
      <c r="DB105" s="219">
        <v>-5.085532043011658</v>
      </c>
    </row>
    <row r="106" spans="1:106" x14ac:dyDescent="0.35">
      <c r="A106" s="137" t="s">
        <v>755</v>
      </c>
      <c r="B106" s="130" t="s">
        <v>704</v>
      </c>
      <c r="C106" s="33">
        <v>0</v>
      </c>
      <c r="D106" s="219">
        <v>0</v>
      </c>
      <c r="E106" s="219">
        <v>0</v>
      </c>
      <c r="F106" s="219">
        <v>0</v>
      </c>
      <c r="G106" s="219">
        <v>0</v>
      </c>
      <c r="H106" s="219">
        <v>0</v>
      </c>
      <c r="I106" s="219">
        <v>0</v>
      </c>
      <c r="J106" s="219">
        <v>0</v>
      </c>
      <c r="K106" s="219">
        <v>0</v>
      </c>
      <c r="L106" s="219">
        <v>0</v>
      </c>
      <c r="M106" s="219">
        <v>0</v>
      </c>
      <c r="N106" s="219">
        <v>0</v>
      </c>
      <c r="O106" s="219">
        <v>0</v>
      </c>
      <c r="P106" s="219">
        <v>0</v>
      </c>
      <c r="Q106" s="219">
        <v>0</v>
      </c>
      <c r="R106" s="219">
        <v>0</v>
      </c>
      <c r="S106" s="219">
        <v>0</v>
      </c>
      <c r="T106" s="219">
        <v>0</v>
      </c>
      <c r="U106" s="219">
        <v>0</v>
      </c>
      <c r="V106" s="219">
        <v>0</v>
      </c>
      <c r="W106" s="219">
        <v>0</v>
      </c>
      <c r="X106" s="219">
        <v>0</v>
      </c>
      <c r="Y106" s="219">
        <v>0</v>
      </c>
      <c r="Z106" s="219">
        <v>0</v>
      </c>
      <c r="AA106" s="219">
        <v>0</v>
      </c>
      <c r="AB106" s="219">
        <v>0</v>
      </c>
      <c r="AC106" s="33">
        <v>2.0736000294618859E-7</v>
      </c>
      <c r="AD106" s="219">
        <v>2.0736000294618859E-7</v>
      </c>
      <c r="AE106" s="219">
        <v>2.0736000294618859E-7</v>
      </c>
      <c r="AF106" s="219">
        <v>2.0736000294618859E-7</v>
      </c>
      <c r="AG106" s="219">
        <v>2.0736000294618859E-7</v>
      </c>
      <c r="AH106" s="219">
        <v>2.0736000294618859E-7</v>
      </c>
      <c r="AI106" s="219">
        <v>2.0736000294618859E-7</v>
      </c>
      <c r="AJ106" s="219">
        <v>2.0736000294618859E-7</v>
      </c>
      <c r="AK106" s="219">
        <v>2.0736000294618859E-7</v>
      </c>
      <c r="AL106" s="219">
        <v>2.0736000294618859E-7</v>
      </c>
      <c r="AM106" s="219">
        <v>2.0736000294618859E-7</v>
      </c>
      <c r="AN106" s="219">
        <v>2.0736000294618859E-7</v>
      </c>
      <c r="AO106" s="219">
        <v>2.0736000294618859E-7</v>
      </c>
      <c r="AP106" s="219">
        <v>2.0736000294618859E-7</v>
      </c>
      <c r="AQ106" s="219">
        <v>2.0736000294618859E-7</v>
      </c>
      <c r="AR106" s="219">
        <v>2.0736000294618859E-7</v>
      </c>
      <c r="AS106" s="219">
        <v>2.0736000294618859E-7</v>
      </c>
      <c r="AT106" s="219">
        <v>2.0736000294618859E-7</v>
      </c>
      <c r="AU106" s="219">
        <v>2.0736000294618859E-7</v>
      </c>
      <c r="AV106" s="219">
        <v>2.0736000294618859E-7</v>
      </c>
      <c r="AW106" s="219">
        <v>2.0736000294618859E-7</v>
      </c>
      <c r="AX106" s="219">
        <v>2.0736000294618859E-7</v>
      </c>
      <c r="AY106" s="219">
        <v>2.0736000294618859E-7</v>
      </c>
      <c r="AZ106" s="219">
        <v>2.0736000294618859E-7</v>
      </c>
      <c r="BA106" s="219">
        <v>2.0736000294618859E-7</v>
      </c>
      <c r="BB106" s="219">
        <v>2.0736000294618859E-7</v>
      </c>
      <c r="BC106" s="33">
        <v>0</v>
      </c>
      <c r="BD106" s="219">
        <v>0</v>
      </c>
      <c r="BE106" s="219">
        <v>0</v>
      </c>
      <c r="BF106" s="219">
        <v>0</v>
      </c>
      <c r="BG106" s="219">
        <v>0</v>
      </c>
      <c r="BH106" s="219">
        <v>0</v>
      </c>
      <c r="BI106" s="219">
        <v>0</v>
      </c>
      <c r="BJ106" s="219">
        <v>0</v>
      </c>
      <c r="BK106" s="219">
        <v>0</v>
      </c>
      <c r="BL106" s="219">
        <v>0</v>
      </c>
      <c r="BM106" s="219">
        <v>0</v>
      </c>
      <c r="BN106" s="219">
        <v>0</v>
      </c>
      <c r="BO106" s="219">
        <v>0</v>
      </c>
      <c r="BP106" s="219">
        <v>0</v>
      </c>
      <c r="BQ106" s="219">
        <v>0</v>
      </c>
      <c r="BR106" s="219">
        <v>0</v>
      </c>
      <c r="BS106" s="219">
        <v>0</v>
      </c>
      <c r="BT106" s="219">
        <v>0</v>
      </c>
      <c r="BU106" s="219">
        <v>0</v>
      </c>
      <c r="BV106" s="219">
        <v>0</v>
      </c>
      <c r="BW106" s="219">
        <v>0</v>
      </c>
      <c r="BX106" s="219">
        <v>0</v>
      </c>
      <c r="BY106" s="219">
        <v>0</v>
      </c>
      <c r="BZ106" s="219">
        <v>0</v>
      </c>
      <c r="CA106" s="219">
        <v>0</v>
      </c>
      <c r="CB106" s="219">
        <v>0</v>
      </c>
      <c r="CC106" s="33">
        <v>0</v>
      </c>
      <c r="CD106" s="219">
        <v>0</v>
      </c>
      <c r="CE106" s="219">
        <v>0</v>
      </c>
      <c r="CF106" s="219">
        <v>0</v>
      </c>
      <c r="CG106" s="219">
        <v>0</v>
      </c>
      <c r="CH106" s="219">
        <v>0</v>
      </c>
      <c r="CI106" s="219">
        <v>0</v>
      </c>
      <c r="CJ106" s="219">
        <v>0</v>
      </c>
      <c r="CK106" s="219">
        <v>0</v>
      </c>
      <c r="CL106" s="219">
        <v>0</v>
      </c>
      <c r="CM106" s="219">
        <v>0</v>
      </c>
      <c r="CN106" s="219">
        <v>0</v>
      </c>
      <c r="CO106" s="219">
        <v>0</v>
      </c>
      <c r="CP106" s="219">
        <v>0</v>
      </c>
      <c r="CQ106" s="219">
        <v>0</v>
      </c>
      <c r="CR106" s="219">
        <v>0</v>
      </c>
      <c r="CS106" s="219">
        <v>0</v>
      </c>
      <c r="CT106" s="219">
        <v>0</v>
      </c>
      <c r="CU106" s="219">
        <v>0</v>
      </c>
      <c r="CV106" s="219">
        <v>0</v>
      </c>
      <c r="CW106" s="219">
        <v>0</v>
      </c>
      <c r="CX106" s="219">
        <v>0</v>
      </c>
      <c r="CY106" s="219">
        <v>0</v>
      </c>
      <c r="CZ106" s="219">
        <v>0</v>
      </c>
      <c r="DA106" s="219">
        <v>0</v>
      </c>
      <c r="DB106" s="219">
        <v>0</v>
      </c>
    </row>
    <row r="107" spans="1:106" x14ac:dyDescent="0.35">
      <c r="A107" s="137" t="s">
        <v>563</v>
      </c>
      <c r="B107" s="130" t="s">
        <v>704</v>
      </c>
      <c r="C107" s="33">
        <v>3.1970161471994191E-2</v>
      </c>
      <c r="D107" s="219">
        <v>2.9109048261782559E-2</v>
      </c>
      <c r="E107" s="219">
        <v>2.6233085282901681E-2</v>
      </c>
      <c r="F107" s="219">
        <v>2.3290847167405329E-2</v>
      </c>
      <c r="G107" s="219">
        <v>2.0383545711031539E-2</v>
      </c>
      <c r="H107" s="219">
        <v>1.7464351671340882E-2</v>
      </c>
      <c r="I107" s="219">
        <v>1.7208349479355341E-2</v>
      </c>
      <c r="J107" s="219">
        <v>1.6946844039901581E-2</v>
      </c>
      <c r="K107" s="219">
        <v>1.663817542981191E-2</v>
      </c>
      <c r="L107" s="219">
        <v>1.6363176778820931E-2</v>
      </c>
      <c r="M107" s="219">
        <v>1.6081871721863549E-2</v>
      </c>
      <c r="N107" s="219">
        <v>1.5943938721505829E-2</v>
      </c>
      <c r="O107" s="219">
        <v>1.5808325031177139E-2</v>
      </c>
      <c r="P107" s="219">
        <v>1.5664326837769409E-2</v>
      </c>
      <c r="Q107" s="219">
        <v>1.552884938795052E-2</v>
      </c>
      <c r="R107" s="219">
        <v>1.5393763316684361E-2</v>
      </c>
      <c r="S107" s="219">
        <v>1.4778131044248299E-2</v>
      </c>
      <c r="T107" s="219">
        <v>1.4165123659348791E-2</v>
      </c>
      <c r="U107" s="219">
        <v>1.35486801968695E-2</v>
      </c>
      <c r="V107" s="219">
        <v>1.2944755993524751E-2</v>
      </c>
      <c r="W107" s="219">
        <v>1.2344699833293079E-2</v>
      </c>
      <c r="X107" s="219">
        <v>1.238039159625819E-2</v>
      </c>
      <c r="Y107" s="219">
        <v>1.1965932677229729E-2</v>
      </c>
      <c r="Z107" s="219">
        <v>1.1550338322082311E-2</v>
      </c>
      <c r="AA107" s="219">
        <v>1.113355301964785E-2</v>
      </c>
      <c r="AB107" s="219">
        <v>1.0715573038941561E-2</v>
      </c>
      <c r="AC107" s="33">
        <v>6.3509968793366904E-5</v>
      </c>
      <c r="AD107" s="219">
        <v>5.5857509256486682E-5</v>
      </c>
      <c r="AE107" s="219">
        <v>4.818050519954759E-5</v>
      </c>
      <c r="AF107" s="219">
        <v>4.0310398271994078E-5</v>
      </c>
      <c r="AG107" s="219">
        <v>3.2573028553421158E-5</v>
      </c>
      <c r="AH107" s="219">
        <v>2.4811226500041819E-5</v>
      </c>
      <c r="AI107" s="219">
        <v>2.4190424670700651E-5</v>
      </c>
      <c r="AJ107" s="219">
        <v>2.355928448542852E-5</v>
      </c>
      <c r="AK107" s="219">
        <v>2.2761537959844939E-5</v>
      </c>
      <c r="AL107" s="219">
        <v>2.210070824666595E-5</v>
      </c>
      <c r="AM107" s="219">
        <v>2.142888833495259E-5</v>
      </c>
      <c r="AN107" s="219">
        <v>2.0979391504634738E-5</v>
      </c>
      <c r="AO107" s="219">
        <v>2.0528367729510539E-5</v>
      </c>
      <c r="AP107" s="219">
        <v>2.002969275276763E-5</v>
      </c>
      <c r="AQ107" s="219">
        <v>1.9564523674133141E-5</v>
      </c>
      <c r="AR107" s="219">
        <v>1.9094152071919961E-5</v>
      </c>
      <c r="AS107" s="219">
        <v>1.7302449749929181E-5</v>
      </c>
      <c r="AT107" s="219">
        <v>1.5532047132205741E-5</v>
      </c>
      <c r="AU107" s="219">
        <v>1.374704852947048E-5</v>
      </c>
      <c r="AV107" s="219">
        <v>1.201594909699404E-5</v>
      </c>
      <c r="AW107" s="219">
        <v>1.029867641968966E-5</v>
      </c>
      <c r="AX107" s="219">
        <v>1.003863943482165E-5</v>
      </c>
      <c r="AY107" s="219">
        <v>8.833697207699614E-6</v>
      </c>
      <c r="AZ107" s="219">
        <v>7.6269304677722343E-6</v>
      </c>
      <c r="BA107" s="219">
        <v>6.4181360535742619E-6</v>
      </c>
      <c r="BB107" s="219">
        <v>5.2072081762526266E-6</v>
      </c>
      <c r="BC107" s="33">
        <v>1455.687748477927</v>
      </c>
      <c r="BD107" s="219">
        <v>1339.645737547816</v>
      </c>
      <c r="BE107" s="219">
        <v>1222.675011660074</v>
      </c>
      <c r="BF107" s="219">
        <v>1099.534974399809</v>
      </c>
      <c r="BG107" s="219">
        <v>980.47081032114079</v>
      </c>
      <c r="BH107" s="219">
        <v>860.4793665866838</v>
      </c>
      <c r="BI107" s="219">
        <v>1005.289588531566</v>
      </c>
      <c r="BJ107" s="219">
        <v>1149.7418175598309</v>
      </c>
      <c r="BK107" s="219">
        <v>1288.456695966383</v>
      </c>
      <c r="BL107" s="219">
        <v>1431.999072853238</v>
      </c>
      <c r="BM107" s="219">
        <v>1575.21075673582</v>
      </c>
      <c r="BN107" s="219">
        <v>1753.703160579762</v>
      </c>
      <c r="BO107" s="219">
        <v>1931.6196135305711</v>
      </c>
      <c r="BP107" s="219">
        <v>2107.76787666581</v>
      </c>
      <c r="BQ107" s="219">
        <v>2284.5657414806878</v>
      </c>
      <c r="BR107" s="219">
        <v>2460.785537350293</v>
      </c>
      <c r="BS107" s="219">
        <v>2396.8942909969978</v>
      </c>
      <c r="BT107" s="219">
        <v>2333.3347117691819</v>
      </c>
      <c r="BU107" s="219">
        <v>2269.02736425892</v>
      </c>
      <c r="BV107" s="219">
        <v>2206.1493943655678</v>
      </c>
      <c r="BW107" s="219">
        <v>2143.5839547228379</v>
      </c>
      <c r="BX107" s="219">
        <v>2144.336140023961</v>
      </c>
      <c r="BY107" s="219">
        <v>2145.1607906176441</v>
      </c>
      <c r="BZ107" s="219">
        <v>2145.969509880611</v>
      </c>
      <c r="CA107" s="219">
        <v>2146.7604743306729</v>
      </c>
      <c r="CB107" s="219">
        <v>2147.533913677406</v>
      </c>
      <c r="CC107" s="33">
        <v>14058.151241733231</v>
      </c>
      <c r="CD107" s="219">
        <v>11676.388562983941</v>
      </c>
      <c r="CE107" s="219">
        <v>9292.1219783832294</v>
      </c>
      <c r="CF107" s="219">
        <v>6869.3139490106896</v>
      </c>
      <c r="CG107" s="219">
        <v>4476.9179466587984</v>
      </c>
      <c r="CH107" s="219">
        <v>2080.6598667221319</v>
      </c>
      <c r="CI107" s="219">
        <v>1508.785692189296</v>
      </c>
      <c r="CJ107" s="219">
        <v>933.81585913307208</v>
      </c>
      <c r="CK107" s="219">
        <v>323.7764311484641</v>
      </c>
      <c r="CL107" s="219">
        <v>-258.54024816438982</v>
      </c>
      <c r="CM107" s="219">
        <v>-844.05884908758617</v>
      </c>
      <c r="CN107" s="219">
        <v>-1130.399070685854</v>
      </c>
      <c r="CO107" s="219">
        <v>-1416.030637130893</v>
      </c>
      <c r="CP107" s="219">
        <v>-1706.88274508276</v>
      </c>
      <c r="CQ107" s="219">
        <v>-1991.0542411399681</v>
      </c>
      <c r="CR107" s="219">
        <v>-2274.6784292096272</v>
      </c>
      <c r="CS107" s="219">
        <v>-2855.499764819207</v>
      </c>
      <c r="CT107" s="219">
        <v>-3431.837072750604</v>
      </c>
      <c r="CU107" s="219">
        <v>-4007.8147292090771</v>
      </c>
      <c r="CV107" s="219">
        <v>-4574.9912372336912</v>
      </c>
      <c r="CW107" s="219">
        <v>-5137.4611042113993</v>
      </c>
      <c r="CX107" s="219">
        <v>-5657.6340595571864</v>
      </c>
      <c r="CY107" s="219">
        <v>-6192.4213061538921</v>
      </c>
      <c r="CZ107" s="219">
        <v>-6728.6682576076137</v>
      </c>
      <c r="DA107" s="219">
        <v>-7266.3962600142286</v>
      </c>
      <c r="DB107" s="219">
        <v>-7805.6149102924637</v>
      </c>
    </row>
    <row r="109" spans="1:106" s="231" customFormat="1" x14ac:dyDescent="0.35">
      <c r="A109" s="232"/>
    </row>
    <row r="110" spans="1:106" s="11" customFormat="1" ht="21" x14ac:dyDescent="0.5">
      <c r="A110" s="11" t="s">
        <v>72</v>
      </c>
    </row>
    <row r="111" spans="1:106" s="219" customFormat="1" x14ac:dyDescent="0.35">
      <c r="A111" s="29" t="s">
        <v>0</v>
      </c>
      <c r="B111" s="29"/>
      <c r="C111" s="332" t="s">
        <v>49</v>
      </c>
      <c r="D111" s="332"/>
      <c r="E111" s="332"/>
      <c r="F111" s="332"/>
      <c r="G111" s="332"/>
      <c r="H111" s="332"/>
      <c r="I111" s="332"/>
      <c r="J111" s="332"/>
      <c r="K111" s="332"/>
      <c r="L111" s="332"/>
      <c r="M111" s="332"/>
      <c r="N111" s="332"/>
      <c r="O111" s="332"/>
      <c r="P111" s="332"/>
      <c r="Q111" s="332"/>
      <c r="R111" s="332"/>
      <c r="S111" s="332"/>
      <c r="T111" s="332"/>
      <c r="U111" s="332"/>
      <c r="V111" s="332"/>
      <c r="W111" s="332"/>
      <c r="X111" s="332"/>
      <c r="Y111" s="332"/>
      <c r="Z111" s="332"/>
      <c r="AA111" s="332"/>
      <c r="AB111" s="332"/>
      <c r="AC111" s="333" t="s">
        <v>50</v>
      </c>
      <c r="AD111" s="333"/>
      <c r="AE111" s="333"/>
      <c r="AF111" s="333"/>
      <c r="AG111" s="333"/>
      <c r="AH111" s="333"/>
      <c r="AI111" s="333"/>
      <c r="AJ111" s="333"/>
      <c r="AK111" s="333"/>
      <c r="AL111" s="333"/>
      <c r="AM111" s="333"/>
      <c r="AN111" s="333"/>
      <c r="AO111" s="333"/>
      <c r="AP111" s="333"/>
      <c r="AQ111" s="333"/>
      <c r="AR111" s="333"/>
      <c r="AS111" s="333"/>
      <c r="AT111" s="333"/>
      <c r="AU111" s="333"/>
      <c r="AV111" s="333"/>
      <c r="AW111" s="333"/>
      <c r="AX111" s="333"/>
      <c r="AY111" s="333"/>
      <c r="AZ111" s="333"/>
      <c r="BA111" s="333"/>
      <c r="BB111" s="333"/>
      <c r="BC111" s="334" t="s">
        <v>756</v>
      </c>
      <c r="BD111" s="335"/>
      <c r="BE111" s="335"/>
      <c r="BF111" s="335"/>
      <c r="BG111" s="335"/>
      <c r="BH111" s="335"/>
      <c r="BI111" s="335"/>
      <c r="BJ111" s="335"/>
      <c r="BK111" s="335"/>
      <c r="BL111" s="335"/>
      <c r="BM111" s="335"/>
      <c r="BN111" s="335"/>
      <c r="BO111" s="335"/>
      <c r="BP111" s="335"/>
      <c r="BQ111" s="335"/>
      <c r="BR111" s="335"/>
      <c r="BS111" s="335"/>
      <c r="BT111" s="335"/>
      <c r="BU111" s="335"/>
      <c r="BV111" s="335"/>
      <c r="BW111" s="335"/>
      <c r="BX111" s="335"/>
      <c r="BY111" s="335"/>
      <c r="BZ111" s="335"/>
      <c r="CA111" s="335"/>
      <c r="CB111" s="336"/>
      <c r="CC111" s="337" t="s">
        <v>51</v>
      </c>
      <c r="CD111" s="337"/>
      <c r="CE111" s="337"/>
      <c r="CF111" s="337"/>
      <c r="CG111" s="337"/>
      <c r="CH111" s="337"/>
      <c r="CI111" s="337"/>
      <c r="CJ111" s="337"/>
      <c r="CK111" s="337"/>
      <c r="CL111" s="337"/>
      <c r="CM111" s="337"/>
      <c r="CN111" s="337"/>
      <c r="CO111" s="337"/>
      <c r="CP111" s="337"/>
      <c r="CQ111" s="337"/>
      <c r="CR111" s="337"/>
      <c r="CS111" s="337"/>
      <c r="CT111" s="337"/>
      <c r="CU111" s="337"/>
      <c r="CV111" s="337"/>
      <c r="CW111" s="337"/>
      <c r="CX111" s="337"/>
      <c r="CY111" s="337"/>
      <c r="CZ111" s="337"/>
      <c r="DA111" s="337"/>
      <c r="DB111" s="337"/>
    </row>
    <row r="112" spans="1:106" s="219" customFormat="1" x14ac:dyDescent="0.35">
      <c r="A112" s="29" t="s">
        <v>1</v>
      </c>
      <c r="B112" s="29" t="s">
        <v>180</v>
      </c>
      <c r="C112" s="222" t="s">
        <v>2</v>
      </c>
      <c r="D112" s="222" t="s">
        <v>52</v>
      </c>
      <c r="E112" s="222" t="s">
        <v>53</v>
      </c>
      <c r="F112" s="222" t="s">
        <v>54</v>
      </c>
      <c r="G112" s="222" t="s">
        <v>55</v>
      </c>
      <c r="H112" s="222" t="s">
        <v>3</v>
      </c>
      <c r="I112" s="222" t="s">
        <v>56</v>
      </c>
      <c r="J112" s="222" t="s">
        <v>57</v>
      </c>
      <c r="K112" s="222" t="s">
        <v>58</v>
      </c>
      <c r="L112" s="222" t="s">
        <v>59</v>
      </c>
      <c r="M112" s="222" t="s">
        <v>4</v>
      </c>
      <c r="N112" s="222" t="s">
        <v>60</v>
      </c>
      <c r="O112" s="222" t="s">
        <v>61</v>
      </c>
      <c r="P112" s="222" t="s">
        <v>62</v>
      </c>
      <c r="Q112" s="222" t="s">
        <v>63</v>
      </c>
      <c r="R112" s="222" t="s">
        <v>5</v>
      </c>
      <c r="S112" s="222" t="s">
        <v>64</v>
      </c>
      <c r="T112" s="222" t="s">
        <v>65</v>
      </c>
      <c r="U112" s="222" t="s">
        <v>66</v>
      </c>
      <c r="V112" s="222" t="s">
        <v>67</v>
      </c>
      <c r="W112" s="222" t="s">
        <v>6</v>
      </c>
      <c r="X112" s="222" t="s">
        <v>68</v>
      </c>
      <c r="Y112" s="222" t="s">
        <v>69</v>
      </c>
      <c r="Z112" s="222" t="s">
        <v>70</v>
      </c>
      <c r="AA112" s="222" t="s">
        <v>71</v>
      </c>
      <c r="AB112" s="222" t="s">
        <v>7</v>
      </c>
      <c r="AC112" s="223" t="s">
        <v>2</v>
      </c>
      <c r="AD112" s="223" t="s">
        <v>52</v>
      </c>
      <c r="AE112" s="223" t="s">
        <v>53</v>
      </c>
      <c r="AF112" s="223" t="s">
        <v>54</v>
      </c>
      <c r="AG112" s="223" t="s">
        <v>55</v>
      </c>
      <c r="AH112" s="223" t="s">
        <v>3</v>
      </c>
      <c r="AI112" s="223" t="s">
        <v>56</v>
      </c>
      <c r="AJ112" s="223" t="s">
        <v>57</v>
      </c>
      <c r="AK112" s="223" t="s">
        <v>58</v>
      </c>
      <c r="AL112" s="223" t="s">
        <v>59</v>
      </c>
      <c r="AM112" s="223" t="s">
        <v>4</v>
      </c>
      <c r="AN112" s="223" t="s">
        <v>60</v>
      </c>
      <c r="AO112" s="223" t="s">
        <v>61</v>
      </c>
      <c r="AP112" s="223" t="s">
        <v>62</v>
      </c>
      <c r="AQ112" s="223" t="s">
        <v>63</v>
      </c>
      <c r="AR112" s="223" t="s">
        <v>5</v>
      </c>
      <c r="AS112" s="223" t="s">
        <v>64</v>
      </c>
      <c r="AT112" s="223" t="s">
        <v>65</v>
      </c>
      <c r="AU112" s="223" t="s">
        <v>66</v>
      </c>
      <c r="AV112" s="223" t="s">
        <v>67</v>
      </c>
      <c r="AW112" s="223" t="s">
        <v>6</v>
      </c>
      <c r="AX112" s="223" t="s">
        <v>68</v>
      </c>
      <c r="AY112" s="223" t="s">
        <v>69</v>
      </c>
      <c r="AZ112" s="223" t="s">
        <v>70</v>
      </c>
      <c r="BA112" s="223" t="s">
        <v>71</v>
      </c>
      <c r="BB112" s="223" t="s">
        <v>7</v>
      </c>
      <c r="BC112" s="225" t="s">
        <v>2</v>
      </c>
      <c r="BD112" s="225" t="s">
        <v>52</v>
      </c>
      <c r="BE112" s="225" t="s">
        <v>53</v>
      </c>
      <c r="BF112" s="225" t="s">
        <v>54</v>
      </c>
      <c r="BG112" s="225" t="s">
        <v>55</v>
      </c>
      <c r="BH112" s="225" t="s">
        <v>3</v>
      </c>
      <c r="BI112" s="225" t="s">
        <v>56</v>
      </c>
      <c r="BJ112" s="225" t="s">
        <v>57</v>
      </c>
      <c r="BK112" s="225" t="s">
        <v>58</v>
      </c>
      <c r="BL112" s="225" t="s">
        <v>59</v>
      </c>
      <c r="BM112" s="225" t="s">
        <v>4</v>
      </c>
      <c r="BN112" s="225" t="s">
        <v>60</v>
      </c>
      <c r="BO112" s="225" t="s">
        <v>61</v>
      </c>
      <c r="BP112" s="225" t="s">
        <v>62</v>
      </c>
      <c r="BQ112" s="225" t="s">
        <v>63</v>
      </c>
      <c r="BR112" s="225" t="s">
        <v>5</v>
      </c>
      <c r="BS112" s="225" t="s">
        <v>64</v>
      </c>
      <c r="BT112" s="225" t="s">
        <v>65</v>
      </c>
      <c r="BU112" s="225" t="s">
        <v>66</v>
      </c>
      <c r="BV112" s="225" t="s">
        <v>67</v>
      </c>
      <c r="BW112" s="225" t="s">
        <v>6</v>
      </c>
      <c r="BX112" s="225" t="s">
        <v>68</v>
      </c>
      <c r="BY112" s="225" t="s">
        <v>69</v>
      </c>
      <c r="BZ112" s="225" t="s">
        <v>70</v>
      </c>
      <c r="CA112" s="225" t="s">
        <v>71</v>
      </c>
      <c r="CB112" s="225" t="s">
        <v>7</v>
      </c>
      <c r="CC112" s="224" t="s">
        <v>2</v>
      </c>
      <c r="CD112" s="224" t="s">
        <v>52</v>
      </c>
      <c r="CE112" s="224" t="s">
        <v>53</v>
      </c>
      <c r="CF112" s="224" t="s">
        <v>54</v>
      </c>
      <c r="CG112" s="224" t="s">
        <v>55</v>
      </c>
      <c r="CH112" s="224" t="s">
        <v>3</v>
      </c>
      <c r="CI112" s="224" t="s">
        <v>56</v>
      </c>
      <c r="CJ112" s="224" t="s">
        <v>57</v>
      </c>
      <c r="CK112" s="224" t="s">
        <v>58</v>
      </c>
      <c r="CL112" s="224" t="s">
        <v>59</v>
      </c>
      <c r="CM112" s="224" t="s">
        <v>4</v>
      </c>
      <c r="CN112" s="224" t="s">
        <v>60</v>
      </c>
      <c r="CO112" s="224" t="s">
        <v>61</v>
      </c>
      <c r="CP112" s="224" t="s">
        <v>62</v>
      </c>
      <c r="CQ112" s="224" t="s">
        <v>63</v>
      </c>
      <c r="CR112" s="224" t="s">
        <v>5</v>
      </c>
      <c r="CS112" s="224" t="s">
        <v>64</v>
      </c>
      <c r="CT112" s="224" t="s">
        <v>65</v>
      </c>
      <c r="CU112" s="224" t="s">
        <v>66</v>
      </c>
      <c r="CV112" s="224" t="s">
        <v>67</v>
      </c>
      <c r="CW112" s="224" t="s">
        <v>6</v>
      </c>
      <c r="CX112" s="224" t="s">
        <v>68</v>
      </c>
      <c r="CY112" s="224" t="s">
        <v>69</v>
      </c>
      <c r="CZ112" s="224" t="s">
        <v>70</v>
      </c>
      <c r="DA112" s="224" t="s">
        <v>71</v>
      </c>
      <c r="DB112" s="224" t="s">
        <v>7</v>
      </c>
    </row>
    <row r="113" spans="1:106" s="219" customFormat="1" x14ac:dyDescent="0.35"/>
    <row r="114" spans="1:106" s="219" customFormat="1" x14ac:dyDescent="0.35">
      <c r="A114" s="137" t="s">
        <v>770</v>
      </c>
      <c r="B114" s="31" t="s">
        <v>769</v>
      </c>
      <c r="C114" s="219">
        <v>1.647122100074334E-7</v>
      </c>
      <c r="D114" s="219">
        <v>1.6467088923111601E-7</v>
      </c>
      <c r="E114" s="219">
        <v>1.646325625787736E-7</v>
      </c>
      <c r="F114" s="219">
        <v>1.6434379328855159E-7</v>
      </c>
      <c r="G114" s="219">
        <v>1.6431061947601429E-7</v>
      </c>
      <c r="H114" s="219">
        <v>1.642787778169169E-7</v>
      </c>
      <c r="I114" s="219">
        <v>1.6406740686165199E-7</v>
      </c>
      <c r="J114" s="219">
        <v>1.6388283759111701E-7</v>
      </c>
      <c r="K114" s="219">
        <v>1.635971790179843E-7</v>
      </c>
      <c r="L114" s="219">
        <v>1.634583836246307E-7</v>
      </c>
      <c r="M114" s="219">
        <v>1.633381323149804E-7</v>
      </c>
      <c r="N114" s="219">
        <v>1.633313036175627E-7</v>
      </c>
      <c r="O114" s="219">
        <v>1.6334342457503451E-7</v>
      </c>
      <c r="P114" s="219">
        <v>1.633536757910679E-7</v>
      </c>
      <c r="Q114" s="219">
        <v>1.6340045355469429E-7</v>
      </c>
      <c r="R114" s="219">
        <v>1.6346684360667809E-7</v>
      </c>
      <c r="S114" s="219">
        <v>1.6329911892791699E-7</v>
      </c>
      <c r="T114" s="219">
        <v>1.6313061582732589E-7</v>
      </c>
      <c r="U114" s="219">
        <v>1.629340038103209E-7</v>
      </c>
      <c r="V114" s="219">
        <v>1.6276285175017039E-7</v>
      </c>
      <c r="W114" s="219">
        <v>1.6258989826455791E-7</v>
      </c>
      <c r="X114" s="219">
        <v>1.6342149086602411E-7</v>
      </c>
      <c r="Y114" s="219">
        <v>1.6313528827267531E-7</v>
      </c>
      <c r="Z114" s="219">
        <v>1.628454129125368E-7</v>
      </c>
      <c r="AA114" s="219">
        <v>1.6255179695655861E-7</v>
      </c>
      <c r="AB114" s="219">
        <v>1.6225440427483249E-7</v>
      </c>
      <c r="AC114" s="219">
        <v>2.059090343363887E-10</v>
      </c>
      <c r="AD114" s="219">
        <v>2.0563688352336541E-10</v>
      </c>
      <c r="AE114" s="219">
        <v>2.053727486078973E-10</v>
      </c>
      <c r="AF114" s="219">
        <v>2.0434249732852409E-10</v>
      </c>
      <c r="AG114" s="219">
        <v>2.0409370477156529E-10</v>
      </c>
      <c r="AH114" s="219">
        <v>2.0384955550080449E-10</v>
      </c>
      <c r="AI114" s="219">
        <v>2.0372809317013051E-10</v>
      </c>
      <c r="AJ114" s="219">
        <v>2.0362861988883171E-10</v>
      </c>
      <c r="AK114" s="219">
        <v>2.0313824213018449E-10</v>
      </c>
      <c r="AL114" s="219">
        <v>2.03076066183113E-10</v>
      </c>
      <c r="AM114" s="219">
        <v>2.0302847670194761E-10</v>
      </c>
      <c r="AN114" s="219">
        <v>2.031673278626878E-10</v>
      </c>
      <c r="AO114" s="219">
        <v>2.033206340190152E-10</v>
      </c>
      <c r="AP114" s="219">
        <v>2.0337885172564111E-10</v>
      </c>
      <c r="AQ114" s="219">
        <v>2.035612531345878E-10</v>
      </c>
      <c r="AR114" s="219">
        <v>2.0376698566176421E-10</v>
      </c>
      <c r="AS114" s="219">
        <v>2.034133972567301E-10</v>
      </c>
      <c r="AT114" s="219">
        <v>2.0305456849278239E-10</v>
      </c>
      <c r="AU114" s="219">
        <v>2.0257730880982741E-10</v>
      </c>
      <c r="AV114" s="219">
        <v>2.0220857144116259E-10</v>
      </c>
      <c r="AW114" s="219">
        <v>2.0183512513810651E-10</v>
      </c>
      <c r="AX114" s="219">
        <v>2.0228186037540929E-10</v>
      </c>
      <c r="AY114" s="219">
        <v>2.0162622870364279E-10</v>
      </c>
      <c r="AZ114" s="219">
        <v>2.0096565252669999E-10</v>
      </c>
      <c r="BA114" s="219">
        <v>2.0030003050596671E-10</v>
      </c>
      <c r="BB114" s="219">
        <v>1.9962930850407089E-10</v>
      </c>
      <c r="BC114" s="219">
        <v>2.303137913528252E-3</v>
      </c>
      <c r="BD114" s="219">
        <v>2.2974914605263801E-3</v>
      </c>
      <c r="BE114" s="219">
        <v>2.2919623578812418E-3</v>
      </c>
      <c r="BF114" s="219">
        <v>2.2641263036908732E-3</v>
      </c>
      <c r="BG114" s="219">
        <v>2.2588722012840592E-3</v>
      </c>
      <c r="BH114" s="219">
        <v>2.253696463853914E-3</v>
      </c>
      <c r="BI114" s="219">
        <v>2.248130302899764E-3</v>
      </c>
      <c r="BJ114" s="219">
        <v>2.242747573210501E-3</v>
      </c>
      <c r="BK114" s="219">
        <v>2.2219774951671308E-3</v>
      </c>
      <c r="BL114" s="219">
        <v>2.2170165215211401E-3</v>
      </c>
      <c r="BM114" s="219">
        <v>2.2121921342679188E-3</v>
      </c>
      <c r="BN114" s="219">
        <v>2.2087819979991902E-3</v>
      </c>
      <c r="BO114" s="219">
        <v>2.2055241270794198E-3</v>
      </c>
      <c r="BP114" s="219">
        <v>2.1979635646048588E-3</v>
      </c>
      <c r="BQ114" s="219">
        <v>2.195007772539761E-3</v>
      </c>
      <c r="BR114" s="219">
        <v>2.1922515012116959E-3</v>
      </c>
      <c r="BS114" s="219">
        <v>2.1896663115871049E-3</v>
      </c>
      <c r="BT114" s="219">
        <v>2.1870978653121668E-3</v>
      </c>
      <c r="BU114" s="219">
        <v>2.1802515598114839E-3</v>
      </c>
      <c r="BV114" s="219">
        <v>2.1777573180116441E-3</v>
      </c>
      <c r="BW114" s="219">
        <v>2.1752744836062141E-3</v>
      </c>
      <c r="BX114" s="219">
        <v>2.1740068840563338E-3</v>
      </c>
      <c r="BY114" s="219">
        <v>2.1727805800599341E-3</v>
      </c>
      <c r="BZ114" s="219">
        <v>2.1715923573406371E-3</v>
      </c>
      <c r="CA114" s="219">
        <v>2.1704408494036009E-3</v>
      </c>
      <c r="CB114" s="219">
        <v>2.1693262136977401E-3</v>
      </c>
      <c r="CC114" s="219">
        <v>2.3923752660117231E-2</v>
      </c>
      <c r="CD114" s="219">
        <v>2.3843160608320289E-2</v>
      </c>
      <c r="CE114" s="219">
        <v>2.3765390582029599E-2</v>
      </c>
      <c r="CF114" s="219">
        <v>2.3523852368552228E-2</v>
      </c>
      <c r="CG114" s="219">
        <v>2.3451744000519869E-2</v>
      </c>
      <c r="CH114" s="219">
        <v>2.3381233157296819E-2</v>
      </c>
      <c r="CI114" s="219">
        <v>2.3317367397737071E-2</v>
      </c>
      <c r="CJ114" s="219">
        <v>2.3260435287281091E-2</v>
      </c>
      <c r="CK114" s="219">
        <v>2.3107572273219881E-2</v>
      </c>
      <c r="CL114" s="219">
        <v>2.3063347622753728E-2</v>
      </c>
      <c r="CM114" s="219">
        <v>2.3023912302350472E-2</v>
      </c>
      <c r="CN114" s="219">
        <v>2.3018030695412719E-2</v>
      </c>
      <c r="CO114" s="219">
        <v>2.3017528788138591E-2</v>
      </c>
      <c r="CP114" s="219">
        <v>2.300138195069491E-2</v>
      </c>
      <c r="CQ114" s="219">
        <v>2.301082144480136E-2</v>
      </c>
      <c r="CR114" s="219">
        <v>2.3027486235095641E-2</v>
      </c>
      <c r="CS114" s="219">
        <v>2.2921239313658311E-2</v>
      </c>
      <c r="CT114" s="219">
        <v>2.2815384252855401E-2</v>
      </c>
      <c r="CU114" s="219">
        <v>2.2688749768929081E-2</v>
      </c>
      <c r="CV114" s="219">
        <v>2.2583181745223078E-2</v>
      </c>
      <c r="CW114" s="219">
        <v>2.2477478358662199E-2</v>
      </c>
      <c r="CX114" s="219">
        <v>2.2357538594017089E-2</v>
      </c>
      <c r="CY114" s="219">
        <v>2.2202405072055838E-2</v>
      </c>
      <c r="CZ114" s="219">
        <v>2.204719421011337E-2</v>
      </c>
      <c r="DA114" s="219">
        <v>2.1891854264404379E-2</v>
      </c>
      <c r="DB114" s="219">
        <v>2.1736363241003809E-2</v>
      </c>
    </row>
    <row r="115" spans="1:106" s="219" customFormat="1" x14ac:dyDescent="0.35">
      <c r="A115" s="137" t="s">
        <v>771</v>
      </c>
      <c r="B115" s="31" t="s">
        <v>769</v>
      </c>
      <c r="C115" s="219">
        <v>4.5241643908654487E-7</v>
      </c>
      <c r="D115" s="219">
        <v>4.5123663946094511E-7</v>
      </c>
      <c r="E115" s="219">
        <v>4.4991324767713938E-7</v>
      </c>
      <c r="F115" s="219">
        <v>4.4827426121987851E-7</v>
      </c>
      <c r="G115" s="219">
        <v>4.4689522232901808E-7</v>
      </c>
      <c r="H115" s="219">
        <v>4.4551097374122562E-7</v>
      </c>
      <c r="I115" s="219">
        <v>4.7771158208529503E-7</v>
      </c>
      <c r="J115" s="219">
        <v>5.0984689005050479E-7</v>
      </c>
      <c r="K115" s="219">
        <v>5.4176448772426195E-7</v>
      </c>
      <c r="L115" s="219">
        <v>5.7379506372867439E-7</v>
      </c>
      <c r="M115" s="219">
        <v>6.0574324401814825E-7</v>
      </c>
      <c r="N115" s="219">
        <v>6.6740169520498225E-7</v>
      </c>
      <c r="O115" s="219">
        <v>7.2913772399795334E-7</v>
      </c>
      <c r="P115" s="219">
        <v>7.9093124577151855E-7</v>
      </c>
      <c r="Q115" s="219">
        <v>8.528303706876266E-7</v>
      </c>
      <c r="R115" s="219">
        <v>9.1481145516520537E-7</v>
      </c>
      <c r="S115" s="219">
        <v>9.1985683454933251E-7</v>
      </c>
      <c r="T115" s="219">
        <v>9.2486028050389984E-7</v>
      </c>
      <c r="U115" s="219">
        <v>9.2980428602153344E-7</v>
      </c>
      <c r="V115" s="219">
        <v>9.3474825697665011E-7</v>
      </c>
      <c r="W115" s="219">
        <v>9.3966397935702139E-7</v>
      </c>
      <c r="X115" s="219">
        <v>9.2469463913088782E-7</v>
      </c>
      <c r="Y115" s="219">
        <v>8.9753395890398048E-7</v>
      </c>
      <c r="Z115" s="219">
        <v>8.7028266210580495E-7</v>
      </c>
      <c r="AA115" s="219">
        <v>8.4293984392123485E-7</v>
      </c>
      <c r="AB115" s="219">
        <v>8.1550492696643743E-7</v>
      </c>
      <c r="AC115" s="219">
        <v>1.028449371372865E-9</v>
      </c>
      <c r="AD115" s="219">
        <v>1.024398078422676E-9</v>
      </c>
      <c r="AE115" s="219">
        <v>1.020335998779514E-9</v>
      </c>
      <c r="AF115" s="219">
        <v>1.0154286841407301E-9</v>
      </c>
      <c r="AG115" s="219">
        <v>1.0113340919179759E-9</v>
      </c>
      <c r="AH115" s="219">
        <v>1.007225291702706E-9</v>
      </c>
      <c r="AI115" s="219">
        <v>1.0805584667084081E-9</v>
      </c>
      <c r="AJ115" s="219">
        <v>1.153788714722619E-9</v>
      </c>
      <c r="AK115" s="219">
        <v>1.226423925357062E-9</v>
      </c>
      <c r="AL115" s="219">
        <v>1.299532219278619E-9</v>
      </c>
      <c r="AM115" s="219">
        <v>1.372501461550723E-9</v>
      </c>
      <c r="AN115" s="219">
        <v>1.510097226812369E-9</v>
      </c>
      <c r="AO115" s="219">
        <v>1.6480513905259149E-9</v>
      </c>
      <c r="AP115" s="219">
        <v>1.7862739379907039E-9</v>
      </c>
      <c r="AQ115" s="219">
        <v>1.9250078613799521E-9</v>
      </c>
      <c r="AR115" s="219">
        <v>2.0641662346656691E-9</v>
      </c>
      <c r="AS115" s="219">
        <v>2.0791251492530362E-9</v>
      </c>
      <c r="AT115" s="219">
        <v>2.094251050851502E-9</v>
      </c>
      <c r="AU115" s="219">
        <v>2.1094187662926398E-9</v>
      </c>
      <c r="AV115" s="219">
        <v>2.1248292496476328E-9</v>
      </c>
      <c r="AW115" s="219">
        <v>2.140359188594818E-9</v>
      </c>
      <c r="AX115" s="219">
        <v>2.1119778912804068E-9</v>
      </c>
      <c r="AY115" s="219">
        <v>2.051531577163368E-9</v>
      </c>
      <c r="AZ115" s="219">
        <v>1.9908742007455812E-9</v>
      </c>
      <c r="BA115" s="219">
        <v>1.930003984393218E-9</v>
      </c>
      <c r="BB115" s="219">
        <v>1.8689197583154681E-9</v>
      </c>
      <c r="BC115" s="219">
        <v>1.5237114092793271E-2</v>
      </c>
      <c r="BD115" s="219">
        <v>1.530812067801951E-2</v>
      </c>
      <c r="BE115" s="219">
        <v>1.537971337324601E-2</v>
      </c>
      <c r="BF115" s="219">
        <v>1.542503204285787E-2</v>
      </c>
      <c r="BG115" s="219">
        <v>1.5498180306802081E-2</v>
      </c>
      <c r="BH115" s="219">
        <v>1.557189598381962E-2</v>
      </c>
      <c r="BI115" s="219">
        <v>1.5847513454500209E-2</v>
      </c>
      <c r="BJ115" s="219">
        <v>1.6122767497130069E-2</v>
      </c>
      <c r="BK115" s="219">
        <v>1.6377697435029169E-2</v>
      </c>
      <c r="BL115" s="219">
        <v>1.6653202263865019E-2</v>
      </c>
      <c r="BM115" s="219">
        <v>1.692850283725374E-2</v>
      </c>
      <c r="BN115" s="219">
        <v>1.6961493078071651E-2</v>
      </c>
      <c r="BO115" s="219">
        <v>1.6993688800888401E-2</v>
      </c>
      <c r="BP115" s="219">
        <v>1.7020521579890091E-2</v>
      </c>
      <c r="BQ115" s="219">
        <v>1.705106600740398E-2</v>
      </c>
      <c r="BR115" s="219">
        <v>1.7080694998589718E-2</v>
      </c>
      <c r="BS115" s="219">
        <v>1.7709353827021861E-2</v>
      </c>
      <c r="BT115" s="219">
        <v>1.8338306605913839E-2</v>
      </c>
      <c r="BU115" s="219">
        <v>1.8963683661737559E-2</v>
      </c>
      <c r="BV115" s="219">
        <v>1.9593629502809209E-2</v>
      </c>
      <c r="BW115" s="219">
        <v>2.022412651246314E-2</v>
      </c>
      <c r="BX115" s="219">
        <v>2.0354551319671069E-2</v>
      </c>
      <c r="BY115" s="219">
        <v>2.0486185307875111E-2</v>
      </c>
      <c r="BZ115" s="219">
        <v>2.0618689910251529E-2</v>
      </c>
      <c r="CA115" s="219">
        <v>2.075206113493689E-2</v>
      </c>
      <c r="CB115" s="219">
        <v>2.0886303670662541E-2</v>
      </c>
      <c r="CC115" s="219">
        <v>0.2398786134419916</v>
      </c>
      <c r="CD115" s="219">
        <v>0.23969183241798159</v>
      </c>
      <c r="CE115" s="219">
        <v>0.23950645454681399</v>
      </c>
      <c r="CF115" s="219">
        <v>0.23912807018327889</v>
      </c>
      <c r="CG115" s="219">
        <v>0.23894652551716769</v>
      </c>
      <c r="CH115" s="219">
        <v>0.23876527764579339</v>
      </c>
      <c r="CI115" s="219">
        <v>0.25644786207163062</v>
      </c>
      <c r="CJ115" s="219">
        <v>0.27409272925695483</v>
      </c>
      <c r="CK115" s="219">
        <v>0.29157350250694919</v>
      </c>
      <c r="CL115" s="219">
        <v>0.30916227088899018</v>
      </c>
      <c r="CM115" s="219">
        <v>0.32669550756923149</v>
      </c>
      <c r="CN115" s="219">
        <v>0.35762617332527258</v>
      </c>
      <c r="CO115" s="219">
        <v>0.38856593885727098</v>
      </c>
      <c r="CP115" s="219">
        <v>0.41949144141059408</v>
      </c>
      <c r="CQ115" s="219">
        <v>0.4504472584083607</v>
      </c>
      <c r="CR115" s="219">
        <v>0.48141151435416563</v>
      </c>
      <c r="CS115" s="219">
        <v>0.48689537979247788</v>
      </c>
      <c r="CT115" s="219">
        <v>0.49237644905739048</v>
      </c>
      <c r="CU115" s="219">
        <v>0.49783479749879528</v>
      </c>
      <c r="CV115" s="219">
        <v>0.5033127384622732</v>
      </c>
      <c r="CW115" s="219">
        <v>0.50878956492738681</v>
      </c>
      <c r="CX115" s="219">
        <v>0.5054047484532469</v>
      </c>
      <c r="CY115" s="219">
        <v>0.49297917323054979</v>
      </c>
      <c r="CZ115" s="219">
        <v>0.48051336827276708</v>
      </c>
      <c r="DA115" s="219">
        <v>0.46800693245139402</v>
      </c>
      <c r="DB115" s="219">
        <v>0.45545960761235271</v>
      </c>
    </row>
    <row r="116" spans="1:106" s="219" customFormat="1" x14ac:dyDescent="0.35"/>
    <row r="117" spans="1:106" s="11" customFormat="1" ht="21" x14ac:dyDescent="0.5">
      <c r="A117" s="11" t="s">
        <v>73</v>
      </c>
    </row>
    <row r="118" spans="1:106" s="219" customFormat="1" x14ac:dyDescent="0.35">
      <c r="A118" s="29" t="s">
        <v>0</v>
      </c>
      <c r="B118" s="29"/>
      <c r="C118" s="332" t="s">
        <v>49</v>
      </c>
      <c r="D118" s="332"/>
      <c r="E118" s="332"/>
      <c r="F118" s="332"/>
      <c r="G118" s="332"/>
      <c r="H118" s="332"/>
      <c r="I118" s="332"/>
      <c r="J118" s="332"/>
      <c r="K118" s="332"/>
      <c r="L118" s="332"/>
      <c r="M118" s="332"/>
      <c r="N118" s="332"/>
      <c r="O118" s="332"/>
      <c r="P118" s="332"/>
      <c r="Q118" s="332"/>
      <c r="R118" s="332"/>
      <c r="S118" s="332"/>
      <c r="T118" s="332"/>
      <c r="U118" s="332"/>
      <c r="V118" s="332"/>
      <c r="W118" s="332"/>
      <c r="X118" s="332"/>
      <c r="Y118" s="332"/>
      <c r="Z118" s="332"/>
      <c r="AA118" s="332"/>
      <c r="AB118" s="332"/>
      <c r="AC118" s="333" t="s">
        <v>50</v>
      </c>
      <c r="AD118" s="333"/>
      <c r="AE118" s="333"/>
      <c r="AF118" s="333"/>
      <c r="AG118" s="333"/>
      <c r="AH118" s="333"/>
      <c r="AI118" s="333"/>
      <c r="AJ118" s="333"/>
      <c r="AK118" s="333"/>
      <c r="AL118" s="333"/>
      <c r="AM118" s="333"/>
      <c r="AN118" s="333"/>
      <c r="AO118" s="333"/>
      <c r="AP118" s="333"/>
      <c r="AQ118" s="333"/>
      <c r="AR118" s="333"/>
      <c r="AS118" s="333"/>
      <c r="AT118" s="333"/>
      <c r="AU118" s="333"/>
      <c r="AV118" s="333"/>
      <c r="AW118" s="333"/>
      <c r="AX118" s="333"/>
      <c r="AY118" s="333"/>
      <c r="AZ118" s="333"/>
      <c r="BA118" s="333"/>
      <c r="BB118" s="333"/>
      <c r="BC118" s="334" t="s">
        <v>756</v>
      </c>
      <c r="BD118" s="335"/>
      <c r="BE118" s="335"/>
      <c r="BF118" s="335"/>
      <c r="BG118" s="335"/>
      <c r="BH118" s="335"/>
      <c r="BI118" s="335"/>
      <c r="BJ118" s="335"/>
      <c r="BK118" s="335"/>
      <c r="BL118" s="335"/>
      <c r="BM118" s="335"/>
      <c r="BN118" s="335"/>
      <c r="BO118" s="335"/>
      <c r="BP118" s="335"/>
      <c r="BQ118" s="335"/>
      <c r="BR118" s="335"/>
      <c r="BS118" s="335"/>
      <c r="BT118" s="335"/>
      <c r="BU118" s="335"/>
      <c r="BV118" s="335"/>
      <c r="BW118" s="335"/>
      <c r="BX118" s="335"/>
      <c r="BY118" s="335"/>
      <c r="BZ118" s="335"/>
      <c r="CA118" s="335"/>
      <c r="CB118" s="336"/>
      <c r="CC118" s="337" t="s">
        <v>51</v>
      </c>
      <c r="CD118" s="337"/>
      <c r="CE118" s="337"/>
      <c r="CF118" s="337"/>
      <c r="CG118" s="337"/>
      <c r="CH118" s="337"/>
      <c r="CI118" s="337"/>
      <c r="CJ118" s="337"/>
      <c r="CK118" s="337"/>
      <c r="CL118" s="337"/>
      <c r="CM118" s="337"/>
      <c r="CN118" s="337"/>
      <c r="CO118" s="337"/>
      <c r="CP118" s="337"/>
      <c r="CQ118" s="337"/>
      <c r="CR118" s="337"/>
      <c r="CS118" s="337"/>
      <c r="CT118" s="337"/>
      <c r="CU118" s="337"/>
      <c r="CV118" s="337"/>
      <c r="CW118" s="337"/>
      <c r="CX118" s="337"/>
      <c r="CY118" s="337"/>
      <c r="CZ118" s="337"/>
      <c r="DA118" s="337"/>
      <c r="DB118" s="337"/>
    </row>
    <row r="119" spans="1:106" s="219" customFormat="1" x14ac:dyDescent="0.35">
      <c r="A119" s="29" t="s">
        <v>1</v>
      </c>
      <c r="B119" s="29" t="s">
        <v>180</v>
      </c>
      <c r="C119" s="222" t="s">
        <v>8</v>
      </c>
      <c r="D119" s="222" t="s">
        <v>74</v>
      </c>
      <c r="E119" s="222" t="s">
        <v>75</v>
      </c>
      <c r="F119" s="222" t="s">
        <v>76</v>
      </c>
      <c r="G119" s="222" t="s">
        <v>77</v>
      </c>
      <c r="H119" s="222" t="s">
        <v>9</v>
      </c>
      <c r="I119" s="222" t="s">
        <v>78</v>
      </c>
      <c r="J119" s="222" t="s">
        <v>79</v>
      </c>
      <c r="K119" s="222" t="s">
        <v>80</v>
      </c>
      <c r="L119" s="222" t="s">
        <v>81</v>
      </c>
      <c r="M119" s="222" t="s">
        <v>10</v>
      </c>
      <c r="N119" s="222" t="s">
        <v>82</v>
      </c>
      <c r="O119" s="222" t="s">
        <v>83</v>
      </c>
      <c r="P119" s="222" t="s">
        <v>84</v>
      </c>
      <c r="Q119" s="222" t="s">
        <v>85</v>
      </c>
      <c r="R119" s="222" t="s">
        <v>11</v>
      </c>
      <c r="S119" s="222" t="s">
        <v>86</v>
      </c>
      <c r="T119" s="222" t="s">
        <v>87</v>
      </c>
      <c r="U119" s="222" t="s">
        <v>88</v>
      </c>
      <c r="V119" s="222" t="s">
        <v>89</v>
      </c>
      <c r="W119" s="222" t="s">
        <v>12</v>
      </c>
      <c r="X119" s="222" t="s">
        <v>90</v>
      </c>
      <c r="Y119" s="222" t="s">
        <v>91</v>
      </c>
      <c r="Z119" s="222" t="s">
        <v>92</v>
      </c>
      <c r="AA119" s="222" t="s">
        <v>93</v>
      </c>
      <c r="AB119" s="222" t="s">
        <v>13</v>
      </c>
      <c r="AC119" s="223" t="s">
        <v>8</v>
      </c>
      <c r="AD119" s="223" t="s">
        <v>74</v>
      </c>
      <c r="AE119" s="223" t="s">
        <v>75</v>
      </c>
      <c r="AF119" s="223" t="s">
        <v>76</v>
      </c>
      <c r="AG119" s="223" t="s">
        <v>77</v>
      </c>
      <c r="AH119" s="223" t="s">
        <v>9</v>
      </c>
      <c r="AI119" s="223" t="s">
        <v>78</v>
      </c>
      <c r="AJ119" s="223" t="s">
        <v>79</v>
      </c>
      <c r="AK119" s="223" t="s">
        <v>80</v>
      </c>
      <c r="AL119" s="223" t="s">
        <v>81</v>
      </c>
      <c r="AM119" s="223" t="s">
        <v>10</v>
      </c>
      <c r="AN119" s="223" t="s">
        <v>82</v>
      </c>
      <c r="AO119" s="223" t="s">
        <v>83</v>
      </c>
      <c r="AP119" s="223" t="s">
        <v>84</v>
      </c>
      <c r="AQ119" s="223" t="s">
        <v>85</v>
      </c>
      <c r="AR119" s="223" t="s">
        <v>11</v>
      </c>
      <c r="AS119" s="223" t="s">
        <v>86</v>
      </c>
      <c r="AT119" s="223" t="s">
        <v>87</v>
      </c>
      <c r="AU119" s="223" t="s">
        <v>88</v>
      </c>
      <c r="AV119" s="223" t="s">
        <v>89</v>
      </c>
      <c r="AW119" s="223" t="s">
        <v>12</v>
      </c>
      <c r="AX119" s="223" t="s">
        <v>90</v>
      </c>
      <c r="AY119" s="223" t="s">
        <v>91</v>
      </c>
      <c r="AZ119" s="223" t="s">
        <v>92</v>
      </c>
      <c r="BA119" s="223" t="s">
        <v>93</v>
      </c>
      <c r="BB119" s="223" t="s">
        <v>13</v>
      </c>
      <c r="BC119" s="225" t="s">
        <v>8</v>
      </c>
      <c r="BD119" s="225" t="s">
        <v>74</v>
      </c>
      <c r="BE119" s="225" t="s">
        <v>75</v>
      </c>
      <c r="BF119" s="225" t="s">
        <v>76</v>
      </c>
      <c r="BG119" s="225" t="s">
        <v>77</v>
      </c>
      <c r="BH119" s="225" t="s">
        <v>9</v>
      </c>
      <c r="BI119" s="225" t="s">
        <v>78</v>
      </c>
      <c r="BJ119" s="225" t="s">
        <v>79</v>
      </c>
      <c r="BK119" s="225" t="s">
        <v>80</v>
      </c>
      <c r="BL119" s="225" t="s">
        <v>81</v>
      </c>
      <c r="BM119" s="225" t="s">
        <v>10</v>
      </c>
      <c r="BN119" s="225" t="s">
        <v>82</v>
      </c>
      <c r="BO119" s="225" t="s">
        <v>83</v>
      </c>
      <c r="BP119" s="225" t="s">
        <v>84</v>
      </c>
      <c r="BQ119" s="225" t="s">
        <v>85</v>
      </c>
      <c r="BR119" s="225" t="s">
        <v>11</v>
      </c>
      <c r="BS119" s="225" t="s">
        <v>86</v>
      </c>
      <c r="BT119" s="225" t="s">
        <v>87</v>
      </c>
      <c r="BU119" s="225" t="s">
        <v>88</v>
      </c>
      <c r="BV119" s="225" t="s">
        <v>89</v>
      </c>
      <c r="BW119" s="225" t="s">
        <v>12</v>
      </c>
      <c r="BX119" s="225" t="s">
        <v>90</v>
      </c>
      <c r="BY119" s="225" t="s">
        <v>91</v>
      </c>
      <c r="BZ119" s="225" t="s">
        <v>92</v>
      </c>
      <c r="CA119" s="225" t="s">
        <v>93</v>
      </c>
      <c r="CB119" s="225" t="s">
        <v>13</v>
      </c>
      <c r="CC119" s="224" t="s">
        <v>8</v>
      </c>
      <c r="CD119" s="224" t="s">
        <v>74</v>
      </c>
      <c r="CE119" s="224" t="s">
        <v>75</v>
      </c>
      <c r="CF119" s="224" t="s">
        <v>76</v>
      </c>
      <c r="CG119" s="224" t="s">
        <v>77</v>
      </c>
      <c r="CH119" s="224" t="s">
        <v>9</v>
      </c>
      <c r="CI119" s="224" t="s">
        <v>78</v>
      </c>
      <c r="CJ119" s="224" t="s">
        <v>79</v>
      </c>
      <c r="CK119" s="224" t="s">
        <v>80</v>
      </c>
      <c r="CL119" s="224" t="s">
        <v>81</v>
      </c>
      <c r="CM119" s="224" t="s">
        <v>10</v>
      </c>
      <c r="CN119" s="224" t="s">
        <v>82</v>
      </c>
      <c r="CO119" s="224" t="s">
        <v>83</v>
      </c>
      <c r="CP119" s="224" t="s">
        <v>84</v>
      </c>
      <c r="CQ119" s="224" t="s">
        <v>85</v>
      </c>
      <c r="CR119" s="224" t="s">
        <v>11</v>
      </c>
      <c r="CS119" s="224" t="s">
        <v>86</v>
      </c>
      <c r="CT119" s="224" t="s">
        <v>87</v>
      </c>
      <c r="CU119" s="224" t="s">
        <v>88</v>
      </c>
      <c r="CV119" s="224" t="s">
        <v>89</v>
      </c>
      <c r="CW119" s="224" t="s">
        <v>12</v>
      </c>
      <c r="CX119" s="224" t="s">
        <v>90</v>
      </c>
      <c r="CY119" s="224" t="s">
        <v>91</v>
      </c>
      <c r="CZ119" s="224" t="s">
        <v>92</v>
      </c>
      <c r="DA119" s="224" t="s">
        <v>93</v>
      </c>
      <c r="DB119" s="224" t="s">
        <v>13</v>
      </c>
    </row>
    <row r="120" spans="1:106" s="219" customFormat="1" x14ac:dyDescent="0.35"/>
    <row r="121" spans="1:106" s="219" customFormat="1" x14ac:dyDescent="0.35">
      <c r="A121" s="137" t="s">
        <v>770</v>
      </c>
      <c r="B121" s="31" t="s">
        <v>769</v>
      </c>
      <c r="C121" s="219">
        <v>1.595216186814045E-7</v>
      </c>
      <c r="D121" s="219">
        <v>1.5886866980576861E-7</v>
      </c>
      <c r="E121" s="219">
        <v>1.5819524121447509E-7</v>
      </c>
      <c r="F121" s="219">
        <v>1.5725717194438639E-7</v>
      </c>
      <c r="G121" s="219">
        <v>1.56544261368692E-7</v>
      </c>
      <c r="H121" s="219">
        <v>1.5580916794871011E-7</v>
      </c>
      <c r="I121" s="219">
        <v>1.548872564438238E-7</v>
      </c>
      <c r="J121" s="219">
        <v>1.5404764225643719E-7</v>
      </c>
      <c r="K121" s="219">
        <v>1.5312749248400429E-7</v>
      </c>
      <c r="L121" s="219">
        <v>1.5234083626002049E-7</v>
      </c>
      <c r="M121" s="219">
        <v>1.5155717601953011E-7</v>
      </c>
      <c r="N121" s="219">
        <v>1.5092319550032931E-7</v>
      </c>
      <c r="O121" s="219">
        <v>1.5031289562638361E-7</v>
      </c>
      <c r="P121" s="219">
        <v>1.4968929322136969E-7</v>
      </c>
      <c r="Q121" s="219">
        <v>1.491148215267411E-7</v>
      </c>
      <c r="R121" s="219">
        <v>1.485538752654261E-7</v>
      </c>
      <c r="S121" s="219">
        <v>1.482435901109712E-7</v>
      </c>
      <c r="T121" s="219">
        <v>1.4794256962127449E-7</v>
      </c>
      <c r="U121" s="219">
        <v>1.4761725492068171E-7</v>
      </c>
      <c r="V121" s="219">
        <v>1.4733478166358601E-7</v>
      </c>
      <c r="W121" s="219">
        <v>1.4706656287651761E-7</v>
      </c>
      <c r="X121" s="219">
        <v>1.479002012306763E-7</v>
      </c>
      <c r="Y121" s="219">
        <v>1.478866414583583E-7</v>
      </c>
      <c r="Z121" s="219">
        <v>1.478732617646225E-7</v>
      </c>
      <c r="AA121" s="219">
        <v>1.4786015476864601E-7</v>
      </c>
      <c r="AB121" s="219">
        <v>1.4784748114270399E-7</v>
      </c>
      <c r="AC121" s="219">
        <v>1.976807092181938E-10</v>
      </c>
      <c r="AD121" s="219">
        <v>1.959694951205975E-10</v>
      </c>
      <c r="AE121" s="219">
        <v>1.9422282507415961E-10</v>
      </c>
      <c r="AF121" s="219">
        <v>1.9167233636090601E-10</v>
      </c>
      <c r="AG121" s="219">
        <v>1.8986112986422841E-10</v>
      </c>
      <c r="AH121" s="219">
        <v>1.8801641825933051E-10</v>
      </c>
      <c r="AI121" s="219">
        <v>1.863983050133572E-10</v>
      </c>
      <c r="AJ121" s="219">
        <v>1.8489484046001739E-10</v>
      </c>
      <c r="AK121" s="219">
        <v>1.8300914165676601E-10</v>
      </c>
      <c r="AL121" s="219">
        <v>1.815362725710075E-10</v>
      </c>
      <c r="AM121" s="219">
        <v>1.800440821271891E-10</v>
      </c>
      <c r="AN121" s="219">
        <v>1.7878880793580791E-10</v>
      </c>
      <c r="AO121" s="219">
        <v>1.7754614859468061E-10</v>
      </c>
      <c r="AP121" s="219">
        <v>1.7616473411215889E-10</v>
      </c>
      <c r="AQ121" s="219">
        <v>1.7494805509920379E-10</v>
      </c>
      <c r="AR121" s="219">
        <v>1.7374913558262391E-10</v>
      </c>
      <c r="AS121" s="219">
        <v>1.729751249781919E-10</v>
      </c>
      <c r="AT121" s="219">
        <v>1.722231205337747E-10</v>
      </c>
      <c r="AU121" s="219">
        <v>1.7135538332124701E-10</v>
      </c>
      <c r="AV121" s="219">
        <v>1.7066396918152811E-10</v>
      </c>
      <c r="AW121" s="219">
        <v>1.7003368440581849E-10</v>
      </c>
      <c r="AX121" s="219">
        <v>1.7084865673089129E-10</v>
      </c>
      <c r="AY121" s="219">
        <v>1.7067918470433371E-10</v>
      </c>
      <c r="AZ121" s="219">
        <v>1.705116780380787E-10</v>
      </c>
      <c r="BA121" s="219">
        <v>1.7034633147489839E-10</v>
      </c>
      <c r="BB121" s="219">
        <v>1.7018350819141671E-10</v>
      </c>
      <c r="BC121" s="219">
        <v>2.2992317186806689E-3</v>
      </c>
      <c r="BD121" s="219">
        <v>2.29436619372258E-3</v>
      </c>
      <c r="BE121" s="219">
        <v>2.2892706442202621E-3</v>
      </c>
      <c r="BF121" s="219">
        <v>2.261809961410963E-3</v>
      </c>
      <c r="BG121" s="219">
        <v>2.2563407736549699E-3</v>
      </c>
      <c r="BH121" s="219">
        <v>2.2505630597396951E-3</v>
      </c>
      <c r="BI121" s="219">
        <v>2.2464993213235211E-3</v>
      </c>
      <c r="BJ121" s="219">
        <v>2.243284012913863E-3</v>
      </c>
      <c r="BK121" s="219">
        <v>2.2253343130488532E-3</v>
      </c>
      <c r="BL121" s="219">
        <v>2.2226264977713928E-3</v>
      </c>
      <c r="BM121" s="219">
        <v>2.2198133291385308E-3</v>
      </c>
      <c r="BN121" s="219">
        <v>2.2109846470059068E-3</v>
      </c>
      <c r="BO121" s="219">
        <v>2.2022387729034722E-3</v>
      </c>
      <c r="BP121" s="219">
        <v>2.1893683467424799E-3</v>
      </c>
      <c r="BQ121" s="219">
        <v>2.1808257353152362E-3</v>
      </c>
      <c r="BR121" s="219">
        <v>2.1723174574860161E-3</v>
      </c>
      <c r="BS121" s="219">
        <v>2.1644759776415562E-3</v>
      </c>
      <c r="BT121" s="219">
        <v>2.1567363172501782E-3</v>
      </c>
      <c r="BU121" s="219">
        <v>2.1451166144461089E-3</v>
      </c>
      <c r="BV121" s="219">
        <v>2.1376641860295781E-3</v>
      </c>
      <c r="BW121" s="219">
        <v>2.13021305113243E-3</v>
      </c>
      <c r="BX121" s="219">
        <v>2.1284135714090269E-3</v>
      </c>
      <c r="BY121" s="219">
        <v>2.126640789446355E-3</v>
      </c>
      <c r="BZ121" s="219">
        <v>2.1248888779536981E-3</v>
      </c>
      <c r="CA121" s="219">
        <v>2.1231559338947162E-3</v>
      </c>
      <c r="CB121" s="219">
        <v>2.1214413759672872E-3</v>
      </c>
      <c r="CC121" s="219">
        <v>2.1491374007103149E-2</v>
      </c>
      <c r="CD121" s="219">
        <v>2.1011044506614909E-2</v>
      </c>
      <c r="CE121" s="219">
        <v>2.0526642344793029E-2</v>
      </c>
      <c r="CF121" s="219">
        <v>1.9876809810281341E-2</v>
      </c>
      <c r="CG121" s="219">
        <v>1.9386057249017919E-2</v>
      </c>
      <c r="CH121" s="219">
        <v>1.8891277123455671E-2</v>
      </c>
      <c r="CI121" s="219">
        <v>1.84346394014917E-2</v>
      </c>
      <c r="CJ121" s="219">
        <v>1.8014242559277031E-2</v>
      </c>
      <c r="CK121" s="219">
        <v>1.7511739362154079E-2</v>
      </c>
      <c r="CL121" s="219">
        <v>1.7109724837856669E-2</v>
      </c>
      <c r="CM121" s="219">
        <v>1.6705679109469289E-2</v>
      </c>
      <c r="CN121" s="219">
        <v>1.6298603482001201E-2</v>
      </c>
      <c r="CO121" s="219">
        <v>1.5896571637572181E-2</v>
      </c>
      <c r="CP121" s="219">
        <v>1.547349749433218E-2</v>
      </c>
      <c r="CQ121" s="219">
        <v>1.508201782164406E-2</v>
      </c>
      <c r="CR121" s="219">
        <v>1.469607863920539E-2</v>
      </c>
      <c r="CS121" s="219">
        <v>1.442132202023632E-2</v>
      </c>
      <c r="CT121" s="219">
        <v>1.4152686595878729E-2</v>
      </c>
      <c r="CU121" s="219">
        <v>1.3868546928860141E-2</v>
      </c>
      <c r="CV121" s="219">
        <v>1.3614179145079709E-2</v>
      </c>
      <c r="CW121" s="219">
        <v>1.337132118742243E-2</v>
      </c>
      <c r="CX121" s="219">
        <v>1.331941125463112E-2</v>
      </c>
      <c r="CY121" s="219">
        <v>1.3253423435544811E-2</v>
      </c>
      <c r="CZ121" s="219">
        <v>1.3188103660003151E-2</v>
      </c>
      <c r="DA121" s="219">
        <v>1.3123495593936319E-2</v>
      </c>
      <c r="DB121" s="219">
        <v>1.3059682510344469E-2</v>
      </c>
    </row>
    <row r="122" spans="1:106" s="219" customFormat="1" x14ac:dyDescent="0.35">
      <c r="A122" s="137" t="s">
        <v>771</v>
      </c>
      <c r="B122" s="31" t="s">
        <v>769</v>
      </c>
      <c r="C122" s="219">
        <v>3.8070546323280619E-7</v>
      </c>
      <c r="D122" s="219">
        <v>3.5533836535063818E-7</v>
      </c>
      <c r="E122" s="219">
        <v>3.2985724776630042E-7</v>
      </c>
      <c r="F122" s="219">
        <v>3.0403609466776968E-7</v>
      </c>
      <c r="G122" s="219">
        <v>2.7847869685640968E-7</v>
      </c>
      <c r="H122" s="219">
        <v>2.5290433997407239E-7</v>
      </c>
      <c r="I122" s="219">
        <v>2.3805374933928981E-7</v>
      </c>
      <c r="J122" s="219">
        <v>2.2323414799158039E-7</v>
      </c>
      <c r="K122" s="219">
        <v>2.0821803140845541E-7</v>
      </c>
      <c r="L122" s="219">
        <v>1.934048977094649E-7</v>
      </c>
      <c r="M122" s="219">
        <v>1.785855129935407E-7</v>
      </c>
      <c r="N122" s="219">
        <v>1.690748055904478E-7</v>
      </c>
      <c r="O122" s="219">
        <v>1.5951953031707091E-7</v>
      </c>
      <c r="P122" s="219">
        <v>1.4985957856891129E-7</v>
      </c>
      <c r="Q122" s="219">
        <v>1.4019448925990901E-7</v>
      </c>
      <c r="R122" s="219">
        <v>1.3048106040634319E-7</v>
      </c>
      <c r="S122" s="219">
        <v>1.2705737040529221E-7</v>
      </c>
      <c r="T122" s="219">
        <v>1.2361045624685909E-7</v>
      </c>
      <c r="U122" s="219">
        <v>1.2010187197530641E-7</v>
      </c>
      <c r="V122" s="219">
        <v>1.16630946785053E-7</v>
      </c>
      <c r="W122" s="219">
        <v>1.131508798871985E-7</v>
      </c>
      <c r="X122" s="219">
        <v>1.142723638300273E-7</v>
      </c>
      <c r="Y122" s="219">
        <v>1.127304597602553E-7</v>
      </c>
      <c r="Z122" s="219">
        <v>1.1118423641393799E-7</v>
      </c>
      <c r="AA122" s="219">
        <v>1.096332735620254E-7</v>
      </c>
      <c r="AB122" s="219">
        <v>1.0807755100499169E-7</v>
      </c>
      <c r="AC122" s="219">
        <v>8.5962357130872283E-10</v>
      </c>
      <c r="AD122" s="219">
        <v>7.9850376397157173E-10</v>
      </c>
      <c r="AE122" s="219">
        <v>7.3734206025510771E-10</v>
      </c>
      <c r="AF122" s="219">
        <v>6.7523484167771616E-10</v>
      </c>
      <c r="AG122" s="219">
        <v>6.139722407872265E-10</v>
      </c>
      <c r="AH122" s="219">
        <v>5.526655488841487E-10</v>
      </c>
      <c r="AI122" s="219">
        <v>5.1414139691067405E-10</v>
      </c>
      <c r="AJ122" s="219">
        <v>4.7560188854930919E-10</v>
      </c>
      <c r="AK122" s="219">
        <v>4.3631208046932178E-10</v>
      </c>
      <c r="AL122" s="219">
        <v>3.9763674189595058E-10</v>
      </c>
      <c r="AM122" s="219">
        <v>3.588911294486254E-10</v>
      </c>
      <c r="AN122" s="219">
        <v>3.328821438242482E-10</v>
      </c>
      <c r="AO122" s="219">
        <v>3.0674350003885582E-10</v>
      </c>
      <c r="AP122" s="219">
        <v>2.802434602372899E-10</v>
      </c>
      <c r="AQ122" s="219">
        <v>2.5379395549591789E-10</v>
      </c>
      <c r="AR122" s="219">
        <v>2.2721617946251619E-10</v>
      </c>
      <c r="AS122" s="219">
        <v>2.1543275997786999E-10</v>
      </c>
      <c r="AT122" s="219">
        <v>2.0368110772325849E-10</v>
      </c>
      <c r="AU122" s="219">
        <v>1.917660917143241E-10</v>
      </c>
      <c r="AV122" s="219">
        <v>1.8006531166641511E-10</v>
      </c>
      <c r="AW122" s="219">
        <v>1.6839775677906649E-10</v>
      </c>
      <c r="AX122" s="219">
        <v>1.684771093143678E-10</v>
      </c>
      <c r="AY122" s="219">
        <v>1.6293026783546041E-10</v>
      </c>
      <c r="AZ122" s="219">
        <v>1.573567579493092E-10</v>
      </c>
      <c r="BA122" s="219">
        <v>1.517559328585449E-10</v>
      </c>
      <c r="BB122" s="219">
        <v>1.4612782235293081E-10</v>
      </c>
      <c r="BC122" s="219">
        <v>1.5732897763470949E-2</v>
      </c>
      <c r="BD122" s="219">
        <v>1.561794260474007E-2</v>
      </c>
      <c r="BE122" s="219">
        <v>1.550315974012216E-2</v>
      </c>
      <c r="BF122" s="219">
        <v>1.5359508068076309E-2</v>
      </c>
      <c r="BG122" s="219">
        <v>1.5245159494849669E-2</v>
      </c>
      <c r="BH122" s="219">
        <v>1.513096130588552E-2</v>
      </c>
      <c r="BI122" s="219">
        <v>1.509936236338877E-2</v>
      </c>
      <c r="BJ122" s="219">
        <v>1.5066929804405519E-2</v>
      </c>
      <c r="BK122" s="219">
        <v>1.500787545911971E-2</v>
      </c>
      <c r="BL122" s="219">
        <v>1.4972591804045379E-2</v>
      </c>
      <c r="BM122" s="219">
        <v>1.493604133322806E-2</v>
      </c>
      <c r="BN122" s="219">
        <v>1.4837676377767509E-2</v>
      </c>
      <c r="BO122" s="219">
        <v>1.4737527008796729E-2</v>
      </c>
      <c r="BP122" s="219">
        <v>1.4629615843102271E-2</v>
      </c>
      <c r="BQ122" s="219">
        <v>1.4525991300842591E-2</v>
      </c>
      <c r="BR122" s="219">
        <v>1.442061558813979E-2</v>
      </c>
      <c r="BS122" s="219">
        <v>1.4510342937419761E-2</v>
      </c>
      <c r="BT122" s="219">
        <v>1.459832152578387E-2</v>
      </c>
      <c r="BU122" s="219">
        <v>1.467867622441054E-2</v>
      </c>
      <c r="BV122" s="219">
        <v>1.476323424063254E-2</v>
      </c>
      <c r="BW122" s="219">
        <v>1.48461112343873E-2</v>
      </c>
      <c r="BX122" s="219">
        <v>1.4704783128037E-2</v>
      </c>
      <c r="BY122" s="219">
        <v>1.45634714052526E-2</v>
      </c>
      <c r="BZ122" s="219">
        <v>1.4421571904496571E-2</v>
      </c>
      <c r="CA122" s="219">
        <v>1.427906288548008E-2</v>
      </c>
      <c r="CB122" s="219">
        <v>1.4135938021132711E-2</v>
      </c>
      <c r="CC122" s="219">
        <v>0.20680833251178579</v>
      </c>
      <c r="CD122" s="219">
        <v>0.1929237547049199</v>
      </c>
      <c r="CE122" s="219">
        <v>0.17904486202291281</v>
      </c>
      <c r="CF122" s="219">
        <v>0.16496215568268921</v>
      </c>
      <c r="CG122" s="219">
        <v>0.15109070438627101</v>
      </c>
      <c r="CH122" s="219">
        <v>0.1372210637640556</v>
      </c>
      <c r="CI122" s="219">
        <v>0.12615368939321819</v>
      </c>
      <c r="CJ122" s="219">
        <v>0.1151074093546073</v>
      </c>
      <c r="CK122" s="219">
        <v>0.10390232803047331</v>
      </c>
      <c r="CL122" s="219">
        <v>9.2867912551487436E-2</v>
      </c>
      <c r="CM122" s="219">
        <v>8.1835195274989808E-2</v>
      </c>
      <c r="CN122" s="219">
        <v>7.2971489109825302E-2</v>
      </c>
      <c r="CO122" s="219">
        <v>6.4072987099553988E-2</v>
      </c>
      <c r="CP122" s="219">
        <v>5.5105013622347807E-2</v>
      </c>
      <c r="CQ122" s="219">
        <v>4.6138405490312062E-2</v>
      </c>
      <c r="CR122" s="219">
        <v>3.7138460171680987E-2</v>
      </c>
      <c r="CS122" s="219">
        <v>3.2273746477493932E-2</v>
      </c>
      <c r="CT122" s="219">
        <v>2.7408671106622769E-2</v>
      </c>
      <c r="CU122" s="219">
        <v>2.2513304210486359E-2</v>
      </c>
      <c r="CV122" s="219">
        <v>1.764895694538467E-2</v>
      </c>
      <c r="CW122" s="219">
        <v>1.2787010851507109E-2</v>
      </c>
      <c r="CX122" s="219">
        <v>1.1022806470591369E-2</v>
      </c>
      <c r="CY122" s="219">
        <v>9.10915067202492E-3</v>
      </c>
      <c r="CZ122" s="219">
        <v>7.1890186858007809E-3</v>
      </c>
      <c r="DA122" s="219">
        <v>5.2622555846603448E-3</v>
      </c>
      <c r="DB122" s="219">
        <v>3.3288197335506358E-3</v>
      </c>
    </row>
    <row r="123" spans="1:106" s="219" customFormat="1" x14ac:dyDescent="0.35"/>
    <row r="124" spans="1:106" s="11" customFormat="1" ht="21" x14ac:dyDescent="0.5">
      <c r="A124" s="11" t="s">
        <v>94</v>
      </c>
    </row>
    <row r="125" spans="1:106" s="219" customFormat="1" x14ac:dyDescent="0.35">
      <c r="A125" s="29" t="s">
        <v>0</v>
      </c>
      <c r="B125" s="29"/>
      <c r="C125" s="332" t="s">
        <v>49</v>
      </c>
      <c r="D125" s="332"/>
      <c r="E125" s="332"/>
      <c r="F125" s="332"/>
      <c r="G125" s="332"/>
      <c r="H125" s="332"/>
      <c r="I125" s="332"/>
      <c r="J125" s="332"/>
      <c r="K125" s="332"/>
      <c r="L125" s="332"/>
      <c r="M125" s="332"/>
      <c r="N125" s="332"/>
      <c r="O125" s="332"/>
      <c r="P125" s="332"/>
      <c r="Q125" s="332"/>
      <c r="R125" s="332"/>
      <c r="S125" s="332"/>
      <c r="T125" s="332"/>
      <c r="U125" s="332"/>
      <c r="V125" s="332"/>
      <c r="W125" s="332"/>
      <c r="X125" s="332"/>
      <c r="Y125" s="332"/>
      <c r="Z125" s="332"/>
      <c r="AA125" s="332"/>
      <c r="AB125" s="332"/>
      <c r="AC125" s="333" t="s">
        <v>50</v>
      </c>
      <c r="AD125" s="333"/>
      <c r="AE125" s="333"/>
      <c r="AF125" s="333"/>
      <c r="AG125" s="333"/>
      <c r="AH125" s="333"/>
      <c r="AI125" s="333"/>
      <c r="AJ125" s="333"/>
      <c r="AK125" s="333"/>
      <c r="AL125" s="333"/>
      <c r="AM125" s="333"/>
      <c r="AN125" s="333"/>
      <c r="AO125" s="333"/>
      <c r="AP125" s="333"/>
      <c r="AQ125" s="333"/>
      <c r="AR125" s="333"/>
      <c r="AS125" s="333"/>
      <c r="AT125" s="333"/>
      <c r="AU125" s="333"/>
      <c r="AV125" s="333"/>
      <c r="AW125" s="333"/>
      <c r="AX125" s="333"/>
      <c r="AY125" s="333"/>
      <c r="AZ125" s="333"/>
      <c r="BA125" s="333"/>
      <c r="BB125" s="333"/>
      <c r="BC125" s="334" t="s">
        <v>756</v>
      </c>
      <c r="BD125" s="335"/>
      <c r="BE125" s="335"/>
      <c r="BF125" s="335"/>
      <c r="BG125" s="335"/>
      <c r="BH125" s="335"/>
      <c r="BI125" s="335"/>
      <c r="BJ125" s="335"/>
      <c r="BK125" s="335"/>
      <c r="BL125" s="335"/>
      <c r="BM125" s="335"/>
      <c r="BN125" s="335"/>
      <c r="BO125" s="335"/>
      <c r="BP125" s="335"/>
      <c r="BQ125" s="335"/>
      <c r="BR125" s="335"/>
      <c r="BS125" s="335"/>
      <c r="BT125" s="335"/>
      <c r="BU125" s="335"/>
      <c r="BV125" s="335"/>
      <c r="BW125" s="335"/>
      <c r="BX125" s="335"/>
      <c r="BY125" s="335"/>
      <c r="BZ125" s="335"/>
      <c r="CA125" s="335"/>
      <c r="CB125" s="336"/>
      <c r="CC125" s="337" t="s">
        <v>51</v>
      </c>
      <c r="CD125" s="337"/>
      <c r="CE125" s="337"/>
      <c r="CF125" s="337"/>
      <c r="CG125" s="337"/>
      <c r="CH125" s="337"/>
      <c r="CI125" s="337"/>
      <c r="CJ125" s="337"/>
      <c r="CK125" s="337"/>
      <c r="CL125" s="337"/>
      <c r="CM125" s="337"/>
      <c r="CN125" s="337"/>
      <c r="CO125" s="337"/>
      <c r="CP125" s="337"/>
      <c r="CQ125" s="337"/>
      <c r="CR125" s="337"/>
      <c r="CS125" s="337"/>
      <c r="CT125" s="337"/>
      <c r="CU125" s="337"/>
      <c r="CV125" s="337"/>
      <c r="CW125" s="337"/>
      <c r="CX125" s="337"/>
      <c r="CY125" s="337"/>
      <c r="CZ125" s="337"/>
      <c r="DA125" s="337"/>
      <c r="DB125" s="337"/>
    </row>
    <row r="126" spans="1:106" s="219" customFormat="1" x14ac:dyDescent="0.35">
      <c r="A126" s="29" t="s">
        <v>1</v>
      </c>
      <c r="B126" s="29" t="s">
        <v>180</v>
      </c>
      <c r="C126" s="222" t="s">
        <v>14</v>
      </c>
      <c r="D126" s="222" t="s">
        <v>95</v>
      </c>
      <c r="E126" s="222" t="s">
        <v>96</v>
      </c>
      <c r="F126" s="222" t="s">
        <v>97</v>
      </c>
      <c r="G126" s="222" t="s">
        <v>98</v>
      </c>
      <c r="H126" s="222" t="s">
        <v>15</v>
      </c>
      <c r="I126" s="222" t="s">
        <v>99</v>
      </c>
      <c r="J126" s="222" t="s">
        <v>100</v>
      </c>
      <c r="K126" s="222" t="s">
        <v>101</v>
      </c>
      <c r="L126" s="222" t="s">
        <v>102</v>
      </c>
      <c r="M126" s="222" t="s">
        <v>16</v>
      </c>
      <c r="N126" s="222" t="s">
        <v>103</v>
      </c>
      <c r="O126" s="222" t="s">
        <v>104</v>
      </c>
      <c r="P126" s="222" t="s">
        <v>105</v>
      </c>
      <c r="Q126" s="222" t="s">
        <v>106</v>
      </c>
      <c r="R126" s="222" t="s">
        <v>17</v>
      </c>
      <c r="S126" s="222" t="s">
        <v>107</v>
      </c>
      <c r="T126" s="222" t="s">
        <v>108</v>
      </c>
      <c r="U126" s="222" t="s">
        <v>109</v>
      </c>
      <c r="V126" s="222" t="s">
        <v>110</v>
      </c>
      <c r="W126" s="222" t="s">
        <v>18</v>
      </c>
      <c r="X126" s="222" t="s">
        <v>111</v>
      </c>
      <c r="Y126" s="222" t="s">
        <v>112</v>
      </c>
      <c r="Z126" s="222" t="s">
        <v>113</v>
      </c>
      <c r="AA126" s="222" t="s">
        <v>114</v>
      </c>
      <c r="AB126" s="222" t="s">
        <v>19</v>
      </c>
      <c r="AC126" s="223" t="s">
        <v>14</v>
      </c>
      <c r="AD126" s="223" t="s">
        <v>95</v>
      </c>
      <c r="AE126" s="223" t="s">
        <v>96</v>
      </c>
      <c r="AF126" s="223" t="s">
        <v>97</v>
      </c>
      <c r="AG126" s="223" t="s">
        <v>98</v>
      </c>
      <c r="AH126" s="223" t="s">
        <v>15</v>
      </c>
      <c r="AI126" s="223" t="s">
        <v>99</v>
      </c>
      <c r="AJ126" s="223" t="s">
        <v>100</v>
      </c>
      <c r="AK126" s="223" t="s">
        <v>101</v>
      </c>
      <c r="AL126" s="223" t="s">
        <v>102</v>
      </c>
      <c r="AM126" s="223" t="s">
        <v>16</v>
      </c>
      <c r="AN126" s="223" t="s">
        <v>103</v>
      </c>
      <c r="AO126" s="223" t="s">
        <v>104</v>
      </c>
      <c r="AP126" s="223" t="s">
        <v>105</v>
      </c>
      <c r="AQ126" s="223" t="s">
        <v>106</v>
      </c>
      <c r="AR126" s="223" t="s">
        <v>17</v>
      </c>
      <c r="AS126" s="223" t="s">
        <v>107</v>
      </c>
      <c r="AT126" s="223" t="s">
        <v>108</v>
      </c>
      <c r="AU126" s="223" t="s">
        <v>109</v>
      </c>
      <c r="AV126" s="223" t="s">
        <v>110</v>
      </c>
      <c r="AW126" s="223" t="s">
        <v>18</v>
      </c>
      <c r="AX126" s="223" t="s">
        <v>111</v>
      </c>
      <c r="AY126" s="223" t="s">
        <v>112</v>
      </c>
      <c r="AZ126" s="223" t="s">
        <v>113</v>
      </c>
      <c r="BA126" s="223" t="s">
        <v>114</v>
      </c>
      <c r="BB126" s="223" t="s">
        <v>19</v>
      </c>
      <c r="BC126" s="225" t="s">
        <v>14</v>
      </c>
      <c r="BD126" s="225" t="s">
        <v>95</v>
      </c>
      <c r="BE126" s="225" t="s">
        <v>96</v>
      </c>
      <c r="BF126" s="225" t="s">
        <v>97</v>
      </c>
      <c r="BG126" s="225" t="s">
        <v>98</v>
      </c>
      <c r="BH126" s="225" t="s">
        <v>15</v>
      </c>
      <c r="BI126" s="225" t="s">
        <v>99</v>
      </c>
      <c r="BJ126" s="225" t="s">
        <v>100</v>
      </c>
      <c r="BK126" s="225" t="s">
        <v>101</v>
      </c>
      <c r="BL126" s="225" t="s">
        <v>102</v>
      </c>
      <c r="BM126" s="225" t="s">
        <v>16</v>
      </c>
      <c r="BN126" s="225" t="s">
        <v>103</v>
      </c>
      <c r="BO126" s="225" t="s">
        <v>104</v>
      </c>
      <c r="BP126" s="225" t="s">
        <v>105</v>
      </c>
      <c r="BQ126" s="225" t="s">
        <v>106</v>
      </c>
      <c r="BR126" s="225" t="s">
        <v>17</v>
      </c>
      <c r="BS126" s="225" t="s">
        <v>107</v>
      </c>
      <c r="BT126" s="225" t="s">
        <v>108</v>
      </c>
      <c r="BU126" s="225" t="s">
        <v>109</v>
      </c>
      <c r="BV126" s="225" t="s">
        <v>110</v>
      </c>
      <c r="BW126" s="225" t="s">
        <v>18</v>
      </c>
      <c r="BX126" s="225" t="s">
        <v>111</v>
      </c>
      <c r="BY126" s="225" t="s">
        <v>112</v>
      </c>
      <c r="BZ126" s="225" t="s">
        <v>113</v>
      </c>
      <c r="CA126" s="225" t="s">
        <v>114</v>
      </c>
      <c r="CB126" s="225" t="s">
        <v>19</v>
      </c>
      <c r="CC126" s="224" t="s">
        <v>14</v>
      </c>
      <c r="CD126" s="224" t="s">
        <v>95</v>
      </c>
      <c r="CE126" s="224" t="s">
        <v>96</v>
      </c>
      <c r="CF126" s="224" t="s">
        <v>97</v>
      </c>
      <c r="CG126" s="224" t="s">
        <v>98</v>
      </c>
      <c r="CH126" s="224" t="s">
        <v>15</v>
      </c>
      <c r="CI126" s="224" t="s">
        <v>99</v>
      </c>
      <c r="CJ126" s="224" t="s">
        <v>100</v>
      </c>
      <c r="CK126" s="224" t="s">
        <v>101</v>
      </c>
      <c r="CL126" s="224" t="s">
        <v>102</v>
      </c>
      <c r="CM126" s="224" t="s">
        <v>16</v>
      </c>
      <c r="CN126" s="224" t="s">
        <v>103</v>
      </c>
      <c r="CO126" s="224" t="s">
        <v>104</v>
      </c>
      <c r="CP126" s="224" t="s">
        <v>105</v>
      </c>
      <c r="CQ126" s="224" t="s">
        <v>106</v>
      </c>
      <c r="CR126" s="224" t="s">
        <v>17</v>
      </c>
      <c r="CS126" s="224" t="s">
        <v>107</v>
      </c>
      <c r="CT126" s="224" t="s">
        <v>108</v>
      </c>
      <c r="CU126" s="224" t="s">
        <v>109</v>
      </c>
      <c r="CV126" s="224" t="s">
        <v>110</v>
      </c>
      <c r="CW126" s="224" t="s">
        <v>18</v>
      </c>
      <c r="CX126" s="224" t="s">
        <v>111</v>
      </c>
      <c r="CY126" s="224" t="s">
        <v>112</v>
      </c>
      <c r="CZ126" s="224" t="s">
        <v>113</v>
      </c>
      <c r="DA126" s="224" t="s">
        <v>114</v>
      </c>
      <c r="DB126" s="224" t="s">
        <v>19</v>
      </c>
    </row>
    <row r="127" spans="1:106" s="219" customFormat="1" x14ac:dyDescent="0.35"/>
    <row r="128" spans="1:106" s="219" customFormat="1" x14ac:dyDescent="0.35">
      <c r="A128" s="137" t="s">
        <v>770</v>
      </c>
      <c r="B128" s="31" t="s">
        <v>769</v>
      </c>
      <c r="C128" s="219">
        <v>1.5105138234727949E-7</v>
      </c>
      <c r="D128" s="219">
        <v>1.501962934640906E-7</v>
      </c>
      <c r="E128" s="219">
        <v>1.493355352483581E-7</v>
      </c>
      <c r="F128" s="219">
        <v>1.482195149104656E-7</v>
      </c>
      <c r="G128" s="219">
        <v>1.473153216367613E-7</v>
      </c>
      <c r="H128" s="219">
        <v>1.4639822081069901E-7</v>
      </c>
      <c r="I128" s="219">
        <v>1.4601884793184361E-7</v>
      </c>
      <c r="J128" s="219">
        <v>1.4567036226784849E-7</v>
      </c>
      <c r="K128" s="219">
        <v>1.4523540518807091E-7</v>
      </c>
      <c r="L128" s="219">
        <v>1.44932636178236E-7</v>
      </c>
      <c r="M128" s="219">
        <v>1.446493996286609E-7</v>
      </c>
      <c r="N128" s="219">
        <v>1.4448162981996719E-7</v>
      </c>
      <c r="O128" s="219">
        <v>1.4433667581299841E-7</v>
      </c>
      <c r="P128" s="219">
        <v>1.4417907807110709E-7</v>
      </c>
      <c r="Q128" s="219">
        <v>1.4406202203642391E-7</v>
      </c>
      <c r="R128" s="219">
        <v>1.4395320627366991E-7</v>
      </c>
      <c r="S128" s="219">
        <v>1.4390612418031041E-7</v>
      </c>
      <c r="T128" s="219">
        <v>1.4386045256449589E-7</v>
      </c>
      <c r="U128" s="219">
        <v>1.437886074122954E-7</v>
      </c>
      <c r="V128" s="219">
        <v>1.437437462281403E-7</v>
      </c>
      <c r="W128" s="219">
        <v>1.4368698023773649E-7</v>
      </c>
      <c r="X128" s="219">
        <v>1.4458705249893409E-7</v>
      </c>
      <c r="Y128" s="219">
        <v>1.4461033769901291E-7</v>
      </c>
      <c r="Z128" s="219">
        <v>1.446335964837963E-7</v>
      </c>
      <c r="AA128" s="219">
        <v>1.4465683743938631E-7</v>
      </c>
      <c r="AB128" s="219">
        <v>1.446800737473932E-7</v>
      </c>
      <c r="AC128" s="219">
        <v>1.8091500846700409E-10</v>
      </c>
      <c r="AD128" s="219">
        <v>1.7886148466860711E-10</v>
      </c>
      <c r="AE128" s="219">
        <v>1.767776805850836E-10</v>
      </c>
      <c r="AF128" s="219">
        <v>1.738666005688834E-10</v>
      </c>
      <c r="AG128" s="219">
        <v>1.7167857348905701E-10</v>
      </c>
      <c r="AH128" s="219">
        <v>1.6946012358014579E-10</v>
      </c>
      <c r="AI128" s="219">
        <v>1.690297411920647E-10</v>
      </c>
      <c r="AJ128" s="219">
        <v>1.6859812547619851E-10</v>
      </c>
      <c r="AK128" s="219">
        <v>1.677355925274612E-10</v>
      </c>
      <c r="AL128" s="219">
        <v>1.6730008815276941E-10</v>
      </c>
      <c r="AM128" s="219">
        <v>1.6686896868260799E-10</v>
      </c>
      <c r="AN128" s="219">
        <v>1.667064837241242E-10</v>
      </c>
      <c r="AO128" s="219">
        <v>1.6655208503840971E-10</v>
      </c>
      <c r="AP128" s="219">
        <v>1.662485855441345E-10</v>
      </c>
      <c r="AQ128" s="219">
        <v>1.6609418715135049E-10</v>
      </c>
      <c r="AR128" s="219">
        <v>1.6593393765029991E-10</v>
      </c>
      <c r="AS128" s="219">
        <v>1.6574326841782091E-10</v>
      </c>
      <c r="AT128" s="219">
        <v>1.6555592153825269E-10</v>
      </c>
      <c r="AU128" s="219">
        <v>1.6523585555637019E-10</v>
      </c>
      <c r="AV128" s="219">
        <v>1.6504729842590761E-10</v>
      </c>
      <c r="AW128" s="219">
        <v>1.647753332671924E-10</v>
      </c>
      <c r="AX128" s="219">
        <v>1.6580892410370301E-10</v>
      </c>
      <c r="AY128" s="219">
        <v>1.657685439687145E-10</v>
      </c>
      <c r="AZ128" s="219">
        <v>1.657282663958607E-10</v>
      </c>
      <c r="BA128" s="219">
        <v>1.6568807402626871E-10</v>
      </c>
      <c r="BB128" s="219">
        <v>1.6564795768161869E-10</v>
      </c>
      <c r="BC128" s="219">
        <v>2.218771287314754E-3</v>
      </c>
      <c r="BD128" s="219">
        <v>2.21054695063921E-3</v>
      </c>
      <c r="BE128" s="219">
        <v>2.2021841375564192E-3</v>
      </c>
      <c r="BF128" s="219">
        <v>2.1723597205326769E-3</v>
      </c>
      <c r="BG128" s="219">
        <v>2.1635908342902388E-3</v>
      </c>
      <c r="BH128" s="219">
        <v>2.154828268030626E-3</v>
      </c>
      <c r="BI128" s="219">
        <v>2.1604280654159299E-3</v>
      </c>
      <c r="BJ128" s="219">
        <v>2.16577898289529E-3</v>
      </c>
      <c r="BK128" s="219">
        <v>2.1566370124403529E-3</v>
      </c>
      <c r="BL128" s="219">
        <v>2.161690299700494E-3</v>
      </c>
      <c r="BM128" s="219">
        <v>2.166540705901845E-3</v>
      </c>
      <c r="BN128" s="219">
        <v>2.1624706188453011E-3</v>
      </c>
      <c r="BO128" s="219">
        <v>2.1584566286851452E-3</v>
      </c>
      <c r="BP128" s="219">
        <v>2.150514405050995E-3</v>
      </c>
      <c r="BQ128" s="219">
        <v>2.1465629018285462E-3</v>
      </c>
      <c r="BR128" s="219">
        <v>2.1425674483238179E-3</v>
      </c>
      <c r="BS128" s="219">
        <v>2.1330082744616592E-3</v>
      </c>
      <c r="BT128" s="219">
        <v>2.1235485151164181E-3</v>
      </c>
      <c r="BU128" s="219">
        <v>2.1104197740814271E-3</v>
      </c>
      <c r="BV128" s="219">
        <v>2.1010644248771059E-3</v>
      </c>
      <c r="BW128" s="219">
        <v>2.091282666836349E-3</v>
      </c>
      <c r="BX128" s="219">
        <v>2.089010817193935E-3</v>
      </c>
      <c r="BY128" s="219">
        <v>2.0867556858059711E-3</v>
      </c>
      <c r="BZ128" s="219">
        <v>2.084510262055389E-3</v>
      </c>
      <c r="CA128" s="219">
        <v>2.0822743698879261E-3</v>
      </c>
      <c r="CB128" s="219">
        <v>2.0800480059394509E-3</v>
      </c>
      <c r="CC128" s="219">
        <v>1.7189704114379749E-2</v>
      </c>
      <c r="CD128" s="219">
        <v>1.648610181206393E-2</v>
      </c>
      <c r="CE128" s="219">
        <v>1.578166785968425E-2</v>
      </c>
      <c r="CF128" s="219">
        <v>1.4923244554134371E-2</v>
      </c>
      <c r="CG128" s="219">
        <v>1.420683423900955E-2</v>
      </c>
      <c r="CH128" s="219">
        <v>1.3488416185244651E-2</v>
      </c>
      <c r="CI128" s="219">
        <v>1.3231312517370499E-2</v>
      </c>
      <c r="CJ128" s="219">
        <v>1.2976962632455709E-2</v>
      </c>
      <c r="CK128" s="219">
        <v>1.264119405192499E-2</v>
      </c>
      <c r="CL128" s="219">
        <v>1.239359623976094E-2</v>
      </c>
      <c r="CM128" s="219">
        <v>1.2149658634079449E-2</v>
      </c>
      <c r="CN128" s="219">
        <v>1.2024271115981521E-2</v>
      </c>
      <c r="CO128" s="219">
        <v>1.190203387346131E-2</v>
      </c>
      <c r="CP128" s="219">
        <v>1.1760120493726369E-2</v>
      </c>
      <c r="CQ128" s="219">
        <v>1.164177377272394E-2</v>
      </c>
      <c r="CR128" s="219">
        <v>1.152478339343384E-2</v>
      </c>
      <c r="CS128" s="219">
        <v>1.1425745005547451E-2</v>
      </c>
      <c r="CT128" s="219">
        <v>1.1328682600510211E-2</v>
      </c>
      <c r="CU128" s="219">
        <v>1.121758208487126E-2</v>
      </c>
      <c r="CV128" s="219">
        <v>1.112432428374247E-2</v>
      </c>
      <c r="CW128" s="219">
        <v>1.103665613300802E-2</v>
      </c>
      <c r="CX128" s="219">
        <v>1.099630406492506E-2</v>
      </c>
      <c r="CY128" s="219">
        <v>1.0945197471632971E-2</v>
      </c>
      <c r="CZ128" s="219">
        <v>1.089479048985398E-2</v>
      </c>
      <c r="DA128" s="219">
        <v>1.084507266791805E-2</v>
      </c>
      <c r="DB128" s="219">
        <v>1.079603514987674E-2</v>
      </c>
    </row>
    <row r="129" spans="1:106" s="219" customFormat="1" x14ac:dyDescent="0.35">
      <c r="A129" s="137" t="s">
        <v>771</v>
      </c>
      <c r="B129" s="31" t="s">
        <v>769</v>
      </c>
      <c r="C129" s="219">
        <v>1.9562017570997939E-7</v>
      </c>
      <c r="D129" s="219">
        <v>1.7675617622316751E-7</v>
      </c>
      <c r="E129" s="219">
        <v>1.577947463747653E-7</v>
      </c>
      <c r="F129" s="219">
        <v>1.3840247228281111E-7</v>
      </c>
      <c r="G129" s="219">
        <v>1.1923584632839681E-7</v>
      </c>
      <c r="H129" s="219">
        <v>9.9991453239655718E-8</v>
      </c>
      <c r="I129" s="219">
        <v>9.8310040143371335E-8</v>
      </c>
      <c r="J129" s="219">
        <v>9.6592180140460284E-8</v>
      </c>
      <c r="K129" s="219">
        <v>9.4565704601622184E-8</v>
      </c>
      <c r="L129" s="219">
        <v>9.2758535752566404E-8</v>
      </c>
      <c r="M129" s="219">
        <v>9.0909653162030491E-8</v>
      </c>
      <c r="N129" s="219">
        <v>9.0001585227575827E-8</v>
      </c>
      <c r="O129" s="219">
        <v>8.9108775432168411E-8</v>
      </c>
      <c r="P129" s="219">
        <v>8.8161364303689397E-8</v>
      </c>
      <c r="Q129" s="219">
        <v>8.7269356833817029E-8</v>
      </c>
      <c r="R129" s="219">
        <v>8.6379910935766373E-8</v>
      </c>
      <c r="S129" s="219">
        <v>8.2316411360613771E-8</v>
      </c>
      <c r="T129" s="219">
        <v>7.8270223694119995E-8</v>
      </c>
      <c r="U129" s="219">
        <v>7.4202067949034888E-8</v>
      </c>
      <c r="V129" s="219">
        <v>7.0215803354037258E-8</v>
      </c>
      <c r="W129" s="219">
        <v>6.6255083935853395E-8</v>
      </c>
      <c r="X129" s="219">
        <v>6.6380853159815702E-8</v>
      </c>
      <c r="Y129" s="219">
        <v>6.3644887816104067E-8</v>
      </c>
      <c r="Z129" s="219">
        <v>6.0901410867367008E-8</v>
      </c>
      <c r="AA129" s="219">
        <v>5.8150055835153233E-8</v>
      </c>
      <c r="AB129" s="219">
        <v>5.5390798082830443E-8</v>
      </c>
      <c r="AC129" s="219">
        <v>3.9858297009611371E-10</v>
      </c>
      <c r="AD129" s="219">
        <v>3.4810298388898102E-10</v>
      </c>
      <c r="AE129" s="219">
        <v>2.97462798786837E-10</v>
      </c>
      <c r="AF129" s="219">
        <v>2.4556927944897421E-10</v>
      </c>
      <c r="AG129" s="219">
        <v>1.945344296476449E-10</v>
      </c>
      <c r="AH129" s="219">
        <v>1.4334000448354109E-10</v>
      </c>
      <c r="AI129" s="219">
        <v>1.3925412107723091E-10</v>
      </c>
      <c r="AJ129" s="219">
        <v>1.351001315788998E-10</v>
      </c>
      <c r="AK129" s="219">
        <v>1.2985737452093679E-10</v>
      </c>
      <c r="AL129" s="219">
        <v>1.255076117376702E-10</v>
      </c>
      <c r="AM129" s="219">
        <v>1.210853890082127E-10</v>
      </c>
      <c r="AN129" s="219">
        <v>1.1812023947589861E-10</v>
      </c>
      <c r="AO129" s="219">
        <v>1.151449853460677E-10</v>
      </c>
      <c r="AP129" s="219">
        <v>1.118591095535411E-10</v>
      </c>
      <c r="AQ129" s="219">
        <v>1.087904305503174E-10</v>
      </c>
      <c r="AR129" s="219">
        <v>1.056874029092779E-10</v>
      </c>
      <c r="AS129" s="219">
        <v>9.385866674349407E-11</v>
      </c>
      <c r="AT129" s="219">
        <v>8.2170573152222623E-11</v>
      </c>
      <c r="AU129" s="219">
        <v>7.0389589392619317E-11</v>
      </c>
      <c r="AV129" s="219">
        <v>5.8961006869989996E-11</v>
      </c>
      <c r="AW129" s="219">
        <v>4.7623880529307559E-11</v>
      </c>
      <c r="AX129" s="219">
        <v>4.5797860168226802E-11</v>
      </c>
      <c r="AY129" s="219">
        <v>3.7841021637433041E-11</v>
      </c>
      <c r="AZ129" s="219">
        <v>2.9872137028143497E-11</v>
      </c>
      <c r="BA129" s="219">
        <v>2.188986445873448E-11</v>
      </c>
      <c r="BB129" s="219">
        <v>1.3893504932604131E-11</v>
      </c>
      <c r="BC129" s="219">
        <v>9.5177282663742278E-3</v>
      </c>
      <c r="BD129" s="219">
        <v>8.7517336571749042E-3</v>
      </c>
      <c r="BE129" s="219">
        <v>7.9796144740722635E-3</v>
      </c>
      <c r="BF129" s="219">
        <v>7.167310766183722E-3</v>
      </c>
      <c r="BG129" s="219">
        <v>6.3813809674251433E-3</v>
      </c>
      <c r="BH129" s="219">
        <v>5.589332890601692E-3</v>
      </c>
      <c r="BI129" s="219">
        <v>6.5455813971236976E-3</v>
      </c>
      <c r="BJ129" s="219">
        <v>7.4994737436673304E-3</v>
      </c>
      <c r="BK129" s="219">
        <v>8.4158590713804566E-3</v>
      </c>
      <c r="BL129" s="219">
        <v>9.3637527612688027E-3</v>
      </c>
      <c r="BM129" s="219">
        <v>1.030947007520722E-2</v>
      </c>
      <c r="BN129" s="219">
        <v>1.14884713943559E-2</v>
      </c>
      <c r="BO129" s="219">
        <v>1.2663668745246669E-2</v>
      </c>
      <c r="BP129" s="219">
        <v>1.3827294919863981E-2</v>
      </c>
      <c r="BQ129" s="219">
        <v>1.4995102143054989E-2</v>
      </c>
      <c r="BR129" s="219">
        <v>1.615909167593145E-2</v>
      </c>
      <c r="BS129" s="219">
        <v>1.5737411492089629E-2</v>
      </c>
      <c r="BT129" s="219">
        <v>1.531792015253472E-2</v>
      </c>
      <c r="BU129" s="219">
        <v>1.4893589192935E-2</v>
      </c>
      <c r="BV129" s="219">
        <v>1.4478594987938969E-2</v>
      </c>
      <c r="BW129" s="219">
        <v>1.4065664309349749E-2</v>
      </c>
      <c r="BX129" s="219">
        <v>1.407069056908504E-2</v>
      </c>
      <c r="BY129" s="219">
        <v>1.4076194911218099E-2</v>
      </c>
      <c r="BZ129" s="219">
        <v>1.4081593744489159E-2</v>
      </c>
      <c r="CA129" s="219">
        <v>1.408687502933844E-2</v>
      </c>
      <c r="CB129" s="219">
        <v>1.409204028121553E-2</v>
      </c>
      <c r="CC129" s="219">
        <v>9.0318721771260851E-2</v>
      </c>
      <c r="CD129" s="219">
        <v>7.4606993619694584E-2</v>
      </c>
      <c r="CE129" s="219">
        <v>5.887893451252519E-2</v>
      </c>
      <c r="CF129" s="219">
        <v>4.2900416552285242E-2</v>
      </c>
      <c r="CG129" s="219">
        <v>2.7119234111349269E-2</v>
      </c>
      <c r="CH129" s="219">
        <v>1.1312814173090871E-2</v>
      </c>
      <c r="CI129" s="219">
        <v>7.5430196386905672E-3</v>
      </c>
      <c r="CJ129" s="219">
        <v>3.7527159280204541E-3</v>
      </c>
      <c r="CK129" s="219">
        <v>-2.6703708148017192E-4</v>
      </c>
      <c r="CL129" s="219">
        <v>-4.1060350893769634E-3</v>
      </c>
      <c r="CM129" s="219">
        <v>-7.9662340909648112E-3</v>
      </c>
      <c r="CN129" s="219">
        <v>-9.8544595518098056E-3</v>
      </c>
      <c r="CO129" s="219">
        <v>-1.173802200482592E-2</v>
      </c>
      <c r="CP129" s="219">
        <v>-1.3655494807912959E-2</v>
      </c>
      <c r="CQ129" s="219">
        <v>-1.552946343522328E-2</v>
      </c>
      <c r="CR129" s="219">
        <v>-1.7399829116939609E-2</v>
      </c>
      <c r="CS129" s="219">
        <v>-2.123353477491503E-2</v>
      </c>
      <c r="CT129" s="219">
        <v>-2.5037654257636311E-2</v>
      </c>
      <c r="CU129" s="219">
        <v>-2.8839012360299052E-2</v>
      </c>
      <c r="CV129" s="219">
        <v>-3.2582704982520139E-2</v>
      </c>
      <c r="CW129" s="219">
        <v>-3.6295348392350893E-2</v>
      </c>
      <c r="CX129" s="219">
        <v>-3.9729852452193827E-2</v>
      </c>
      <c r="CY129" s="219">
        <v>-4.3260384932402932E-2</v>
      </c>
      <c r="CZ129" s="219">
        <v>-4.6800572910779742E-2</v>
      </c>
      <c r="DA129" s="219">
        <v>-5.0350557269600998E-2</v>
      </c>
      <c r="DB129" s="219">
        <v>-5.3910401328084487E-2</v>
      </c>
    </row>
    <row r="130" spans="1:106" x14ac:dyDescent="0.35">
      <c r="CC130" s="219"/>
      <c r="CD130" s="219"/>
      <c r="CE130" s="219"/>
      <c r="CF130" s="219"/>
      <c r="CG130" s="219"/>
      <c r="CH130" s="219"/>
      <c r="CI130" s="219"/>
      <c r="CJ130" s="219"/>
      <c r="CK130" s="219"/>
      <c r="CL130" s="219"/>
      <c r="CM130" s="219"/>
      <c r="CN130" s="219"/>
      <c r="CO130" s="219"/>
      <c r="CP130" s="219"/>
      <c r="CQ130" s="219"/>
      <c r="CR130" s="219"/>
      <c r="CS130" s="219"/>
      <c r="CT130" s="219"/>
      <c r="CU130" s="219"/>
      <c r="CV130" s="219"/>
      <c r="CW130" s="219"/>
      <c r="CX130" s="219"/>
      <c r="CY130" s="219"/>
      <c r="CZ130" s="219"/>
      <c r="DA130" s="219"/>
      <c r="DB130" s="219"/>
    </row>
    <row r="131" spans="1:106" s="231" customFormat="1" x14ac:dyDescent="0.35">
      <c r="A131" s="232"/>
    </row>
    <row r="132" spans="1:106" s="11" customFormat="1" ht="21" x14ac:dyDescent="0.5">
      <c r="A132" s="11" t="s">
        <v>72</v>
      </c>
    </row>
    <row r="133" spans="1:106" s="219" customFormat="1" x14ac:dyDescent="0.35">
      <c r="A133" s="29" t="s">
        <v>0</v>
      </c>
      <c r="B133" s="29"/>
      <c r="C133" s="332" t="s">
        <v>49</v>
      </c>
      <c r="D133" s="332"/>
      <c r="E133" s="332"/>
      <c r="F133" s="332"/>
      <c r="G133" s="332"/>
      <c r="H133" s="332"/>
      <c r="I133" s="332"/>
      <c r="J133" s="332"/>
      <c r="K133" s="332"/>
      <c r="L133" s="332"/>
      <c r="M133" s="332"/>
      <c r="N133" s="332"/>
      <c r="O133" s="332"/>
      <c r="P133" s="332"/>
      <c r="Q133" s="332"/>
      <c r="R133" s="332"/>
      <c r="S133" s="332"/>
      <c r="T133" s="332"/>
      <c r="U133" s="332"/>
      <c r="V133" s="332"/>
      <c r="W133" s="332"/>
      <c r="X133" s="332"/>
      <c r="Y133" s="332"/>
      <c r="Z133" s="332"/>
      <c r="AA133" s="332"/>
      <c r="AB133" s="332"/>
      <c r="AC133" s="333" t="s">
        <v>50</v>
      </c>
      <c r="AD133" s="333"/>
      <c r="AE133" s="333"/>
      <c r="AF133" s="333"/>
      <c r="AG133" s="333"/>
      <c r="AH133" s="333"/>
      <c r="AI133" s="333"/>
      <c r="AJ133" s="333"/>
      <c r="AK133" s="333"/>
      <c r="AL133" s="333"/>
      <c r="AM133" s="333"/>
      <c r="AN133" s="333"/>
      <c r="AO133" s="333"/>
      <c r="AP133" s="333"/>
      <c r="AQ133" s="333"/>
      <c r="AR133" s="333"/>
      <c r="AS133" s="333"/>
      <c r="AT133" s="333"/>
      <c r="AU133" s="333"/>
      <c r="AV133" s="333"/>
      <c r="AW133" s="333"/>
      <c r="AX133" s="333"/>
      <c r="AY133" s="333"/>
      <c r="AZ133" s="333"/>
      <c r="BA133" s="333"/>
      <c r="BB133" s="333"/>
      <c r="BC133" s="334" t="s">
        <v>756</v>
      </c>
      <c r="BD133" s="335"/>
      <c r="BE133" s="335"/>
      <c r="BF133" s="335"/>
      <c r="BG133" s="335"/>
      <c r="BH133" s="335"/>
      <c r="BI133" s="335"/>
      <c r="BJ133" s="335"/>
      <c r="BK133" s="335"/>
      <c r="BL133" s="335"/>
      <c r="BM133" s="335"/>
      <c r="BN133" s="335"/>
      <c r="BO133" s="335"/>
      <c r="BP133" s="335"/>
      <c r="BQ133" s="335"/>
      <c r="BR133" s="335"/>
      <c r="BS133" s="335"/>
      <c r="BT133" s="335"/>
      <c r="BU133" s="335"/>
      <c r="BV133" s="335"/>
      <c r="BW133" s="335"/>
      <c r="BX133" s="335"/>
      <c r="BY133" s="335"/>
      <c r="BZ133" s="335"/>
      <c r="CA133" s="335"/>
      <c r="CB133" s="336"/>
      <c r="CC133" s="337" t="s">
        <v>51</v>
      </c>
      <c r="CD133" s="337"/>
      <c r="CE133" s="337"/>
      <c r="CF133" s="337"/>
      <c r="CG133" s="337"/>
      <c r="CH133" s="337"/>
      <c r="CI133" s="337"/>
      <c r="CJ133" s="337"/>
      <c r="CK133" s="337"/>
      <c r="CL133" s="337"/>
      <c r="CM133" s="337"/>
      <c r="CN133" s="337"/>
      <c r="CO133" s="337"/>
      <c r="CP133" s="337"/>
      <c r="CQ133" s="337"/>
      <c r="CR133" s="337"/>
      <c r="CS133" s="337"/>
      <c r="CT133" s="337"/>
      <c r="CU133" s="337"/>
      <c r="CV133" s="337"/>
      <c r="CW133" s="337"/>
      <c r="CX133" s="337"/>
      <c r="CY133" s="337"/>
      <c r="CZ133" s="337"/>
      <c r="DA133" s="337"/>
      <c r="DB133" s="337"/>
    </row>
    <row r="134" spans="1:106" s="219" customFormat="1" x14ac:dyDescent="0.35">
      <c r="A134" s="29" t="s">
        <v>1</v>
      </c>
      <c r="B134" s="29" t="s">
        <v>180</v>
      </c>
      <c r="C134" s="222" t="s">
        <v>2</v>
      </c>
      <c r="D134" s="222" t="s">
        <v>52</v>
      </c>
      <c r="E134" s="222" t="s">
        <v>53</v>
      </c>
      <c r="F134" s="222" t="s">
        <v>54</v>
      </c>
      <c r="G134" s="222" t="s">
        <v>55</v>
      </c>
      <c r="H134" s="222" t="s">
        <v>3</v>
      </c>
      <c r="I134" s="222" t="s">
        <v>56</v>
      </c>
      <c r="J134" s="222" t="s">
        <v>57</v>
      </c>
      <c r="K134" s="222" t="s">
        <v>58</v>
      </c>
      <c r="L134" s="222" t="s">
        <v>59</v>
      </c>
      <c r="M134" s="222" t="s">
        <v>4</v>
      </c>
      <c r="N134" s="222" t="s">
        <v>60</v>
      </c>
      <c r="O134" s="222" t="s">
        <v>61</v>
      </c>
      <c r="P134" s="222" t="s">
        <v>62</v>
      </c>
      <c r="Q134" s="222" t="s">
        <v>63</v>
      </c>
      <c r="R134" s="222" t="s">
        <v>5</v>
      </c>
      <c r="S134" s="222" t="s">
        <v>64</v>
      </c>
      <c r="T134" s="222" t="s">
        <v>65</v>
      </c>
      <c r="U134" s="222" t="s">
        <v>66</v>
      </c>
      <c r="V134" s="222" t="s">
        <v>67</v>
      </c>
      <c r="W134" s="222" t="s">
        <v>6</v>
      </c>
      <c r="X134" s="222" t="s">
        <v>68</v>
      </c>
      <c r="Y134" s="222" t="s">
        <v>69</v>
      </c>
      <c r="Z134" s="222" t="s">
        <v>70</v>
      </c>
      <c r="AA134" s="222" t="s">
        <v>71</v>
      </c>
      <c r="AB134" s="222" t="s">
        <v>7</v>
      </c>
      <c r="AC134" s="223" t="s">
        <v>2</v>
      </c>
      <c r="AD134" s="223" t="s">
        <v>52</v>
      </c>
      <c r="AE134" s="223" t="s">
        <v>53</v>
      </c>
      <c r="AF134" s="223" t="s">
        <v>54</v>
      </c>
      <c r="AG134" s="223" t="s">
        <v>55</v>
      </c>
      <c r="AH134" s="223" t="s">
        <v>3</v>
      </c>
      <c r="AI134" s="223" t="s">
        <v>56</v>
      </c>
      <c r="AJ134" s="223" t="s">
        <v>57</v>
      </c>
      <c r="AK134" s="223" t="s">
        <v>58</v>
      </c>
      <c r="AL134" s="223" t="s">
        <v>59</v>
      </c>
      <c r="AM134" s="223" t="s">
        <v>4</v>
      </c>
      <c r="AN134" s="223" t="s">
        <v>60</v>
      </c>
      <c r="AO134" s="223" t="s">
        <v>61</v>
      </c>
      <c r="AP134" s="223" t="s">
        <v>62</v>
      </c>
      <c r="AQ134" s="223" t="s">
        <v>63</v>
      </c>
      <c r="AR134" s="223" t="s">
        <v>5</v>
      </c>
      <c r="AS134" s="223" t="s">
        <v>64</v>
      </c>
      <c r="AT134" s="223" t="s">
        <v>65</v>
      </c>
      <c r="AU134" s="223" t="s">
        <v>66</v>
      </c>
      <c r="AV134" s="223" t="s">
        <v>67</v>
      </c>
      <c r="AW134" s="223" t="s">
        <v>6</v>
      </c>
      <c r="AX134" s="223" t="s">
        <v>68</v>
      </c>
      <c r="AY134" s="223" t="s">
        <v>69</v>
      </c>
      <c r="AZ134" s="223" t="s">
        <v>70</v>
      </c>
      <c r="BA134" s="223" t="s">
        <v>71</v>
      </c>
      <c r="BB134" s="223" t="s">
        <v>7</v>
      </c>
      <c r="BC134" s="225" t="s">
        <v>2</v>
      </c>
      <c r="BD134" s="225" t="s">
        <v>52</v>
      </c>
      <c r="BE134" s="225" t="s">
        <v>53</v>
      </c>
      <c r="BF134" s="225" t="s">
        <v>54</v>
      </c>
      <c r="BG134" s="225" t="s">
        <v>55</v>
      </c>
      <c r="BH134" s="225" t="s">
        <v>3</v>
      </c>
      <c r="BI134" s="225" t="s">
        <v>56</v>
      </c>
      <c r="BJ134" s="225" t="s">
        <v>57</v>
      </c>
      <c r="BK134" s="225" t="s">
        <v>58</v>
      </c>
      <c r="BL134" s="225" t="s">
        <v>59</v>
      </c>
      <c r="BM134" s="225" t="s">
        <v>4</v>
      </c>
      <c r="BN134" s="225" t="s">
        <v>60</v>
      </c>
      <c r="BO134" s="225" t="s">
        <v>61</v>
      </c>
      <c r="BP134" s="225" t="s">
        <v>62</v>
      </c>
      <c r="BQ134" s="225" t="s">
        <v>63</v>
      </c>
      <c r="BR134" s="225" t="s">
        <v>5</v>
      </c>
      <c r="BS134" s="225" t="s">
        <v>64</v>
      </c>
      <c r="BT134" s="225" t="s">
        <v>65</v>
      </c>
      <c r="BU134" s="225" t="s">
        <v>66</v>
      </c>
      <c r="BV134" s="225" t="s">
        <v>67</v>
      </c>
      <c r="BW134" s="225" t="s">
        <v>6</v>
      </c>
      <c r="BX134" s="225" t="s">
        <v>68</v>
      </c>
      <c r="BY134" s="225" t="s">
        <v>69</v>
      </c>
      <c r="BZ134" s="225" t="s">
        <v>70</v>
      </c>
      <c r="CA134" s="225" t="s">
        <v>71</v>
      </c>
      <c r="CB134" s="225" t="s">
        <v>7</v>
      </c>
      <c r="CC134" s="224" t="s">
        <v>2</v>
      </c>
      <c r="CD134" s="224" t="s">
        <v>52</v>
      </c>
      <c r="CE134" s="224" t="s">
        <v>53</v>
      </c>
      <c r="CF134" s="224" t="s">
        <v>54</v>
      </c>
      <c r="CG134" s="224" t="s">
        <v>55</v>
      </c>
      <c r="CH134" s="224" t="s">
        <v>3</v>
      </c>
      <c r="CI134" s="224" t="s">
        <v>56</v>
      </c>
      <c r="CJ134" s="224" t="s">
        <v>57</v>
      </c>
      <c r="CK134" s="224" t="s">
        <v>58</v>
      </c>
      <c r="CL134" s="224" t="s">
        <v>59</v>
      </c>
      <c r="CM134" s="224" t="s">
        <v>4</v>
      </c>
      <c r="CN134" s="224" t="s">
        <v>60</v>
      </c>
      <c r="CO134" s="224" t="s">
        <v>61</v>
      </c>
      <c r="CP134" s="224" t="s">
        <v>62</v>
      </c>
      <c r="CQ134" s="224" t="s">
        <v>63</v>
      </c>
      <c r="CR134" s="224" t="s">
        <v>5</v>
      </c>
      <c r="CS134" s="224" t="s">
        <v>64</v>
      </c>
      <c r="CT134" s="224" t="s">
        <v>65</v>
      </c>
      <c r="CU134" s="224" t="s">
        <v>66</v>
      </c>
      <c r="CV134" s="224" t="s">
        <v>67</v>
      </c>
      <c r="CW134" s="224" t="s">
        <v>6</v>
      </c>
      <c r="CX134" s="224" t="s">
        <v>68</v>
      </c>
      <c r="CY134" s="224" t="s">
        <v>69</v>
      </c>
      <c r="CZ134" s="224" t="s">
        <v>70</v>
      </c>
      <c r="DA134" s="224" t="s">
        <v>71</v>
      </c>
      <c r="DB134" s="224" t="s">
        <v>7</v>
      </c>
    </row>
    <row r="136" spans="1:106" s="219" customFormat="1" x14ac:dyDescent="0.35">
      <c r="A136" s="128" t="s">
        <v>745</v>
      </c>
      <c r="B136" s="31" t="s">
        <v>769</v>
      </c>
      <c r="C136" s="261">
        <v>7.4595904468561434E-5</v>
      </c>
      <c r="D136" s="261">
        <v>7.4531751055423876E-5</v>
      </c>
      <c r="E136" s="261">
        <v>7.4467746766928206E-5</v>
      </c>
      <c r="F136" s="261">
        <v>7.4351997638514558E-5</v>
      </c>
      <c r="G136" s="261">
        <v>7.4286942665403595E-5</v>
      </c>
      <c r="H136" s="261">
        <v>7.4221549010549634E-5</v>
      </c>
      <c r="I136" s="261">
        <v>7.4210323108201947E-5</v>
      </c>
      <c r="J136" s="261">
        <v>7.4202688259944146E-5</v>
      </c>
      <c r="K136" s="261">
        <v>7.4172627779283982E-5</v>
      </c>
      <c r="L136" s="261">
        <v>7.4169292212081424E-5</v>
      </c>
      <c r="M136" s="261">
        <v>7.4167851642885807E-5</v>
      </c>
      <c r="N136" s="261">
        <v>7.4226401449205832E-5</v>
      </c>
      <c r="O136" s="261">
        <v>7.4286856160984759E-5</v>
      </c>
      <c r="P136" s="261">
        <v>7.4345784751327676E-5</v>
      </c>
      <c r="Q136" s="261">
        <v>7.4411197954331641E-5</v>
      </c>
      <c r="R136" s="261">
        <v>7.4479193099429841E-5</v>
      </c>
      <c r="S136" s="261">
        <v>7.4311967161266304E-5</v>
      </c>
      <c r="T136" s="261">
        <v>7.4142583503062839E-5</v>
      </c>
      <c r="U136" s="261">
        <v>7.396538044659041E-5</v>
      </c>
      <c r="V136" s="261">
        <v>7.379129539121561E-5</v>
      </c>
      <c r="W136" s="261">
        <v>7.3614701160237852E-5</v>
      </c>
      <c r="X136" s="261">
        <v>7.3960552685465539E-5</v>
      </c>
      <c r="Y136" s="261">
        <v>7.3678688735982032E-5</v>
      </c>
      <c r="Z136" s="261">
        <v>7.3393745713727266E-5</v>
      </c>
      <c r="AA136" s="261">
        <v>7.3105652475466315E-5</v>
      </c>
      <c r="AB136" s="261">
        <v>7.2814348240497553E-5</v>
      </c>
      <c r="AC136" s="264">
        <v>8.896643556042816E-8</v>
      </c>
      <c r="AD136" s="264">
        <v>8.8800815112162084E-8</v>
      </c>
      <c r="AE136" s="264">
        <v>8.8636132139592607E-8</v>
      </c>
      <c r="AF136" s="264">
        <v>8.8313997260475848E-8</v>
      </c>
      <c r="AG136" s="264">
        <v>8.814828925549549E-8</v>
      </c>
      <c r="AH136" s="264">
        <v>8.7982007977655472E-8</v>
      </c>
      <c r="AI136" s="264">
        <v>8.7998192535287209E-8</v>
      </c>
      <c r="AJ136" s="264">
        <v>8.801615800443115E-8</v>
      </c>
      <c r="AK136" s="264">
        <v>8.7952313012788559E-8</v>
      </c>
      <c r="AL136" s="264">
        <v>8.7972693526696033E-8</v>
      </c>
      <c r="AM136" s="264">
        <v>8.7992362691367126E-8</v>
      </c>
      <c r="AN136" s="264">
        <v>8.8127410260654309E-8</v>
      </c>
      <c r="AO136" s="264">
        <v>8.8261889866149919E-8</v>
      </c>
      <c r="AP136" s="264">
        <v>8.837444026563418E-8</v>
      </c>
      <c r="AQ136" s="264">
        <v>8.8510004377170978E-8</v>
      </c>
      <c r="AR136" s="264">
        <v>8.864718358847638E-8</v>
      </c>
      <c r="AS136" s="264">
        <v>8.8298447178885571E-8</v>
      </c>
      <c r="AT136" s="264">
        <v>8.7943899016173658E-8</v>
      </c>
      <c r="AU136" s="264">
        <v>8.7561327861728275E-8</v>
      </c>
      <c r="AV136" s="264">
        <v>8.7197318103322441E-8</v>
      </c>
      <c r="AW136" s="264">
        <v>8.6828821504941885E-8</v>
      </c>
      <c r="AX136" s="264">
        <v>8.6689692637968366E-8</v>
      </c>
      <c r="AY136" s="264">
        <v>8.6113159905847361E-8</v>
      </c>
      <c r="AZ136" s="264">
        <v>8.5532159216861235E-8</v>
      </c>
      <c r="BA136" s="264">
        <v>8.4946674044322516E-8</v>
      </c>
      <c r="BB136" s="264">
        <v>8.4356675257074583E-8</v>
      </c>
      <c r="BC136" s="267">
        <v>0.92876273934293163</v>
      </c>
      <c r="BD136" s="267">
        <v>0.92685558800761991</v>
      </c>
      <c r="BE136" s="267">
        <v>0.92492538003487657</v>
      </c>
      <c r="BF136" s="267">
        <v>0.9184210688711073</v>
      </c>
      <c r="BG136" s="267">
        <v>0.91643908207282343</v>
      </c>
      <c r="BH136" s="267">
        <v>0.91442105965106413</v>
      </c>
      <c r="BI136" s="267">
        <v>0.91241785071977877</v>
      </c>
      <c r="BJ136" s="267">
        <v>0.9104136529904745</v>
      </c>
      <c r="BK136" s="267">
        <v>0.90525696975725567</v>
      </c>
      <c r="BL136" s="267">
        <v>0.90326810763446574</v>
      </c>
      <c r="BM136" s="267">
        <v>0.90127245591458449</v>
      </c>
      <c r="BN136" s="267">
        <v>0.90074792914249491</v>
      </c>
      <c r="BO136" s="267">
        <v>0.90023458063248007</v>
      </c>
      <c r="BP136" s="267">
        <v>0.89882520993759085</v>
      </c>
      <c r="BQ136" s="267">
        <v>0.89833602727278206</v>
      </c>
      <c r="BR136" s="267">
        <v>0.89786324060814693</v>
      </c>
      <c r="BS136" s="267">
        <v>0.89690588747260802</v>
      </c>
      <c r="BT136" s="267">
        <v>0.8959289738656554</v>
      </c>
      <c r="BU136" s="267">
        <v>0.89405812922520178</v>
      </c>
      <c r="BV136" s="267">
        <v>0.89305184387095249</v>
      </c>
      <c r="BW136" s="267">
        <v>0.89202611798130504</v>
      </c>
      <c r="BX136" s="267">
        <v>0.89178651399681619</v>
      </c>
      <c r="BY136" s="267">
        <v>0.8915752794586671</v>
      </c>
      <c r="BZ136" s="267">
        <v>0.89138990621288894</v>
      </c>
      <c r="CA136" s="267">
        <v>0.89123040809608067</v>
      </c>
      <c r="CB136" s="267">
        <v>0.89109719519884001</v>
      </c>
      <c r="CC136" s="270">
        <v>12.896862320762541</v>
      </c>
      <c r="CD136" s="270">
        <v>12.848830102253331</v>
      </c>
      <c r="CE136" s="270">
        <v>12.80156441284764</v>
      </c>
      <c r="CF136" s="270">
        <v>12.720854570533559</v>
      </c>
      <c r="CG136" s="270">
        <v>12.674102357751339</v>
      </c>
      <c r="CH136" s="270">
        <v>12.627438117599899</v>
      </c>
      <c r="CI136" s="270">
        <v>12.61729125071192</v>
      </c>
      <c r="CJ136" s="270">
        <v>12.608140189573669</v>
      </c>
      <c r="CK136" s="270">
        <v>12.579151647717859</v>
      </c>
      <c r="CL136" s="270">
        <v>12.57168748264905</v>
      </c>
      <c r="CM136" s="270">
        <v>12.564714610027</v>
      </c>
      <c r="CN136" s="270">
        <v>12.582102676223039</v>
      </c>
      <c r="CO136" s="270">
        <v>12.60023717271738</v>
      </c>
      <c r="CP136" s="270">
        <v>12.614753037729271</v>
      </c>
      <c r="CQ136" s="270">
        <v>12.634089250356659</v>
      </c>
      <c r="CR136" s="270">
        <v>12.65426128249713</v>
      </c>
      <c r="CS136" s="270">
        <v>12.5634601293274</v>
      </c>
      <c r="CT136" s="270">
        <v>12.472569955043969</v>
      </c>
      <c r="CU136" s="270">
        <v>12.37715482808269</v>
      </c>
      <c r="CV136" s="270">
        <v>12.28572033614326</v>
      </c>
      <c r="CW136" s="270">
        <v>12.19391455460984</v>
      </c>
      <c r="CX136" s="270">
        <v>12.0772803868872</v>
      </c>
      <c r="CY136" s="270">
        <v>11.945355498433569</v>
      </c>
      <c r="CZ136" s="270">
        <v>11.813399191823541</v>
      </c>
      <c r="DA136" s="270">
        <v>11.681383604913099</v>
      </c>
      <c r="DB136" s="270">
        <v>11.549291753460309</v>
      </c>
    </row>
    <row r="137" spans="1:106" s="219" customFormat="1" x14ac:dyDescent="0.35">
      <c r="A137" s="128" t="s">
        <v>746</v>
      </c>
      <c r="B137" s="31" t="s">
        <v>769</v>
      </c>
      <c r="C137" s="261">
        <v>7.4595904468561434E-5</v>
      </c>
      <c r="D137" s="261">
        <v>7.4531751055423876E-5</v>
      </c>
      <c r="E137" s="261">
        <v>7.4467746766928206E-5</v>
      </c>
      <c r="F137" s="261">
        <v>7.4351997638514558E-5</v>
      </c>
      <c r="G137" s="261">
        <v>7.4286942665403595E-5</v>
      </c>
      <c r="H137" s="261">
        <v>7.4221549010549634E-5</v>
      </c>
      <c r="I137" s="261">
        <v>7.4210323108201947E-5</v>
      </c>
      <c r="J137" s="261">
        <v>7.4202688259944146E-5</v>
      </c>
      <c r="K137" s="261">
        <v>7.4172627779283982E-5</v>
      </c>
      <c r="L137" s="261">
        <v>7.4169292212081424E-5</v>
      </c>
      <c r="M137" s="261">
        <v>7.4167851642885807E-5</v>
      </c>
      <c r="N137" s="261">
        <v>7.4226401449205832E-5</v>
      </c>
      <c r="O137" s="261">
        <v>7.4286856160984759E-5</v>
      </c>
      <c r="P137" s="261">
        <v>7.4345784751327676E-5</v>
      </c>
      <c r="Q137" s="261">
        <v>7.4411197954331641E-5</v>
      </c>
      <c r="R137" s="261">
        <v>7.4479193099429841E-5</v>
      </c>
      <c r="S137" s="261">
        <v>7.4311967161266304E-5</v>
      </c>
      <c r="T137" s="261">
        <v>7.4142583503062839E-5</v>
      </c>
      <c r="U137" s="261">
        <v>7.396538044659041E-5</v>
      </c>
      <c r="V137" s="261">
        <v>7.379129539121561E-5</v>
      </c>
      <c r="W137" s="261">
        <v>7.3614701160237852E-5</v>
      </c>
      <c r="X137" s="261">
        <v>7.3960552685465539E-5</v>
      </c>
      <c r="Y137" s="261">
        <v>7.3678688735982032E-5</v>
      </c>
      <c r="Z137" s="261">
        <v>7.3393745713727266E-5</v>
      </c>
      <c r="AA137" s="261">
        <v>7.3105652475466315E-5</v>
      </c>
      <c r="AB137" s="261">
        <v>7.2814348240497553E-5</v>
      </c>
      <c r="AC137" s="264">
        <v>8.896643556042816E-8</v>
      </c>
      <c r="AD137" s="264">
        <v>8.8800815112162084E-8</v>
      </c>
      <c r="AE137" s="264">
        <v>8.8636132139592607E-8</v>
      </c>
      <c r="AF137" s="264">
        <v>8.8313997260475848E-8</v>
      </c>
      <c r="AG137" s="264">
        <v>8.814828925549549E-8</v>
      </c>
      <c r="AH137" s="264">
        <v>8.7982007977655472E-8</v>
      </c>
      <c r="AI137" s="264">
        <v>8.7998192535287209E-8</v>
      </c>
      <c r="AJ137" s="264">
        <v>8.801615800443115E-8</v>
      </c>
      <c r="AK137" s="264">
        <v>8.7952313012788559E-8</v>
      </c>
      <c r="AL137" s="264">
        <v>8.7972693526696033E-8</v>
      </c>
      <c r="AM137" s="264">
        <v>8.7992362691367126E-8</v>
      </c>
      <c r="AN137" s="264">
        <v>8.8127410260654309E-8</v>
      </c>
      <c r="AO137" s="264">
        <v>8.8261889866149919E-8</v>
      </c>
      <c r="AP137" s="264">
        <v>8.837444026563418E-8</v>
      </c>
      <c r="AQ137" s="264">
        <v>8.8510004377170978E-8</v>
      </c>
      <c r="AR137" s="264">
        <v>8.864718358847638E-8</v>
      </c>
      <c r="AS137" s="264">
        <v>8.8298447178885571E-8</v>
      </c>
      <c r="AT137" s="264">
        <v>8.7943899016173658E-8</v>
      </c>
      <c r="AU137" s="264">
        <v>8.7561327861728275E-8</v>
      </c>
      <c r="AV137" s="264">
        <v>8.7197318103322441E-8</v>
      </c>
      <c r="AW137" s="264">
        <v>8.6828821504941885E-8</v>
      </c>
      <c r="AX137" s="264">
        <v>8.6689692637968366E-8</v>
      </c>
      <c r="AY137" s="264">
        <v>8.6113159905847361E-8</v>
      </c>
      <c r="AZ137" s="264">
        <v>8.5532159216861235E-8</v>
      </c>
      <c r="BA137" s="264">
        <v>8.4946674044322516E-8</v>
      </c>
      <c r="BB137" s="264">
        <v>8.4356675257074583E-8</v>
      </c>
      <c r="BC137" s="267">
        <v>0.92876273934293163</v>
      </c>
      <c r="BD137" s="267">
        <v>0.92685558800761991</v>
      </c>
      <c r="BE137" s="267">
        <v>0.92492538003487657</v>
      </c>
      <c r="BF137" s="267">
        <v>0.9184210688711073</v>
      </c>
      <c r="BG137" s="267">
        <v>0.91643908207282343</v>
      </c>
      <c r="BH137" s="267">
        <v>0.91442105965106413</v>
      </c>
      <c r="BI137" s="267">
        <v>0.91241785071977877</v>
      </c>
      <c r="BJ137" s="267">
        <v>0.9104136529904745</v>
      </c>
      <c r="BK137" s="267">
        <v>0.90525696975725567</v>
      </c>
      <c r="BL137" s="267">
        <v>0.90326810763446574</v>
      </c>
      <c r="BM137" s="267">
        <v>0.90127245591458449</v>
      </c>
      <c r="BN137" s="267">
        <v>0.90074792914249491</v>
      </c>
      <c r="BO137" s="267">
        <v>0.90023458063248007</v>
      </c>
      <c r="BP137" s="267">
        <v>0.89882520993759085</v>
      </c>
      <c r="BQ137" s="267">
        <v>0.89833602727278206</v>
      </c>
      <c r="BR137" s="267">
        <v>0.89786324060814693</v>
      </c>
      <c r="BS137" s="267">
        <v>0.89690588747260802</v>
      </c>
      <c r="BT137" s="267">
        <v>0.8959289738656554</v>
      </c>
      <c r="BU137" s="267">
        <v>0.89405812922520178</v>
      </c>
      <c r="BV137" s="267">
        <v>0.89305184387095249</v>
      </c>
      <c r="BW137" s="267">
        <v>0.89202611798130504</v>
      </c>
      <c r="BX137" s="267">
        <v>0.89178651399681619</v>
      </c>
      <c r="BY137" s="267">
        <v>0.8915752794586671</v>
      </c>
      <c r="BZ137" s="267">
        <v>0.89138990621288894</v>
      </c>
      <c r="CA137" s="267">
        <v>0.89123040809608067</v>
      </c>
      <c r="CB137" s="267">
        <v>0.89109719519884001</v>
      </c>
      <c r="CC137" s="270">
        <v>12.896862320762541</v>
      </c>
      <c r="CD137" s="270">
        <v>12.848830102253331</v>
      </c>
      <c r="CE137" s="270">
        <v>12.80156441284764</v>
      </c>
      <c r="CF137" s="270">
        <v>12.720854570533559</v>
      </c>
      <c r="CG137" s="270">
        <v>12.674102357751339</v>
      </c>
      <c r="CH137" s="270">
        <v>12.627438117599899</v>
      </c>
      <c r="CI137" s="270">
        <v>12.61729125071192</v>
      </c>
      <c r="CJ137" s="270">
        <v>12.608140189573669</v>
      </c>
      <c r="CK137" s="270">
        <v>12.579151647717859</v>
      </c>
      <c r="CL137" s="270">
        <v>12.57168748264905</v>
      </c>
      <c r="CM137" s="270">
        <v>12.564714610027</v>
      </c>
      <c r="CN137" s="270">
        <v>12.582102676223039</v>
      </c>
      <c r="CO137" s="270">
        <v>12.60023717271738</v>
      </c>
      <c r="CP137" s="270">
        <v>12.614753037729271</v>
      </c>
      <c r="CQ137" s="270">
        <v>12.634089250356659</v>
      </c>
      <c r="CR137" s="270">
        <v>12.65426128249713</v>
      </c>
      <c r="CS137" s="270">
        <v>12.5634601293274</v>
      </c>
      <c r="CT137" s="270">
        <v>12.472569955043969</v>
      </c>
      <c r="CU137" s="270">
        <v>12.37715482808269</v>
      </c>
      <c r="CV137" s="270">
        <v>12.28572033614326</v>
      </c>
      <c r="CW137" s="270">
        <v>12.19391455460984</v>
      </c>
      <c r="CX137" s="270">
        <v>12.0772803868872</v>
      </c>
      <c r="CY137" s="270">
        <v>11.945355498433569</v>
      </c>
      <c r="CZ137" s="270">
        <v>11.813399191823541</v>
      </c>
      <c r="DA137" s="270">
        <v>11.681383604913099</v>
      </c>
      <c r="DB137" s="270">
        <v>11.549291753460309</v>
      </c>
    </row>
    <row r="138" spans="1:106" s="219" customFormat="1" x14ac:dyDescent="0.35">
      <c r="A138" s="235" t="s">
        <v>772</v>
      </c>
      <c r="B138" s="234" t="s">
        <v>774</v>
      </c>
      <c r="C138" s="261">
        <v>8.2925786252132077E-4</v>
      </c>
      <c r="D138" s="261">
        <v>8.2870933343784587E-4</v>
      </c>
      <c r="E138" s="261">
        <v>8.2815708474412658E-4</v>
      </c>
      <c r="F138" s="261">
        <v>8.2727996542002267E-4</v>
      </c>
      <c r="G138" s="261">
        <v>8.2671425824812665E-4</v>
      </c>
      <c r="H138" s="261">
        <v>8.2614345208291851E-4</v>
      </c>
      <c r="I138" s="261">
        <v>8.2615384114766133E-4</v>
      </c>
      <c r="J138" s="261">
        <v>8.2619621814449505E-4</v>
      </c>
      <c r="K138" s="261">
        <v>8.2611193453349684E-4</v>
      </c>
      <c r="L138" s="261">
        <v>8.2620046675371817E-4</v>
      </c>
      <c r="M138" s="261">
        <v>8.263077705472641E-4</v>
      </c>
      <c r="N138" s="261">
        <v>8.2704523532919926E-4</v>
      </c>
      <c r="O138" s="261">
        <v>8.2779949030448142E-4</v>
      </c>
      <c r="P138" s="261">
        <v>8.285483584635205E-4</v>
      </c>
      <c r="Q138" s="261">
        <v>8.2934553448945735E-4</v>
      </c>
      <c r="R138" s="261">
        <v>8.301652892219088E-4</v>
      </c>
      <c r="S138" s="261">
        <v>8.2862262516374466E-4</v>
      </c>
      <c r="T138" s="261">
        <v>8.2705764466765993E-4</v>
      </c>
      <c r="U138" s="261">
        <v>8.2543248070755554E-4</v>
      </c>
      <c r="V138" s="261">
        <v>8.2381910378593736E-4</v>
      </c>
      <c r="W138" s="261">
        <v>8.2218013735249249E-4</v>
      </c>
      <c r="X138" s="261">
        <v>8.2659680018476857E-4</v>
      </c>
      <c r="Y138" s="261">
        <v>8.2396742924357308E-4</v>
      </c>
      <c r="Z138" s="261">
        <v>8.2130704645659233E-4</v>
      </c>
      <c r="AA138" s="261">
        <v>8.186149909103096E-4</v>
      </c>
      <c r="AB138" s="261">
        <v>8.1589064737162559E-4</v>
      </c>
      <c r="AC138" s="264">
        <v>9.287332863694522E-7</v>
      </c>
      <c r="AD138" s="264">
        <v>9.2728482220418576E-7</v>
      </c>
      <c r="AE138" s="264">
        <v>9.2583294374151515E-7</v>
      </c>
      <c r="AF138" s="264">
        <v>9.2339270803301199E-7</v>
      </c>
      <c r="AG138" s="264">
        <v>9.2192233689686193E-7</v>
      </c>
      <c r="AH138" s="264">
        <v>9.2044251634467282E-7</v>
      </c>
      <c r="AI138" s="264">
        <v>9.2083805957757676E-7</v>
      </c>
      <c r="AJ138" s="264">
        <v>9.2124349128187496E-7</v>
      </c>
      <c r="AK138" s="264">
        <v>9.2115091419373146E-7</v>
      </c>
      <c r="AL138" s="264">
        <v>9.215714838898512E-7</v>
      </c>
      <c r="AM138" s="264">
        <v>9.219874540560751E-7</v>
      </c>
      <c r="AN138" s="264">
        <v>9.2357592248752299E-7</v>
      </c>
      <c r="AO138" s="264">
        <v>9.2515493281752194E-7</v>
      </c>
      <c r="AP138" s="264">
        <v>9.265880592565606E-7</v>
      </c>
      <c r="AQ138" s="264">
        <v>9.2817022110142218E-7</v>
      </c>
      <c r="AR138" s="264">
        <v>9.2976418831491921E-7</v>
      </c>
      <c r="AS138" s="264">
        <v>9.2649403678781127E-7</v>
      </c>
      <c r="AT138" s="264">
        <v>9.2316999530705528E-7</v>
      </c>
      <c r="AU138" s="264">
        <v>9.1965055735470136E-7</v>
      </c>
      <c r="AV138" s="264">
        <v>9.1623820935455075E-7</v>
      </c>
      <c r="AW138" s="264">
        <v>9.1278356084672626E-7</v>
      </c>
      <c r="AX138" s="264">
        <v>9.1351183760172794E-7</v>
      </c>
      <c r="AY138" s="264">
        <v>9.0805075202881332E-7</v>
      </c>
      <c r="AZ138" s="264">
        <v>9.0254570604179031E-7</v>
      </c>
      <c r="BA138" s="264">
        <v>8.9699669762872358E-7</v>
      </c>
      <c r="BB138" s="264">
        <v>8.9140342658252773E-7</v>
      </c>
      <c r="BC138" s="267">
        <v>6.7719466544444238</v>
      </c>
      <c r="BD138" s="267">
        <v>6.7553878863022687</v>
      </c>
      <c r="BE138" s="267">
        <v>6.7385097855717344</v>
      </c>
      <c r="BF138" s="267">
        <v>6.6933036765424223</v>
      </c>
      <c r="BG138" s="267">
        <v>6.6757508228145577</v>
      </c>
      <c r="BH138" s="267">
        <v>6.657782416782454</v>
      </c>
      <c r="BI138" s="267">
        <v>6.6394144365820882</v>
      </c>
      <c r="BJ138" s="267">
        <v>6.62095384262006</v>
      </c>
      <c r="BK138" s="267">
        <v>6.5832140394512191</v>
      </c>
      <c r="BL138" s="267">
        <v>6.5646807374272074</v>
      </c>
      <c r="BM138" s="267">
        <v>6.5460091143250052</v>
      </c>
      <c r="BN138" s="267">
        <v>6.5428030636358203</v>
      </c>
      <c r="BO138" s="267">
        <v>6.53966312032252</v>
      </c>
      <c r="BP138" s="267">
        <v>6.5307695051414516</v>
      </c>
      <c r="BQ138" s="267">
        <v>6.5277568564175814</v>
      </c>
      <c r="BR138" s="267">
        <v>6.5248489394283942</v>
      </c>
      <c r="BS138" s="267">
        <v>6.5191340454456794</v>
      </c>
      <c r="BT138" s="267">
        <v>6.5132057483466204</v>
      </c>
      <c r="BU138" s="267">
        <v>6.5014684529621389</v>
      </c>
      <c r="BV138" s="267">
        <v>6.4951733890852621</v>
      </c>
      <c r="BW138" s="267">
        <v>6.4886644575033383</v>
      </c>
      <c r="BX138" s="267">
        <v>6.4881796482406244</v>
      </c>
      <c r="BY138" s="267">
        <v>6.4879764536768159</v>
      </c>
      <c r="BZ138" s="267">
        <v>6.4880316511031673</v>
      </c>
      <c r="CA138" s="267">
        <v>6.4883484435276291</v>
      </c>
      <c r="CB138" s="267">
        <v>6.4889310338673374</v>
      </c>
      <c r="CC138" s="270">
        <v>89.533540509168333</v>
      </c>
      <c r="CD138" s="270">
        <v>89.140687271298248</v>
      </c>
      <c r="CE138" s="270">
        <v>88.751519645637941</v>
      </c>
      <c r="CF138" s="270">
        <v>88.156060651710106</v>
      </c>
      <c r="CG138" s="270">
        <v>87.769238925852747</v>
      </c>
      <c r="CH138" s="270">
        <v>87.382282879788391</v>
      </c>
      <c r="CI138" s="270">
        <v>87.366191005149332</v>
      </c>
      <c r="CJ138" s="270">
        <v>87.357102760072067</v>
      </c>
      <c r="CK138" s="270">
        <v>87.229178241955822</v>
      </c>
      <c r="CL138" s="270">
        <v>87.232722552879437</v>
      </c>
      <c r="CM138" s="270">
        <v>87.239634912459252</v>
      </c>
      <c r="CN138" s="270">
        <v>87.492988689602953</v>
      </c>
      <c r="CO138" s="270">
        <v>87.752146447247426</v>
      </c>
      <c r="CP138" s="270">
        <v>87.988430361822566</v>
      </c>
      <c r="CQ138" s="270">
        <v>88.256715143685028</v>
      </c>
      <c r="CR138" s="270">
        <v>88.531648814794195</v>
      </c>
      <c r="CS138" s="270">
        <v>87.710715529081213</v>
      </c>
      <c r="CT138" s="270">
        <v>86.888631730995684</v>
      </c>
      <c r="CU138" s="270">
        <v>86.036227288759179</v>
      </c>
      <c r="CV138" s="270">
        <v>85.208313942226297</v>
      </c>
      <c r="CW138" s="270">
        <v>84.376662964951706</v>
      </c>
      <c r="CX138" s="270">
        <v>83.307157289698424</v>
      </c>
      <c r="CY138" s="270">
        <v>82.080957965048356</v>
      </c>
      <c r="CZ138" s="270">
        <v>80.854742337263815</v>
      </c>
      <c r="DA138" s="270">
        <v>79.628277219097583</v>
      </c>
      <c r="DB138" s="270">
        <v>78.401392772268935</v>
      </c>
    </row>
    <row r="139" spans="1:106" s="219" customFormat="1" x14ac:dyDescent="0.35">
      <c r="A139" s="235" t="s">
        <v>773</v>
      </c>
      <c r="B139" s="234" t="s">
        <v>774</v>
      </c>
      <c r="C139" s="261">
        <v>2.4944956846161632E-4</v>
      </c>
      <c r="D139" s="261">
        <v>2.4937895732309783E-4</v>
      </c>
      <c r="E139" s="261">
        <v>2.4930900620097682E-4</v>
      </c>
      <c r="F139" s="261">
        <v>2.4911810902204909E-4</v>
      </c>
      <c r="G139" s="261">
        <v>2.490496600446145E-4</v>
      </c>
      <c r="H139" s="261">
        <v>2.4898166883004241E-4</v>
      </c>
      <c r="I139" s="261">
        <v>2.4888772595336962E-4</v>
      </c>
      <c r="J139" s="261">
        <v>2.4881983708668231E-4</v>
      </c>
      <c r="K139" s="261">
        <v>2.4871583266899148E-4</v>
      </c>
      <c r="L139" s="261">
        <v>2.4869280582952611E-4</v>
      </c>
      <c r="M139" s="261">
        <v>2.4868789755031102E-4</v>
      </c>
      <c r="N139" s="261">
        <v>2.4892089696522271E-4</v>
      </c>
      <c r="O139" s="261">
        <v>2.4917223853367619E-4</v>
      </c>
      <c r="P139" s="261">
        <v>2.4942933012670718E-4</v>
      </c>
      <c r="Q139" s="261">
        <v>2.4971311681052391E-4</v>
      </c>
      <c r="R139" s="261">
        <v>2.5001444801917689E-4</v>
      </c>
      <c r="S139" s="261">
        <v>2.4976952676794518E-4</v>
      </c>
      <c r="T139" s="261">
        <v>2.4952308674117482E-4</v>
      </c>
      <c r="U139" s="261">
        <v>2.4926007971420188E-4</v>
      </c>
      <c r="V139" s="261">
        <v>2.490095067088555E-4</v>
      </c>
      <c r="W139" s="261">
        <v>2.487564858887531E-4</v>
      </c>
      <c r="X139" s="261">
        <v>2.5012405778884159E-4</v>
      </c>
      <c r="Y139" s="261">
        <v>2.4961336044482062E-4</v>
      </c>
      <c r="Z139" s="261">
        <v>2.4909790523105748E-4</v>
      </c>
      <c r="AA139" s="261">
        <v>2.4857766464757172E-4</v>
      </c>
      <c r="AB139" s="261">
        <v>2.4805262031985062E-4</v>
      </c>
      <c r="AC139" s="264">
        <v>2.7103872270442849E-7</v>
      </c>
      <c r="AD139" s="264">
        <v>2.7066936342283312E-7</v>
      </c>
      <c r="AE139" s="264">
        <v>2.7030545275966818E-7</v>
      </c>
      <c r="AF139" s="264">
        <v>2.6957387909029418E-7</v>
      </c>
      <c r="AG139" s="264">
        <v>2.6922040313920881E-7</v>
      </c>
      <c r="AH139" s="264">
        <v>2.6887060441958091E-7</v>
      </c>
      <c r="AI139" s="264">
        <v>2.6910361187851083E-7</v>
      </c>
      <c r="AJ139" s="264">
        <v>2.6935236595463918E-7</v>
      </c>
      <c r="AK139" s="264">
        <v>2.6941930946568661E-7</v>
      </c>
      <c r="AL139" s="264">
        <v>2.6969540612496388E-7</v>
      </c>
      <c r="AM139" s="264">
        <v>2.6998137954899012E-7</v>
      </c>
      <c r="AN139" s="264">
        <v>2.7071626150497301E-7</v>
      </c>
      <c r="AO139" s="264">
        <v>2.7146005321400108E-7</v>
      </c>
      <c r="AP139" s="264">
        <v>2.7215536618064602E-7</v>
      </c>
      <c r="AQ139" s="264">
        <v>2.7291777384514031E-7</v>
      </c>
      <c r="AR139" s="264">
        <v>2.7369677875178879E-7</v>
      </c>
      <c r="AS139" s="264">
        <v>2.7321837868461369E-7</v>
      </c>
      <c r="AT139" s="264">
        <v>2.7272948460184149E-7</v>
      </c>
      <c r="AU139" s="264">
        <v>2.721726574178658E-7</v>
      </c>
      <c r="AV139" s="264">
        <v>2.7166601332628068E-7</v>
      </c>
      <c r="AW139" s="264">
        <v>2.7115088330341421E-7</v>
      </c>
      <c r="AX139" s="264">
        <v>2.7181715056238328E-7</v>
      </c>
      <c r="AY139" s="264">
        <v>2.7063400894942421E-7</v>
      </c>
      <c r="AZ139" s="264">
        <v>2.6944235105311438E-7</v>
      </c>
      <c r="BA139" s="264">
        <v>2.6824212174337559E-7</v>
      </c>
      <c r="BB139" s="264">
        <v>2.670332541976296E-7</v>
      </c>
      <c r="BC139" s="267">
        <v>2.9806938874842919</v>
      </c>
      <c r="BD139" s="267">
        <v>2.973806561950278</v>
      </c>
      <c r="BE139" s="267">
        <v>2.9670804928965362</v>
      </c>
      <c r="BF139" s="267">
        <v>2.9498186350559079</v>
      </c>
      <c r="BG139" s="267">
        <v>2.9434219075048298</v>
      </c>
      <c r="BH139" s="267">
        <v>2.937153925310235</v>
      </c>
      <c r="BI139" s="267">
        <v>2.9309533303338142</v>
      </c>
      <c r="BJ139" s="267">
        <v>2.9249613450793488</v>
      </c>
      <c r="BK139" s="267">
        <v>2.9117566072033791</v>
      </c>
      <c r="BL139" s="267">
        <v>2.9061993385124039</v>
      </c>
      <c r="BM139" s="267">
        <v>2.9008124781360052</v>
      </c>
      <c r="BN139" s="267">
        <v>2.8959067274467518</v>
      </c>
      <c r="BO139" s="267">
        <v>2.8911726515042502</v>
      </c>
      <c r="BP139" s="267">
        <v>2.8843383355570191</v>
      </c>
      <c r="BQ139" s="267">
        <v>2.879928232731876</v>
      </c>
      <c r="BR139" s="267">
        <v>2.8757175709881349</v>
      </c>
      <c r="BS139" s="267">
        <v>2.8720979529935979</v>
      </c>
      <c r="BT139" s="267">
        <v>2.868563290679178</v>
      </c>
      <c r="BU139" s="267">
        <v>2.862932173065535</v>
      </c>
      <c r="BV139" s="267">
        <v>2.8595840745067571</v>
      </c>
      <c r="BW139" s="267">
        <v>2.8563169138775808</v>
      </c>
      <c r="BX139" s="267">
        <v>2.8538773312209682</v>
      </c>
      <c r="BY139" s="267">
        <v>2.8514950859064041</v>
      </c>
      <c r="BZ139" s="267">
        <v>2.8491637749242549</v>
      </c>
      <c r="CA139" s="267">
        <v>2.846883087201622</v>
      </c>
      <c r="CB139" s="267">
        <v>2.8446530331649829</v>
      </c>
      <c r="CC139" s="270">
        <v>30.074254738707801</v>
      </c>
      <c r="CD139" s="270">
        <v>29.967025895702061</v>
      </c>
      <c r="CE139" s="270">
        <v>29.86231717646001</v>
      </c>
      <c r="CF139" s="270">
        <v>29.680639600343831</v>
      </c>
      <c r="CG139" s="270">
        <v>29.580653208263222</v>
      </c>
      <c r="CH139" s="270">
        <v>29.48226878247824</v>
      </c>
      <c r="CI139" s="270">
        <v>29.488610989066601</v>
      </c>
      <c r="CJ139" s="270">
        <v>29.501082055881909</v>
      </c>
      <c r="CK139" s="270">
        <v>29.470795139063021</v>
      </c>
      <c r="CL139" s="270">
        <v>29.49452577039256</v>
      </c>
      <c r="CM139" s="270">
        <v>29.52254927756735</v>
      </c>
      <c r="CN139" s="270">
        <v>29.627980325982321</v>
      </c>
      <c r="CO139" s="270">
        <v>29.738459081384239</v>
      </c>
      <c r="CP139" s="270">
        <v>29.842614248466429</v>
      </c>
      <c r="CQ139" s="270">
        <v>29.961925194113832</v>
      </c>
      <c r="CR139" s="270">
        <v>30.08732699717693</v>
      </c>
      <c r="CS139" s="270">
        <v>29.920905262426611</v>
      </c>
      <c r="CT139" s="270">
        <v>29.754848873931969</v>
      </c>
      <c r="CU139" s="270">
        <v>29.577875884740251</v>
      </c>
      <c r="CV139" s="270">
        <v>29.411667672304311</v>
      </c>
      <c r="CW139" s="270">
        <v>29.245153724000811</v>
      </c>
      <c r="CX139" s="270">
        <v>29.01342837552825</v>
      </c>
      <c r="CY139" s="270">
        <v>28.714835425936378</v>
      </c>
      <c r="CZ139" s="270">
        <v>28.415287265269541</v>
      </c>
      <c r="DA139" s="270">
        <v>28.114746893596902</v>
      </c>
      <c r="DB139" s="270">
        <v>27.813187495188721</v>
      </c>
    </row>
    <row r="140" spans="1:106" s="219" customFormat="1" x14ac:dyDescent="0.35">
      <c r="A140" s="235" t="s">
        <v>747</v>
      </c>
      <c r="B140" s="234" t="s">
        <v>769</v>
      </c>
      <c r="C140" s="261">
        <v>6.9937042487871125E-4</v>
      </c>
      <c r="D140" s="261">
        <v>6.9886550457017287E-4</v>
      </c>
      <c r="E140" s="261">
        <v>6.9836243020313885E-4</v>
      </c>
      <c r="F140" s="261">
        <v>6.973198799565736E-4</v>
      </c>
      <c r="G140" s="261">
        <v>6.9681634929306437E-4</v>
      </c>
      <c r="H140" s="261">
        <v>6.9631439458994488E-4</v>
      </c>
      <c r="I140" s="261">
        <v>6.9623493141380806E-4</v>
      </c>
      <c r="J140" s="261">
        <v>6.9617001075498856E-4</v>
      </c>
      <c r="K140" s="261">
        <v>6.9584699447703823E-4</v>
      </c>
      <c r="L140" s="261">
        <v>6.95805954085389E-4</v>
      </c>
      <c r="M140" s="261">
        <v>6.957746327487756E-4</v>
      </c>
      <c r="N140" s="261">
        <v>6.9632696617873114E-4</v>
      </c>
      <c r="O140" s="261">
        <v>6.968881727073997E-4</v>
      </c>
      <c r="P140" s="261">
        <v>6.9742049044587838E-4</v>
      </c>
      <c r="Q140" s="261">
        <v>6.9800590152005394E-4</v>
      </c>
      <c r="R140" s="261">
        <v>6.9860241759409059E-4</v>
      </c>
      <c r="S140" s="261">
        <v>6.9751653220851664E-4</v>
      </c>
      <c r="T140" s="261">
        <v>6.9642314568367698E-4</v>
      </c>
      <c r="U140" s="261">
        <v>6.9526619074658839E-4</v>
      </c>
      <c r="V140" s="261">
        <v>6.9415708110240023E-4</v>
      </c>
      <c r="W140" s="261">
        <v>6.9303945940074672E-4</v>
      </c>
      <c r="X140" s="261">
        <v>6.9609054526051026E-4</v>
      </c>
      <c r="Y140" s="261">
        <v>6.9443555996005183E-4</v>
      </c>
      <c r="Z140" s="261">
        <v>6.9277187143536464E-4</v>
      </c>
      <c r="AA140" s="261">
        <v>6.9109933947819049E-4</v>
      </c>
      <c r="AB140" s="261">
        <v>6.8941785423450833E-4</v>
      </c>
      <c r="AC140" s="264">
        <v>8.9556849444494652E-7</v>
      </c>
      <c r="AD140" s="264">
        <v>8.9452362416646422E-7</v>
      </c>
      <c r="AE140" s="264">
        <v>8.9348664748268591E-7</v>
      </c>
      <c r="AF140" s="264">
        <v>8.9080415180517653E-7</v>
      </c>
      <c r="AG140" s="264">
        <v>8.8977143219690325E-7</v>
      </c>
      <c r="AH140" s="264">
        <v>8.8874251107142352E-7</v>
      </c>
      <c r="AI140" s="264">
        <v>8.8887139109303594E-7</v>
      </c>
      <c r="AJ140" s="264">
        <v>8.8900905860033864E-7</v>
      </c>
      <c r="AK140" s="264">
        <v>8.8827021170427028E-7</v>
      </c>
      <c r="AL140" s="264">
        <v>8.8842579411087917E-7</v>
      </c>
      <c r="AM140" s="264">
        <v>8.8858491285023278E-7</v>
      </c>
      <c r="AN140" s="264">
        <v>8.8999453936417858E-7</v>
      </c>
      <c r="AO140" s="264">
        <v>8.9140145496605752E-7</v>
      </c>
      <c r="AP140" s="264">
        <v>8.925870707997299E-7</v>
      </c>
      <c r="AQ140" s="264">
        <v>8.9400476046550807E-7</v>
      </c>
      <c r="AR140" s="264">
        <v>8.9543070991199809E-7</v>
      </c>
      <c r="AS140" s="264">
        <v>8.9315968671235837E-7</v>
      </c>
      <c r="AT140" s="264">
        <v>8.9087085000098303E-7</v>
      </c>
      <c r="AU140" s="264">
        <v>8.8833231826164748E-7</v>
      </c>
      <c r="AV140" s="264">
        <v>8.8601397650207894E-7</v>
      </c>
      <c r="AW140" s="264">
        <v>8.8368110177534628E-7</v>
      </c>
      <c r="AX140" s="264">
        <v>8.8454585435604571E-7</v>
      </c>
      <c r="AY140" s="264">
        <v>8.8100185281046829E-7</v>
      </c>
      <c r="AZ140" s="264">
        <v>8.7744527291796726E-7</v>
      </c>
      <c r="BA140" s="264">
        <v>8.7387564810058546E-7</v>
      </c>
      <c r="BB140" s="264">
        <v>8.7029252246522716E-7</v>
      </c>
      <c r="BC140" s="267">
        <v>22.61065304192724</v>
      </c>
      <c r="BD140" s="267">
        <v>22.596949737517829</v>
      </c>
      <c r="BE140" s="267">
        <v>22.58339950699127</v>
      </c>
      <c r="BF140" s="267">
        <v>22.521834440098491</v>
      </c>
      <c r="BG140" s="267">
        <v>22.50863702152856</v>
      </c>
      <c r="BH140" s="267">
        <v>22.495545344643979</v>
      </c>
      <c r="BI140" s="267">
        <v>22.482307929468011</v>
      </c>
      <c r="BJ140" s="267">
        <v>22.46920633642419</v>
      </c>
      <c r="BK140" s="267">
        <v>22.42267730600398</v>
      </c>
      <c r="BL140" s="267">
        <v>22.41005682670016</v>
      </c>
      <c r="BM140" s="267">
        <v>22.397550212049239</v>
      </c>
      <c r="BN140" s="267">
        <v>22.395599857304219</v>
      </c>
      <c r="BO140" s="267">
        <v>22.393719619938832</v>
      </c>
      <c r="BP140" s="267">
        <v>22.38265832579626</v>
      </c>
      <c r="BQ140" s="267">
        <v>22.380977550092691</v>
      </c>
      <c r="BR140" s="267">
        <v>22.379380429257171</v>
      </c>
      <c r="BS140" s="267">
        <v>22.38190000732207</v>
      </c>
      <c r="BT140" s="267">
        <v>22.384449430895408</v>
      </c>
      <c r="BU140" s="267">
        <v>22.378086027830751</v>
      </c>
      <c r="BV140" s="267">
        <v>22.380796931031</v>
      </c>
      <c r="BW140" s="267">
        <v>22.383538437018839</v>
      </c>
      <c r="BX140" s="267">
        <v>22.390719035169219</v>
      </c>
      <c r="BY140" s="267">
        <v>22.397980643180059</v>
      </c>
      <c r="BZ140" s="267">
        <v>22.405304420291241</v>
      </c>
      <c r="CA140" s="267">
        <v>22.412690058147149</v>
      </c>
      <c r="CB140" s="267">
        <v>22.420138049656771</v>
      </c>
      <c r="CC140" s="270">
        <v>135.6623536154797</v>
      </c>
      <c r="CD140" s="270">
        <v>135.41884612123829</v>
      </c>
      <c r="CE140" s="270">
        <v>135.1788359696267</v>
      </c>
      <c r="CF140" s="270">
        <v>134.58433465105759</v>
      </c>
      <c r="CG140" s="270">
        <v>134.3484730280953</v>
      </c>
      <c r="CH140" s="270">
        <v>134.1139503792588</v>
      </c>
      <c r="CI140" s="270">
        <v>134.09792955061189</v>
      </c>
      <c r="CJ140" s="270">
        <v>134.08646223016731</v>
      </c>
      <c r="CK140" s="270">
        <v>133.85826385372479</v>
      </c>
      <c r="CL140" s="270">
        <v>133.85728604703181</v>
      </c>
      <c r="CM140" s="270">
        <v>133.85910981610979</v>
      </c>
      <c r="CN140" s="270">
        <v>134.13242567269481</v>
      </c>
      <c r="CO140" s="270">
        <v>134.40951712370759</v>
      </c>
      <c r="CP140" s="270">
        <v>134.64762599548979</v>
      </c>
      <c r="CQ140" s="270">
        <v>134.9327450449895</v>
      </c>
      <c r="CR140" s="270">
        <v>135.2217598254737</v>
      </c>
      <c r="CS140" s="270">
        <v>134.67850674791279</v>
      </c>
      <c r="CT140" s="270">
        <v>134.13354011077249</v>
      </c>
      <c r="CU140" s="270">
        <v>133.54268823167291</v>
      </c>
      <c r="CV140" s="270">
        <v>132.99310007050931</v>
      </c>
      <c r="CW140" s="270">
        <v>132.44061732688161</v>
      </c>
      <c r="CX140" s="270">
        <v>131.76585579503251</v>
      </c>
      <c r="CY140" s="270">
        <v>130.9620253813091</v>
      </c>
      <c r="CZ140" s="270">
        <v>130.1558967291881</v>
      </c>
      <c r="DA140" s="270">
        <v>129.34738593952039</v>
      </c>
      <c r="DB140" s="270">
        <v>128.53643676841</v>
      </c>
    </row>
    <row r="142" spans="1:106" s="11" customFormat="1" ht="21" x14ac:dyDescent="0.5">
      <c r="A142" s="11" t="s">
        <v>73</v>
      </c>
    </row>
    <row r="143" spans="1:106" s="219" customFormat="1" x14ac:dyDescent="0.35">
      <c r="A143" s="29" t="s">
        <v>0</v>
      </c>
      <c r="B143" s="29"/>
      <c r="C143" s="332" t="s">
        <v>49</v>
      </c>
      <c r="D143" s="332"/>
      <c r="E143" s="332"/>
      <c r="F143" s="332"/>
      <c r="G143" s="332"/>
      <c r="H143" s="332"/>
      <c r="I143" s="332"/>
      <c r="J143" s="332"/>
      <c r="K143" s="332"/>
      <c r="L143" s="332"/>
      <c r="M143" s="332"/>
      <c r="N143" s="332"/>
      <c r="O143" s="332"/>
      <c r="P143" s="332"/>
      <c r="Q143" s="332"/>
      <c r="R143" s="332"/>
      <c r="S143" s="332"/>
      <c r="T143" s="332"/>
      <c r="U143" s="332"/>
      <c r="V143" s="332"/>
      <c r="W143" s="332"/>
      <c r="X143" s="332"/>
      <c r="Y143" s="332"/>
      <c r="Z143" s="332"/>
      <c r="AA143" s="332"/>
      <c r="AB143" s="332"/>
      <c r="AC143" s="333" t="s">
        <v>50</v>
      </c>
      <c r="AD143" s="333"/>
      <c r="AE143" s="333"/>
      <c r="AF143" s="333"/>
      <c r="AG143" s="333"/>
      <c r="AH143" s="333"/>
      <c r="AI143" s="333"/>
      <c r="AJ143" s="333"/>
      <c r="AK143" s="333"/>
      <c r="AL143" s="333"/>
      <c r="AM143" s="333"/>
      <c r="AN143" s="333"/>
      <c r="AO143" s="333"/>
      <c r="AP143" s="333"/>
      <c r="AQ143" s="333"/>
      <c r="AR143" s="333"/>
      <c r="AS143" s="333"/>
      <c r="AT143" s="333"/>
      <c r="AU143" s="333"/>
      <c r="AV143" s="333"/>
      <c r="AW143" s="333"/>
      <c r="AX143" s="333"/>
      <c r="AY143" s="333"/>
      <c r="AZ143" s="333"/>
      <c r="BA143" s="333"/>
      <c r="BB143" s="333"/>
      <c r="BC143" s="334" t="s">
        <v>756</v>
      </c>
      <c r="BD143" s="335"/>
      <c r="BE143" s="335"/>
      <c r="BF143" s="335"/>
      <c r="BG143" s="335"/>
      <c r="BH143" s="335"/>
      <c r="BI143" s="335"/>
      <c r="BJ143" s="335"/>
      <c r="BK143" s="335"/>
      <c r="BL143" s="335"/>
      <c r="BM143" s="335"/>
      <c r="BN143" s="335"/>
      <c r="BO143" s="335"/>
      <c r="BP143" s="335"/>
      <c r="BQ143" s="335"/>
      <c r="BR143" s="335"/>
      <c r="BS143" s="335"/>
      <c r="BT143" s="335"/>
      <c r="BU143" s="335"/>
      <c r="BV143" s="335"/>
      <c r="BW143" s="335"/>
      <c r="BX143" s="335"/>
      <c r="BY143" s="335"/>
      <c r="BZ143" s="335"/>
      <c r="CA143" s="335"/>
      <c r="CB143" s="336"/>
      <c r="CC143" s="337" t="s">
        <v>51</v>
      </c>
      <c r="CD143" s="337"/>
      <c r="CE143" s="337"/>
      <c r="CF143" s="337"/>
      <c r="CG143" s="337"/>
      <c r="CH143" s="337"/>
      <c r="CI143" s="337"/>
      <c r="CJ143" s="337"/>
      <c r="CK143" s="337"/>
      <c r="CL143" s="337"/>
      <c r="CM143" s="337"/>
      <c r="CN143" s="337"/>
      <c r="CO143" s="337"/>
      <c r="CP143" s="337"/>
      <c r="CQ143" s="337"/>
      <c r="CR143" s="337"/>
      <c r="CS143" s="337"/>
      <c r="CT143" s="337"/>
      <c r="CU143" s="337"/>
      <c r="CV143" s="337"/>
      <c r="CW143" s="337"/>
      <c r="CX143" s="337"/>
      <c r="CY143" s="337"/>
      <c r="CZ143" s="337"/>
      <c r="DA143" s="337"/>
      <c r="DB143" s="337"/>
    </row>
    <row r="144" spans="1:106" s="219" customFormat="1" x14ac:dyDescent="0.35">
      <c r="A144" s="29" t="s">
        <v>1</v>
      </c>
      <c r="B144" s="29" t="s">
        <v>180</v>
      </c>
      <c r="C144" s="222" t="s">
        <v>8</v>
      </c>
      <c r="D144" s="222" t="s">
        <v>74</v>
      </c>
      <c r="E144" s="222" t="s">
        <v>75</v>
      </c>
      <c r="F144" s="222" t="s">
        <v>76</v>
      </c>
      <c r="G144" s="222" t="s">
        <v>77</v>
      </c>
      <c r="H144" s="222" t="s">
        <v>9</v>
      </c>
      <c r="I144" s="222" t="s">
        <v>78</v>
      </c>
      <c r="J144" s="222" t="s">
        <v>79</v>
      </c>
      <c r="K144" s="222" t="s">
        <v>80</v>
      </c>
      <c r="L144" s="222" t="s">
        <v>81</v>
      </c>
      <c r="M144" s="222" t="s">
        <v>10</v>
      </c>
      <c r="N144" s="222" t="s">
        <v>82</v>
      </c>
      <c r="O144" s="222" t="s">
        <v>83</v>
      </c>
      <c r="P144" s="222" t="s">
        <v>84</v>
      </c>
      <c r="Q144" s="222" t="s">
        <v>85</v>
      </c>
      <c r="R144" s="222" t="s">
        <v>11</v>
      </c>
      <c r="S144" s="222" t="s">
        <v>86</v>
      </c>
      <c r="T144" s="222" t="s">
        <v>87</v>
      </c>
      <c r="U144" s="222" t="s">
        <v>88</v>
      </c>
      <c r="V144" s="222" t="s">
        <v>89</v>
      </c>
      <c r="W144" s="222" t="s">
        <v>12</v>
      </c>
      <c r="X144" s="222" t="s">
        <v>90</v>
      </c>
      <c r="Y144" s="222" t="s">
        <v>91</v>
      </c>
      <c r="Z144" s="222" t="s">
        <v>92</v>
      </c>
      <c r="AA144" s="222" t="s">
        <v>93</v>
      </c>
      <c r="AB144" s="222" t="s">
        <v>13</v>
      </c>
      <c r="AC144" s="223" t="s">
        <v>8</v>
      </c>
      <c r="AD144" s="223" t="s">
        <v>74</v>
      </c>
      <c r="AE144" s="223" t="s">
        <v>75</v>
      </c>
      <c r="AF144" s="223" t="s">
        <v>76</v>
      </c>
      <c r="AG144" s="223" t="s">
        <v>77</v>
      </c>
      <c r="AH144" s="223" t="s">
        <v>9</v>
      </c>
      <c r="AI144" s="223" t="s">
        <v>78</v>
      </c>
      <c r="AJ144" s="223" t="s">
        <v>79</v>
      </c>
      <c r="AK144" s="223" t="s">
        <v>80</v>
      </c>
      <c r="AL144" s="223" t="s">
        <v>81</v>
      </c>
      <c r="AM144" s="223" t="s">
        <v>10</v>
      </c>
      <c r="AN144" s="223" t="s">
        <v>82</v>
      </c>
      <c r="AO144" s="223" t="s">
        <v>83</v>
      </c>
      <c r="AP144" s="223" t="s">
        <v>84</v>
      </c>
      <c r="AQ144" s="223" t="s">
        <v>85</v>
      </c>
      <c r="AR144" s="223" t="s">
        <v>11</v>
      </c>
      <c r="AS144" s="223" t="s">
        <v>86</v>
      </c>
      <c r="AT144" s="223" t="s">
        <v>87</v>
      </c>
      <c r="AU144" s="223" t="s">
        <v>88</v>
      </c>
      <c r="AV144" s="223" t="s">
        <v>89</v>
      </c>
      <c r="AW144" s="223" t="s">
        <v>12</v>
      </c>
      <c r="AX144" s="223" t="s">
        <v>90</v>
      </c>
      <c r="AY144" s="223" t="s">
        <v>91</v>
      </c>
      <c r="AZ144" s="223" t="s">
        <v>92</v>
      </c>
      <c r="BA144" s="223" t="s">
        <v>93</v>
      </c>
      <c r="BB144" s="223" t="s">
        <v>13</v>
      </c>
      <c r="BC144" s="225" t="s">
        <v>8</v>
      </c>
      <c r="BD144" s="225" t="s">
        <v>74</v>
      </c>
      <c r="BE144" s="225" t="s">
        <v>75</v>
      </c>
      <c r="BF144" s="225" t="s">
        <v>76</v>
      </c>
      <c r="BG144" s="225" t="s">
        <v>77</v>
      </c>
      <c r="BH144" s="225" t="s">
        <v>9</v>
      </c>
      <c r="BI144" s="225" t="s">
        <v>78</v>
      </c>
      <c r="BJ144" s="225" t="s">
        <v>79</v>
      </c>
      <c r="BK144" s="225" t="s">
        <v>80</v>
      </c>
      <c r="BL144" s="225" t="s">
        <v>81</v>
      </c>
      <c r="BM144" s="225" t="s">
        <v>10</v>
      </c>
      <c r="BN144" s="225" t="s">
        <v>82</v>
      </c>
      <c r="BO144" s="225" t="s">
        <v>83</v>
      </c>
      <c r="BP144" s="225" t="s">
        <v>84</v>
      </c>
      <c r="BQ144" s="225" t="s">
        <v>85</v>
      </c>
      <c r="BR144" s="225" t="s">
        <v>11</v>
      </c>
      <c r="BS144" s="225" t="s">
        <v>86</v>
      </c>
      <c r="BT144" s="225" t="s">
        <v>87</v>
      </c>
      <c r="BU144" s="225" t="s">
        <v>88</v>
      </c>
      <c r="BV144" s="225" t="s">
        <v>89</v>
      </c>
      <c r="BW144" s="225" t="s">
        <v>12</v>
      </c>
      <c r="BX144" s="225" t="s">
        <v>90</v>
      </c>
      <c r="BY144" s="225" t="s">
        <v>91</v>
      </c>
      <c r="BZ144" s="225" t="s">
        <v>92</v>
      </c>
      <c r="CA144" s="225" t="s">
        <v>93</v>
      </c>
      <c r="CB144" s="225" t="s">
        <v>13</v>
      </c>
      <c r="CC144" s="224" t="s">
        <v>8</v>
      </c>
      <c r="CD144" s="224" t="s">
        <v>74</v>
      </c>
      <c r="CE144" s="224" t="s">
        <v>75</v>
      </c>
      <c r="CF144" s="224" t="s">
        <v>76</v>
      </c>
      <c r="CG144" s="224" t="s">
        <v>77</v>
      </c>
      <c r="CH144" s="224" t="s">
        <v>9</v>
      </c>
      <c r="CI144" s="224" t="s">
        <v>78</v>
      </c>
      <c r="CJ144" s="224" t="s">
        <v>79</v>
      </c>
      <c r="CK144" s="224" t="s">
        <v>80</v>
      </c>
      <c r="CL144" s="224" t="s">
        <v>81</v>
      </c>
      <c r="CM144" s="224" t="s">
        <v>10</v>
      </c>
      <c r="CN144" s="224" t="s">
        <v>82</v>
      </c>
      <c r="CO144" s="224" t="s">
        <v>83</v>
      </c>
      <c r="CP144" s="224" t="s">
        <v>84</v>
      </c>
      <c r="CQ144" s="224" t="s">
        <v>85</v>
      </c>
      <c r="CR144" s="224" t="s">
        <v>11</v>
      </c>
      <c r="CS144" s="224" t="s">
        <v>86</v>
      </c>
      <c r="CT144" s="224" t="s">
        <v>87</v>
      </c>
      <c r="CU144" s="224" t="s">
        <v>88</v>
      </c>
      <c r="CV144" s="224" t="s">
        <v>89</v>
      </c>
      <c r="CW144" s="224" t="s">
        <v>12</v>
      </c>
      <c r="CX144" s="224" t="s">
        <v>90</v>
      </c>
      <c r="CY144" s="224" t="s">
        <v>91</v>
      </c>
      <c r="CZ144" s="224" t="s">
        <v>92</v>
      </c>
      <c r="DA144" s="224" t="s">
        <v>93</v>
      </c>
      <c r="DB144" s="224" t="s">
        <v>13</v>
      </c>
    </row>
    <row r="146" spans="1:106" s="219" customFormat="1" x14ac:dyDescent="0.35">
      <c r="A146" s="128" t="s">
        <v>745</v>
      </c>
      <c r="B146" s="31" t="s">
        <v>769</v>
      </c>
      <c r="C146" s="262">
        <v>7.234486001863794E-5</v>
      </c>
      <c r="D146" s="262">
        <v>7.1768492819140553E-5</v>
      </c>
      <c r="E146" s="262">
        <v>7.117306278189938E-5</v>
      </c>
      <c r="F146" s="262">
        <v>7.0506998152770255E-5</v>
      </c>
      <c r="G146" s="262">
        <v>6.9871283474055775E-5</v>
      </c>
      <c r="H146" s="262">
        <v>6.9214689757724222E-5</v>
      </c>
      <c r="I146" s="262">
        <v>6.8600964575563222E-5</v>
      </c>
      <c r="J146" s="262">
        <v>6.7990342135957563E-5</v>
      </c>
      <c r="K146" s="262">
        <v>6.7351458487686889E-5</v>
      </c>
      <c r="L146" s="262">
        <v>6.673028715456592E-5</v>
      </c>
      <c r="M146" s="262">
        <v>6.6101067879504192E-5</v>
      </c>
      <c r="N146" s="262">
        <v>6.5585628900103032E-5</v>
      </c>
      <c r="O146" s="262">
        <v>6.5076030555603361E-5</v>
      </c>
      <c r="P146" s="262">
        <v>6.4564616770835549E-5</v>
      </c>
      <c r="Q146" s="262">
        <v>6.4064421668944718E-5</v>
      </c>
      <c r="R146" s="262">
        <v>6.3567733711903364E-5</v>
      </c>
      <c r="S146" s="262">
        <v>6.3282040908349823E-5</v>
      </c>
      <c r="T146" s="262">
        <v>6.3000251373149387E-5</v>
      </c>
      <c r="U146" s="262">
        <v>6.2715729092822965E-5</v>
      </c>
      <c r="V146" s="262">
        <v>6.2442332791161134E-5</v>
      </c>
      <c r="W146" s="262">
        <v>6.2174239864327217E-5</v>
      </c>
      <c r="X146" s="262">
        <v>6.2515823177699013E-5</v>
      </c>
      <c r="Y146" s="262">
        <v>6.2466711143166972E-5</v>
      </c>
      <c r="Z146" s="262">
        <v>6.2418191381242652E-5</v>
      </c>
      <c r="AA146" s="262">
        <v>6.2370272503325868E-5</v>
      </c>
      <c r="AB146" s="262">
        <v>6.23229793962271E-5</v>
      </c>
      <c r="AC146" s="265">
        <v>8.465818598101589E-8</v>
      </c>
      <c r="AD146" s="265">
        <v>8.3413884318350144E-8</v>
      </c>
      <c r="AE146" s="265">
        <v>8.2132890016228049E-8</v>
      </c>
      <c r="AF146" s="265">
        <v>8.0655670953700414E-8</v>
      </c>
      <c r="AG146" s="265">
        <v>7.9300832352579651E-8</v>
      </c>
      <c r="AH146" s="265">
        <v>7.7908691617918784E-8</v>
      </c>
      <c r="AI146" s="265">
        <v>7.6687374503537592E-8</v>
      </c>
      <c r="AJ146" s="265">
        <v>7.5464548110776527E-8</v>
      </c>
      <c r="AK146" s="265">
        <v>7.4142618231349561E-8</v>
      </c>
      <c r="AL146" s="265">
        <v>7.2891189803914296E-8</v>
      </c>
      <c r="AM146" s="265">
        <v>7.1620306240989741E-8</v>
      </c>
      <c r="AN146" s="265">
        <v>7.0482481449038006E-8</v>
      </c>
      <c r="AO146" s="265">
        <v>6.9352300193984919E-8</v>
      </c>
      <c r="AP146" s="265">
        <v>6.8198001150746258E-8</v>
      </c>
      <c r="AQ146" s="265">
        <v>6.7082091119817672E-8</v>
      </c>
      <c r="AR146" s="265">
        <v>6.5973740114939011E-8</v>
      </c>
      <c r="AS146" s="265">
        <v>6.5289630012566229E-8</v>
      </c>
      <c r="AT146" s="265">
        <v>6.4614017255543971E-8</v>
      </c>
      <c r="AU146" s="265">
        <v>6.3919619883951567E-8</v>
      </c>
      <c r="AV146" s="265">
        <v>6.3266819382966212E-8</v>
      </c>
      <c r="AW146" s="265">
        <v>6.2632769780444655E-8</v>
      </c>
      <c r="AX146" s="265">
        <v>6.2874966217324681E-8</v>
      </c>
      <c r="AY146" s="265">
        <v>6.2754139903856518E-8</v>
      </c>
      <c r="AZ146" s="265">
        <v>6.2634837227793678E-8</v>
      </c>
      <c r="BA146" s="265">
        <v>6.2517081517670293E-8</v>
      </c>
      <c r="BB146" s="265">
        <v>6.2400934033208274E-8</v>
      </c>
      <c r="BC146" s="268">
        <v>0.91332373889136753</v>
      </c>
      <c r="BD146" s="268">
        <v>0.90795262542276833</v>
      </c>
      <c r="BE146" s="268">
        <v>0.9023738214313527</v>
      </c>
      <c r="BF146" s="268">
        <v>0.89202560192843217</v>
      </c>
      <c r="BG146" s="268">
        <v>0.8860378808727194</v>
      </c>
      <c r="BH146" s="268">
        <v>0.87982027656522721</v>
      </c>
      <c r="BI146" s="268">
        <v>0.87935085236846189</v>
      </c>
      <c r="BJ146" s="268">
        <v>0.87891593501371579</v>
      </c>
      <c r="BK146" s="268">
        <v>0.8753389466488819</v>
      </c>
      <c r="BL146" s="268">
        <v>0.8748288093584945</v>
      </c>
      <c r="BM146" s="268">
        <v>0.87422381072145017</v>
      </c>
      <c r="BN146" s="268">
        <v>0.86929189013440122</v>
      </c>
      <c r="BO146" s="268">
        <v>0.86440559087041569</v>
      </c>
      <c r="BP146" s="268">
        <v>0.85869858862151383</v>
      </c>
      <c r="BQ146" s="268">
        <v>0.85391308791452114</v>
      </c>
      <c r="BR146" s="268">
        <v>0.84916328201780111</v>
      </c>
      <c r="BS146" s="268">
        <v>0.84480530295492851</v>
      </c>
      <c r="BT146" s="268">
        <v>0.84048251361205484</v>
      </c>
      <c r="BU146" s="268">
        <v>0.83538381350142588</v>
      </c>
      <c r="BV146" s="268">
        <v>0.83115888473755495</v>
      </c>
      <c r="BW146" s="268">
        <v>0.82695229901373712</v>
      </c>
      <c r="BX146" s="268">
        <v>0.82582360389260256</v>
      </c>
      <c r="BY146" s="268">
        <v>0.82471416969204125</v>
      </c>
      <c r="BZ146" s="268">
        <v>0.82361909696854074</v>
      </c>
      <c r="CA146" s="268">
        <v>0.82253747231650931</v>
      </c>
      <c r="CB146" s="268">
        <v>0.82146887029442017</v>
      </c>
      <c r="CC146" s="271">
        <v>11.771969740891439</v>
      </c>
      <c r="CD146" s="271">
        <v>11.460509328296689</v>
      </c>
      <c r="CE146" s="271">
        <v>11.14446071977512</v>
      </c>
      <c r="CF146" s="271">
        <v>10.789721320075721</v>
      </c>
      <c r="CG146" s="271">
        <v>10.46311909389509</v>
      </c>
      <c r="CH146" s="271">
        <v>10.13094162755009</v>
      </c>
      <c r="CI146" s="271">
        <v>9.8200510792241307</v>
      </c>
      <c r="CJ146" s="271">
        <v>9.5129090717335867</v>
      </c>
      <c r="CK146" s="271">
        <v>9.1862948313889063</v>
      </c>
      <c r="CL146" s="271">
        <v>8.879138248499066</v>
      </c>
      <c r="CM146" s="271">
        <v>8.5702987574910789</v>
      </c>
      <c r="CN146" s="271">
        <v>8.2423716178930739</v>
      </c>
      <c r="CO146" s="271">
        <v>7.9180308200452867</v>
      </c>
      <c r="CP146" s="271">
        <v>7.5917175993812762</v>
      </c>
      <c r="CQ146" s="271">
        <v>7.2742699180017851</v>
      </c>
      <c r="CR146" s="271">
        <v>6.9602954787021343</v>
      </c>
      <c r="CS146" s="271">
        <v>6.7477187979915083</v>
      </c>
      <c r="CT146" s="271">
        <v>6.5381402489369913</v>
      </c>
      <c r="CU146" s="271">
        <v>6.327218331808222</v>
      </c>
      <c r="CV146" s="271">
        <v>6.1242627394817788</v>
      </c>
      <c r="CW146" s="271">
        <v>5.9255871602228636</v>
      </c>
      <c r="CX146" s="271">
        <v>5.8839138884639137</v>
      </c>
      <c r="CY146" s="271">
        <v>5.8396948990203592</v>
      </c>
      <c r="CZ146" s="271">
        <v>5.7960187950438442</v>
      </c>
      <c r="DA146" s="271">
        <v>5.7528877203139119</v>
      </c>
      <c r="DB146" s="271">
        <v>5.710312595413412</v>
      </c>
    </row>
    <row r="147" spans="1:106" s="219" customFormat="1" x14ac:dyDescent="0.35">
      <c r="A147" s="128" t="s">
        <v>746</v>
      </c>
      <c r="B147" s="31" t="s">
        <v>769</v>
      </c>
      <c r="C147" s="262">
        <v>7.234486001863794E-5</v>
      </c>
      <c r="D147" s="262">
        <v>7.1768492819140553E-5</v>
      </c>
      <c r="E147" s="262">
        <v>7.117306278189938E-5</v>
      </c>
      <c r="F147" s="262">
        <v>7.0506998152770255E-5</v>
      </c>
      <c r="G147" s="262">
        <v>6.9871283474055775E-5</v>
      </c>
      <c r="H147" s="262">
        <v>6.9214689757724222E-5</v>
      </c>
      <c r="I147" s="262">
        <v>6.8600964575563222E-5</v>
      </c>
      <c r="J147" s="262">
        <v>6.7990342135957563E-5</v>
      </c>
      <c r="K147" s="262">
        <v>6.7351458487686889E-5</v>
      </c>
      <c r="L147" s="262">
        <v>6.673028715456592E-5</v>
      </c>
      <c r="M147" s="262">
        <v>6.6101067879504192E-5</v>
      </c>
      <c r="N147" s="262">
        <v>6.5585628900103032E-5</v>
      </c>
      <c r="O147" s="262">
        <v>6.5076030555603361E-5</v>
      </c>
      <c r="P147" s="262">
        <v>6.4564616770835549E-5</v>
      </c>
      <c r="Q147" s="262">
        <v>6.4064421668944718E-5</v>
      </c>
      <c r="R147" s="262">
        <v>6.3567733711903364E-5</v>
      </c>
      <c r="S147" s="262">
        <v>6.3282040908349823E-5</v>
      </c>
      <c r="T147" s="262">
        <v>6.3000251373149387E-5</v>
      </c>
      <c r="U147" s="262">
        <v>6.2715729092822965E-5</v>
      </c>
      <c r="V147" s="262">
        <v>6.2442332791161134E-5</v>
      </c>
      <c r="W147" s="262">
        <v>6.2174239864327217E-5</v>
      </c>
      <c r="X147" s="262">
        <v>6.2515823177699013E-5</v>
      </c>
      <c r="Y147" s="262">
        <v>6.2466711143166972E-5</v>
      </c>
      <c r="Z147" s="262">
        <v>6.2418191381242652E-5</v>
      </c>
      <c r="AA147" s="262">
        <v>6.2370272503325868E-5</v>
      </c>
      <c r="AB147" s="262">
        <v>6.23229793962271E-5</v>
      </c>
      <c r="AC147" s="265">
        <v>8.465818598101589E-8</v>
      </c>
      <c r="AD147" s="265">
        <v>8.3413884318350144E-8</v>
      </c>
      <c r="AE147" s="265">
        <v>8.2132890016228049E-8</v>
      </c>
      <c r="AF147" s="265">
        <v>8.0655670953700414E-8</v>
      </c>
      <c r="AG147" s="265">
        <v>7.9300832352579651E-8</v>
      </c>
      <c r="AH147" s="265">
        <v>7.7908691617918784E-8</v>
      </c>
      <c r="AI147" s="265">
        <v>7.6687374503537592E-8</v>
      </c>
      <c r="AJ147" s="265">
        <v>7.5464548110776527E-8</v>
      </c>
      <c r="AK147" s="265">
        <v>7.4142618231349561E-8</v>
      </c>
      <c r="AL147" s="265">
        <v>7.2891189803914296E-8</v>
      </c>
      <c r="AM147" s="265">
        <v>7.1620306240989741E-8</v>
      </c>
      <c r="AN147" s="265">
        <v>7.0482481449038006E-8</v>
      </c>
      <c r="AO147" s="265">
        <v>6.9352300193984919E-8</v>
      </c>
      <c r="AP147" s="265">
        <v>6.8198001150746258E-8</v>
      </c>
      <c r="AQ147" s="265">
        <v>6.7082091119817672E-8</v>
      </c>
      <c r="AR147" s="265">
        <v>6.5973740114939011E-8</v>
      </c>
      <c r="AS147" s="265">
        <v>6.5289630012566229E-8</v>
      </c>
      <c r="AT147" s="265">
        <v>6.4614017255543971E-8</v>
      </c>
      <c r="AU147" s="265">
        <v>6.3919619883951567E-8</v>
      </c>
      <c r="AV147" s="265">
        <v>6.3266819382966212E-8</v>
      </c>
      <c r="AW147" s="265">
        <v>6.2632769780444655E-8</v>
      </c>
      <c r="AX147" s="265">
        <v>6.2874966217324681E-8</v>
      </c>
      <c r="AY147" s="265">
        <v>6.2754139903856518E-8</v>
      </c>
      <c r="AZ147" s="265">
        <v>6.2634837227793678E-8</v>
      </c>
      <c r="BA147" s="265">
        <v>6.2517081517670293E-8</v>
      </c>
      <c r="BB147" s="265">
        <v>6.2400934033208274E-8</v>
      </c>
      <c r="BC147" s="268">
        <v>0.91332373889136753</v>
      </c>
      <c r="BD147" s="268">
        <v>0.90795262542276833</v>
      </c>
      <c r="BE147" s="268">
        <v>0.9023738214313527</v>
      </c>
      <c r="BF147" s="268">
        <v>0.89202560192843217</v>
      </c>
      <c r="BG147" s="268">
        <v>0.8860378808727194</v>
      </c>
      <c r="BH147" s="268">
        <v>0.87982027656522721</v>
      </c>
      <c r="BI147" s="268">
        <v>0.87935085236846189</v>
      </c>
      <c r="BJ147" s="268">
        <v>0.87891593501371579</v>
      </c>
      <c r="BK147" s="268">
        <v>0.8753389466488819</v>
      </c>
      <c r="BL147" s="268">
        <v>0.8748288093584945</v>
      </c>
      <c r="BM147" s="268">
        <v>0.87422381072145017</v>
      </c>
      <c r="BN147" s="268">
        <v>0.86929189013440122</v>
      </c>
      <c r="BO147" s="268">
        <v>0.86440559087041569</v>
      </c>
      <c r="BP147" s="268">
        <v>0.85869858862151383</v>
      </c>
      <c r="BQ147" s="268">
        <v>0.85391308791452114</v>
      </c>
      <c r="BR147" s="268">
        <v>0.84916328201780111</v>
      </c>
      <c r="BS147" s="268">
        <v>0.84480530295492851</v>
      </c>
      <c r="BT147" s="268">
        <v>0.84048251361205484</v>
      </c>
      <c r="BU147" s="268">
        <v>0.83538381350142588</v>
      </c>
      <c r="BV147" s="268">
        <v>0.83115888473755495</v>
      </c>
      <c r="BW147" s="268">
        <v>0.82695229901373712</v>
      </c>
      <c r="BX147" s="268">
        <v>0.82582360389260256</v>
      </c>
      <c r="BY147" s="268">
        <v>0.82471416969204125</v>
      </c>
      <c r="BZ147" s="268">
        <v>0.82361909696854074</v>
      </c>
      <c r="CA147" s="268">
        <v>0.82253747231650931</v>
      </c>
      <c r="CB147" s="268">
        <v>0.82146887029442017</v>
      </c>
      <c r="CC147" s="271">
        <v>11.771969740891439</v>
      </c>
      <c r="CD147" s="271">
        <v>11.460509328296689</v>
      </c>
      <c r="CE147" s="271">
        <v>11.14446071977512</v>
      </c>
      <c r="CF147" s="271">
        <v>10.789721320075721</v>
      </c>
      <c r="CG147" s="271">
        <v>10.46311909389509</v>
      </c>
      <c r="CH147" s="271">
        <v>10.13094162755009</v>
      </c>
      <c r="CI147" s="271">
        <v>9.8200510792241307</v>
      </c>
      <c r="CJ147" s="271">
        <v>9.5129090717335867</v>
      </c>
      <c r="CK147" s="271">
        <v>9.1862948313889063</v>
      </c>
      <c r="CL147" s="271">
        <v>8.879138248499066</v>
      </c>
      <c r="CM147" s="271">
        <v>8.5702987574910789</v>
      </c>
      <c r="CN147" s="271">
        <v>8.2423716178930739</v>
      </c>
      <c r="CO147" s="271">
        <v>7.9180308200452867</v>
      </c>
      <c r="CP147" s="271">
        <v>7.5917175993812762</v>
      </c>
      <c r="CQ147" s="271">
        <v>7.2742699180017851</v>
      </c>
      <c r="CR147" s="271">
        <v>6.9602954787021343</v>
      </c>
      <c r="CS147" s="271">
        <v>6.7477187979915083</v>
      </c>
      <c r="CT147" s="271">
        <v>6.5381402489369913</v>
      </c>
      <c r="CU147" s="271">
        <v>6.327218331808222</v>
      </c>
      <c r="CV147" s="271">
        <v>6.1242627394817788</v>
      </c>
      <c r="CW147" s="271">
        <v>5.9255871602228636</v>
      </c>
      <c r="CX147" s="271">
        <v>5.8839138884639137</v>
      </c>
      <c r="CY147" s="271">
        <v>5.8396948990203592</v>
      </c>
      <c r="CZ147" s="271">
        <v>5.7960187950438442</v>
      </c>
      <c r="DA147" s="271">
        <v>5.7528877203139119</v>
      </c>
      <c r="DB147" s="271">
        <v>5.710312595413412</v>
      </c>
    </row>
    <row r="148" spans="1:106" s="219" customFormat="1" x14ac:dyDescent="0.35">
      <c r="A148" s="235" t="s">
        <v>772</v>
      </c>
      <c r="B148" s="234" t="s">
        <v>774</v>
      </c>
      <c r="C148" s="262">
        <v>8.0862324721818262E-4</v>
      </c>
      <c r="D148" s="262">
        <v>8.0319793683035381E-4</v>
      </c>
      <c r="E148" s="262">
        <v>7.9757484284706482E-4</v>
      </c>
      <c r="F148" s="262">
        <v>7.9143234325320191E-4</v>
      </c>
      <c r="G148" s="262">
        <v>7.8539786186578617E-4</v>
      </c>
      <c r="H148" s="262">
        <v>7.7914956046818285E-4</v>
      </c>
      <c r="I148" s="262">
        <v>7.7332021273444733E-4</v>
      </c>
      <c r="J148" s="262">
        <v>7.6750714844831219E-4</v>
      </c>
      <c r="K148" s="262">
        <v>7.6150390286581918E-4</v>
      </c>
      <c r="L148" s="262">
        <v>7.5558515532216975E-4</v>
      </c>
      <c r="M148" s="262">
        <v>7.495892185599432E-4</v>
      </c>
      <c r="N148" s="262">
        <v>7.4509112057129906E-4</v>
      </c>
      <c r="O148" s="262">
        <v>7.4065017785610748E-4</v>
      </c>
      <c r="P148" s="262">
        <v>7.36212751905557E-4</v>
      </c>
      <c r="Q148" s="262">
        <v>7.318640153711007E-4</v>
      </c>
      <c r="R148" s="262">
        <v>7.2755079978399227E-4</v>
      </c>
      <c r="S148" s="262">
        <v>7.2506787973819291E-4</v>
      </c>
      <c r="T148" s="262">
        <v>7.2261830816804638E-4</v>
      </c>
      <c r="U148" s="262">
        <v>7.2015597004044651E-4</v>
      </c>
      <c r="V148" s="262">
        <v>7.177680879434671E-4</v>
      </c>
      <c r="W148" s="262">
        <v>7.1541133560151424E-4</v>
      </c>
      <c r="X148" s="262">
        <v>7.1980971102382626E-4</v>
      </c>
      <c r="Y148" s="262">
        <v>7.1938978029285894E-4</v>
      </c>
      <c r="Z148" s="262">
        <v>7.1897525134441225E-4</v>
      </c>
      <c r="AA148" s="262">
        <v>7.1856610390027957E-4</v>
      </c>
      <c r="AB148" s="262">
        <v>7.1816240367154991E-4</v>
      </c>
      <c r="AC148" s="265">
        <v>8.9114925406077883E-7</v>
      </c>
      <c r="AD148" s="265">
        <v>8.7969351629251309E-7</v>
      </c>
      <c r="AE148" s="265">
        <v>8.6785882520080739E-7</v>
      </c>
      <c r="AF148" s="265">
        <v>8.5464729689517108E-7</v>
      </c>
      <c r="AG148" s="265">
        <v>8.4205722034882351E-7</v>
      </c>
      <c r="AH148" s="265">
        <v>8.2908128993633598E-7</v>
      </c>
      <c r="AI148" s="265">
        <v>8.1751335831785628E-7</v>
      </c>
      <c r="AJ148" s="265">
        <v>8.0590626998030592E-7</v>
      </c>
      <c r="AK148" s="265">
        <v>7.9363697790364556E-7</v>
      </c>
      <c r="AL148" s="265">
        <v>7.8173551230832882E-7</v>
      </c>
      <c r="AM148" s="265">
        <v>7.6964824726333863E-7</v>
      </c>
      <c r="AN148" s="265">
        <v>7.5956149743750584E-7</v>
      </c>
      <c r="AO148" s="265">
        <v>7.4954794192537156E-7</v>
      </c>
      <c r="AP148" s="265">
        <v>7.3939706906402089E-7</v>
      </c>
      <c r="AQ148" s="265">
        <v>7.2951510776184814E-7</v>
      </c>
      <c r="AR148" s="265">
        <v>7.1969359775022601E-7</v>
      </c>
      <c r="AS148" s="265">
        <v>7.1357254616815539E-7</v>
      </c>
      <c r="AT148" s="265">
        <v>7.0751435779793986E-7</v>
      </c>
      <c r="AU148" s="265">
        <v>7.0133388278948822E-7</v>
      </c>
      <c r="AV148" s="265">
        <v>6.9540587924253029E-7</v>
      </c>
      <c r="AW148" s="265">
        <v>6.8955442600254098E-7</v>
      </c>
      <c r="AX148" s="265">
        <v>6.9388213818312179E-7</v>
      </c>
      <c r="AY148" s="265">
        <v>6.9273763304022018E-7</v>
      </c>
      <c r="AZ148" s="265">
        <v>6.9160698345761315E-7</v>
      </c>
      <c r="BA148" s="265">
        <v>6.9048998378274026E-7</v>
      </c>
      <c r="BB148" s="265">
        <v>6.8938660469214071E-7</v>
      </c>
      <c r="BC148" s="268">
        <v>6.5665757779611447</v>
      </c>
      <c r="BD148" s="268">
        <v>6.5053712836682873</v>
      </c>
      <c r="BE148" s="268">
        <v>6.4423895829578983</v>
      </c>
      <c r="BF148" s="268">
        <v>6.3493334180293806</v>
      </c>
      <c r="BG148" s="268">
        <v>6.2828761474728623</v>
      </c>
      <c r="BH148" s="268">
        <v>6.2145470945965711</v>
      </c>
      <c r="BI148" s="268">
        <v>6.2089146761225189</v>
      </c>
      <c r="BJ148" s="268">
        <v>6.203494174475491</v>
      </c>
      <c r="BK148" s="268">
        <v>6.1785727773856403</v>
      </c>
      <c r="BL148" s="268">
        <v>6.1722654641803363</v>
      </c>
      <c r="BM148" s="268">
        <v>6.1650962884888072</v>
      </c>
      <c r="BN148" s="268">
        <v>6.125559067099152</v>
      </c>
      <c r="BO148" s="268">
        <v>6.0865176636730096</v>
      </c>
      <c r="BP148" s="268">
        <v>6.0423758874428808</v>
      </c>
      <c r="BQ148" s="268">
        <v>6.0044015889661457</v>
      </c>
      <c r="BR148" s="268">
        <v>5.9668802544022714</v>
      </c>
      <c r="BS148" s="268">
        <v>5.9317752806890187</v>
      </c>
      <c r="BT148" s="268">
        <v>5.8969803925633153</v>
      </c>
      <c r="BU148" s="268">
        <v>5.8572471178515082</v>
      </c>
      <c r="BV148" s="268">
        <v>5.823075626622872</v>
      </c>
      <c r="BW148" s="268">
        <v>5.789142950225159</v>
      </c>
      <c r="BX148" s="268">
        <v>5.7782521703980576</v>
      </c>
      <c r="BY148" s="268">
        <v>5.7675493087356529</v>
      </c>
      <c r="BZ148" s="268">
        <v>5.756987652685063</v>
      </c>
      <c r="CA148" s="268">
        <v>5.7465611021003973</v>
      </c>
      <c r="CB148" s="268">
        <v>5.7362674547029453</v>
      </c>
      <c r="CC148" s="271">
        <v>80.376869642982811</v>
      </c>
      <c r="CD148" s="271">
        <v>77.683898181519297</v>
      </c>
      <c r="CE148" s="271">
        <v>74.940093950754473</v>
      </c>
      <c r="CF148" s="271">
        <v>71.93386999138589</v>
      </c>
      <c r="CG148" s="271">
        <v>69.07842644299366</v>
      </c>
      <c r="CH148" s="271">
        <v>66.163460474793936</v>
      </c>
      <c r="CI148" s="271">
        <v>63.327696244960549</v>
      </c>
      <c r="CJ148" s="271">
        <v>60.521725571091729</v>
      </c>
      <c r="CK148" s="271">
        <v>57.596687493403849</v>
      </c>
      <c r="CL148" s="271">
        <v>54.785936368379367</v>
      </c>
      <c r="CM148" s="271">
        <v>51.959488688982937</v>
      </c>
      <c r="CN148" s="271">
        <v>49.083911001233197</v>
      </c>
      <c r="CO148" s="271">
        <v>46.242213281675269</v>
      </c>
      <c r="CP148" s="271">
        <v>43.397887946301744</v>
      </c>
      <c r="CQ148" s="271">
        <v>40.621139371557078</v>
      </c>
      <c r="CR148" s="271">
        <v>37.875585033949832</v>
      </c>
      <c r="CS148" s="271">
        <v>35.998030471934783</v>
      </c>
      <c r="CT148" s="271">
        <v>34.145870188095557</v>
      </c>
      <c r="CU148" s="271">
        <v>32.289163245507432</v>
      </c>
      <c r="CV148" s="271">
        <v>30.48503555021404</v>
      </c>
      <c r="CW148" s="271">
        <v>28.70539257990858</v>
      </c>
      <c r="CX148" s="271">
        <v>28.318855532952782</v>
      </c>
      <c r="CY148" s="271">
        <v>27.913275821787462</v>
      </c>
      <c r="CZ148" s="271">
        <v>27.512640236510951</v>
      </c>
      <c r="DA148" s="271">
        <v>27.116894458998321</v>
      </c>
      <c r="DB148" s="271">
        <v>26.726023246528261</v>
      </c>
    </row>
    <row r="149" spans="1:106" s="219" customFormat="1" x14ac:dyDescent="0.35">
      <c r="A149" s="235" t="s">
        <v>773</v>
      </c>
      <c r="B149" s="234" t="s">
        <v>774</v>
      </c>
      <c r="C149" s="262">
        <v>2.440193406498869E-4</v>
      </c>
      <c r="D149" s="262">
        <v>2.432684277297862E-4</v>
      </c>
      <c r="E149" s="262">
        <v>2.4250065169983541E-4</v>
      </c>
      <c r="F149" s="262">
        <v>2.416001372265578E-4</v>
      </c>
      <c r="G149" s="262">
        <v>2.4080077839340941E-4</v>
      </c>
      <c r="H149" s="262">
        <v>2.399835967506324E-4</v>
      </c>
      <c r="I149" s="262">
        <v>2.388267463739911E-4</v>
      </c>
      <c r="J149" s="262">
        <v>2.377413674739412E-4</v>
      </c>
      <c r="K149" s="262">
        <v>2.3663545298759851E-4</v>
      </c>
      <c r="L149" s="262">
        <v>2.356012019362088E-4</v>
      </c>
      <c r="M149" s="262">
        <v>2.3457360733299289E-4</v>
      </c>
      <c r="N149" s="262">
        <v>2.3352013816205751E-4</v>
      </c>
      <c r="O149" s="262">
        <v>2.3249142681137049E-4</v>
      </c>
      <c r="P149" s="262">
        <v>2.3146487236217381E-4</v>
      </c>
      <c r="Q149" s="262">
        <v>2.304729747471277E-4</v>
      </c>
      <c r="R149" s="262">
        <v>2.2949470642400589E-4</v>
      </c>
      <c r="S149" s="262">
        <v>2.2889588486673431E-4</v>
      </c>
      <c r="T149" s="262">
        <v>2.2830410278291879E-4</v>
      </c>
      <c r="U149" s="262">
        <v>2.2770014255771019E-4</v>
      </c>
      <c r="V149" s="262">
        <v>2.2711844471681581E-4</v>
      </c>
      <c r="W149" s="262">
        <v>2.2654186054710981E-4</v>
      </c>
      <c r="X149" s="262">
        <v>2.279375408486318E-4</v>
      </c>
      <c r="Y149" s="262">
        <v>2.279007105279389E-4</v>
      </c>
      <c r="Z149" s="262">
        <v>2.2786404492234919E-4</v>
      </c>
      <c r="AA149" s="262">
        <v>2.2782757794651801E-4</v>
      </c>
      <c r="AB149" s="262">
        <v>2.277913759960603E-4</v>
      </c>
      <c r="AC149" s="265">
        <v>2.6304089601674783E-7</v>
      </c>
      <c r="AD149" s="265">
        <v>2.61171728129748E-7</v>
      </c>
      <c r="AE149" s="265">
        <v>2.5927262069349652E-7</v>
      </c>
      <c r="AF149" s="265">
        <v>2.569729567130914E-7</v>
      </c>
      <c r="AG149" s="265">
        <v>2.5501986487228422E-7</v>
      </c>
      <c r="AH149" s="265">
        <v>2.5303809217839161E-7</v>
      </c>
      <c r="AI149" s="265">
        <v>2.5101978063141079E-7</v>
      </c>
      <c r="AJ149" s="265">
        <v>2.490839971136652E-7</v>
      </c>
      <c r="AK149" s="265">
        <v>2.4696884103413889E-7</v>
      </c>
      <c r="AL149" s="265">
        <v>2.4504283168185329E-7</v>
      </c>
      <c r="AM149" s="265">
        <v>2.4309526186524009E-7</v>
      </c>
      <c r="AN149" s="265">
        <v>2.4097151380806938E-7</v>
      </c>
      <c r="AO149" s="265">
        <v>2.3885481993840648E-7</v>
      </c>
      <c r="AP149" s="265">
        <v>2.3666407451334841E-7</v>
      </c>
      <c r="AQ149" s="265">
        <v>2.345582427014687E-7</v>
      </c>
      <c r="AR149" s="265">
        <v>2.3245757527313141E-7</v>
      </c>
      <c r="AS149" s="265">
        <v>2.3104767020902879E-7</v>
      </c>
      <c r="AT149" s="265">
        <v>2.296466118669219E-7</v>
      </c>
      <c r="AU149" s="265">
        <v>2.281796356440663E-7</v>
      </c>
      <c r="AV149" s="265">
        <v>2.267927633615464E-7</v>
      </c>
      <c r="AW149" s="265">
        <v>2.2541709842221929E-7</v>
      </c>
      <c r="AX149" s="265">
        <v>2.267662833580818E-7</v>
      </c>
      <c r="AY149" s="265">
        <v>2.2650426549028409E-7</v>
      </c>
      <c r="AZ149" s="265">
        <v>2.2624395669589471E-7</v>
      </c>
      <c r="BA149" s="265">
        <v>2.2598533693853749E-7</v>
      </c>
      <c r="BB149" s="265">
        <v>2.2572845594293701E-7</v>
      </c>
      <c r="BC149" s="268">
        <v>2.9355316628897778</v>
      </c>
      <c r="BD149" s="268">
        <v>2.9213396677387129</v>
      </c>
      <c r="BE149" s="268">
        <v>2.9071515759970898</v>
      </c>
      <c r="BF149" s="268">
        <v>2.8823419254934959</v>
      </c>
      <c r="BG149" s="268">
        <v>2.8682244303425768</v>
      </c>
      <c r="BH149" s="268">
        <v>2.8540848148694629</v>
      </c>
      <c r="BI149" s="268">
        <v>2.8489605601660699</v>
      </c>
      <c r="BJ149" s="268">
        <v>2.8445745487799128</v>
      </c>
      <c r="BK149" s="268">
        <v>2.8332357077310388</v>
      </c>
      <c r="BL149" s="268">
        <v>2.8293292779587702</v>
      </c>
      <c r="BM149" s="268">
        <v>2.8254270363399789</v>
      </c>
      <c r="BN149" s="268">
        <v>2.8088033754706552</v>
      </c>
      <c r="BO149" s="268">
        <v>2.7923271844394342</v>
      </c>
      <c r="BP149" s="268">
        <v>2.7738176766434739</v>
      </c>
      <c r="BQ149" s="268">
        <v>2.757655218792658</v>
      </c>
      <c r="BR149" s="268">
        <v>2.7416202642163219</v>
      </c>
      <c r="BS149" s="268">
        <v>2.7283519872476449</v>
      </c>
      <c r="BT149" s="268">
        <v>2.7151927235341802</v>
      </c>
      <c r="BU149" s="268">
        <v>2.7000661760730629</v>
      </c>
      <c r="BV149" s="268">
        <v>2.6870909119315498</v>
      </c>
      <c r="BW149" s="268">
        <v>2.6741809018449119</v>
      </c>
      <c r="BX149" s="268">
        <v>2.669755897295996</v>
      </c>
      <c r="BY149" s="268">
        <v>2.665370540669588</v>
      </c>
      <c r="BZ149" s="268">
        <v>2.6610153494980331</v>
      </c>
      <c r="CA149" s="268">
        <v>2.656688750556647</v>
      </c>
      <c r="CB149" s="268">
        <v>2.6523903908545972</v>
      </c>
      <c r="CC149" s="271">
        <v>27.96839422368522</v>
      </c>
      <c r="CD149" s="271">
        <v>27.471195524276549</v>
      </c>
      <c r="CE149" s="271">
        <v>26.9717465779616</v>
      </c>
      <c r="CF149" s="271">
        <v>26.392661028149529</v>
      </c>
      <c r="CG149" s="271">
        <v>25.888810435387612</v>
      </c>
      <c r="CH149" s="271">
        <v>25.38172677349791</v>
      </c>
      <c r="CI149" s="271">
        <v>24.743318710080668</v>
      </c>
      <c r="CJ149" s="271">
        <v>24.134083919508839</v>
      </c>
      <c r="CK149" s="271">
        <v>23.490997015050901</v>
      </c>
      <c r="CL149" s="271">
        <v>22.896764249554352</v>
      </c>
      <c r="CM149" s="271">
        <v>22.301706333376071</v>
      </c>
      <c r="CN149" s="271">
        <v>21.564739748959269</v>
      </c>
      <c r="CO149" s="271">
        <v>20.833318833394909</v>
      </c>
      <c r="CP149" s="271">
        <v>20.09349972211524</v>
      </c>
      <c r="CQ149" s="271">
        <v>19.37273379269196</v>
      </c>
      <c r="CR149" s="271">
        <v>18.65693086051132</v>
      </c>
      <c r="CS149" s="271">
        <v>18.135518085615331</v>
      </c>
      <c r="CT149" s="271">
        <v>17.619307374909511</v>
      </c>
      <c r="CU149" s="271">
        <v>17.096184046149428</v>
      </c>
      <c r="CV149" s="271">
        <v>16.588535396275908</v>
      </c>
      <c r="CW149" s="271">
        <v>16.085425302065492</v>
      </c>
      <c r="CX149" s="271">
        <v>15.98198764501295</v>
      </c>
      <c r="CY149" s="271">
        <v>15.86813110374311</v>
      </c>
      <c r="CZ149" s="271">
        <v>15.75501967743811</v>
      </c>
      <c r="DA149" s="271">
        <v>15.642649938676129</v>
      </c>
      <c r="DB149" s="271">
        <v>15.531034608982591</v>
      </c>
    </row>
    <row r="150" spans="1:106" s="219" customFormat="1" x14ac:dyDescent="0.35">
      <c r="A150" s="235" t="s">
        <v>747</v>
      </c>
      <c r="B150" s="234" t="s">
        <v>769</v>
      </c>
      <c r="C150" s="262">
        <v>6.8348203991233951E-4</v>
      </c>
      <c r="D150" s="262">
        <v>6.8033803610589752E-4</v>
      </c>
      <c r="E150" s="262">
        <v>6.771695611435325E-4</v>
      </c>
      <c r="F150" s="262">
        <v>6.7343636979991532E-4</v>
      </c>
      <c r="G150" s="262">
        <v>6.7021324376664621E-4</v>
      </c>
      <c r="H150" s="262">
        <v>6.6696188385708007E-4</v>
      </c>
      <c r="I150" s="262">
        <v>6.6334973324312521E-4</v>
      </c>
      <c r="J150" s="262">
        <v>6.5976561762968035E-4</v>
      </c>
      <c r="K150" s="262">
        <v>6.5591377246480614E-4</v>
      </c>
      <c r="L150" s="262">
        <v>6.5233311979186171E-4</v>
      </c>
      <c r="M150" s="262">
        <v>6.4874320673273598E-4</v>
      </c>
      <c r="N150" s="262">
        <v>6.4530142642425369E-4</v>
      </c>
      <c r="O150" s="262">
        <v>6.4186787681060932E-4</v>
      </c>
      <c r="P150" s="262">
        <v>6.3837167065857099E-4</v>
      </c>
      <c r="Q150" s="262">
        <v>6.349474827120657E-4</v>
      </c>
      <c r="R150" s="262">
        <v>6.3152376567879418E-4</v>
      </c>
      <c r="S150" s="262">
        <v>6.2970916098049098E-4</v>
      </c>
      <c r="T150" s="262">
        <v>6.279034962357932E-4</v>
      </c>
      <c r="U150" s="262">
        <v>6.2603926921293612E-4</v>
      </c>
      <c r="V150" s="262">
        <v>6.2425175194211874E-4</v>
      </c>
      <c r="W150" s="262">
        <v>6.2247371499366379E-4</v>
      </c>
      <c r="X150" s="262">
        <v>6.2576087428949762E-4</v>
      </c>
      <c r="Y150" s="262">
        <v>6.2537432743954005E-4</v>
      </c>
      <c r="Z150" s="262">
        <v>6.2498913957035598E-4</v>
      </c>
      <c r="AA150" s="262">
        <v>6.2460529636839128E-4</v>
      </c>
      <c r="AB150" s="262">
        <v>6.242228343270312E-4</v>
      </c>
      <c r="AC150" s="265">
        <v>8.6191231582789016E-7</v>
      </c>
      <c r="AD150" s="265">
        <v>8.5515882804820531E-7</v>
      </c>
      <c r="AE150" s="265">
        <v>8.4834624701922494E-7</v>
      </c>
      <c r="AF150" s="265">
        <v>8.398008835036475E-7</v>
      </c>
      <c r="AG150" s="265">
        <v>8.3287938607121067E-7</v>
      </c>
      <c r="AH150" s="265">
        <v>8.2590493368171848E-7</v>
      </c>
      <c r="AI150" s="265">
        <v>8.1805601555726176E-7</v>
      </c>
      <c r="AJ150" s="265">
        <v>8.1022005751235107E-7</v>
      </c>
      <c r="AK150" s="265">
        <v>8.0142193758546486E-7</v>
      </c>
      <c r="AL150" s="265">
        <v>7.9352423646539224E-7</v>
      </c>
      <c r="AM150" s="265">
        <v>7.855825125136946E-7</v>
      </c>
      <c r="AN150" s="265">
        <v>7.7776684880523061E-7</v>
      </c>
      <c r="AO150" s="265">
        <v>7.6993747644276575E-7</v>
      </c>
      <c r="AP150" s="265">
        <v>7.6177760539837127E-7</v>
      </c>
      <c r="AQ150" s="265">
        <v>7.5391364401529015E-7</v>
      </c>
      <c r="AR150" s="265">
        <v>7.4603165745029764E-7</v>
      </c>
      <c r="AS150" s="265">
        <v>7.4179485802294275E-7</v>
      </c>
      <c r="AT150" s="265">
        <v>7.3756904404719729E-7</v>
      </c>
      <c r="AU150" s="265">
        <v>7.3306541998430357E-7</v>
      </c>
      <c r="AV150" s="265">
        <v>7.2886890221942005E-7</v>
      </c>
      <c r="AW150" s="265">
        <v>7.2469626200298846E-7</v>
      </c>
      <c r="AX150" s="265">
        <v>7.2764148430437404E-7</v>
      </c>
      <c r="AY150" s="265">
        <v>7.2670909759653823E-7</v>
      </c>
      <c r="AZ150" s="265">
        <v>7.2578018946120153E-7</v>
      </c>
      <c r="BA150" s="265">
        <v>7.2485472046925425E-7</v>
      </c>
      <c r="BB150" s="265">
        <v>7.2393275344470848E-7</v>
      </c>
      <c r="BC150" s="268">
        <v>22.458260145375959</v>
      </c>
      <c r="BD150" s="268">
        <v>22.416402163369241</v>
      </c>
      <c r="BE150" s="268">
        <v>22.374293318168689</v>
      </c>
      <c r="BF150" s="268">
        <v>22.283566823982621</v>
      </c>
      <c r="BG150" s="268">
        <v>22.24112379561199</v>
      </c>
      <c r="BH150" s="268">
        <v>22.198374808858659</v>
      </c>
      <c r="BI150" s="268">
        <v>22.191970342310711</v>
      </c>
      <c r="BJ150" s="268">
        <v>22.185786184525259</v>
      </c>
      <c r="BK150" s="268">
        <v>22.146392577522899</v>
      </c>
      <c r="BL150" s="268">
        <v>22.140458137605389</v>
      </c>
      <c r="BM150" s="268">
        <v>22.134329812731671</v>
      </c>
      <c r="BN150" s="268">
        <v>22.10055633156421</v>
      </c>
      <c r="BO150" s="268">
        <v>22.066808188418459</v>
      </c>
      <c r="BP150" s="268">
        <v>22.0241936713001</v>
      </c>
      <c r="BQ150" s="268">
        <v>21.990632650701851</v>
      </c>
      <c r="BR150" s="268">
        <v>21.957070174167001</v>
      </c>
      <c r="BS150" s="268">
        <v>21.935538796201651</v>
      </c>
      <c r="BT150" s="268">
        <v>21.914081747738042</v>
      </c>
      <c r="BU150" s="268">
        <v>21.884342492410749</v>
      </c>
      <c r="BV150" s="268">
        <v>21.863157593649259</v>
      </c>
      <c r="BW150" s="268">
        <v>21.842018267079052</v>
      </c>
      <c r="BX150" s="268">
        <v>21.833057781259448</v>
      </c>
      <c r="BY150" s="268">
        <v>21.824163805161302</v>
      </c>
      <c r="BZ150" s="268">
        <v>21.815309966654539</v>
      </c>
      <c r="CA150" s="268">
        <v>21.80649302022583</v>
      </c>
      <c r="CB150" s="268">
        <v>21.797712332646331</v>
      </c>
      <c r="CC150" s="271">
        <v>127.341592451503</v>
      </c>
      <c r="CD150" s="271">
        <v>125.6564308817417</v>
      </c>
      <c r="CE150" s="271">
        <v>123.9695984039033</v>
      </c>
      <c r="CF150" s="271">
        <v>121.9231767009215</v>
      </c>
      <c r="CG150" s="271">
        <v>120.2282580472111</v>
      </c>
      <c r="CH150" s="271">
        <v>118.5272053770051</v>
      </c>
      <c r="CI150" s="271">
        <v>116.43292193366619</v>
      </c>
      <c r="CJ150" s="271">
        <v>114.3529223074362</v>
      </c>
      <c r="CK150" s="271">
        <v>112.0579396752524</v>
      </c>
      <c r="CL150" s="271">
        <v>109.9831743058181</v>
      </c>
      <c r="CM150" s="271">
        <v>107.90394581503919</v>
      </c>
      <c r="CN150" s="271">
        <v>105.6460571857409</v>
      </c>
      <c r="CO150" s="271">
        <v>103.3902860925792</v>
      </c>
      <c r="CP150" s="271">
        <v>101.081953912408</v>
      </c>
      <c r="CQ150" s="271">
        <v>98.830567920387509</v>
      </c>
      <c r="CR150" s="271">
        <v>96.580476413912621</v>
      </c>
      <c r="CS150" s="271">
        <v>95.265235282602745</v>
      </c>
      <c r="CT150" s="271">
        <v>93.957495431073326</v>
      </c>
      <c r="CU150" s="271">
        <v>92.612306866524165</v>
      </c>
      <c r="CV150" s="271">
        <v>91.320074112021032</v>
      </c>
      <c r="CW150" s="271">
        <v>90.035903679410268</v>
      </c>
      <c r="CX150" s="271">
        <v>89.720062084741897</v>
      </c>
      <c r="CY150" s="271">
        <v>89.379580989938944</v>
      </c>
      <c r="CZ150" s="271">
        <v>89.040580421850379</v>
      </c>
      <c r="DA150" s="271">
        <v>88.703042968279703</v>
      </c>
      <c r="DB150" s="271">
        <v>88.36697465347801</v>
      </c>
    </row>
    <row r="152" spans="1:106" s="11" customFormat="1" ht="21" x14ac:dyDescent="0.5">
      <c r="A152" s="11" t="s">
        <v>94</v>
      </c>
    </row>
    <row r="153" spans="1:106" s="219" customFormat="1" x14ac:dyDescent="0.35">
      <c r="A153" s="29" t="s">
        <v>0</v>
      </c>
      <c r="B153" s="29"/>
      <c r="C153" s="332" t="s">
        <v>49</v>
      </c>
      <c r="D153" s="332"/>
      <c r="E153" s="332"/>
      <c r="F153" s="332"/>
      <c r="G153" s="332"/>
      <c r="H153" s="332"/>
      <c r="I153" s="332"/>
      <c r="J153" s="332"/>
      <c r="K153" s="332"/>
      <c r="L153" s="332"/>
      <c r="M153" s="332"/>
      <c r="N153" s="332"/>
      <c r="O153" s="332"/>
      <c r="P153" s="332"/>
      <c r="Q153" s="332"/>
      <c r="R153" s="332"/>
      <c r="S153" s="332"/>
      <c r="T153" s="332"/>
      <c r="U153" s="332"/>
      <c r="V153" s="332"/>
      <c r="W153" s="332"/>
      <c r="X153" s="332"/>
      <c r="Y153" s="332"/>
      <c r="Z153" s="332"/>
      <c r="AA153" s="332"/>
      <c r="AB153" s="332"/>
      <c r="AC153" s="333" t="s">
        <v>50</v>
      </c>
      <c r="AD153" s="333"/>
      <c r="AE153" s="333"/>
      <c r="AF153" s="333"/>
      <c r="AG153" s="333"/>
      <c r="AH153" s="333"/>
      <c r="AI153" s="333"/>
      <c r="AJ153" s="333"/>
      <c r="AK153" s="333"/>
      <c r="AL153" s="333"/>
      <c r="AM153" s="333"/>
      <c r="AN153" s="333"/>
      <c r="AO153" s="333"/>
      <c r="AP153" s="333"/>
      <c r="AQ153" s="333"/>
      <c r="AR153" s="333"/>
      <c r="AS153" s="333"/>
      <c r="AT153" s="333"/>
      <c r="AU153" s="333"/>
      <c r="AV153" s="333"/>
      <c r="AW153" s="333"/>
      <c r="AX153" s="333"/>
      <c r="AY153" s="333"/>
      <c r="AZ153" s="333"/>
      <c r="BA153" s="333"/>
      <c r="BB153" s="333"/>
      <c r="BC153" s="334" t="s">
        <v>756</v>
      </c>
      <c r="BD153" s="335"/>
      <c r="BE153" s="335"/>
      <c r="BF153" s="335"/>
      <c r="BG153" s="335"/>
      <c r="BH153" s="335"/>
      <c r="BI153" s="335"/>
      <c r="BJ153" s="335"/>
      <c r="BK153" s="335"/>
      <c r="BL153" s="335"/>
      <c r="BM153" s="335"/>
      <c r="BN153" s="335"/>
      <c r="BO153" s="335"/>
      <c r="BP153" s="335"/>
      <c r="BQ153" s="335"/>
      <c r="BR153" s="335"/>
      <c r="BS153" s="335"/>
      <c r="BT153" s="335"/>
      <c r="BU153" s="335"/>
      <c r="BV153" s="335"/>
      <c r="BW153" s="335"/>
      <c r="BX153" s="335"/>
      <c r="BY153" s="335"/>
      <c r="BZ153" s="335"/>
      <c r="CA153" s="335"/>
      <c r="CB153" s="336"/>
      <c r="CC153" s="337" t="s">
        <v>51</v>
      </c>
      <c r="CD153" s="337"/>
      <c r="CE153" s="337"/>
      <c r="CF153" s="337"/>
      <c r="CG153" s="337"/>
      <c r="CH153" s="337"/>
      <c r="CI153" s="337"/>
      <c r="CJ153" s="337"/>
      <c r="CK153" s="337"/>
      <c r="CL153" s="337"/>
      <c r="CM153" s="337"/>
      <c r="CN153" s="337"/>
      <c r="CO153" s="337"/>
      <c r="CP153" s="337"/>
      <c r="CQ153" s="337"/>
      <c r="CR153" s="337"/>
      <c r="CS153" s="337"/>
      <c r="CT153" s="337"/>
      <c r="CU153" s="337"/>
      <c r="CV153" s="337"/>
      <c r="CW153" s="337"/>
      <c r="CX153" s="337"/>
      <c r="CY153" s="337"/>
      <c r="CZ153" s="337"/>
      <c r="DA153" s="337"/>
      <c r="DB153" s="337"/>
    </row>
    <row r="154" spans="1:106" s="219" customFormat="1" x14ac:dyDescent="0.35">
      <c r="A154" s="29" t="s">
        <v>1</v>
      </c>
      <c r="B154" s="29" t="s">
        <v>180</v>
      </c>
      <c r="C154" s="222" t="s">
        <v>14</v>
      </c>
      <c r="D154" s="222" t="s">
        <v>95</v>
      </c>
      <c r="E154" s="222" t="s">
        <v>96</v>
      </c>
      <c r="F154" s="222" t="s">
        <v>97</v>
      </c>
      <c r="G154" s="222" t="s">
        <v>98</v>
      </c>
      <c r="H154" s="222" t="s">
        <v>15</v>
      </c>
      <c r="I154" s="222" t="s">
        <v>99</v>
      </c>
      <c r="J154" s="222" t="s">
        <v>100</v>
      </c>
      <c r="K154" s="222" t="s">
        <v>101</v>
      </c>
      <c r="L154" s="222" t="s">
        <v>102</v>
      </c>
      <c r="M154" s="222" t="s">
        <v>16</v>
      </c>
      <c r="N154" s="222" t="s">
        <v>103</v>
      </c>
      <c r="O154" s="222" t="s">
        <v>104</v>
      </c>
      <c r="P154" s="222" t="s">
        <v>105</v>
      </c>
      <c r="Q154" s="222" t="s">
        <v>106</v>
      </c>
      <c r="R154" s="222" t="s">
        <v>17</v>
      </c>
      <c r="S154" s="222" t="s">
        <v>107</v>
      </c>
      <c r="T154" s="222" t="s">
        <v>108</v>
      </c>
      <c r="U154" s="222" t="s">
        <v>109</v>
      </c>
      <c r="V154" s="222" t="s">
        <v>110</v>
      </c>
      <c r="W154" s="222" t="s">
        <v>18</v>
      </c>
      <c r="X154" s="222" t="s">
        <v>111</v>
      </c>
      <c r="Y154" s="222" t="s">
        <v>112</v>
      </c>
      <c r="Z154" s="222" t="s">
        <v>113</v>
      </c>
      <c r="AA154" s="222" t="s">
        <v>114</v>
      </c>
      <c r="AB154" s="222" t="s">
        <v>19</v>
      </c>
      <c r="AC154" s="223" t="s">
        <v>14</v>
      </c>
      <c r="AD154" s="223" t="s">
        <v>95</v>
      </c>
      <c r="AE154" s="223" t="s">
        <v>96</v>
      </c>
      <c r="AF154" s="223" t="s">
        <v>97</v>
      </c>
      <c r="AG154" s="223" t="s">
        <v>98</v>
      </c>
      <c r="AH154" s="223" t="s">
        <v>15</v>
      </c>
      <c r="AI154" s="223" t="s">
        <v>99</v>
      </c>
      <c r="AJ154" s="223" t="s">
        <v>100</v>
      </c>
      <c r="AK154" s="223" t="s">
        <v>101</v>
      </c>
      <c r="AL154" s="223" t="s">
        <v>102</v>
      </c>
      <c r="AM154" s="223" t="s">
        <v>16</v>
      </c>
      <c r="AN154" s="223" t="s">
        <v>103</v>
      </c>
      <c r="AO154" s="223" t="s">
        <v>104</v>
      </c>
      <c r="AP154" s="223" t="s">
        <v>105</v>
      </c>
      <c r="AQ154" s="223" t="s">
        <v>106</v>
      </c>
      <c r="AR154" s="223" t="s">
        <v>17</v>
      </c>
      <c r="AS154" s="223" t="s">
        <v>107</v>
      </c>
      <c r="AT154" s="223" t="s">
        <v>108</v>
      </c>
      <c r="AU154" s="223" t="s">
        <v>109</v>
      </c>
      <c r="AV154" s="223" t="s">
        <v>110</v>
      </c>
      <c r="AW154" s="223" t="s">
        <v>18</v>
      </c>
      <c r="AX154" s="223" t="s">
        <v>111</v>
      </c>
      <c r="AY154" s="223" t="s">
        <v>112</v>
      </c>
      <c r="AZ154" s="223" t="s">
        <v>113</v>
      </c>
      <c r="BA154" s="223" t="s">
        <v>114</v>
      </c>
      <c r="BB154" s="223" t="s">
        <v>19</v>
      </c>
      <c r="BC154" s="225" t="s">
        <v>14</v>
      </c>
      <c r="BD154" s="225" t="s">
        <v>95</v>
      </c>
      <c r="BE154" s="225" t="s">
        <v>96</v>
      </c>
      <c r="BF154" s="225" t="s">
        <v>97</v>
      </c>
      <c r="BG154" s="225" t="s">
        <v>98</v>
      </c>
      <c r="BH154" s="225" t="s">
        <v>15</v>
      </c>
      <c r="BI154" s="225" t="s">
        <v>99</v>
      </c>
      <c r="BJ154" s="225" t="s">
        <v>100</v>
      </c>
      <c r="BK154" s="225" t="s">
        <v>101</v>
      </c>
      <c r="BL154" s="225" t="s">
        <v>102</v>
      </c>
      <c r="BM154" s="225" t="s">
        <v>16</v>
      </c>
      <c r="BN154" s="225" t="s">
        <v>103</v>
      </c>
      <c r="BO154" s="225" t="s">
        <v>104</v>
      </c>
      <c r="BP154" s="225" t="s">
        <v>105</v>
      </c>
      <c r="BQ154" s="225" t="s">
        <v>106</v>
      </c>
      <c r="BR154" s="225" t="s">
        <v>17</v>
      </c>
      <c r="BS154" s="225" t="s">
        <v>107</v>
      </c>
      <c r="BT154" s="225" t="s">
        <v>108</v>
      </c>
      <c r="BU154" s="225" t="s">
        <v>109</v>
      </c>
      <c r="BV154" s="225" t="s">
        <v>110</v>
      </c>
      <c r="BW154" s="225" t="s">
        <v>18</v>
      </c>
      <c r="BX154" s="225" t="s">
        <v>111</v>
      </c>
      <c r="BY154" s="225" t="s">
        <v>112</v>
      </c>
      <c r="BZ154" s="225" t="s">
        <v>113</v>
      </c>
      <c r="CA154" s="225" t="s">
        <v>114</v>
      </c>
      <c r="CB154" s="225" t="s">
        <v>19</v>
      </c>
      <c r="CC154" s="224" t="s">
        <v>14</v>
      </c>
      <c r="CD154" s="224" t="s">
        <v>95</v>
      </c>
      <c r="CE154" s="224" t="s">
        <v>96</v>
      </c>
      <c r="CF154" s="224" t="s">
        <v>97</v>
      </c>
      <c r="CG154" s="224" t="s">
        <v>98</v>
      </c>
      <c r="CH154" s="224" t="s">
        <v>15</v>
      </c>
      <c r="CI154" s="224" t="s">
        <v>99</v>
      </c>
      <c r="CJ154" s="224" t="s">
        <v>100</v>
      </c>
      <c r="CK154" s="224" t="s">
        <v>101</v>
      </c>
      <c r="CL154" s="224" t="s">
        <v>102</v>
      </c>
      <c r="CM154" s="224" t="s">
        <v>16</v>
      </c>
      <c r="CN154" s="224" t="s">
        <v>103</v>
      </c>
      <c r="CO154" s="224" t="s">
        <v>104</v>
      </c>
      <c r="CP154" s="224" t="s">
        <v>105</v>
      </c>
      <c r="CQ154" s="224" t="s">
        <v>106</v>
      </c>
      <c r="CR154" s="224" t="s">
        <v>17</v>
      </c>
      <c r="CS154" s="224" t="s">
        <v>107</v>
      </c>
      <c r="CT154" s="224" t="s">
        <v>108</v>
      </c>
      <c r="CU154" s="224" t="s">
        <v>109</v>
      </c>
      <c r="CV154" s="224" t="s">
        <v>110</v>
      </c>
      <c r="CW154" s="224" t="s">
        <v>18</v>
      </c>
      <c r="CX154" s="224" t="s">
        <v>111</v>
      </c>
      <c r="CY154" s="224" t="s">
        <v>112</v>
      </c>
      <c r="CZ154" s="224" t="s">
        <v>113</v>
      </c>
      <c r="DA154" s="224" t="s">
        <v>114</v>
      </c>
      <c r="DB154" s="224" t="s">
        <v>19</v>
      </c>
    </row>
    <row r="156" spans="1:106" s="219" customFormat="1" x14ac:dyDescent="0.35">
      <c r="A156" s="128" t="s">
        <v>745</v>
      </c>
      <c r="B156" s="31" t="s">
        <v>769</v>
      </c>
      <c r="C156" s="263">
        <v>6.5580187507329141E-5</v>
      </c>
      <c r="D156" s="263">
        <v>6.4936080664668172E-5</v>
      </c>
      <c r="E156" s="263">
        <v>6.4273776034630165E-5</v>
      </c>
      <c r="F156" s="263">
        <v>6.354021321611095E-5</v>
      </c>
      <c r="G156" s="263">
        <v>6.2827403805448714E-5</v>
      </c>
      <c r="H156" s="263">
        <v>6.2084510238121432E-5</v>
      </c>
      <c r="I156" s="263">
        <v>6.1942807501696258E-5</v>
      </c>
      <c r="J156" s="263">
        <v>6.1805757623127492E-5</v>
      </c>
      <c r="K156" s="263">
        <v>6.164954400075638E-5</v>
      </c>
      <c r="L156" s="263">
        <v>6.1517881799037598E-5</v>
      </c>
      <c r="M156" s="263">
        <v>6.1388589649212624E-5</v>
      </c>
      <c r="N156" s="263">
        <v>6.1337960403361167E-5</v>
      </c>
      <c r="O156" s="263">
        <v>6.1290695771381432E-5</v>
      </c>
      <c r="P156" s="263">
        <v>6.1239923136865711E-5</v>
      </c>
      <c r="Q156" s="263">
        <v>6.1196891231891646E-5</v>
      </c>
      <c r="R156" s="263">
        <v>6.11549783431714E-5</v>
      </c>
      <c r="S156" s="263">
        <v>6.1123560504067358E-5</v>
      </c>
      <c r="T156" s="263">
        <v>6.1092791455311462E-5</v>
      </c>
      <c r="U156" s="263">
        <v>6.1056928288215345E-5</v>
      </c>
      <c r="V156" s="263">
        <v>6.102697589137877E-5</v>
      </c>
      <c r="W156" s="263">
        <v>6.099464012008032E-5</v>
      </c>
      <c r="X156" s="263">
        <v>6.1374245605063385E-5</v>
      </c>
      <c r="Y156" s="263">
        <v>6.1362485529418401E-5</v>
      </c>
      <c r="Z156" s="263">
        <v>6.1350945348237815E-5</v>
      </c>
      <c r="AA156" s="263">
        <v>6.1339621952869838E-5</v>
      </c>
      <c r="AB156" s="263">
        <v>6.132851614896403E-5</v>
      </c>
      <c r="AC156" s="266">
        <v>7.0501833898475913E-8</v>
      </c>
      <c r="AD156" s="266">
        <v>6.9096149947048106E-8</v>
      </c>
      <c r="AE156" s="266">
        <v>6.7644313669145458E-8</v>
      </c>
      <c r="AF156" s="266">
        <v>6.598349677783315E-8</v>
      </c>
      <c r="AG156" s="266">
        <v>6.4423892149071949E-8</v>
      </c>
      <c r="AH156" s="266">
        <v>6.2802632815741563E-8</v>
      </c>
      <c r="AI156" s="266">
        <v>6.2564095925119992E-8</v>
      </c>
      <c r="AJ156" s="266">
        <v>6.2321419873870661E-8</v>
      </c>
      <c r="AK156" s="266">
        <v>6.1987411257325413E-8</v>
      </c>
      <c r="AL156" s="266">
        <v>6.173777258570707E-8</v>
      </c>
      <c r="AM156" s="266">
        <v>6.1484883447645369E-8</v>
      </c>
      <c r="AN156" s="266">
        <v>6.1397339854027219E-8</v>
      </c>
      <c r="AO156" s="266">
        <v>6.1311039982159579E-8</v>
      </c>
      <c r="AP156" s="266">
        <v>6.119394761846262E-8</v>
      </c>
      <c r="AQ156" s="266">
        <v>6.1107721240260843E-8</v>
      </c>
      <c r="AR156" s="266">
        <v>6.1020251582241181E-8</v>
      </c>
      <c r="AS156" s="266">
        <v>6.0923571262232218E-8</v>
      </c>
      <c r="AT156" s="266">
        <v>6.0828524738569097E-8</v>
      </c>
      <c r="AU156" s="266">
        <v>6.0706897312521447E-8</v>
      </c>
      <c r="AV156" s="266">
        <v>6.0613137285772885E-8</v>
      </c>
      <c r="AW156" s="266">
        <v>6.0500522754462086E-8</v>
      </c>
      <c r="AX156" s="266">
        <v>6.0861494675674142E-8</v>
      </c>
      <c r="AY156" s="266">
        <v>6.0840366070696664E-8</v>
      </c>
      <c r="AZ156" s="266">
        <v>6.0819276754079319E-8</v>
      </c>
      <c r="BA156" s="266">
        <v>6.0798233589636692E-8</v>
      </c>
      <c r="BB156" s="266">
        <v>6.0777247689524231E-8</v>
      </c>
      <c r="BC156" s="269">
        <v>0.84921060558950179</v>
      </c>
      <c r="BD156" s="269">
        <v>0.8417155158482772</v>
      </c>
      <c r="BE156" s="269">
        <v>0.83399003501836921</v>
      </c>
      <c r="BF156" s="269">
        <v>0.8216970263360488</v>
      </c>
      <c r="BG156" s="269">
        <v>0.81344275255878007</v>
      </c>
      <c r="BH156" s="269">
        <v>0.80488305890073564</v>
      </c>
      <c r="BI156" s="269">
        <v>0.81154460437633114</v>
      </c>
      <c r="BJ156" s="269">
        <v>0.81798896683780797</v>
      </c>
      <c r="BK156" s="269">
        <v>0.82130962323490397</v>
      </c>
      <c r="BL156" s="269">
        <v>0.82736818214601615</v>
      </c>
      <c r="BM156" s="269">
        <v>0.83322433820995545</v>
      </c>
      <c r="BN156" s="269">
        <v>0.83241398910590014</v>
      </c>
      <c r="BO156" s="269">
        <v>0.83160356206748687</v>
      </c>
      <c r="BP156" s="269">
        <v>0.82997517109791852</v>
      </c>
      <c r="BQ156" s="269">
        <v>0.8291637819437353</v>
      </c>
      <c r="BR156" s="269">
        <v>0.82833657707722974</v>
      </c>
      <c r="BS156" s="269">
        <v>0.82266209183391792</v>
      </c>
      <c r="BT156" s="269">
        <v>0.8170504522397003</v>
      </c>
      <c r="BU156" s="269">
        <v>0.81071990394383942</v>
      </c>
      <c r="BV156" s="269">
        <v>0.80520381399876384</v>
      </c>
      <c r="BW156" s="269">
        <v>0.79961905453810633</v>
      </c>
      <c r="BX156" s="269">
        <v>0.79886231940829489</v>
      </c>
      <c r="BY156" s="269">
        <v>0.79811527004577387</v>
      </c>
      <c r="BZ156" s="269">
        <v>0.79737186037908847</v>
      </c>
      <c r="CA156" s="269">
        <v>0.79663194879114785</v>
      </c>
      <c r="CB156" s="269">
        <v>0.79589553471255314</v>
      </c>
      <c r="CC156" s="272">
        <v>8.286947576159184</v>
      </c>
      <c r="CD156" s="272">
        <v>7.8608444637299213</v>
      </c>
      <c r="CE156" s="272">
        <v>7.4289155997569409</v>
      </c>
      <c r="CF156" s="272">
        <v>6.9587156247759792</v>
      </c>
      <c r="CG156" s="272">
        <v>6.50915951648199</v>
      </c>
      <c r="CH156" s="272">
        <v>6.0489706195799</v>
      </c>
      <c r="CI156" s="272">
        <v>5.9208686966334731</v>
      </c>
      <c r="CJ156" s="272">
        <v>5.7940606483762096</v>
      </c>
      <c r="CK156" s="272">
        <v>5.651312437157971</v>
      </c>
      <c r="CL156" s="272">
        <v>5.5271795565822419</v>
      </c>
      <c r="CM156" s="272">
        <v>5.4042411966974271</v>
      </c>
      <c r="CN156" s="272">
        <v>5.3577371098128097</v>
      </c>
      <c r="CO156" s="272">
        <v>5.3118125535899763</v>
      </c>
      <c r="CP156" s="272">
        <v>5.2618606631852147</v>
      </c>
      <c r="CQ156" s="272">
        <v>5.2168389426623376</v>
      </c>
      <c r="CR156" s="272">
        <v>5.1721762013413866</v>
      </c>
      <c r="CS156" s="272">
        <v>5.1384796851279386</v>
      </c>
      <c r="CT156" s="272">
        <v>5.1055220405571609</v>
      </c>
      <c r="CU156" s="272">
        <v>5.069960096807594</v>
      </c>
      <c r="CV156" s="272">
        <v>5.038376954951441</v>
      </c>
      <c r="CW156" s="272">
        <v>5.0083621272833643</v>
      </c>
      <c r="CX156" s="272">
        <v>4.9884378062880339</v>
      </c>
      <c r="CY156" s="272">
        <v>4.9663331840448306</v>
      </c>
      <c r="CZ156" s="272">
        <v>4.9445889559399596</v>
      </c>
      <c r="DA156" s="272">
        <v>4.923200647140197</v>
      </c>
      <c r="DB156" s="272">
        <v>4.9021649768970024</v>
      </c>
    </row>
    <row r="157" spans="1:106" s="219" customFormat="1" x14ac:dyDescent="0.35">
      <c r="A157" s="128" t="s">
        <v>746</v>
      </c>
      <c r="B157" s="31" t="s">
        <v>769</v>
      </c>
      <c r="C157" s="263">
        <v>6.5580187507329141E-5</v>
      </c>
      <c r="D157" s="263">
        <v>6.4936080664668172E-5</v>
      </c>
      <c r="E157" s="263">
        <v>6.4273776034630165E-5</v>
      </c>
      <c r="F157" s="263">
        <v>6.354021321611095E-5</v>
      </c>
      <c r="G157" s="263">
        <v>6.2827403805448714E-5</v>
      </c>
      <c r="H157" s="263">
        <v>6.2084510238121432E-5</v>
      </c>
      <c r="I157" s="263">
        <v>6.1942807501696258E-5</v>
      </c>
      <c r="J157" s="263">
        <v>6.1805757623127492E-5</v>
      </c>
      <c r="K157" s="263">
        <v>6.164954400075638E-5</v>
      </c>
      <c r="L157" s="263">
        <v>6.1517881799037598E-5</v>
      </c>
      <c r="M157" s="263">
        <v>6.1388589649212624E-5</v>
      </c>
      <c r="N157" s="263">
        <v>6.1337960403361167E-5</v>
      </c>
      <c r="O157" s="263">
        <v>6.1290695771381432E-5</v>
      </c>
      <c r="P157" s="263">
        <v>6.1239923136865711E-5</v>
      </c>
      <c r="Q157" s="263">
        <v>6.1196891231891646E-5</v>
      </c>
      <c r="R157" s="263">
        <v>6.11549783431714E-5</v>
      </c>
      <c r="S157" s="263">
        <v>6.1123560504067358E-5</v>
      </c>
      <c r="T157" s="263">
        <v>6.1092791455311462E-5</v>
      </c>
      <c r="U157" s="263">
        <v>6.1056928288215345E-5</v>
      </c>
      <c r="V157" s="263">
        <v>6.102697589137877E-5</v>
      </c>
      <c r="W157" s="263">
        <v>6.099464012008032E-5</v>
      </c>
      <c r="X157" s="263">
        <v>6.1374245605063385E-5</v>
      </c>
      <c r="Y157" s="263">
        <v>6.1362485529418401E-5</v>
      </c>
      <c r="Z157" s="263">
        <v>6.1350945348237815E-5</v>
      </c>
      <c r="AA157" s="263">
        <v>6.1339621952869838E-5</v>
      </c>
      <c r="AB157" s="263">
        <v>6.132851614896403E-5</v>
      </c>
      <c r="AC157" s="266">
        <v>7.0501833898475913E-8</v>
      </c>
      <c r="AD157" s="266">
        <v>6.9096149947048106E-8</v>
      </c>
      <c r="AE157" s="266">
        <v>6.7644313669145458E-8</v>
      </c>
      <c r="AF157" s="266">
        <v>6.598349677783315E-8</v>
      </c>
      <c r="AG157" s="266">
        <v>6.4423892149071949E-8</v>
      </c>
      <c r="AH157" s="266">
        <v>6.2802632815741563E-8</v>
      </c>
      <c r="AI157" s="266">
        <v>6.2564095925119992E-8</v>
      </c>
      <c r="AJ157" s="266">
        <v>6.2321419873870661E-8</v>
      </c>
      <c r="AK157" s="266">
        <v>6.1987411257325413E-8</v>
      </c>
      <c r="AL157" s="266">
        <v>6.173777258570707E-8</v>
      </c>
      <c r="AM157" s="266">
        <v>6.1484883447645369E-8</v>
      </c>
      <c r="AN157" s="266">
        <v>6.1397339854027219E-8</v>
      </c>
      <c r="AO157" s="266">
        <v>6.1311039982159579E-8</v>
      </c>
      <c r="AP157" s="266">
        <v>6.119394761846262E-8</v>
      </c>
      <c r="AQ157" s="266">
        <v>6.1107721240260843E-8</v>
      </c>
      <c r="AR157" s="266">
        <v>6.1020251582241181E-8</v>
      </c>
      <c r="AS157" s="266">
        <v>6.0923571262232218E-8</v>
      </c>
      <c r="AT157" s="266">
        <v>6.0828524738569097E-8</v>
      </c>
      <c r="AU157" s="266">
        <v>6.0706897312521447E-8</v>
      </c>
      <c r="AV157" s="266">
        <v>6.0613137285772885E-8</v>
      </c>
      <c r="AW157" s="266">
        <v>6.0500522754462086E-8</v>
      </c>
      <c r="AX157" s="266">
        <v>6.0861494675674142E-8</v>
      </c>
      <c r="AY157" s="266">
        <v>6.0840366070696664E-8</v>
      </c>
      <c r="AZ157" s="266">
        <v>6.0819276754079319E-8</v>
      </c>
      <c r="BA157" s="266">
        <v>6.0798233589636692E-8</v>
      </c>
      <c r="BB157" s="266">
        <v>6.0777247689524231E-8</v>
      </c>
      <c r="BC157" s="269">
        <v>0.84921060558950179</v>
      </c>
      <c r="BD157" s="269">
        <v>0.8417155158482772</v>
      </c>
      <c r="BE157" s="269">
        <v>0.83399003501836921</v>
      </c>
      <c r="BF157" s="269">
        <v>0.8216970263360488</v>
      </c>
      <c r="BG157" s="269">
        <v>0.81344275255878007</v>
      </c>
      <c r="BH157" s="269">
        <v>0.80488305890073564</v>
      </c>
      <c r="BI157" s="269">
        <v>0.81154460437633114</v>
      </c>
      <c r="BJ157" s="269">
        <v>0.81798896683780797</v>
      </c>
      <c r="BK157" s="269">
        <v>0.82130962323490397</v>
      </c>
      <c r="BL157" s="269">
        <v>0.82736818214601615</v>
      </c>
      <c r="BM157" s="269">
        <v>0.83322433820995545</v>
      </c>
      <c r="BN157" s="269">
        <v>0.83241398910590014</v>
      </c>
      <c r="BO157" s="269">
        <v>0.83160356206748687</v>
      </c>
      <c r="BP157" s="269">
        <v>0.82997517109791852</v>
      </c>
      <c r="BQ157" s="269">
        <v>0.8291637819437353</v>
      </c>
      <c r="BR157" s="269">
        <v>0.82833657707722974</v>
      </c>
      <c r="BS157" s="269">
        <v>0.82266209183391792</v>
      </c>
      <c r="BT157" s="269">
        <v>0.8170504522397003</v>
      </c>
      <c r="BU157" s="269">
        <v>0.81071990394383942</v>
      </c>
      <c r="BV157" s="269">
        <v>0.80520381399876384</v>
      </c>
      <c r="BW157" s="269">
        <v>0.79961905453810633</v>
      </c>
      <c r="BX157" s="269">
        <v>0.79886231940829489</v>
      </c>
      <c r="BY157" s="269">
        <v>0.79811527004577387</v>
      </c>
      <c r="BZ157" s="269">
        <v>0.79737186037908847</v>
      </c>
      <c r="CA157" s="269">
        <v>0.79663194879114785</v>
      </c>
      <c r="CB157" s="269">
        <v>0.79589553471255314</v>
      </c>
      <c r="CC157" s="272">
        <v>8.286947576159184</v>
      </c>
      <c r="CD157" s="272">
        <v>7.8608444637299213</v>
      </c>
      <c r="CE157" s="272">
        <v>7.4289155997569409</v>
      </c>
      <c r="CF157" s="272">
        <v>6.9587156247759792</v>
      </c>
      <c r="CG157" s="272">
        <v>6.50915951648199</v>
      </c>
      <c r="CH157" s="272">
        <v>6.0489706195799</v>
      </c>
      <c r="CI157" s="272">
        <v>5.9208686966334731</v>
      </c>
      <c r="CJ157" s="272">
        <v>5.7940606483762096</v>
      </c>
      <c r="CK157" s="272">
        <v>5.651312437157971</v>
      </c>
      <c r="CL157" s="272">
        <v>5.5271795565822419</v>
      </c>
      <c r="CM157" s="272">
        <v>5.4042411966974271</v>
      </c>
      <c r="CN157" s="272">
        <v>5.3577371098128097</v>
      </c>
      <c r="CO157" s="272">
        <v>5.3118125535899763</v>
      </c>
      <c r="CP157" s="272">
        <v>5.2618606631852147</v>
      </c>
      <c r="CQ157" s="272">
        <v>5.2168389426623376</v>
      </c>
      <c r="CR157" s="272">
        <v>5.1721762013413866</v>
      </c>
      <c r="CS157" s="272">
        <v>5.1384796851279386</v>
      </c>
      <c r="CT157" s="272">
        <v>5.1055220405571609</v>
      </c>
      <c r="CU157" s="272">
        <v>5.069960096807594</v>
      </c>
      <c r="CV157" s="272">
        <v>5.038376954951441</v>
      </c>
      <c r="CW157" s="272">
        <v>5.0083621272833643</v>
      </c>
      <c r="CX157" s="272">
        <v>4.9884378062880339</v>
      </c>
      <c r="CY157" s="272">
        <v>4.9663331840448306</v>
      </c>
      <c r="CZ157" s="272">
        <v>4.9445889559399596</v>
      </c>
      <c r="DA157" s="272">
        <v>4.923200647140197</v>
      </c>
      <c r="DB157" s="272">
        <v>4.9021649768970024</v>
      </c>
    </row>
    <row r="158" spans="1:106" s="219" customFormat="1" x14ac:dyDescent="0.35">
      <c r="A158" s="235" t="s">
        <v>772</v>
      </c>
      <c r="B158" s="234" t="s">
        <v>774</v>
      </c>
      <c r="C158" s="263">
        <v>7.4533376016745236E-4</v>
      </c>
      <c r="D158" s="263">
        <v>7.3954015186761561E-4</v>
      </c>
      <c r="E158" s="263">
        <v>7.335623056182591E-4</v>
      </c>
      <c r="F158" s="263">
        <v>7.2705336004322968E-4</v>
      </c>
      <c r="G158" s="263">
        <v>7.2057340445389633E-4</v>
      </c>
      <c r="H158" s="263">
        <v>7.137905754530968E-4</v>
      </c>
      <c r="I158" s="263">
        <v>7.1256824984484936E-4</v>
      </c>
      <c r="J158" s="263">
        <v>7.1139222839550209E-4</v>
      </c>
      <c r="K158" s="263">
        <v>7.1011226577636852E-4</v>
      </c>
      <c r="L158" s="263">
        <v>7.0899768658312353E-4</v>
      </c>
      <c r="M158" s="263">
        <v>7.0790826734872176E-4</v>
      </c>
      <c r="N158" s="263">
        <v>7.0752261439408219E-4</v>
      </c>
      <c r="O158" s="263">
        <v>7.0716883703655941E-4</v>
      </c>
      <c r="P158" s="263">
        <v>7.0679819926076871E-4</v>
      </c>
      <c r="Q158" s="263">
        <v>7.0648526328544203E-4</v>
      </c>
      <c r="R158" s="263">
        <v>7.0618554131149976E-4</v>
      </c>
      <c r="S158" s="263">
        <v>7.0595087037053877E-4</v>
      </c>
      <c r="T158" s="263">
        <v>7.0571997214170486E-4</v>
      </c>
      <c r="U158" s="263">
        <v>7.0545622686228235E-4</v>
      </c>
      <c r="V158" s="263">
        <v>7.0523312320635982E-4</v>
      </c>
      <c r="W158" s="263">
        <v>7.0500970948819816E-4</v>
      </c>
      <c r="X158" s="263">
        <v>7.0970173405254528E-4</v>
      </c>
      <c r="Y158" s="263">
        <v>7.0965382184958055E-4</v>
      </c>
      <c r="Z158" s="263">
        <v>7.09607813290328E-4</v>
      </c>
      <c r="AA158" s="263">
        <v>7.095636958396709E-4</v>
      </c>
      <c r="AB158" s="263">
        <v>7.0952149276850662E-4</v>
      </c>
      <c r="AC158" s="266">
        <v>7.5881833980342406E-7</v>
      </c>
      <c r="AD158" s="266">
        <v>7.4633828394619606E-7</v>
      </c>
      <c r="AE158" s="266">
        <v>7.3340515350774161E-7</v>
      </c>
      <c r="AF158" s="266">
        <v>7.1898635099363768E-7</v>
      </c>
      <c r="AG158" s="266">
        <v>7.0500099046932096E-7</v>
      </c>
      <c r="AH158" s="266">
        <v>6.9040244454312956E-7</v>
      </c>
      <c r="AI158" s="266">
        <v>6.8829331898430178E-7</v>
      </c>
      <c r="AJ158" s="266">
        <v>6.861495910413732E-7</v>
      </c>
      <c r="AK158" s="266">
        <v>6.8343388150376826E-7</v>
      </c>
      <c r="AL158" s="266">
        <v>6.8123391015462355E-7</v>
      </c>
      <c r="AM158" s="266">
        <v>6.790129024129026E-7</v>
      </c>
      <c r="AN158" s="266">
        <v>6.7818704907651889E-7</v>
      </c>
      <c r="AO158" s="266">
        <v>6.7737610569399114E-7</v>
      </c>
      <c r="AP158" s="266">
        <v>6.7636873197935015E-7</v>
      </c>
      <c r="AQ158" s="266">
        <v>6.7557128456112847E-7</v>
      </c>
      <c r="AR158" s="266">
        <v>6.747776728281658E-7</v>
      </c>
      <c r="AS158" s="266">
        <v>6.7390807562280764E-7</v>
      </c>
      <c r="AT158" s="266">
        <v>6.7305203243769794E-7</v>
      </c>
      <c r="AU158" s="266">
        <v>6.7202993545141514E-7</v>
      </c>
      <c r="AV158" s="266">
        <v>6.711990276646335E-7</v>
      </c>
      <c r="AW158" s="266">
        <v>6.7035400157920089E-7</v>
      </c>
      <c r="AX158" s="266">
        <v>6.7561940259738228E-7</v>
      </c>
      <c r="AY158" s="266">
        <v>6.754198175521106E-7</v>
      </c>
      <c r="AZ158" s="266">
        <v>6.7522145715554894E-7</v>
      </c>
      <c r="BA158" s="266">
        <v>6.7502433466465295E-7</v>
      </c>
      <c r="BB158" s="266">
        <v>6.7482851311639945E-7</v>
      </c>
      <c r="BC158" s="269">
        <v>5.9643379454156289</v>
      </c>
      <c r="BD158" s="269">
        <v>5.8864138075915733</v>
      </c>
      <c r="BE158" s="269">
        <v>5.8064799144398842</v>
      </c>
      <c r="BF158" s="269">
        <v>5.6975926835830473</v>
      </c>
      <c r="BG158" s="269">
        <v>5.6128167412239058</v>
      </c>
      <c r="BH158" s="269">
        <v>5.5252587756886156</v>
      </c>
      <c r="BI158" s="269">
        <v>5.5910802430937219</v>
      </c>
      <c r="BJ158" s="269">
        <v>5.6548873537411239</v>
      </c>
      <c r="BK158" s="269">
        <v>5.698806577528452</v>
      </c>
      <c r="BL158" s="269">
        <v>5.7589378605577268</v>
      </c>
      <c r="BM158" s="269">
        <v>5.8172378503220159</v>
      </c>
      <c r="BN158" s="269">
        <v>5.8180497103887969</v>
      </c>
      <c r="BO158" s="269">
        <v>5.8188529984299677</v>
      </c>
      <c r="BP158" s="269">
        <v>5.8143394619218549</v>
      </c>
      <c r="BQ158" s="269">
        <v>5.8150907765066524</v>
      </c>
      <c r="BR158" s="269">
        <v>5.815729252344334</v>
      </c>
      <c r="BS158" s="269">
        <v>5.7664947900472976</v>
      </c>
      <c r="BT158" s="269">
        <v>5.7177233283694973</v>
      </c>
      <c r="BU158" s="269">
        <v>5.6644742851936254</v>
      </c>
      <c r="BV158" s="269">
        <v>5.616668230872528</v>
      </c>
      <c r="BW158" s="269">
        <v>5.5691558044503999</v>
      </c>
      <c r="BX158" s="269">
        <v>5.5637453416200993</v>
      </c>
      <c r="BY158" s="269">
        <v>5.55840578622482</v>
      </c>
      <c r="BZ158" s="269">
        <v>5.5530789964686269</v>
      </c>
      <c r="CA158" s="269">
        <v>5.5477636135122594</v>
      </c>
      <c r="CB158" s="269">
        <v>5.542459621956489</v>
      </c>
      <c r="CC158" s="272">
        <v>48.203870242682648</v>
      </c>
      <c r="CD158" s="272">
        <v>44.606825634738343</v>
      </c>
      <c r="CE158" s="272">
        <v>40.950340425703793</v>
      </c>
      <c r="CF158" s="272">
        <v>37.027826154307228</v>
      </c>
      <c r="CG158" s="272">
        <v>33.199190456359389</v>
      </c>
      <c r="CH158" s="272">
        <v>29.266394942190271</v>
      </c>
      <c r="CI158" s="272">
        <v>28.229035154215619</v>
      </c>
      <c r="CJ158" s="272">
        <v>27.204074474661631</v>
      </c>
      <c r="CK158" s="272">
        <v>26.08505893184406</v>
      </c>
      <c r="CL158" s="272">
        <v>25.084330978690311</v>
      </c>
      <c r="CM158" s="272">
        <v>24.09482430030474</v>
      </c>
      <c r="CN158" s="272">
        <v>23.74328618558167</v>
      </c>
      <c r="CO158" s="272">
        <v>23.396511618104949</v>
      </c>
      <c r="CP158" s="272">
        <v>23.023909023443089</v>
      </c>
      <c r="CQ158" s="272">
        <v>22.683972300149058</v>
      </c>
      <c r="CR158" s="272">
        <v>22.346520818306161</v>
      </c>
      <c r="CS158" s="272">
        <v>22.07252422485967</v>
      </c>
      <c r="CT158" s="272">
        <v>21.803976257177649</v>
      </c>
      <c r="CU158" s="272">
        <v>21.519915610051541</v>
      </c>
      <c r="CV158" s="272">
        <v>21.26294545427513</v>
      </c>
      <c r="CW158" s="272">
        <v>21.01253881778829</v>
      </c>
      <c r="CX158" s="272">
        <v>20.85096771151964</v>
      </c>
      <c r="CY158" s="272">
        <v>20.67227794717386</v>
      </c>
      <c r="CZ158" s="272">
        <v>20.49667312151584</v>
      </c>
      <c r="DA158" s="272">
        <v>20.324124709241559</v>
      </c>
      <c r="DB158" s="272">
        <v>20.15461349884681</v>
      </c>
    </row>
    <row r="159" spans="1:106" s="219" customFormat="1" x14ac:dyDescent="0.35">
      <c r="A159" s="235" t="s">
        <v>773</v>
      </c>
      <c r="B159" s="234" t="s">
        <v>774</v>
      </c>
      <c r="C159" s="263">
        <v>2.3174810104206471E-4</v>
      </c>
      <c r="D159" s="263">
        <v>2.3060885980001351E-4</v>
      </c>
      <c r="E159" s="263">
        <v>2.2945764757454501E-4</v>
      </c>
      <c r="F159" s="263">
        <v>2.2816774463273919E-4</v>
      </c>
      <c r="G159" s="263">
        <v>2.269658140431351E-4</v>
      </c>
      <c r="H159" s="263">
        <v>2.257417242487544E-4</v>
      </c>
      <c r="I159" s="263">
        <v>2.2527182340895729E-4</v>
      </c>
      <c r="J159" s="263">
        <v>2.2483464179493131E-4</v>
      </c>
      <c r="K159" s="263">
        <v>2.243684214633172E-4</v>
      </c>
      <c r="L159" s="263">
        <v>2.239789361825278E-4</v>
      </c>
      <c r="M159" s="263">
        <v>2.236092159038697E-4</v>
      </c>
      <c r="N159" s="263">
        <v>2.2338383419876699E-4</v>
      </c>
      <c r="O159" s="263">
        <v>2.2318096398870439E-4</v>
      </c>
      <c r="P159" s="263">
        <v>2.2297813868280659E-4</v>
      </c>
      <c r="Q159" s="263">
        <v>2.2280388731747309E-4</v>
      </c>
      <c r="R159" s="263">
        <v>2.2263938028416289E-4</v>
      </c>
      <c r="S159" s="263">
        <v>2.225282494216716E-4</v>
      </c>
      <c r="T159" s="263">
        <v>2.2241855232998589E-4</v>
      </c>
      <c r="U159" s="263">
        <v>2.2229546824462771E-4</v>
      </c>
      <c r="V159" s="263">
        <v>2.2218858691503879E-4</v>
      </c>
      <c r="W159" s="263">
        <v>2.2208148662011731E-4</v>
      </c>
      <c r="X159" s="263">
        <v>2.234722966992246E-4</v>
      </c>
      <c r="Y159" s="263">
        <v>2.23447688285862E-4</v>
      </c>
      <c r="Z159" s="263">
        <v>2.2342361535827729E-4</v>
      </c>
      <c r="AA159" s="263">
        <v>2.2340009379392549E-4</v>
      </c>
      <c r="AB159" s="263">
        <v>2.233771462488101E-4</v>
      </c>
      <c r="AC159" s="266">
        <v>2.3722138768137951E-7</v>
      </c>
      <c r="AD159" s="266">
        <v>2.3477060657166291E-7</v>
      </c>
      <c r="AE159" s="266">
        <v>2.3226977746382549E-7</v>
      </c>
      <c r="AF159" s="266">
        <v>2.2932855508422401E-7</v>
      </c>
      <c r="AG159" s="266">
        <v>2.267052450092459E-7</v>
      </c>
      <c r="AH159" s="266">
        <v>2.2403049977365701E-7</v>
      </c>
      <c r="AI159" s="266">
        <v>2.2378057866729731E-7</v>
      </c>
      <c r="AJ159" s="266">
        <v>2.235239276118486E-7</v>
      </c>
      <c r="AK159" s="266">
        <v>2.230472868994348E-7</v>
      </c>
      <c r="AL159" s="266">
        <v>2.227773473226213E-7</v>
      </c>
      <c r="AM159" s="266">
        <v>2.2250648676374159E-7</v>
      </c>
      <c r="AN159" s="266">
        <v>2.224867911290031E-7</v>
      </c>
      <c r="AO159" s="266">
        <v>2.2247195949970081E-7</v>
      </c>
      <c r="AP159" s="266">
        <v>2.2237603032985621E-7</v>
      </c>
      <c r="AQ159" s="266">
        <v>2.2235990545575311E-7</v>
      </c>
      <c r="AR159" s="266">
        <v>2.2234188213096481E-7</v>
      </c>
      <c r="AS159" s="266">
        <v>2.2212107312444741E-7</v>
      </c>
      <c r="AT159" s="266">
        <v>2.2190193953520699E-7</v>
      </c>
      <c r="AU159" s="266">
        <v>2.2161325870189631E-7</v>
      </c>
      <c r="AV159" s="266">
        <v>2.2139682776721141E-7</v>
      </c>
      <c r="AW159" s="266">
        <v>2.2117174137995569E-7</v>
      </c>
      <c r="AX159" s="266">
        <v>2.2268807685534541E-7</v>
      </c>
      <c r="AY159" s="266">
        <v>2.2259000474864411E-7</v>
      </c>
      <c r="AZ159" s="266">
        <v>2.2249154281777051E-7</v>
      </c>
      <c r="BA159" s="266">
        <v>2.2239268176378319E-7</v>
      </c>
      <c r="BB159" s="266">
        <v>2.222934243965597E-7</v>
      </c>
      <c r="BC159" s="269">
        <v>2.7856341821274961</v>
      </c>
      <c r="BD159" s="269">
        <v>2.7604847125836538</v>
      </c>
      <c r="BE159" s="269">
        <v>2.735264220997915</v>
      </c>
      <c r="BF159" s="269">
        <v>2.6996032210871652</v>
      </c>
      <c r="BG159" s="269">
        <v>2.674054456667621</v>
      </c>
      <c r="BH159" s="269">
        <v>2.6484727842146829</v>
      </c>
      <c r="BI159" s="269">
        <v>2.6569029429033901</v>
      </c>
      <c r="BJ159" s="269">
        <v>2.6650152797302238</v>
      </c>
      <c r="BK159" s="269">
        <v>2.6657806683798628</v>
      </c>
      <c r="BL159" s="269">
        <v>2.6733466677126771</v>
      </c>
      <c r="BM159" s="269">
        <v>2.6806552807382031</v>
      </c>
      <c r="BN159" s="269">
        <v>2.6731251063909278</v>
      </c>
      <c r="BO159" s="269">
        <v>2.6656714028758279</v>
      </c>
      <c r="BP159" s="269">
        <v>2.656167433330054</v>
      </c>
      <c r="BQ159" s="269">
        <v>2.648806234642628</v>
      </c>
      <c r="BR159" s="269">
        <v>2.6414568624175061</v>
      </c>
      <c r="BS159" s="269">
        <v>2.6227978522152431</v>
      </c>
      <c r="BT159" s="269">
        <v>2.6042517879226872</v>
      </c>
      <c r="BU159" s="269">
        <v>2.5838469793250241</v>
      </c>
      <c r="BV159" s="269">
        <v>2.5655463455569172</v>
      </c>
      <c r="BW159" s="269">
        <v>2.5472989959918451</v>
      </c>
      <c r="BX159" s="269">
        <v>2.5411275468538781</v>
      </c>
      <c r="BY159" s="269">
        <v>2.5350175992605308</v>
      </c>
      <c r="BZ159" s="269">
        <v>2.528957528841286</v>
      </c>
      <c r="CA159" s="269">
        <v>2.5229469692250399</v>
      </c>
      <c r="CB159" s="269">
        <v>2.5169858328817019</v>
      </c>
      <c r="CC159" s="272">
        <v>20.852573781165411</v>
      </c>
      <c r="CD159" s="272">
        <v>19.951946923393351</v>
      </c>
      <c r="CE159" s="272">
        <v>19.0468398344685</v>
      </c>
      <c r="CF159" s="272">
        <v>18.06066042543312</v>
      </c>
      <c r="CG159" s="272">
        <v>17.136539686021081</v>
      </c>
      <c r="CH159" s="272">
        <v>16.204486647443851</v>
      </c>
      <c r="CI159" s="272">
        <v>15.84666416002198</v>
      </c>
      <c r="CJ159" s="272">
        <v>15.492836834263199</v>
      </c>
      <c r="CK159" s="272">
        <v>15.101138203510629</v>
      </c>
      <c r="CL159" s="272">
        <v>14.755151513685661</v>
      </c>
      <c r="CM159" s="272">
        <v>14.413453373728361</v>
      </c>
      <c r="CN159" s="272">
        <v>14.20037197051866</v>
      </c>
      <c r="CO159" s="272">
        <v>13.990587448416109</v>
      </c>
      <c r="CP159" s="272">
        <v>13.771474215124391</v>
      </c>
      <c r="CQ159" s="272">
        <v>13.566132024144579</v>
      </c>
      <c r="CR159" s="272">
        <v>13.36254869960562</v>
      </c>
      <c r="CS159" s="272">
        <v>13.18750069483908</v>
      </c>
      <c r="CT159" s="272">
        <v>13.015196031028781</v>
      </c>
      <c r="CU159" s="272">
        <v>12.83730091284777</v>
      </c>
      <c r="CV159" s="272">
        <v>12.67073227540059</v>
      </c>
      <c r="CW159" s="272">
        <v>12.507315744406981</v>
      </c>
      <c r="CX159" s="272">
        <v>12.382232832479</v>
      </c>
      <c r="CY159" s="272">
        <v>12.249287815502131</v>
      </c>
      <c r="CZ159" s="272">
        <v>12.117693313936851</v>
      </c>
      <c r="DA159" s="272">
        <v>11.987441112928479</v>
      </c>
      <c r="DB159" s="272">
        <v>11.85852473123124</v>
      </c>
    </row>
    <row r="160" spans="1:106" s="219" customFormat="1" x14ac:dyDescent="0.35">
      <c r="A160" s="235" t="s">
        <v>747</v>
      </c>
      <c r="B160" s="234" t="s">
        <v>769</v>
      </c>
      <c r="C160" s="263">
        <v>6.4329744750493613E-4</v>
      </c>
      <c r="D160" s="263">
        <v>6.3931773639271041E-4</v>
      </c>
      <c r="E160" s="263">
        <v>6.3529093839500542E-4</v>
      </c>
      <c r="F160" s="263">
        <v>6.3069510563772276E-4</v>
      </c>
      <c r="G160" s="263">
        <v>6.2653205118956285E-4</v>
      </c>
      <c r="H160" s="263">
        <v>6.2228678486061758E-4</v>
      </c>
      <c r="I160" s="263">
        <v>6.2117834053020701E-4</v>
      </c>
      <c r="J160" s="263">
        <v>6.2009248165332512E-4</v>
      </c>
      <c r="K160" s="263">
        <v>6.1878113059706582E-4</v>
      </c>
      <c r="L160" s="263">
        <v>6.1773289049909727E-4</v>
      </c>
      <c r="M160" s="263">
        <v>6.1669961183005479E-4</v>
      </c>
      <c r="N160" s="263">
        <v>6.1625679778243812E-4</v>
      </c>
      <c r="O160" s="263">
        <v>6.158247571124147E-4</v>
      </c>
      <c r="P160" s="263">
        <v>6.1534057374556259E-4</v>
      </c>
      <c r="Q160" s="263">
        <v>6.1492243089841E-4</v>
      </c>
      <c r="R160" s="263">
        <v>6.1450780297191599E-4</v>
      </c>
      <c r="S160" s="263">
        <v>6.1428693042701269E-4</v>
      </c>
      <c r="T160" s="263">
        <v>6.1406839349180289E-4</v>
      </c>
      <c r="U160" s="263">
        <v>6.1379585738558689E-4</v>
      </c>
      <c r="V160" s="263">
        <v>6.1358325913780497E-4</v>
      </c>
      <c r="W160" s="263">
        <v>6.1336986731648892E-4</v>
      </c>
      <c r="X160" s="263">
        <v>6.1682819035953091E-4</v>
      </c>
      <c r="Y160" s="263">
        <v>6.166482209898986E-4</v>
      </c>
      <c r="Z160" s="263">
        <v>6.1646915684483836E-4</v>
      </c>
      <c r="AA160" s="263">
        <v>6.1629098107946249E-4</v>
      </c>
      <c r="AB160" s="263">
        <v>6.1611369677013654E-4</v>
      </c>
      <c r="AC160" s="266">
        <v>7.72369166861017E-7</v>
      </c>
      <c r="AD160" s="266">
        <v>7.6379254792386663E-7</v>
      </c>
      <c r="AE160" s="266">
        <v>7.5501246751510952E-7</v>
      </c>
      <c r="AF160" s="266">
        <v>7.4438425342130071E-7</v>
      </c>
      <c r="AG160" s="266">
        <v>7.352384140641534E-7</v>
      </c>
      <c r="AH160" s="266">
        <v>7.2589804506942209E-7</v>
      </c>
      <c r="AI160" s="266">
        <v>7.2363686491096937E-7</v>
      </c>
      <c r="AJ160" s="266">
        <v>7.213799018710002E-7</v>
      </c>
      <c r="AK160" s="266">
        <v>7.1818808105401881E-7</v>
      </c>
      <c r="AL160" s="266">
        <v>7.1593776028862581E-7</v>
      </c>
      <c r="AM160" s="266">
        <v>7.1369402352965125E-7</v>
      </c>
      <c r="AN160" s="266">
        <v>7.1287874249460494E-7</v>
      </c>
      <c r="AO160" s="266">
        <v>7.1206413735978461E-7</v>
      </c>
      <c r="AP160" s="266">
        <v>7.1093128557820653E-7</v>
      </c>
      <c r="AQ160" s="266">
        <v>7.1011023218245295E-7</v>
      </c>
      <c r="AR160" s="266">
        <v>7.092843691073992E-7</v>
      </c>
      <c r="AS160" s="266">
        <v>7.0878705623743768E-7</v>
      </c>
      <c r="AT160" s="266">
        <v>7.0829416668100811E-7</v>
      </c>
      <c r="AU160" s="266">
        <v>7.0752281162676791E-7</v>
      </c>
      <c r="AV160" s="266">
        <v>7.0703760866252526E-7</v>
      </c>
      <c r="AW160" s="266">
        <v>7.0653425633124631E-7</v>
      </c>
      <c r="AX160" s="266">
        <v>7.1012762991829081E-7</v>
      </c>
      <c r="AY160" s="266">
        <v>7.0983902824913661E-7</v>
      </c>
      <c r="AZ160" s="266">
        <v>7.0954911600035112E-7</v>
      </c>
      <c r="BA160" s="266">
        <v>7.0925792495170533E-7</v>
      </c>
      <c r="BB160" s="266">
        <v>7.0896551469955536E-7</v>
      </c>
      <c r="BC160" s="269">
        <v>21.94062198142856</v>
      </c>
      <c r="BD160" s="269">
        <v>21.87893269840556</v>
      </c>
      <c r="BE160" s="269">
        <v>21.816450647967631</v>
      </c>
      <c r="BF160" s="269">
        <v>21.70716148097215</v>
      </c>
      <c r="BG160" s="269">
        <v>21.643285576355929</v>
      </c>
      <c r="BH160" s="269">
        <v>21.578369110829779</v>
      </c>
      <c r="BI160" s="269">
        <v>21.61006618693499</v>
      </c>
      <c r="BJ160" s="269">
        <v>21.640977063334859</v>
      </c>
      <c r="BK160" s="269">
        <v>21.639794610229039</v>
      </c>
      <c r="BL160" s="269">
        <v>21.669571876060711</v>
      </c>
      <c r="BM160" s="269">
        <v>21.698625146821339</v>
      </c>
      <c r="BN160" s="269">
        <v>21.691014899952361</v>
      </c>
      <c r="BO160" s="269">
        <v>21.683373925452091</v>
      </c>
      <c r="BP160" s="269">
        <v>21.667281102227069</v>
      </c>
      <c r="BQ160" s="269">
        <v>21.65971123296562</v>
      </c>
      <c r="BR160" s="269">
        <v>21.652065984307772</v>
      </c>
      <c r="BS160" s="269">
        <v>21.610197280677362</v>
      </c>
      <c r="BT160" s="269">
        <v>21.568445483089111</v>
      </c>
      <c r="BU160" s="269">
        <v>21.518844914024459</v>
      </c>
      <c r="BV160" s="269">
        <v>21.477411821868511</v>
      </c>
      <c r="BW160" s="269">
        <v>21.435951488150842</v>
      </c>
      <c r="BX160" s="269">
        <v>21.42284008014142</v>
      </c>
      <c r="BY160" s="269">
        <v>21.409820421053539</v>
      </c>
      <c r="BZ160" s="269">
        <v>21.396860210343441</v>
      </c>
      <c r="CA160" s="269">
        <v>21.383958693548369</v>
      </c>
      <c r="CB160" s="269">
        <v>21.371115883404581</v>
      </c>
      <c r="CC160" s="272">
        <v>104.1134424587278</v>
      </c>
      <c r="CD160" s="272">
        <v>101.4722530631867</v>
      </c>
      <c r="CE160" s="272">
        <v>98.817303252100913</v>
      </c>
      <c r="CF160" s="272">
        <v>95.819931853070344</v>
      </c>
      <c r="CG160" s="272">
        <v>93.116352831067246</v>
      </c>
      <c r="CH160" s="272">
        <v>90.378859629103772</v>
      </c>
      <c r="CI160" s="272">
        <v>89.324640499343701</v>
      </c>
      <c r="CJ160" s="272">
        <v>88.282338399371739</v>
      </c>
      <c r="CK160" s="272">
        <v>87.067225139715248</v>
      </c>
      <c r="CL160" s="272">
        <v>86.051429428451954</v>
      </c>
      <c r="CM160" s="272">
        <v>85.046476029383925</v>
      </c>
      <c r="CN160" s="272">
        <v>84.575432339696661</v>
      </c>
      <c r="CO160" s="272">
        <v>84.105291730264128</v>
      </c>
      <c r="CP160" s="272">
        <v>83.590396667516487</v>
      </c>
      <c r="CQ160" s="272">
        <v>83.122263494848895</v>
      </c>
      <c r="CR160" s="272">
        <v>82.654049769320579</v>
      </c>
      <c r="CS160" s="272">
        <v>82.428808541913</v>
      </c>
      <c r="CT160" s="272">
        <v>82.206509914408286</v>
      </c>
      <c r="CU160" s="272">
        <v>81.954124898924661</v>
      </c>
      <c r="CV160" s="272">
        <v>81.739094977659263</v>
      </c>
      <c r="CW160" s="272">
        <v>81.52794997723079</v>
      </c>
      <c r="CX160" s="272">
        <v>81.355072056867598</v>
      </c>
      <c r="CY160" s="272">
        <v>81.159240163971575</v>
      </c>
      <c r="CZ160" s="272">
        <v>80.964767247637553</v>
      </c>
      <c r="DA160" s="272">
        <v>80.771636958158567</v>
      </c>
      <c r="DB160" s="272">
        <v>80.579838127350826</v>
      </c>
    </row>
    <row r="162" spans="1:106" s="231" customFormat="1" x14ac:dyDescent="0.35">
      <c r="A162" s="279"/>
    </row>
    <row r="163" spans="1:106" s="11" customFormat="1" ht="21" x14ac:dyDescent="0.5">
      <c r="A163" s="11" t="s">
        <v>72</v>
      </c>
    </row>
    <row r="164" spans="1:106" s="272" customFormat="1" x14ac:dyDescent="0.35">
      <c r="A164" s="29" t="s">
        <v>0</v>
      </c>
      <c r="B164" s="29"/>
      <c r="C164" s="332" t="s">
        <v>49</v>
      </c>
      <c r="D164" s="332"/>
      <c r="E164" s="332"/>
      <c r="F164" s="332"/>
      <c r="G164" s="332"/>
      <c r="H164" s="332"/>
      <c r="I164" s="332"/>
      <c r="J164" s="332"/>
      <c r="K164" s="332"/>
      <c r="L164" s="332"/>
      <c r="M164" s="332"/>
      <c r="N164" s="332"/>
      <c r="O164" s="332"/>
      <c r="P164" s="332"/>
      <c r="Q164" s="332"/>
      <c r="R164" s="332"/>
      <c r="S164" s="332"/>
      <c r="T164" s="332"/>
      <c r="U164" s="332"/>
      <c r="V164" s="332"/>
      <c r="W164" s="332"/>
      <c r="X164" s="332"/>
      <c r="Y164" s="332"/>
      <c r="Z164" s="332"/>
      <c r="AA164" s="332"/>
      <c r="AB164" s="332"/>
      <c r="AC164" s="333" t="s">
        <v>50</v>
      </c>
      <c r="AD164" s="333"/>
      <c r="AE164" s="333"/>
      <c r="AF164" s="333"/>
      <c r="AG164" s="333"/>
      <c r="AH164" s="333"/>
      <c r="AI164" s="333"/>
      <c r="AJ164" s="333"/>
      <c r="AK164" s="333"/>
      <c r="AL164" s="333"/>
      <c r="AM164" s="333"/>
      <c r="AN164" s="333"/>
      <c r="AO164" s="333"/>
      <c r="AP164" s="333"/>
      <c r="AQ164" s="333"/>
      <c r="AR164" s="333"/>
      <c r="AS164" s="333"/>
      <c r="AT164" s="333"/>
      <c r="AU164" s="333"/>
      <c r="AV164" s="333"/>
      <c r="AW164" s="333"/>
      <c r="AX164" s="333"/>
      <c r="AY164" s="333"/>
      <c r="AZ164" s="333"/>
      <c r="BA164" s="333"/>
      <c r="BB164" s="333"/>
      <c r="BC164" s="334" t="s">
        <v>756</v>
      </c>
      <c r="BD164" s="335"/>
      <c r="BE164" s="335"/>
      <c r="BF164" s="335"/>
      <c r="BG164" s="335"/>
      <c r="BH164" s="335"/>
      <c r="BI164" s="335"/>
      <c r="BJ164" s="335"/>
      <c r="BK164" s="335"/>
      <c r="BL164" s="335"/>
      <c r="BM164" s="335"/>
      <c r="BN164" s="335"/>
      <c r="BO164" s="335"/>
      <c r="BP164" s="335"/>
      <c r="BQ164" s="335"/>
      <c r="BR164" s="335"/>
      <c r="BS164" s="335"/>
      <c r="BT164" s="335"/>
      <c r="BU164" s="335"/>
      <c r="BV164" s="335"/>
      <c r="BW164" s="335"/>
      <c r="BX164" s="335"/>
      <c r="BY164" s="335"/>
      <c r="BZ164" s="335"/>
      <c r="CA164" s="335"/>
      <c r="CB164" s="336"/>
      <c r="CC164" s="337" t="s">
        <v>51</v>
      </c>
      <c r="CD164" s="337"/>
      <c r="CE164" s="337"/>
      <c r="CF164" s="337"/>
      <c r="CG164" s="337"/>
      <c r="CH164" s="337"/>
      <c r="CI164" s="337"/>
      <c r="CJ164" s="337"/>
      <c r="CK164" s="337"/>
      <c r="CL164" s="337"/>
      <c r="CM164" s="337"/>
      <c r="CN164" s="337"/>
      <c r="CO164" s="337"/>
      <c r="CP164" s="337"/>
      <c r="CQ164" s="337"/>
      <c r="CR164" s="337"/>
      <c r="CS164" s="337"/>
      <c r="CT164" s="337"/>
      <c r="CU164" s="337"/>
      <c r="CV164" s="337"/>
      <c r="CW164" s="337"/>
      <c r="CX164" s="337"/>
      <c r="CY164" s="337"/>
      <c r="CZ164" s="337"/>
      <c r="DA164" s="337"/>
      <c r="DB164" s="337"/>
    </row>
    <row r="165" spans="1:106" s="272" customFormat="1" x14ac:dyDescent="0.35">
      <c r="A165" s="29" t="s">
        <v>1</v>
      </c>
      <c r="B165" s="29" t="s">
        <v>180</v>
      </c>
      <c r="C165" s="226" t="s">
        <v>2</v>
      </c>
      <c r="D165" s="226" t="s">
        <v>52</v>
      </c>
      <c r="E165" s="226" t="s">
        <v>53</v>
      </c>
      <c r="F165" s="226" t="s">
        <v>54</v>
      </c>
      <c r="G165" s="226" t="s">
        <v>55</v>
      </c>
      <c r="H165" s="226" t="s">
        <v>3</v>
      </c>
      <c r="I165" s="226" t="s">
        <v>56</v>
      </c>
      <c r="J165" s="226" t="s">
        <v>57</v>
      </c>
      <c r="K165" s="226" t="s">
        <v>58</v>
      </c>
      <c r="L165" s="226" t="s">
        <v>59</v>
      </c>
      <c r="M165" s="226" t="s">
        <v>4</v>
      </c>
      <c r="N165" s="226" t="s">
        <v>60</v>
      </c>
      <c r="O165" s="226" t="s">
        <v>61</v>
      </c>
      <c r="P165" s="226" t="s">
        <v>62</v>
      </c>
      <c r="Q165" s="226" t="s">
        <v>63</v>
      </c>
      <c r="R165" s="226" t="s">
        <v>5</v>
      </c>
      <c r="S165" s="226" t="s">
        <v>64</v>
      </c>
      <c r="T165" s="226" t="s">
        <v>65</v>
      </c>
      <c r="U165" s="226" t="s">
        <v>66</v>
      </c>
      <c r="V165" s="226" t="s">
        <v>67</v>
      </c>
      <c r="W165" s="226" t="s">
        <v>6</v>
      </c>
      <c r="X165" s="226" t="s">
        <v>68</v>
      </c>
      <c r="Y165" s="226" t="s">
        <v>69</v>
      </c>
      <c r="Z165" s="226" t="s">
        <v>70</v>
      </c>
      <c r="AA165" s="226" t="s">
        <v>71</v>
      </c>
      <c r="AB165" s="226" t="s">
        <v>7</v>
      </c>
      <c r="AC165" s="227" t="s">
        <v>2</v>
      </c>
      <c r="AD165" s="227" t="s">
        <v>52</v>
      </c>
      <c r="AE165" s="227" t="s">
        <v>53</v>
      </c>
      <c r="AF165" s="227" t="s">
        <v>54</v>
      </c>
      <c r="AG165" s="227" t="s">
        <v>55</v>
      </c>
      <c r="AH165" s="227" t="s">
        <v>3</v>
      </c>
      <c r="AI165" s="227" t="s">
        <v>56</v>
      </c>
      <c r="AJ165" s="227" t="s">
        <v>57</v>
      </c>
      <c r="AK165" s="227" t="s">
        <v>58</v>
      </c>
      <c r="AL165" s="227" t="s">
        <v>59</v>
      </c>
      <c r="AM165" s="227" t="s">
        <v>4</v>
      </c>
      <c r="AN165" s="227" t="s">
        <v>60</v>
      </c>
      <c r="AO165" s="227" t="s">
        <v>61</v>
      </c>
      <c r="AP165" s="227" t="s">
        <v>62</v>
      </c>
      <c r="AQ165" s="227" t="s">
        <v>63</v>
      </c>
      <c r="AR165" s="227" t="s">
        <v>5</v>
      </c>
      <c r="AS165" s="227" t="s">
        <v>64</v>
      </c>
      <c r="AT165" s="227" t="s">
        <v>65</v>
      </c>
      <c r="AU165" s="227" t="s">
        <v>66</v>
      </c>
      <c r="AV165" s="227" t="s">
        <v>67</v>
      </c>
      <c r="AW165" s="227" t="s">
        <v>6</v>
      </c>
      <c r="AX165" s="227" t="s">
        <v>68</v>
      </c>
      <c r="AY165" s="227" t="s">
        <v>69</v>
      </c>
      <c r="AZ165" s="227" t="s">
        <v>70</v>
      </c>
      <c r="BA165" s="227" t="s">
        <v>71</v>
      </c>
      <c r="BB165" s="227" t="s">
        <v>7</v>
      </c>
      <c r="BC165" s="225" t="s">
        <v>2</v>
      </c>
      <c r="BD165" s="225" t="s">
        <v>52</v>
      </c>
      <c r="BE165" s="225" t="s">
        <v>53</v>
      </c>
      <c r="BF165" s="225" t="s">
        <v>54</v>
      </c>
      <c r="BG165" s="225" t="s">
        <v>55</v>
      </c>
      <c r="BH165" s="225" t="s">
        <v>3</v>
      </c>
      <c r="BI165" s="225" t="s">
        <v>56</v>
      </c>
      <c r="BJ165" s="225" t="s">
        <v>57</v>
      </c>
      <c r="BK165" s="225" t="s">
        <v>58</v>
      </c>
      <c r="BL165" s="225" t="s">
        <v>59</v>
      </c>
      <c r="BM165" s="225" t="s">
        <v>4</v>
      </c>
      <c r="BN165" s="225" t="s">
        <v>60</v>
      </c>
      <c r="BO165" s="225" t="s">
        <v>61</v>
      </c>
      <c r="BP165" s="225" t="s">
        <v>62</v>
      </c>
      <c r="BQ165" s="225" t="s">
        <v>63</v>
      </c>
      <c r="BR165" s="225" t="s">
        <v>5</v>
      </c>
      <c r="BS165" s="225" t="s">
        <v>64</v>
      </c>
      <c r="BT165" s="225" t="s">
        <v>65</v>
      </c>
      <c r="BU165" s="225" t="s">
        <v>66</v>
      </c>
      <c r="BV165" s="225" t="s">
        <v>67</v>
      </c>
      <c r="BW165" s="225" t="s">
        <v>6</v>
      </c>
      <c r="BX165" s="225" t="s">
        <v>68</v>
      </c>
      <c r="BY165" s="225" t="s">
        <v>69</v>
      </c>
      <c r="BZ165" s="225" t="s">
        <v>70</v>
      </c>
      <c r="CA165" s="225" t="s">
        <v>71</v>
      </c>
      <c r="CB165" s="225" t="s">
        <v>7</v>
      </c>
      <c r="CC165" s="228" t="s">
        <v>2</v>
      </c>
      <c r="CD165" s="228" t="s">
        <v>52</v>
      </c>
      <c r="CE165" s="228" t="s">
        <v>53</v>
      </c>
      <c r="CF165" s="228" t="s">
        <v>54</v>
      </c>
      <c r="CG165" s="228" t="s">
        <v>55</v>
      </c>
      <c r="CH165" s="228" t="s">
        <v>3</v>
      </c>
      <c r="CI165" s="228" t="s">
        <v>56</v>
      </c>
      <c r="CJ165" s="228" t="s">
        <v>57</v>
      </c>
      <c r="CK165" s="228" t="s">
        <v>58</v>
      </c>
      <c r="CL165" s="228" t="s">
        <v>59</v>
      </c>
      <c r="CM165" s="228" t="s">
        <v>4</v>
      </c>
      <c r="CN165" s="228" t="s">
        <v>60</v>
      </c>
      <c r="CO165" s="228" t="s">
        <v>61</v>
      </c>
      <c r="CP165" s="228" t="s">
        <v>62</v>
      </c>
      <c r="CQ165" s="228" t="s">
        <v>63</v>
      </c>
      <c r="CR165" s="228" t="s">
        <v>5</v>
      </c>
      <c r="CS165" s="228" t="s">
        <v>64</v>
      </c>
      <c r="CT165" s="228" t="s">
        <v>65</v>
      </c>
      <c r="CU165" s="228" t="s">
        <v>66</v>
      </c>
      <c r="CV165" s="228" t="s">
        <v>67</v>
      </c>
      <c r="CW165" s="228" t="s">
        <v>6</v>
      </c>
      <c r="CX165" s="228" t="s">
        <v>68</v>
      </c>
      <c r="CY165" s="228" t="s">
        <v>69</v>
      </c>
      <c r="CZ165" s="228" t="s">
        <v>70</v>
      </c>
      <c r="DA165" s="228" t="s">
        <v>71</v>
      </c>
      <c r="DB165" s="228" t="s">
        <v>7</v>
      </c>
    </row>
    <row r="167" spans="1:106" x14ac:dyDescent="0.35">
      <c r="A167" s="31" t="s">
        <v>809</v>
      </c>
      <c r="B167" s="28" t="s">
        <v>547</v>
      </c>
      <c r="C167" s="272">
        <v>9.4509612337422005E-5</v>
      </c>
      <c r="D167" s="272">
        <v>9.4300859449296523E-5</v>
      </c>
      <c r="E167" s="272">
        <v>9.407590842854499E-5</v>
      </c>
      <c r="F167" s="272">
        <v>9.3807128369535601E-5</v>
      </c>
      <c r="G167" s="272">
        <v>9.3576402034245725E-5</v>
      </c>
      <c r="H167" s="272">
        <v>9.3345481417857451E-5</v>
      </c>
      <c r="I167" s="272">
        <v>9.6974695693430351E-5</v>
      </c>
      <c r="J167" s="272">
        <v>1.005863086193929E-4</v>
      </c>
      <c r="K167" s="272">
        <v>1.041586877446492E-4</v>
      </c>
      <c r="L167" s="272">
        <v>1.077380929272472E-4</v>
      </c>
      <c r="M167" s="272">
        <v>1.1129796964333169E-4</v>
      </c>
      <c r="N167" s="272">
        <v>1.1824474038243949E-4</v>
      </c>
      <c r="O167" s="272">
        <v>1.2518462685333581E-4</v>
      </c>
      <c r="P167" s="272">
        <v>1.3211451215725391E-4</v>
      </c>
      <c r="Q167" s="272">
        <v>1.3904157911509731E-4</v>
      </c>
      <c r="R167" s="272">
        <v>1.4596222288785311E-4</v>
      </c>
      <c r="S167" s="272">
        <v>1.4642981122621861E-4</v>
      </c>
      <c r="T167" s="272">
        <v>1.468914070479437E-4</v>
      </c>
      <c r="U167" s="272">
        <v>1.473439348560146E-4</v>
      </c>
      <c r="V167" s="272">
        <v>1.4779630705440811E-4</v>
      </c>
      <c r="W167" s="272">
        <v>1.482442324604829E-4</v>
      </c>
      <c r="X167" s="272">
        <v>1.4647710254092741E-4</v>
      </c>
      <c r="Y167" s="272">
        <v>1.4322735027341019E-4</v>
      </c>
      <c r="Z167" s="272">
        <v>1.399794309042934E-4</v>
      </c>
      <c r="AA167" s="272">
        <v>1.367332587590723E-4</v>
      </c>
      <c r="AB167" s="272">
        <v>1.334888276904201E-4</v>
      </c>
      <c r="AC167" s="272">
        <v>2.14114573619239E-7</v>
      </c>
      <c r="AD167" s="272">
        <v>2.134626139780347E-7</v>
      </c>
      <c r="AE167" s="272">
        <v>2.1281080505332479E-7</v>
      </c>
      <c r="AF167" s="272">
        <v>2.120388888581007E-7</v>
      </c>
      <c r="AG167" s="272">
        <v>2.1138597055229609E-7</v>
      </c>
      <c r="AH167" s="272">
        <v>2.107327337087748E-7</v>
      </c>
      <c r="AI167" s="272">
        <v>2.189850791901482E-7</v>
      </c>
      <c r="AJ167" s="272">
        <v>2.2720225997016439E-7</v>
      </c>
      <c r="AK167" s="272">
        <v>2.3531425653411109E-7</v>
      </c>
      <c r="AL167" s="272">
        <v>2.4347085307727769E-7</v>
      </c>
      <c r="AM167" s="272">
        <v>2.5158820491834342E-7</v>
      </c>
      <c r="AN167" s="272">
        <v>2.6707573548875052E-7</v>
      </c>
      <c r="AO167" s="272">
        <v>2.825685884912558E-7</v>
      </c>
      <c r="AP167" s="272">
        <v>2.980525384972329E-7</v>
      </c>
      <c r="AQ167" s="272">
        <v>3.1356304335659159E-7</v>
      </c>
      <c r="AR167" s="272">
        <v>3.2908610200607962E-7</v>
      </c>
      <c r="AS167" s="272">
        <v>3.3053616911178428E-7</v>
      </c>
      <c r="AT167" s="272">
        <v>3.3200139877901228E-7</v>
      </c>
      <c r="AU167" s="272">
        <v>3.3346362165411799E-7</v>
      </c>
      <c r="AV167" s="272">
        <v>3.3495361042505922E-7</v>
      </c>
      <c r="AW167" s="272">
        <v>3.3645334737870037E-7</v>
      </c>
      <c r="AX167" s="272">
        <v>3.3288671939723597E-7</v>
      </c>
      <c r="AY167" s="272">
        <v>3.2561743091338641E-7</v>
      </c>
      <c r="AZ167" s="272">
        <v>3.1835137380265741E-7</v>
      </c>
      <c r="BA167" s="272">
        <v>3.1108841210400042E-7</v>
      </c>
      <c r="BB167" s="272">
        <v>3.0382855778983212E-7</v>
      </c>
      <c r="BC167" s="272">
        <v>1.9576172255046851</v>
      </c>
      <c r="BD167" s="272">
        <v>1.9630148589353811</v>
      </c>
      <c r="BE167" s="272">
        <v>1.9684487569979019</v>
      </c>
      <c r="BF167" s="272">
        <v>1.9701108349836509</v>
      </c>
      <c r="BG167" s="272">
        <v>1.975663721463744</v>
      </c>
      <c r="BH167" s="272">
        <v>1.9812485051130559</v>
      </c>
      <c r="BI167" s="272">
        <v>2.0103363271188961</v>
      </c>
      <c r="BJ167" s="272">
        <v>2.0392932703352651</v>
      </c>
      <c r="BK167" s="272">
        <v>2.0653164214593018</v>
      </c>
      <c r="BL167" s="272">
        <v>2.0941288864898362</v>
      </c>
      <c r="BM167" s="272">
        <v>2.1228284725319999</v>
      </c>
      <c r="BN167" s="272">
        <v>2.1245450292244699</v>
      </c>
      <c r="BO167" s="272">
        <v>2.1261635025047849</v>
      </c>
      <c r="BP167" s="272">
        <v>2.127012587155737</v>
      </c>
      <c r="BQ167" s="272">
        <v>2.128430196991657</v>
      </c>
      <c r="BR167" s="272">
        <v>2.1297372093898539</v>
      </c>
      <c r="BS167" s="272">
        <v>2.198933617547393</v>
      </c>
      <c r="BT167" s="272">
        <v>2.268026118924702</v>
      </c>
      <c r="BU167" s="272">
        <v>2.3364305368362221</v>
      </c>
      <c r="BV167" s="272">
        <v>2.4053623405225242</v>
      </c>
      <c r="BW167" s="272">
        <v>2.4742187369609372</v>
      </c>
      <c r="BX167" s="272">
        <v>2.4845751871708992</v>
      </c>
      <c r="BY167" s="272">
        <v>2.495052715016421</v>
      </c>
      <c r="BZ167" s="272">
        <v>2.505567735323559</v>
      </c>
      <c r="CA167" s="272">
        <v>2.5161182169995389</v>
      </c>
      <c r="CB167" s="272">
        <v>2.5267041803070129</v>
      </c>
      <c r="CC167" s="272">
        <v>54.837210782034731</v>
      </c>
      <c r="CD167" s="272">
        <v>54.770008491218228</v>
      </c>
      <c r="CE167" s="272">
        <v>54.703030160691021</v>
      </c>
      <c r="CF167" s="272">
        <v>54.608631800234193</v>
      </c>
      <c r="CG167" s="272">
        <v>54.542158814037172</v>
      </c>
      <c r="CH167" s="272">
        <v>54.475729914958649</v>
      </c>
      <c r="CI167" s="272">
        <v>56.463269571408127</v>
      </c>
      <c r="CJ167" s="272">
        <v>58.440888349853431</v>
      </c>
      <c r="CK167" s="272">
        <v>60.39071618552483</v>
      </c>
      <c r="CL167" s="272">
        <v>62.350783155182128</v>
      </c>
      <c r="CM167" s="272">
        <v>64.298927408336183</v>
      </c>
      <c r="CN167" s="272">
        <v>67.775581203392065</v>
      </c>
      <c r="CO167" s="272">
        <v>71.245398692324429</v>
      </c>
      <c r="CP167" s="272">
        <v>74.704952093228812</v>
      </c>
      <c r="CQ167" s="272">
        <v>78.160842543556072</v>
      </c>
      <c r="CR167" s="272">
        <v>81.609809130108786</v>
      </c>
      <c r="CS167" s="272">
        <v>82.171017755550281</v>
      </c>
      <c r="CT167" s="272">
        <v>82.730692702046582</v>
      </c>
      <c r="CU167" s="272">
        <v>83.285800540018812</v>
      </c>
      <c r="CV167" s="272">
        <v>83.842661632540072</v>
      </c>
      <c r="CW167" s="272">
        <v>84.398154966497884</v>
      </c>
      <c r="CX167" s="272">
        <v>83.896999391174745</v>
      </c>
      <c r="CY167" s="272">
        <v>82.38276131169377</v>
      </c>
      <c r="CZ167" s="272">
        <v>80.869554059166461</v>
      </c>
      <c r="DA167" s="272">
        <v>79.357342288324801</v>
      </c>
      <c r="DB167" s="272">
        <v>77.846125014047118</v>
      </c>
    </row>
    <row r="169" spans="1:106" s="11" customFormat="1" ht="21" x14ac:dyDescent="0.5">
      <c r="A169" s="11" t="s">
        <v>73</v>
      </c>
    </row>
    <row r="170" spans="1:106" s="272" customFormat="1" x14ac:dyDescent="0.35">
      <c r="A170" s="29" t="s">
        <v>0</v>
      </c>
      <c r="B170" s="29"/>
      <c r="C170" s="332" t="s">
        <v>49</v>
      </c>
      <c r="D170" s="332"/>
      <c r="E170" s="332"/>
      <c r="F170" s="332"/>
      <c r="G170" s="332"/>
      <c r="H170" s="332"/>
      <c r="I170" s="332"/>
      <c r="J170" s="332"/>
      <c r="K170" s="332"/>
      <c r="L170" s="332"/>
      <c r="M170" s="332"/>
      <c r="N170" s="332"/>
      <c r="O170" s="332"/>
      <c r="P170" s="332"/>
      <c r="Q170" s="332"/>
      <c r="R170" s="332"/>
      <c r="S170" s="332"/>
      <c r="T170" s="332"/>
      <c r="U170" s="332"/>
      <c r="V170" s="332"/>
      <c r="W170" s="332"/>
      <c r="X170" s="332"/>
      <c r="Y170" s="332"/>
      <c r="Z170" s="332"/>
      <c r="AA170" s="332"/>
      <c r="AB170" s="332"/>
      <c r="AC170" s="333" t="s">
        <v>50</v>
      </c>
      <c r="AD170" s="333"/>
      <c r="AE170" s="333"/>
      <c r="AF170" s="333"/>
      <c r="AG170" s="333"/>
      <c r="AH170" s="333"/>
      <c r="AI170" s="333"/>
      <c r="AJ170" s="333"/>
      <c r="AK170" s="333"/>
      <c r="AL170" s="333"/>
      <c r="AM170" s="333"/>
      <c r="AN170" s="333"/>
      <c r="AO170" s="333"/>
      <c r="AP170" s="333"/>
      <c r="AQ170" s="333"/>
      <c r="AR170" s="333"/>
      <c r="AS170" s="333"/>
      <c r="AT170" s="333"/>
      <c r="AU170" s="333"/>
      <c r="AV170" s="333"/>
      <c r="AW170" s="333"/>
      <c r="AX170" s="333"/>
      <c r="AY170" s="333"/>
      <c r="AZ170" s="333"/>
      <c r="BA170" s="333"/>
      <c r="BB170" s="333"/>
      <c r="BC170" s="334" t="s">
        <v>756</v>
      </c>
      <c r="BD170" s="335"/>
      <c r="BE170" s="335"/>
      <c r="BF170" s="335"/>
      <c r="BG170" s="335"/>
      <c r="BH170" s="335"/>
      <c r="BI170" s="335"/>
      <c r="BJ170" s="335"/>
      <c r="BK170" s="335"/>
      <c r="BL170" s="335"/>
      <c r="BM170" s="335"/>
      <c r="BN170" s="335"/>
      <c r="BO170" s="335"/>
      <c r="BP170" s="335"/>
      <c r="BQ170" s="335"/>
      <c r="BR170" s="335"/>
      <c r="BS170" s="335"/>
      <c r="BT170" s="335"/>
      <c r="BU170" s="335"/>
      <c r="BV170" s="335"/>
      <c r="BW170" s="335"/>
      <c r="BX170" s="335"/>
      <c r="BY170" s="335"/>
      <c r="BZ170" s="335"/>
      <c r="CA170" s="335"/>
      <c r="CB170" s="336"/>
      <c r="CC170" s="337" t="s">
        <v>51</v>
      </c>
      <c r="CD170" s="337"/>
      <c r="CE170" s="337"/>
      <c r="CF170" s="337"/>
      <c r="CG170" s="337"/>
      <c r="CH170" s="337"/>
      <c r="CI170" s="337"/>
      <c r="CJ170" s="337"/>
      <c r="CK170" s="337"/>
      <c r="CL170" s="337"/>
      <c r="CM170" s="337"/>
      <c r="CN170" s="337"/>
      <c r="CO170" s="337"/>
      <c r="CP170" s="337"/>
      <c r="CQ170" s="337"/>
      <c r="CR170" s="337"/>
      <c r="CS170" s="337"/>
      <c r="CT170" s="337"/>
      <c r="CU170" s="337"/>
      <c r="CV170" s="337"/>
      <c r="CW170" s="337"/>
      <c r="CX170" s="337"/>
      <c r="CY170" s="337"/>
      <c r="CZ170" s="337"/>
      <c r="DA170" s="337"/>
      <c r="DB170" s="337"/>
    </row>
    <row r="171" spans="1:106" s="272" customFormat="1" x14ac:dyDescent="0.35">
      <c r="A171" s="29" t="s">
        <v>1</v>
      </c>
      <c r="B171" s="29" t="s">
        <v>180</v>
      </c>
      <c r="C171" s="226" t="s">
        <v>8</v>
      </c>
      <c r="D171" s="226" t="s">
        <v>74</v>
      </c>
      <c r="E171" s="226" t="s">
        <v>75</v>
      </c>
      <c r="F171" s="226" t="s">
        <v>76</v>
      </c>
      <c r="G171" s="226" t="s">
        <v>77</v>
      </c>
      <c r="H171" s="226" t="s">
        <v>9</v>
      </c>
      <c r="I171" s="226" t="s">
        <v>78</v>
      </c>
      <c r="J171" s="226" t="s">
        <v>79</v>
      </c>
      <c r="K171" s="226" t="s">
        <v>80</v>
      </c>
      <c r="L171" s="226" t="s">
        <v>81</v>
      </c>
      <c r="M171" s="226" t="s">
        <v>10</v>
      </c>
      <c r="N171" s="226" t="s">
        <v>82</v>
      </c>
      <c r="O171" s="226" t="s">
        <v>83</v>
      </c>
      <c r="P171" s="226" t="s">
        <v>84</v>
      </c>
      <c r="Q171" s="226" t="s">
        <v>85</v>
      </c>
      <c r="R171" s="226" t="s">
        <v>11</v>
      </c>
      <c r="S171" s="226" t="s">
        <v>86</v>
      </c>
      <c r="T171" s="226" t="s">
        <v>87</v>
      </c>
      <c r="U171" s="226" t="s">
        <v>88</v>
      </c>
      <c r="V171" s="226" t="s">
        <v>89</v>
      </c>
      <c r="W171" s="226" t="s">
        <v>12</v>
      </c>
      <c r="X171" s="226" t="s">
        <v>90</v>
      </c>
      <c r="Y171" s="226" t="s">
        <v>91</v>
      </c>
      <c r="Z171" s="226" t="s">
        <v>92</v>
      </c>
      <c r="AA171" s="226" t="s">
        <v>93</v>
      </c>
      <c r="AB171" s="226" t="s">
        <v>13</v>
      </c>
      <c r="AC171" s="227" t="s">
        <v>8</v>
      </c>
      <c r="AD171" s="227" t="s">
        <v>74</v>
      </c>
      <c r="AE171" s="227" t="s">
        <v>75</v>
      </c>
      <c r="AF171" s="227" t="s">
        <v>76</v>
      </c>
      <c r="AG171" s="227" t="s">
        <v>77</v>
      </c>
      <c r="AH171" s="227" t="s">
        <v>9</v>
      </c>
      <c r="AI171" s="227" t="s">
        <v>78</v>
      </c>
      <c r="AJ171" s="227" t="s">
        <v>79</v>
      </c>
      <c r="AK171" s="227" t="s">
        <v>80</v>
      </c>
      <c r="AL171" s="227" t="s">
        <v>81</v>
      </c>
      <c r="AM171" s="227" t="s">
        <v>10</v>
      </c>
      <c r="AN171" s="227" t="s">
        <v>82</v>
      </c>
      <c r="AO171" s="227" t="s">
        <v>83</v>
      </c>
      <c r="AP171" s="227" t="s">
        <v>84</v>
      </c>
      <c r="AQ171" s="227" t="s">
        <v>85</v>
      </c>
      <c r="AR171" s="227" t="s">
        <v>11</v>
      </c>
      <c r="AS171" s="227" t="s">
        <v>86</v>
      </c>
      <c r="AT171" s="227" t="s">
        <v>87</v>
      </c>
      <c r="AU171" s="227" t="s">
        <v>88</v>
      </c>
      <c r="AV171" s="227" t="s">
        <v>89</v>
      </c>
      <c r="AW171" s="227" t="s">
        <v>12</v>
      </c>
      <c r="AX171" s="227" t="s">
        <v>90</v>
      </c>
      <c r="AY171" s="227" t="s">
        <v>91</v>
      </c>
      <c r="AZ171" s="227" t="s">
        <v>92</v>
      </c>
      <c r="BA171" s="227" t="s">
        <v>93</v>
      </c>
      <c r="BB171" s="227" t="s">
        <v>13</v>
      </c>
      <c r="BC171" s="225" t="s">
        <v>8</v>
      </c>
      <c r="BD171" s="225" t="s">
        <v>74</v>
      </c>
      <c r="BE171" s="225" t="s">
        <v>75</v>
      </c>
      <c r="BF171" s="225" t="s">
        <v>76</v>
      </c>
      <c r="BG171" s="225" t="s">
        <v>77</v>
      </c>
      <c r="BH171" s="225" t="s">
        <v>9</v>
      </c>
      <c r="BI171" s="225" t="s">
        <v>78</v>
      </c>
      <c r="BJ171" s="225" t="s">
        <v>79</v>
      </c>
      <c r="BK171" s="225" t="s">
        <v>80</v>
      </c>
      <c r="BL171" s="225" t="s">
        <v>81</v>
      </c>
      <c r="BM171" s="225" t="s">
        <v>10</v>
      </c>
      <c r="BN171" s="225" t="s">
        <v>82</v>
      </c>
      <c r="BO171" s="225" t="s">
        <v>83</v>
      </c>
      <c r="BP171" s="225" t="s">
        <v>84</v>
      </c>
      <c r="BQ171" s="225" t="s">
        <v>85</v>
      </c>
      <c r="BR171" s="225" t="s">
        <v>11</v>
      </c>
      <c r="BS171" s="225" t="s">
        <v>86</v>
      </c>
      <c r="BT171" s="225" t="s">
        <v>87</v>
      </c>
      <c r="BU171" s="225" t="s">
        <v>88</v>
      </c>
      <c r="BV171" s="225" t="s">
        <v>89</v>
      </c>
      <c r="BW171" s="225" t="s">
        <v>12</v>
      </c>
      <c r="BX171" s="225" t="s">
        <v>90</v>
      </c>
      <c r="BY171" s="225" t="s">
        <v>91</v>
      </c>
      <c r="BZ171" s="225" t="s">
        <v>92</v>
      </c>
      <c r="CA171" s="225" t="s">
        <v>93</v>
      </c>
      <c r="CB171" s="225" t="s">
        <v>13</v>
      </c>
      <c r="CC171" s="228" t="s">
        <v>8</v>
      </c>
      <c r="CD171" s="228" t="s">
        <v>74</v>
      </c>
      <c r="CE171" s="228" t="s">
        <v>75</v>
      </c>
      <c r="CF171" s="228" t="s">
        <v>76</v>
      </c>
      <c r="CG171" s="228" t="s">
        <v>77</v>
      </c>
      <c r="CH171" s="228" t="s">
        <v>9</v>
      </c>
      <c r="CI171" s="228" t="s">
        <v>78</v>
      </c>
      <c r="CJ171" s="228" t="s">
        <v>79</v>
      </c>
      <c r="CK171" s="228" t="s">
        <v>80</v>
      </c>
      <c r="CL171" s="228" t="s">
        <v>81</v>
      </c>
      <c r="CM171" s="228" t="s">
        <v>10</v>
      </c>
      <c r="CN171" s="228" t="s">
        <v>82</v>
      </c>
      <c r="CO171" s="228" t="s">
        <v>83</v>
      </c>
      <c r="CP171" s="228" t="s">
        <v>84</v>
      </c>
      <c r="CQ171" s="228" t="s">
        <v>85</v>
      </c>
      <c r="CR171" s="228" t="s">
        <v>11</v>
      </c>
      <c r="CS171" s="228" t="s">
        <v>86</v>
      </c>
      <c r="CT171" s="228" t="s">
        <v>87</v>
      </c>
      <c r="CU171" s="228" t="s">
        <v>88</v>
      </c>
      <c r="CV171" s="228" t="s">
        <v>89</v>
      </c>
      <c r="CW171" s="228" t="s">
        <v>12</v>
      </c>
      <c r="CX171" s="228" t="s">
        <v>90</v>
      </c>
      <c r="CY171" s="228" t="s">
        <v>91</v>
      </c>
      <c r="CZ171" s="228" t="s">
        <v>92</v>
      </c>
      <c r="DA171" s="228" t="s">
        <v>93</v>
      </c>
      <c r="DB171" s="228" t="s">
        <v>13</v>
      </c>
    </row>
    <row r="173" spans="1:106" x14ac:dyDescent="0.35">
      <c r="A173" s="31" t="s">
        <v>809</v>
      </c>
      <c r="B173" s="272" t="s">
        <v>547</v>
      </c>
      <c r="C173" s="272">
        <v>8.5933149816682679E-5</v>
      </c>
      <c r="D173" s="272">
        <v>8.2908592660289036E-5</v>
      </c>
      <c r="E173" s="272">
        <v>7.9883594686031722E-5</v>
      </c>
      <c r="F173" s="272">
        <v>7.68244285260277E-5</v>
      </c>
      <c r="G173" s="272">
        <v>7.3815896913372861E-5</v>
      </c>
      <c r="H173" s="272">
        <v>7.0818035588348375E-5</v>
      </c>
      <c r="I173" s="272">
        <v>6.906567496887424E-5</v>
      </c>
      <c r="J173" s="272">
        <v>6.732055202221933E-5</v>
      </c>
      <c r="K173" s="272">
        <v>6.5552231612474613E-5</v>
      </c>
      <c r="L173" s="272">
        <v>6.3814500845837903E-5</v>
      </c>
      <c r="M173" s="272">
        <v>6.20792115843791E-5</v>
      </c>
      <c r="N173" s="272">
        <v>6.0954708685004553E-5</v>
      </c>
      <c r="O173" s="272">
        <v>5.9825885760334387E-5</v>
      </c>
      <c r="P173" s="272">
        <v>5.8684657507291108E-5</v>
      </c>
      <c r="Q173" s="272">
        <v>5.7544696524757918E-5</v>
      </c>
      <c r="R173" s="272">
        <v>5.6399811118439043E-5</v>
      </c>
      <c r="S173" s="272">
        <v>5.5980827164439227E-5</v>
      </c>
      <c r="T173" s="272">
        <v>5.5558844982483112E-5</v>
      </c>
      <c r="U173" s="272">
        <v>5.5128289027284329E-5</v>
      </c>
      <c r="V173" s="272">
        <v>5.4702708622407937E-5</v>
      </c>
      <c r="W173" s="272">
        <v>5.4275597578031849E-5</v>
      </c>
      <c r="X173" s="272">
        <v>5.4501119918836328E-5</v>
      </c>
      <c r="Y173" s="272">
        <v>5.4320501046926078E-5</v>
      </c>
      <c r="Z173" s="272">
        <v>5.4139935919568663E-5</v>
      </c>
      <c r="AA173" s="272">
        <v>5.3959358305770107E-5</v>
      </c>
      <c r="AB173" s="272">
        <v>5.3778770512371462E-5</v>
      </c>
      <c r="AC173" s="272">
        <v>1.939094931735281E-7</v>
      </c>
      <c r="AD173" s="272">
        <v>1.8661328509887689E-7</v>
      </c>
      <c r="AE173" s="272">
        <v>1.7934335280055781E-7</v>
      </c>
      <c r="AF173" s="272">
        <v>1.7197164850790689E-7</v>
      </c>
      <c r="AG173" s="272">
        <v>1.6475255627199821E-7</v>
      </c>
      <c r="AH173" s="272">
        <v>1.5755954384433329E-7</v>
      </c>
      <c r="AI173" s="272">
        <v>1.5303674867123029E-7</v>
      </c>
      <c r="AJ173" s="272">
        <v>1.485213750026434E-7</v>
      </c>
      <c r="AK173" s="272">
        <v>1.4391477212008621E-7</v>
      </c>
      <c r="AL173" s="272">
        <v>1.3940108722479819E-7</v>
      </c>
      <c r="AM173" s="272">
        <v>1.348877578601437E-7</v>
      </c>
      <c r="AN173" s="272">
        <v>1.3184128337285291E-7</v>
      </c>
      <c r="AO173" s="272">
        <v>1.2878131602532171E-7</v>
      </c>
      <c r="AP173" s="272">
        <v>1.2567632885695119E-7</v>
      </c>
      <c r="AQ173" s="272">
        <v>1.225832953909413E-7</v>
      </c>
      <c r="AR173" s="272">
        <v>1.1947670770425411E-7</v>
      </c>
      <c r="AS173" s="272">
        <v>1.180852926950316E-7</v>
      </c>
      <c r="AT173" s="272">
        <v>1.16694580237318E-7</v>
      </c>
      <c r="AU173" s="272">
        <v>1.152777625445112E-7</v>
      </c>
      <c r="AV173" s="272">
        <v>1.138869247154725E-7</v>
      </c>
      <c r="AW173" s="272">
        <v>1.124969504297077E-7</v>
      </c>
      <c r="AX173" s="272">
        <v>1.1260350345006189E-7</v>
      </c>
      <c r="AY173" s="272">
        <v>1.1195459263273641E-7</v>
      </c>
      <c r="AZ173" s="272">
        <v>1.1130462761508E-7</v>
      </c>
      <c r="BA173" s="272">
        <v>1.106535148027734E-7</v>
      </c>
      <c r="BB173" s="272">
        <v>1.1000127577397751E-7</v>
      </c>
      <c r="BC173" s="272">
        <v>2.0064428013390172</v>
      </c>
      <c r="BD173" s="272">
        <v>1.988898710270117</v>
      </c>
      <c r="BE173" s="272">
        <v>1.9714183434126971</v>
      </c>
      <c r="BF173" s="272">
        <v>1.949959183591115</v>
      </c>
      <c r="BG173" s="272">
        <v>1.9326241445297061</v>
      </c>
      <c r="BH173" s="272">
        <v>1.915349001842372</v>
      </c>
      <c r="BI173" s="272">
        <v>1.909975749317953</v>
      </c>
      <c r="BJ173" s="272">
        <v>1.904517415185353</v>
      </c>
      <c r="BK173" s="272">
        <v>1.8955284221781989</v>
      </c>
      <c r="BL173" s="272">
        <v>1.8897670267242019</v>
      </c>
      <c r="BM173" s="272">
        <v>1.8838664248840891</v>
      </c>
      <c r="BN173" s="272">
        <v>1.8722532996797721</v>
      </c>
      <c r="BO173" s="272">
        <v>1.860447053171252</v>
      </c>
      <c r="BP173" s="272">
        <v>1.8476253140719241</v>
      </c>
      <c r="BQ173" s="272">
        <v>1.835444977131828</v>
      </c>
      <c r="BR173" s="272">
        <v>1.8230739946394969</v>
      </c>
      <c r="BS173" s="272">
        <v>1.8355666046196371</v>
      </c>
      <c r="BT173" s="272">
        <v>1.8479229458687769</v>
      </c>
      <c r="BU173" s="272">
        <v>1.859338856299583</v>
      </c>
      <c r="BV173" s="272">
        <v>1.871426884101921</v>
      </c>
      <c r="BW173" s="272">
        <v>1.883380573783914</v>
      </c>
      <c r="BX173" s="272">
        <v>1.864779317854391</v>
      </c>
      <c r="BY173" s="272">
        <v>1.8462669982481441</v>
      </c>
      <c r="BZ173" s="272">
        <v>1.8277386974818861</v>
      </c>
      <c r="CA173" s="272">
        <v>1.809191384090483</v>
      </c>
      <c r="CB173" s="272">
        <v>1.790624707467785</v>
      </c>
      <c r="CC173" s="272">
        <v>50.829496481032038</v>
      </c>
      <c r="CD173" s="272">
        <v>49.163224841084251</v>
      </c>
      <c r="CE173" s="272">
        <v>47.504855801159017</v>
      </c>
      <c r="CF173" s="272">
        <v>45.825142413266832</v>
      </c>
      <c r="CG173" s="272">
        <v>44.182090014380861</v>
      </c>
      <c r="CH173" s="272">
        <v>42.546419253980552</v>
      </c>
      <c r="CI173" s="272">
        <v>41.249368954637077</v>
      </c>
      <c r="CJ173" s="272">
        <v>39.95762613178875</v>
      </c>
      <c r="CK173" s="272">
        <v>38.647196395613577</v>
      </c>
      <c r="CL173" s="272">
        <v>37.362279447897663</v>
      </c>
      <c r="CM173" s="272">
        <v>36.080175571905151</v>
      </c>
      <c r="CN173" s="272">
        <v>35.047300074799089</v>
      </c>
      <c r="CO173" s="272">
        <v>34.010888160982027</v>
      </c>
      <c r="CP173" s="272">
        <v>32.966088200139268</v>
      </c>
      <c r="CQ173" s="272">
        <v>31.922729810024681</v>
      </c>
      <c r="CR173" s="272">
        <v>30.875943796480922</v>
      </c>
      <c r="CS173" s="272">
        <v>30.30646381777407</v>
      </c>
      <c r="CT173" s="272">
        <v>29.735461646753311</v>
      </c>
      <c r="CU173" s="272">
        <v>29.158794826243302</v>
      </c>
      <c r="CV173" s="272">
        <v>28.584847086516689</v>
      </c>
      <c r="CW173" s="272">
        <v>28.009628894299919</v>
      </c>
      <c r="CX173" s="272">
        <v>27.805539312864919</v>
      </c>
      <c r="CY173" s="272">
        <v>27.584664325136909</v>
      </c>
      <c r="CZ173" s="272">
        <v>27.363737558613991</v>
      </c>
      <c r="DA173" s="272">
        <v>27.14273978185285</v>
      </c>
      <c r="DB173" s="272">
        <v>26.921670747423541</v>
      </c>
    </row>
    <row r="175" spans="1:106" s="11" customFormat="1" ht="21" x14ac:dyDescent="0.5">
      <c r="A175" s="11" t="s">
        <v>94</v>
      </c>
    </row>
    <row r="176" spans="1:106" s="272" customFormat="1" x14ac:dyDescent="0.35">
      <c r="A176" s="29" t="s">
        <v>0</v>
      </c>
      <c r="B176" s="29"/>
      <c r="C176" s="332" t="s">
        <v>49</v>
      </c>
      <c r="D176" s="332"/>
      <c r="E176" s="332"/>
      <c r="F176" s="332"/>
      <c r="G176" s="332"/>
      <c r="H176" s="332"/>
      <c r="I176" s="332"/>
      <c r="J176" s="332"/>
      <c r="K176" s="332"/>
      <c r="L176" s="332"/>
      <c r="M176" s="332"/>
      <c r="N176" s="332"/>
      <c r="O176" s="332"/>
      <c r="P176" s="332"/>
      <c r="Q176" s="332"/>
      <c r="R176" s="332"/>
      <c r="S176" s="332"/>
      <c r="T176" s="332"/>
      <c r="U176" s="332"/>
      <c r="V176" s="332"/>
      <c r="W176" s="332"/>
      <c r="X176" s="332"/>
      <c r="Y176" s="332"/>
      <c r="Z176" s="332"/>
      <c r="AA176" s="332"/>
      <c r="AB176" s="332"/>
      <c r="AC176" s="333" t="s">
        <v>50</v>
      </c>
      <c r="AD176" s="333"/>
      <c r="AE176" s="333"/>
      <c r="AF176" s="333"/>
      <c r="AG176" s="333"/>
      <c r="AH176" s="333"/>
      <c r="AI176" s="333"/>
      <c r="AJ176" s="333"/>
      <c r="AK176" s="333"/>
      <c r="AL176" s="333"/>
      <c r="AM176" s="333"/>
      <c r="AN176" s="333"/>
      <c r="AO176" s="333"/>
      <c r="AP176" s="333"/>
      <c r="AQ176" s="333"/>
      <c r="AR176" s="333"/>
      <c r="AS176" s="333"/>
      <c r="AT176" s="333"/>
      <c r="AU176" s="333"/>
      <c r="AV176" s="333"/>
      <c r="AW176" s="333"/>
      <c r="AX176" s="333"/>
      <c r="AY176" s="333"/>
      <c r="AZ176" s="333"/>
      <c r="BA176" s="333"/>
      <c r="BB176" s="333"/>
      <c r="BC176" s="334" t="s">
        <v>756</v>
      </c>
      <c r="BD176" s="335"/>
      <c r="BE176" s="335"/>
      <c r="BF176" s="335"/>
      <c r="BG176" s="335"/>
      <c r="BH176" s="335"/>
      <c r="BI176" s="335"/>
      <c r="BJ176" s="335"/>
      <c r="BK176" s="335"/>
      <c r="BL176" s="335"/>
      <c r="BM176" s="335"/>
      <c r="BN176" s="335"/>
      <c r="BO176" s="335"/>
      <c r="BP176" s="335"/>
      <c r="BQ176" s="335"/>
      <c r="BR176" s="335"/>
      <c r="BS176" s="335"/>
      <c r="BT176" s="335"/>
      <c r="BU176" s="335"/>
      <c r="BV176" s="335"/>
      <c r="BW176" s="335"/>
      <c r="BX176" s="335"/>
      <c r="BY176" s="335"/>
      <c r="BZ176" s="335"/>
      <c r="CA176" s="335"/>
      <c r="CB176" s="336"/>
      <c r="CC176" s="337" t="s">
        <v>51</v>
      </c>
      <c r="CD176" s="337"/>
      <c r="CE176" s="337"/>
      <c r="CF176" s="337"/>
      <c r="CG176" s="337"/>
      <c r="CH176" s="337"/>
      <c r="CI176" s="337"/>
      <c r="CJ176" s="337"/>
      <c r="CK176" s="337"/>
      <c r="CL176" s="337"/>
      <c r="CM176" s="337"/>
      <c r="CN176" s="337"/>
      <c r="CO176" s="337"/>
      <c r="CP176" s="337"/>
      <c r="CQ176" s="337"/>
      <c r="CR176" s="337"/>
      <c r="CS176" s="337"/>
      <c r="CT176" s="337"/>
      <c r="CU176" s="337"/>
      <c r="CV176" s="337"/>
      <c r="CW176" s="337"/>
      <c r="CX176" s="337"/>
      <c r="CY176" s="337"/>
      <c r="CZ176" s="337"/>
      <c r="DA176" s="337"/>
      <c r="DB176" s="337"/>
    </row>
    <row r="177" spans="1:106" s="272" customFormat="1" x14ac:dyDescent="0.35">
      <c r="A177" s="29" t="s">
        <v>1</v>
      </c>
      <c r="B177" s="29" t="s">
        <v>180</v>
      </c>
      <c r="C177" s="226" t="s">
        <v>14</v>
      </c>
      <c r="D177" s="226" t="s">
        <v>95</v>
      </c>
      <c r="E177" s="226" t="s">
        <v>96</v>
      </c>
      <c r="F177" s="226" t="s">
        <v>97</v>
      </c>
      <c r="G177" s="226" t="s">
        <v>98</v>
      </c>
      <c r="H177" s="226" t="s">
        <v>15</v>
      </c>
      <c r="I177" s="226" t="s">
        <v>99</v>
      </c>
      <c r="J177" s="226" t="s">
        <v>100</v>
      </c>
      <c r="K177" s="226" t="s">
        <v>101</v>
      </c>
      <c r="L177" s="226" t="s">
        <v>102</v>
      </c>
      <c r="M177" s="226" t="s">
        <v>16</v>
      </c>
      <c r="N177" s="226" t="s">
        <v>103</v>
      </c>
      <c r="O177" s="226" t="s">
        <v>104</v>
      </c>
      <c r="P177" s="226" t="s">
        <v>105</v>
      </c>
      <c r="Q177" s="226" t="s">
        <v>106</v>
      </c>
      <c r="R177" s="226" t="s">
        <v>17</v>
      </c>
      <c r="S177" s="226" t="s">
        <v>107</v>
      </c>
      <c r="T177" s="226" t="s">
        <v>108</v>
      </c>
      <c r="U177" s="226" t="s">
        <v>109</v>
      </c>
      <c r="V177" s="226" t="s">
        <v>110</v>
      </c>
      <c r="W177" s="226" t="s">
        <v>18</v>
      </c>
      <c r="X177" s="226" t="s">
        <v>111</v>
      </c>
      <c r="Y177" s="226" t="s">
        <v>112</v>
      </c>
      <c r="Z177" s="226" t="s">
        <v>113</v>
      </c>
      <c r="AA177" s="226" t="s">
        <v>114</v>
      </c>
      <c r="AB177" s="226" t="s">
        <v>19</v>
      </c>
      <c r="AC177" s="227" t="s">
        <v>14</v>
      </c>
      <c r="AD177" s="227" t="s">
        <v>95</v>
      </c>
      <c r="AE177" s="227" t="s">
        <v>96</v>
      </c>
      <c r="AF177" s="227" t="s">
        <v>97</v>
      </c>
      <c r="AG177" s="227" t="s">
        <v>98</v>
      </c>
      <c r="AH177" s="227" t="s">
        <v>15</v>
      </c>
      <c r="AI177" s="227" t="s">
        <v>99</v>
      </c>
      <c r="AJ177" s="227" t="s">
        <v>100</v>
      </c>
      <c r="AK177" s="227" t="s">
        <v>101</v>
      </c>
      <c r="AL177" s="227" t="s">
        <v>102</v>
      </c>
      <c r="AM177" s="227" t="s">
        <v>16</v>
      </c>
      <c r="AN177" s="227" t="s">
        <v>103</v>
      </c>
      <c r="AO177" s="227" t="s">
        <v>104</v>
      </c>
      <c r="AP177" s="227" t="s">
        <v>105</v>
      </c>
      <c r="AQ177" s="227" t="s">
        <v>106</v>
      </c>
      <c r="AR177" s="227" t="s">
        <v>17</v>
      </c>
      <c r="AS177" s="227" t="s">
        <v>107</v>
      </c>
      <c r="AT177" s="227" t="s">
        <v>108</v>
      </c>
      <c r="AU177" s="227" t="s">
        <v>109</v>
      </c>
      <c r="AV177" s="227" t="s">
        <v>110</v>
      </c>
      <c r="AW177" s="227" t="s">
        <v>18</v>
      </c>
      <c r="AX177" s="227" t="s">
        <v>111</v>
      </c>
      <c r="AY177" s="227" t="s">
        <v>112</v>
      </c>
      <c r="AZ177" s="227" t="s">
        <v>113</v>
      </c>
      <c r="BA177" s="227" t="s">
        <v>114</v>
      </c>
      <c r="BB177" s="227" t="s">
        <v>19</v>
      </c>
      <c r="BC177" s="225" t="s">
        <v>14</v>
      </c>
      <c r="BD177" s="225" t="s">
        <v>95</v>
      </c>
      <c r="BE177" s="225" t="s">
        <v>96</v>
      </c>
      <c r="BF177" s="225" t="s">
        <v>97</v>
      </c>
      <c r="BG177" s="225" t="s">
        <v>98</v>
      </c>
      <c r="BH177" s="225" t="s">
        <v>15</v>
      </c>
      <c r="BI177" s="225" t="s">
        <v>99</v>
      </c>
      <c r="BJ177" s="225" t="s">
        <v>100</v>
      </c>
      <c r="BK177" s="225" t="s">
        <v>101</v>
      </c>
      <c r="BL177" s="225" t="s">
        <v>102</v>
      </c>
      <c r="BM177" s="225" t="s">
        <v>16</v>
      </c>
      <c r="BN177" s="225" t="s">
        <v>103</v>
      </c>
      <c r="BO177" s="225" t="s">
        <v>104</v>
      </c>
      <c r="BP177" s="225" t="s">
        <v>105</v>
      </c>
      <c r="BQ177" s="225" t="s">
        <v>106</v>
      </c>
      <c r="BR177" s="225" t="s">
        <v>17</v>
      </c>
      <c r="BS177" s="225" t="s">
        <v>107</v>
      </c>
      <c r="BT177" s="225" t="s">
        <v>108</v>
      </c>
      <c r="BU177" s="225" t="s">
        <v>109</v>
      </c>
      <c r="BV177" s="225" t="s">
        <v>110</v>
      </c>
      <c r="BW177" s="225" t="s">
        <v>18</v>
      </c>
      <c r="BX177" s="225" t="s">
        <v>111</v>
      </c>
      <c r="BY177" s="225" t="s">
        <v>112</v>
      </c>
      <c r="BZ177" s="225" t="s">
        <v>113</v>
      </c>
      <c r="CA177" s="225" t="s">
        <v>114</v>
      </c>
      <c r="CB177" s="225" t="s">
        <v>19</v>
      </c>
      <c r="CC177" s="228" t="s">
        <v>14</v>
      </c>
      <c r="CD177" s="228" t="s">
        <v>95</v>
      </c>
      <c r="CE177" s="228" t="s">
        <v>96</v>
      </c>
      <c r="CF177" s="228" t="s">
        <v>97</v>
      </c>
      <c r="CG177" s="228" t="s">
        <v>98</v>
      </c>
      <c r="CH177" s="228" t="s">
        <v>15</v>
      </c>
      <c r="CI177" s="228" t="s">
        <v>99</v>
      </c>
      <c r="CJ177" s="228" t="s">
        <v>100</v>
      </c>
      <c r="CK177" s="228" t="s">
        <v>101</v>
      </c>
      <c r="CL177" s="228" t="s">
        <v>102</v>
      </c>
      <c r="CM177" s="228" t="s">
        <v>16</v>
      </c>
      <c r="CN177" s="228" t="s">
        <v>103</v>
      </c>
      <c r="CO177" s="228" t="s">
        <v>104</v>
      </c>
      <c r="CP177" s="228" t="s">
        <v>105</v>
      </c>
      <c r="CQ177" s="228" t="s">
        <v>106</v>
      </c>
      <c r="CR177" s="228" t="s">
        <v>17</v>
      </c>
      <c r="CS177" s="228" t="s">
        <v>107</v>
      </c>
      <c r="CT177" s="228" t="s">
        <v>108</v>
      </c>
      <c r="CU177" s="228" t="s">
        <v>109</v>
      </c>
      <c r="CV177" s="228" t="s">
        <v>110</v>
      </c>
      <c r="CW177" s="228" t="s">
        <v>18</v>
      </c>
      <c r="CX177" s="228" t="s">
        <v>111</v>
      </c>
      <c r="CY177" s="228" t="s">
        <v>112</v>
      </c>
      <c r="CZ177" s="228" t="s">
        <v>113</v>
      </c>
      <c r="DA177" s="228" t="s">
        <v>114</v>
      </c>
      <c r="DB177" s="228" t="s">
        <v>19</v>
      </c>
    </row>
    <row r="179" spans="1:106" x14ac:dyDescent="0.35">
      <c r="A179" s="31" t="s">
        <v>809</v>
      </c>
      <c r="B179" s="272" t="s">
        <v>547</v>
      </c>
      <c r="C179" s="272">
        <v>6.4113413642919993E-5</v>
      </c>
      <c r="D179" s="272">
        <v>6.1870563164082875E-5</v>
      </c>
      <c r="E179" s="272">
        <v>5.9630085355580883E-5</v>
      </c>
      <c r="F179" s="272">
        <v>5.7346303629966319E-5</v>
      </c>
      <c r="G179" s="272">
        <v>5.5108903406053207E-5</v>
      </c>
      <c r="H179" s="272">
        <v>5.287579473543043E-5</v>
      </c>
      <c r="I179" s="272">
        <v>5.2674711073858287E-5</v>
      </c>
      <c r="J179" s="272">
        <v>5.2470435471174051E-5</v>
      </c>
      <c r="K179" s="272">
        <v>5.22285288191147E-5</v>
      </c>
      <c r="L179" s="272">
        <v>5.2016072909041602E-5</v>
      </c>
      <c r="M179" s="272">
        <v>5.1799827705647148E-5</v>
      </c>
      <c r="N179" s="272">
        <v>5.1686646284624321E-5</v>
      </c>
      <c r="O179" s="272">
        <v>5.1575362985013771E-5</v>
      </c>
      <c r="P179" s="272">
        <v>5.1457028910987122E-5</v>
      </c>
      <c r="Q179" s="272">
        <v>5.1346104092235841E-5</v>
      </c>
      <c r="R179" s="272">
        <v>5.1235542689888267E-5</v>
      </c>
      <c r="S179" s="272">
        <v>5.0752136012556948E-5</v>
      </c>
      <c r="T179" s="272">
        <v>5.0266829857731343E-5</v>
      </c>
      <c r="U179" s="272">
        <v>4.977421050463857E-5</v>
      </c>
      <c r="V179" s="272">
        <v>4.9288028304039742E-5</v>
      </c>
      <c r="W179" s="272">
        <v>4.8800914838041971E-5</v>
      </c>
      <c r="X179" s="272">
        <v>4.8922208815631958E-5</v>
      </c>
      <c r="Y179" s="272">
        <v>4.8614659440340217E-5</v>
      </c>
      <c r="Z179" s="272">
        <v>4.8307189143537018E-5</v>
      </c>
      <c r="AA179" s="272">
        <v>4.7999740775658397E-5</v>
      </c>
      <c r="AB179" s="272">
        <v>4.7692316554645327E-5</v>
      </c>
      <c r="AC179" s="272">
        <v>1.397230697958846E-7</v>
      </c>
      <c r="AD179" s="272">
        <v>1.3373121876380491E-7</v>
      </c>
      <c r="AE179" s="272">
        <v>1.2775802378492129E-7</v>
      </c>
      <c r="AF179" s="272">
        <v>1.2165413569094759E-7</v>
      </c>
      <c r="AG179" s="272">
        <v>1.1571002647046209E-7</v>
      </c>
      <c r="AH179" s="272">
        <v>1.097845572892508E-7</v>
      </c>
      <c r="AI179" s="272">
        <v>1.092974602111803E-7</v>
      </c>
      <c r="AJ179" s="272">
        <v>1.088040475074631E-7</v>
      </c>
      <c r="AK179" s="272">
        <v>1.0817495248209949E-7</v>
      </c>
      <c r="AL179" s="272">
        <v>1.076627063653383E-7</v>
      </c>
      <c r="AM179" s="272">
        <v>1.071439394199937E-7</v>
      </c>
      <c r="AN179" s="272">
        <v>1.067964304694314E-7</v>
      </c>
      <c r="AO179" s="272">
        <v>1.064476665709213E-7</v>
      </c>
      <c r="AP179" s="272">
        <v>1.060587016109457E-7</v>
      </c>
      <c r="AQ179" s="272">
        <v>1.056990743151152E-7</v>
      </c>
      <c r="AR179" s="272">
        <v>1.053353477728358E-7</v>
      </c>
      <c r="AS179" s="272">
        <v>1.03969519957311E-7</v>
      </c>
      <c r="AT179" s="272">
        <v>1.026077440225023E-7</v>
      </c>
      <c r="AU179" s="272">
        <v>1.012192737848488E-7</v>
      </c>
      <c r="AV179" s="272">
        <v>9.9863608625909247E-8</v>
      </c>
      <c r="AW179" s="272">
        <v>9.8506685184270554E-8</v>
      </c>
      <c r="AX179" s="272">
        <v>9.8422770775849933E-8</v>
      </c>
      <c r="AY179" s="272">
        <v>9.7523558459090235E-8</v>
      </c>
      <c r="AZ179" s="272">
        <v>9.6625663797943341E-8</v>
      </c>
      <c r="BA179" s="272">
        <v>9.5728908880754937E-8</v>
      </c>
      <c r="BB179" s="272">
        <v>9.4833222670371611E-8</v>
      </c>
      <c r="BC179" s="272">
        <v>1.2868401908039699</v>
      </c>
      <c r="BD179" s="272">
        <v>1.1952216617417539</v>
      </c>
      <c r="BE179" s="272">
        <v>1.1035343288106161</v>
      </c>
      <c r="BF179" s="272">
        <v>1.007215182281773</v>
      </c>
      <c r="BG179" s="272">
        <v>0.91524926758190228</v>
      </c>
      <c r="BH179" s="272">
        <v>0.82323838779961522</v>
      </c>
      <c r="BI179" s="272">
        <v>0.93038612238311613</v>
      </c>
      <c r="BJ179" s="272">
        <v>1.0367938855423571</v>
      </c>
      <c r="BK179" s="272">
        <v>1.138024674145238</v>
      </c>
      <c r="BL179" s="272">
        <v>1.242828023219223</v>
      </c>
      <c r="BM179" s="272">
        <v>1.346917389739364</v>
      </c>
      <c r="BN179" s="272">
        <v>1.478873068827484</v>
      </c>
      <c r="BO179" s="272">
        <v>1.6106288297230771</v>
      </c>
      <c r="BP179" s="272">
        <v>1.741174858065788</v>
      </c>
      <c r="BQ179" s="272">
        <v>1.8725531929984769</v>
      </c>
      <c r="BR179" s="272">
        <v>2.0037255741549238</v>
      </c>
      <c r="BS179" s="272">
        <v>1.963234754782462</v>
      </c>
      <c r="BT179" s="272">
        <v>1.9225719066101561</v>
      </c>
      <c r="BU179" s="272">
        <v>1.8808141295488581</v>
      </c>
      <c r="BV179" s="272">
        <v>1.8398266935640539</v>
      </c>
      <c r="BW179" s="272">
        <v>1.798658557633229</v>
      </c>
      <c r="BX179" s="272">
        <v>1.7970009713751529</v>
      </c>
      <c r="BY179" s="272">
        <v>1.7954299604813739</v>
      </c>
      <c r="BZ179" s="272">
        <v>1.7938448060047441</v>
      </c>
      <c r="CA179" s="272">
        <v>1.79224341288106</v>
      </c>
      <c r="CB179" s="272">
        <v>1.7906260455610019</v>
      </c>
      <c r="CC179" s="272">
        <v>37.12408439443378</v>
      </c>
      <c r="CD179" s="272">
        <v>35.262773559158937</v>
      </c>
      <c r="CE179" s="272">
        <v>33.411819186005701</v>
      </c>
      <c r="CF179" s="272">
        <v>31.539666579822359</v>
      </c>
      <c r="CG179" s="272">
        <v>29.706902674300039</v>
      </c>
      <c r="CH179" s="272">
        <v>27.883271780459911</v>
      </c>
      <c r="CI179" s="272">
        <v>27.448534959609969</v>
      </c>
      <c r="CJ179" s="272">
        <v>27.013326372481341</v>
      </c>
      <c r="CK179" s="272">
        <v>26.55128890055374</v>
      </c>
      <c r="CL179" s="272">
        <v>26.114422845987431</v>
      </c>
      <c r="CM179" s="272">
        <v>25.67704765903844</v>
      </c>
      <c r="CN179" s="272">
        <v>25.45877571771123</v>
      </c>
      <c r="CO179" s="272">
        <v>25.240774887505669</v>
      </c>
      <c r="CP179" s="272">
        <v>25.01796603662115</v>
      </c>
      <c r="CQ179" s="272">
        <v>24.800539280052028</v>
      </c>
      <c r="CR179" s="272">
        <v>24.58324786405873</v>
      </c>
      <c r="CS179" s="272">
        <v>24.129285481637648</v>
      </c>
      <c r="CT179" s="272">
        <v>23.674717232131162</v>
      </c>
      <c r="CU179" s="272">
        <v>23.21601830293098</v>
      </c>
      <c r="CV179" s="272">
        <v>22.760516793893292</v>
      </c>
      <c r="CW179" s="272">
        <v>22.304710923836168</v>
      </c>
      <c r="CX179" s="272">
        <v>21.917926589342869</v>
      </c>
      <c r="CY179" s="272">
        <v>21.520925156001368</v>
      </c>
      <c r="CZ179" s="272">
        <v>21.124032924654738</v>
      </c>
      <c r="DA179" s="272">
        <v>20.72723453264868</v>
      </c>
      <c r="DB179" s="272">
        <v>20.330528163603471</v>
      </c>
    </row>
    <row r="181" spans="1:106" s="231" customFormat="1" x14ac:dyDescent="0.35">
      <c r="A181" s="279"/>
    </row>
    <row r="182" spans="1:106" s="11" customFormat="1" ht="21" x14ac:dyDescent="0.5">
      <c r="A182" s="11" t="s">
        <v>72</v>
      </c>
    </row>
    <row r="183" spans="1:106" s="272" customFormat="1" x14ac:dyDescent="0.35">
      <c r="A183" s="29" t="s">
        <v>0</v>
      </c>
      <c r="B183" s="29"/>
      <c r="C183" s="332" t="s">
        <v>49</v>
      </c>
      <c r="D183" s="332"/>
      <c r="E183" s="332"/>
      <c r="F183" s="332"/>
      <c r="G183" s="332"/>
      <c r="H183" s="332"/>
      <c r="I183" s="332"/>
      <c r="J183" s="332"/>
      <c r="K183" s="332"/>
      <c r="L183" s="332"/>
      <c r="M183" s="332"/>
      <c r="N183" s="332"/>
      <c r="O183" s="332"/>
      <c r="P183" s="332"/>
      <c r="Q183" s="332"/>
      <c r="R183" s="332"/>
      <c r="S183" s="332"/>
      <c r="T183" s="332"/>
      <c r="U183" s="332"/>
      <c r="V183" s="332"/>
      <c r="W183" s="332"/>
      <c r="X183" s="332"/>
      <c r="Y183" s="332"/>
      <c r="Z183" s="332"/>
      <c r="AA183" s="332"/>
      <c r="AB183" s="332"/>
      <c r="AC183" s="333" t="s">
        <v>50</v>
      </c>
      <c r="AD183" s="333"/>
      <c r="AE183" s="333"/>
      <c r="AF183" s="333"/>
      <c r="AG183" s="333"/>
      <c r="AH183" s="333"/>
      <c r="AI183" s="333"/>
      <c r="AJ183" s="333"/>
      <c r="AK183" s="333"/>
      <c r="AL183" s="333"/>
      <c r="AM183" s="333"/>
      <c r="AN183" s="333"/>
      <c r="AO183" s="333"/>
      <c r="AP183" s="333"/>
      <c r="AQ183" s="333"/>
      <c r="AR183" s="333"/>
      <c r="AS183" s="333"/>
      <c r="AT183" s="333"/>
      <c r="AU183" s="333"/>
      <c r="AV183" s="333"/>
      <c r="AW183" s="333"/>
      <c r="AX183" s="333"/>
      <c r="AY183" s="333"/>
      <c r="AZ183" s="333"/>
      <c r="BA183" s="333"/>
      <c r="BB183" s="333"/>
      <c r="BC183" s="334" t="s">
        <v>756</v>
      </c>
      <c r="BD183" s="335"/>
      <c r="BE183" s="335"/>
      <c r="BF183" s="335"/>
      <c r="BG183" s="335"/>
      <c r="BH183" s="335"/>
      <c r="BI183" s="335"/>
      <c r="BJ183" s="335"/>
      <c r="BK183" s="335"/>
      <c r="BL183" s="335"/>
      <c r="BM183" s="335"/>
      <c r="BN183" s="335"/>
      <c r="BO183" s="335"/>
      <c r="BP183" s="335"/>
      <c r="BQ183" s="335"/>
      <c r="BR183" s="335"/>
      <c r="BS183" s="335"/>
      <c r="BT183" s="335"/>
      <c r="BU183" s="335"/>
      <c r="BV183" s="335"/>
      <c r="BW183" s="335"/>
      <c r="BX183" s="335"/>
      <c r="BY183" s="335"/>
      <c r="BZ183" s="335"/>
      <c r="CA183" s="335"/>
      <c r="CB183" s="336"/>
      <c r="CC183" s="337" t="s">
        <v>51</v>
      </c>
      <c r="CD183" s="337"/>
      <c r="CE183" s="337"/>
      <c r="CF183" s="337"/>
      <c r="CG183" s="337"/>
      <c r="CH183" s="337"/>
      <c r="CI183" s="337"/>
      <c r="CJ183" s="337"/>
      <c r="CK183" s="337"/>
      <c r="CL183" s="337"/>
      <c r="CM183" s="337"/>
      <c r="CN183" s="337"/>
      <c r="CO183" s="337"/>
      <c r="CP183" s="337"/>
      <c r="CQ183" s="337"/>
      <c r="CR183" s="337"/>
      <c r="CS183" s="337"/>
      <c r="CT183" s="337"/>
      <c r="CU183" s="337"/>
      <c r="CV183" s="337"/>
      <c r="CW183" s="337"/>
      <c r="CX183" s="337"/>
      <c r="CY183" s="337"/>
      <c r="CZ183" s="337"/>
      <c r="DA183" s="337"/>
      <c r="DB183" s="337"/>
    </row>
    <row r="184" spans="1:106" s="272" customFormat="1" x14ac:dyDescent="0.35">
      <c r="A184" s="29" t="s">
        <v>1</v>
      </c>
      <c r="B184" s="29" t="s">
        <v>180</v>
      </c>
      <c r="C184" s="226" t="s">
        <v>2</v>
      </c>
      <c r="D184" s="226" t="s">
        <v>52</v>
      </c>
      <c r="E184" s="226" t="s">
        <v>53</v>
      </c>
      <c r="F184" s="226" t="s">
        <v>54</v>
      </c>
      <c r="G184" s="226" t="s">
        <v>55</v>
      </c>
      <c r="H184" s="226" t="s">
        <v>3</v>
      </c>
      <c r="I184" s="226" t="s">
        <v>56</v>
      </c>
      <c r="J184" s="226" t="s">
        <v>57</v>
      </c>
      <c r="K184" s="226" t="s">
        <v>58</v>
      </c>
      <c r="L184" s="226" t="s">
        <v>59</v>
      </c>
      <c r="M184" s="226" t="s">
        <v>4</v>
      </c>
      <c r="N184" s="226" t="s">
        <v>60</v>
      </c>
      <c r="O184" s="226" t="s">
        <v>61</v>
      </c>
      <c r="P184" s="226" t="s">
        <v>62</v>
      </c>
      <c r="Q184" s="226" t="s">
        <v>63</v>
      </c>
      <c r="R184" s="226" t="s">
        <v>5</v>
      </c>
      <c r="S184" s="226" t="s">
        <v>64</v>
      </c>
      <c r="T184" s="226" t="s">
        <v>65</v>
      </c>
      <c r="U184" s="226" t="s">
        <v>66</v>
      </c>
      <c r="V184" s="226" t="s">
        <v>67</v>
      </c>
      <c r="W184" s="226" t="s">
        <v>6</v>
      </c>
      <c r="X184" s="226" t="s">
        <v>68</v>
      </c>
      <c r="Y184" s="226" t="s">
        <v>69</v>
      </c>
      <c r="Z184" s="226" t="s">
        <v>70</v>
      </c>
      <c r="AA184" s="226" t="s">
        <v>71</v>
      </c>
      <c r="AB184" s="226" t="s">
        <v>7</v>
      </c>
      <c r="AC184" s="227" t="s">
        <v>2</v>
      </c>
      <c r="AD184" s="227" t="s">
        <v>52</v>
      </c>
      <c r="AE184" s="227" t="s">
        <v>53</v>
      </c>
      <c r="AF184" s="227" t="s">
        <v>54</v>
      </c>
      <c r="AG184" s="227" t="s">
        <v>55</v>
      </c>
      <c r="AH184" s="227" t="s">
        <v>3</v>
      </c>
      <c r="AI184" s="227" t="s">
        <v>56</v>
      </c>
      <c r="AJ184" s="227" t="s">
        <v>57</v>
      </c>
      <c r="AK184" s="227" t="s">
        <v>58</v>
      </c>
      <c r="AL184" s="227" t="s">
        <v>59</v>
      </c>
      <c r="AM184" s="227" t="s">
        <v>4</v>
      </c>
      <c r="AN184" s="227" t="s">
        <v>60</v>
      </c>
      <c r="AO184" s="227" t="s">
        <v>61</v>
      </c>
      <c r="AP184" s="227" t="s">
        <v>62</v>
      </c>
      <c r="AQ184" s="227" t="s">
        <v>63</v>
      </c>
      <c r="AR184" s="227" t="s">
        <v>5</v>
      </c>
      <c r="AS184" s="227" t="s">
        <v>64</v>
      </c>
      <c r="AT184" s="227" t="s">
        <v>65</v>
      </c>
      <c r="AU184" s="227" t="s">
        <v>66</v>
      </c>
      <c r="AV184" s="227" t="s">
        <v>67</v>
      </c>
      <c r="AW184" s="227" t="s">
        <v>6</v>
      </c>
      <c r="AX184" s="227" t="s">
        <v>68</v>
      </c>
      <c r="AY184" s="227" t="s">
        <v>69</v>
      </c>
      <c r="AZ184" s="227" t="s">
        <v>70</v>
      </c>
      <c r="BA184" s="227" t="s">
        <v>71</v>
      </c>
      <c r="BB184" s="227" t="s">
        <v>7</v>
      </c>
      <c r="BC184" s="225" t="s">
        <v>2</v>
      </c>
      <c r="BD184" s="225" t="s">
        <v>52</v>
      </c>
      <c r="BE184" s="225" t="s">
        <v>53</v>
      </c>
      <c r="BF184" s="225" t="s">
        <v>54</v>
      </c>
      <c r="BG184" s="225" t="s">
        <v>55</v>
      </c>
      <c r="BH184" s="225" t="s">
        <v>3</v>
      </c>
      <c r="BI184" s="225" t="s">
        <v>56</v>
      </c>
      <c r="BJ184" s="225" t="s">
        <v>57</v>
      </c>
      <c r="BK184" s="225" t="s">
        <v>58</v>
      </c>
      <c r="BL184" s="225" t="s">
        <v>59</v>
      </c>
      <c r="BM184" s="225" t="s">
        <v>4</v>
      </c>
      <c r="BN184" s="225" t="s">
        <v>60</v>
      </c>
      <c r="BO184" s="225" t="s">
        <v>61</v>
      </c>
      <c r="BP184" s="225" t="s">
        <v>62</v>
      </c>
      <c r="BQ184" s="225" t="s">
        <v>63</v>
      </c>
      <c r="BR184" s="225" t="s">
        <v>5</v>
      </c>
      <c r="BS184" s="225" t="s">
        <v>64</v>
      </c>
      <c r="BT184" s="225" t="s">
        <v>65</v>
      </c>
      <c r="BU184" s="225" t="s">
        <v>66</v>
      </c>
      <c r="BV184" s="225" t="s">
        <v>67</v>
      </c>
      <c r="BW184" s="225" t="s">
        <v>6</v>
      </c>
      <c r="BX184" s="225" t="s">
        <v>68</v>
      </c>
      <c r="BY184" s="225" t="s">
        <v>69</v>
      </c>
      <c r="BZ184" s="225" t="s">
        <v>70</v>
      </c>
      <c r="CA184" s="225" t="s">
        <v>71</v>
      </c>
      <c r="CB184" s="225" t="s">
        <v>7</v>
      </c>
      <c r="CC184" s="228" t="s">
        <v>2</v>
      </c>
      <c r="CD184" s="228" t="s">
        <v>52</v>
      </c>
      <c r="CE184" s="228" t="s">
        <v>53</v>
      </c>
      <c r="CF184" s="228" t="s">
        <v>54</v>
      </c>
      <c r="CG184" s="228" t="s">
        <v>55</v>
      </c>
      <c r="CH184" s="228" t="s">
        <v>3</v>
      </c>
      <c r="CI184" s="228" t="s">
        <v>56</v>
      </c>
      <c r="CJ184" s="228" t="s">
        <v>57</v>
      </c>
      <c r="CK184" s="228" t="s">
        <v>58</v>
      </c>
      <c r="CL184" s="228" t="s">
        <v>59</v>
      </c>
      <c r="CM184" s="228" t="s">
        <v>4</v>
      </c>
      <c r="CN184" s="228" t="s">
        <v>60</v>
      </c>
      <c r="CO184" s="228" t="s">
        <v>61</v>
      </c>
      <c r="CP184" s="228" t="s">
        <v>62</v>
      </c>
      <c r="CQ184" s="228" t="s">
        <v>63</v>
      </c>
      <c r="CR184" s="228" t="s">
        <v>5</v>
      </c>
      <c r="CS184" s="228" t="s">
        <v>64</v>
      </c>
      <c r="CT184" s="228" t="s">
        <v>65</v>
      </c>
      <c r="CU184" s="228" t="s">
        <v>66</v>
      </c>
      <c r="CV184" s="228" t="s">
        <v>67</v>
      </c>
      <c r="CW184" s="228" t="s">
        <v>6</v>
      </c>
      <c r="CX184" s="228" t="s">
        <v>68</v>
      </c>
      <c r="CY184" s="228" t="s">
        <v>69</v>
      </c>
      <c r="CZ184" s="228" t="s">
        <v>70</v>
      </c>
      <c r="DA184" s="228" t="s">
        <v>71</v>
      </c>
      <c r="DB184" s="228" t="s">
        <v>7</v>
      </c>
    </row>
    <row r="186" spans="1:106" x14ac:dyDescent="0.35">
      <c r="A186" t="s">
        <v>811</v>
      </c>
      <c r="B186" s="28" t="s">
        <v>812</v>
      </c>
      <c r="C186" s="281">
        <v>3.1096491010121107E-5</v>
      </c>
      <c r="D186" s="281">
        <v>3.1048739993835073E-5</v>
      </c>
      <c r="E186" s="281">
        <v>3.100116465628137E-5</v>
      </c>
      <c r="F186" s="281">
        <v>3.0871692538053783E-5</v>
      </c>
      <c r="G186" s="281">
        <v>3.0824428200441598E-5</v>
      </c>
      <c r="H186" s="281">
        <v>3.0777427724947732E-5</v>
      </c>
      <c r="I186" s="281">
        <v>3.0807127183702458E-5</v>
      </c>
      <c r="J186" s="281">
        <v>3.0837347065959823E-5</v>
      </c>
      <c r="K186" s="281">
        <v>3.082967521216469E-5</v>
      </c>
      <c r="L186" s="281">
        <v>3.0861306356038453E-5</v>
      </c>
      <c r="M186" s="281">
        <v>3.0893302625936941E-5</v>
      </c>
      <c r="N186" s="281">
        <v>3.0964080632587403E-5</v>
      </c>
      <c r="O186" s="281">
        <v>3.1035266034721999E-5</v>
      </c>
      <c r="P186" s="281">
        <v>3.1100023761344228E-5</v>
      </c>
      <c r="Q186" s="281">
        <v>3.1172618337651032E-5</v>
      </c>
      <c r="R186" s="281">
        <v>3.1245614931258498E-5</v>
      </c>
      <c r="S186" s="281">
        <v>3.114884638086529E-5</v>
      </c>
      <c r="T186" s="281">
        <v>3.1051363334366247E-5</v>
      </c>
      <c r="U186" s="281">
        <v>3.094398268028898E-5</v>
      </c>
      <c r="V186" s="281">
        <v>3.084500551104232E-5</v>
      </c>
      <c r="W186" s="281">
        <v>3.0745201780680548E-5</v>
      </c>
      <c r="X186" s="281">
        <v>3.0848946035335668E-5</v>
      </c>
      <c r="Y186" s="281">
        <v>3.066898553890893E-5</v>
      </c>
      <c r="Z186" s="281">
        <v>3.0487988296951009E-5</v>
      </c>
      <c r="AA186" s="281">
        <v>3.0305941325211869E-5</v>
      </c>
      <c r="AB186" s="281">
        <v>3.0122834146599399E-5</v>
      </c>
      <c r="AC186" s="282">
        <v>5.7563546817821262E-8</v>
      </c>
      <c r="AD186" s="282">
        <v>5.7470104236799877E-8</v>
      </c>
      <c r="AE186" s="282">
        <v>5.7377160966046413E-8</v>
      </c>
      <c r="AF186" s="282">
        <v>5.703164379108241E-8</v>
      </c>
      <c r="AG186" s="282">
        <v>5.6938840563305113E-8</v>
      </c>
      <c r="AH186" s="282">
        <v>5.6846335111500263E-8</v>
      </c>
      <c r="AI186" s="282">
        <v>5.6937894718860718E-8</v>
      </c>
      <c r="AJ186" s="282">
        <v>5.7029590363150007E-8</v>
      </c>
      <c r="AK186" s="282">
        <v>5.6994465440837351E-8</v>
      </c>
      <c r="AL186" s="282">
        <v>5.7087020664251582E-8</v>
      </c>
      <c r="AM186" s="282">
        <v>5.717955962019742E-8</v>
      </c>
      <c r="AN186" s="282">
        <v>5.7356301921228409E-8</v>
      </c>
      <c r="AO186" s="282">
        <v>5.7532526736161527E-8</v>
      </c>
      <c r="AP186" s="282">
        <v>5.7671362710107931E-8</v>
      </c>
      <c r="AQ186" s="282">
        <v>5.7848284074776592E-8</v>
      </c>
      <c r="AR186" s="282">
        <v>5.802542178257737E-8</v>
      </c>
      <c r="AS186" s="282">
        <v>5.7824056553036368E-8</v>
      </c>
      <c r="AT186" s="282">
        <v>5.7620594884452633E-8</v>
      </c>
      <c r="AU186" s="282">
        <v>5.7377412357107453E-8</v>
      </c>
      <c r="AV186" s="282">
        <v>5.7171121074446968E-8</v>
      </c>
      <c r="AW186" s="282">
        <v>5.6963569569297168E-8</v>
      </c>
      <c r="AX186" s="282">
        <v>5.6829014712499237E-8</v>
      </c>
      <c r="AY186" s="282">
        <v>5.644020206498262E-8</v>
      </c>
      <c r="AZ186" s="282">
        <v>5.6049727360258999E-8</v>
      </c>
      <c r="BA186" s="282">
        <v>5.5657518622071862E-8</v>
      </c>
      <c r="BB186" s="282">
        <v>5.5263512400210462E-8</v>
      </c>
      <c r="BC186" s="282">
        <v>1.4019633769209869</v>
      </c>
      <c r="BD186" s="282">
        <v>1.4014961126847989</v>
      </c>
      <c r="BE186" s="282">
        <v>1.4010418038724179</v>
      </c>
      <c r="BF186" s="282">
        <v>1.3934538069341531</v>
      </c>
      <c r="BG186" s="282">
        <v>1.3930377740594599</v>
      </c>
      <c r="BH186" s="282">
        <v>1.3926318368800881</v>
      </c>
      <c r="BI186" s="282">
        <v>1.3923162748273561</v>
      </c>
      <c r="BJ186" s="282">
        <v>1.392004648296999</v>
      </c>
      <c r="BK186" s="282">
        <v>1.386870591118545</v>
      </c>
      <c r="BL186" s="282">
        <v>1.3865983179794841</v>
      </c>
      <c r="BM186" s="282">
        <v>1.386329265541592</v>
      </c>
      <c r="BN186" s="282">
        <v>1.38618980279857</v>
      </c>
      <c r="BO186" s="282">
        <v>1.3860433401760139</v>
      </c>
      <c r="BP186" s="282">
        <v>1.3844070232094829</v>
      </c>
      <c r="BQ186" s="282">
        <v>1.3842583162246589</v>
      </c>
      <c r="BR186" s="282">
        <v>1.384102175259565</v>
      </c>
      <c r="BS186" s="282">
        <v>1.3837324400103099</v>
      </c>
      <c r="BT186" s="282">
        <v>1.383358497648753</v>
      </c>
      <c r="BU186" s="282">
        <v>1.381551661930722</v>
      </c>
      <c r="BV186" s="282">
        <v>1.3811863986836681</v>
      </c>
      <c r="BW186" s="282">
        <v>1.380817614781997</v>
      </c>
      <c r="BX186" s="282">
        <v>1.380619991570585</v>
      </c>
      <c r="BY186" s="282">
        <v>1.3804276711784309</v>
      </c>
      <c r="BZ186" s="282">
        <v>1.380238592591311</v>
      </c>
      <c r="CA186" s="282">
        <v>1.380052693855798</v>
      </c>
      <c r="CB186" s="282">
        <v>1.379869989906445</v>
      </c>
      <c r="CC186" s="282">
        <v>11.485120192815319</v>
      </c>
      <c r="CD186" s="282">
        <v>11.45979206896215</v>
      </c>
      <c r="CE186" s="282">
        <v>11.4347733137405</v>
      </c>
      <c r="CF186" s="282">
        <v>11.35696214197108</v>
      </c>
      <c r="CG186" s="282">
        <v>11.332380069019759</v>
      </c>
      <c r="CH186" s="282">
        <v>11.3079254310009</v>
      </c>
      <c r="CI186" s="282">
        <v>11.324651153035161</v>
      </c>
      <c r="CJ186" s="282">
        <v>11.341571576898129</v>
      </c>
      <c r="CK186" s="282">
        <v>11.3273201737078</v>
      </c>
      <c r="CL186" s="282">
        <v>11.34502630203996</v>
      </c>
      <c r="CM186" s="282">
        <v>11.3628447568443</v>
      </c>
      <c r="CN186" s="282">
        <v>11.39636388188238</v>
      </c>
      <c r="CO186" s="282">
        <v>11.43003994446728</v>
      </c>
      <c r="CP186" s="282">
        <v>11.45693010673364</v>
      </c>
      <c r="CQ186" s="282">
        <v>11.49114527412215</v>
      </c>
      <c r="CR186" s="282">
        <v>11.525471437710859</v>
      </c>
      <c r="CS186" s="282">
        <v>11.46881037977252</v>
      </c>
      <c r="CT186" s="282">
        <v>11.41193717002696</v>
      </c>
      <c r="CU186" s="282">
        <v>11.34775701254571</v>
      </c>
      <c r="CV186" s="282">
        <v>11.290294775275511</v>
      </c>
      <c r="CW186" s="282">
        <v>11.232448196282469</v>
      </c>
      <c r="CX186" s="282">
        <v>11.150835891353299</v>
      </c>
      <c r="CY186" s="282">
        <v>11.053713275464551</v>
      </c>
      <c r="CZ186" s="282">
        <v>10.956114763914069</v>
      </c>
      <c r="DA186" s="282">
        <v>10.858032811136759</v>
      </c>
      <c r="DB186" s="282">
        <v>10.759461610766021</v>
      </c>
    </row>
    <row r="188" spans="1:106" s="11" customFormat="1" ht="21" x14ac:dyDescent="0.5">
      <c r="A188" s="11" t="s">
        <v>73</v>
      </c>
    </row>
    <row r="189" spans="1:106" s="272" customFormat="1" x14ac:dyDescent="0.35">
      <c r="A189" s="29" t="s">
        <v>0</v>
      </c>
      <c r="B189" s="29"/>
      <c r="C189" s="332" t="s">
        <v>49</v>
      </c>
      <c r="D189" s="332"/>
      <c r="E189" s="332"/>
      <c r="F189" s="332"/>
      <c r="G189" s="332"/>
      <c r="H189" s="332"/>
      <c r="I189" s="332"/>
      <c r="J189" s="332"/>
      <c r="K189" s="332"/>
      <c r="L189" s="332"/>
      <c r="M189" s="332"/>
      <c r="N189" s="332"/>
      <c r="O189" s="332"/>
      <c r="P189" s="332"/>
      <c r="Q189" s="332"/>
      <c r="R189" s="332"/>
      <c r="S189" s="332"/>
      <c r="T189" s="332"/>
      <c r="U189" s="332"/>
      <c r="V189" s="332"/>
      <c r="W189" s="332"/>
      <c r="X189" s="332"/>
      <c r="Y189" s="332"/>
      <c r="Z189" s="332"/>
      <c r="AA189" s="332"/>
      <c r="AB189" s="332"/>
      <c r="AC189" s="333" t="s">
        <v>50</v>
      </c>
      <c r="AD189" s="333"/>
      <c r="AE189" s="333"/>
      <c r="AF189" s="333"/>
      <c r="AG189" s="333"/>
      <c r="AH189" s="333"/>
      <c r="AI189" s="333"/>
      <c r="AJ189" s="333"/>
      <c r="AK189" s="333"/>
      <c r="AL189" s="333"/>
      <c r="AM189" s="333"/>
      <c r="AN189" s="333"/>
      <c r="AO189" s="333"/>
      <c r="AP189" s="333"/>
      <c r="AQ189" s="333"/>
      <c r="AR189" s="333"/>
      <c r="AS189" s="333"/>
      <c r="AT189" s="333"/>
      <c r="AU189" s="333"/>
      <c r="AV189" s="333"/>
      <c r="AW189" s="333"/>
      <c r="AX189" s="333"/>
      <c r="AY189" s="333"/>
      <c r="AZ189" s="333"/>
      <c r="BA189" s="333"/>
      <c r="BB189" s="333"/>
      <c r="BC189" s="334" t="s">
        <v>756</v>
      </c>
      <c r="BD189" s="335"/>
      <c r="BE189" s="335"/>
      <c r="BF189" s="335"/>
      <c r="BG189" s="335"/>
      <c r="BH189" s="335"/>
      <c r="BI189" s="335"/>
      <c r="BJ189" s="335"/>
      <c r="BK189" s="335"/>
      <c r="BL189" s="335"/>
      <c r="BM189" s="335"/>
      <c r="BN189" s="335"/>
      <c r="BO189" s="335"/>
      <c r="BP189" s="335"/>
      <c r="BQ189" s="335"/>
      <c r="BR189" s="335"/>
      <c r="BS189" s="335"/>
      <c r="BT189" s="335"/>
      <c r="BU189" s="335"/>
      <c r="BV189" s="335"/>
      <c r="BW189" s="335"/>
      <c r="BX189" s="335"/>
      <c r="BY189" s="335"/>
      <c r="BZ189" s="335"/>
      <c r="CA189" s="335"/>
      <c r="CB189" s="336"/>
      <c r="CC189" s="337" t="s">
        <v>51</v>
      </c>
      <c r="CD189" s="337"/>
      <c r="CE189" s="337"/>
      <c r="CF189" s="337"/>
      <c r="CG189" s="337"/>
      <c r="CH189" s="337"/>
      <c r="CI189" s="337"/>
      <c r="CJ189" s="337"/>
      <c r="CK189" s="337"/>
      <c r="CL189" s="337"/>
      <c r="CM189" s="337"/>
      <c r="CN189" s="337"/>
      <c r="CO189" s="337"/>
      <c r="CP189" s="337"/>
      <c r="CQ189" s="337"/>
      <c r="CR189" s="337"/>
      <c r="CS189" s="337"/>
      <c r="CT189" s="337"/>
      <c r="CU189" s="337"/>
      <c r="CV189" s="337"/>
      <c r="CW189" s="337"/>
      <c r="CX189" s="337"/>
      <c r="CY189" s="337"/>
      <c r="CZ189" s="337"/>
      <c r="DA189" s="337"/>
      <c r="DB189" s="337"/>
    </row>
    <row r="190" spans="1:106" s="272" customFormat="1" x14ac:dyDescent="0.35">
      <c r="A190" s="29" t="s">
        <v>1</v>
      </c>
      <c r="B190" s="29" t="s">
        <v>180</v>
      </c>
      <c r="C190" s="226" t="s">
        <v>8</v>
      </c>
      <c r="D190" s="226" t="s">
        <v>74</v>
      </c>
      <c r="E190" s="226" t="s">
        <v>75</v>
      </c>
      <c r="F190" s="226" t="s">
        <v>76</v>
      </c>
      <c r="G190" s="226" t="s">
        <v>77</v>
      </c>
      <c r="H190" s="226" t="s">
        <v>9</v>
      </c>
      <c r="I190" s="226" t="s">
        <v>78</v>
      </c>
      <c r="J190" s="226" t="s">
        <v>79</v>
      </c>
      <c r="K190" s="226" t="s">
        <v>80</v>
      </c>
      <c r="L190" s="226" t="s">
        <v>81</v>
      </c>
      <c r="M190" s="226" t="s">
        <v>10</v>
      </c>
      <c r="N190" s="226" t="s">
        <v>82</v>
      </c>
      <c r="O190" s="226" t="s">
        <v>83</v>
      </c>
      <c r="P190" s="226" t="s">
        <v>84</v>
      </c>
      <c r="Q190" s="226" t="s">
        <v>85</v>
      </c>
      <c r="R190" s="226" t="s">
        <v>11</v>
      </c>
      <c r="S190" s="226" t="s">
        <v>86</v>
      </c>
      <c r="T190" s="226" t="s">
        <v>87</v>
      </c>
      <c r="U190" s="226" t="s">
        <v>88</v>
      </c>
      <c r="V190" s="226" t="s">
        <v>89</v>
      </c>
      <c r="W190" s="226" t="s">
        <v>12</v>
      </c>
      <c r="X190" s="226" t="s">
        <v>90</v>
      </c>
      <c r="Y190" s="226" t="s">
        <v>91</v>
      </c>
      <c r="Z190" s="226" t="s">
        <v>92</v>
      </c>
      <c r="AA190" s="226" t="s">
        <v>93</v>
      </c>
      <c r="AB190" s="226" t="s">
        <v>13</v>
      </c>
      <c r="AC190" s="227" t="s">
        <v>8</v>
      </c>
      <c r="AD190" s="227" t="s">
        <v>74</v>
      </c>
      <c r="AE190" s="227" t="s">
        <v>75</v>
      </c>
      <c r="AF190" s="227" t="s">
        <v>76</v>
      </c>
      <c r="AG190" s="227" t="s">
        <v>77</v>
      </c>
      <c r="AH190" s="227" t="s">
        <v>9</v>
      </c>
      <c r="AI190" s="227" t="s">
        <v>78</v>
      </c>
      <c r="AJ190" s="227" t="s">
        <v>79</v>
      </c>
      <c r="AK190" s="227" t="s">
        <v>80</v>
      </c>
      <c r="AL190" s="227" t="s">
        <v>81</v>
      </c>
      <c r="AM190" s="227" t="s">
        <v>10</v>
      </c>
      <c r="AN190" s="227" t="s">
        <v>82</v>
      </c>
      <c r="AO190" s="227" t="s">
        <v>83</v>
      </c>
      <c r="AP190" s="227" t="s">
        <v>84</v>
      </c>
      <c r="AQ190" s="227" t="s">
        <v>85</v>
      </c>
      <c r="AR190" s="227" t="s">
        <v>11</v>
      </c>
      <c r="AS190" s="227" t="s">
        <v>86</v>
      </c>
      <c r="AT190" s="227" t="s">
        <v>87</v>
      </c>
      <c r="AU190" s="227" t="s">
        <v>88</v>
      </c>
      <c r="AV190" s="227" t="s">
        <v>89</v>
      </c>
      <c r="AW190" s="227" t="s">
        <v>12</v>
      </c>
      <c r="AX190" s="227" t="s">
        <v>90</v>
      </c>
      <c r="AY190" s="227" t="s">
        <v>91</v>
      </c>
      <c r="AZ190" s="227" t="s">
        <v>92</v>
      </c>
      <c r="BA190" s="227" t="s">
        <v>93</v>
      </c>
      <c r="BB190" s="227" t="s">
        <v>13</v>
      </c>
      <c r="BC190" s="225" t="s">
        <v>8</v>
      </c>
      <c r="BD190" s="225" t="s">
        <v>74</v>
      </c>
      <c r="BE190" s="225" t="s">
        <v>75</v>
      </c>
      <c r="BF190" s="225" t="s">
        <v>76</v>
      </c>
      <c r="BG190" s="225" t="s">
        <v>77</v>
      </c>
      <c r="BH190" s="225" t="s">
        <v>9</v>
      </c>
      <c r="BI190" s="225" t="s">
        <v>78</v>
      </c>
      <c r="BJ190" s="225" t="s">
        <v>79</v>
      </c>
      <c r="BK190" s="225" t="s">
        <v>80</v>
      </c>
      <c r="BL190" s="225" t="s">
        <v>81</v>
      </c>
      <c r="BM190" s="225" t="s">
        <v>10</v>
      </c>
      <c r="BN190" s="225" t="s">
        <v>82</v>
      </c>
      <c r="BO190" s="225" t="s">
        <v>83</v>
      </c>
      <c r="BP190" s="225" t="s">
        <v>84</v>
      </c>
      <c r="BQ190" s="225" t="s">
        <v>85</v>
      </c>
      <c r="BR190" s="225" t="s">
        <v>11</v>
      </c>
      <c r="BS190" s="225" t="s">
        <v>86</v>
      </c>
      <c r="BT190" s="225" t="s">
        <v>87</v>
      </c>
      <c r="BU190" s="225" t="s">
        <v>88</v>
      </c>
      <c r="BV190" s="225" t="s">
        <v>89</v>
      </c>
      <c r="BW190" s="225" t="s">
        <v>12</v>
      </c>
      <c r="BX190" s="225" t="s">
        <v>90</v>
      </c>
      <c r="BY190" s="225" t="s">
        <v>91</v>
      </c>
      <c r="BZ190" s="225" t="s">
        <v>92</v>
      </c>
      <c r="CA190" s="225" t="s">
        <v>93</v>
      </c>
      <c r="CB190" s="225" t="s">
        <v>13</v>
      </c>
      <c r="CC190" s="228" t="s">
        <v>8</v>
      </c>
      <c r="CD190" s="228" t="s">
        <v>74</v>
      </c>
      <c r="CE190" s="228" t="s">
        <v>75</v>
      </c>
      <c r="CF190" s="228" t="s">
        <v>76</v>
      </c>
      <c r="CG190" s="228" t="s">
        <v>77</v>
      </c>
      <c r="CH190" s="228" t="s">
        <v>9</v>
      </c>
      <c r="CI190" s="228" t="s">
        <v>78</v>
      </c>
      <c r="CJ190" s="228" t="s">
        <v>79</v>
      </c>
      <c r="CK190" s="228" t="s">
        <v>80</v>
      </c>
      <c r="CL190" s="228" t="s">
        <v>81</v>
      </c>
      <c r="CM190" s="228" t="s">
        <v>10</v>
      </c>
      <c r="CN190" s="228" t="s">
        <v>82</v>
      </c>
      <c r="CO190" s="228" t="s">
        <v>83</v>
      </c>
      <c r="CP190" s="228" t="s">
        <v>84</v>
      </c>
      <c r="CQ190" s="228" t="s">
        <v>85</v>
      </c>
      <c r="CR190" s="228" t="s">
        <v>11</v>
      </c>
      <c r="CS190" s="228" t="s">
        <v>86</v>
      </c>
      <c r="CT190" s="228" t="s">
        <v>87</v>
      </c>
      <c r="CU190" s="228" t="s">
        <v>88</v>
      </c>
      <c r="CV190" s="228" t="s">
        <v>89</v>
      </c>
      <c r="CW190" s="228" t="s">
        <v>12</v>
      </c>
      <c r="CX190" s="228" t="s">
        <v>90</v>
      </c>
      <c r="CY190" s="228" t="s">
        <v>91</v>
      </c>
      <c r="CZ190" s="228" t="s">
        <v>92</v>
      </c>
      <c r="DA190" s="228" t="s">
        <v>93</v>
      </c>
      <c r="DB190" s="228" t="s">
        <v>13</v>
      </c>
    </row>
    <row r="192" spans="1:106" x14ac:dyDescent="0.35">
      <c r="A192" s="272" t="s">
        <v>811</v>
      </c>
      <c r="B192" s="272" t="s">
        <v>812</v>
      </c>
      <c r="C192" s="282">
        <v>3.0238279048077079E-5</v>
      </c>
      <c r="D192" s="282">
        <v>3.002454158064124E-5</v>
      </c>
      <c r="E192" s="282">
        <v>2.9809202103214449E-5</v>
      </c>
      <c r="F192" s="282">
        <v>2.9510689273518142E-5</v>
      </c>
      <c r="G192" s="282">
        <v>2.9292007534733339E-5</v>
      </c>
      <c r="H192" s="282">
        <v>2.907162285846522E-5</v>
      </c>
      <c r="I192" s="282">
        <v>2.8806150490271949E-5</v>
      </c>
      <c r="J192" s="282">
        <v>2.854124669498441E-5</v>
      </c>
      <c r="K192" s="282">
        <v>2.8236787412508601E-5</v>
      </c>
      <c r="L192" s="282">
        <v>2.7970920730372609E-5</v>
      </c>
      <c r="M192" s="282">
        <v>2.7703919140924771E-5</v>
      </c>
      <c r="N192" s="282">
        <v>2.7342365866349529E-5</v>
      </c>
      <c r="O192" s="282">
        <v>2.6982505004696339E-5</v>
      </c>
      <c r="P192" s="282">
        <v>2.6612869898225009E-5</v>
      </c>
      <c r="Q192" s="282">
        <v>2.625616813255203E-5</v>
      </c>
      <c r="R192" s="282">
        <v>2.5900706931959361E-5</v>
      </c>
      <c r="S192" s="282">
        <v>2.566510088691616E-5</v>
      </c>
      <c r="T192" s="282">
        <v>2.5430552836555789E-5</v>
      </c>
      <c r="U192" s="282">
        <v>2.5186178182388609E-5</v>
      </c>
      <c r="V192" s="282">
        <v>2.4953990397082809E-5</v>
      </c>
      <c r="W192" s="282">
        <v>2.4722958210851239E-5</v>
      </c>
      <c r="X192" s="282">
        <v>2.4821842601961991E-5</v>
      </c>
      <c r="Y192" s="282">
        <v>2.4786946241064839E-5</v>
      </c>
      <c r="Z192" s="282">
        <v>2.4752307032978939E-5</v>
      </c>
      <c r="AA192" s="282">
        <v>2.4717921683599529E-5</v>
      </c>
      <c r="AB192" s="282">
        <v>2.468379079389596E-5</v>
      </c>
      <c r="AC192" s="282">
        <v>5.5682143217315287E-8</v>
      </c>
      <c r="AD192" s="282">
        <v>5.5207737442323503E-8</v>
      </c>
      <c r="AE192" s="282">
        <v>5.4729856314032153E-8</v>
      </c>
      <c r="AF192" s="282">
        <v>5.3992730763781797E-8</v>
      </c>
      <c r="AG192" s="282">
        <v>5.350740566701386E-8</v>
      </c>
      <c r="AH192" s="282">
        <v>5.3018538560837857E-8</v>
      </c>
      <c r="AI192" s="282">
        <v>5.2444466638215138E-8</v>
      </c>
      <c r="AJ192" s="282">
        <v>5.1868089615326473E-8</v>
      </c>
      <c r="AK192" s="282">
        <v>5.1152768682736647E-8</v>
      </c>
      <c r="AL192" s="282">
        <v>5.0567642177033398E-8</v>
      </c>
      <c r="AM192" s="282">
        <v>4.9977945527585507E-8</v>
      </c>
      <c r="AN192" s="282">
        <v>4.9156058347167398E-8</v>
      </c>
      <c r="AO192" s="282">
        <v>4.8336307807175698E-8</v>
      </c>
      <c r="AP192" s="282">
        <v>4.7466976523982909E-8</v>
      </c>
      <c r="AQ192" s="282">
        <v>4.6650801098820632E-8</v>
      </c>
      <c r="AR192" s="282">
        <v>4.5836428903090049E-8</v>
      </c>
      <c r="AS192" s="282">
        <v>4.5284277153868838E-8</v>
      </c>
      <c r="AT192" s="282">
        <v>4.4733355325529153E-8</v>
      </c>
      <c r="AU192" s="282">
        <v>4.4137102425481649E-8</v>
      </c>
      <c r="AV192" s="282">
        <v>4.3589794620266818E-8</v>
      </c>
      <c r="AW192" s="282">
        <v>4.3045115350730092E-8</v>
      </c>
      <c r="AX192" s="282">
        <v>4.3155878417149327E-8</v>
      </c>
      <c r="AY192" s="282">
        <v>4.3078276255927881E-8</v>
      </c>
      <c r="AZ192" s="282">
        <v>4.3001299199045412E-8</v>
      </c>
      <c r="BA192" s="282">
        <v>4.2924935107466602E-8</v>
      </c>
      <c r="BB192" s="282">
        <v>4.2849180001604849E-8</v>
      </c>
      <c r="BC192" s="282">
        <v>1.3929110612801909</v>
      </c>
      <c r="BD192" s="282">
        <v>1.3907605296878769</v>
      </c>
      <c r="BE192" s="282">
        <v>1.388595671989816</v>
      </c>
      <c r="BF192" s="282">
        <v>1.3793092318964151</v>
      </c>
      <c r="BG192" s="282">
        <v>1.37714197109134</v>
      </c>
      <c r="BH192" s="282">
        <v>1.374957663304625</v>
      </c>
      <c r="BI192" s="282">
        <v>1.376540299881349</v>
      </c>
      <c r="BJ192" s="282">
        <v>1.3781257031612091</v>
      </c>
      <c r="BK192" s="282">
        <v>1.374982491318935</v>
      </c>
      <c r="BL192" s="282">
        <v>1.3766025507010771</v>
      </c>
      <c r="BM192" s="282">
        <v>1.3782065763647451</v>
      </c>
      <c r="BN192" s="282">
        <v>1.3745511411051921</v>
      </c>
      <c r="BO192" s="282">
        <v>1.3709047695355601</v>
      </c>
      <c r="BP192" s="282">
        <v>1.3658637407586289</v>
      </c>
      <c r="BQ192" s="282">
        <v>1.362260143576532</v>
      </c>
      <c r="BR192" s="282">
        <v>1.3586635176581201</v>
      </c>
      <c r="BS192" s="282">
        <v>1.355919374245441</v>
      </c>
      <c r="BT192" s="282">
        <v>1.353179441873164</v>
      </c>
      <c r="BU192" s="282">
        <v>1.3491295570046371</v>
      </c>
      <c r="BV192" s="282">
        <v>1.346419813507451</v>
      </c>
      <c r="BW192" s="282">
        <v>1.3437128947997219</v>
      </c>
      <c r="BX192" s="282">
        <v>1.3427459788228</v>
      </c>
      <c r="BY192" s="282">
        <v>1.3417877908847711</v>
      </c>
      <c r="BZ192" s="282">
        <v>1.3408356725095629</v>
      </c>
      <c r="CA192" s="282">
        <v>1.3398893342582581</v>
      </c>
      <c r="CB192" s="282">
        <v>1.3389486901725161</v>
      </c>
      <c r="CC192" s="282">
        <v>11.013962721713209</v>
      </c>
      <c r="CD192" s="282">
        <v>10.888774325517909</v>
      </c>
      <c r="CE192" s="282">
        <v>10.76327219814767</v>
      </c>
      <c r="CF192" s="282">
        <v>10.58485494480062</v>
      </c>
      <c r="CG192" s="282">
        <v>10.458569719023441</v>
      </c>
      <c r="CH192" s="282">
        <v>10.331702213942989</v>
      </c>
      <c r="CI192" s="282">
        <v>10.158805009752051</v>
      </c>
      <c r="CJ192" s="282">
        <v>9.9863988790845521</v>
      </c>
      <c r="CK192" s="282">
        <v>9.7828994990402904</v>
      </c>
      <c r="CL192" s="282">
        <v>9.610666205906524</v>
      </c>
      <c r="CM192" s="282">
        <v>9.4379952955426862</v>
      </c>
      <c r="CN192" s="282">
        <v>9.1882794227849249</v>
      </c>
      <c r="CO192" s="282">
        <v>8.9396618555173291</v>
      </c>
      <c r="CP192" s="282">
        <v>8.6833255200980304</v>
      </c>
      <c r="CQ192" s="282">
        <v>8.4370308973035737</v>
      </c>
      <c r="CR192" s="282">
        <v>8.1917738434875069</v>
      </c>
      <c r="CS192" s="282">
        <v>8.018488958260841</v>
      </c>
      <c r="CT192" s="282">
        <v>7.8461198615427543</v>
      </c>
      <c r="CU192" s="282">
        <v>7.6675084941531759</v>
      </c>
      <c r="CV192" s="282">
        <v>7.4971131690335184</v>
      </c>
      <c r="CW192" s="282">
        <v>7.3276552722777328</v>
      </c>
      <c r="CX192" s="282">
        <v>7.2990717954487101</v>
      </c>
      <c r="CY192" s="282">
        <v>7.2689598756257254</v>
      </c>
      <c r="CZ192" s="282">
        <v>7.2390483066762039</v>
      </c>
      <c r="DA192" s="282">
        <v>7.2093348789578817</v>
      </c>
      <c r="DB192" s="282">
        <v>7.179819053700502</v>
      </c>
    </row>
    <row r="194" spans="1:106" s="11" customFormat="1" ht="21" x14ac:dyDescent="0.5">
      <c r="A194" s="11" t="s">
        <v>94</v>
      </c>
    </row>
    <row r="195" spans="1:106" s="272" customFormat="1" x14ac:dyDescent="0.35">
      <c r="A195" s="29" t="s">
        <v>0</v>
      </c>
      <c r="B195" s="29"/>
      <c r="C195" s="332" t="s">
        <v>49</v>
      </c>
      <c r="D195" s="332"/>
      <c r="E195" s="332"/>
      <c r="F195" s="332"/>
      <c r="G195" s="332"/>
      <c r="H195" s="332"/>
      <c r="I195" s="332"/>
      <c r="J195" s="332"/>
      <c r="K195" s="332"/>
      <c r="L195" s="332"/>
      <c r="M195" s="332"/>
      <c r="N195" s="332"/>
      <c r="O195" s="332"/>
      <c r="P195" s="332"/>
      <c r="Q195" s="332"/>
      <c r="R195" s="332"/>
      <c r="S195" s="332"/>
      <c r="T195" s="332"/>
      <c r="U195" s="332"/>
      <c r="V195" s="332"/>
      <c r="W195" s="332"/>
      <c r="X195" s="332"/>
      <c r="Y195" s="332"/>
      <c r="Z195" s="332"/>
      <c r="AA195" s="332"/>
      <c r="AB195" s="332"/>
      <c r="AC195" s="333" t="s">
        <v>50</v>
      </c>
      <c r="AD195" s="333"/>
      <c r="AE195" s="333"/>
      <c r="AF195" s="333"/>
      <c r="AG195" s="333"/>
      <c r="AH195" s="333"/>
      <c r="AI195" s="333"/>
      <c r="AJ195" s="333"/>
      <c r="AK195" s="333"/>
      <c r="AL195" s="333"/>
      <c r="AM195" s="333"/>
      <c r="AN195" s="333"/>
      <c r="AO195" s="333"/>
      <c r="AP195" s="333"/>
      <c r="AQ195" s="333"/>
      <c r="AR195" s="333"/>
      <c r="AS195" s="333"/>
      <c r="AT195" s="333"/>
      <c r="AU195" s="333"/>
      <c r="AV195" s="333"/>
      <c r="AW195" s="333"/>
      <c r="AX195" s="333"/>
      <c r="AY195" s="333"/>
      <c r="AZ195" s="333"/>
      <c r="BA195" s="333"/>
      <c r="BB195" s="333"/>
      <c r="BC195" s="334" t="s">
        <v>756</v>
      </c>
      <c r="BD195" s="335"/>
      <c r="BE195" s="335"/>
      <c r="BF195" s="335"/>
      <c r="BG195" s="335"/>
      <c r="BH195" s="335"/>
      <c r="BI195" s="335"/>
      <c r="BJ195" s="335"/>
      <c r="BK195" s="335"/>
      <c r="BL195" s="335"/>
      <c r="BM195" s="335"/>
      <c r="BN195" s="335"/>
      <c r="BO195" s="335"/>
      <c r="BP195" s="335"/>
      <c r="BQ195" s="335"/>
      <c r="BR195" s="335"/>
      <c r="BS195" s="335"/>
      <c r="BT195" s="335"/>
      <c r="BU195" s="335"/>
      <c r="BV195" s="335"/>
      <c r="BW195" s="335"/>
      <c r="BX195" s="335"/>
      <c r="BY195" s="335"/>
      <c r="BZ195" s="335"/>
      <c r="CA195" s="335"/>
      <c r="CB195" s="336"/>
      <c r="CC195" s="337" t="s">
        <v>51</v>
      </c>
      <c r="CD195" s="337"/>
      <c r="CE195" s="337"/>
      <c r="CF195" s="337"/>
      <c r="CG195" s="337"/>
      <c r="CH195" s="337"/>
      <c r="CI195" s="337"/>
      <c r="CJ195" s="337"/>
      <c r="CK195" s="337"/>
      <c r="CL195" s="337"/>
      <c r="CM195" s="337"/>
      <c r="CN195" s="337"/>
      <c r="CO195" s="337"/>
      <c r="CP195" s="337"/>
      <c r="CQ195" s="337"/>
      <c r="CR195" s="337"/>
      <c r="CS195" s="337"/>
      <c r="CT195" s="337"/>
      <c r="CU195" s="337"/>
      <c r="CV195" s="337"/>
      <c r="CW195" s="337"/>
      <c r="CX195" s="337"/>
      <c r="CY195" s="337"/>
      <c r="CZ195" s="337"/>
      <c r="DA195" s="337"/>
      <c r="DB195" s="337"/>
    </row>
    <row r="196" spans="1:106" s="272" customFormat="1" x14ac:dyDescent="0.35">
      <c r="A196" s="29" t="s">
        <v>1</v>
      </c>
      <c r="B196" s="29" t="s">
        <v>180</v>
      </c>
      <c r="C196" s="226" t="s">
        <v>14</v>
      </c>
      <c r="D196" s="226" t="s">
        <v>95</v>
      </c>
      <c r="E196" s="226" t="s">
        <v>96</v>
      </c>
      <c r="F196" s="226" t="s">
        <v>97</v>
      </c>
      <c r="G196" s="226" t="s">
        <v>98</v>
      </c>
      <c r="H196" s="226" t="s">
        <v>15</v>
      </c>
      <c r="I196" s="226" t="s">
        <v>99</v>
      </c>
      <c r="J196" s="226" t="s">
        <v>100</v>
      </c>
      <c r="K196" s="226" t="s">
        <v>101</v>
      </c>
      <c r="L196" s="226" t="s">
        <v>102</v>
      </c>
      <c r="M196" s="226" t="s">
        <v>16</v>
      </c>
      <c r="N196" s="226" t="s">
        <v>103</v>
      </c>
      <c r="O196" s="226" t="s">
        <v>104</v>
      </c>
      <c r="P196" s="226" t="s">
        <v>105</v>
      </c>
      <c r="Q196" s="226" t="s">
        <v>106</v>
      </c>
      <c r="R196" s="226" t="s">
        <v>17</v>
      </c>
      <c r="S196" s="226" t="s">
        <v>107</v>
      </c>
      <c r="T196" s="226" t="s">
        <v>108</v>
      </c>
      <c r="U196" s="226" t="s">
        <v>109</v>
      </c>
      <c r="V196" s="226" t="s">
        <v>110</v>
      </c>
      <c r="W196" s="226" t="s">
        <v>18</v>
      </c>
      <c r="X196" s="226" t="s">
        <v>111</v>
      </c>
      <c r="Y196" s="226" t="s">
        <v>112</v>
      </c>
      <c r="Z196" s="226" t="s">
        <v>113</v>
      </c>
      <c r="AA196" s="226" t="s">
        <v>114</v>
      </c>
      <c r="AB196" s="226" t="s">
        <v>19</v>
      </c>
      <c r="AC196" s="227" t="s">
        <v>14</v>
      </c>
      <c r="AD196" s="227" t="s">
        <v>95</v>
      </c>
      <c r="AE196" s="227" t="s">
        <v>96</v>
      </c>
      <c r="AF196" s="227" t="s">
        <v>97</v>
      </c>
      <c r="AG196" s="227" t="s">
        <v>98</v>
      </c>
      <c r="AH196" s="227" t="s">
        <v>15</v>
      </c>
      <c r="AI196" s="227" t="s">
        <v>99</v>
      </c>
      <c r="AJ196" s="227" t="s">
        <v>100</v>
      </c>
      <c r="AK196" s="227" t="s">
        <v>101</v>
      </c>
      <c r="AL196" s="227" t="s">
        <v>102</v>
      </c>
      <c r="AM196" s="227" t="s">
        <v>16</v>
      </c>
      <c r="AN196" s="227" t="s">
        <v>103</v>
      </c>
      <c r="AO196" s="227" t="s">
        <v>104</v>
      </c>
      <c r="AP196" s="227" t="s">
        <v>105</v>
      </c>
      <c r="AQ196" s="227" t="s">
        <v>106</v>
      </c>
      <c r="AR196" s="227" t="s">
        <v>17</v>
      </c>
      <c r="AS196" s="227" t="s">
        <v>107</v>
      </c>
      <c r="AT196" s="227" t="s">
        <v>108</v>
      </c>
      <c r="AU196" s="227" t="s">
        <v>109</v>
      </c>
      <c r="AV196" s="227" t="s">
        <v>110</v>
      </c>
      <c r="AW196" s="227" t="s">
        <v>18</v>
      </c>
      <c r="AX196" s="227" t="s">
        <v>111</v>
      </c>
      <c r="AY196" s="227" t="s">
        <v>112</v>
      </c>
      <c r="AZ196" s="227" t="s">
        <v>113</v>
      </c>
      <c r="BA196" s="227" t="s">
        <v>114</v>
      </c>
      <c r="BB196" s="227" t="s">
        <v>19</v>
      </c>
      <c r="BC196" s="225" t="s">
        <v>14</v>
      </c>
      <c r="BD196" s="225" t="s">
        <v>95</v>
      </c>
      <c r="BE196" s="225" t="s">
        <v>96</v>
      </c>
      <c r="BF196" s="225" t="s">
        <v>97</v>
      </c>
      <c r="BG196" s="225" t="s">
        <v>98</v>
      </c>
      <c r="BH196" s="225" t="s">
        <v>15</v>
      </c>
      <c r="BI196" s="225" t="s">
        <v>99</v>
      </c>
      <c r="BJ196" s="225" t="s">
        <v>100</v>
      </c>
      <c r="BK196" s="225" t="s">
        <v>101</v>
      </c>
      <c r="BL196" s="225" t="s">
        <v>102</v>
      </c>
      <c r="BM196" s="225" t="s">
        <v>16</v>
      </c>
      <c r="BN196" s="225" t="s">
        <v>103</v>
      </c>
      <c r="BO196" s="225" t="s">
        <v>104</v>
      </c>
      <c r="BP196" s="225" t="s">
        <v>105</v>
      </c>
      <c r="BQ196" s="225" t="s">
        <v>106</v>
      </c>
      <c r="BR196" s="225" t="s">
        <v>17</v>
      </c>
      <c r="BS196" s="225" t="s">
        <v>107</v>
      </c>
      <c r="BT196" s="225" t="s">
        <v>108</v>
      </c>
      <c r="BU196" s="225" t="s">
        <v>109</v>
      </c>
      <c r="BV196" s="225" t="s">
        <v>110</v>
      </c>
      <c r="BW196" s="225" t="s">
        <v>18</v>
      </c>
      <c r="BX196" s="225" t="s">
        <v>111</v>
      </c>
      <c r="BY196" s="225" t="s">
        <v>112</v>
      </c>
      <c r="BZ196" s="225" t="s">
        <v>113</v>
      </c>
      <c r="CA196" s="225" t="s">
        <v>114</v>
      </c>
      <c r="CB196" s="225" t="s">
        <v>19</v>
      </c>
      <c r="CC196" s="228" t="s">
        <v>14</v>
      </c>
      <c r="CD196" s="228" t="s">
        <v>95</v>
      </c>
      <c r="CE196" s="228" t="s">
        <v>96</v>
      </c>
      <c r="CF196" s="228" t="s">
        <v>97</v>
      </c>
      <c r="CG196" s="228" t="s">
        <v>98</v>
      </c>
      <c r="CH196" s="228" t="s">
        <v>15</v>
      </c>
      <c r="CI196" s="228" t="s">
        <v>99</v>
      </c>
      <c r="CJ196" s="228" t="s">
        <v>100</v>
      </c>
      <c r="CK196" s="228" t="s">
        <v>101</v>
      </c>
      <c r="CL196" s="228" t="s">
        <v>102</v>
      </c>
      <c r="CM196" s="228" t="s">
        <v>16</v>
      </c>
      <c r="CN196" s="228" t="s">
        <v>103</v>
      </c>
      <c r="CO196" s="228" t="s">
        <v>104</v>
      </c>
      <c r="CP196" s="228" t="s">
        <v>105</v>
      </c>
      <c r="CQ196" s="228" t="s">
        <v>106</v>
      </c>
      <c r="CR196" s="228" t="s">
        <v>17</v>
      </c>
      <c r="CS196" s="228" t="s">
        <v>107</v>
      </c>
      <c r="CT196" s="228" t="s">
        <v>108</v>
      </c>
      <c r="CU196" s="228" t="s">
        <v>109</v>
      </c>
      <c r="CV196" s="228" t="s">
        <v>110</v>
      </c>
      <c r="CW196" s="228" t="s">
        <v>18</v>
      </c>
      <c r="CX196" s="228" t="s">
        <v>111</v>
      </c>
      <c r="CY196" s="228" t="s">
        <v>112</v>
      </c>
      <c r="CZ196" s="228" t="s">
        <v>113</v>
      </c>
      <c r="DA196" s="228" t="s">
        <v>114</v>
      </c>
      <c r="DB196" s="228" t="s">
        <v>19</v>
      </c>
    </row>
    <row r="198" spans="1:106" x14ac:dyDescent="0.35">
      <c r="A198" s="272" t="s">
        <v>811</v>
      </c>
      <c r="B198" s="272" t="s">
        <v>812</v>
      </c>
      <c r="C198" s="282">
        <v>2.654562937289886E-5</v>
      </c>
      <c r="D198" s="282">
        <v>2.619488927191954E-5</v>
      </c>
      <c r="E198" s="282">
        <v>2.5839467720983622E-5</v>
      </c>
      <c r="F198" s="282">
        <v>2.5402073648528609E-5</v>
      </c>
      <c r="G198" s="282">
        <v>2.5035943697586059E-5</v>
      </c>
      <c r="H198" s="282">
        <v>2.4663575030666459E-5</v>
      </c>
      <c r="I198" s="282">
        <v>2.4609189024268308E-5</v>
      </c>
      <c r="J198" s="282">
        <v>2.455560750224646E-5</v>
      </c>
      <c r="K198" s="282">
        <v>2.446809719622069E-5</v>
      </c>
      <c r="L198" s="282">
        <v>2.4416288866216359E-5</v>
      </c>
      <c r="M198" s="282">
        <v>2.4364917962466561E-5</v>
      </c>
      <c r="N198" s="282">
        <v>2.43503015256928E-5</v>
      </c>
      <c r="O198" s="282">
        <v>2.4336010650015729E-5</v>
      </c>
      <c r="P198" s="282">
        <v>2.4312034218152431E-5</v>
      </c>
      <c r="Q198" s="282">
        <v>2.4298249567302971E-5</v>
      </c>
      <c r="R198" s="282">
        <v>2.4284454802820899E-5</v>
      </c>
      <c r="S198" s="282">
        <v>2.4253497203122528E-5</v>
      </c>
      <c r="T198" s="282">
        <v>2.4222768240255482E-5</v>
      </c>
      <c r="U198" s="282">
        <v>2.4183175454579361E-5</v>
      </c>
      <c r="V198" s="282">
        <v>2.4153148212166519E-5</v>
      </c>
      <c r="W198" s="282">
        <v>2.412312617621889E-5</v>
      </c>
      <c r="X198" s="282">
        <v>2.423452333215348E-5</v>
      </c>
      <c r="Y198" s="282">
        <v>2.421817402907878E-5</v>
      </c>
      <c r="Z198" s="282">
        <v>2.4201868162172889E-5</v>
      </c>
      <c r="AA198" s="282">
        <v>2.4185604066581481E-5</v>
      </c>
      <c r="AB198" s="282">
        <v>2.4169382102215091E-5</v>
      </c>
      <c r="AC198" s="282">
        <v>4.7314115894500822E-8</v>
      </c>
      <c r="AD198" s="282">
        <v>4.6546959131577201E-8</v>
      </c>
      <c r="AE198" s="282">
        <v>4.5763141095394577E-8</v>
      </c>
      <c r="AF198" s="282">
        <v>4.4709430813802209E-8</v>
      </c>
      <c r="AG198" s="282">
        <v>4.389478855095339E-8</v>
      </c>
      <c r="AH198" s="282">
        <v>4.3064080364910423E-8</v>
      </c>
      <c r="AI198" s="282">
        <v>4.2970560251998522E-8</v>
      </c>
      <c r="AJ198" s="282">
        <v>4.2874134794727227E-8</v>
      </c>
      <c r="AK198" s="282">
        <v>4.2640827139821203E-8</v>
      </c>
      <c r="AL198" s="282">
        <v>4.2539420126279341E-8</v>
      </c>
      <c r="AM198" s="282">
        <v>4.2436024672627372E-8</v>
      </c>
      <c r="AN198" s="282">
        <v>4.2412351677490209E-8</v>
      </c>
      <c r="AO198" s="282">
        <v>4.2388646745176378E-8</v>
      </c>
      <c r="AP198" s="282">
        <v>4.2313442053354008E-8</v>
      </c>
      <c r="AQ198" s="282">
        <v>4.2289247254361967E-8</v>
      </c>
      <c r="AR198" s="282">
        <v>4.2264677444221997E-8</v>
      </c>
      <c r="AS198" s="282">
        <v>4.2196206353935863E-8</v>
      </c>
      <c r="AT198" s="282">
        <v>4.21282712602798E-8</v>
      </c>
      <c r="AU198" s="282">
        <v>4.2015722291198341E-8</v>
      </c>
      <c r="AV198" s="282">
        <v>4.1948837464892258E-8</v>
      </c>
      <c r="AW198" s="282">
        <v>4.1880797422657418E-8</v>
      </c>
      <c r="AX198" s="282">
        <v>4.2046765662061433E-8</v>
      </c>
      <c r="AY198" s="282">
        <v>4.2024472271785991E-8</v>
      </c>
      <c r="AZ198" s="282">
        <v>4.2002065176733317E-8</v>
      </c>
      <c r="BA198" s="282">
        <v>4.197954532695485E-8</v>
      </c>
      <c r="BB198" s="282">
        <v>4.1956916956795192E-8</v>
      </c>
      <c r="BC198" s="282">
        <v>1.3502418112740291</v>
      </c>
      <c r="BD198" s="282">
        <v>1.346141956135581</v>
      </c>
      <c r="BE198" s="282">
        <v>1.341991798858533</v>
      </c>
      <c r="BF198" s="282">
        <v>1.3310273576537139</v>
      </c>
      <c r="BG198" s="282">
        <v>1.32684566526166</v>
      </c>
      <c r="BH198" s="282">
        <v>1.322609518742567</v>
      </c>
      <c r="BI198" s="282">
        <v>1.3293515935311531</v>
      </c>
      <c r="BJ198" s="282">
        <v>1.3359754328337921</v>
      </c>
      <c r="BK198" s="282">
        <v>1.338036658088277</v>
      </c>
      <c r="BL198" s="282">
        <v>1.344494025509767</v>
      </c>
      <c r="BM198" s="282">
        <v>1.350840532123966</v>
      </c>
      <c r="BN198" s="282">
        <v>1.3509471924507139</v>
      </c>
      <c r="BO198" s="282">
        <v>1.3510536936083899</v>
      </c>
      <c r="BP198" s="282">
        <v>1.349847228137304</v>
      </c>
      <c r="BQ198" s="282">
        <v>1.349983814788732</v>
      </c>
      <c r="BR198" s="282">
        <v>1.3501175537517669</v>
      </c>
      <c r="BS198" s="282">
        <v>1.346122256252644</v>
      </c>
      <c r="BT198" s="282">
        <v>1.342146055630302</v>
      </c>
      <c r="BU198" s="282">
        <v>1.336954506232074</v>
      </c>
      <c r="BV198" s="282">
        <v>1.3330331321505751</v>
      </c>
      <c r="BW198" s="282">
        <v>1.329120847571277</v>
      </c>
      <c r="BX198" s="282">
        <v>1.3283597882005791</v>
      </c>
      <c r="BY198" s="282">
        <v>1.3276063868965009</v>
      </c>
      <c r="BZ198" s="282">
        <v>1.3268573025229029</v>
      </c>
      <c r="CA198" s="282">
        <v>1.3261124148262979</v>
      </c>
      <c r="CB198" s="282">
        <v>1.32537168542382</v>
      </c>
      <c r="CC198" s="282">
        <v>8.6690162617608646</v>
      </c>
      <c r="CD198" s="282">
        <v>8.4215184827527594</v>
      </c>
      <c r="CE198" s="282">
        <v>8.1712845088346615</v>
      </c>
      <c r="CF198" s="282">
        <v>7.8708685580075208</v>
      </c>
      <c r="CG198" s="282">
        <v>7.6147699455718154</v>
      </c>
      <c r="CH198" s="282">
        <v>7.3548073190370467</v>
      </c>
      <c r="CI198" s="282">
        <v>7.2915188640348312</v>
      </c>
      <c r="CJ198" s="282">
        <v>7.2289231142717192</v>
      </c>
      <c r="CK198" s="282">
        <v>7.1409010886442976</v>
      </c>
      <c r="CL198" s="282">
        <v>7.0801704999049049</v>
      </c>
      <c r="CM198" s="282">
        <v>7.0199637052423958</v>
      </c>
      <c r="CN198" s="282">
        <v>7.0018239384576297</v>
      </c>
      <c r="CO198" s="282">
        <v>6.9836331747980731</v>
      </c>
      <c r="CP198" s="282">
        <v>6.95811499088573</v>
      </c>
      <c r="CQ198" s="282">
        <v>6.9400411572174487</v>
      </c>
      <c r="CR198" s="282">
        <v>6.9218652936692839</v>
      </c>
      <c r="CS198" s="282">
        <v>6.8964151852387348</v>
      </c>
      <c r="CT198" s="282">
        <v>6.871190573283152</v>
      </c>
      <c r="CU198" s="282">
        <v>6.8409459721718218</v>
      </c>
      <c r="CV198" s="282">
        <v>6.8164143426584296</v>
      </c>
      <c r="CW198" s="282">
        <v>6.7921792693095169</v>
      </c>
      <c r="CX198" s="282">
        <v>6.7744897743271064</v>
      </c>
      <c r="CY198" s="282">
        <v>6.7552934984873332</v>
      </c>
      <c r="CZ198" s="282">
        <v>6.7361605982205166</v>
      </c>
      <c r="DA198" s="282">
        <v>6.7170899454760606</v>
      </c>
      <c r="DB198" s="282">
        <v>6.6980808964643357</v>
      </c>
    </row>
  </sheetData>
  <mergeCells count="60">
    <mergeCell ref="C143:AB143"/>
    <mergeCell ref="AC143:BB143"/>
    <mergeCell ref="BC143:CB143"/>
    <mergeCell ref="CC143:DB143"/>
    <mergeCell ref="C153:AB153"/>
    <mergeCell ref="AC153:BB153"/>
    <mergeCell ref="BC153:CB153"/>
    <mergeCell ref="CC153:DB153"/>
    <mergeCell ref="C125:AB125"/>
    <mergeCell ref="AC125:BB125"/>
    <mergeCell ref="BC125:CB125"/>
    <mergeCell ref="CC125:DB125"/>
    <mergeCell ref="C133:AB133"/>
    <mergeCell ref="AC133:BB133"/>
    <mergeCell ref="BC133:CB133"/>
    <mergeCell ref="CC133:DB133"/>
    <mergeCell ref="C2:AB2"/>
    <mergeCell ref="AC2:BB2"/>
    <mergeCell ref="CC2:DB2"/>
    <mergeCell ref="C38:AB38"/>
    <mergeCell ref="AC38:BB38"/>
    <mergeCell ref="CC38:DB38"/>
    <mergeCell ref="BC2:CB2"/>
    <mergeCell ref="BC38:CB38"/>
    <mergeCell ref="C164:AB164"/>
    <mergeCell ref="AC164:BB164"/>
    <mergeCell ref="BC164:CB164"/>
    <mergeCell ref="CC164:DB164"/>
    <mergeCell ref="C74:AB74"/>
    <mergeCell ref="AC74:BB74"/>
    <mergeCell ref="CC74:DB74"/>
    <mergeCell ref="BC74:CB74"/>
    <mergeCell ref="C111:AB111"/>
    <mergeCell ref="AC111:BB111"/>
    <mergeCell ref="BC111:CB111"/>
    <mergeCell ref="CC111:DB111"/>
    <mergeCell ref="C118:AB118"/>
    <mergeCell ref="AC118:BB118"/>
    <mergeCell ref="BC118:CB118"/>
    <mergeCell ref="CC118:DB118"/>
    <mergeCell ref="C170:AB170"/>
    <mergeCell ref="AC170:BB170"/>
    <mergeCell ref="BC170:CB170"/>
    <mergeCell ref="CC170:DB170"/>
    <mergeCell ref="C176:AB176"/>
    <mergeCell ref="AC176:BB176"/>
    <mergeCell ref="BC176:CB176"/>
    <mergeCell ref="CC176:DB176"/>
    <mergeCell ref="C195:AB195"/>
    <mergeCell ref="AC195:BB195"/>
    <mergeCell ref="BC195:CB195"/>
    <mergeCell ref="CC195:DB195"/>
    <mergeCell ref="C183:AB183"/>
    <mergeCell ref="AC183:BB183"/>
    <mergeCell ref="BC183:CB183"/>
    <mergeCell ref="CC183:DB183"/>
    <mergeCell ref="C189:AB189"/>
    <mergeCell ref="AC189:BB189"/>
    <mergeCell ref="BC189:CB189"/>
    <mergeCell ref="CC189:DB189"/>
  </mergeCells>
  <pageMargins left="0.7" right="0.7" top="0.75" bottom="0.75" header="0.3" footer="0.3"/>
  <pageSetup paperSize="9"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01AA1-1B60-489F-90BD-C16EA0C9AEAE}">
  <sheetPr>
    <tabColor theme="7" tint="0.79998168889431442"/>
  </sheetPr>
  <dimension ref="A1:DB160"/>
  <sheetViews>
    <sheetView topLeftCell="A109" zoomScale="60" zoomScaleNormal="60" workbookViewId="0">
      <selection activeCell="A131" sqref="A131"/>
    </sheetView>
  </sheetViews>
  <sheetFormatPr defaultRowHeight="14.5" x14ac:dyDescent="0.35"/>
  <cols>
    <col min="1" max="1" width="86.81640625" style="28" customWidth="1"/>
    <col min="2" max="2" width="18.08984375" style="28" customWidth="1"/>
    <col min="3" max="42" width="13.1796875" style="28" customWidth="1"/>
    <col min="43" max="51" width="12.1796875" style="28" customWidth="1"/>
    <col min="52" max="54" width="8.7265625" style="28" customWidth="1"/>
    <col min="55" max="80" width="8.7265625" style="219" customWidth="1"/>
    <col min="81" max="16384" width="8.7265625" style="28"/>
  </cols>
  <sheetData>
    <row r="1" spans="1:106" s="11" customFormat="1" ht="21" x14ac:dyDescent="0.5">
      <c r="A1" s="11" t="s">
        <v>72</v>
      </c>
    </row>
    <row r="2" spans="1:106" x14ac:dyDescent="0.35">
      <c r="A2" s="29" t="s">
        <v>0</v>
      </c>
      <c r="B2" s="29"/>
      <c r="C2" s="332" t="s">
        <v>702</v>
      </c>
      <c r="D2" s="332"/>
      <c r="E2" s="332"/>
      <c r="F2" s="332"/>
      <c r="G2" s="332"/>
      <c r="H2" s="332"/>
      <c r="I2" s="332"/>
      <c r="J2" s="332"/>
      <c r="K2" s="332"/>
      <c r="L2" s="332"/>
      <c r="M2" s="332"/>
      <c r="N2" s="332"/>
      <c r="O2" s="332"/>
      <c r="P2" s="332"/>
      <c r="Q2" s="332"/>
      <c r="R2" s="332"/>
      <c r="S2" s="332"/>
      <c r="T2" s="332"/>
      <c r="U2" s="332"/>
      <c r="V2" s="332"/>
      <c r="W2" s="332"/>
      <c r="X2" s="332"/>
      <c r="Y2" s="332"/>
      <c r="Z2" s="332"/>
      <c r="AA2" s="332"/>
      <c r="AB2" s="332"/>
      <c r="AC2" s="333" t="s">
        <v>701</v>
      </c>
      <c r="AD2" s="333"/>
      <c r="AE2" s="333"/>
      <c r="AF2" s="333"/>
      <c r="AG2" s="333"/>
      <c r="AH2" s="333"/>
      <c r="AI2" s="333"/>
      <c r="AJ2" s="333"/>
      <c r="AK2" s="333"/>
      <c r="AL2" s="333"/>
      <c r="AM2" s="333"/>
      <c r="AN2" s="333"/>
      <c r="AO2" s="333"/>
      <c r="AP2" s="333"/>
      <c r="AQ2" s="333"/>
      <c r="AR2" s="333"/>
      <c r="AS2" s="333"/>
      <c r="AT2" s="333"/>
      <c r="AU2" s="333"/>
      <c r="AV2" s="333"/>
      <c r="AW2" s="333"/>
      <c r="AX2" s="333"/>
      <c r="AY2" s="333"/>
      <c r="AZ2" s="333"/>
      <c r="BA2" s="333"/>
      <c r="BB2" s="333"/>
      <c r="BC2" s="334" t="s">
        <v>756</v>
      </c>
      <c r="BD2" s="335"/>
      <c r="BE2" s="335"/>
      <c r="BF2" s="335"/>
      <c r="BG2" s="335"/>
      <c r="BH2" s="335"/>
      <c r="BI2" s="335"/>
      <c r="BJ2" s="335"/>
      <c r="BK2" s="335"/>
      <c r="BL2" s="335"/>
      <c r="BM2" s="335"/>
      <c r="BN2" s="335"/>
      <c r="BO2" s="335"/>
      <c r="BP2" s="335"/>
      <c r="BQ2" s="335"/>
      <c r="BR2" s="335"/>
      <c r="BS2" s="335"/>
      <c r="BT2" s="335"/>
      <c r="BU2" s="335"/>
      <c r="BV2" s="335"/>
      <c r="BW2" s="335"/>
      <c r="BX2" s="335"/>
      <c r="BY2" s="335"/>
      <c r="BZ2" s="335"/>
      <c r="CA2" s="335"/>
      <c r="CB2" s="336"/>
      <c r="CC2" s="337" t="s">
        <v>700</v>
      </c>
      <c r="CD2" s="337"/>
      <c r="CE2" s="337"/>
      <c r="CF2" s="337"/>
      <c r="CG2" s="337"/>
      <c r="CH2" s="337"/>
      <c r="CI2" s="337"/>
      <c r="CJ2" s="337"/>
      <c r="CK2" s="337"/>
      <c r="CL2" s="337"/>
      <c r="CM2" s="337"/>
      <c r="CN2" s="337"/>
      <c r="CO2" s="337"/>
      <c r="CP2" s="337"/>
      <c r="CQ2" s="337"/>
      <c r="CR2" s="337"/>
      <c r="CS2" s="337"/>
      <c r="CT2" s="337"/>
      <c r="CU2" s="337"/>
      <c r="CV2" s="337"/>
      <c r="CW2" s="337"/>
      <c r="CX2" s="337"/>
      <c r="CY2" s="337"/>
      <c r="CZ2" s="337"/>
      <c r="DA2" s="337"/>
      <c r="DB2" s="337"/>
    </row>
    <row r="3" spans="1:106" x14ac:dyDescent="0.35">
      <c r="A3" s="29" t="s">
        <v>1</v>
      </c>
      <c r="B3" s="29" t="s">
        <v>180</v>
      </c>
      <c r="C3" s="184" t="s">
        <v>2</v>
      </c>
      <c r="D3" s="184" t="s">
        <v>52</v>
      </c>
      <c r="E3" s="184" t="s">
        <v>53</v>
      </c>
      <c r="F3" s="184" t="s">
        <v>54</v>
      </c>
      <c r="G3" s="184" t="s">
        <v>55</v>
      </c>
      <c r="H3" s="184" t="s">
        <v>3</v>
      </c>
      <c r="I3" s="184" t="s">
        <v>56</v>
      </c>
      <c r="J3" s="184" t="s">
        <v>57</v>
      </c>
      <c r="K3" s="184" t="s">
        <v>58</v>
      </c>
      <c r="L3" s="184" t="s">
        <v>59</v>
      </c>
      <c r="M3" s="184" t="s">
        <v>4</v>
      </c>
      <c r="N3" s="184" t="s">
        <v>60</v>
      </c>
      <c r="O3" s="184" t="s">
        <v>61</v>
      </c>
      <c r="P3" s="184" t="s">
        <v>62</v>
      </c>
      <c r="Q3" s="184" t="s">
        <v>63</v>
      </c>
      <c r="R3" s="184" t="s">
        <v>5</v>
      </c>
      <c r="S3" s="184" t="s">
        <v>64</v>
      </c>
      <c r="T3" s="184" t="s">
        <v>65</v>
      </c>
      <c r="U3" s="184" t="s">
        <v>66</v>
      </c>
      <c r="V3" s="184" t="s">
        <v>67</v>
      </c>
      <c r="W3" s="184" t="s">
        <v>6</v>
      </c>
      <c r="X3" s="184" t="s">
        <v>68</v>
      </c>
      <c r="Y3" s="184" t="s">
        <v>69</v>
      </c>
      <c r="Z3" s="184" t="s">
        <v>70</v>
      </c>
      <c r="AA3" s="184" t="s">
        <v>71</v>
      </c>
      <c r="AB3" s="184" t="s">
        <v>7</v>
      </c>
      <c r="AC3" s="185" t="s">
        <v>2</v>
      </c>
      <c r="AD3" s="185" t="s">
        <v>52</v>
      </c>
      <c r="AE3" s="185" t="s">
        <v>53</v>
      </c>
      <c r="AF3" s="185" t="s">
        <v>54</v>
      </c>
      <c r="AG3" s="185" t="s">
        <v>55</v>
      </c>
      <c r="AH3" s="185" t="s">
        <v>3</v>
      </c>
      <c r="AI3" s="185" t="s">
        <v>56</v>
      </c>
      <c r="AJ3" s="185" t="s">
        <v>57</v>
      </c>
      <c r="AK3" s="185" t="s">
        <v>58</v>
      </c>
      <c r="AL3" s="185" t="s">
        <v>59</v>
      </c>
      <c r="AM3" s="185" t="s">
        <v>4</v>
      </c>
      <c r="AN3" s="185" t="s">
        <v>60</v>
      </c>
      <c r="AO3" s="185" t="s">
        <v>61</v>
      </c>
      <c r="AP3" s="185" t="s">
        <v>62</v>
      </c>
      <c r="AQ3" s="185" t="s">
        <v>63</v>
      </c>
      <c r="AR3" s="185" t="s">
        <v>5</v>
      </c>
      <c r="AS3" s="185" t="s">
        <v>64</v>
      </c>
      <c r="AT3" s="185" t="s">
        <v>65</v>
      </c>
      <c r="AU3" s="185" t="s">
        <v>66</v>
      </c>
      <c r="AV3" s="185" t="s">
        <v>67</v>
      </c>
      <c r="AW3" s="185" t="s">
        <v>6</v>
      </c>
      <c r="AX3" s="185" t="s">
        <v>68</v>
      </c>
      <c r="AY3" s="185" t="s">
        <v>69</v>
      </c>
      <c r="AZ3" s="185" t="s">
        <v>70</v>
      </c>
      <c r="BA3" s="185" t="s">
        <v>71</v>
      </c>
      <c r="BB3" s="185" t="s">
        <v>7</v>
      </c>
      <c r="BC3" s="213" t="s">
        <v>2</v>
      </c>
      <c r="BD3" s="213" t="s">
        <v>52</v>
      </c>
      <c r="BE3" s="213" t="s">
        <v>53</v>
      </c>
      <c r="BF3" s="213" t="s">
        <v>54</v>
      </c>
      <c r="BG3" s="213" t="s">
        <v>55</v>
      </c>
      <c r="BH3" s="213" t="s">
        <v>3</v>
      </c>
      <c r="BI3" s="213" t="s">
        <v>56</v>
      </c>
      <c r="BJ3" s="213" t="s">
        <v>57</v>
      </c>
      <c r="BK3" s="213" t="s">
        <v>58</v>
      </c>
      <c r="BL3" s="213" t="s">
        <v>59</v>
      </c>
      <c r="BM3" s="213" t="s">
        <v>4</v>
      </c>
      <c r="BN3" s="213" t="s">
        <v>60</v>
      </c>
      <c r="BO3" s="213" t="s">
        <v>61</v>
      </c>
      <c r="BP3" s="213" t="s">
        <v>62</v>
      </c>
      <c r="BQ3" s="213" t="s">
        <v>63</v>
      </c>
      <c r="BR3" s="213" t="s">
        <v>5</v>
      </c>
      <c r="BS3" s="213" t="s">
        <v>64</v>
      </c>
      <c r="BT3" s="213" t="s">
        <v>65</v>
      </c>
      <c r="BU3" s="213" t="s">
        <v>66</v>
      </c>
      <c r="BV3" s="213" t="s">
        <v>67</v>
      </c>
      <c r="BW3" s="213" t="s">
        <v>6</v>
      </c>
      <c r="BX3" s="213" t="s">
        <v>68</v>
      </c>
      <c r="BY3" s="213" t="s">
        <v>69</v>
      </c>
      <c r="BZ3" s="213" t="s">
        <v>70</v>
      </c>
      <c r="CA3" s="213" t="s">
        <v>71</v>
      </c>
      <c r="CB3" s="213" t="s">
        <v>7</v>
      </c>
      <c r="CC3" s="220" t="s">
        <v>2</v>
      </c>
      <c r="CD3" s="220" t="s">
        <v>52</v>
      </c>
      <c r="CE3" s="220" t="s">
        <v>53</v>
      </c>
      <c r="CF3" s="220" t="s">
        <v>54</v>
      </c>
      <c r="CG3" s="220" t="s">
        <v>55</v>
      </c>
      <c r="CH3" s="220" t="s">
        <v>3</v>
      </c>
      <c r="CI3" s="220" t="s">
        <v>56</v>
      </c>
      <c r="CJ3" s="220" t="s">
        <v>57</v>
      </c>
      <c r="CK3" s="220" t="s">
        <v>58</v>
      </c>
      <c r="CL3" s="220" t="s">
        <v>59</v>
      </c>
      <c r="CM3" s="220" t="s">
        <v>4</v>
      </c>
      <c r="CN3" s="220" t="s">
        <v>60</v>
      </c>
      <c r="CO3" s="220" t="s">
        <v>61</v>
      </c>
      <c r="CP3" s="220" t="s">
        <v>62</v>
      </c>
      <c r="CQ3" s="220" t="s">
        <v>63</v>
      </c>
      <c r="CR3" s="220" t="s">
        <v>5</v>
      </c>
      <c r="CS3" s="220" t="s">
        <v>64</v>
      </c>
      <c r="CT3" s="220" t="s">
        <v>65</v>
      </c>
      <c r="CU3" s="220" t="s">
        <v>66</v>
      </c>
      <c r="CV3" s="220" t="s">
        <v>67</v>
      </c>
      <c r="CW3" s="220" t="s">
        <v>6</v>
      </c>
      <c r="CX3" s="220" t="s">
        <v>68</v>
      </c>
      <c r="CY3" s="220" t="s">
        <v>69</v>
      </c>
      <c r="CZ3" s="220" t="s">
        <v>70</v>
      </c>
      <c r="DA3" s="220" t="s">
        <v>71</v>
      </c>
      <c r="DB3" s="220" t="s">
        <v>7</v>
      </c>
    </row>
    <row r="5" spans="1:106" x14ac:dyDescent="0.35">
      <c r="A5" s="137" t="s">
        <v>538</v>
      </c>
      <c r="B5" s="130" t="s">
        <v>545</v>
      </c>
      <c r="C5" s="219">
        <v>0.21929805323875509</v>
      </c>
      <c r="D5" s="219">
        <v>0.2191751154463015</v>
      </c>
      <c r="E5" s="219">
        <v>0.21906579918515881</v>
      </c>
      <c r="F5" s="219">
        <v>0.21898273973495111</v>
      </c>
      <c r="G5" s="219">
        <v>0.2189034332356114</v>
      </c>
      <c r="H5" s="219">
        <v>0.2188329791289404</v>
      </c>
      <c r="I5" s="219">
        <v>0.21855686386330361</v>
      </c>
      <c r="J5" s="219">
        <v>0.21835150153773389</v>
      </c>
      <c r="K5" s="219">
        <v>0.21825560350993531</v>
      </c>
      <c r="L5" s="219">
        <v>0.2181699760948605</v>
      </c>
      <c r="M5" s="219">
        <v>0.21813376651037261</v>
      </c>
      <c r="N5" s="219">
        <v>0.21864266556258191</v>
      </c>
      <c r="O5" s="219">
        <v>0.21920717661097311</v>
      </c>
      <c r="P5" s="219">
        <v>0.21986154066916799</v>
      </c>
      <c r="Q5" s="219">
        <v>0.22051954112649391</v>
      </c>
      <c r="R5" s="219">
        <v>0.22122747118196939</v>
      </c>
      <c r="S5" s="219">
        <v>0.2211265246313347</v>
      </c>
      <c r="T5" s="219">
        <v>0.2210319663234076</v>
      </c>
      <c r="U5" s="219">
        <v>0.22096730938772441</v>
      </c>
      <c r="V5" s="219">
        <v>0.22088255180667141</v>
      </c>
      <c r="W5" s="219">
        <v>0.22080176268804791</v>
      </c>
      <c r="X5" s="219">
        <v>0.22032925576564241</v>
      </c>
      <c r="Y5" s="219">
        <v>0.2198317179371633</v>
      </c>
      <c r="Z5" s="219">
        <v>0.21933212397125529</v>
      </c>
      <c r="AA5" s="219">
        <v>0.2188304641269683</v>
      </c>
      <c r="AB5" s="219">
        <v>0.21832673916098341</v>
      </c>
      <c r="AC5" s="33">
        <v>1.002788540668134E-4</v>
      </c>
      <c r="AD5" s="219">
        <v>1.0017197754737351E-4</v>
      </c>
      <c r="AE5" s="219">
        <v>1.0006987882224069E-4</v>
      </c>
      <c r="AF5" s="219">
        <v>9.9934080114170244E-5</v>
      </c>
      <c r="AG5" s="219">
        <v>9.9847210643543523E-5</v>
      </c>
      <c r="AH5" s="219">
        <v>9.9764151956521072E-5</v>
      </c>
      <c r="AI5" s="219">
        <v>9.9885798906086952E-5</v>
      </c>
      <c r="AJ5" s="219">
        <v>1.000228568878493E-4</v>
      </c>
      <c r="AK5" s="219">
        <v>1.001815815809847E-4</v>
      </c>
      <c r="AL5" s="219">
        <v>1.003449911801011E-4</v>
      </c>
      <c r="AM5" s="219">
        <v>1.0051909905116291E-4</v>
      </c>
      <c r="AN5" s="219">
        <v>1.009692024123812E-4</v>
      </c>
      <c r="AO5" s="219">
        <v>1.014326033494049E-4</v>
      </c>
      <c r="AP5" s="219">
        <v>1.019248553928534E-4</v>
      </c>
      <c r="AQ5" s="219">
        <v>1.024114546270347E-4</v>
      </c>
      <c r="AR5" s="219">
        <v>1.0291698373888229E-4</v>
      </c>
      <c r="AS5" s="219">
        <v>1.028586981622518E-4</v>
      </c>
      <c r="AT5" s="219">
        <v>1.028008195899411E-4</v>
      </c>
      <c r="AU5" s="219">
        <v>1.0275380645658049E-4</v>
      </c>
      <c r="AV5" s="219">
        <v>1.0269553053816379E-4</v>
      </c>
      <c r="AW5" s="219">
        <v>1.026367957360968E-4</v>
      </c>
      <c r="AX5" s="219">
        <v>1.0228402481141661E-4</v>
      </c>
      <c r="AY5" s="219">
        <v>1.019088885093616E-4</v>
      </c>
      <c r="AZ5" s="219">
        <v>1.015328710356274E-4</v>
      </c>
      <c r="BA5" s="219">
        <v>1.0115593323058021E-4</v>
      </c>
      <c r="BB5" s="219">
        <v>1.007780466951073E-4</v>
      </c>
      <c r="BC5" s="33">
        <v>77.21859804961916</v>
      </c>
      <c r="BD5" s="219">
        <v>77.036710366309435</v>
      </c>
      <c r="BE5" s="219">
        <v>76.860008591036774</v>
      </c>
      <c r="BF5" s="219">
        <v>76.357126660369033</v>
      </c>
      <c r="BG5" s="219">
        <v>76.195184483766766</v>
      </c>
      <c r="BH5" s="219">
        <v>76.037443803992574</v>
      </c>
      <c r="BI5" s="219">
        <v>75.957867627105486</v>
      </c>
      <c r="BJ5" s="219">
        <v>75.88937328766427</v>
      </c>
      <c r="BK5" s="219">
        <v>75.59839443109621</v>
      </c>
      <c r="BL5" s="219">
        <v>75.550821941321658</v>
      </c>
      <c r="BM5" s="219">
        <v>75.511391543803626</v>
      </c>
      <c r="BN5" s="219">
        <v>75.534002033378258</v>
      </c>
      <c r="BO5" s="219">
        <v>75.565918618744107</v>
      </c>
      <c r="BP5" s="219">
        <v>75.536779364241596</v>
      </c>
      <c r="BQ5" s="219">
        <v>75.585364498716402</v>
      </c>
      <c r="BR5" s="219">
        <v>75.647318158665939</v>
      </c>
      <c r="BS5" s="219">
        <v>75.706267944482718</v>
      </c>
      <c r="BT5" s="219">
        <v>75.765777053927991</v>
      </c>
      <c r="BU5" s="219">
        <v>75.758363316907051</v>
      </c>
      <c r="BV5" s="219">
        <v>75.819068196316493</v>
      </c>
      <c r="BW5" s="219">
        <v>75.879860798789906</v>
      </c>
      <c r="BX5" s="219">
        <v>75.781077609030064</v>
      </c>
      <c r="BY5" s="219">
        <v>75.683302348724908</v>
      </c>
      <c r="BZ5" s="219">
        <v>75.586280513742111</v>
      </c>
      <c r="CA5" s="219">
        <v>75.489989946546473</v>
      </c>
      <c r="CB5" s="219">
        <v>75.394420163806245</v>
      </c>
      <c r="CC5" s="33">
        <v>651.25812318150281</v>
      </c>
      <c r="CD5" s="219">
        <v>648.51736604720702</v>
      </c>
      <c r="CE5" s="219">
        <v>645.88709964293366</v>
      </c>
      <c r="CF5" s="219">
        <v>641.16750336983716</v>
      </c>
      <c r="CG5" s="219">
        <v>638.879120227258</v>
      </c>
      <c r="CH5" s="219">
        <v>636.67678864789036</v>
      </c>
      <c r="CI5" s="219">
        <v>636.29037606865779</v>
      </c>
      <c r="CJ5" s="219">
        <v>636.2783571519127</v>
      </c>
      <c r="CK5" s="219">
        <v>635.22804809605179</v>
      </c>
      <c r="CL5" s="219">
        <v>635.85502495494575</v>
      </c>
      <c r="CM5" s="219">
        <v>636.74321284274458</v>
      </c>
      <c r="CN5" s="219">
        <v>641.26904189119705</v>
      </c>
      <c r="CO5" s="219">
        <v>646.10270858411263</v>
      </c>
      <c r="CP5" s="219">
        <v>650.90745028801859</v>
      </c>
      <c r="CQ5" s="219">
        <v>656.26659357778101</v>
      </c>
      <c r="CR5" s="219">
        <v>662.06826260293008</v>
      </c>
      <c r="CS5" s="219">
        <v>660.67799779446773</v>
      </c>
      <c r="CT5" s="219">
        <v>659.30947754917941</v>
      </c>
      <c r="CU5" s="219">
        <v>657.64738658476085</v>
      </c>
      <c r="CV5" s="219">
        <v>656.29120362493052</v>
      </c>
      <c r="CW5" s="219">
        <v>654.93373014674626</v>
      </c>
      <c r="CX5" s="219">
        <v>649.12454356550882</v>
      </c>
      <c r="CY5" s="219">
        <v>642.93762754605564</v>
      </c>
      <c r="CZ5" s="219">
        <v>636.7476390546459</v>
      </c>
      <c r="DA5" s="219">
        <v>630.55366403184576</v>
      </c>
      <c r="DB5" s="219">
        <v>624.35506652952972</v>
      </c>
    </row>
    <row r="6" spans="1:106" x14ac:dyDescent="0.35">
      <c r="A6" s="137" t="s">
        <v>533</v>
      </c>
      <c r="B6" s="130" t="s">
        <v>545</v>
      </c>
      <c r="C6" s="219">
        <v>0.47831707984653599</v>
      </c>
      <c r="D6" s="219">
        <v>0.4792931326271313</v>
      </c>
      <c r="E6" s="219">
        <v>0.48025663677207808</v>
      </c>
      <c r="F6" s="219">
        <v>0.48122263045361352</v>
      </c>
      <c r="G6" s="219">
        <v>0.48216008916437031</v>
      </c>
      <c r="H6" s="219">
        <v>0.4830839707664929</v>
      </c>
      <c r="I6" s="219">
        <v>0.48305457963347143</v>
      </c>
      <c r="J6" s="219">
        <v>0.48311796689525738</v>
      </c>
      <c r="K6" s="219">
        <v>0.48332081896295082</v>
      </c>
      <c r="L6" s="219">
        <v>0.48354308095026471</v>
      </c>
      <c r="M6" s="219">
        <v>0.48382850606277389</v>
      </c>
      <c r="N6" s="219">
        <v>0.48483839631498138</v>
      </c>
      <c r="O6" s="219">
        <v>0.48591395601355503</v>
      </c>
      <c r="P6" s="219">
        <v>0.48709552344050322</v>
      </c>
      <c r="Q6" s="219">
        <v>0.48827853826510392</v>
      </c>
      <c r="R6" s="219">
        <v>0.48951124471426077</v>
      </c>
      <c r="S6" s="219">
        <v>0.48970463739841019</v>
      </c>
      <c r="T6" s="219">
        <v>0.48989903341620888</v>
      </c>
      <c r="U6" s="219">
        <v>0.49012228758419302</v>
      </c>
      <c r="V6" s="219">
        <v>0.49031600911491252</v>
      </c>
      <c r="W6" s="219">
        <v>0.49050846632456152</v>
      </c>
      <c r="X6" s="219">
        <v>0.49017930898405992</v>
      </c>
      <c r="Y6" s="219">
        <v>0.48980740281305701</v>
      </c>
      <c r="Z6" s="219">
        <v>0.48942845683828068</v>
      </c>
      <c r="AA6" s="219">
        <v>0.48904261288129958</v>
      </c>
      <c r="AB6" s="219">
        <v>0.48865001862811969</v>
      </c>
      <c r="AC6" s="33">
        <v>1.894301368876283E-4</v>
      </c>
      <c r="AD6" s="219">
        <v>1.892717560447266E-4</v>
      </c>
      <c r="AE6" s="219">
        <v>1.8911850640333E-4</v>
      </c>
      <c r="AF6" s="219">
        <v>1.889221399855128E-4</v>
      </c>
      <c r="AG6" s="219">
        <v>1.887804720248381E-4</v>
      </c>
      <c r="AH6" s="219">
        <v>1.8864293126326511E-4</v>
      </c>
      <c r="AI6" s="219">
        <v>1.8884737523551699E-4</v>
      </c>
      <c r="AJ6" s="219">
        <v>1.8906580858915891E-4</v>
      </c>
      <c r="AK6" s="219">
        <v>1.893063516699902E-4</v>
      </c>
      <c r="AL6" s="219">
        <v>1.89549698398992E-4</v>
      </c>
      <c r="AM6" s="219">
        <v>1.8980261869681029E-4</v>
      </c>
      <c r="AN6" s="219">
        <v>1.903914922105812E-4</v>
      </c>
      <c r="AO6" s="219">
        <v>1.9099192079090051E-4</v>
      </c>
      <c r="AP6" s="219">
        <v>1.9162310704046799E-4</v>
      </c>
      <c r="AQ6" s="219">
        <v>1.922439957384022E-4</v>
      </c>
      <c r="AR6" s="219">
        <v>1.9287892179346399E-4</v>
      </c>
      <c r="AS6" s="219">
        <v>1.927760169894465E-4</v>
      </c>
      <c r="AT6" s="219">
        <v>1.92672835927959E-4</v>
      </c>
      <c r="AU6" s="219">
        <v>1.9258187948126469E-4</v>
      </c>
      <c r="AV6" s="219">
        <v>1.924772263078289E-4</v>
      </c>
      <c r="AW6" s="219">
        <v>1.9237158110608859E-4</v>
      </c>
      <c r="AX6" s="219">
        <v>1.919144362157404E-4</v>
      </c>
      <c r="AY6" s="219">
        <v>1.9142131460471421E-4</v>
      </c>
      <c r="AZ6" s="219">
        <v>1.9092645528523419E-4</v>
      </c>
      <c r="BA6" s="219">
        <v>1.9042981147154381E-4</v>
      </c>
      <c r="BB6" s="219">
        <v>1.8993134938848701E-4</v>
      </c>
      <c r="BC6" s="33">
        <v>317.28059445097972</v>
      </c>
      <c r="BD6" s="219">
        <v>316.90287617877038</v>
      </c>
      <c r="BE6" s="219">
        <v>316.53483066800129</v>
      </c>
      <c r="BF6" s="219">
        <v>315.75937509474528</v>
      </c>
      <c r="BG6" s="219">
        <v>315.41151340993639</v>
      </c>
      <c r="BH6" s="219">
        <v>315.07157502960149</v>
      </c>
      <c r="BI6" s="219">
        <v>314.96965434545501</v>
      </c>
      <c r="BJ6" s="219">
        <v>314.87840527227178</v>
      </c>
      <c r="BK6" s="219">
        <v>314.50474721233752</v>
      </c>
      <c r="BL6" s="219">
        <v>314.43522698149809</v>
      </c>
      <c r="BM6" s="219">
        <v>314.37381619398502</v>
      </c>
      <c r="BN6" s="219">
        <v>314.40085344035992</v>
      </c>
      <c r="BO6" s="219">
        <v>314.43664266831678</v>
      </c>
      <c r="BP6" s="219">
        <v>314.39325380296509</v>
      </c>
      <c r="BQ6" s="219">
        <v>314.44520048348659</v>
      </c>
      <c r="BR6" s="219">
        <v>314.50773536286601</v>
      </c>
      <c r="BS6" s="219">
        <v>314.52396600218538</v>
      </c>
      <c r="BT6" s="219">
        <v>314.54085276487558</v>
      </c>
      <c r="BU6" s="219">
        <v>314.47385278787277</v>
      </c>
      <c r="BV6" s="219">
        <v>314.49250581756519</v>
      </c>
      <c r="BW6" s="219">
        <v>314.51144095775288</v>
      </c>
      <c r="BX6" s="219">
        <v>314.35810372114429</v>
      </c>
      <c r="BY6" s="219">
        <v>314.20606998338047</v>
      </c>
      <c r="BZ6" s="219">
        <v>314.05504048959301</v>
      </c>
      <c r="CA6" s="219">
        <v>313.9049867837914</v>
      </c>
      <c r="CB6" s="219">
        <v>313.75589527715539</v>
      </c>
      <c r="CC6" s="33">
        <v>862.08257287646234</v>
      </c>
      <c r="CD6" s="219">
        <v>858.68100060995801</v>
      </c>
      <c r="CE6" s="219">
        <v>855.38655870879359</v>
      </c>
      <c r="CF6" s="219">
        <v>849.42796995061315</v>
      </c>
      <c r="CG6" s="219">
        <v>846.36861747129637</v>
      </c>
      <c r="CH6" s="219">
        <v>843.38616124320106</v>
      </c>
      <c r="CI6" s="219">
        <v>844.64340023601108</v>
      </c>
      <c r="CJ6" s="219">
        <v>846.21490356234779</v>
      </c>
      <c r="CK6" s="219">
        <v>846.34196800621237</v>
      </c>
      <c r="CL6" s="219">
        <v>848.46590301489039</v>
      </c>
      <c r="CM6" s="219">
        <v>850.80411120529607</v>
      </c>
      <c r="CN6" s="219">
        <v>857.64110921465465</v>
      </c>
      <c r="CO6" s="219">
        <v>864.72477541400303</v>
      </c>
      <c r="CP6" s="219">
        <v>871.64285343811582</v>
      </c>
      <c r="CQ6" s="219">
        <v>879.15043749059816</v>
      </c>
      <c r="CR6" s="219">
        <v>886.96864704689756</v>
      </c>
      <c r="CS6" s="219">
        <v>884.82932791741337</v>
      </c>
      <c r="CT6" s="219">
        <v>882.69618453677072</v>
      </c>
      <c r="CU6" s="219">
        <v>880.17362190692143</v>
      </c>
      <c r="CV6" s="219">
        <v>878.02731951508952</v>
      </c>
      <c r="CW6" s="219">
        <v>875.86702650948155</v>
      </c>
      <c r="CX6" s="219">
        <v>868.34739774735067</v>
      </c>
      <c r="CY6" s="219">
        <v>860.27722134284375</v>
      </c>
      <c r="CZ6" s="219">
        <v>852.19548911793061</v>
      </c>
      <c r="DA6" s="219">
        <v>844.10113547398964</v>
      </c>
      <c r="DB6" s="219">
        <v>835.99346047719473</v>
      </c>
    </row>
    <row r="7" spans="1:106" x14ac:dyDescent="0.35">
      <c r="A7" s="137" t="s">
        <v>534</v>
      </c>
      <c r="B7" s="130" t="s">
        <v>545</v>
      </c>
      <c r="C7" s="219">
        <v>0.92133956379952864</v>
      </c>
      <c r="D7" s="219">
        <v>0.92074535961504977</v>
      </c>
      <c r="E7" s="219">
        <v>0.92021823085076626</v>
      </c>
      <c r="F7" s="219">
        <v>0.91981714372060575</v>
      </c>
      <c r="G7" s="219">
        <v>0.91943770292808835</v>
      </c>
      <c r="H7" s="219">
        <v>0.91910207389224863</v>
      </c>
      <c r="I7" s="219">
        <v>0.91746098906046147</v>
      </c>
      <c r="J7" s="219">
        <v>0.91616082318588021</v>
      </c>
      <c r="K7" s="219">
        <v>0.91538564182144322</v>
      </c>
      <c r="L7" s="219">
        <v>0.91466258812821621</v>
      </c>
      <c r="M7" s="219">
        <v>0.91417831802846872</v>
      </c>
      <c r="N7" s="219">
        <v>0.9161413120074462</v>
      </c>
      <c r="O7" s="219">
        <v>0.91837228354378864</v>
      </c>
      <c r="P7" s="219">
        <v>0.92103458339599098</v>
      </c>
      <c r="Q7" s="219">
        <v>0.92371655550719589</v>
      </c>
      <c r="R7" s="219">
        <v>0.92663987421289018</v>
      </c>
      <c r="S7" s="219">
        <v>0.92638341248598677</v>
      </c>
      <c r="T7" s="219">
        <v>0.92616228776144915</v>
      </c>
      <c r="U7" s="219">
        <v>0.92608893650541502</v>
      </c>
      <c r="V7" s="219">
        <v>0.92592435607779022</v>
      </c>
      <c r="W7" s="219">
        <v>0.92578367230362624</v>
      </c>
      <c r="X7" s="219">
        <v>0.92409069202240324</v>
      </c>
      <c r="Y7" s="219">
        <v>0.92228494851860476</v>
      </c>
      <c r="Z7" s="219">
        <v>0.92047534031373712</v>
      </c>
      <c r="AA7" s="219">
        <v>0.91866192914226497</v>
      </c>
      <c r="AB7" s="219">
        <v>0.91684482072246076</v>
      </c>
      <c r="AC7" s="33">
        <v>4.0249601495511561E-4</v>
      </c>
      <c r="AD7" s="219">
        <v>4.0204668860919449E-4</v>
      </c>
      <c r="AE7" s="219">
        <v>4.0162080120011411E-4</v>
      </c>
      <c r="AF7" s="219">
        <v>4.0103436447032408E-4</v>
      </c>
      <c r="AG7" s="219">
        <v>4.0068328882928708E-4</v>
      </c>
      <c r="AH7" s="219">
        <v>4.0035116131351389E-4</v>
      </c>
      <c r="AI7" s="219">
        <v>4.0077860156975963E-4</v>
      </c>
      <c r="AJ7" s="219">
        <v>4.0128118241750463E-4</v>
      </c>
      <c r="AK7" s="219">
        <v>4.0188914857414051E-4</v>
      </c>
      <c r="AL7" s="219">
        <v>4.025207477808892E-4</v>
      </c>
      <c r="AM7" s="219">
        <v>4.0320533419166762E-4</v>
      </c>
      <c r="AN7" s="219">
        <v>4.051166686724635E-4</v>
      </c>
      <c r="AO7" s="219">
        <v>4.0709253695049748E-4</v>
      </c>
      <c r="AP7" s="219">
        <v>4.0920705992400112E-4</v>
      </c>
      <c r="AQ7" s="219">
        <v>4.1129596034100561E-4</v>
      </c>
      <c r="AR7" s="219">
        <v>4.1347696549211418E-4</v>
      </c>
      <c r="AS7" s="219">
        <v>4.1341623459727509E-4</v>
      </c>
      <c r="AT7" s="219">
        <v>4.1335993786095212E-4</v>
      </c>
      <c r="AU7" s="219">
        <v>4.1335800393559009E-4</v>
      </c>
      <c r="AV7" s="219">
        <v>4.1330512130750011E-4</v>
      </c>
      <c r="AW7" s="219">
        <v>4.1325280485334908E-4</v>
      </c>
      <c r="AX7" s="219">
        <v>4.1201091243539941E-4</v>
      </c>
      <c r="AY7" s="219">
        <v>4.1065351741470171E-4</v>
      </c>
      <c r="AZ7" s="219">
        <v>4.0929489270434593E-4</v>
      </c>
      <c r="BA7" s="219">
        <v>4.0793493035347318E-4</v>
      </c>
      <c r="BB7" s="219">
        <v>4.0657356585794001E-4</v>
      </c>
      <c r="BC7" s="33">
        <v>324.35993216598132</v>
      </c>
      <c r="BD7" s="219">
        <v>323.53792330559622</v>
      </c>
      <c r="BE7" s="219">
        <v>322.74598121880348</v>
      </c>
      <c r="BF7" s="219">
        <v>320.41049355633612</v>
      </c>
      <c r="BG7" s="219">
        <v>319.6999526030574</v>
      </c>
      <c r="BH7" s="219">
        <v>319.01487784905981</v>
      </c>
      <c r="BI7" s="219">
        <v>318.6302300329686</v>
      </c>
      <c r="BJ7" s="219">
        <v>318.30256460661599</v>
      </c>
      <c r="BK7" s="219">
        <v>316.9249460145914</v>
      </c>
      <c r="BL7" s="219">
        <v>316.70452833112898</v>
      </c>
      <c r="BM7" s="219">
        <v>316.52671611096918</v>
      </c>
      <c r="BN7" s="219">
        <v>316.55160196335339</v>
      </c>
      <c r="BO7" s="219">
        <v>316.62279770865018</v>
      </c>
      <c r="BP7" s="219">
        <v>316.40511159044041</v>
      </c>
      <c r="BQ7" s="219">
        <v>316.5595595281772</v>
      </c>
      <c r="BR7" s="219">
        <v>316.78012408220701</v>
      </c>
      <c r="BS7" s="219">
        <v>317.10268804451948</v>
      </c>
      <c r="BT7" s="219">
        <v>317.4309603328565</v>
      </c>
      <c r="BU7" s="219">
        <v>317.44351033219658</v>
      </c>
      <c r="BV7" s="219">
        <v>317.78343493318363</v>
      </c>
      <c r="BW7" s="219">
        <v>318.12671909825877</v>
      </c>
      <c r="BX7" s="219">
        <v>317.71237491468008</v>
      </c>
      <c r="BY7" s="219">
        <v>317.30193505855402</v>
      </c>
      <c r="BZ7" s="219">
        <v>316.89435774791622</v>
      </c>
      <c r="CA7" s="219">
        <v>316.48952391009539</v>
      </c>
      <c r="CB7" s="219">
        <v>316.08736538746672</v>
      </c>
      <c r="CC7" s="33">
        <v>2656.784936094527</v>
      </c>
      <c r="CD7" s="219">
        <v>2645.7184253892328</v>
      </c>
      <c r="CE7" s="219">
        <v>2635.194315404492</v>
      </c>
      <c r="CF7" s="219">
        <v>2614.7716486088998</v>
      </c>
      <c r="CG7" s="219">
        <v>2605.9402167604931</v>
      </c>
      <c r="CH7" s="219">
        <v>2597.5450165115408</v>
      </c>
      <c r="CI7" s="219">
        <v>2594.509870256089</v>
      </c>
      <c r="CJ7" s="219">
        <v>2593.2814013843831</v>
      </c>
      <c r="CK7" s="219">
        <v>2587.1771494090708</v>
      </c>
      <c r="CL7" s="219">
        <v>2589.0569680676222</v>
      </c>
      <c r="CM7" s="219">
        <v>2592.2173485147741</v>
      </c>
      <c r="CN7" s="219">
        <v>2611.4175894692112</v>
      </c>
      <c r="CO7" s="219">
        <v>2632.0987156641381</v>
      </c>
      <c r="CP7" s="219">
        <v>2652.666091152958</v>
      </c>
      <c r="CQ7" s="219">
        <v>2675.896660555894</v>
      </c>
      <c r="CR7" s="219">
        <v>2701.2746278034251</v>
      </c>
      <c r="CS7" s="219">
        <v>2700.1776116758738</v>
      </c>
      <c r="CT7" s="219">
        <v>2699.1996243252479</v>
      </c>
      <c r="CU7" s="219">
        <v>2696.8514365603128</v>
      </c>
      <c r="CV7" s="219">
        <v>2695.9891790075271</v>
      </c>
      <c r="CW7" s="219">
        <v>2695.153481694842</v>
      </c>
      <c r="CX7" s="219">
        <v>2676.0739165899822</v>
      </c>
      <c r="CY7" s="219">
        <v>2655.329475285097</v>
      </c>
      <c r="CZ7" s="219">
        <v>2634.580316119564</v>
      </c>
      <c r="DA7" s="219">
        <v>2613.8238196175389</v>
      </c>
      <c r="DB7" s="219">
        <v>2593.0582807937622</v>
      </c>
    </row>
    <row r="8" spans="1:106" x14ac:dyDescent="0.35">
      <c r="A8" s="137" t="s">
        <v>535</v>
      </c>
      <c r="B8" s="130" t="s">
        <v>545</v>
      </c>
      <c r="C8" s="219">
        <v>0.87032443308263663</v>
      </c>
      <c r="D8" s="219">
        <v>0.86987182873725144</v>
      </c>
      <c r="E8" s="219">
        <v>0.8695257212964892</v>
      </c>
      <c r="F8" s="219">
        <v>0.86925463252717206</v>
      </c>
      <c r="G8" s="219">
        <v>0.86897706648301309</v>
      </c>
      <c r="H8" s="219">
        <v>0.86872673316655802</v>
      </c>
      <c r="I8" s="219">
        <v>0.86884496987108828</v>
      </c>
      <c r="J8" s="219">
        <v>0.86912241025446468</v>
      </c>
      <c r="K8" s="219">
        <v>0.8696986804107345</v>
      </c>
      <c r="L8" s="219">
        <v>0.87023426066638354</v>
      </c>
      <c r="M8" s="219">
        <v>0.8708813264137153</v>
      </c>
      <c r="N8" s="219">
        <v>0.87330543262057048</v>
      </c>
      <c r="O8" s="219">
        <v>0.87584878696043933</v>
      </c>
      <c r="P8" s="219">
        <v>0.87864272915114205</v>
      </c>
      <c r="Q8" s="219">
        <v>0.8813889075810496</v>
      </c>
      <c r="R8" s="219">
        <v>0.88424336761110278</v>
      </c>
      <c r="S8" s="219">
        <v>0.88391911905927889</v>
      </c>
      <c r="T8" s="219">
        <v>0.88360498798024012</v>
      </c>
      <c r="U8" s="219">
        <v>0.88338743067419023</v>
      </c>
      <c r="V8" s="219">
        <v>0.8830872353624295</v>
      </c>
      <c r="W8" s="219">
        <v>0.88279201629882553</v>
      </c>
      <c r="X8" s="219">
        <v>0.88105735886262704</v>
      </c>
      <c r="Y8" s="219">
        <v>0.87923705688262266</v>
      </c>
      <c r="Z8" s="219">
        <v>0.87740859276914851</v>
      </c>
      <c r="AA8" s="219">
        <v>0.87557197179002499</v>
      </c>
      <c r="AB8" s="219">
        <v>0.87372723454681644</v>
      </c>
      <c r="AC8" s="33">
        <v>1.8239184765488E-4</v>
      </c>
      <c r="AD8" s="219">
        <v>1.8197230348736241E-4</v>
      </c>
      <c r="AE8" s="219">
        <v>1.8163492335244739E-4</v>
      </c>
      <c r="AF8" s="219">
        <v>1.8117169400532621E-4</v>
      </c>
      <c r="AG8" s="219">
        <v>1.8087228531092801E-4</v>
      </c>
      <c r="AH8" s="219">
        <v>1.8058866975290361E-4</v>
      </c>
      <c r="AI8" s="219">
        <v>1.8124114358471111E-4</v>
      </c>
      <c r="AJ8" s="219">
        <v>1.8193199678898881E-4</v>
      </c>
      <c r="AK8" s="219">
        <v>1.8268177234901311E-4</v>
      </c>
      <c r="AL8" s="219">
        <v>1.8343105777167301E-4</v>
      </c>
      <c r="AM8" s="219">
        <v>1.8420748686951761E-4</v>
      </c>
      <c r="AN8" s="219">
        <v>1.859415343703643E-4</v>
      </c>
      <c r="AO8" s="219">
        <v>1.8770424926572879E-4</v>
      </c>
      <c r="AP8" s="219">
        <v>1.8955359547996421E-4</v>
      </c>
      <c r="AQ8" s="219">
        <v>1.913680244346272E-4</v>
      </c>
      <c r="AR8" s="219">
        <v>1.9322419656515999E-4</v>
      </c>
      <c r="AS8" s="219">
        <v>1.9300332130226929E-4</v>
      </c>
      <c r="AT8" s="219">
        <v>1.927818150021984E-4</v>
      </c>
      <c r="AU8" s="219">
        <v>1.9259813881466499E-4</v>
      </c>
      <c r="AV8" s="219">
        <v>1.9237250302492589E-4</v>
      </c>
      <c r="AW8" s="219">
        <v>1.9214412532263649E-4</v>
      </c>
      <c r="AX8" s="219">
        <v>1.9091326994028141E-4</v>
      </c>
      <c r="AY8" s="219">
        <v>1.8960891682865189E-4</v>
      </c>
      <c r="AZ8" s="219">
        <v>1.8830111026016139E-4</v>
      </c>
      <c r="BA8" s="219">
        <v>1.869897472946993E-4</v>
      </c>
      <c r="BB8" s="219">
        <v>1.8567476331403349E-4</v>
      </c>
      <c r="BC8" s="33">
        <v>252.18889909747031</v>
      </c>
      <c r="BD8" s="219">
        <v>251.67180591775119</v>
      </c>
      <c r="BE8" s="219">
        <v>251.21730715814959</v>
      </c>
      <c r="BF8" s="219">
        <v>249.61089304326191</v>
      </c>
      <c r="BG8" s="219">
        <v>249.19004376240329</v>
      </c>
      <c r="BH8" s="219">
        <v>248.7852205345562</v>
      </c>
      <c r="BI8" s="219">
        <v>248.68664924488689</v>
      </c>
      <c r="BJ8" s="219">
        <v>248.61566086088951</v>
      </c>
      <c r="BK8" s="219">
        <v>247.754104634122</v>
      </c>
      <c r="BL8" s="219">
        <v>247.7260552426182</v>
      </c>
      <c r="BM8" s="219">
        <v>247.7164382203334</v>
      </c>
      <c r="BN8" s="219">
        <v>247.9739962686273</v>
      </c>
      <c r="BO8" s="219">
        <v>248.25028777369189</v>
      </c>
      <c r="BP8" s="219">
        <v>248.30078620312071</v>
      </c>
      <c r="BQ8" s="219">
        <v>248.61162945260219</v>
      </c>
      <c r="BR8" s="219">
        <v>248.95087655196409</v>
      </c>
      <c r="BS8" s="219">
        <v>249.2540280045381</v>
      </c>
      <c r="BT8" s="219">
        <v>249.55469609808591</v>
      </c>
      <c r="BU8" s="219">
        <v>249.6170590876963</v>
      </c>
      <c r="BV8" s="219">
        <v>249.91436176475199</v>
      </c>
      <c r="BW8" s="219">
        <v>250.2084922608322</v>
      </c>
      <c r="BX8" s="219">
        <v>249.90283594536919</v>
      </c>
      <c r="BY8" s="219">
        <v>249.59980454713971</v>
      </c>
      <c r="BZ8" s="219">
        <v>249.29838728683711</v>
      </c>
      <c r="CA8" s="219">
        <v>248.99853883432209</v>
      </c>
      <c r="CB8" s="219">
        <v>248.70025596017061</v>
      </c>
      <c r="CC8" s="33">
        <v>2445.1830978739772</v>
      </c>
      <c r="CD8" s="219">
        <v>2434.5659770014481</v>
      </c>
      <c r="CE8" s="219">
        <v>2426.2235036379861</v>
      </c>
      <c r="CF8" s="219">
        <v>2410.4710799757809</v>
      </c>
      <c r="CG8" s="219">
        <v>2403.013748231368</v>
      </c>
      <c r="CH8" s="219">
        <v>2395.9358546464832</v>
      </c>
      <c r="CI8" s="219">
        <v>2399.728617274232</v>
      </c>
      <c r="CJ8" s="219">
        <v>2404.4309800472138</v>
      </c>
      <c r="CK8" s="219">
        <v>2405.1109756597489</v>
      </c>
      <c r="CL8" s="219">
        <v>2411.2584874081799</v>
      </c>
      <c r="CM8" s="219">
        <v>2418.0552833725028</v>
      </c>
      <c r="CN8" s="219">
        <v>2437.516962941399</v>
      </c>
      <c r="CO8" s="219">
        <v>2457.6538849985568</v>
      </c>
      <c r="CP8" s="219">
        <v>2477.3492440586642</v>
      </c>
      <c r="CQ8" s="219">
        <v>2498.6672052234162</v>
      </c>
      <c r="CR8" s="219">
        <v>2520.966409567859</v>
      </c>
      <c r="CS8" s="219">
        <v>2516.1810517424128</v>
      </c>
      <c r="CT8" s="219">
        <v>2511.4232335701272</v>
      </c>
      <c r="CU8" s="219">
        <v>2505.6067777006929</v>
      </c>
      <c r="CV8" s="219">
        <v>2500.8270902069248</v>
      </c>
      <c r="CW8" s="219">
        <v>2496.017395669885</v>
      </c>
      <c r="CX8" s="219">
        <v>2476.0202754670272</v>
      </c>
      <c r="CY8" s="219">
        <v>2454.7429402899129</v>
      </c>
      <c r="CZ8" s="219">
        <v>2433.451096546481</v>
      </c>
      <c r="DA8" s="219">
        <v>2412.1427903967501</v>
      </c>
      <c r="DB8" s="219">
        <v>2390.816960649785</v>
      </c>
    </row>
    <row r="9" spans="1:106" x14ac:dyDescent="0.35">
      <c r="A9" s="137" t="s">
        <v>536</v>
      </c>
      <c r="B9" s="130" t="s">
        <v>545</v>
      </c>
      <c r="C9" s="219">
        <v>0.92350966225007847</v>
      </c>
      <c r="D9" s="219">
        <v>0.9233921168530228</v>
      </c>
      <c r="E9" s="219">
        <v>0.92332937665506976</v>
      </c>
      <c r="F9" s="219">
        <v>0.92328476891763345</v>
      </c>
      <c r="G9" s="219">
        <v>0.92322368144979128</v>
      </c>
      <c r="H9" s="219">
        <v>0.92316770844476714</v>
      </c>
      <c r="I9" s="219">
        <v>0.9238066463694804</v>
      </c>
      <c r="J9" s="219">
        <v>0.92446216208930154</v>
      </c>
      <c r="K9" s="219">
        <v>0.92519898354741259</v>
      </c>
      <c r="L9" s="219">
        <v>0.92587478477153595</v>
      </c>
      <c r="M9" s="219">
        <v>0.92656176120484857</v>
      </c>
      <c r="N9" s="219">
        <v>0.92784742367357964</v>
      </c>
      <c r="O9" s="219">
        <v>0.92914067477265583</v>
      </c>
      <c r="P9" s="219">
        <v>0.93050524044810279</v>
      </c>
      <c r="Q9" s="219">
        <v>0.93181281335410582</v>
      </c>
      <c r="R9" s="219">
        <v>0.93312682728510121</v>
      </c>
      <c r="S9" s="219">
        <v>0.93281943856531357</v>
      </c>
      <c r="T9" s="219">
        <v>0.93250593955806771</v>
      </c>
      <c r="U9" s="219">
        <v>0.93222680316443884</v>
      </c>
      <c r="V9" s="219">
        <v>0.93190057087077438</v>
      </c>
      <c r="W9" s="219">
        <v>0.93156774651069696</v>
      </c>
      <c r="X9" s="219">
        <v>0.93057786534239617</v>
      </c>
      <c r="Y9" s="219">
        <v>0.92951798693863497</v>
      </c>
      <c r="Z9" s="219">
        <v>0.92844979281088214</v>
      </c>
      <c r="AA9" s="219">
        <v>0.92737321758630942</v>
      </c>
      <c r="AB9" s="219">
        <v>0.92628821213464974</v>
      </c>
      <c r="AC9" s="33">
        <v>3.1594695418384348E-4</v>
      </c>
      <c r="AD9" s="219">
        <v>3.1571823731270241E-4</v>
      </c>
      <c r="AE9" s="219">
        <v>3.1554146970817477E-4</v>
      </c>
      <c r="AF9" s="219">
        <v>3.153032408180818E-4</v>
      </c>
      <c r="AG9" s="219">
        <v>3.1513106990473311E-4</v>
      </c>
      <c r="AH9" s="219">
        <v>3.1496448761549441E-4</v>
      </c>
      <c r="AI9" s="219">
        <v>3.1533083316796231E-4</v>
      </c>
      <c r="AJ9" s="219">
        <v>3.1570242646978029E-4</v>
      </c>
      <c r="AK9" s="219">
        <v>3.1608845780790152E-4</v>
      </c>
      <c r="AL9" s="219">
        <v>3.1646371422482561E-4</v>
      </c>
      <c r="AM9" s="219">
        <v>3.1684230884090301E-4</v>
      </c>
      <c r="AN9" s="219">
        <v>3.1757042045844691E-4</v>
      </c>
      <c r="AO9" s="219">
        <v>3.1829968323660241E-4</v>
      </c>
      <c r="AP9" s="219">
        <v>3.1905773811724569E-4</v>
      </c>
      <c r="AQ9" s="219">
        <v>3.1979018478182209E-4</v>
      </c>
      <c r="AR9" s="219">
        <v>3.2052466895691139E-4</v>
      </c>
      <c r="AS9" s="219">
        <v>3.2022481728319921E-4</v>
      </c>
      <c r="AT9" s="219">
        <v>3.1992165869465999E-4</v>
      </c>
      <c r="AU9" s="219">
        <v>3.1963348819734208E-4</v>
      </c>
      <c r="AV9" s="219">
        <v>3.1932304966090082E-4</v>
      </c>
      <c r="AW9" s="219">
        <v>3.1900873120582258E-4</v>
      </c>
      <c r="AX9" s="219">
        <v>3.1827478186068872E-4</v>
      </c>
      <c r="AY9" s="219">
        <v>3.1749217316079847E-4</v>
      </c>
      <c r="AZ9" s="219">
        <v>3.1670570221424029E-4</v>
      </c>
      <c r="BA9" s="219">
        <v>3.1591527864430788E-4</v>
      </c>
      <c r="BB9" s="219">
        <v>3.1512083247916661E-4</v>
      </c>
      <c r="BC9" s="33">
        <v>125.9640931887588</v>
      </c>
      <c r="BD9" s="219">
        <v>125.7645707621656</v>
      </c>
      <c r="BE9" s="219">
        <v>125.59882659758129</v>
      </c>
      <c r="BF9" s="219">
        <v>124.91620791938161</v>
      </c>
      <c r="BG9" s="219">
        <v>124.7461521378615</v>
      </c>
      <c r="BH9" s="219">
        <v>124.57769824690931</v>
      </c>
      <c r="BI9" s="219">
        <v>124.55289566566761</v>
      </c>
      <c r="BJ9" s="219">
        <v>124.5294977703507</v>
      </c>
      <c r="BK9" s="219">
        <v>124.1492488851007</v>
      </c>
      <c r="BL9" s="219">
        <v>124.1226970270407</v>
      </c>
      <c r="BM9" s="219">
        <v>124.0952188030341</v>
      </c>
      <c r="BN9" s="219">
        <v>124.2923696934072</v>
      </c>
      <c r="BO9" s="219">
        <v>124.4886067843043</v>
      </c>
      <c r="BP9" s="219">
        <v>124.579701327267</v>
      </c>
      <c r="BQ9" s="219">
        <v>124.7751196133932</v>
      </c>
      <c r="BR9" s="219">
        <v>124.97051863868781</v>
      </c>
      <c r="BS9" s="219">
        <v>125.0181801328864</v>
      </c>
      <c r="BT9" s="219">
        <v>125.0607343027003</v>
      </c>
      <c r="BU9" s="219">
        <v>124.9967504847997</v>
      </c>
      <c r="BV9" s="219">
        <v>125.0305264992837</v>
      </c>
      <c r="BW9" s="219">
        <v>125.0594212491077</v>
      </c>
      <c r="BX9" s="219">
        <v>124.92351858645129</v>
      </c>
      <c r="BY9" s="219">
        <v>124.7889391196734</v>
      </c>
      <c r="BZ9" s="219">
        <v>124.6551526984091</v>
      </c>
      <c r="CA9" s="219">
        <v>124.52216789110101</v>
      </c>
      <c r="CB9" s="219">
        <v>124.3900121919531</v>
      </c>
      <c r="CC9" s="33">
        <v>1458.226901918091</v>
      </c>
      <c r="CD9" s="219">
        <v>1452.093995340467</v>
      </c>
      <c r="CE9" s="219">
        <v>1447.4312305109049</v>
      </c>
      <c r="CF9" s="219">
        <v>1439.409220834835</v>
      </c>
      <c r="CG9" s="219">
        <v>1434.8638057160099</v>
      </c>
      <c r="CH9" s="219">
        <v>1430.4539405315429</v>
      </c>
      <c r="CI9" s="219">
        <v>1433.5447300090141</v>
      </c>
      <c r="CJ9" s="219">
        <v>1436.7597255941159</v>
      </c>
      <c r="CK9" s="219">
        <v>1437.9507771653321</v>
      </c>
      <c r="CL9" s="219">
        <v>1441.2876733896319</v>
      </c>
      <c r="CM9" s="219">
        <v>1444.7054912021649</v>
      </c>
      <c r="CN9" s="219">
        <v>1453.0954073945809</v>
      </c>
      <c r="CO9" s="219">
        <v>1461.5354146595521</v>
      </c>
      <c r="CP9" s="219">
        <v>1469.574145377924</v>
      </c>
      <c r="CQ9" s="219">
        <v>1478.106357798802</v>
      </c>
      <c r="CR9" s="219">
        <v>1486.6978661566311</v>
      </c>
      <c r="CS9" s="219">
        <v>1479.520170705769</v>
      </c>
      <c r="CT9" s="219">
        <v>1472.316802669654</v>
      </c>
      <c r="CU9" s="219">
        <v>1464.622690991594</v>
      </c>
      <c r="CV9" s="219">
        <v>1457.332305911073</v>
      </c>
      <c r="CW9" s="219">
        <v>1449.990095156196</v>
      </c>
      <c r="CX9" s="219">
        <v>1435.9948841502321</v>
      </c>
      <c r="CY9" s="219">
        <v>1421.5283628983341</v>
      </c>
      <c r="CZ9" s="219">
        <v>1407.0449489461589</v>
      </c>
      <c r="DA9" s="219">
        <v>1392.5428712358721</v>
      </c>
      <c r="DB9" s="219">
        <v>1378.0210180509141</v>
      </c>
    </row>
    <row r="10" spans="1:106" x14ac:dyDescent="0.35">
      <c r="A10" s="137" t="s">
        <v>537</v>
      </c>
      <c r="B10" s="130" t="s">
        <v>545</v>
      </c>
      <c r="C10" s="219">
        <v>0.59002892080817404</v>
      </c>
      <c r="D10" s="219">
        <v>0.58992165309666611</v>
      </c>
      <c r="E10" s="219">
        <v>0.58983917567014554</v>
      </c>
      <c r="F10" s="219">
        <v>0.58977511686493478</v>
      </c>
      <c r="G10" s="219">
        <v>0.58970004547413113</v>
      </c>
      <c r="H10" s="219">
        <v>0.58962919632838706</v>
      </c>
      <c r="I10" s="219">
        <v>0.58984197281393891</v>
      </c>
      <c r="J10" s="219">
        <v>0.59007792272202875</v>
      </c>
      <c r="K10" s="219">
        <v>0.59039178315287422</v>
      </c>
      <c r="L10" s="219">
        <v>0.59066451698899225</v>
      </c>
      <c r="M10" s="219">
        <v>0.59095337358694999</v>
      </c>
      <c r="N10" s="219">
        <v>0.59170325723678718</v>
      </c>
      <c r="O10" s="219">
        <v>0.59246903037819942</v>
      </c>
      <c r="P10" s="219">
        <v>0.59330192582066821</v>
      </c>
      <c r="Q10" s="219">
        <v>0.59409595502112422</v>
      </c>
      <c r="R10" s="219">
        <v>0.59490388924059801</v>
      </c>
      <c r="S10" s="219">
        <v>0.59479302092307096</v>
      </c>
      <c r="T10" s="219">
        <v>0.59468126686133427</v>
      </c>
      <c r="U10" s="219">
        <v>0.59460118067985401</v>
      </c>
      <c r="V10" s="219">
        <v>0.59448687915366694</v>
      </c>
      <c r="W10" s="219">
        <v>0.59437103666214652</v>
      </c>
      <c r="X10" s="219">
        <v>0.5938990856622206</v>
      </c>
      <c r="Y10" s="219">
        <v>0.59336983771647289</v>
      </c>
      <c r="Z10" s="219">
        <v>0.59283717309982253</v>
      </c>
      <c r="AA10" s="219">
        <v>0.59230108247029556</v>
      </c>
      <c r="AB10" s="219">
        <v>0.59176156612868169</v>
      </c>
      <c r="AC10" s="33">
        <v>2.3697363961662989E-4</v>
      </c>
      <c r="AD10" s="219">
        <v>2.368474626564898E-4</v>
      </c>
      <c r="AE10" s="219">
        <v>2.36742802774267E-4</v>
      </c>
      <c r="AF10" s="219">
        <v>2.3658753259033771E-4</v>
      </c>
      <c r="AG10" s="219">
        <v>2.3648804244059279E-4</v>
      </c>
      <c r="AH10" s="219">
        <v>2.363916876354128E-4</v>
      </c>
      <c r="AI10" s="219">
        <v>2.3659111342171831E-4</v>
      </c>
      <c r="AJ10" s="219">
        <v>2.3679603885289529E-4</v>
      </c>
      <c r="AK10" s="219">
        <v>2.3701523655862949E-4</v>
      </c>
      <c r="AL10" s="219">
        <v>2.3722783430912321E-4</v>
      </c>
      <c r="AM10" s="219">
        <v>2.3744418330865039E-4</v>
      </c>
      <c r="AN10" s="219">
        <v>2.3791078945113571E-4</v>
      </c>
      <c r="AO10" s="219">
        <v>2.3838103780043319E-4</v>
      </c>
      <c r="AP10" s="219">
        <v>2.3887723294949511E-4</v>
      </c>
      <c r="AQ10" s="219">
        <v>2.3935493575051139E-4</v>
      </c>
      <c r="AR10" s="219">
        <v>2.3983773439510079E-4</v>
      </c>
      <c r="AS10" s="219">
        <v>2.397255468570233E-4</v>
      </c>
      <c r="AT10" s="219">
        <v>2.396123399818192E-4</v>
      </c>
      <c r="AU10" s="219">
        <v>2.3951285874419931E-4</v>
      </c>
      <c r="AV10" s="219">
        <v>2.393971739439686E-4</v>
      </c>
      <c r="AW10" s="219">
        <v>2.3928009403533551E-4</v>
      </c>
      <c r="AX10" s="219">
        <v>2.3891955049101511E-4</v>
      </c>
      <c r="AY10" s="219">
        <v>2.385141349888415E-4</v>
      </c>
      <c r="AZ10" s="219">
        <v>2.3810705356338541E-4</v>
      </c>
      <c r="BA10" s="219">
        <v>2.3769826832111991E-4</v>
      </c>
      <c r="BB10" s="219">
        <v>2.3728775241944631E-4</v>
      </c>
      <c r="BC10" s="33">
        <v>88.492426477681875</v>
      </c>
      <c r="BD10" s="219">
        <v>88.359385294006785</v>
      </c>
      <c r="BE10" s="219">
        <v>88.241606414684185</v>
      </c>
      <c r="BF10" s="219">
        <v>87.697459930615381</v>
      </c>
      <c r="BG10" s="219">
        <v>87.583131089693012</v>
      </c>
      <c r="BH10" s="219">
        <v>87.471233144169943</v>
      </c>
      <c r="BI10" s="219">
        <v>87.44608521739859</v>
      </c>
      <c r="BJ10" s="219">
        <v>87.424566018433424</v>
      </c>
      <c r="BK10" s="219">
        <v>87.110105155750702</v>
      </c>
      <c r="BL10" s="219">
        <v>87.093681079306222</v>
      </c>
      <c r="BM10" s="219">
        <v>87.079218635996057</v>
      </c>
      <c r="BN10" s="219">
        <v>87.17401179261492</v>
      </c>
      <c r="BO10" s="219">
        <v>87.270870668487561</v>
      </c>
      <c r="BP10" s="219">
        <v>87.282289923503285</v>
      </c>
      <c r="BQ10" s="219">
        <v>87.383704014248181</v>
      </c>
      <c r="BR10" s="219">
        <v>87.488330901451192</v>
      </c>
      <c r="BS10" s="219">
        <v>87.53085092137664</v>
      </c>
      <c r="BT10" s="219">
        <v>87.572050878627664</v>
      </c>
      <c r="BU10" s="219">
        <v>87.526883122727298</v>
      </c>
      <c r="BV10" s="219">
        <v>87.566408400879553</v>
      </c>
      <c r="BW10" s="219">
        <v>87.604634554186191</v>
      </c>
      <c r="BX10" s="219">
        <v>87.515341551147074</v>
      </c>
      <c r="BY10" s="219">
        <v>87.426739559723785</v>
      </c>
      <c r="BZ10" s="219">
        <v>87.338557558751219</v>
      </c>
      <c r="CA10" s="219">
        <v>87.250790037260174</v>
      </c>
      <c r="CB10" s="219">
        <v>87.163442887582789</v>
      </c>
      <c r="CC10" s="33">
        <v>1036.4455748921571</v>
      </c>
      <c r="CD10" s="219">
        <v>1033.163534223766</v>
      </c>
      <c r="CE10" s="219">
        <v>1030.4863128733491</v>
      </c>
      <c r="CF10" s="219">
        <v>1025.02328627064</v>
      </c>
      <c r="CG10" s="219">
        <v>1022.47361633942</v>
      </c>
      <c r="CH10" s="219">
        <v>1020.0006586528229</v>
      </c>
      <c r="CI10" s="219">
        <v>1021.458496780663</v>
      </c>
      <c r="CJ10" s="219">
        <v>1023.04669399835</v>
      </c>
      <c r="CK10" s="219">
        <v>1022.999068404013</v>
      </c>
      <c r="CL10" s="219">
        <v>1024.784881232968</v>
      </c>
      <c r="CM10" s="219">
        <v>1026.6612045115471</v>
      </c>
      <c r="CN10" s="219">
        <v>1032.081206829931</v>
      </c>
      <c r="CO10" s="219">
        <v>1037.5907982417241</v>
      </c>
      <c r="CP10" s="219">
        <v>1042.807396193946</v>
      </c>
      <c r="CQ10" s="219">
        <v>1048.4842704950231</v>
      </c>
      <c r="CR10" s="219">
        <v>1054.281128712877</v>
      </c>
      <c r="CS10" s="219">
        <v>1051.5779417698479</v>
      </c>
      <c r="CT10" s="219">
        <v>1048.870263144473</v>
      </c>
      <c r="CU10" s="219">
        <v>1045.7714904351219</v>
      </c>
      <c r="CV10" s="219">
        <v>1043.0381356714399</v>
      </c>
      <c r="CW10" s="219">
        <v>1040.2865110963</v>
      </c>
      <c r="CX10" s="219">
        <v>1033.5448373812151</v>
      </c>
      <c r="CY10" s="219">
        <v>1026.4358357448079</v>
      </c>
      <c r="CZ10" s="219">
        <v>1019.315352041569</v>
      </c>
      <c r="DA10" s="219">
        <v>1012.18261333306</v>
      </c>
      <c r="DB10" s="219">
        <v>1005.0371576948741</v>
      </c>
    </row>
    <row r="11" spans="1:106" x14ac:dyDescent="0.35">
      <c r="A11" s="137" t="s">
        <v>539</v>
      </c>
      <c r="B11" s="130" t="s">
        <v>545</v>
      </c>
      <c r="C11" s="219">
        <v>0.52079306403904313</v>
      </c>
      <c r="D11" s="219">
        <v>0.5207740961084586</v>
      </c>
      <c r="E11" s="219">
        <v>0.52077432624013031</v>
      </c>
      <c r="F11" s="219">
        <v>0.52078240687340105</v>
      </c>
      <c r="G11" s="219">
        <v>0.52078267830570846</v>
      </c>
      <c r="H11" s="219">
        <v>0.52078442360043786</v>
      </c>
      <c r="I11" s="219">
        <v>0.52100586902669332</v>
      </c>
      <c r="J11" s="219">
        <v>0.52123823475095865</v>
      </c>
      <c r="K11" s="219">
        <v>0.5215124104690777</v>
      </c>
      <c r="L11" s="219">
        <v>0.52176065969420737</v>
      </c>
      <c r="M11" s="219">
        <v>0.52201628168644576</v>
      </c>
      <c r="N11" s="219">
        <v>0.52252190211227478</v>
      </c>
      <c r="O11" s="219">
        <v>0.52303365756189768</v>
      </c>
      <c r="P11" s="219">
        <v>0.52358148610783495</v>
      </c>
      <c r="Q11" s="219">
        <v>0.52410412840329079</v>
      </c>
      <c r="R11" s="219">
        <v>0.52463169090943129</v>
      </c>
      <c r="S11" s="219">
        <v>0.52449089341898503</v>
      </c>
      <c r="T11" s="219">
        <v>0.52434750786644191</v>
      </c>
      <c r="U11" s="219">
        <v>0.52422075332813556</v>
      </c>
      <c r="V11" s="219">
        <v>0.52407183132253032</v>
      </c>
      <c r="W11" s="219">
        <v>0.5239199949287866</v>
      </c>
      <c r="X11" s="219">
        <v>0.52350714740644422</v>
      </c>
      <c r="Y11" s="219">
        <v>0.52305449508627411</v>
      </c>
      <c r="Z11" s="219">
        <v>0.52259787535181701</v>
      </c>
      <c r="AA11" s="219">
        <v>0.52213725861313132</v>
      </c>
      <c r="AB11" s="219">
        <v>0.52167262216293564</v>
      </c>
      <c r="AC11" s="33">
        <v>2.1009548515794709E-4</v>
      </c>
      <c r="AD11" s="219">
        <v>2.0999332032147671E-4</v>
      </c>
      <c r="AE11" s="219">
        <v>2.0990983378401111E-4</v>
      </c>
      <c r="AF11" s="219">
        <v>2.0979691556706129E-4</v>
      </c>
      <c r="AG11" s="219">
        <v>2.0971564567835751E-4</v>
      </c>
      <c r="AH11" s="219">
        <v>2.0963654135400161E-4</v>
      </c>
      <c r="AI11" s="219">
        <v>2.0977433492843931E-4</v>
      </c>
      <c r="AJ11" s="219">
        <v>2.0991479506587551E-4</v>
      </c>
      <c r="AK11" s="219">
        <v>2.100626014887621E-4</v>
      </c>
      <c r="AL11" s="219">
        <v>2.1020577801387369E-4</v>
      </c>
      <c r="AM11" s="219">
        <v>2.103506122963274E-4</v>
      </c>
      <c r="AN11" s="219">
        <v>2.10636617061872E-4</v>
      </c>
      <c r="AO11" s="219">
        <v>2.1092362923798419E-4</v>
      </c>
      <c r="AP11" s="219">
        <v>2.1122475219030549E-4</v>
      </c>
      <c r="AQ11" s="219">
        <v>2.115140198514251E-4</v>
      </c>
      <c r="AR11" s="219">
        <v>2.1180473862625091E-4</v>
      </c>
      <c r="AS11" s="219">
        <v>2.1165791944499751E-4</v>
      </c>
      <c r="AT11" s="219">
        <v>2.1150961019086271E-4</v>
      </c>
      <c r="AU11" s="219">
        <v>2.1136853675763999E-4</v>
      </c>
      <c r="AV11" s="219">
        <v>2.1121691020634071E-4</v>
      </c>
      <c r="AW11" s="219">
        <v>2.110635053959224E-4</v>
      </c>
      <c r="AX11" s="219">
        <v>2.1074188099503709E-4</v>
      </c>
      <c r="AY11" s="219">
        <v>2.1039107604277441E-4</v>
      </c>
      <c r="AZ11" s="219">
        <v>2.1003842891401299E-4</v>
      </c>
      <c r="BA11" s="219">
        <v>2.096838951052659E-4</v>
      </c>
      <c r="BB11" s="219">
        <v>2.0932743915284851E-4</v>
      </c>
      <c r="BC11" s="33">
        <v>60.105431311401333</v>
      </c>
      <c r="BD11" s="219">
        <v>60.003445680130667</v>
      </c>
      <c r="BE11" s="219">
        <v>59.913426562095253</v>
      </c>
      <c r="BF11" s="219">
        <v>59.577579427799471</v>
      </c>
      <c r="BG11" s="219">
        <v>59.486165704838342</v>
      </c>
      <c r="BH11" s="219">
        <v>59.395205586994507</v>
      </c>
      <c r="BI11" s="219">
        <v>59.362527805450753</v>
      </c>
      <c r="BJ11" s="219">
        <v>59.330667758429101</v>
      </c>
      <c r="BK11" s="219">
        <v>59.12970866806576</v>
      </c>
      <c r="BL11" s="219">
        <v>59.097510264678633</v>
      </c>
      <c r="BM11" s="219">
        <v>59.065124637549957</v>
      </c>
      <c r="BN11" s="219">
        <v>59.138785508179772</v>
      </c>
      <c r="BO11" s="219">
        <v>59.21246106335758</v>
      </c>
      <c r="BP11" s="219">
        <v>59.236703439292583</v>
      </c>
      <c r="BQ11" s="219">
        <v>59.3107878438705</v>
      </c>
      <c r="BR11" s="219">
        <v>59.385310675713612</v>
      </c>
      <c r="BS11" s="219">
        <v>59.38381714677125</v>
      </c>
      <c r="BT11" s="219">
        <v>59.380248355310087</v>
      </c>
      <c r="BU11" s="219">
        <v>59.326488409953498</v>
      </c>
      <c r="BV11" s="219">
        <v>59.319397092209037</v>
      </c>
      <c r="BW11" s="219">
        <v>59.310295328384647</v>
      </c>
      <c r="BX11" s="219">
        <v>59.24719974450997</v>
      </c>
      <c r="BY11" s="219">
        <v>59.184744301136213</v>
      </c>
      <c r="BZ11" s="219">
        <v>59.122706251687397</v>
      </c>
      <c r="CA11" s="219">
        <v>59.061088451557779</v>
      </c>
      <c r="CB11" s="219">
        <v>58.999901931016247</v>
      </c>
      <c r="CC11" s="33">
        <v>691.98724990181552</v>
      </c>
      <c r="CD11" s="219">
        <v>689.23124384585492</v>
      </c>
      <c r="CE11" s="219">
        <v>687.00256543378077</v>
      </c>
      <c r="CF11" s="219">
        <v>683.17107673284079</v>
      </c>
      <c r="CG11" s="219">
        <v>680.99613326907354</v>
      </c>
      <c r="CH11" s="219">
        <v>678.87233610741509</v>
      </c>
      <c r="CI11" s="219">
        <v>679.77810833037495</v>
      </c>
      <c r="CJ11" s="219">
        <v>680.74780505226045</v>
      </c>
      <c r="CK11" s="219">
        <v>680.76472798737291</v>
      </c>
      <c r="CL11" s="219">
        <v>681.81132256577962</v>
      </c>
      <c r="CM11" s="219">
        <v>682.89832164459619</v>
      </c>
      <c r="CN11" s="219">
        <v>686.05633080637119</v>
      </c>
      <c r="CO11" s="219">
        <v>689.24762892656315</v>
      </c>
      <c r="CP11" s="219">
        <v>692.25683450811448</v>
      </c>
      <c r="CQ11" s="219">
        <v>695.5066715123603</v>
      </c>
      <c r="CR11" s="219">
        <v>698.79504637794162</v>
      </c>
      <c r="CS11" s="219">
        <v>695.21189588466927</v>
      </c>
      <c r="CT11" s="219">
        <v>691.61819118253993</v>
      </c>
      <c r="CU11" s="219">
        <v>687.79326810756743</v>
      </c>
      <c r="CV11" s="219">
        <v>684.16067817049316</v>
      </c>
      <c r="CW11" s="219">
        <v>680.50436956279373</v>
      </c>
      <c r="CX11" s="219">
        <v>674.05746488655211</v>
      </c>
      <c r="CY11" s="219">
        <v>667.41435462995889</v>
      </c>
      <c r="CZ11" s="219">
        <v>660.76212739152515</v>
      </c>
      <c r="DA11" s="219">
        <v>654.09985365576586</v>
      </c>
      <c r="DB11" s="219">
        <v>647.42691710349538</v>
      </c>
    </row>
    <row r="12" spans="1:106" x14ac:dyDescent="0.35">
      <c r="A12" s="137" t="s">
        <v>540</v>
      </c>
      <c r="B12" s="130" t="s">
        <v>545</v>
      </c>
      <c r="C12" s="219">
        <v>0.38509641321729721</v>
      </c>
      <c r="D12" s="219">
        <v>0.38476304679446721</v>
      </c>
      <c r="E12" s="219">
        <v>0.38443998296938042</v>
      </c>
      <c r="F12" s="219">
        <v>0.38413933938820949</v>
      </c>
      <c r="G12" s="219">
        <v>0.38383675820053481</v>
      </c>
      <c r="H12" s="219">
        <v>0.38354227535318491</v>
      </c>
      <c r="I12" s="219">
        <v>0.38350298679952127</v>
      </c>
      <c r="J12" s="219">
        <v>0.38349146857388172</v>
      </c>
      <c r="K12" s="219">
        <v>0.38353971666645298</v>
      </c>
      <c r="L12" s="219">
        <v>0.38357641235603768</v>
      </c>
      <c r="M12" s="219">
        <v>0.38363292908727731</v>
      </c>
      <c r="N12" s="219">
        <v>0.38417579896544662</v>
      </c>
      <c r="O12" s="219">
        <v>0.38473900745349271</v>
      </c>
      <c r="P12" s="219">
        <v>0.38534938121211171</v>
      </c>
      <c r="Q12" s="219">
        <v>0.38594742315640779</v>
      </c>
      <c r="R12" s="219">
        <v>0.38656340017700602</v>
      </c>
      <c r="S12" s="219">
        <v>0.3864186108435782</v>
      </c>
      <c r="T12" s="219">
        <v>0.38627394845249757</v>
      </c>
      <c r="U12" s="219">
        <v>0.38614580414711619</v>
      </c>
      <c r="V12" s="219">
        <v>0.38600028431851569</v>
      </c>
      <c r="W12" s="219">
        <v>0.38585396690503482</v>
      </c>
      <c r="X12" s="219">
        <v>0.38544654520378968</v>
      </c>
      <c r="Y12" s="219">
        <v>0.38501123737906912</v>
      </c>
      <c r="Z12" s="219">
        <v>0.38457327201338509</v>
      </c>
      <c r="AA12" s="219">
        <v>0.3841326137421594</v>
      </c>
      <c r="AB12" s="219">
        <v>0.38368923639208818</v>
      </c>
      <c r="AC12" s="33">
        <v>1.8816871110084919E-4</v>
      </c>
      <c r="AD12" s="219">
        <v>1.8809912666336979E-4</v>
      </c>
      <c r="AE12" s="219">
        <v>1.880309475723882E-4</v>
      </c>
      <c r="AF12" s="219">
        <v>1.879359279620503E-4</v>
      </c>
      <c r="AG12" s="219">
        <v>1.8787202182104051E-4</v>
      </c>
      <c r="AH12" s="219">
        <v>1.8780903313600329E-4</v>
      </c>
      <c r="AI12" s="219">
        <v>1.879842065404464E-4</v>
      </c>
      <c r="AJ12" s="219">
        <v>1.881641364407091E-4</v>
      </c>
      <c r="AK12" s="219">
        <v>1.8835381194909091E-4</v>
      </c>
      <c r="AL12" s="219">
        <v>1.885420201377975E-4</v>
      </c>
      <c r="AM12" s="219">
        <v>1.8873317620993939E-4</v>
      </c>
      <c r="AN12" s="219">
        <v>1.8913330808588481E-4</v>
      </c>
      <c r="AO12" s="219">
        <v>1.8953815447109149E-4</v>
      </c>
      <c r="AP12" s="219">
        <v>1.899593372131558E-4</v>
      </c>
      <c r="AQ12" s="219">
        <v>1.903726673128119E-4</v>
      </c>
      <c r="AR12" s="219">
        <v>1.9079244167128531E-4</v>
      </c>
      <c r="AS12" s="219">
        <v>1.9068165539854549E-4</v>
      </c>
      <c r="AT12" s="219">
        <v>1.9056988120996101E-4</v>
      </c>
      <c r="AU12" s="219">
        <v>1.9046445110892281E-4</v>
      </c>
      <c r="AV12" s="219">
        <v>1.9035015205078889E-4</v>
      </c>
      <c r="AW12" s="219">
        <v>1.9023443841412649E-4</v>
      </c>
      <c r="AX12" s="219">
        <v>1.89870782575253E-4</v>
      </c>
      <c r="AY12" s="219">
        <v>1.8948300723662661E-4</v>
      </c>
      <c r="AZ12" s="219">
        <v>1.8909344641081461E-4</v>
      </c>
      <c r="BA12" s="219">
        <v>1.8870205059676659E-4</v>
      </c>
      <c r="BB12" s="219">
        <v>1.883087795698531E-4</v>
      </c>
      <c r="BC12" s="33">
        <v>63.067238902037133</v>
      </c>
      <c r="BD12" s="219">
        <v>63.00936059300038</v>
      </c>
      <c r="BE12" s="219">
        <v>62.95067945282036</v>
      </c>
      <c r="BF12" s="219">
        <v>62.638800371771772</v>
      </c>
      <c r="BG12" s="219">
        <v>62.580084750859477</v>
      </c>
      <c r="BH12" s="219">
        <v>62.520174727838537</v>
      </c>
      <c r="BI12" s="219">
        <v>62.522734105596101</v>
      </c>
      <c r="BJ12" s="219">
        <v>62.527293794573268</v>
      </c>
      <c r="BK12" s="219">
        <v>62.354529948920202</v>
      </c>
      <c r="BL12" s="219">
        <v>62.363616674517132</v>
      </c>
      <c r="BM12" s="219">
        <v>62.3738179207336</v>
      </c>
      <c r="BN12" s="219">
        <v>62.451710804664209</v>
      </c>
      <c r="BO12" s="219">
        <v>62.532262234269808</v>
      </c>
      <c r="BP12" s="219">
        <v>62.56213550786876</v>
      </c>
      <c r="BQ12" s="219">
        <v>62.64768184060074</v>
      </c>
      <c r="BR12" s="219">
        <v>62.73716944693593</v>
      </c>
      <c r="BS12" s="219">
        <v>62.759101028551527</v>
      </c>
      <c r="BT12" s="219">
        <v>62.779937162901277</v>
      </c>
      <c r="BU12" s="219">
        <v>62.74816440790481</v>
      </c>
      <c r="BV12" s="219">
        <v>62.767183876271012</v>
      </c>
      <c r="BW12" s="219">
        <v>62.784976621494067</v>
      </c>
      <c r="BX12" s="219">
        <v>62.694530771020681</v>
      </c>
      <c r="BY12" s="219">
        <v>62.604725645996957</v>
      </c>
      <c r="BZ12" s="219">
        <v>62.515356435818497</v>
      </c>
      <c r="CA12" s="219">
        <v>62.426415150688548</v>
      </c>
      <c r="CB12" s="219">
        <v>62.337902721819432</v>
      </c>
      <c r="CC12" s="33">
        <v>596.53688010329222</v>
      </c>
      <c r="CD12" s="219">
        <v>594.69389303025093</v>
      </c>
      <c r="CE12" s="219">
        <v>592.88508510399117</v>
      </c>
      <c r="CF12" s="219">
        <v>589.43847899557989</v>
      </c>
      <c r="CG12" s="219">
        <v>587.72285336028813</v>
      </c>
      <c r="CH12" s="219">
        <v>586.02521182461624</v>
      </c>
      <c r="CI12" s="219">
        <v>587.30221677489681</v>
      </c>
      <c r="CJ12" s="219">
        <v>588.70373222697231</v>
      </c>
      <c r="CK12" s="219">
        <v>589.15457764627399</v>
      </c>
      <c r="CL12" s="219">
        <v>590.76687519275072</v>
      </c>
      <c r="CM12" s="219">
        <v>592.45745219842399</v>
      </c>
      <c r="CN12" s="219">
        <v>596.9668774439856</v>
      </c>
      <c r="CO12" s="219">
        <v>601.58866549590107</v>
      </c>
      <c r="CP12" s="219">
        <v>606.07188967419984</v>
      </c>
      <c r="CQ12" s="219">
        <v>610.88354286299329</v>
      </c>
      <c r="CR12" s="219">
        <v>615.84541010615794</v>
      </c>
      <c r="CS12" s="219">
        <v>613.17177285366074</v>
      </c>
      <c r="CT12" s="219">
        <v>610.49763796970808</v>
      </c>
      <c r="CU12" s="219">
        <v>607.5777430814536</v>
      </c>
      <c r="CV12" s="219">
        <v>604.88241934946404</v>
      </c>
      <c r="CW12" s="219">
        <v>602.1712544873775</v>
      </c>
      <c r="CX12" s="219">
        <v>595.7266679391571</v>
      </c>
      <c r="CY12" s="219">
        <v>588.89838715534563</v>
      </c>
      <c r="CZ12" s="219">
        <v>582.06074814506587</v>
      </c>
      <c r="DA12" s="219">
        <v>575.21264899967071</v>
      </c>
      <c r="DB12" s="219">
        <v>568.35330047972445</v>
      </c>
    </row>
    <row r="13" spans="1:106" x14ac:dyDescent="0.35">
      <c r="A13" s="137" t="s">
        <v>541</v>
      </c>
      <c r="B13" s="130" t="s">
        <v>545</v>
      </c>
      <c r="C13" s="219">
        <v>1.1559612989447181</v>
      </c>
      <c r="D13" s="219">
        <v>1.154722994316888</v>
      </c>
      <c r="E13" s="219">
        <v>1.153628932606336</v>
      </c>
      <c r="F13" s="219">
        <v>1.152803219852091</v>
      </c>
      <c r="G13" s="219">
        <v>1.1520285586032371</v>
      </c>
      <c r="H13" s="219">
        <v>1.15134847667044</v>
      </c>
      <c r="I13" s="219">
        <v>1.1478885476995311</v>
      </c>
      <c r="J13" s="219">
        <v>1.145165791917542</v>
      </c>
      <c r="K13" s="219">
        <v>1.1435472603113259</v>
      </c>
      <c r="L13" s="219">
        <v>1.1420718246275019</v>
      </c>
      <c r="M13" s="219">
        <v>1.1411127882660279</v>
      </c>
      <c r="N13" s="219">
        <v>1.145504454631292</v>
      </c>
      <c r="O13" s="219">
        <v>1.1504766985275521</v>
      </c>
      <c r="P13" s="219">
        <v>1.156353073585249</v>
      </c>
      <c r="Q13" s="219">
        <v>1.1623016980937591</v>
      </c>
      <c r="R13" s="219">
        <v>1.168773394074901</v>
      </c>
      <c r="S13" s="219">
        <v>1.168322579915279</v>
      </c>
      <c r="T13" s="219">
        <v>1.1679493801698859</v>
      </c>
      <c r="U13" s="219">
        <v>1.167877387968294</v>
      </c>
      <c r="V13" s="219">
        <v>1.1676289279812599</v>
      </c>
      <c r="W13" s="219">
        <v>1.1674334110164879</v>
      </c>
      <c r="X13" s="219">
        <v>1.16378181176234</v>
      </c>
      <c r="Y13" s="219">
        <v>1.1599487365459309</v>
      </c>
      <c r="Z13" s="219">
        <v>1.156108018236031</v>
      </c>
      <c r="AA13" s="219">
        <v>1.1522598099343679</v>
      </c>
      <c r="AB13" s="219">
        <v>1.148404356913558</v>
      </c>
      <c r="AC13" s="33">
        <v>4.1583412360390951E-4</v>
      </c>
      <c r="AD13" s="219">
        <v>4.1491118302214557E-4</v>
      </c>
      <c r="AE13" s="219">
        <v>4.1403811996757508E-4</v>
      </c>
      <c r="AF13" s="219">
        <v>4.1284846194143882E-4</v>
      </c>
      <c r="AG13" s="219">
        <v>4.1213697028645368E-4</v>
      </c>
      <c r="AH13" s="219">
        <v>4.1146629346935372E-4</v>
      </c>
      <c r="AI13" s="219">
        <v>4.1246269019996283E-4</v>
      </c>
      <c r="AJ13" s="219">
        <v>4.1362158720152929E-4</v>
      </c>
      <c r="AK13" s="219">
        <v>4.1500246043612752E-4</v>
      </c>
      <c r="AL13" s="219">
        <v>4.1643998916292632E-4</v>
      </c>
      <c r="AM13" s="219">
        <v>4.1799215954005462E-4</v>
      </c>
      <c r="AN13" s="219">
        <v>4.2222198703916548E-4</v>
      </c>
      <c r="AO13" s="219">
        <v>4.2659200282064411E-4</v>
      </c>
      <c r="AP13" s="219">
        <v>4.3124938243440351E-4</v>
      </c>
      <c r="AQ13" s="219">
        <v>4.3586446208451041E-4</v>
      </c>
      <c r="AR13" s="219">
        <v>4.4067943677229848E-4</v>
      </c>
      <c r="AS13" s="219">
        <v>4.4063783771985899E-4</v>
      </c>
      <c r="AT13" s="219">
        <v>4.4060653934899978E-4</v>
      </c>
      <c r="AU13" s="219">
        <v>4.4068439544376437E-4</v>
      </c>
      <c r="AV13" s="219">
        <v>4.4066196529739487E-4</v>
      </c>
      <c r="AW13" s="219">
        <v>4.4064156417121671E-4</v>
      </c>
      <c r="AX13" s="219">
        <v>4.3796695564457549E-4</v>
      </c>
      <c r="AY13" s="219">
        <v>4.3509850288960011E-4</v>
      </c>
      <c r="AZ13" s="219">
        <v>4.3222774691234998E-4</v>
      </c>
      <c r="BA13" s="219">
        <v>4.2935447200192101E-4</v>
      </c>
      <c r="BB13" s="219">
        <v>4.2647855285849552E-4</v>
      </c>
      <c r="BC13" s="33">
        <v>672.8689939250836</v>
      </c>
      <c r="BD13" s="219">
        <v>671.15036336718333</v>
      </c>
      <c r="BE13" s="219">
        <v>669.49675850857489</v>
      </c>
      <c r="BF13" s="219">
        <v>664.73411345722491</v>
      </c>
      <c r="BG13" s="219">
        <v>663.25709659324343</v>
      </c>
      <c r="BH13" s="219">
        <v>661.83563167329294</v>
      </c>
      <c r="BI13" s="219">
        <v>661.11177128434485</v>
      </c>
      <c r="BJ13" s="219">
        <v>660.51146961331938</v>
      </c>
      <c r="BK13" s="219">
        <v>657.79436392099797</v>
      </c>
      <c r="BL13" s="219">
        <v>657.42573531743619</v>
      </c>
      <c r="BM13" s="219">
        <v>657.14962062991231</v>
      </c>
      <c r="BN13" s="219">
        <v>657.22603424348222</v>
      </c>
      <c r="BO13" s="219">
        <v>657.4028695426681</v>
      </c>
      <c r="BP13" s="219">
        <v>656.99954165328109</v>
      </c>
      <c r="BQ13" s="219">
        <v>657.35634598024501</v>
      </c>
      <c r="BR13" s="219">
        <v>657.85642173068561</v>
      </c>
      <c r="BS13" s="219">
        <v>658.63491444505121</v>
      </c>
      <c r="BT13" s="219">
        <v>659.42642882831865</v>
      </c>
      <c r="BU13" s="219">
        <v>659.57918537634498</v>
      </c>
      <c r="BV13" s="219">
        <v>660.39674434387553</v>
      </c>
      <c r="BW13" s="219">
        <v>661.22225739911107</v>
      </c>
      <c r="BX13" s="219">
        <v>660.33946229505591</v>
      </c>
      <c r="BY13" s="219">
        <v>659.46482634242273</v>
      </c>
      <c r="BZ13" s="219">
        <v>658.59616323600937</v>
      </c>
      <c r="CA13" s="219">
        <v>657.73321377981438</v>
      </c>
      <c r="CB13" s="219">
        <v>656.87582661069951</v>
      </c>
      <c r="CC13" s="33">
        <v>5345.6598221409758</v>
      </c>
      <c r="CD13" s="219">
        <v>5323.0202012181317</v>
      </c>
      <c r="CE13" s="219">
        <v>5301.5295235559734</v>
      </c>
      <c r="CF13" s="219">
        <v>5260.1560560011176</v>
      </c>
      <c r="CG13" s="219">
        <v>5242.3180475204563</v>
      </c>
      <c r="CH13" s="219">
        <v>5225.4196769672199</v>
      </c>
      <c r="CI13" s="219">
        <v>5220.528715941874</v>
      </c>
      <c r="CJ13" s="219">
        <v>5219.5419584782312</v>
      </c>
      <c r="CK13" s="219">
        <v>5208.9074421454879</v>
      </c>
      <c r="CL13" s="219">
        <v>5214.6281552351566</v>
      </c>
      <c r="CM13" s="219">
        <v>5223.1172362893403</v>
      </c>
      <c r="CN13" s="219">
        <v>5266.1992400356794</v>
      </c>
      <c r="CO13" s="219">
        <v>5312.485105320131</v>
      </c>
      <c r="CP13" s="219">
        <v>5358.7089522290553</v>
      </c>
      <c r="CQ13" s="219">
        <v>5410.5059718699213</v>
      </c>
      <c r="CR13" s="219">
        <v>5466.953639087018</v>
      </c>
      <c r="CS13" s="219">
        <v>5466.8288682695347</v>
      </c>
      <c r="CT13" s="219">
        <v>5466.967975626545</v>
      </c>
      <c r="CU13" s="219">
        <v>5464.3392484222404</v>
      </c>
      <c r="CV13" s="219">
        <v>5464.746696502355</v>
      </c>
      <c r="CW13" s="219">
        <v>5465.2233880790054</v>
      </c>
      <c r="CX13" s="219">
        <v>5425.7822378693163</v>
      </c>
      <c r="CY13" s="219">
        <v>5382.697465883758</v>
      </c>
      <c r="CZ13" s="219">
        <v>5339.6034911609522</v>
      </c>
      <c r="DA13" s="219">
        <v>5296.4951505275658</v>
      </c>
      <c r="DB13" s="219">
        <v>5253.3691027734912</v>
      </c>
    </row>
    <row r="14" spans="1:106" x14ac:dyDescent="0.35">
      <c r="A14" s="137" t="s">
        <v>542</v>
      </c>
      <c r="B14" s="130" t="s">
        <v>545</v>
      </c>
      <c r="C14" s="219">
        <v>8.6059324911248591</v>
      </c>
      <c r="D14" s="219">
        <v>8.6049435575428834</v>
      </c>
      <c r="E14" s="219">
        <v>8.6039570783747372</v>
      </c>
      <c r="F14" s="219">
        <v>8.603027037607303</v>
      </c>
      <c r="G14" s="219">
        <v>8.6020374957010723</v>
      </c>
      <c r="H14" s="219">
        <v>8.6010468700094602</v>
      </c>
      <c r="I14" s="219">
        <v>8.6053077638483231</v>
      </c>
      <c r="J14" s="219">
        <v>8.6095873249773351</v>
      </c>
      <c r="K14" s="219">
        <v>8.6140979467311425</v>
      </c>
      <c r="L14" s="219">
        <v>8.6184066249553943</v>
      </c>
      <c r="M14" s="219">
        <v>8.6227174161763109</v>
      </c>
      <c r="N14" s="219">
        <v>8.6298094563741099</v>
      </c>
      <c r="O14" s="219">
        <v>8.6369143570242279</v>
      </c>
      <c r="P14" s="219">
        <v>8.64421931149508</v>
      </c>
      <c r="Q14" s="219">
        <v>8.6513423422535567</v>
      </c>
      <c r="R14" s="219">
        <v>8.6584696474955596</v>
      </c>
      <c r="S14" s="219">
        <v>8.6539879428482713</v>
      </c>
      <c r="T14" s="219">
        <v>8.649434290374888</v>
      </c>
      <c r="U14" s="219">
        <v>8.6449268305267388</v>
      </c>
      <c r="V14" s="219">
        <v>8.6402239480905187</v>
      </c>
      <c r="W14" s="219">
        <v>8.6354439872645781</v>
      </c>
      <c r="X14" s="219">
        <v>8.6256985162575539</v>
      </c>
      <c r="Y14" s="219">
        <v>8.6153849448768298</v>
      </c>
      <c r="Z14" s="219">
        <v>8.6049768952307346</v>
      </c>
      <c r="AA14" s="219">
        <v>8.5944724801699088</v>
      </c>
      <c r="AB14" s="219">
        <v>8.5838699413857267</v>
      </c>
      <c r="AC14" s="33">
        <v>4.8429542666931476E-3</v>
      </c>
      <c r="AD14" s="219">
        <v>4.8415333222756379E-3</v>
      </c>
      <c r="AE14" s="219">
        <v>4.8401131017349287E-3</v>
      </c>
      <c r="AF14" s="219">
        <v>4.8384969564817361E-3</v>
      </c>
      <c r="AG14" s="219">
        <v>4.8370667737662482E-3</v>
      </c>
      <c r="AH14" s="219">
        <v>4.8356306525405342E-3</v>
      </c>
      <c r="AI14" s="219">
        <v>4.8377669610709037E-3</v>
      </c>
      <c r="AJ14" s="219">
        <v>4.8398979430937924E-3</v>
      </c>
      <c r="AK14" s="219">
        <v>4.842055880635669E-3</v>
      </c>
      <c r="AL14" s="219">
        <v>4.8441693921513398E-3</v>
      </c>
      <c r="AM14" s="219">
        <v>4.8462651235593839E-3</v>
      </c>
      <c r="AN14" s="219">
        <v>4.8500607642825346E-3</v>
      </c>
      <c r="AO14" s="219">
        <v>4.8538523885846884E-3</v>
      </c>
      <c r="AP14" s="219">
        <v>4.8577207171037386E-3</v>
      </c>
      <c r="AQ14" s="219">
        <v>4.8614994924917523E-3</v>
      </c>
      <c r="AR14" s="219">
        <v>4.8652715179011213E-3</v>
      </c>
      <c r="AS14" s="219">
        <v>4.8612721897086436E-3</v>
      </c>
      <c r="AT14" s="219">
        <v>4.8572302103290907E-3</v>
      </c>
      <c r="AU14" s="219">
        <v>4.8531993172997844E-3</v>
      </c>
      <c r="AV14" s="219">
        <v>4.8490648587995516E-3</v>
      </c>
      <c r="AW14" s="219">
        <v>4.8448819134913517E-3</v>
      </c>
      <c r="AX14" s="219">
        <v>4.8374483657050776E-3</v>
      </c>
      <c r="AY14" s="219">
        <v>4.8297377341480286E-3</v>
      </c>
      <c r="AZ14" s="219">
        <v>4.8219791425202583E-3</v>
      </c>
      <c r="BA14" s="219">
        <v>4.8141712331005457E-3</v>
      </c>
      <c r="BB14" s="219">
        <v>4.8063127997221497E-3</v>
      </c>
      <c r="BC14" s="33">
        <v>760.19739324761179</v>
      </c>
      <c r="BD14" s="219">
        <v>759.01431117070854</v>
      </c>
      <c r="BE14" s="219">
        <v>757.75408283854222</v>
      </c>
      <c r="BF14" s="219">
        <v>754.8052739582979</v>
      </c>
      <c r="BG14" s="219">
        <v>753.39022711487303</v>
      </c>
      <c r="BH14" s="219">
        <v>751.89318565539349</v>
      </c>
      <c r="BI14" s="219">
        <v>751.28215998001951</v>
      </c>
      <c r="BJ14" s="219">
        <v>750.61972592143661</v>
      </c>
      <c r="BK14" s="219">
        <v>748.78524140844479</v>
      </c>
      <c r="BL14" s="219">
        <v>748.03445006137974</v>
      </c>
      <c r="BM14" s="219">
        <v>747.23360068266106</v>
      </c>
      <c r="BN14" s="219">
        <v>748.4985738369553</v>
      </c>
      <c r="BO14" s="219">
        <v>749.74370285772511</v>
      </c>
      <c r="BP14" s="219">
        <v>750.65224646325692</v>
      </c>
      <c r="BQ14" s="219">
        <v>751.8595988599692</v>
      </c>
      <c r="BR14" s="219">
        <v>753.04683122029269</v>
      </c>
      <c r="BS14" s="219">
        <v>752.02367204814391</v>
      </c>
      <c r="BT14" s="219">
        <v>750.94922614543907</v>
      </c>
      <c r="BU14" s="219">
        <v>749.51542085082622</v>
      </c>
      <c r="BV14" s="219">
        <v>748.34290834585647</v>
      </c>
      <c r="BW14" s="219">
        <v>747.11984899796494</v>
      </c>
      <c r="BX14" s="219">
        <v>746.00620605793233</v>
      </c>
      <c r="BY14" s="219">
        <v>744.90968024793597</v>
      </c>
      <c r="BZ14" s="219">
        <v>743.82665619785246</v>
      </c>
      <c r="CA14" s="219">
        <v>742.75734287459807</v>
      </c>
      <c r="CB14" s="219">
        <v>741.70203256835168</v>
      </c>
      <c r="CC14" s="33">
        <v>10336.805358145069</v>
      </c>
      <c r="CD14" s="219">
        <v>10293.43919563499</v>
      </c>
      <c r="CE14" s="219">
        <v>10250.125985447101</v>
      </c>
      <c r="CF14" s="219">
        <v>10195.934767969569</v>
      </c>
      <c r="CG14" s="219">
        <v>10152.23347859858</v>
      </c>
      <c r="CH14" s="219">
        <v>10108.28253301979</v>
      </c>
      <c r="CI14" s="219">
        <v>10116.32974491041</v>
      </c>
      <c r="CJ14" s="219">
        <v>10124.600970945459</v>
      </c>
      <c r="CK14" s="219">
        <v>10126.251100899341</v>
      </c>
      <c r="CL14" s="219">
        <v>10134.50273158426</v>
      </c>
      <c r="CM14" s="219">
        <v>10142.569586961141</v>
      </c>
      <c r="CN14" s="219">
        <v>10177.66832723038</v>
      </c>
      <c r="CO14" s="219">
        <v>10212.990805101899</v>
      </c>
      <c r="CP14" s="219">
        <v>10246.976367891701</v>
      </c>
      <c r="CQ14" s="219">
        <v>10282.323210203671</v>
      </c>
      <c r="CR14" s="219">
        <v>10317.68174339335</v>
      </c>
      <c r="CS14" s="219">
        <v>10216.164952473249</v>
      </c>
      <c r="CT14" s="219">
        <v>10114.39027511643</v>
      </c>
      <c r="CU14" s="219">
        <v>10010.77561913134</v>
      </c>
      <c r="CV14" s="219">
        <v>9907.998620739465</v>
      </c>
      <c r="CW14" s="219">
        <v>9804.6285698700667</v>
      </c>
      <c r="CX14" s="219">
        <v>9650.4703013577728</v>
      </c>
      <c r="CY14" s="219">
        <v>9493.6704889400025</v>
      </c>
      <c r="CZ14" s="219">
        <v>9336.7095420583501</v>
      </c>
      <c r="DA14" s="219">
        <v>9179.5567061447091</v>
      </c>
      <c r="DB14" s="219">
        <v>9022.1885873627507</v>
      </c>
    </row>
    <row r="15" spans="1:106" x14ac:dyDescent="0.35">
      <c r="A15" s="137" t="s">
        <v>543</v>
      </c>
      <c r="B15" s="130" t="s">
        <v>545</v>
      </c>
      <c r="C15" s="219">
        <v>7.3175031120524259E-3</v>
      </c>
      <c r="D15" s="219">
        <v>7.3027484605179419E-3</v>
      </c>
      <c r="E15" s="219">
        <v>7.2888607876079236E-3</v>
      </c>
      <c r="F15" s="219">
        <v>7.2715193507895282E-3</v>
      </c>
      <c r="G15" s="219">
        <v>7.2595928667201822E-3</v>
      </c>
      <c r="H15" s="219">
        <v>7.2482573203266499E-3</v>
      </c>
      <c r="I15" s="219">
        <v>7.2428020957442394E-3</v>
      </c>
      <c r="J15" s="219">
        <v>7.2407247104437234E-3</v>
      </c>
      <c r="K15" s="219">
        <v>7.2373432231463471E-3</v>
      </c>
      <c r="L15" s="219">
        <v>7.2408214083390151E-3</v>
      </c>
      <c r="M15" s="219">
        <v>7.2467023262580239E-3</v>
      </c>
      <c r="N15" s="219">
        <v>7.2866721915799846E-3</v>
      </c>
      <c r="O15" s="219">
        <v>7.3294547242011687E-3</v>
      </c>
      <c r="P15" s="219">
        <v>7.3729324077646263E-3</v>
      </c>
      <c r="Q15" s="219">
        <v>7.4203244706881957E-3</v>
      </c>
      <c r="R15" s="219">
        <v>7.4703419292789456E-3</v>
      </c>
      <c r="S15" s="219">
        <v>7.4648015169624053E-3</v>
      </c>
      <c r="T15" s="219">
        <v>7.4596500347351999E-3</v>
      </c>
      <c r="U15" s="219">
        <v>7.4550473319609867E-3</v>
      </c>
      <c r="V15" s="219">
        <v>7.4504886072220564E-3</v>
      </c>
      <c r="W15" s="219">
        <v>7.4461807392916437E-3</v>
      </c>
      <c r="X15" s="219">
        <v>7.4153204952444457E-3</v>
      </c>
      <c r="Y15" s="219">
        <v>7.3836458620838664E-3</v>
      </c>
      <c r="Z15" s="219">
        <v>7.3517840937422424E-3</v>
      </c>
      <c r="AA15" s="219">
        <v>7.3197331914575349E-3</v>
      </c>
      <c r="AB15" s="219">
        <v>7.2874914070066299E-3</v>
      </c>
      <c r="AC15" s="33">
        <v>5.2645581004914617E-6</v>
      </c>
      <c r="AD15" s="219">
        <v>5.259230636404704E-6</v>
      </c>
      <c r="AE15" s="219">
        <v>5.2540946032776517E-6</v>
      </c>
      <c r="AF15" s="219">
        <v>5.2511844738205612E-6</v>
      </c>
      <c r="AG15" s="219">
        <v>5.2468258373276797E-6</v>
      </c>
      <c r="AH15" s="219">
        <v>5.2426553804070198E-6</v>
      </c>
      <c r="AI15" s="219">
        <v>5.2540838245848356E-6</v>
      </c>
      <c r="AJ15" s="219">
        <v>5.2663274146486049E-6</v>
      </c>
      <c r="AK15" s="219">
        <v>5.2786911399444486E-6</v>
      </c>
      <c r="AL15" s="219">
        <v>5.2922277144930946E-6</v>
      </c>
      <c r="AM15" s="219">
        <v>5.3063521721467081E-6</v>
      </c>
      <c r="AN15" s="219">
        <v>5.3390816087359586E-6</v>
      </c>
      <c r="AO15" s="219">
        <v>5.3725643173486033E-6</v>
      </c>
      <c r="AP15" s="219">
        <v>5.4065146086778774E-6</v>
      </c>
      <c r="AQ15" s="219">
        <v>5.4412090451752411E-6</v>
      </c>
      <c r="AR15" s="219">
        <v>5.4769658477644342E-6</v>
      </c>
      <c r="AS15" s="219">
        <v>5.4766731533934603E-6</v>
      </c>
      <c r="AT15" s="219">
        <v>5.4764516813789384E-6</v>
      </c>
      <c r="AU15" s="219">
        <v>5.4766493313589773E-6</v>
      </c>
      <c r="AV15" s="219">
        <v>5.4764210327920773E-6</v>
      </c>
      <c r="AW15" s="219">
        <v>5.4761816741381786E-6</v>
      </c>
      <c r="AX15" s="219">
        <v>5.4589211476340771E-6</v>
      </c>
      <c r="AY15" s="219">
        <v>5.4386368084405363E-6</v>
      </c>
      <c r="AZ15" s="219">
        <v>5.4182415123111447E-6</v>
      </c>
      <c r="BA15" s="219">
        <v>5.397733200690797E-6</v>
      </c>
      <c r="BB15" s="219">
        <v>5.3771101471087152E-6</v>
      </c>
      <c r="BC15" s="33">
        <v>53.415036359148253</v>
      </c>
      <c r="BD15" s="219">
        <v>53.409741023408529</v>
      </c>
      <c r="BE15" s="219">
        <v>53.404717736596638</v>
      </c>
      <c r="BF15" s="219">
        <v>53.42628892991285</v>
      </c>
      <c r="BG15" s="219">
        <v>53.421924624840379</v>
      </c>
      <c r="BH15" s="219">
        <v>53.417777856890417</v>
      </c>
      <c r="BI15" s="219">
        <v>53.420830625509147</v>
      </c>
      <c r="BJ15" s="219">
        <v>53.424464599101228</v>
      </c>
      <c r="BK15" s="219">
        <v>53.447793360986878</v>
      </c>
      <c r="BL15" s="219">
        <v>53.452293513909083</v>
      </c>
      <c r="BM15" s="219">
        <v>53.457227498554737</v>
      </c>
      <c r="BN15" s="219">
        <v>53.46861371673814</v>
      </c>
      <c r="BO15" s="219">
        <v>53.480474178286968</v>
      </c>
      <c r="BP15" s="219">
        <v>53.500705773045112</v>
      </c>
      <c r="BQ15" s="219">
        <v>53.513282130013003</v>
      </c>
      <c r="BR15" s="219">
        <v>53.526553603781132</v>
      </c>
      <c r="BS15" s="219">
        <v>53.54123380122622</v>
      </c>
      <c r="BT15" s="219">
        <v>53.555931270867113</v>
      </c>
      <c r="BU15" s="219">
        <v>53.578371661876638</v>
      </c>
      <c r="BV15" s="219">
        <v>53.593011116333102</v>
      </c>
      <c r="BW15" s="219">
        <v>53.607648380559503</v>
      </c>
      <c r="BX15" s="219">
        <v>53.606951630353919</v>
      </c>
      <c r="BY15" s="219">
        <v>53.606276174845597</v>
      </c>
      <c r="BZ15" s="219">
        <v>53.605616158946098</v>
      </c>
      <c r="CA15" s="219">
        <v>53.604970606738028</v>
      </c>
      <c r="CB15" s="219">
        <v>53.604338923312078</v>
      </c>
      <c r="CC15" s="33">
        <v>97.949429025859729</v>
      </c>
      <c r="CD15" s="219">
        <v>97.836425460238772</v>
      </c>
      <c r="CE15" s="219">
        <v>97.730089655047465</v>
      </c>
      <c r="CF15" s="219">
        <v>97.794673167996237</v>
      </c>
      <c r="CG15" s="219">
        <v>97.705689954590497</v>
      </c>
      <c r="CH15" s="219">
        <v>97.621152786488466</v>
      </c>
      <c r="CI15" s="219">
        <v>97.705980596444689</v>
      </c>
      <c r="CJ15" s="219">
        <v>97.810089994582398</v>
      </c>
      <c r="CK15" s="219">
        <v>98.04367587967225</v>
      </c>
      <c r="CL15" s="219">
        <v>98.178577430359994</v>
      </c>
      <c r="CM15" s="219">
        <v>98.327265665678524</v>
      </c>
      <c r="CN15" s="219">
        <v>98.732115099182764</v>
      </c>
      <c r="CO15" s="219">
        <v>99.153445436866406</v>
      </c>
      <c r="CP15" s="219">
        <v>99.632158400408471</v>
      </c>
      <c r="CQ15" s="219">
        <v>100.07975374643679</v>
      </c>
      <c r="CR15" s="219">
        <v>100.551135401027</v>
      </c>
      <c r="CS15" s="219">
        <v>100.5808058249487</v>
      </c>
      <c r="CT15" s="219">
        <v>100.61288728574399</v>
      </c>
      <c r="CU15" s="219">
        <v>100.6865797743971</v>
      </c>
      <c r="CV15" s="219">
        <v>100.71830953303591</v>
      </c>
      <c r="CW15" s="219">
        <v>100.7498204757121</v>
      </c>
      <c r="CX15" s="219">
        <v>100.5066626096425</v>
      </c>
      <c r="CY15" s="219">
        <v>100.2201721223103</v>
      </c>
      <c r="CZ15" s="219">
        <v>99.932532021632525</v>
      </c>
      <c r="DA15" s="219">
        <v>99.643694801271877</v>
      </c>
      <c r="DB15" s="219">
        <v>99.353624148110967</v>
      </c>
    </row>
    <row r="16" spans="1:106" x14ac:dyDescent="0.35">
      <c r="A16" s="137" t="s">
        <v>544</v>
      </c>
      <c r="B16" s="130" t="s">
        <v>545</v>
      </c>
      <c r="C16" s="219">
        <v>4.3736826575301237E-2</v>
      </c>
      <c r="D16" s="219">
        <v>4.3724363307751077E-2</v>
      </c>
      <c r="E16" s="219">
        <v>4.3712154230878472E-2</v>
      </c>
      <c r="F16" s="219">
        <v>4.3703397829827587E-2</v>
      </c>
      <c r="G16" s="219">
        <v>4.3691680851167113E-2</v>
      </c>
      <c r="H16" s="219">
        <v>4.3680091740062293E-2</v>
      </c>
      <c r="I16" s="219">
        <v>4.3803907779668173E-2</v>
      </c>
      <c r="J16" s="219">
        <v>4.3931902539137507E-2</v>
      </c>
      <c r="K16" s="219">
        <v>4.4077012701681177E-2</v>
      </c>
      <c r="L16" s="219">
        <v>4.4212986139800972E-2</v>
      </c>
      <c r="M16" s="219">
        <v>4.4352306914207343E-2</v>
      </c>
      <c r="N16" s="219">
        <v>4.4653450547829029E-2</v>
      </c>
      <c r="O16" s="219">
        <v>4.4962425464588333E-2</v>
      </c>
      <c r="P16" s="219">
        <v>4.5291423938675829E-2</v>
      </c>
      <c r="Q16" s="219">
        <v>4.5615763402460048E-2</v>
      </c>
      <c r="R16" s="219">
        <v>4.5947458020075743E-2</v>
      </c>
      <c r="S16" s="219">
        <v>4.5959386140205817E-2</v>
      </c>
      <c r="T16" s="219">
        <v>4.5971296569445909E-2</v>
      </c>
      <c r="U16" s="219">
        <v>4.5991038794710122E-2</v>
      </c>
      <c r="V16" s="219">
        <v>4.6002851934708093E-2</v>
      </c>
      <c r="W16" s="219">
        <v>4.6014573204979051E-2</v>
      </c>
      <c r="X16" s="219">
        <v>4.5870037373968782E-2</v>
      </c>
      <c r="Y16" s="219">
        <v>4.5712101635161873E-2</v>
      </c>
      <c r="Z16" s="219">
        <v>4.5552341808976278E-2</v>
      </c>
      <c r="AA16" s="219">
        <v>4.5390759883231012E-2</v>
      </c>
      <c r="AB16" s="219">
        <v>4.5227360495519127E-2</v>
      </c>
      <c r="AC16" s="33">
        <v>2.9425891567082932E-5</v>
      </c>
      <c r="AD16" s="219">
        <v>2.9403840047656121E-5</v>
      </c>
      <c r="AE16" s="219">
        <v>2.938198638022715E-5</v>
      </c>
      <c r="AF16" s="219">
        <v>2.9348980343893179E-5</v>
      </c>
      <c r="AG16" s="219">
        <v>2.9327596724011331E-5</v>
      </c>
      <c r="AH16" s="219">
        <v>2.930635822394742E-5</v>
      </c>
      <c r="AI16" s="219">
        <v>2.9366258523874911E-5</v>
      </c>
      <c r="AJ16" s="219">
        <v>2.9427899787561121E-5</v>
      </c>
      <c r="AK16" s="219">
        <v>2.9493527299706859E-5</v>
      </c>
      <c r="AL16" s="219">
        <v>2.9558667430771899E-5</v>
      </c>
      <c r="AM16" s="219">
        <v>2.9625320922658089E-5</v>
      </c>
      <c r="AN16" s="219">
        <v>2.977145943512838E-5</v>
      </c>
      <c r="AO16" s="219">
        <v>2.99218629450002E-5</v>
      </c>
      <c r="AP16" s="219">
        <v>3.0081869229569591E-5</v>
      </c>
      <c r="AQ16" s="219">
        <v>3.0240868393624331E-5</v>
      </c>
      <c r="AR16" s="219">
        <v>3.0404144479294009E-5</v>
      </c>
      <c r="AS16" s="219">
        <v>3.0370095051791561E-5</v>
      </c>
      <c r="AT16" s="219">
        <v>3.0336371135468799E-5</v>
      </c>
      <c r="AU16" s="219">
        <v>3.0306595664998538E-5</v>
      </c>
      <c r="AV16" s="219">
        <v>3.0273480018832449E-5</v>
      </c>
      <c r="AW16" s="219">
        <v>3.0240635380744951E-5</v>
      </c>
      <c r="AX16" s="219">
        <v>3.014423137218541E-5</v>
      </c>
      <c r="AY16" s="219">
        <v>3.0021598536584061E-5</v>
      </c>
      <c r="AZ16" s="219">
        <v>2.9897919812175111E-5</v>
      </c>
      <c r="BA16" s="219">
        <v>2.9773193706086159E-5</v>
      </c>
      <c r="BB16" s="219">
        <v>2.9647420765173161E-5</v>
      </c>
      <c r="BC16" s="33">
        <v>73.843720240407222</v>
      </c>
      <c r="BD16" s="219">
        <v>73.714380464885053</v>
      </c>
      <c r="BE16" s="219">
        <v>73.58523044692447</v>
      </c>
      <c r="BF16" s="219">
        <v>73.36314762969711</v>
      </c>
      <c r="BG16" s="219">
        <v>73.234391235926338</v>
      </c>
      <c r="BH16" s="219">
        <v>73.105793945487207</v>
      </c>
      <c r="BI16" s="219">
        <v>72.812772913190656</v>
      </c>
      <c r="BJ16" s="219">
        <v>72.52052618601428</v>
      </c>
      <c r="BK16" s="219">
        <v>72.162544137920491</v>
      </c>
      <c r="BL16" s="219">
        <v>71.871686631813873</v>
      </c>
      <c r="BM16" s="219">
        <v>71.581520490501376</v>
      </c>
      <c r="BN16" s="219">
        <v>71.140515346608794</v>
      </c>
      <c r="BO16" s="219">
        <v>70.700424156216101</v>
      </c>
      <c r="BP16" s="219">
        <v>70.241104071354385</v>
      </c>
      <c r="BQ16" s="219">
        <v>69.802753862068315</v>
      </c>
      <c r="BR16" s="219">
        <v>69.365392709840592</v>
      </c>
      <c r="BS16" s="219">
        <v>68.847395858690518</v>
      </c>
      <c r="BT16" s="219">
        <v>68.330001579507069</v>
      </c>
      <c r="BU16" s="219">
        <v>67.792291734472187</v>
      </c>
      <c r="BV16" s="219">
        <v>67.276076794429684</v>
      </c>
      <c r="BW16" s="219">
        <v>66.760463582698975</v>
      </c>
      <c r="BX16" s="219">
        <v>66.468558111667832</v>
      </c>
      <c r="BY16" s="219">
        <v>66.176522798461846</v>
      </c>
      <c r="BZ16" s="219">
        <v>65.884308562955411</v>
      </c>
      <c r="CA16" s="219">
        <v>65.591914217570661</v>
      </c>
      <c r="CB16" s="219">
        <v>65.299340852671065</v>
      </c>
      <c r="CC16" s="33">
        <v>496.58841906124889</v>
      </c>
      <c r="CD16" s="219">
        <v>495.62314204964912</v>
      </c>
      <c r="CE16" s="219">
        <v>494.66801117765868</v>
      </c>
      <c r="CF16" s="219">
        <v>493.10420733580912</v>
      </c>
      <c r="CG16" s="219">
        <v>492.16944514627579</v>
      </c>
      <c r="CH16" s="219">
        <v>491.24294263120822</v>
      </c>
      <c r="CI16" s="219">
        <v>490.46416841840579</v>
      </c>
      <c r="CJ16" s="219">
        <v>489.72905591092569</v>
      </c>
      <c r="CK16" s="219">
        <v>488.643659211326</v>
      </c>
      <c r="CL16" s="219">
        <v>487.99135164538251</v>
      </c>
      <c r="CM16" s="219">
        <v>487.37660757211512</v>
      </c>
      <c r="CN16" s="219">
        <v>486.99916402543488</v>
      </c>
      <c r="CO16" s="219">
        <v>486.70064486736158</v>
      </c>
      <c r="CP16" s="219">
        <v>486.39402128549392</v>
      </c>
      <c r="CQ16" s="219">
        <v>486.25073874551288</v>
      </c>
      <c r="CR16" s="219">
        <v>486.18689970448111</v>
      </c>
      <c r="CS16" s="219">
        <v>483.26793913303999</v>
      </c>
      <c r="CT16" s="219">
        <v>480.37758503123558</v>
      </c>
      <c r="CU16" s="219">
        <v>477.42108067372601</v>
      </c>
      <c r="CV16" s="219">
        <v>474.58444842904788</v>
      </c>
      <c r="CW16" s="219">
        <v>471.77398367348911</v>
      </c>
      <c r="CX16" s="219">
        <v>468.97173870705848</v>
      </c>
      <c r="CY16" s="219">
        <v>466.01577802620238</v>
      </c>
      <c r="CZ16" s="219">
        <v>463.04873021456439</v>
      </c>
      <c r="DA16" s="219">
        <v>460.07053473914812</v>
      </c>
      <c r="DB16" s="219">
        <v>457.0811709624009</v>
      </c>
    </row>
    <row r="17" spans="1:106" x14ac:dyDescent="0.35">
      <c r="A17" s="137" t="s">
        <v>546</v>
      </c>
      <c r="B17" s="130" t="s">
        <v>547</v>
      </c>
      <c r="C17" s="219">
        <v>2.373685697176874E-4</v>
      </c>
      <c r="D17" s="219">
        <v>2.3772543027871849E-4</v>
      </c>
      <c r="E17" s="219">
        <v>2.380836899752903E-4</v>
      </c>
      <c r="F17" s="219">
        <v>2.3848066228464499E-4</v>
      </c>
      <c r="G17" s="219">
        <v>2.3884259927392171E-4</v>
      </c>
      <c r="H17" s="219">
        <v>2.3920341212815561E-4</v>
      </c>
      <c r="I17" s="219">
        <v>2.3898402963813971E-4</v>
      </c>
      <c r="J17" s="219">
        <v>2.3884160602467949E-4</v>
      </c>
      <c r="K17" s="219">
        <v>2.3885218825120779E-4</v>
      </c>
      <c r="L17" s="219">
        <v>2.3884229456037971E-4</v>
      </c>
      <c r="M17" s="219">
        <v>2.3888594790767831E-4</v>
      </c>
      <c r="N17" s="219">
        <v>2.3950987898298489E-4</v>
      </c>
      <c r="O17" s="219">
        <v>2.40192667059876E-4</v>
      </c>
      <c r="P17" s="219">
        <v>2.4099418468618631E-4</v>
      </c>
      <c r="Q17" s="219">
        <v>2.4177665756863371E-4</v>
      </c>
      <c r="R17" s="219">
        <v>2.4260799688536599E-4</v>
      </c>
      <c r="S17" s="219">
        <v>2.4271361441304681E-4</v>
      </c>
      <c r="T17" s="219">
        <v>2.4282347809284261E-4</v>
      </c>
      <c r="U17" s="219">
        <v>2.429720575869254E-4</v>
      </c>
      <c r="V17" s="219">
        <v>2.4308791118483211E-4</v>
      </c>
      <c r="W17" s="219">
        <v>2.4320594520514869E-4</v>
      </c>
      <c r="X17" s="219">
        <v>2.4297783325558989E-4</v>
      </c>
      <c r="Y17" s="219">
        <v>2.427078232222186E-4</v>
      </c>
      <c r="Z17" s="219">
        <v>2.4243429493152029E-4</v>
      </c>
      <c r="AA17" s="219">
        <v>2.4215733895274459E-4</v>
      </c>
      <c r="AB17" s="219">
        <v>2.4187705233385181E-4</v>
      </c>
      <c r="AC17" s="33">
        <v>8.7814617362954382E-8</v>
      </c>
      <c r="AD17" s="219">
        <v>8.7709589491481048E-8</v>
      </c>
      <c r="AE17" s="219">
        <v>8.7608897621603742E-8</v>
      </c>
      <c r="AF17" s="219">
        <v>8.7449370515860982E-8</v>
      </c>
      <c r="AG17" s="219">
        <v>8.7361028626960797E-8</v>
      </c>
      <c r="AH17" s="219">
        <v>8.7276373065771218E-8</v>
      </c>
      <c r="AI17" s="219">
        <v>8.7394396089559826E-8</v>
      </c>
      <c r="AJ17" s="219">
        <v>8.7526689052578429E-8</v>
      </c>
      <c r="AK17" s="219">
        <v>8.7684588840506262E-8</v>
      </c>
      <c r="AL17" s="219">
        <v>8.7842614757787178E-8</v>
      </c>
      <c r="AM17" s="219">
        <v>8.8010837276346323E-8</v>
      </c>
      <c r="AN17" s="219">
        <v>8.8438582270468057E-8</v>
      </c>
      <c r="AO17" s="219">
        <v>8.8879659984845704E-8</v>
      </c>
      <c r="AP17" s="219">
        <v>8.9359902505709284E-8</v>
      </c>
      <c r="AQ17" s="219">
        <v>8.9825539763315832E-8</v>
      </c>
      <c r="AR17" s="219">
        <v>9.0308209979143466E-8</v>
      </c>
      <c r="AS17" s="219">
        <v>9.0266896271525084E-8</v>
      </c>
      <c r="AT17" s="219">
        <v>9.0226350375006582E-8</v>
      </c>
      <c r="AU17" s="219">
        <v>9.0201769284725518E-8</v>
      </c>
      <c r="AV17" s="219">
        <v>9.0161933384513338E-8</v>
      </c>
      <c r="AW17" s="219">
        <v>9.0122217424418839E-8</v>
      </c>
      <c r="AX17" s="219">
        <v>8.9850500215695207E-8</v>
      </c>
      <c r="AY17" s="219">
        <v>8.9523205773960596E-8</v>
      </c>
      <c r="AZ17" s="219">
        <v>8.9194885265573078E-8</v>
      </c>
      <c r="BA17" s="219">
        <v>8.8865517284357938E-8</v>
      </c>
      <c r="BB17" s="219">
        <v>8.853508991075784E-8</v>
      </c>
      <c r="BC17" s="33">
        <v>0.10893344159114481</v>
      </c>
      <c r="BD17" s="219">
        <v>0.10863830702491049</v>
      </c>
      <c r="BE17" s="219">
        <v>0.1083508418500123</v>
      </c>
      <c r="BF17" s="219">
        <v>0.10746093683907131</v>
      </c>
      <c r="BG17" s="219">
        <v>0.10719201335387341</v>
      </c>
      <c r="BH17" s="219">
        <v>0.1069297185002636</v>
      </c>
      <c r="BI17" s="219">
        <v>0.1067046561744599</v>
      </c>
      <c r="BJ17" s="219">
        <v>0.1064906441308425</v>
      </c>
      <c r="BK17" s="219">
        <v>0.1058468461454778</v>
      </c>
      <c r="BL17" s="219">
        <v>0.1056555179115697</v>
      </c>
      <c r="BM17" s="219">
        <v>0.1054727412031249</v>
      </c>
      <c r="BN17" s="219">
        <v>0.10525028912726821</v>
      </c>
      <c r="BO17" s="219">
        <v>0.10503691653151941</v>
      </c>
      <c r="BP17" s="219">
        <v>0.10469882287219399</v>
      </c>
      <c r="BQ17" s="219">
        <v>0.1045027395937263</v>
      </c>
      <c r="BR17" s="219">
        <v>0.1043184926235346</v>
      </c>
      <c r="BS17" s="219">
        <v>0.10409291048826171</v>
      </c>
      <c r="BT17" s="219">
        <v>0.1038687081419917</v>
      </c>
      <c r="BU17" s="219">
        <v>0.10351606373510661</v>
      </c>
      <c r="BV17" s="219">
        <v>0.1032953578960393</v>
      </c>
      <c r="BW17" s="219">
        <v>0.10307569956915209</v>
      </c>
      <c r="BX17" s="219">
        <v>0.1028307793304208</v>
      </c>
      <c r="BY17" s="219">
        <v>0.1025865841447663</v>
      </c>
      <c r="BZ17" s="219">
        <v>0.1023429000572134</v>
      </c>
      <c r="CA17" s="219">
        <v>0.1020997004330868</v>
      </c>
      <c r="CB17" s="219">
        <v>0.10185697052124019</v>
      </c>
      <c r="CC17" s="33">
        <v>0.88779762378988625</v>
      </c>
      <c r="CD17" s="219">
        <v>0.88518974793064575</v>
      </c>
      <c r="CE17" s="219">
        <v>0.88267879264022897</v>
      </c>
      <c r="CF17" s="219">
        <v>0.87626792901730555</v>
      </c>
      <c r="CG17" s="219">
        <v>0.8740349141125392</v>
      </c>
      <c r="CH17" s="219">
        <v>0.87188239307356741</v>
      </c>
      <c r="CI17" s="219">
        <v>0.87137361052813234</v>
      </c>
      <c r="CJ17" s="219">
        <v>0.87119884268222636</v>
      </c>
      <c r="CK17" s="219">
        <v>0.8687202299399045</v>
      </c>
      <c r="CL17" s="219">
        <v>0.86914234498988641</v>
      </c>
      <c r="CM17" s="219">
        <v>0.86980273821034493</v>
      </c>
      <c r="CN17" s="219">
        <v>0.87342560448387729</v>
      </c>
      <c r="CO17" s="219">
        <v>0.87733639700308663</v>
      </c>
      <c r="CP17" s="219">
        <v>0.88090068065237337</v>
      </c>
      <c r="CQ17" s="219">
        <v>0.88532883235728421</v>
      </c>
      <c r="CR17" s="219">
        <v>0.89013735077675382</v>
      </c>
      <c r="CS17" s="219">
        <v>0.8882618495225163</v>
      </c>
      <c r="CT17" s="219">
        <v>0.88641188075102162</v>
      </c>
      <c r="CU17" s="219">
        <v>0.88396762002481843</v>
      </c>
      <c r="CV17" s="219">
        <v>0.88215280649487138</v>
      </c>
      <c r="CW17" s="219">
        <v>0.88034913156207772</v>
      </c>
      <c r="CX17" s="219">
        <v>0.87537416320182604</v>
      </c>
      <c r="CY17" s="219">
        <v>0.86975613154904086</v>
      </c>
      <c r="CZ17" s="219">
        <v>0.8641281011299401</v>
      </c>
      <c r="DA17" s="219">
        <v>0.858489533126509</v>
      </c>
      <c r="DB17" s="219">
        <v>0.85284010262059018</v>
      </c>
    </row>
    <row r="18" spans="1:106" s="219" customFormat="1" x14ac:dyDescent="0.35">
      <c r="A18" s="137" t="s">
        <v>754</v>
      </c>
      <c r="B18" s="130" t="s">
        <v>547</v>
      </c>
      <c r="C18" s="219">
        <v>2.9697777593021301E-4</v>
      </c>
      <c r="D18" s="219">
        <v>2.9699198111135332E-4</v>
      </c>
      <c r="E18" s="219">
        <v>2.9700765770918828E-4</v>
      </c>
      <c r="F18" s="219">
        <v>2.9702892305144758E-4</v>
      </c>
      <c r="G18" s="219">
        <v>2.9704715271228459E-4</v>
      </c>
      <c r="H18" s="219">
        <v>2.970660184094535E-4</v>
      </c>
      <c r="I18" s="219">
        <v>2.9698895819339999E-4</v>
      </c>
      <c r="J18" s="219">
        <v>2.9692679561488261E-4</v>
      </c>
      <c r="K18" s="219">
        <v>2.9689698334191039E-4</v>
      </c>
      <c r="L18" s="219">
        <v>2.9686063300405979E-4</v>
      </c>
      <c r="M18" s="219">
        <v>2.9683476728422433E-4</v>
      </c>
      <c r="N18" s="219">
        <v>2.9689858357299638E-4</v>
      </c>
      <c r="O18" s="219">
        <v>2.9697318178273678E-4</v>
      </c>
      <c r="P18" s="219">
        <v>2.9707435352660912E-4</v>
      </c>
      <c r="Q18" s="219">
        <v>2.9716730331143899E-4</v>
      </c>
      <c r="R18" s="219">
        <v>2.9726924552409998E-4</v>
      </c>
      <c r="S18" s="219">
        <v>2.9723443377866621E-4</v>
      </c>
      <c r="T18" s="219">
        <v>2.9720005420023622E-4</v>
      </c>
      <c r="U18" s="219">
        <v>2.971764867306945E-4</v>
      </c>
      <c r="V18" s="219">
        <v>2.9714245642772078E-4</v>
      </c>
      <c r="W18" s="219">
        <v>2.9710842859338211E-4</v>
      </c>
      <c r="X18" s="219">
        <v>2.9703667429118889E-4</v>
      </c>
      <c r="Y18" s="219">
        <v>2.9694121079691373E-4</v>
      </c>
      <c r="Z18" s="219">
        <v>2.9684460397778829E-4</v>
      </c>
      <c r="AA18" s="219">
        <v>2.9674686039691389E-4</v>
      </c>
      <c r="AB18" s="219">
        <v>2.9664798861899698E-4</v>
      </c>
      <c r="AC18" s="33">
        <v>1.6051314433260601E-7</v>
      </c>
      <c r="AD18" s="219">
        <v>1.6047991554349401E-7</v>
      </c>
      <c r="AE18" s="219">
        <v>1.604477432497573E-7</v>
      </c>
      <c r="AF18" s="219">
        <v>1.6039941206309929E-7</v>
      </c>
      <c r="AG18" s="219">
        <v>1.6036960388684391E-7</v>
      </c>
      <c r="AH18" s="219">
        <v>1.6034049391304649E-7</v>
      </c>
      <c r="AI18" s="219">
        <v>1.6035055779702739E-7</v>
      </c>
      <c r="AJ18" s="219">
        <v>1.603633926118343E-7</v>
      </c>
      <c r="AK18" s="219">
        <v>1.6038211889038451E-7</v>
      </c>
      <c r="AL18" s="219">
        <v>1.6040001069266161E-7</v>
      </c>
      <c r="AM18" s="219">
        <v>1.6041988547327731E-7</v>
      </c>
      <c r="AN18" s="219">
        <v>1.6047310934398591E-7</v>
      </c>
      <c r="AO18" s="219">
        <v>1.6052861963437031E-7</v>
      </c>
      <c r="AP18" s="219">
        <v>1.6059351778872051E-7</v>
      </c>
      <c r="AQ18" s="219">
        <v>1.6065329463084E-7</v>
      </c>
      <c r="AR18" s="219">
        <v>1.6071609154985221E-7</v>
      </c>
      <c r="AS18" s="219">
        <v>1.6066512849778721E-7</v>
      </c>
      <c r="AT18" s="219">
        <v>1.6061399164690771E-7</v>
      </c>
      <c r="AU18" s="219">
        <v>1.605674238829759E-7</v>
      </c>
      <c r="AV18" s="219">
        <v>1.605157091493316E-7</v>
      </c>
      <c r="AW18" s="219">
        <v>1.6046363854897871E-7</v>
      </c>
      <c r="AX18" s="219">
        <v>1.6037879072098469E-7</v>
      </c>
      <c r="AY18" s="219">
        <v>1.6027034900242711E-7</v>
      </c>
      <c r="AZ18" s="219">
        <v>1.6016130926512929E-7</v>
      </c>
      <c r="BA18" s="219">
        <v>1.600516583391029E-7</v>
      </c>
      <c r="BB18" s="219">
        <v>1.5994138587632931E-7</v>
      </c>
      <c r="BC18" s="33">
        <v>3.841111416787369E-2</v>
      </c>
      <c r="BD18" s="219">
        <v>3.8353720740247198E-2</v>
      </c>
      <c r="BE18" s="219">
        <v>3.8297757474753148E-2</v>
      </c>
      <c r="BF18" s="219">
        <v>3.810454736135363E-2</v>
      </c>
      <c r="BG18" s="219">
        <v>3.8051792859759397E-2</v>
      </c>
      <c r="BH18" s="219">
        <v>3.8000116587837703E-2</v>
      </c>
      <c r="BI18" s="219">
        <v>3.7957930441946237E-2</v>
      </c>
      <c r="BJ18" s="219">
        <v>3.7917732547400079E-2</v>
      </c>
      <c r="BK18" s="219">
        <v>3.7783820852235347E-2</v>
      </c>
      <c r="BL18" s="219">
        <v>3.7747818645146397E-2</v>
      </c>
      <c r="BM18" s="219">
        <v>3.7713307905340519E-2</v>
      </c>
      <c r="BN18" s="219">
        <v>3.7714828624123641E-2</v>
      </c>
      <c r="BO18" s="219">
        <v>3.7717875399553707E-2</v>
      </c>
      <c r="BP18" s="219">
        <v>3.7694253411133548E-2</v>
      </c>
      <c r="BQ18" s="219">
        <v>3.7700242446287537E-2</v>
      </c>
      <c r="BR18" s="219">
        <v>3.7708280422795608E-2</v>
      </c>
      <c r="BS18" s="219">
        <v>3.7679561614447493E-2</v>
      </c>
      <c r="BT18" s="219">
        <v>3.7650959441805062E-2</v>
      </c>
      <c r="BU18" s="219">
        <v>3.7595102946389208E-2</v>
      </c>
      <c r="BV18" s="219">
        <v>3.7566947942962711E-2</v>
      </c>
      <c r="BW18" s="219">
        <v>3.7538845366791578E-2</v>
      </c>
      <c r="BX18" s="219">
        <v>3.7507969817020391E-2</v>
      </c>
      <c r="BY18" s="219">
        <v>3.7477296130408608E-2</v>
      </c>
      <c r="BZ18" s="219">
        <v>3.7446765724883257E-2</v>
      </c>
      <c r="CA18" s="219">
        <v>3.7416374198064727E-2</v>
      </c>
      <c r="CB18" s="219">
        <v>3.7386119849504559E-2</v>
      </c>
      <c r="CC18" s="33">
        <v>0.67452028904829198</v>
      </c>
      <c r="CD18" s="219">
        <v>0.67362369076814754</v>
      </c>
      <c r="CE18" s="219">
        <v>0.6727537228583369</v>
      </c>
      <c r="CF18" s="219">
        <v>0.67098332254632553</v>
      </c>
      <c r="CG18" s="219">
        <v>0.67016851397678523</v>
      </c>
      <c r="CH18" s="219">
        <v>0.66936979745748615</v>
      </c>
      <c r="CI18" s="219">
        <v>0.66900517059738474</v>
      </c>
      <c r="CJ18" s="219">
        <v>0.66870478406498612</v>
      </c>
      <c r="CK18" s="219">
        <v>0.6679008903225383</v>
      </c>
      <c r="CL18" s="219">
        <v>0.66771727320363072</v>
      </c>
      <c r="CM18" s="219">
        <v>0.66757932875493275</v>
      </c>
      <c r="CN18" s="219">
        <v>0.66793738667014158</v>
      </c>
      <c r="CO18" s="219">
        <v>0.66834780048895315</v>
      </c>
      <c r="CP18" s="219">
        <v>0.66868461007359759</v>
      </c>
      <c r="CQ18" s="219">
        <v>0.66918690203437114</v>
      </c>
      <c r="CR18" s="219">
        <v>0.66975767179403334</v>
      </c>
      <c r="CS18" s="219">
        <v>0.66836176058247865</v>
      </c>
      <c r="CT18" s="219">
        <v>0.66696667041894264</v>
      </c>
      <c r="CU18" s="219">
        <v>0.66544676173594408</v>
      </c>
      <c r="CV18" s="219">
        <v>0.66404430081066323</v>
      </c>
      <c r="CW18" s="219">
        <v>0.66263565208545172</v>
      </c>
      <c r="CX18" s="219">
        <v>0.66047504900400877</v>
      </c>
      <c r="CY18" s="219">
        <v>0.65824022801581183</v>
      </c>
      <c r="CZ18" s="219">
        <v>0.65599703151629163</v>
      </c>
      <c r="DA18" s="219">
        <v>0.65374509690830285</v>
      </c>
      <c r="DB18" s="219">
        <v>0.65148415690558747</v>
      </c>
    </row>
    <row r="19" spans="1:106" x14ac:dyDescent="0.35">
      <c r="A19" s="137" t="s">
        <v>548</v>
      </c>
      <c r="B19" s="130" t="s">
        <v>545</v>
      </c>
      <c r="C19" s="219">
        <v>1.337043530958561E-3</v>
      </c>
      <c r="D19" s="219">
        <v>1.3370325183428131E-3</v>
      </c>
      <c r="E19" s="219">
        <v>1.337022578054264E-3</v>
      </c>
      <c r="F19" s="219">
        <v>1.337905209552783E-3</v>
      </c>
      <c r="G19" s="219">
        <v>1.3378913814093331E-3</v>
      </c>
      <c r="H19" s="219">
        <v>1.3378779212907511E-3</v>
      </c>
      <c r="I19" s="219">
        <v>1.33817802265774E-3</v>
      </c>
      <c r="J19" s="219">
        <v>1.338493119125993E-3</v>
      </c>
      <c r="K19" s="219">
        <v>1.3400851137985691E-3</v>
      </c>
      <c r="L19" s="219">
        <v>1.3404577648983081E-3</v>
      </c>
      <c r="M19" s="219">
        <v>1.340840448881805E-3</v>
      </c>
      <c r="N19" s="219">
        <v>1.341663782696169E-3</v>
      </c>
      <c r="O19" s="219">
        <v>1.3425025631799291E-3</v>
      </c>
      <c r="P19" s="219">
        <v>1.344190127295696E-3</v>
      </c>
      <c r="Q19" s="219">
        <v>1.345093254618469E-3</v>
      </c>
      <c r="R19" s="219">
        <v>1.346009517298438E-3</v>
      </c>
      <c r="S19" s="219">
        <v>1.3459412819122601E-3</v>
      </c>
      <c r="T19" s="219">
        <v>1.3458720913767091E-3</v>
      </c>
      <c r="U19" s="219">
        <v>1.3461229331576401E-3</v>
      </c>
      <c r="V19" s="219">
        <v>1.3460510697619881E-3</v>
      </c>
      <c r="W19" s="219">
        <v>1.345977876963337E-3</v>
      </c>
      <c r="X19" s="219">
        <v>1.345455867852568E-3</v>
      </c>
      <c r="Y19" s="219">
        <v>1.3448829169268989E-3</v>
      </c>
      <c r="Z19" s="219">
        <v>1.3443063324312849E-3</v>
      </c>
      <c r="AA19" s="219">
        <v>1.343726090829159E-3</v>
      </c>
      <c r="AB19" s="219">
        <v>1.343142189694482E-3</v>
      </c>
      <c r="AC19" s="33">
        <v>1.5672372968209409E-6</v>
      </c>
      <c r="AD19" s="219">
        <v>1.5671595073605539E-6</v>
      </c>
      <c r="AE19" s="219">
        <v>1.5670829194915029E-6</v>
      </c>
      <c r="AF19" s="219">
        <v>1.5662252627797261E-6</v>
      </c>
      <c r="AG19" s="219">
        <v>1.5661522145308051E-6</v>
      </c>
      <c r="AH19" s="219">
        <v>1.5660799109313469E-6</v>
      </c>
      <c r="AI19" s="219">
        <v>1.5662704429622971E-6</v>
      </c>
      <c r="AJ19" s="219">
        <v>1.566464985472766E-6</v>
      </c>
      <c r="AK19" s="219">
        <v>1.5668236938576631E-6</v>
      </c>
      <c r="AL19" s="219">
        <v>1.5670463956229409E-6</v>
      </c>
      <c r="AM19" s="219">
        <v>1.567271886153525E-6</v>
      </c>
      <c r="AN19" s="219">
        <v>1.567727827872054E-6</v>
      </c>
      <c r="AO19" s="219">
        <v>1.5681900419491221E-6</v>
      </c>
      <c r="AP19" s="219">
        <v>1.568967423946856E-6</v>
      </c>
      <c r="AQ19" s="219">
        <v>1.5694650767689371E-6</v>
      </c>
      <c r="AR19" s="219">
        <v>1.569969247846768E-6</v>
      </c>
      <c r="AS19" s="219">
        <v>1.569850501137031E-6</v>
      </c>
      <c r="AT19" s="219">
        <v>1.5697316993241141E-6</v>
      </c>
      <c r="AU19" s="219">
        <v>1.569741330669829E-6</v>
      </c>
      <c r="AV19" s="219">
        <v>1.5696238350261161E-6</v>
      </c>
      <c r="AW19" s="219">
        <v>1.56950601816279E-6</v>
      </c>
      <c r="AX19" s="219">
        <v>1.569160598167989E-6</v>
      </c>
      <c r="AY19" s="219">
        <v>1.568729594666492E-6</v>
      </c>
      <c r="AZ19" s="219">
        <v>1.5682966672541431E-6</v>
      </c>
      <c r="BA19" s="219">
        <v>1.5678617807268961E-6</v>
      </c>
      <c r="BB19" s="219">
        <v>1.567424919647511E-6</v>
      </c>
      <c r="BC19" s="33">
        <v>0.36551113307507038</v>
      </c>
      <c r="BD19" s="219">
        <v>0.36521834706935352</v>
      </c>
      <c r="BE19" s="219">
        <v>0.36492793938448348</v>
      </c>
      <c r="BF19" s="219">
        <v>0.35554611944840331</v>
      </c>
      <c r="BG19" s="219">
        <v>0.35528182966299288</v>
      </c>
      <c r="BH19" s="219">
        <v>0.35501952306139889</v>
      </c>
      <c r="BI19" s="219">
        <v>0.35460939714003492</v>
      </c>
      <c r="BJ19" s="219">
        <v>0.35420800539479669</v>
      </c>
      <c r="BK19" s="219">
        <v>0.34705400018688809</v>
      </c>
      <c r="BL19" s="219">
        <v>0.34671642010167492</v>
      </c>
      <c r="BM19" s="219">
        <v>0.34638704361020678</v>
      </c>
      <c r="BN19" s="219">
        <v>0.3459373958186448</v>
      </c>
      <c r="BO19" s="219">
        <v>0.34549818346106792</v>
      </c>
      <c r="BP19" s="219">
        <v>0.34296939209673649</v>
      </c>
      <c r="BQ19" s="219">
        <v>0.34257544274076351</v>
      </c>
      <c r="BR19" s="219">
        <v>0.34219228698200921</v>
      </c>
      <c r="BS19" s="219">
        <v>0.3416794368306692</v>
      </c>
      <c r="BT19" s="219">
        <v>0.34117624848053041</v>
      </c>
      <c r="BU19" s="219">
        <v>0.33864619003933089</v>
      </c>
      <c r="BV19" s="219">
        <v>0.33818150503915462</v>
      </c>
      <c r="BW19" s="219">
        <v>0.33772647928989102</v>
      </c>
      <c r="BX19" s="219">
        <v>0.33736860234499849</v>
      </c>
      <c r="BY19" s="219">
        <v>0.33701382508441657</v>
      </c>
      <c r="BZ19" s="219">
        <v>0.33666191635767628</v>
      </c>
      <c r="CA19" s="219">
        <v>0.33631285194090771</v>
      </c>
      <c r="CB19" s="219">
        <v>0.33596663737797089</v>
      </c>
      <c r="CC19" s="33">
        <v>18.01825541373108</v>
      </c>
      <c r="CD19" s="219">
        <v>18.015271181401701</v>
      </c>
      <c r="CE19" s="219">
        <v>18.012335184356861</v>
      </c>
      <c r="CF19" s="219">
        <v>17.950814906295111</v>
      </c>
      <c r="CG19" s="219">
        <v>17.948076780202459</v>
      </c>
      <c r="CH19" s="219">
        <v>17.945370825031588</v>
      </c>
      <c r="CI19" s="219">
        <v>17.945159944709591</v>
      </c>
      <c r="CJ19" s="219">
        <v>17.945086335094871</v>
      </c>
      <c r="CK19" s="219">
        <v>17.904981397886761</v>
      </c>
      <c r="CL19" s="219">
        <v>17.905635343147981</v>
      </c>
      <c r="CM19" s="219">
        <v>17.906394658922459</v>
      </c>
      <c r="CN19" s="219">
        <v>17.909256294339691</v>
      </c>
      <c r="CO19" s="219">
        <v>17.912286145350471</v>
      </c>
      <c r="CP19" s="219">
        <v>17.905306274376009</v>
      </c>
      <c r="CQ19" s="219">
        <v>17.909053498815101</v>
      </c>
      <c r="CR19" s="219">
        <v>17.912972812654569</v>
      </c>
      <c r="CS19" s="219">
        <v>17.907744468073549</v>
      </c>
      <c r="CT19" s="219">
        <v>17.902591010051399</v>
      </c>
      <c r="CU19" s="219">
        <v>17.887351400218819</v>
      </c>
      <c r="CV19" s="219">
        <v>17.882435234600251</v>
      </c>
      <c r="CW19" s="219">
        <v>17.87757858394999</v>
      </c>
      <c r="CX19" s="219">
        <v>17.86934037930509</v>
      </c>
      <c r="CY19" s="219">
        <v>17.860735395912101</v>
      </c>
      <c r="CZ19" s="219">
        <v>17.85212227491132</v>
      </c>
      <c r="DA19" s="219">
        <v>17.843500032398001</v>
      </c>
      <c r="DB19" s="219">
        <v>17.83486823013482</v>
      </c>
    </row>
    <row r="20" spans="1:106" x14ac:dyDescent="0.35">
      <c r="A20" s="137" t="s">
        <v>549</v>
      </c>
      <c r="B20" s="130" t="s">
        <v>545</v>
      </c>
      <c r="C20" s="219">
        <v>6.5138950371965165E-4</v>
      </c>
      <c r="D20" s="219">
        <v>6.5138373873896655E-4</v>
      </c>
      <c r="E20" s="219">
        <v>6.5137878350127849E-4</v>
      </c>
      <c r="F20" s="219">
        <v>6.5233885901992705E-4</v>
      </c>
      <c r="G20" s="219">
        <v>6.5232908882946819E-4</v>
      </c>
      <c r="H20" s="219">
        <v>6.5231949733403848E-4</v>
      </c>
      <c r="I20" s="219">
        <v>6.5265388659825944E-4</v>
      </c>
      <c r="J20" s="219">
        <v>6.5300345541216879E-4</v>
      </c>
      <c r="K20" s="219">
        <v>6.5474014640256543E-4</v>
      </c>
      <c r="L20" s="219">
        <v>6.551502931222016E-4</v>
      </c>
      <c r="M20" s="219">
        <v>6.5557053235494318E-4</v>
      </c>
      <c r="N20" s="219">
        <v>6.564686110175019E-4</v>
      </c>
      <c r="O20" s="219">
        <v>6.5738273000190547E-4</v>
      </c>
      <c r="P20" s="219">
        <v>6.592214725362382E-4</v>
      </c>
      <c r="Q20" s="219">
        <v>6.6020432961328953E-4</v>
      </c>
      <c r="R20" s="219">
        <v>6.6120078472738867E-4</v>
      </c>
      <c r="S20" s="219">
        <v>6.6113986216662004E-4</v>
      </c>
      <c r="T20" s="219">
        <v>6.6107788606760496E-4</v>
      </c>
      <c r="U20" s="219">
        <v>6.6136705100905977E-4</v>
      </c>
      <c r="V20" s="219">
        <v>6.6130219381712067E-4</v>
      </c>
      <c r="W20" s="219">
        <v>6.6123592715594298E-4</v>
      </c>
      <c r="X20" s="219">
        <v>6.6068570055083072E-4</v>
      </c>
      <c r="Y20" s="219">
        <v>6.6008101043497328E-4</v>
      </c>
      <c r="Z20" s="219">
        <v>6.594724998172756E-4</v>
      </c>
      <c r="AA20" s="219">
        <v>6.5886015482857579E-4</v>
      </c>
      <c r="AB20" s="219">
        <v>6.5824397634018554E-4</v>
      </c>
      <c r="AC20" s="33">
        <v>9.5740580151716582E-7</v>
      </c>
      <c r="AD20" s="219">
        <v>9.5732584799502271E-7</v>
      </c>
      <c r="AE20" s="219">
        <v>9.5724704497282019E-7</v>
      </c>
      <c r="AF20" s="219">
        <v>9.5631554975211743E-7</v>
      </c>
      <c r="AG20" s="219">
        <v>9.5624034675176088E-7</v>
      </c>
      <c r="AH20" s="219">
        <v>9.561658709100411E-7</v>
      </c>
      <c r="AI20" s="219">
        <v>9.5637306931255335E-7</v>
      </c>
      <c r="AJ20" s="219">
        <v>9.5658442470258515E-7</v>
      </c>
      <c r="AK20" s="219">
        <v>9.5697458367724575E-7</v>
      </c>
      <c r="AL20" s="219">
        <v>9.5721615568941406E-7</v>
      </c>
      <c r="AM20" s="219">
        <v>9.5746062066945633E-7</v>
      </c>
      <c r="AN20" s="219">
        <v>9.5795602279691412E-7</v>
      </c>
      <c r="AO20" s="219">
        <v>9.5845815287377869E-7</v>
      </c>
      <c r="AP20" s="219">
        <v>9.5930440421641327E-7</v>
      </c>
      <c r="AQ20" s="219">
        <v>9.598449473203108E-7</v>
      </c>
      <c r="AR20" s="219">
        <v>9.6039240213022233E-7</v>
      </c>
      <c r="AS20" s="219">
        <v>9.6027447524730375E-7</v>
      </c>
      <c r="AT20" s="219">
        <v>9.601565862978388E-7</v>
      </c>
      <c r="AU20" s="219">
        <v>9.6018011952597667E-7</v>
      </c>
      <c r="AV20" s="219">
        <v>9.6006388467366604E-7</v>
      </c>
      <c r="AW20" s="219">
        <v>9.5994742768015655E-7</v>
      </c>
      <c r="AX20" s="219">
        <v>9.5958896036114697E-7</v>
      </c>
      <c r="AY20" s="219">
        <v>9.5913691242913137E-7</v>
      </c>
      <c r="AZ20" s="219">
        <v>9.586828606492587E-7</v>
      </c>
      <c r="BA20" s="219">
        <v>9.5822677874573218E-7</v>
      </c>
      <c r="BB20" s="219">
        <v>9.5776865328815729E-7</v>
      </c>
      <c r="BC20" s="33">
        <v>0.40619695713101073</v>
      </c>
      <c r="BD20" s="219">
        <v>0.40587325619610659</v>
      </c>
      <c r="BE20" s="219">
        <v>0.40555216971313268</v>
      </c>
      <c r="BF20" s="219">
        <v>0.39534497785183492</v>
      </c>
      <c r="BG20" s="219">
        <v>0.39505244854311922</v>
      </c>
      <c r="BH20" s="219">
        <v>0.39476219105378058</v>
      </c>
      <c r="BI20" s="219">
        <v>0.39430380236034451</v>
      </c>
      <c r="BJ20" s="219">
        <v>0.39385547548172473</v>
      </c>
      <c r="BK20" s="219">
        <v>0.38606965177521269</v>
      </c>
      <c r="BL20" s="219">
        <v>0.38569178921201852</v>
      </c>
      <c r="BM20" s="219">
        <v>0.3853234663746064</v>
      </c>
      <c r="BN20" s="219">
        <v>0.3848140192478916</v>
      </c>
      <c r="BO20" s="219">
        <v>0.38431673578606002</v>
      </c>
      <c r="BP20" s="219">
        <v>0.38155057687271549</v>
      </c>
      <c r="BQ20" s="219">
        <v>0.38110417137594871</v>
      </c>
      <c r="BR20" s="219">
        <v>0.38067027424057248</v>
      </c>
      <c r="BS20" s="219">
        <v>0.38010116381665771</v>
      </c>
      <c r="BT20" s="219">
        <v>0.37954362893847138</v>
      </c>
      <c r="BU20" s="219">
        <v>0.37678542314477931</v>
      </c>
      <c r="BV20" s="219">
        <v>0.37627190380465708</v>
      </c>
      <c r="BW20" s="219">
        <v>0.3757699592671821</v>
      </c>
      <c r="BX20" s="219">
        <v>0.37537505163437129</v>
      </c>
      <c r="BY20" s="219">
        <v>0.37498374328751738</v>
      </c>
      <c r="BZ20" s="219">
        <v>0.37459579106393098</v>
      </c>
      <c r="CA20" s="219">
        <v>0.37421118561334321</v>
      </c>
      <c r="CB20" s="219">
        <v>0.37382993317141738</v>
      </c>
      <c r="CC20" s="33">
        <v>6.8175707540460699</v>
      </c>
      <c r="CD20" s="219">
        <v>6.8144303293867878</v>
      </c>
      <c r="CE20" s="219">
        <v>6.8113396794047016</v>
      </c>
      <c r="CF20" s="219">
        <v>6.7445268668998288</v>
      </c>
      <c r="CG20" s="219">
        <v>6.7416481392722112</v>
      </c>
      <c r="CH20" s="219">
        <v>6.7388037617892769</v>
      </c>
      <c r="CI20" s="219">
        <v>6.7385755711743593</v>
      </c>
      <c r="CJ20" s="219">
        <v>6.7384959173226253</v>
      </c>
      <c r="CK20" s="219">
        <v>6.6949163528192646</v>
      </c>
      <c r="CL20" s="219">
        <v>6.6956263734734067</v>
      </c>
      <c r="CM20" s="219">
        <v>6.6964517462035626</v>
      </c>
      <c r="CN20" s="219">
        <v>6.6995288780140596</v>
      </c>
      <c r="CO20" s="219">
        <v>6.7027909943771169</v>
      </c>
      <c r="CP20" s="219">
        <v>6.6951925465458091</v>
      </c>
      <c r="CQ20" s="219">
        <v>6.6992404171358224</v>
      </c>
      <c r="CR20" s="219">
        <v>6.703475680608844</v>
      </c>
      <c r="CS20" s="219">
        <v>6.6980322348262238</v>
      </c>
      <c r="CT20" s="219">
        <v>6.6926763322783431</v>
      </c>
      <c r="CU20" s="219">
        <v>6.6763792674836377</v>
      </c>
      <c r="CV20" s="219">
        <v>6.6712953568884998</v>
      </c>
      <c r="CW20" s="219">
        <v>6.6662833465841489</v>
      </c>
      <c r="CX20" s="219">
        <v>6.6576770083366439</v>
      </c>
      <c r="CY20" s="219">
        <v>6.6486796098515013</v>
      </c>
      <c r="CZ20" s="219">
        <v>6.6396756805911563</v>
      </c>
      <c r="DA20" s="219">
        <v>6.6306644676033351</v>
      </c>
      <c r="DB20" s="219">
        <v>6.6216455520660711</v>
      </c>
    </row>
    <row r="21" spans="1:106" x14ac:dyDescent="0.35">
      <c r="A21" s="137" t="s">
        <v>550</v>
      </c>
      <c r="B21" s="130" t="s">
        <v>545</v>
      </c>
      <c r="C21" s="219">
        <v>2.260837889712868E-3</v>
      </c>
      <c r="D21" s="219">
        <v>2.2605978486581668E-3</v>
      </c>
      <c r="E21" s="219">
        <v>2.2603630532942341E-3</v>
      </c>
      <c r="F21" s="219">
        <v>2.2642772266230271E-3</v>
      </c>
      <c r="G21" s="219">
        <v>2.2640229997860049E-3</v>
      </c>
      <c r="H21" s="219">
        <v>2.2637709854538049E-3</v>
      </c>
      <c r="I21" s="219">
        <v>2.2662917124845858E-3</v>
      </c>
      <c r="J21" s="219">
        <v>2.268874451440027E-3</v>
      </c>
      <c r="K21" s="219">
        <v>2.2776118565425532E-3</v>
      </c>
      <c r="L21" s="219">
        <v>2.280452659831525E-3</v>
      </c>
      <c r="M21" s="219">
        <v>2.283331043059647E-3</v>
      </c>
      <c r="N21" s="219">
        <v>2.2887288601879789E-3</v>
      </c>
      <c r="O21" s="219">
        <v>2.2941905143632748E-3</v>
      </c>
      <c r="P21" s="219">
        <v>2.3038186786261449E-3</v>
      </c>
      <c r="Q21" s="219">
        <v>2.309570844134278E-3</v>
      </c>
      <c r="R21" s="219">
        <v>2.3153751597849198E-3</v>
      </c>
      <c r="S21" s="219">
        <v>2.313589186073235E-3</v>
      </c>
      <c r="T21" s="219">
        <v>2.3117720424237881E-3</v>
      </c>
      <c r="U21" s="219">
        <v>2.3115746508020609E-3</v>
      </c>
      <c r="V21" s="219">
        <v>2.309690014782366E-3</v>
      </c>
      <c r="W21" s="219">
        <v>2.3077708019976491E-3</v>
      </c>
      <c r="X21" s="219">
        <v>2.3026459529785128E-3</v>
      </c>
      <c r="Y21" s="219">
        <v>2.297165846293559E-3</v>
      </c>
      <c r="Z21" s="219">
        <v>2.2916358446993632E-3</v>
      </c>
      <c r="AA21" s="219">
        <v>2.2860550403126468E-3</v>
      </c>
      <c r="AB21" s="219">
        <v>2.280422695952352E-3</v>
      </c>
      <c r="AC21" s="33">
        <v>3.2131624939825021E-6</v>
      </c>
      <c r="AD21" s="219">
        <v>3.212491811873663E-6</v>
      </c>
      <c r="AE21" s="219">
        <v>3.21182353379638E-6</v>
      </c>
      <c r="AF21" s="219">
        <v>3.2072798390403671E-6</v>
      </c>
      <c r="AG21" s="219">
        <v>3.2066211515180128E-6</v>
      </c>
      <c r="AH21" s="219">
        <v>3.205962289519854E-6</v>
      </c>
      <c r="AI21" s="219">
        <v>3.2073336060738269E-6</v>
      </c>
      <c r="AJ21" s="219">
        <v>3.2087154191022051E-6</v>
      </c>
      <c r="AK21" s="219">
        <v>3.21090235691238E-6</v>
      </c>
      <c r="AL21" s="219">
        <v>3.212403778730905E-6</v>
      </c>
      <c r="AM21" s="219">
        <v>3.213909669902609E-6</v>
      </c>
      <c r="AN21" s="219">
        <v>3.2168257929611848E-6</v>
      </c>
      <c r="AO21" s="219">
        <v>3.2197648444934018E-6</v>
      </c>
      <c r="AP21" s="219">
        <v>3.224264702552026E-6</v>
      </c>
      <c r="AQ21" s="219">
        <v>3.227361344364016E-6</v>
      </c>
      <c r="AR21" s="219">
        <v>3.230482110614906E-6</v>
      </c>
      <c r="AS21" s="219">
        <v>3.2286842697441372E-6</v>
      </c>
      <c r="AT21" s="219">
        <v>3.2268714120517368E-6</v>
      </c>
      <c r="AU21" s="219">
        <v>3.22571398023365E-6</v>
      </c>
      <c r="AV21" s="219">
        <v>3.223875853570927E-6</v>
      </c>
      <c r="AW21" s="219">
        <v>3.2220196803264609E-6</v>
      </c>
      <c r="AX21" s="219">
        <v>3.2183298778896752E-6</v>
      </c>
      <c r="AY21" s="219">
        <v>3.214260395738403E-6</v>
      </c>
      <c r="AZ21" s="219">
        <v>3.2101670160776221E-6</v>
      </c>
      <c r="BA21" s="219">
        <v>3.2060490294522179E-6</v>
      </c>
      <c r="BB21" s="219">
        <v>3.2019059084354961E-6</v>
      </c>
      <c r="BC21" s="33">
        <v>1.8861133329670769</v>
      </c>
      <c r="BD21" s="219">
        <v>1.884348504457078</v>
      </c>
      <c r="BE21" s="219">
        <v>1.8825571796769871</v>
      </c>
      <c r="BF21" s="219">
        <v>1.836839047914034</v>
      </c>
      <c r="BG21" s="219">
        <v>1.8350953606401099</v>
      </c>
      <c r="BH21" s="219">
        <v>1.8333214563253</v>
      </c>
      <c r="BI21" s="219">
        <v>1.830942857050764</v>
      </c>
      <c r="BJ21" s="219">
        <v>1.8285810972495939</v>
      </c>
      <c r="BK21" s="219">
        <v>1.793752781661432</v>
      </c>
      <c r="BL21" s="219">
        <v>1.7916494377006851</v>
      </c>
      <c r="BM21" s="219">
        <v>1.789561180061825</v>
      </c>
      <c r="BN21" s="219">
        <v>1.7875845131220329</v>
      </c>
      <c r="BO21" s="219">
        <v>1.785649385619712</v>
      </c>
      <c r="BP21" s="219">
        <v>1.773684326837824</v>
      </c>
      <c r="BQ21" s="219">
        <v>1.771949728558841</v>
      </c>
      <c r="BR21" s="219">
        <v>1.7702581999001039</v>
      </c>
      <c r="BS21" s="219">
        <v>1.7674473229197081</v>
      </c>
      <c r="BT21" s="219">
        <v>1.7646621295026419</v>
      </c>
      <c r="BU21" s="219">
        <v>1.752131996503991</v>
      </c>
      <c r="BV21" s="219">
        <v>1.749491455202872</v>
      </c>
      <c r="BW21" s="219">
        <v>1.74687678061762</v>
      </c>
      <c r="BX21" s="219">
        <v>1.744957728876809</v>
      </c>
      <c r="BY21" s="219">
        <v>1.7430603200854871</v>
      </c>
      <c r="BZ21" s="219">
        <v>1.7411825659858731</v>
      </c>
      <c r="CA21" s="219">
        <v>1.7393243750677869</v>
      </c>
      <c r="CB21" s="219">
        <v>1.7374859057049641</v>
      </c>
      <c r="CC21" s="33">
        <v>24.485022310947969</v>
      </c>
      <c r="CD21" s="219">
        <v>24.459681013910821</v>
      </c>
      <c r="CE21" s="219">
        <v>24.43444840524452</v>
      </c>
      <c r="CF21" s="219">
        <v>24.125791364384639</v>
      </c>
      <c r="CG21" s="219">
        <v>24.10122054291806</v>
      </c>
      <c r="CH21" s="219">
        <v>24.07665052559808</v>
      </c>
      <c r="CI21" s="219">
        <v>24.07467185100511</v>
      </c>
      <c r="CJ21" s="219">
        <v>24.07322290684964</v>
      </c>
      <c r="CK21" s="219">
        <v>23.879479886382349</v>
      </c>
      <c r="CL21" s="219">
        <v>23.881306928490211</v>
      </c>
      <c r="CM21" s="219">
        <v>23.88349804008234</v>
      </c>
      <c r="CN21" s="219">
        <v>23.902060607621461</v>
      </c>
      <c r="CO21" s="219">
        <v>23.92138309189869</v>
      </c>
      <c r="CP21" s="219">
        <v>23.892938703213581</v>
      </c>
      <c r="CQ21" s="219">
        <v>23.915607520751241</v>
      </c>
      <c r="CR21" s="219">
        <v>23.9390419197508</v>
      </c>
      <c r="CS21" s="219">
        <v>23.884084597025389</v>
      </c>
      <c r="CT21" s="219">
        <v>23.82943866635005</v>
      </c>
      <c r="CU21" s="219">
        <v>23.726564083809709</v>
      </c>
      <c r="CV21" s="219">
        <v>23.67282365083042</v>
      </c>
      <c r="CW21" s="219">
        <v>23.619225024680041</v>
      </c>
      <c r="CX21" s="219">
        <v>23.53983875747879</v>
      </c>
      <c r="CY21" s="219">
        <v>23.458360288017531</v>
      </c>
      <c r="CZ21" s="219">
        <v>23.376910477820338</v>
      </c>
      <c r="DA21" s="219">
        <v>23.29547196294692</v>
      </c>
      <c r="DB21" s="219">
        <v>23.214034108572079</v>
      </c>
    </row>
    <row r="22" spans="1:106" x14ac:dyDescent="0.35">
      <c r="A22" s="137" t="s">
        <v>551</v>
      </c>
      <c r="B22" s="130" t="s">
        <v>545</v>
      </c>
      <c r="C22" s="219">
        <v>1.0198651750983659E-3</v>
      </c>
      <c r="D22" s="219">
        <v>1.0198732055019661E-3</v>
      </c>
      <c r="E22" s="219">
        <v>1.019883293450486E-3</v>
      </c>
      <c r="F22" s="219">
        <v>1.022603747792498E-3</v>
      </c>
      <c r="G22" s="219">
        <v>1.022600035077616E-3</v>
      </c>
      <c r="H22" s="219">
        <v>1.0225966864556421E-3</v>
      </c>
      <c r="I22" s="219">
        <v>1.02343212570651E-3</v>
      </c>
      <c r="J22" s="219">
        <v>1.0243095971975819E-3</v>
      </c>
      <c r="K22" s="219">
        <v>1.029064484540445E-3</v>
      </c>
      <c r="L22" s="219">
        <v>1.0301106571361E-3</v>
      </c>
      <c r="M22" s="219">
        <v>1.0311849367766279E-3</v>
      </c>
      <c r="N22" s="219">
        <v>1.033537415636258E-3</v>
      </c>
      <c r="O22" s="219">
        <v>1.0359344523942231E-3</v>
      </c>
      <c r="P22" s="219">
        <v>1.040909865035641E-3</v>
      </c>
      <c r="Q22" s="219">
        <v>1.04349860950036E-3</v>
      </c>
      <c r="R22" s="219">
        <v>1.046125183963302E-3</v>
      </c>
      <c r="S22" s="219">
        <v>1.0460697387652991E-3</v>
      </c>
      <c r="T22" s="219">
        <v>1.0460131053093289E-3</v>
      </c>
      <c r="U22" s="219">
        <v>1.046931888765826E-3</v>
      </c>
      <c r="V22" s="219">
        <v>1.0468708545818949E-3</v>
      </c>
      <c r="W22" s="219">
        <v>1.0468077812219199E-3</v>
      </c>
      <c r="X22" s="219">
        <v>1.045495085629306E-3</v>
      </c>
      <c r="Y22" s="219">
        <v>1.0440481850055E-3</v>
      </c>
      <c r="Z22" s="219">
        <v>1.0425929726295029E-3</v>
      </c>
      <c r="AA22" s="219">
        <v>1.0411294652998089E-3</v>
      </c>
      <c r="AB22" s="219">
        <v>1.039657713551943E-3</v>
      </c>
      <c r="AC22" s="33">
        <v>9.8185878841424769E-7</v>
      </c>
      <c r="AD22" s="219">
        <v>9.8166646251282462E-7</v>
      </c>
      <c r="AE22" s="219">
        <v>9.8147745292580785E-7</v>
      </c>
      <c r="AF22" s="219">
        <v>9.7891286527554303E-7</v>
      </c>
      <c r="AG22" s="219">
        <v>9.787341636054909E-7</v>
      </c>
      <c r="AH22" s="219">
        <v>9.7855766249187858E-7</v>
      </c>
      <c r="AI22" s="219">
        <v>9.7908637567764467E-7</v>
      </c>
      <c r="AJ22" s="219">
        <v>9.7962706177922957E-7</v>
      </c>
      <c r="AK22" s="219">
        <v>9.8066620094352841E-7</v>
      </c>
      <c r="AL22" s="219">
        <v>9.8129196721872382E-7</v>
      </c>
      <c r="AM22" s="219">
        <v>9.8192622824176367E-7</v>
      </c>
      <c r="AN22" s="219">
        <v>9.8322605673529261E-7</v>
      </c>
      <c r="AO22" s="219">
        <v>9.8454493750081492E-7</v>
      </c>
      <c r="AP22" s="219">
        <v>9.8682246181740424E-7</v>
      </c>
      <c r="AQ22" s="219">
        <v>9.882491564587877E-7</v>
      </c>
      <c r="AR22" s="219">
        <v>9.896953369965953E-7</v>
      </c>
      <c r="AS22" s="219">
        <v>9.8946687608335178E-7</v>
      </c>
      <c r="AT22" s="219">
        <v>9.8923961988677005E-7</v>
      </c>
      <c r="AU22" s="219">
        <v>9.8940491528349657E-7</v>
      </c>
      <c r="AV22" s="219">
        <v>9.8918467333125339E-7</v>
      </c>
      <c r="AW22" s="219">
        <v>9.8896506397400676E-7</v>
      </c>
      <c r="AX22" s="219">
        <v>9.8812260831358999E-7</v>
      </c>
      <c r="AY22" s="219">
        <v>9.8704172639697469E-7</v>
      </c>
      <c r="AZ22" s="219">
        <v>9.859564431375639E-7</v>
      </c>
      <c r="BA22" s="219">
        <v>9.848667252392114E-7</v>
      </c>
      <c r="BB22" s="219">
        <v>9.8377256702323424E-7</v>
      </c>
      <c r="BC22" s="33">
        <v>1.1283408704998179</v>
      </c>
      <c r="BD22" s="219">
        <v>1.1274580179320091</v>
      </c>
      <c r="BE22" s="219">
        <v>1.1265846435156599</v>
      </c>
      <c r="BF22" s="219">
        <v>1.098075297239538</v>
      </c>
      <c r="BG22" s="219">
        <v>1.097286252502256</v>
      </c>
      <c r="BH22" s="219">
        <v>1.096505878528486</v>
      </c>
      <c r="BI22" s="219">
        <v>1.095230629152778</v>
      </c>
      <c r="BJ22" s="219">
        <v>1.093985331667352</v>
      </c>
      <c r="BK22" s="219">
        <v>1.072216011805911</v>
      </c>
      <c r="BL22" s="219">
        <v>1.0711712820391761</v>
      </c>
      <c r="BM22" s="219">
        <v>1.070155027887185</v>
      </c>
      <c r="BN22" s="219">
        <v>1.0686857689883631</v>
      </c>
      <c r="BO22" s="219">
        <v>1.067251605295884</v>
      </c>
      <c r="BP22" s="219">
        <v>1.0594704764908791</v>
      </c>
      <c r="BQ22" s="219">
        <v>1.058180792629785</v>
      </c>
      <c r="BR22" s="219">
        <v>1.0569271521390631</v>
      </c>
      <c r="BS22" s="219">
        <v>1.0553520315634251</v>
      </c>
      <c r="BT22" s="219">
        <v>1.05381126514724</v>
      </c>
      <c r="BU22" s="219">
        <v>1.046115508066344</v>
      </c>
      <c r="BV22" s="219">
        <v>1.0447017159055589</v>
      </c>
      <c r="BW22" s="219">
        <v>1.043322253767466</v>
      </c>
      <c r="BX22" s="219">
        <v>1.042235645766119</v>
      </c>
      <c r="BY22" s="219">
        <v>1.041158820770641</v>
      </c>
      <c r="BZ22" s="219">
        <v>1.04009118453338</v>
      </c>
      <c r="CA22" s="219">
        <v>1.0390327142647591</v>
      </c>
      <c r="CB22" s="219">
        <v>1.0379834195412141</v>
      </c>
      <c r="CC22" s="33">
        <v>7.1861994390040378</v>
      </c>
      <c r="CD22" s="219">
        <v>7.1784254060473272</v>
      </c>
      <c r="CE22" s="219">
        <v>7.1707946410985617</v>
      </c>
      <c r="CF22" s="219">
        <v>6.985062024099058</v>
      </c>
      <c r="CG22" s="219">
        <v>6.9780356242327093</v>
      </c>
      <c r="CH22" s="219">
        <v>6.9711128884384728</v>
      </c>
      <c r="CI22" s="219">
        <v>6.9702655872118751</v>
      </c>
      <c r="CJ22" s="219">
        <v>6.9698391328780103</v>
      </c>
      <c r="CK22" s="219">
        <v>6.8477187094630843</v>
      </c>
      <c r="CL22" s="219">
        <v>6.8495090228556146</v>
      </c>
      <c r="CM22" s="219">
        <v>6.8516294548471066</v>
      </c>
      <c r="CN22" s="219">
        <v>6.859421856725592</v>
      </c>
      <c r="CO22" s="219">
        <v>6.8677334212667969</v>
      </c>
      <c r="CP22" s="219">
        <v>6.8456383453740406</v>
      </c>
      <c r="CQ22" s="219">
        <v>6.8561536737517974</v>
      </c>
      <c r="CR22" s="219">
        <v>6.867195005924871</v>
      </c>
      <c r="CS22" s="219">
        <v>6.8545443315660108</v>
      </c>
      <c r="CT22" s="219">
        <v>6.8421474984486128</v>
      </c>
      <c r="CU22" s="219">
        <v>6.7991331963326092</v>
      </c>
      <c r="CV22" s="219">
        <v>6.7875282534713177</v>
      </c>
      <c r="CW22" s="219">
        <v>6.776142341117275</v>
      </c>
      <c r="CX22" s="219">
        <v>6.7557749274223386</v>
      </c>
      <c r="CY22" s="219">
        <v>6.7343834746087019</v>
      </c>
      <c r="CZ22" s="219">
        <v>6.7129771303133641</v>
      </c>
      <c r="DA22" s="219">
        <v>6.6915547577702146</v>
      </c>
      <c r="DB22" s="219">
        <v>6.6701158229063697</v>
      </c>
    </row>
    <row r="23" spans="1:106" x14ac:dyDescent="0.35">
      <c r="A23" s="137" t="s">
        <v>552</v>
      </c>
      <c r="B23" s="130" t="s">
        <v>545</v>
      </c>
      <c r="C23" s="219">
        <v>1.75005910074826E-3</v>
      </c>
      <c r="D23" s="219">
        <v>1.750039506292706E-3</v>
      </c>
      <c r="E23" s="219">
        <v>1.7500212193006621E-3</v>
      </c>
      <c r="F23" s="219">
        <v>1.7510752558465321E-3</v>
      </c>
      <c r="G23" s="219">
        <v>1.751052302051971E-3</v>
      </c>
      <c r="H23" s="219">
        <v>1.7510298007516469E-3</v>
      </c>
      <c r="I23" s="219">
        <v>1.7514248898655119E-3</v>
      </c>
      <c r="J23" s="219">
        <v>1.751838114205472E-3</v>
      </c>
      <c r="K23" s="219">
        <v>1.753792196382243E-3</v>
      </c>
      <c r="L23" s="219">
        <v>1.7542749127184469E-3</v>
      </c>
      <c r="M23" s="219">
        <v>1.7547697065822491E-3</v>
      </c>
      <c r="N23" s="219">
        <v>1.755816906395214E-3</v>
      </c>
      <c r="O23" s="219">
        <v>1.756882804493773E-3</v>
      </c>
      <c r="P23" s="219">
        <v>1.758975315734394E-3</v>
      </c>
      <c r="Q23" s="219">
        <v>1.760118965210136E-3</v>
      </c>
      <c r="R23" s="219">
        <v>1.761278494033349E-3</v>
      </c>
      <c r="S23" s="219">
        <v>1.7611652239220711E-3</v>
      </c>
      <c r="T23" s="219">
        <v>1.761050294006013E-3</v>
      </c>
      <c r="U23" s="219">
        <v>1.761324029829445E-3</v>
      </c>
      <c r="V23" s="219">
        <v>1.761204826337831E-3</v>
      </c>
      <c r="W23" s="219">
        <v>1.7610834758395541E-3</v>
      </c>
      <c r="X23" s="219">
        <v>1.7603919226062809E-3</v>
      </c>
      <c r="Y23" s="219">
        <v>1.759629361545161E-3</v>
      </c>
      <c r="Z23" s="219">
        <v>1.758861737948903E-3</v>
      </c>
      <c r="AA23" s="219">
        <v>1.758089009492816E-3</v>
      </c>
      <c r="AB23" s="219">
        <v>1.7573111600072491E-3</v>
      </c>
      <c r="AC23" s="33">
        <v>2.2865614584904909E-6</v>
      </c>
      <c r="AD23" s="219">
        <v>2.2864586250879282E-6</v>
      </c>
      <c r="AE23" s="219">
        <v>2.2863571939142161E-6</v>
      </c>
      <c r="AF23" s="219">
        <v>2.2853101523690509E-6</v>
      </c>
      <c r="AG23" s="219">
        <v>2.2852128987530379E-6</v>
      </c>
      <c r="AH23" s="219">
        <v>2.2851164844900619E-6</v>
      </c>
      <c r="AI23" s="219">
        <v>2.285362996843421E-6</v>
      </c>
      <c r="AJ23" s="219">
        <v>2.285614234587898E-6</v>
      </c>
      <c r="AK23" s="219">
        <v>2.2860640741990878E-6</v>
      </c>
      <c r="AL23" s="219">
        <v>2.2863490817063252E-6</v>
      </c>
      <c r="AM23" s="219">
        <v>2.286637324404768E-6</v>
      </c>
      <c r="AN23" s="219">
        <v>2.2872163330008078E-6</v>
      </c>
      <c r="AO23" s="219">
        <v>2.2878028538070522E-6</v>
      </c>
      <c r="AP23" s="219">
        <v>2.2887710052869089E-6</v>
      </c>
      <c r="AQ23" s="219">
        <v>2.2894002005168378E-6</v>
      </c>
      <c r="AR23" s="219">
        <v>2.2900372206989089E-6</v>
      </c>
      <c r="AS23" s="219">
        <v>2.2898663726201639E-6</v>
      </c>
      <c r="AT23" s="219">
        <v>2.2896951563474089E-6</v>
      </c>
      <c r="AU23" s="219">
        <v>2.2896801037631049E-6</v>
      </c>
      <c r="AV23" s="219">
        <v>2.2895098086163929E-6</v>
      </c>
      <c r="AW23" s="219">
        <v>2.289338782763583E-6</v>
      </c>
      <c r="AX23" s="219">
        <v>2.288888654839446E-6</v>
      </c>
      <c r="AY23" s="219">
        <v>2.2883157612644569E-6</v>
      </c>
      <c r="AZ23" s="219">
        <v>2.287740204639334E-6</v>
      </c>
      <c r="BA23" s="219">
        <v>2.287161932949592E-6</v>
      </c>
      <c r="BB23" s="219">
        <v>2.286580918856556E-6</v>
      </c>
      <c r="BC23" s="33">
        <v>0.44859129986606161</v>
      </c>
      <c r="BD23" s="219">
        <v>0.44823020366588179</v>
      </c>
      <c r="BE23" s="219">
        <v>0.44787137016246242</v>
      </c>
      <c r="BF23" s="219">
        <v>0.43654114008732309</v>
      </c>
      <c r="BG23" s="219">
        <v>0.43621258420596892</v>
      </c>
      <c r="BH23" s="219">
        <v>0.43588578366624547</v>
      </c>
      <c r="BI23" s="219">
        <v>0.43538750244165503</v>
      </c>
      <c r="BJ23" s="219">
        <v>0.4348993567257024</v>
      </c>
      <c r="BK23" s="219">
        <v>0.4262669879454053</v>
      </c>
      <c r="BL23" s="219">
        <v>0.42585504322015411</v>
      </c>
      <c r="BM23" s="219">
        <v>0.42545260427595211</v>
      </c>
      <c r="BN23" s="219">
        <v>0.42492041938933611</v>
      </c>
      <c r="BO23" s="219">
        <v>0.42440067711888368</v>
      </c>
      <c r="BP23" s="219">
        <v>0.42136124226166499</v>
      </c>
      <c r="BQ23" s="219">
        <v>0.42089580117073622</v>
      </c>
      <c r="BR23" s="219">
        <v>0.42044323650717808</v>
      </c>
      <c r="BS23" s="219">
        <v>0.41981842771374889</v>
      </c>
      <c r="BT23" s="219">
        <v>0.41920489889865931</v>
      </c>
      <c r="BU23" s="219">
        <v>0.41614695959338072</v>
      </c>
      <c r="BV23" s="219">
        <v>0.4155791553682483</v>
      </c>
      <c r="BW23" s="219">
        <v>0.41502263482101309</v>
      </c>
      <c r="BX23" s="219">
        <v>0.41458397958757398</v>
      </c>
      <c r="BY23" s="219">
        <v>0.41414919005567619</v>
      </c>
      <c r="BZ23" s="219">
        <v>0.41371796251225201</v>
      </c>
      <c r="CA23" s="219">
        <v>0.413290269883549</v>
      </c>
      <c r="CB23" s="219">
        <v>0.41286612114578641</v>
      </c>
      <c r="CC23" s="33">
        <v>23.48295541051769</v>
      </c>
      <c r="CD23" s="219">
        <v>23.4790722883188</v>
      </c>
      <c r="CE23" s="219">
        <v>23.475245977191999</v>
      </c>
      <c r="CF23" s="219">
        <v>23.400709007498889</v>
      </c>
      <c r="CG23" s="219">
        <v>23.397117990173179</v>
      </c>
      <c r="CH23" s="219">
        <v>23.393563564740479</v>
      </c>
      <c r="CI23" s="219">
        <v>23.393397777592</v>
      </c>
      <c r="CJ23" s="219">
        <v>23.393396562543529</v>
      </c>
      <c r="CK23" s="219">
        <v>23.345119842306168</v>
      </c>
      <c r="CL23" s="219">
        <v>23.345994693326169</v>
      </c>
      <c r="CM23" s="219">
        <v>23.34699503621577</v>
      </c>
      <c r="CN23" s="219">
        <v>23.350735480854478</v>
      </c>
      <c r="CO23" s="219">
        <v>23.354679317649481</v>
      </c>
      <c r="CP23" s="219">
        <v>23.346562567210022</v>
      </c>
      <c r="CQ23" s="219">
        <v>23.351372095000869</v>
      </c>
      <c r="CR23" s="219">
        <v>23.35638950099046</v>
      </c>
      <c r="CS23" s="219">
        <v>23.349375132181809</v>
      </c>
      <c r="CT23" s="219">
        <v>23.342449616522881</v>
      </c>
      <c r="CU23" s="219">
        <v>23.323366920171299</v>
      </c>
      <c r="CV23" s="219">
        <v>23.316721070262091</v>
      </c>
      <c r="CW23" s="219">
        <v>23.310143062111671</v>
      </c>
      <c r="CX23" s="219">
        <v>23.299156094330069</v>
      </c>
      <c r="CY23" s="219">
        <v>23.2877014801394</v>
      </c>
      <c r="CZ23" s="219">
        <v>23.276236330588219</v>
      </c>
      <c r="DA23" s="219">
        <v>23.26475923404065</v>
      </c>
      <c r="DB23" s="219">
        <v>23.25326948537905</v>
      </c>
    </row>
    <row r="24" spans="1:106" x14ac:dyDescent="0.35">
      <c r="A24" s="137" t="s">
        <v>553</v>
      </c>
      <c r="B24" s="130" t="s">
        <v>545</v>
      </c>
      <c r="C24" s="219">
        <v>6.6255306702503686E-4</v>
      </c>
      <c r="D24" s="219">
        <v>6.6254899109682483E-4</v>
      </c>
      <c r="E24" s="219">
        <v>6.6254655577074385E-4</v>
      </c>
      <c r="F24" s="219">
        <v>6.6320332664430266E-4</v>
      </c>
      <c r="G24" s="219">
        <v>6.6319868261195854E-4</v>
      </c>
      <c r="H24" s="219">
        <v>6.6319502171397014E-4</v>
      </c>
      <c r="I24" s="219">
        <v>6.6328886528767229E-4</v>
      </c>
      <c r="J24" s="219">
        <v>6.6339933471985097E-4</v>
      </c>
      <c r="K24" s="219">
        <v>6.6442465633744841E-4</v>
      </c>
      <c r="L24" s="219">
        <v>6.6458637681710052E-4</v>
      </c>
      <c r="M24" s="219">
        <v>6.6475956214872677E-4</v>
      </c>
      <c r="N24" s="219">
        <v>6.6522769963556086E-4</v>
      </c>
      <c r="O24" s="219">
        <v>6.6571143276229696E-4</v>
      </c>
      <c r="P24" s="219">
        <v>6.6679171401244663E-4</v>
      </c>
      <c r="Q24" s="219">
        <v>6.6732881213539303E-4</v>
      </c>
      <c r="R24" s="219">
        <v>6.6787936981402328E-4</v>
      </c>
      <c r="S24" s="219">
        <v>6.6786797915035709E-4</v>
      </c>
      <c r="T24" s="219">
        <v>6.6785702416166225E-4</v>
      </c>
      <c r="U24" s="219">
        <v>6.6805962581741388E-4</v>
      </c>
      <c r="V24" s="219">
        <v>6.6804879387454854E-4</v>
      </c>
      <c r="W24" s="219">
        <v>6.6803797897342263E-4</v>
      </c>
      <c r="X24" s="219">
        <v>6.6777973186422815E-4</v>
      </c>
      <c r="Y24" s="219">
        <v>6.6748291011216852E-4</v>
      </c>
      <c r="Z24" s="219">
        <v>6.6718411058192819E-4</v>
      </c>
      <c r="AA24" s="219">
        <v>6.66883333608157E-4</v>
      </c>
      <c r="AB24" s="219">
        <v>6.6658059408361114E-4</v>
      </c>
      <c r="AC24" s="33">
        <v>4.005997400595978E-7</v>
      </c>
      <c r="AD24" s="219">
        <v>4.005547307413834E-7</v>
      </c>
      <c r="AE24" s="219">
        <v>4.0051101951824792E-7</v>
      </c>
      <c r="AF24" s="219">
        <v>3.9992706783770818E-7</v>
      </c>
      <c r="AG24" s="219">
        <v>3.9988693127640771E-7</v>
      </c>
      <c r="AH24" s="219">
        <v>3.9984763767368991E-7</v>
      </c>
      <c r="AI24" s="219">
        <v>3.9994161339365591E-7</v>
      </c>
      <c r="AJ24" s="219">
        <v>4.0003970344192399E-7</v>
      </c>
      <c r="AK24" s="219">
        <v>4.0025278574200789E-7</v>
      </c>
      <c r="AL24" s="219">
        <v>4.0037314877754079E-7</v>
      </c>
      <c r="AM24" s="219">
        <v>4.0049645268352273E-7</v>
      </c>
      <c r="AN24" s="219">
        <v>4.0076662680231019E-7</v>
      </c>
      <c r="AO24" s="219">
        <v>4.0104238637091162E-7</v>
      </c>
      <c r="AP24" s="219">
        <v>4.0153657181476119E-7</v>
      </c>
      <c r="AQ24" s="219">
        <v>4.0183939253451132E-7</v>
      </c>
      <c r="AR24" s="219">
        <v>4.0214835834387961E-7</v>
      </c>
      <c r="AS24" s="219">
        <v>4.0209132835600892E-7</v>
      </c>
      <c r="AT24" s="219">
        <v>4.0203459437701388E-7</v>
      </c>
      <c r="AU24" s="219">
        <v>4.020619189535231E-7</v>
      </c>
      <c r="AV24" s="219">
        <v>4.0200675211266439E-7</v>
      </c>
      <c r="AW24" s="219">
        <v>4.0195167988722252E-7</v>
      </c>
      <c r="AX24" s="219">
        <v>4.0176683685350278E-7</v>
      </c>
      <c r="AY24" s="219">
        <v>4.0152814978899068E-7</v>
      </c>
      <c r="AZ24" s="219">
        <v>4.0128839709995468E-7</v>
      </c>
      <c r="BA24" s="219">
        <v>4.0104756096575658E-7</v>
      </c>
      <c r="BB24" s="219">
        <v>4.0080563751485019E-7</v>
      </c>
      <c r="BC24" s="33">
        <v>0.20666675793327469</v>
      </c>
      <c r="BD24" s="219">
        <v>0.20646675603584599</v>
      </c>
      <c r="BE24" s="219">
        <v>0.20626899139268659</v>
      </c>
      <c r="BF24" s="219">
        <v>0.199597430129032</v>
      </c>
      <c r="BG24" s="219">
        <v>0.19941946675855721</v>
      </c>
      <c r="BH24" s="219">
        <v>0.19924333831221841</v>
      </c>
      <c r="BI24" s="219">
        <v>0.19893958789492119</v>
      </c>
      <c r="BJ24" s="219">
        <v>0.19864114476551251</v>
      </c>
      <c r="BK24" s="219">
        <v>0.19350871687574001</v>
      </c>
      <c r="BL24" s="219">
        <v>0.19325377301993271</v>
      </c>
      <c r="BM24" s="219">
        <v>0.19300351259554099</v>
      </c>
      <c r="BN24" s="219">
        <v>0.19264349333232711</v>
      </c>
      <c r="BO24" s="219">
        <v>0.19228907777754409</v>
      </c>
      <c r="BP24" s="219">
        <v>0.1904344447962982</v>
      </c>
      <c r="BQ24" s="219">
        <v>0.19010842286291901</v>
      </c>
      <c r="BR24" s="219">
        <v>0.18978852616021649</v>
      </c>
      <c r="BS24" s="219">
        <v>0.18938989588989999</v>
      </c>
      <c r="BT24" s="219">
        <v>0.18899565181302941</v>
      </c>
      <c r="BU24" s="219">
        <v>0.1871460060643379</v>
      </c>
      <c r="BV24" s="219">
        <v>0.186774029369424</v>
      </c>
      <c r="BW24" s="219">
        <v>0.18640637614189071</v>
      </c>
      <c r="BX24" s="219">
        <v>0.18614228927056861</v>
      </c>
      <c r="BY24" s="219">
        <v>0.18587944276359969</v>
      </c>
      <c r="BZ24" s="219">
        <v>0.18561770348289991</v>
      </c>
      <c r="CA24" s="219">
        <v>0.1853570483021689</v>
      </c>
      <c r="CB24" s="219">
        <v>0.18509747697468509</v>
      </c>
      <c r="CC24" s="33">
        <v>0.96737969959212433</v>
      </c>
      <c r="CD24" s="219">
        <v>0.96555164604650201</v>
      </c>
      <c r="CE24" s="219">
        <v>0.96376526225705383</v>
      </c>
      <c r="CF24" s="219">
        <v>0.92033592756018656</v>
      </c>
      <c r="CG24" s="219">
        <v>0.91870879495667368</v>
      </c>
      <c r="CH24" s="219">
        <v>0.9171092353227972</v>
      </c>
      <c r="CI24" s="219">
        <v>0.9164391123739829</v>
      </c>
      <c r="CJ24" s="219">
        <v>0.91588303925867076</v>
      </c>
      <c r="CK24" s="219">
        <v>0.88666969918437355</v>
      </c>
      <c r="CL24" s="219">
        <v>0.88665810691593505</v>
      </c>
      <c r="CM24" s="219">
        <v>0.88673170251534827</v>
      </c>
      <c r="CN24" s="219">
        <v>0.88797465984277257</v>
      </c>
      <c r="CO24" s="219">
        <v>0.8893468835306122</v>
      </c>
      <c r="CP24" s="219">
        <v>0.88350452000673352</v>
      </c>
      <c r="CQ24" s="219">
        <v>0.88540036120767218</v>
      </c>
      <c r="CR24" s="219">
        <v>0.88743872012687353</v>
      </c>
      <c r="CS24" s="219">
        <v>0.884353265586032</v>
      </c>
      <c r="CT24" s="219">
        <v>0.88131154935044287</v>
      </c>
      <c r="CU24" s="219">
        <v>0.87099089176344113</v>
      </c>
      <c r="CV24" s="219">
        <v>0.86810174525518891</v>
      </c>
      <c r="CW24" s="219">
        <v>0.86524757087191317</v>
      </c>
      <c r="CX24" s="219">
        <v>0.86069877968564856</v>
      </c>
      <c r="CY24" s="219">
        <v>0.85588352972672332</v>
      </c>
      <c r="CZ24" s="219">
        <v>0.85106039927519905</v>
      </c>
      <c r="DA24" s="219">
        <v>0.84622886278788056</v>
      </c>
      <c r="DB24" s="219">
        <v>0.84138876298206666</v>
      </c>
    </row>
    <row r="25" spans="1:106" x14ac:dyDescent="0.35">
      <c r="A25" s="137" t="s">
        <v>554</v>
      </c>
      <c r="B25" s="130" t="s">
        <v>545</v>
      </c>
      <c r="C25" s="219">
        <v>4.3728117983046939E-4</v>
      </c>
      <c r="D25" s="219">
        <v>4.3727288473680627E-4</v>
      </c>
      <c r="E25" s="219">
        <v>4.3726488327234072E-4</v>
      </c>
      <c r="F25" s="219">
        <v>4.3751657214012411E-4</v>
      </c>
      <c r="G25" s="219">
        <v>4.3750738087722848E-4</v>
      </c>
      <c r="H25" s="219">
        <v>4.3749828367552857E-4</v>
      </c>
      <c r="I25" s="219">
        <v>4.3761764163674521E-4</v>
      </c>
      <c r="J25" s="219">
        <v>4.3774136529298722E-4</v>
      </c>
      <c r="K25" s="219">
        <v>4.3824338249338511E-4</v>
      </c>
      <c r="L25" s="219">
        <v>4.3838399494669489E-4</v>
      </c>
      <c r="M25" s="219">
        <v>4.3852747128802718E-4</v>
      </c>
      <c r="N25" s="219">
        <v>4.3881996971349772E-4</v>
      </c>
      <c r="O25" s="219">
        <v>4.3911702159945339E-4</v>
      </c>
      <c r="P25" s="219">
        <v>4.3966792394563661E-4</v>
      </c>
      <c r="Q25" s="219">
        <v>4.3998401312680312E-4</v>
      </c>
      <c r="R25" s="219">
        <v>4.4030395120120912E-4</v>
      </c>
      <c r="S25" s="219">
        <v>4.4025729915152083E-4</v>
      </c>
      <c r="T25" s="219">
        <v>4.4020990693140801E-4</v>
      </c>
      <c r="U25" s="219">
        <v>4.4025990639475903E-4</v>
      </c>
      <c r="V25" s="219">
        <v>4.4021078312136459E-4</v>
      </c>
      <c r="W25" s="219">
        <v>4.4016078199451459E-4</v>
      </c>
      <c r="X25" s="219">
        <v>4.3995248576299978E-4</v>
      </c>
      <c r="Y25" s="219">
        <v>4.397206219768499E-4</v>
      </c>
      <c r="Z25" s="219">
        <v>4.3948708577566751E-4</v>
      </c>
      <c r="AA25" s="219">
        <v>4.3925185887206151E-4</v>
      </c>
      <c r="AB25" s="219">
        <v>4.390149290101648E-4</v>
      </c>
      <c r="AC25" s="33">
        <v>7.4356001722289956E-7</v>
      </c>
      <c r="AD25" s="219">
        <v>7.4352938368276311E-7</v>
      </c>
      <c r="AE25" s="219">
        <v>7.4349904747272463E-7</v>
      </c>
      <c r="AF25" s="219">
        <v>7.4323411846817504E-7</v>
      </c>
      <c r="AG25" s="219">
        <v>7.4320472172523809E-7</v>
      </c>
      <c r="AH25" s="219">
        <v>7.4317548406753345E-7</v>
      </c>
      <c r="AI25" s="219">
        <v>7.4324685784719915E-7</v>
      </c>
      <c r="AJ25" s="219">
        <v>7.4331929692942326E-7</v>
      </c>
      <c r="AK25" s="219">
        <v>7.4344086810614886E-7</v>
      </c>
      <c r="AL25" s="219">
        <v>7.435214225103445E-7</v>
      </c>
      <c r="AM25" s="219">
        <v>7.4360267238962342E-7</v>
      </c>
      <c r="AN25" s="219">
        <v>7.4376364165784974E-7</v>
      </c>
      <c r="AO25" s="219">
        <v>7.4392640944637171E-7</v>
      </c>
      <c r="AP25" s="219">
        <v>7.4418390462686924E-7</v>
      </c>
      <c r="AQ25" s="219">
        <v>7.4435708183611033E-7</v>
      </c>
      <c r="AR25" s="219">
        <v>7.4453213631158565E-7</v>
      </c>
      <c r="AS25" s="219">
        <v>7.4447333414175993E-7</v>
      </c>
      <c r="AT25" s="219">
        <v>7.4441425461411589E-7</v>
      </c>
      <c r="AU25" s="219">
        <v>7.4439447901756662E-7</v>
      </c>
      <c r="AV25" s="219">
        <v>7.4433522202391353E-7</v>
      </c>
      <c r="AW25" s="219">
        <v>7.4427557461486135E-7</v>
      </c>
      <c r="AX25" s="219">
        <v>7.4414503489136611E-7</v>
      </c>
      <c r="AY25" s="219">
        <v>7.4397157186221548E-7</v>
      </c>
      <c r="AZ25" s="219">
        <v>7.437972409509979E-7</v>
      </c>
      <c r="BA25" s="219">
        <v>7.436220243837267E-7</v>
      </c>
      <c r="BB25" s="219">
        <v>7.4344591010332642E-7</v>
      </c>
      <c r="BC25" s="33">
        <v>0.11597229514895729</v>
      </c>
      <c r="BD25" s="219">
        <v>0.1158779870946888</v>
      </c>
      <c r="BE25" s="219">
        <v>0.1157838413282639</v>
      </c>
      <c r="BF25" s="219">
        <v>0.1129947168821506</v>
      </c>
      <c r="BG25" s="219">
        <v>0.1129072144112539</v>
      </c>
      <c r="BH25" s="219">
        <v>0.11281973855473799</v>
      </c>
      <c r="BI25" s="219">
        <v>0.11269389482256741</v>
      </c>
      <c r="BJ25" s="219">
        <v>0.11257033402889299</v>
      </c>
      <c r="BK25" s="219">
        <v>0.1104498936763844</v>
      </c>
      <c r="BL25" s="219">
        <v>0.11034463403818059</v>
      </c>
      <c r="BM25" s="219">
        <v>0.1102415151391021</v>
      </c>
      <c r="BN25" s="219">
        <v>0.1101155201366336</v>
      </c>
      <c r="BO25" s="219">
        <v>0.1099925662097927</v>
      </c>
      <c r="BP25" s="219">
        <v>0.10925231935075071</v>
      </c>
      <c r="BQ25" s="219">
        <v>0.10914266274183849</v>
      </c>
      <c r="BR25" s="219">
        <v>0.1090361502447013</v>
      </c>
      <c r="BS25" s="219">
        <v>0.1088776551936833</v>
      </c>
      <c r="BT25" s="219">
        <v>0.1087217919441516</v>
      </c>
      <c r="BU25" s="219">
        <v>0.1079668720153813</v>
      </c>
      <c r="BV25" s="219">
        <v>0.1078219755331928</v>
      </c>
      <c r="BW25" s="219">
        <v>0.10767971639048129</v>
      </c>
      <c r="BX25" s="219">
        <v>0.1075669608632973</v>
      </c>
      <c r="BY25" s="219">
        <v>0.10745525976992069</v>
      </c>
      <c r="BZ25" s="219">
        <v>0.10734452318127639</v>
      </c>
      <c r="CA25" s="219">
        <v>0.1072347475857668</v>
      </c>
      <c r="CB25" s="219">
        <v>0.1071259367011158</v>
      </c>
      <c r="CC25" s="33">
        <v>5.6024173792620742</v>
      </c>
      <c r="CD25" s="219">
        <v>5.6012903092044066</v>
      </c>
      <c r="CE25" s="219">
        <v>5.6001760088331771</v>
      </c>
      <c r="CF25" s="219">
        <v>5.5816830653764464</v>
      </c>
      <c r="CG25" s="219">
        <v>5.5806239512768014</v>
      </c>
      <c r="CH25" s="219">
        <v>5.5795723048308119</v>
      </c>
      <c r="CI25" s="219">
        <v>5.5795895786965533</v>
      </c>
      <c r="CJ25" s="219">
        <v>5.5796464952801754</v>
      </c>
      <c r="CK25" s="219">
        <v>5.567870327310426</v>
      </c>
      <c r="CL25" s="219">
        <v>5.5681410232082209</v>
      </c>
      <c r="CM25" s="219">
        <v>5.5684415346074756</v>
      </c>
      <c r="CN25" s="219">
        <v>5.5695441251703421</v>
      </c>
      <c r="CO25" s="219">
        <v>5.5706971422111309</v>
      </c>
      <c r="CP25" s="219">
        <v>5.5689024983015818</v>
      </c>
      <c r="CQ25" s="219">
        <v>5.5702687216716962</v>
      </c>
      <c r="CR25" s="219">
        <v>5.5716861665911681</v>
      </c>
      <c r="CS25" s="219">
        <v>5.5695278299897044</v>
      </c>
      <c r="CT25" s="219">
        <v>5.567390949817054</v>
      </c>
      <c r="CU25" s="219">
        <v>5.562280093054472</v>
      </c>
      <c r="CV25" s="219">
        <v>5.5602089605770892</v>
      </c>
      <c r="CW25" s="219">
        <v>5.5581526264442118</v>
      </c>
      <c r="CX25" s="219">
        <v>5.5548075832063546</v>
      </c>
      <c r="CY25" s="219">
        <v>5.5513321317459328</v>
      </c>
      <c r="CZ25" s="219">
        <v>5.547853861805887</v>
      </c>
      <c r="DA25" s="219">
        <v>5.5443723125488624</v>
      </c>
      <c r="DB25" s="219">
        <v>5.5408872016273172</v>
      </c>
    </row>
    <row r="26" spans="1:106" x14ac:dyDescent="0.35">
      <c r="A26" s="137" t="s">
        <v>555</v>
      </c>
      <c r="B26" s="130" t="s">
        <v>545</v>
      </c>
      <c r="C26" s="219">
        <v>8.7456235966093879E-4</v>
      </c>
      <c r="D26" s="219">
        <v>8.7454576947361266E-4</v>
      </c>
      <c r="E26" s="219">
        <v>8.7452976654468133E-4</v>
      </c>
      <c r="F26" s="219">
        <v>8.7503314428024812E-4</v>
      </c>
      <c r="G26" s="219">
        <v>8.7501476175445695E-4</v>
      </c>
      <c r="H26" s="219">
        <v>8.7499656735105715E-4</v>
      </c>
      <c r="I26" s="219">
        <v>8.7523528327349042E-4</v>
      </c>
      <c r="J26" s="219">
        <v>8.7548273058597444E-4</v>
      </c>
      <c r="K26" s="219">
        <v>8.7648676498677022E-4</v>
      </c>
      <c r="L26" s="219">
        <v>8.7676798989338978E-4</v>
      </c>
      <c r="M26" s="219">
        <v>8.7705494257605448E-4</v>
      </c>
      <c r="N26" s="219">
        <v>8.7763993942699533E-4</v>
      </c>
      <c r="O26" s="219">
        <v>8.7823404319890678E-4</v>
      </c>
      <c r="P26" s="219">
        <v>8.7933584789127322E-4</v>
      </c>
      <c r="Q26" s="219">
        <v>8.7996802625360613E-4</v>
      </c>
      <c r="R26" s="219">
        <v>8.8060790240241825E-4</v>
      </c>
      <c r="S26" s="219">
        <v>8.8051459830304165E-4</v>
      </c>
      <c r="T26" s="219">
        <v>8.8041981386281591E-4</v>
      </c>
      <c r="U26" s="219">
        <v>8.8051981278951794E-4</v>
      </c>
      <c r="V26" s="219">
        <v>8.8042156624272929E-4</v>
      </c>
      <c r="W26" s="219">
        <v>8.8032156398902919E-4</v>
      </c>
      <c r="X26" s="219">
        <v>8.7990497152599955E-4</v>
      </c>
      <c r="Y26" s="219">
        <v>8.7944124395369981E-4</v>
      </c>
      <c r="Z26" s="219">
        <v>8.7897417155133502E-4</v>
      </c>
      <c r="AA26" s="219">
        <v>8.7850371774412291E-4</v>
      </c>
      <c r="AB26" s="219">
        <v>8.780298580203296E-4</v>
      </c>
      <c r="AC26" s="33">
        <v>1.4871200344457989E-6</v>
      </c>
      <c r="AD26" s="219">
        <v>1.487058767365526E-6</v>
      </c>
      <c r="AE26" s="219">
        <v>1.4869980949454491E-6</v>
      </c>
      <c r="AF26" s="219">
        <v>1.4864682369363501E-6</v>
      </c>
      <c r="AG26" s="219">
        <v>1.486409443450476E-6</v>
      </c>
      <c r="AH26" s="219">
        <v>1.4863509681350669E-6</v>
      </c>
      <c r="AI26" s="219">
        <v>1.4864937156943981E-6</v>
      </c>
      <c r="AJ26" s="219">
        <v>1.4866385938588469E-6</v>
      </c>
      <c r="AK26" s="219">
        <v>1.4868817362122979E-6</v>
      </c>
      <c r="AL26" s="219">
        <v>1.487042845020689E-6</v>
      </c>
      <c r="AM26" s="219">
        <v>1.4872053447792471E-6</v>
      </c>
      <c r="AN26" s="219">
        <v>1.487527283315699E-6</v>
      </c>
      <c r="AO26" s="219">
        <v>1.487852818892743E-6</v>
      </c>
      <c r="AP26" s="219">
        <v>1.4883678092537381E-6</v>
      </c>
      <c r="AQ26" s="219">
        <v>1.4887141636722211E-6</v>
      </c>
      <c r="AR26" s="219">
        <v>1.4890642726231711E-6</v>
      </c>
      <c r="AS26" s="219">
        <v>1.4889466682835201E-6</v>
      </c>
      <c r="AT26" s="219">
        <v>1.488828509228232E-6</v>
      </c>
      <c r="AU26" s="219">
        <v>1.488788958035133E-6</v>
      </c>
      <c r="AV26" s="219">
        <v>1.4886704440478271E-6</v>
      </c>
      <c r="AW26" s="219">
        <v>1.4885511492297229E-6</v>
      </c>
      <c r="AX26" s="219">
        <v>1.488290069782732E-6</v>
      </c>
      <c r="AY26" s="219">
        <v>1.487943143724431E-6</v>
      </c>
      <c r="AZ26" s="219">
        <v>1.487594481901996E-6</v>
      </c>
      <c r="BA26" s="219">
        <v>1.487244048767453E-6</v>
      </c>
      <c r="BB26" s="219">
        <v>1.486891820206653E-6</v>
      </c>
      <c r="BC26" s="33">
        <v>0.2319445902979147</v>
      </c>
      <c r="BD26" s="219">
        <v>0.2317559741893776</v>
      </c>
      <c r="BE26" s="219">
        <v>0.2315676826565278</v>
      </c>
      <c r="BF26" s="219">
        <v>0.22598943376430111</v>
      </c>
      <c r="BG26" s="219">
        <v>0.22581442882250771</v>
      </c>
      <c r="BH26" s="219">
        <v>0.22563947710947591</v>
      </c>
      <c r="BI26" s="219">
        <v>0.2253877896451349</v>
      </c>
      <c r="BJ26" s="219">
        <v>0.2251406680577861</v>
      </c>
      <c r="BK26" s="219">
        <v>0.22089978735276891</v>
      </c>
      <c r="BL26" s="219">
        <v>0.22068926807636119</v>
      </c>
      <c r="BM26" s="219">
        <v>0.22048303027820421</v>
      </c>
      <c r="BN26" s="219">
        <v>0.2202310402732672</v>
      </c>
      <c r="BO26" s="219">
        <v>0.21998513241958551</v>
      </c>
      <c r="BP26" s="219">
        <v>0.21850463870150141</v>
      </c>
      <c r="BQ26" s="219">
        <v>0.2182853254836771</v>
      </c>
      <c r="BR26" s="219">
        <v>0.21807230048940271</v>
      </c>
      <c r="BS26" s="219">
        <v>0.21775531038736651</v>
      </c>
      <c r="BT26" s="219">
        <v>0.21744358388830309</v>
      </c>
      <c r="BU26" s="219">
        <v>0.21593374403076271</v>
      </c>
      <c r="BV26" s="219">
        <v>0.21564395106638559</v>
      </c>
      <c r="BW26" s="219">
        <v>0.21535943278096259</v>
      </c>
      <c r="BX26" s="219">
        <v>0.21513392172659451</v>
      </c>
      <c r="BY26" s="219">
        <v>0.21491051953984139</v>
      </c>
      <c r="BZ26" s="219">
        <v>0.2146890463625527</v>
      </c>
      <c r="CA26" s="219">
        <v>0.21446949517153349</v>
      </c>
      <c r="CB26" s="219">
        <v>0.21425187340223159</v>
      </c>
      <c r="CC26" s="33">
        <v>11.20483475852415</v>
      </c>
      <c r="CD26" s="219">
        <v>11.20258061840881</v>
      </c>
      <c r="CE26" s="219">
        <v>11.200352017666351</v>
      </c>
      <c r="CF26" s="219">
        <v>11.163366130752889</v>
      </c>
      <c r="CG26" s="219">
        <v>11.161247902553599</v>
      </c>
      <c r="CH26" s="219">
        <v>11.15914460966162</v>
      </c>
      <c r="CI26" s="219">
        <v>11.15917915739311</v>
      </c>
      <c r="CJ26" s="219">
        <v>11.159292990560351</v>
      </c>
      <c r="CK26" s="219">
        <v>11.13574065462085</v>
      </c>
      <c r="CL26" s="219">
        <v>11.13628204641644</v>
      </c>
      <c r="CM26" s="219">
        <v>11.136883069214949</v>
      </c>
      <c r="CN26" s="219">
        <v>11.139088250340681</v>
      </c>
      <c r="CO26" s="219">
        <v>11.14139428442226</v>
      </c>
      <c r="CP26" s="219">
        <v>11.13780499660316</v>
      </c>
      <c r="CQ26" s="219">
        <v>11.140537443343391</v>
      </c>
      <c r="CR26" s="219">
        <v>11.14337233318234</v>
      </c>
      <c r="CS26" s="219">
        <v>11.139055659979411</v>
      </c>
      <c r="CT26" s="219">
        <v>11.13478189963411</v>
      </c>
      <c r="CU26" s="219">
        <v>11.12456018610894</v>
      </c>
      <c r="CV26" s="219">
        <v>11.12041792115418</v>
      </c>
      <c r="CW26" s="219">
        <v>11.11630525288842</v>
      </c>
      <c r="CX26" s="219">
        <v>11.109615166412709</v>
      </c>
      <c r="CY26" s="219">
        <v>11.102664263491871</v>
      </c>
      <c r="CZ26" s="219">
        <v>11.09570772361177</v>
      </c>
      <c r="DA26" s="219">
        <v>11.08874462509772</v>
      </c>
      <c r="DB26" s="219">
        <v>11.081774403254631</v>
      </c>
    </row>
    <row r="27" spans="1:106" x14ac:dyDescent="0.35">
      <c r="A27" s="137" t="s">
        <v>556</v>
      </c>
      <c r="B27" s="130" t="s">
        <v>545</v>
      </c>
      <c r="C27" s="219">
        <v>2.5264782218923599E-3</v>
      </c>
      <c r="D27" s="219">
        <v>2.5265080772254871E-3</v>
      </c>
      <c r="E27" s="219">
        <v>2.5265440227014639E-3</v>
      </c>
      <c r="F27" s="219">
        <v>2.534902985181664E-3</v>
      </c>
      <c r="G27" s="219">
        <v>2.5348961538364319E-3</v>
      </c>
      <c r="H27" s="219">
        <v>2.5348903211704112E-3</v>
      </c>
      <c r="I27" s="219">
        <v>2.5374276905458779E-3</v>
      </c>
      <c r="J27" s="219">
        <v>2.5400926634063401E-3</v>
      </c>
      <c r="K27" s="219">
        <v>2.5546618141283322E-3</v>
      </c>
      <c r="L27" s="219">
        <v>2.5578423184709769E-3</v>
      </c>
      <c r="M27" s="219">
        <v>2.5611081205896059E-3</v>
      </c>
      <c r="N27" s="219">
        <v>2.5682539673872349E-3</v>
      </c>
      <c r="O27" s="219">
        <v>2.5755353591489349E-3</v>
      </c>
      <c r="P27" s="219">
        <v>2.5907318733691051E-3</v>
      </c>
      <c r="Q27" s="219">
        <v>2.5985997345405378E-3</v>
      </c>
      <c r="R27" s="219">
        <v>2.6065826356089102E-3</v>
      </c>
      <c r="S27" s="219">
        <v>2.6064142435781651E-3</v>
      </c>
      <c r="T27" s="219">
        <v>2.6062421538071219E-3</v>
      </c>
      <c r="U27" s="219">
        <v>2.6090643064487539E-3</v>
      </c>
      <c r="V27" s="219">
        <v>2.6088786462099291E-3</v>
      </c>
      <c r="W27" s="219">
        <v>2.6086867129048552E-3</v>
      </c>
      <c r="X27" s="219">
        <v>2.6046519344964142E-3</v>
      </c>
      <c r="Y27" s="219">
        <v>2.6002525838058521E-3</v>
      </c>
      <c r="Z27" s="219">
        <v>2.5958278856909739E-3</v>
      </c>
      <c r="AA27" s="219">
        <v>2.5913778922868631E-3</v>
      </c>
      <c r="AB27" s="219">
        <v>2.586902758494246E-3</v>
      </c>
      <c r="AC27" s="33">
        <v>2.5233802546723549E-6</v>
      </c>
      <c r="AD27" s="219">
        <v>2.5227982788846549E-6</v>
      </c>
      <c r="AE27" s="219">
        <v>2.5222263705011309E-6</v>
      </c>
      <c r="AF27" s="219">
        <v>2.5143608891505189E-6</v>
      </c>
      <c r="AG27" s="219">
        <v>2.513820375312965E-6</v>
      </c>
      <c r="AH27" s="219">
        <v>2.5132865647415872E-6</v>
      </c>
      <c r="AI27" s="219">
        <v>2.5148892952911791E-6</v>
      </c>
      <c r="AJ27" s="219">
        <v>2.5165285077233049E-6</v>
      </c>
      <c r="AK27" s="219">
        <v>2.519697843738936E-6</v>
      </c>
      <c r="AL27" s="219">
        <v>2.521597851513009E-6</v>
      </c>
      <c r="AM27" s="219">
        <v>2.5235237897020191E-6</v>
      </c>
      <c r="AN27" s="219">
        <v>2.5274700974409668E-6</v>
      </c>
      <c r="AO27" s="219">
        <v>2.5314745724433958E-6</v>
      </c>
      <c r="AP27" s="219">
        <v>2.538421895156613E-6</v>
      </c>
      <c r="AQ27" s="219">
        <v>2.542756812713572E-6</v>
      </c>
      <c r="AR27" s="219">
        <v>2.5471511366599129E-6</v>
      </c>
      <c r="AS27" s="219">
        <v>2.5464534650454071E-6</v>
      </c>
      <c r="AT27" s="219">
        <v>2.545759513867927E-6</v>
      </c>
      <c r="AU27" s="219">
        <v>2.5462705579992392E-6</v>
      </c>
      <c r="AV27" s="219">
        <v>2.5455982192670702E-6</v>
      </c>
      <c r="AW27" s="219">
        <v>2.5449278661704752E-6</v>
      </c>
      <c r="AX27" s="219">
        <v>2.5422383205434259E-6</v>
      </c>
      <c r="AY27" s="219">
        <v>2.5389510186896002E-6</v>
      </c>
      <c r="AZ27" s="219">
        <v>2.5356503124394931E-6</v>
      </c>
      <c r="BA27" s="219">
        <v>2.5323361014716719E-6</v>
      </c>
      <c r="BB27" s="219">
        <v>2.5290083695810019E-6</v>
      </c>
      <c r="BC27" s="33">
        <v>3.4246510113882311</v>
      </c>
      <c r="BD27" s="219">
        <v>3.421944175396729</v>
      </c>
      <c r="BE27" s="219">
        <v>3.4192662749414509</v>
      </c>
      <c r="BF27" s="219">
        <v>3.331733079442273</v>
      </c>
      <c r="BG27" s="219">
        <v>3.3293137627560121</v>
      </c>
      <c r="BH27" s="219">
        <v>3.3269209394887009</v>
      </c>
      <c r="BI27" s="219">
        <v>3.3229969089457629</v>
      </c>
      <c r="BJ27" s="219">
        <v>3.3191646691434129</v>
      </c>
      <c r="BK27" s="219">
        <v>3.252313145566176</v>
      </c>
      <c r="BL27" s="219">
        <v>3.24909643105129</v>
      </c>
      <c r="BM27" s="219">
        <v>3.2459670245789498</v>
      </c>
      <c r="BN27" s="219">
        <v>3.241442289512845</v>
      </c>
      <c r="BO27" s="219">
        <v>3.2370252009999549</v>
      </c>
      <c r="BP27" s="219">
        <v>3.213119438759191</v>
      </c>
      <c r="BQ27" s="219">
        <v>3.209145801882499</v>
      </c>
      <c r="BR27" s="219">
        <v>3.2052826631512841</v>
      </c>
      <c r="BS27" s="219">
        <v>3.2004374017510968</v>
      </c>
      <c r="BT27" s="219">
        <v>3.1956976765329719</v>
      </c>
      <c r="BU27" s="219">
        <v>3.172058903326894</v>
      </c>
      <c r="BV27" s="219">
        <v>3.1677091536032829</v>
      </c>
      <c r="BW27" s="219">
        <v>3.163464865945067</v>
      </c>
      <c r="BX27" s="219">
        <v>3.16013547109868</v>
      </c>
      <c r="BY27" s="219">
        <v>3.1568361055076419</v>
      </c>
      <c r="BZ27" s="219">
        <v>3.1535649610153271</v>
      </c>
      <c r="CA27" s="219">
        <v>3.1503219687254052</v>
      </c>
      <c r="CB27" s="219">
        <v>3.1471071583495589</v>
      </c>
      <c r="CC27" s="33">
        <v>14.33880982245085</v>
      </c>
      <c r="CD27" s="219">
        <v>14.31505223815201</v>
      </c>
      <c r="CE27" s="219">
        <v>14.29173131274371</v>
      </c>
      <c r="CF27" s="219">
        <v>13.72155685797591</v>
      </c>
      <c r="CG27" s="219">
        <v>13.700085418345489</v>
      </c>
      <c r="CH27" s="219">
        <v>13.678931192109539</v>
      </c>
      <c r="CI27" s="219">
        <v>13.67603471123795</v>
      </c>
      <c r="CJ27" s="219">
        <v>13.67442318010127</v>
      </c>
      <c r="CK27" s="219">
        <v>13.29914310100451</v>
      </c>
      <c r="CL27" s="219">
        <v>13.304327133128879</v>
      </c>
      <c r="CM27" s="219">
        <v>13.310520496833981</v>
      </c>
      <c r="CN27" s="219">
        <v>13.33382008355581</v>
      </c>
      <c r="CO27" s="219">
        <v>13.35870745555882</v>
      </c>
      <c r="CP27" s="219">
        <v>13.29022256928171</v>
      </c>
      <c r="CQ27" s="219">
        <v>13.321866006476739</v>
      </c>
      <c r="CR27" s="219">
        <v>13.35511626540854</v>
      </c>
      <c r="CS27" s="219">
        <v>13.316351977070971</v>
      </c>
      <c r="CT27" s="219">
        <v>13.27836751304328</v>
      </c>
      <c r="CU27" s="219">
        <v>13.146370258264181</v>
      </c>
      <c r="CV27" s="219">
        <v>13.11081947647474</v>
      </c>
      <c r="CW27" s="219">
        <v>13.0759424976514</v>
      </c>
      <c r="CX27" s="219">
        <v>13.01385921653754</v>
      </c>
      <c r="CY27" s="219">
        <v>12.948700241645669</v>
      </c>
      <c r="CZ27" s="219">
        <v>12.8834974616663</v>
      </c>
      <c r="DA27" s="219">
        <v>12.818247429642589</v>
      </c>
      <c r="DB27" s="219">
        <v>12.75294853517725</v>
      </c>
    </row>
    <row r="28" spans="1:106" x14ac:dyDescent="0.35">
      <c r="A28" s="137" t="s">
        <v>557</v>
      </c>
      <c r="B28" s="130" t="s">
        <v>545</v>
      </c>
      <c r="C28" s="219">
        <v>9.298043165153666E-2</v>
      </c>
      <c r="D28" s="219">
        <v>9.2979825544983435E-2</v>
      </c>
      <c r="E28" s="219">
        <v>9.2979231127387207E-2</v>
      </c>
      <c r="F28" s="219">
        <v>9.298328179963275E-2</v>
      </c>
      <c r="G28" s="219">
        <v>9.29826746309525E-2</v>
      </c>
      <c r="H28" s="219">
        <v>9.2982074092223976E-2</v>
      </c>
      <c r="I28" s="219">
        <v>9.2985722003648907E-2</v>
      </c>
      <c r="J28" s="219">
        <v>9.2989446759117314E-2</v>
      </c>
      <c r="K28" s="219">
        <v>9.2999692729279521E-2</v>
      </c>
      <c r="L28" s="219">
        <v>9.3003711570906533E-2</v>
      </c>
      <c r="M28" s="219">
        <v>9.3007775553515359E-2</v>
      </c>
      <c r="N28" s="219">
        <v>9.3015156898688611E-2</v>
      </c>
      <c r="O28" s="219">
        <v>9.3022613133987797E-2</v>
      </c>
      <c r="P28" s="219">
        <v>9.3034354010667855E-2</v>
      </c>
      <c r="Q28" s="219">
        <v>9.3042124993329672E-2</v>
      </c>
      <c r="R28" s="219">
        <v>9.3049957308113718E-2</v>
      </c>
      <c r="S28" s="219">
        <v>9.304668681318487E-2</v>
      </c>
      <c r="T28" s="219">
        <v>9.3043364776853196E-2</v>
      </c>
      <c r="U28" s="219">
        <v>9.3041587706902115E-2</v>
      </c>
      <c r="V28" s="219">
        <v>9.3038154703807038E-2</v>
      </c>
      <c r="W28" s="219">
        <v>9.3034664483046467E-2</v>
      </c>
      <c r="X28" s="219">
        <v>9.3026802722936536E-2</v>
      </c>
      <c r="Y28" s="219">
        <v>9.3018223625631294E-2</v>
      </c>
      <c r="Z28" s="219">
        <v>9.3009565272749659E-2</v>
      </c>
      <c r="AA28" s="219">
        <v>9.300082599118692E-2</v>
      </c>
      <c r="AB28" s="219">
        <v>9.299200441048891E-2</v>
      </c>
      <c r="AC28" s="33">
        <v>6.1478367116714913E-5</v>
      </c>
      <c r="AD28" s="219">
        <v>6.1477281337155837E-5</v>
      </c>
      <c r="AE28" s="219">
        <v>6.1476197897746996E-5</v>
      </c>
      <c r="AF28" s="219">
        <v>6.147105331722899E-5</v>
      </c>
      <c r="AG28" s="219">
        <v>6.1469978722467414E-5</v>
      </c>
      <c r="AH28" s="219">
        <v>6.1468902285369048E-5</v>
      </c>
      <c r="AI28" s="219">
        <v>6.1470882968511762E-5</v>
      </c>
      <c r="AJ28" s="219">
        <v>6.147287049393221E-5</v>
      </c>
      <c r="AK28" s="219">
        <v>6.1475626042536486E-5</v>
      </c>
      <c r="AL28" s="219">
        <v>6.1477734414130172E-5</v>
      </c>
      <c r="AM28" s="219">
        <v>6.1479842038210722E-5</v>
      </c>
      <c r="AN28" s="219">
        <v>6.1483843250618943E-5</v>
      </c>
      <c r="AO28" s="219">
        <v>6.1487865102281304E-5</v>
      </c>
      <c r="AP28" s="219">
        <v>6.1493457575298305E-5</v>
      </c>
      <c r="AQ28" s="219">
        <v>6.1497637054123684E-5</v>
      </c>
      <c r="AR28" s="219">
        <v>6.1501840369897903E-5</v>
      </c>
      <c r="AS28" s="219">
        <v>6.1498742934770778E-5</v>
      </c>
      <c r="AT28" s="219">
        <v>6.1495616705924561E-5</v>
      </c>
      <c r="AU28" s="219">
        <v>6.1493094732257523E-5</v>
      </c>
      <c r="AV28" s="219">
        <v>6.1489913543956215E-5</v>
      </c>
      <c r="AW28" s="219">
        <v>6.1486698429886544E-5</v>
      </c>
      <c r="AX28" s="219">
        <v>6.1481302737002381E-5</v>
      </c>
      <c r="AY28" s="219">
        <v>6.1474899248234634E-5</v>
      </c>
      <c r="AZ28" s="219">
        <v>6.1468457426827212E-5</v>
      </c>
      <c r="BA28" s="219">
        <v>6.1461976001350634E-5</v>
      </c>
      <c r="BB28" s="219">
        <v>6.1455454025005391E-5</v>
      </c>
      <c r="BC28" s="33">
        <v>1.68431296703936</v>
      </c>
      <c r="BD28" s="219">
        <v>1.682353652360268</v>
      </c>
      <c r="BE28" s="219">
        <v>1.6803371446398729</v>
      </c>
      <c r="BF28" s="219">
        <v>1.630540156527339</v>
      </c>
      <c r="BG28" s="219">
        <v>1.628516821207175</v>
      </c>
      <c r="BH28" s="219">
        <v>1.6264298484384609</v>
      </c>
      <c r="BI28" s="219">
        <v>1.624076564380001</v>
      </c>
      <c r="BJ28" s="219">
        <v>1.6217039992749409</v>
      </c>
      <c r="BK28" s="219">
        <v>1.583670588812605</v>
      </c>
      <c r="BL28" s="219">
        <v>1.58150653989463</v>
      </c>
      <c r="BM28" s="219">
        <v>1.579321028753558</v>
      </c>
      <c r="BN28" s="219">
        <v>1.57803248450665</v>
      </c>
      <c r="BO28" s="219">
        <v>1.5767561085158781</v>
      </c>
      <c r="BP28" s="219">
        <v>1.564429517869957</v>
      </c>
      <c r="BQ28" s="219">
        <v>1.5633031147549401</v>
      </c>
      <c r="BR28" s="219">
        <v>1.562191259515689</v>
      </c>
      <c r="BS28" s="219">
        <v>1.5592593976463369</v>
      </c>
      <c r="BT28" s="219">
        <v>1.556308796457643</v>
      </c>
      <c r="BU28" s="219">
        <v>1.5425954592261439</v>
      </c>
      <c r="BV28" s="219">
        <v>1.539708063793809</v>
      </c>
      <c r="BW28" s="219">
        <v>1.536802278769789</v>
      </c>
      <c r="BX28" s="219">
        <v>1.534689962817289</v>
      </c>
      <c r="BY28" s="219">
        <v>1.5325978586419811</v>
      </c>
      <c r="BZ28" s="219">
        <v>1.530522736759913</v>
      </c>
      <c r="CA28" s="219">
        <v>1.528464389186555</v>
      </c>
      <c r="CB28" s="219">
        <v>1.526423068576646</v>
      </c>
      <c r="CC28" s="33">
        <v>217.87771892153251</v>
      </c>
      <c r="CD28" s="219">
        <v>217.83975214314901</v>
      </c>
      <c r="CE28" s="219">
        <v>217.8018479674449</v>
      </c>
      <c r="CF28" s="219">
        <v>217.45652286755021</v>
      </c>
      <c r="CG28" s="219">
        <v>217.4191741781967</v>
      </c>
      <c r="CH28" s="219">
        <v>217.38171528059581</v>
      </c>
      <c r="CI28" s="219">
        <v>217.3820044531486</v>
      </c>
      <c r="CJ28" s="219">
        <v>217.38271262944471</v>
      </c>
      <c r="CK28" s="219">
        <v>217.17175042464589</v>
      </c>
      <c r="CL28" s="219">
        <v>217.1757301816773</v>
      </c>
      <c r="CM28" s="219">
        <v>217.17992133853679</v>
      </c>
      <c r="CN28" s="219">
        <v>217.20899217953229</v>
      </c>
      <c r="CO28" s="219">
        <v>217.23874275922699</v>
      </c>
      <c r="CP28" s="219">
        <v>217.21508027466481</v>
      </c>
      <c r="CQ28" s="219">
        <v>217.24806887566089</v>
      </c>
      <c r="CR28" s="219">
        <v>217.28176845587771</v>
      </c>
      <c r="CS28" s="219">
        <v>217.19428436497159</v>
      </c>
      <c r="CT28" s="219">
        <v>217.1069283763523</v>
      </c>
      <c r="CU28" s="219">
        <v>216.9657254473054</v>
      </c>
      <c r="CV28" s="219">
        <v>216.8787797677964</v>
      </c>
      <c r="CW28" s="219">
        <v>216.7916812966985</v>
      </c>
      <c r="CX28" s="219">
        <v>216.6658519530223</v>
      </c>
      <c r="CY28" s="219">
        <v>216.536679364484</v>
      </c>
      <c r="CZ28" s="219">
        <v>216.4075081028823</v>
      </c>
      <c r="DA28" s="219">
        <v>216.27830743506141</v>
      </c>
      <c r="DB28" s="219">
        <v>216.1490586449514</v>
      </c>
    </row>
    <row r="29" spans="1:106" x14ac:dyDescent="0.35">
      <c r="A29" s="137" t="s">
        <v>558</v>
      </c>
      <c r="B29" s="130" t="s">
        <v>545</v>
      </c>
      <c r="C29" s="219">
        <v>1.523038576438737E-3</v>
      </c>
      <c r="D29" s="219">
        <v>1.523132467806852E-3</v>
      </c>
      <c r="E29" s="219">
        <v>1.52321463876974E-3</v>
      </c>
      <c r="F29" s="219">
        <v>1.5336719119279959E-3</v>
      </c>
      <c r="G29" s="219">
        <v>1.533554025889074E-3</v>
      </c>
      <c r="H29" s="219">
        <v>1.5334381804708889E-3</v>
      </c>
      <c r="I29" s="219">
        <v>1.5404781704556681E-3</v>
      </c>
      <c r="J29" s="219">
        <v>1.547703029882969E-3</v>
      </c>
      <c r="K29" s="219">
        <v>1.5683476787623669E-3</v>
      </c>
      <c r="L29" s="219">
        <v>1.5762392257340149E-3</v>
      </c>
      <c r="M29" s="219">
        <v>1.584260631041122E-3</v>
      </c>
      <c r="N29" s="219">
        <v>1.6013650620718531E-3</v>
      </c>
      <c r="O29" s="219">
        <v>1.6187313348130731E-3</v>
      </c>
      <c r="P29" s="219">
        <v>1.6445153491438181E-3</v>
      </c>
      <c r="Q29" s="219">
        <v>1.662740745316004E-3</v>
      </c>
      <c r="R29" s="219">
        <v>1.6812018681333729E-3</v>
      </c>
      <c r="S29" s="219">
        <v>1.6815700627149891E-3</v>
      </c>
      <c r="T29" s="219">
        <v>1.68193535206553E-3</v>
      </c>
      <c r="U29" s="219">
        <v>1.6849218766515381E-3</v>
      </c>
      <c r="V29" s="219">
        <v>1.6852717502741769E-3</v>
      </c>
      <c r="W29" s="219">
        <v>1.685614331032199E-3</v>
      </c>
      <c r="X29" s="219">
        <v>1.6786914908434891E-3</v>
      </c>
      <c r="Y29" s="219">
        <v>1.669937689732813E-3</v>
      </c>
      <c r="Z29" s="219">
        <v>1.6611257782161539E-3</v>
      </c>
      <c r="AA29" s="219">
        <v>1.652255685400816E-3</v>
      </c>
      <c r="AB29" s="219">
        <v>1.6433274943983549E-3</v>
      </c>
      <c r="AC29" s="33">
        <v>1.6670578915616689E-6</v>
      </c>
      <c r="AD29" s="219">
        <v>1.666489113430311E-6</v>
      </c>
      <c r="AE29" s="219">
        <v>1.6659344746822151E-6</v>
      </c>
      <c r="AF29" s="219">
        <v>1.657948160995369E-6</v>
      </c>
      <c r="AG29" s="219">
        <v>1.65742990942661E-6</v>
      </c>
      <c r="AH29" s="219">
        <v>1.6569196692098069E-6</v>
      </c>
      <c r="AI29" s="219">
        <v>1.6610379505274409E-6</v>
      </c>
      <c r="AJ29" s="219">
        <v>1.665210530234492E-6</v>
      </c>
      <c r="AK29" s="219">
        <v>1.670966480765312E-6</v>
      </c>
      <c r="AL29" s="219">
        <v>1.6754650804698211E-6</v>
      </c>
      <c r="AM29" s="219">
        <v>1.680004601933261E-6</v>
      </c>
      <c r="AN29" s="219">
        <v>1.6897151283710931E-6</v>
      </c>
      <c r="AO29" s="219">
        <v>1.699547931173778E-6</v>
      </c>
      <c r="AP29" s="219">
        <v>1.7124061940829071E-6</v>
      </c>
      <c r="AQ29" s="219">
        <v>1.722715520706774E-6</v>
      </c>
      <c r="AR29" s="219">
        <v>1.733149828590085E-6</v>
      </c>
      <c r="AS29" s="219">
        <v>1.7322452633948519E-6</v>
      </c>
      <c r="AT29" s="219">
        <v>1.7313471422397891E-6</v>
      </c>
      <c r="AU29" s="219">
        <v>1.7314333482214469E-6</v>
      </c>
      <c r="AV29" s="219">
        <v>1.730560604005352E-6</v>
      </c>
      <c r="AW29" s="219">
        <v>1.7296906661504881E-6</v>
      </c>
      <c r="AX29" s="219">
        <v>1.7274415336668231E-6</v>
      </c>
      <c r="AY29" s="219">
        <v>1.7212243060501729E-6</v>
      </c>
      <c r="AZ29" s="219">
        <v>1.7149746249327539E-6</v>
      </c>
      <c r="BA29" s="219">
        <v>1.7086922788577119E-6</v>
      </c>
      <c r="BB29" s="219">
        <v>1.70237717647978E-6</v>
      </c>
      <c r="BC29" s="33">
        <v>4.340344782404693</v>
      </c>
      <c r="BD29" s="219">
        <v>4.3365212764011467</v>
      </c>
      <c r="BE29" s="219">
        <v>4.3327176115015833</v>
      </c>
      <c r="BF29" s="219">
        <v>4.2335633350392152</v>
      </c>
      <c r="BG29" s="219">
        <v>4.2300188122202886</v>
      </c>
      <c r="BH29" s="219">
        <v>4.2264880422837496</v>
      </c>
      <c r="BI29" s="219">
        <v>4.2201618876129139</v>
      </c>
      <c r="BJ29" s="219">
        <v>4.2138797547532167</v>
      </c>
      <c r="BK29" s="219">
        <v>4.1355282603774732</v>
      </c>
      <c r="BL29" s="219">
        <v>4.129822411614632</v>
      </c>
      <c r="BM29" s="219">
        <v>4.1241545175099601</v>
      </c>
      <c r="BN29" s="219">
        <v>4.1152163671203397</v>
      </c>
      <c r="BO29" s="219">
        <v>4.1063295982337662</v>
      </c>
      <c r="BP29" s="219">
        <v>4.0749801140299047</v>
      </c>
      <c r="BQ29" s="219">
        <v>4.0664489365704277</v>
      </c>
      <c r="BR29" s="219">
        <v>4.0579732535733193</v>
      </c>
      <c r="BS29" s="219">
        <v>4.0474252259466912</v>
      </c>
      <c r="BT29" s="219">
        <v>4.0369101812467809</v>
      </c>
      <c r="BU29" s="219">
        <v>4.004605234440664</v>
      </c>
      <c r="BV29" s="219">
        <v>3.9943513873302838</v>
      </c>
      <c r="BW29" s="219">
        <v>3.984130916570384</v>
      </c>
      <c r="BX29" s="219">
        <v>3.9767707140145521</v>
      </c>
      <c r="BY29" s="219">
        <v>3.9694174127798729</v>
      </c>
      <c r="BZ29" s="219">
        <v>3.9620680029584991</v>
      </c>
      <c r="CA29" s="219">
        <v>3.9547223812444359</v>
      </c>
      <c r="CB29" s="219">
        <v>3.94738057406901</v>
      </c>
      <c r="CC29" s="33">
        <v>22.026392740453559</v>
      </c>
      <c r="CD29" s="219">
        <v>21.991980941273891</v>
      </c>
      <c r="CE29" s="219">
        <v>21.958169043060281</v>
      </c>
      <c r="CF29" s="219">
        <v>21.31343377052298</v>
      </c>
      <c r="CG29" s="219">
        <v>21.281658926116201</v>
      </c>
      <c r="CH29" s="219">
        <v>21.25021652874884</v>
      </c>
      <c r="CI29" s="219">
        <v>21.266038451365521</v>
      </c>
      <c r="CJ29" s="219">
        <v>21.283342585684871</v>
      </c>
      <c r="CK29" s="219">
        <v>20.872772123960999</v>
      </c>
      <c r="CL29" s="219">
        <v>20.897896158307059</v>
      </c>
      <c r="CM29" s="219">
        <v>20.92416612735229</v>
      </c>
      <c r="CN29" s="219">
        <v>20.99317719982561</v>
      </c>
      <c r="CO29" s="219">
        <v>21.064552511923761</v>
      </c>
      <c r="CP29" s="219">
        <v>21.027034162773361</v>
      </c>
      <c r="CQ29" s="219">
        <v>21.107039063201061</v>
      </c>
      <c r="CR29" s="219">
        <v>21.189474131933409</v>
      </c>
      <c r="CS29" s="219">
        <v>21.124079195540681</v>
      </c>
      <c r="CT29" s="219">
        <v>21.05948892193096</v>
      </c>
      <c r="CU29" s="219">
        <v>20.884824526215251</v>
      </c>
      <c r="CV29" s="219">
        <v>20.822706779413991</v>
      </c>
      <c r="CW29" s="219">
        <v>20.76123442344155</v>
      </c>
      <c r="CX29" s="219">
        <v>20.725775819239519</v>
      </c>
      <c r="CY29" s="219">
        <v>20.607464234954719</v>
      </c>
      <c r="CZ29" s="219">
        <v>20.48883414832612</v>
      </c>
      <c r="DA29" s="219">
        <v>20.36988039435165</v>
      </c>
      <c r="DB29" s="219">
        <v>20.25060025751322</v>
      </c>
    </row>
    <row r="30" spans="1:106" x14ac:dyDescent="0.35">
      <c r="A30" s="137" t="s">
        <v>559</v>
      </c>
      <c r="B30" s="130" t="s">
        <v>545</v>
      </c>
      <c r="C30" s="219">
        <v>2.2118081412030342E-2</v>
      </c>
      <c r="D30" s="219">
        <v>2.2111108811334369E-2</v>
      </c>
      <c r="E30" s="219">
        <v>2.2104255629999469E-2</v>
      </c>
      <c r="F30" s="219">
        <v>2.2099146949772091E-2</v>
      </c>
      <c r="G30" s="219">
        <v>2.209252657015676E-2</v>
      </c>
      <c r="H30" s="219">
        <v>2.208596417134959E-2</v>
      </c>
      <c r="I30" s="219">
        <v>2.2170855555499861E-2</v>
      </c>
      <c r="J30" s="219">
        <v>2.2257805044948419E-2</v>
      </c>
      <c r="K30" s="219">
        <v>2.235332406796102E-2</v>
      </c>
      <c r="L30" s="219">
        <v>2.244422014393025E-2</v>
      </c>
      <c r="M30" s="219">
        <v>2.253676259989543E-2</v>
      </c>
      <c r="N30" s="219">
        <v>2.2732063395115371E-2</v>
      </c>
      <c r="O30" s="219">
        <v>2.293139077785656E-2</v>
      </c>
      <c r="P30" s="219">
        <v>2.314087045753362E-2</v>
      </c>
      <c r="Q30" s="219">
        <v>2.334810182819529E-2</v>
      </c>
      <c r="R30" s="219">
        <v>2.355912156680386E-2</v>
      </c>
      <c r="S30" s="219">
        <v>2.356733922396077E-2</v>
      </c>
      <c r="T30" s="219">
        <v>2.3575540417378391E-2</v>
      </c>
      <c r="U30" s="219">
        <v>2.358766759793882E-2</v>
      </c>
      <c r="V30" s="219">
        <v>2.3595806249150111E-2</v>
      </c>
      <c r="W30" s="219">
        <v>2.3603892688253351E-2</v>
      </c>
      <c r="X30" s="219">
        <v>2.3513017008996759E-2</v>
      </c>
      <c r="Y30" s="219">
        <v>2.3415145866823951E-2</v>
      </c>
      <c r="Z30" s="219">
        <v>2.3316297354781929E-2</v>
      </c>
      <c r="AA30" s="219">
        <v>2.3216471881549992E-2</v>
      </c>
      <c r="AB30" s="219">
        <v>2.3115671380971259E-2</v>
      </c>
      <c r="AC30" s="33">
        <v>1.487521314071828E-5</v>
      </c>
      <c r="AD30" s="219">
        <v>1.48637239210046E-5</v>
      </c>
      <c r="AE30" s="219">
        <v>1.4852331618468271E-5</v>
      </c>
      <c r="AF30" s="219">
        <v>1.4835336337160371E-5</v>
      </c>
      <c r="AG30" s="219">
        <v>1.482417480986631E-5</v>
      </c>
      <c r="AH30" s="219">
        <v>1.481308364179665E-5</v>
      </c>
      <c r="AI30" s="219">
        <v>1.485717068222411E-5</v>
      </c>
      <c r="AJ30" s="219">
        <v>1.4902108306446691E-5</v>
      </c>
      <c r="AK30" s="219">
        <v>1.494902688435709E-5</v>
      </c>
      <c r="AL30" s="219">
        <v>1.499568898610565E-5</v>
      </c>
      <c r="AM30" s="219">
        <v>1.5043090219539071E-5</v>
      </c>
      <c r="AN30" s="219">
        <v>1.5143013935279611E-5</v>
      </c>
      <c r="AO30" s="219">
        <v>1.5245135094604989E-5</v>
      </c>
      <c r="AP30" s="219">
        <v>1.535213737715261E-5</v>
      </c>
      <c r="AQ30" s="219">
        <v>1.5458687011905051E-5</v>
      </c>
      <c r="AR30" s="219">
        <v>1.5567441211263818E-5</v>
      </c>
      <c r="AS30" s="219">
        <v>1.55525122039515E-5</v>
      </c>
      <c r="AT30" s="219">
        <v>1.5537744416633131E-5</v>
      </c>
      <c r="AU30" s="219">
        <v>1.5524958532853949E-5</v>
      </c>
      <c r="AV30" s="219">
        <v>1.5510491940749769E-5</v>
      </c>
      <c r="AW30" s="219">
        <v>1.5496159585233671E-5</v>
      </c>
      <c r="AX30" s="219">
        <v>1.54371256199821E-5</v>
      </c>
      <c r="AY30" s="219">
        <v>1.536447781787691E-5</v>
      </c>
      <c r="AZ30" s="219">
        <v>1.5291268405331879E-5</v>
      </c>
      <c r="BA30" s="219">
        <v>1.521749627660268E-5</v>
      </c>
      <c r="BB30" s="219">
        <v>1.5143161471832909E-5</v>
      </c>
      <c r="BC30" s="33">
        <v>37.13657111678846</v>
      </c>
      <c r="BD30" s="219">
        <v>37.072613743700231</v>
      </c>
      <c r="BE30" s="219">
        <v>37.008757490688943</v>
      </c>
      <c r="BF30" s="219">
        <v>36.898109868681942</v>
      </c>
      <c r="BG30" s="219">
        <v>36.834467578187777</v>
      </c>
      <c r="BH30" s="219">
        <v>36.770910903862017</v>
      </c>
      <c r="BI30" s="219">
        <v>36.631509674282142</v>
      </c>
      <c r="BJ30" s="219">
        <v>36.492486191333633</v>
      </c>
      <c r="BK30" s="219">
        <v>36.320340291156761</v>
      </c>
      <c r="BL30" s="219">
        <v>36.182004944171069</v>
      </c>
      <c r="BM30" s="219">
        <v>36.044008145628503</v>
      </c>
      <c r="BN30" s="219">
        <v>35.831348326524143</v>
      </c>
      <c r="BO30" s="219">
        <v>35.619154572654011</v>
      </c>
      <c r="BP30" s="219">
        <v>35.397300423002598</v>
      </c>
      <c r="BQ30" s="219">
        <v>35.185995020311537</v>
      </c>
      <c r="BR30" s="219">
        <v>34.975192028842351</v>
      </c>
      <c r="BS30" s="219">
        <v>34.7239745565197</v>
      </c>
      <c r="BT30" s="219">
        <v>34.473061233094391</v>
      </c>
      <c r="BU30" s="219">
        <v>34.211945638707348</v>
      </c>
      <c r="BV30" s="219">
        <v>33.961632643861847</v>
      </c>
      <c r="BW30" s="219">
        <v>33.711626504203117</v>
      </c>
      <c r="BX30" s="219">
        <v>33.56393739343018</v>
      </c>
      <c r="BY30" s="219">
        <v>33.416186590467611</v>
      </c>
      <c r="BZ30" s="219">
        <v>33.268345207856598</v>
      </c>
      <c r="CA30" s="219">
        <v>33.120412529702897</v>
      </c>
      <c r="CB30" s="219">
        <v>32.972389087676312</v>
      </c>
      <c r="CC30" s="33">
        <v>251.0342165081363</v>
      </c>
      <c r="CD30" s="219">
        <v>250.5490564477135</v>
      </c>
      <c r="CE30" s="219">
        <v>250.06898212559901</v>
      </c>
      <c r="CF30" s="219">
        <v>249.28242576226589</v>
      </c>
      <c r="CG30" s="219">
        <v>248.81257048926659</v>
      </c>
      <c r="CH30" s="219">
        <v>248.34684496532159</v>
      </c>
      <c r="CI30" s="219">
        <v>248.16430758227611</v>
      </c>
      <c r="CJ30" s="219">
        <v>248.0033220255265</v>
      </c>
      <c r="CK30" s="219">
        <v>247.66552161015241</v>
      </c>
      <c r="CL30" s="219">
        <v>247.5456950428979</v>
      </c>
      <c r="CM30" s="219">
        <v>247.4443730700375</v>
      </c>
      <c r="CN30" s="219">
        <v>247.6225051779827</v>
      </c>
      <c r="CO30" s="219">
        <v>247.84087836418661</v>
      </c>
      <c r="CP30" s="219">
        <v>248.05572800945069</v>
      </c>
      <c r="CQ30" s="219">
        <v>248.35326081846401</v>
      </c>
      <c r="CR30" s="219">
        <v>248.69129341560949</v>
      </c>
      <c r="CS30" s="219">
        <v>247.29422968857551</v>
      </c>
      <c r="CT30" s="219">
        <v>245.91145865693369</v>
      </c>
      <c r="CU30" s="219">
        <v>244.49538473363691</v>
      </c>
      <c r="CV30" s="219">
        <v>243.13947948304721</v>
      </c>
      <c r="CW30" s="219">
        <v>241.79666520467299</v>
      </c>
      <c r="CX30" s="219">
        <v>240.26589150704669</v>
      </c>
      <c r="CY30" s="219">
        <v>238.6425187802478</v>
      </c>
      <c r="CZ30" s="219">
        <v>237.01312972185261</v>
      </c>
      <c r="DA30" s="219">
        <v>235.3776894656136</v>
      </c>
      <c r="DB30" s="219">
        <v>233.7361846388614</v>
      </c>
    </row>
    <row r="31" spans="1:106" x14ac:dyDescent="0.35">
      <c r="A31" s="137" t="s">
        <v>560</v>
      </c>
      <c r="B31" s="130" t="s">
        <v>547</v>
      </c>
      <c r="C31" s="219">
        <v>7.3346587805193778E-7</v>
      </c>
      <c r="D31" s="219">
        <v>7.3346840927869535E-7</v>
      </c>
      <c r="E31" s="219">
        <v>7.3347213936262856E-7</v>
      </c>
      <c r="F31" s="219">
        <v>7.349149679108027E-7</v>
      </c>
      <c r="G31" s="219">
        <v>7.3491156950131389E-7</v>
      </c>
      <c r="H31" s="219">
        <v>7.3490843253290118E-7</v>
      </c>
      <c r="I31" s="219">
        <v>7.3534275593199084E-7</v>
      </c>
      <c r="J31" s="219">
        <v>7.357994930482512E-7</v>
      </c>
      <c r="K31" s="219">
        <v>7.3831137795760735E-7</v>
      </c>
      <c r="L31" s="219">
        <v>7.3885780132213463E-7</v>
      </c>
      <c r="M31" s="219">
        <v>7.3941923471099179E-7</v>
      </c>
      <c r="N31" s="219">
        <v>7.4064967345896484E-7</v>
      </c>
      <c r="O31" s="219">
        <v>7.4190375384056913E-7</v>
      </c>
      <c r="P31" s="219">
        <v>7.4452310994512E-7</v>
      </c>
      <c r="Q31" s="219">
        <v>7.4587881416695394E-7</v>
      </c>
      <c r="R31" s="219">
        <v>7.472546021531608E-7</v>
      </c>
      <c r="S31" s="219">
        <v>7.4722052418040588E-7</v>
      </c>
      <c r="T31" s="219">
        <v>7.4718582647184559E-7</v>
      </c>
      <c r="U31" s="219">
        <v>7.476664948602391E-7</v>
      </c>
      <c r="V31" s="219">
        <v>7.4762947281144636E-7</v>
      </c>
      <c r="W31" s="219">
        <v>7.4759136832860143E-7</v>
      </c>
      <c r="X31" s="219">
        <v>7.4688861972534407E-7</v>
      </c>
      <c r="Y31" s="219">
        <v>7.4612326766925678E-7</v>
      </c>
      <c r="Z31" s="219">
        <v>7.4535351381851909E-7</v>
      </c>
      <c r="AA31" s="219">
        <v>7.4457936210623988E-7</v>
      </c>
      <c r="AB31" s="219">
        <v>7.4380083814057682E-7</v>
      </c>
      <c r="AC31" s="33">
        <v>6.7515189026390353E-10</v>
      </c>
      <c r="AD31" s="219">
        <v>6.7504966548769227E-10</v>
      </c>
      <c r="AE31" s="219">
        <v>6.749492461325217E-10</v>
      </c>
      <c r="AF31" s="219">
        <v>6.7359152081279625E-10</v>
      </c>
      <c r="AG31" s="219">
        <v>6.7349662027685749E-10</v>
      </c>
      <c r="AH31" s="219">
        <v>6.7340291300117629E-10</v>
      </c>
      <c r="AI31" s="219">
        <v>6.7367915251393778E-10</v>
      </c>
      <c r="AJ31" s="219">
        <v>6.739617640941141E-10</v>
      </c>
      <c r="AK31" s="219">
        <v>6.7450832391462764E-10</v>
      </c>
      <c r="AL31" s="219">
        <v>6.7483610365863021E-10</v>
      </c>
      <c r="AM31" s="219">
        <v>6.7516841222850378E-10</v>
      </c>
      <c r="AN31" s="219">
        <v>6.7584862968736295E-10</v>
      </c>
      <c r="AO31" s="219">
        <v>6.765389085241482E-10</v>
      </c>
      <c r="AP31" s="219">
        <v>6.7773644515348663E-10</v>
      </c>
      <c r="AQ31" s="219">
        <v>6.784837791958328E-10</v>
      </c>
      <c r="AR31" s="219">
        <v>6.7924141812829577E-10</v>
      </c>
      <c r="AS31" s="219">
        <v>6.7911695150633983E-10</v>
      </c>
      <c r="AT31" s="219">
        <v>6.7899309378685793E-10</v>
      </c>
      <c r="AU31" s="219">
        <v>6.7907641366340595E-10</v>
      </c>
      <c r="AV31" s="219">
        <v>6.7895620601371258E-10</v>
      </c>
      <c r="AW31" s="219">
        <v>6.7883629709624973E-10</v>
      </c>
      <c r="AX31" s="219">
        <v>6.7836498836591806E-10</v>
      </c>
      <c r="AY31" s="219">
        <v>6.7779200352868219E-10</v>
      </c>
      <c r="AZ31" s="219">
        <v>6.7721668049920025E-10</v>
      </c>
      <c r="BA31" s="219">
        <v>6.7663899668688744E-10</v>
      </c>
      <c r="BB31" s="219">
        <v>6.7605894814856322E-10</v>
      </c>
      <c r="BC31" s="33">
        <v>5.873631568410584E-4</v>
      </c>
      <c r="BD31" s="219">
        <v>5.8689900151694824E-4</v>
      </c>
      <c r="BE31" s="219">
        <v>5.8643985501407063E-4</v>
      </c>
      <c r="BF31" s="219">
        <v>5.7133505430583063E-4</v>
      </c>
      <c r="BG31" s="219">
        <v>5.7092051831801865E-4</v>
      </c>
      <c r="BH31" s="219">
        <v>5.7051053278904377E-4</v>
      </c>
      <c r="BI31" s="219">
        <v>5.698397145967361E-4</v>
      </c>
      <c r="BJ31" s="219">
        <v>5.6918450360595395E-4</v>
      </c>
      <c r="BK31" s="219">
        <v>5.5764998162318E-4</v>
      </c>
      <c r="BL31" s="219">
        <v>5.5710056594473773E-4</v>
      </c>
      <c r="BM31" s="219">
        <v>5.5656596257254605E-4</v>
      </c>
      <c r="BN31" s="219">
        <v>5.5579488533035826E-4</v>
      </c>
      <c r="BO31" s="219">
        <v>5.5504202944170846E-4</v>
      </c>
      <c r="BP31" s="219">
        <v>5.5092396901736086E-4</v>
      </c>
      <c r="BQ31" s="219">
        <v>5.5024692843508186E-4</v>
      </c>
      <c r="BR31" s="219">
        <v>5.4958861610168079E-4</v>
      </c>
      <c r="BS31" s="219">
        <v>5.4875876950778734E-4</v>
      </c>
      <c r="BT31" s="219">
        <v>5.4794668999830611E-4</v>
      </c>
      <c r="BU31" s="219">
        <v>5.4387119399514181E-4</v>
      </c>
      <c r="BV31" s="219">
        <v>5.4312552464779568E-4</v>
      </c>
      <c r="BW31" s="219">
        <v>5.4239760954460209E-4</v>
      </c>
      <c r="BX31" s="219">
        <v>5.4182637137303402E-4</v>
      </c>
      <c r="BY31" s="219">
        <v>5.4126021364436631E-4</v>
      </c>
      <c r="BZ31" s="219">
        <v>5.4069882146709036E-4</v>
      </c>
      <c r="CA31" s="219">
        <v>5.4014217469741828E-4</v>
      </c>
      <c r="CB31" s="219">
        <v>5.3959027828971262E-4</v>
      </c>
      <c r="CC31" s="33">
        <v>8.8246473383812515E-3</v>
      </c>
      <c r="CD31" s="219">
        <v>8.8205108242251015E-3</v>
      </c>
      <c r="CE31" s="219">
        <v>8.8164508669139312E-3</v>
      </c>
      <c r="CF31" s="219">
        <v>8.7180140182301427E-3</v>
      </c>
      <c r="CG31" s="219">
        <v>8.714274589867451E-3</v>
      </c>
      <c r="CH31" s="219">
        <v>8.7105902430943787E-3</v>
      </c>
      <c r="CI31" s="219">
        <v>8.7100937429896216E-3</v>
      </c>
      <c r="CJ31" s="219">
        <v>8.7098189555894004E-3</v>
      </c>
      <c r="CK31" s="219">
        <v>8.6450361208245188E-3</v>
      </c>
      <c r="CL31" s="219">
        <v>8.645934256314344E-3</v>
      </c>
      <c r="CM31" s="219">
        <v>8.6470060153591519E-3</v>
      </c>
      <c r="CN31" s="219">
        <v>8.6510375897157123E-3</v>
      </c>
      <c r="CO31" s="219">
        <v>8.6553418541837693E-3</v>
      </c>
      <c r="CP31" s="219">
        <v>8.6435189318053041E-3</v>
      </c>
      <c r="CQ31" s="219">
        <v>8.6489860260881325E-3</v>
      </c>
      <c r="CR31" s="219">
        <v>8.6547297229164107E-3</v>
      </c>
      <c r="CS31" s="219">
        <v>8.6479578187905592E-3</v>
      </c>
      <c r="CT31" s="219">
        <v>8.6413178110473759E-3</v>
      </c>
      <c r="CU31" s="219">
        <v>8.6184394498285966E-3</v>
      </c>
      <c r="CV31" s="219">
        <v>8.6122134606480358E-3</v>
      </c>
      <c r="CW31" s="219">
        <v>8.6061006866437612E-3</v>
      </c>
      <c r="CX31" s="219">
        <v>8.5952628208928027E-3</v>
      </c>
      <c r="CY31" s="219">
        <v>8.5838924316029418E-3</v>
      </c>
      <c r="CZ31" s="219">
        <v>8.5725134364819759E-3</v>
      </c>
      <c r="DA31" s="219">
        <v>8.5611250997377885E-3</v>
      </c>
      <c r="DB31" s="219">
        <v>8.5497271249809787E-3</v>
      </c>
    </row>
    <row r="32" spans="1:106" x14ac:dyDescent="0.35">
      <c r="A32" s="137" t="s">
        <v>561</v>
      </c>
      <c r="B32" s="130" t="s">
        <v>705</v>
      </c>
      <c r="C32" s="219">
        <v>0.1490671536669359</v>
      </c>
      <c r="D32" s="219">
        <v>0.14903552208451901</v>
      </c>
      <c r="E32" s="219">
        <v>0.14900409124176461</v>
      </c>
      <c r="F32" s="219">
        <v>0.14899675412380661</v>
      </c>
      <c r="G32" s="219">
        <v>0.1489647117300914</v>
      </c>
      <c r="H32" s="219">
        <v>0.14893252576017491</v>
      </c>
      <c r="I32" s="219">
        <v>0.14913467370511721</v>
      </c>
      <c r="J32" s="219">
        <v>0.149339481801325</v>
      </c>
      <c r="K32" s="219">
        <v>0.14964233019068271</v>
      </c>
      <c r="L32" s="219">
        <v>0.14985420341785011</v>
      </c>
      <c r="M32" s="219">
        <v>0.15006804233852261</v>
      </c>
      <c r="N32" s="219">
        <v>0.1504290310217074</v>
      </c>
      <c r="O32" s="219">
        <v>0.15079302716477189</v>
      </c>
      <c r="P32" s="219">
        <v>0.15124443040310401</v>
      </c>
      <c r="Q32" s="219">
        <v>0.151617050465884</v>
      </c>
      <c r="R32" s="219">
        <v>0.15199232647583841</v>
      </c>
      <c r="S32" s="219">
        <v>0.15185481880401791</v>
      </c>
      <c r="T32" s="219">
        <v>0.1517160014958327</v>
      </c>
      <c r="U32" s="219">
        <v>0.15162753334670259</v>
      </c>
      <c r="V32" s="219">
        <v>0.1514859571713543</v>
      </c>
      <c r="W32" s="219">
        <v>0.15134294203733781</v>
      </c>
      <c r="X32" s="219">
        <v>0.15096779974777791</v>
      </c>
      <c r="Y32" s="219">
        <v>0.15056652186544831</v>
      </c>
      <c r="Z32" s="219">
        <v>0.15016276939309101</v>
      </c>
      <c r="AA32" s="219">
        <v>0.149756511690775</v>
      </c>
      <c r="AB32" s="219">
        <v>0.14934772516776151</v>
      </c>
      <c r="AC32" s="33">
        <v>9.6070786883955476E-5</v>
      </c>
      <c r="AD32" s="219">
        <v>9.6016428409601275E-5</v>
      </c>
      <c r="AE32" s="219">
        <v>9.5962527890161163E-5</v>
      </c>
      <c r="AF32" s="219">
        <v>9.5821625581055684E-5</v>
      </c>
      <c r="AG32" s="219">
        <v>9.5768194891296198E-5</v>
      </c>
      <c r="AH32" s="219">
        <v>9.5714894517826495E-5</v>
      </c>
      <c r="AI32" s="219">
        <v>9.5829318269014544E-5</v>
      </c>
      <c r="AJ32" s="219">
        <v>9.5944316101698841E-5</v>
      </c>
      <c r="AK32" s="219">
        <v>9.6077521965996801E-5</v>
      </c>
      <c r="AL32" s="219">
        <v>9.6195219555553151E-5</v>
      </c>
      <c r="AM32" s="219">
        <v>9.6313368095030094E-5</v>
      </c>
      <c r="AN32" s="219">
        <v>9.6511421650812896E-5</v>
      </c>
      <c r="AO32" s="219">
        <v>9.671044208302645E-5</v>
      </c>
      <c r="AP32" s="219">
        <v>9.6946278507602522E-5</v>
      </c>
      <c r="AQ32" s="219">
        <v>9.7149093242206546E-5</v>
      </c>
      <c r="AR32" s="219">
        <v>9.7352908438601063E-5</v>
      </c>
      <c r="AS32" s="219">
        <v>9.7212532427216441E-5</v>
      </c>
      <c r="AT32" s="219">
        <v>9.7071207211998637E-5</v>
      </c>
      <c r="AU32" s="219">
        <v>9.6952281836548256E-5</v>
      </c>
      <c r="AV32" s="219">
        <v>9.6808926553165625E-5</v>
      </c>
      <c r="AW32" s="219">
        <v>9.6664412972092932E-5</v>
      </c>
      <c r="AX32" s="219">
        <v>9.6376407293463591E-5</v>
      </c>
      <c r="AY32" s="219">
        <v>9.6065907940071931E-5</v>
      </c>
      <c r="AZ32" s="219">
        <v>9.5753741921939916E-5</v>
      </c>
      <c r="BA32" s="219">
        <v>9.5439879467151915E-5</v>
      </c>
      <c r="BB32" s="219">
        <v>9.5124296850796392E-5</v>
      </c>
      <c r="BC32" s="33">
        <v>119.1904376828072</v>
      </c>
      <c r="BD32" s="219">
        <v>119.14749385904901</v>
      </c>
      <c r="BE32" s="219">
        <v>119.10500649893061</v>
      </c>
      <c r="BF32" s="219">
        <v>118.3718965782387</v>
      </c>
      <c r="BG32" s="219">
        <v>118.3315603139125</v>
      </c>
      <c r="BH32" s="219">
        <v>118.2914435002514</v>
      </c>
      <c r="BI32" s="219">
        <v>118.2908864371209</v>
      </c>
      <c r="BJ32" s="219">
        <v>118.29040093616619</v>
      </c>
      <c r="BK32" s="219">
        <v>117.8191358499945</v>
      </c>
      <c r="BL32" s="219">
        <v>117.82210845498651</v>
      </c>
      <c r="BM32" s="219">
        <v>117.8250996497282</v>
      </c>
      <c r="BN32" s="219">
        <v>117.8714564698883</v>
      </c>
      <c r="BO32" s="219">
        <v>117.9174008500527</v>
      </c>
      <c r="BP32" s="219">
        <v>117.8214902239839</v>
      </c>
      <c r="BQ32" s="219">
        <v>117.8683266201745</v>
      </c>
      <c r="BR32" s="219">
        <v>117.9147244662052</v>
      </c>
      <c r="BS32" s="219">
        <v>117.8617819757314</v>
      </c>
      <c r="BT32" s="219">
        <v>117.8082404614688</v>
      </c>
      <c r="BU32" s="219">
        <v>117.61608634126139</v>
      </c>
      <c r="BV32" s="219">
        <v>117.5629913213542</v>
      </c>
      <c r="BW32" s="219">
        <v>117.5093695431686</v>
      </c>
      <c r="BX32" s="219">
        <v>117.44781323215599</v>
      </c>
      <c r="BY32" s="219">
        <v>117.3865059684325</v>
      </c>
      <c r="BZ32" s="219">
        <v>117.3252887888865</v>
      </c>
      <c r="CA32" s="219">
        <v>117.264158753236</v>
      </c>
      <c r="CB32" s="219">
        <v>117.203117860326</v>
      </c>
      <c r="CC32" s="33">
        <v>1037.493275938863</v>
      </c>
      <c r="CD32" s="219">
        <v>1035.7399576388721</v>
      </c>
      <c r="CE32" s="219">
        <v>1034.0056038228749</v>
      </c>
      <c r="CF32" s="219">
        <v>1027.697547156306</v>
      </c>
      <c r="CG32" s="219">
        <v>1025.9908010251111</v>
      </c>
      <c r="CH32" s="219">
        <v>1024.2916076393731</v>
      </c>
      <c r="CI32" s="219">
        <v>1025.202036574439</v>
      </c>
      <c r="CJ32" s="219">
        <v>1026.128487412376</v>
      </c>
      <c r="CK32" s="219">
        <v>1024.3107847544079</v>
      </c>
      <c r="CL32" s="219">
        <v>1025.3040187287079</v>
      </c>
      <c r="CM32" s="219">
        <v>1026.3085715144889</v>
      </c>
      <c r="CN32" s="219">
        <v>1028.2349760279301</v>
      </c>
      <c r="CO32" s="219">
        <v>1030.1790192937119</v>
      </c>
      <c r="CP32" s="219">
        <v>1031.5313030359559</v>
      </c>
      <c r="CQ32" s="219">
        <v>1033.5340865339131</v>
      </c>
      <c r="CR32" s="219">
        <v>1035.5510426582489</v>
      </c>
      <c r="CS32" s="219">
        <v>1031.423766847804</v>
      </c>
      <c r="CT32" s="219">
        <v>1027.2855055101479</v>
      </c>
      <c r="CU32" s="219">
        <v>1022.5109258357249</v>
      </c>
      <c r="CV32" s="219">
        <v>1018.337256042481</v>
      </c>
      <c r="CW32" s="219">
        <v>1014.13814400604</v>
      </c>
      <c r="CX32" s="219">
        <v>1007.600052632234</v>
      </c>
      <c r="CY32" s="219">
        <v>1000.892990260865</v>
      </c>
      <c r="CZ32" s="219">
        <v>994.15531261359172</v>
      </c>
      <c r="DA32" s="219">
        <v>987.38631762704017</v>
      </c>
      <c r="DB32" s="219">
        <v>980.58545600976356</v>
      </c>
    </row>
    <row r="33" spans="1:106" x14ac:dyDescent="0.35">
      <c r="A33" s="137" t="s">
        <v>562</v>
      </c>
      <c r="B33" s="130" t="s">
        <v>547</v>
      </c>
      <c r="C33" s="219">
        <v>3.86543287953541E-3</v>
      </c>
      <c r="D33" s="219">
        <v>3.8572536393638749E-3</v>
      </c>
      <c r="E33" s="219">
        <v>3.849021345432432E-3</v>
      </c>
      <c r="F33" s="219">
        <v>3.8410164623840738E-3</v>
      </c>
      <c r="G33" s="219">
        <v>3.832696222572405E-3</v>
      </c>
      <c r="H33" s="219">
        <v>3.8243395251057852E-3</v>
      </c>
      <c r="I33" s="219">
        <v>4.0410628117260967E-3</v>
      </c>
      <c r="J33" s="219">
        <v>4.2568870624606391E-3</v>
      </c>
      <c r="K33" s="219">
        <v>4.4722979323323147E-3</v>
      </c>
      <c r="L33" s="219">
        <v>4.6865143901779066E-3</v>
      </c>
      <c r="M33" s="219">
        <v>4.8998711595877494E-3</v>
      </c>
      <c r="N33" s="219">
        <v>5.3185488730925099E-3</v>
      </c>
      <c r="O33" s="219">
        <v>5.7373251784576321E-3</v>
      </c>
      <c r="P33" s="219">
        <v>6.1565370477593669E-3</v>
      </c>
      <c r="Q33" s="219">
        <v>6.5754992958356887E-3</v>
      </c>
      <c r="R33" s="219">
        <v>6.9945474454131398E-3</v>
      </c>
      <c r="S33" s="219">
        <v>7.0116168458050814E-3</v>
      </c>
      <c r="T33" s="219">
        <v>7.0285720389303731E-3</v>
      </c>
      <c r="U33" s="219">
        <v>7.0456136311661073E-3</v>
      </c>
      <c r="V33" s="219">
        <v>7.0623528072684379E-3</v>
      </c>
      <c r="W33" s="219">
        <v>7.0789903252631266E-3</v>
      </c>
      <c r="X33" s="219">
        <v>6.8978541699720158E-3</v>
      </c>
      <c r="Y33" s="219">
        <v>6.7146561505537807E-3</v>
      </c>
      <c r="Z33" s="219">
        <v>6.531561084210988E-3</v>
      </c>
      <c r="AA33" s="219">
        <v>6.3485651014893764E-3</v>
      </c>
      <c r="AB33" s="219">
        <v>6.1656683903791726E-3</v>
      </c>
      <c r="AC33" s="33">
        <v>2.4219263815059069E-6</v>
      </c>
      <c r="AD33" s="219">
        <v>2.4164687599320309E-6</v>
      </c>
      <c r="AE33" s="219">
        <v>2.411004433198947E-6</v>
      </c>
      <c r="AF33" s="219">
        <v>2.405236166972924E-6</v>
      </c>
      <c r="AG33" s="219">
        <v>2.3997546813756359E-6</v>
      </c>
      <c r="AH33" s="219">
        <v>2.394264053946725E-6</v>
      </c>
      <c r="AI33" s="219">
        <v>2.5273051797618271E-6</v>
      </c>
      <c r="AJ33" s="219">
        <v>2.6597849749189921E-6</v>
      </c>
      <c r="AK33" s="219">
        <v>2.79178800971494E-6</v>
      </c>
      <c r="AL33" s="219">
        <v>2.923288294485455E-6</v>
      </c>
      <c r="AM33" s="219">
        <v>3.0542509811774192E-6</v>
      </c>
      <c r="AN33" s="219">
        <v>3.3053713521866661E-6</v>
      </c>
      <c r="AO33" s="219">
        <v>3.5565339972491909E-6</v>
      </c>
      <c r="AP33" s="219">
        <v>3.8079028632170021E-6</v>
      </c>
      <c r="AQ33" s="219">
        <v>4.059151910463988E-6</v>
      </c>
      <c r="AR33" s="219">
        <v>4.3104478287483702E-6</v>
      </c>
      <c r="AS33" s="219">
        <v>4.3273631101758869E-6</v>
      </c>
      <c r="AT33" s="219">
        <v>4.3442245309916101E-6</v>
      </c>
      <c r="AU33" s="219">
        <v>4.3611347078169466E-6</v>
      </c>
      <c r="AV33" s="219">
        <v>4.3778891953574089E-6</v>
      </c>
      <c r="AW33" s="219">
        <v>4.3945919428111391E-6</v>
      </c>
      <c r="AX33" s="219">
        <v>4.2884704783213748E-6</v>
      </c>
      <c r="AY33" s="219">
        <v>4.1780690585363608E-6</v>
      </c>
      <c r="AZ33" s="219">
        <v>4.0677323302082661E-6</v>
      </c>
      <c r="BA33" s="219">
        <v>3.957457812401838E-6</v>
      </c>
      <c r="BB33" s="219">
        <v>3.8472455633077597E-6</v>
      </c>
      <c r="BC33" s="33">
        <v>2.137561645339245</v>
      </c>
      <c r="BD33" s="219">
        <v>2.1411317364597031</v>
      </c>
      <c r="BE33" s="219">
        <v>2.1447341165806511</v>
      </c>
      <c r="BF33" s="219">
        <v>2.1446251116288622</v>
      </c>
      <c r="BG33" s="219">
        <v>2.148338813471621</v>
      </c>
      <c r="BH33" s="219">
        <v>2.1520812374772089</v>
      </c>
      <c r="BI33" s="219">
        <v>2.216617012287653</v>
      </c>
      <c r="BJ33" s="219">
        <v>2.2808739714241968</v>
      </c>
      <c r="BK33" s="219">
        <v>2.3421005826383579</v>
      </c>
      <c r="BL33" s="219">
        <v>2.4059224526784582</v>
      </c>
      <c r="BM33" s="219">
        <v>2.4694875172326101</v>
      </c>
      <c r="BN33" s="219">
        <v>2.5407462545926278</v>
      </c>
      <c r="BO33" s="219">
        <v>2.6119243499886391</v>
      </c>
      <c r="BP33" s="219">
        <v>2.6823816375017429</v>
      </c>
      <c r="BQ33" s="219">
        <v>2.7533963760225268</v>
      </c>
      <c r="BR33" s="219">
        <v>2.8243183756937769</v>
      </c>
      <c r="BS33" s="219">
        <v>2.8944400481244839</v>
      </c>
      <c r="BT33" s="219">
        <v>2.9644474292503942</v>
      </c>
      <c r="BU33" s="219">
        <v>3.033778016209963</v>
      </c>
      <c r="BV33" s="219">
        <v>3.103604050416727</v>
      </c>
      <c r="BW33" s="219">
        <v>3.1733445179291841</v>
      </c>
      <c r="BX33" s="219">
        <v>3.1512577015084942</v>
      </c>
      <c r="BY33" s="219">
        <v>3.1293130103149198</v>
      </c>
      <c r="BZ33" s="219">
        <v>3.107423194201381</v>
      </c>
      <c r="CA33" s="219">
        <v>3.0855861400518441</v>
      </c>
      <c r="CB33" s="219">
        <v>3.063801868330327</v>
      </c>
      <c r="CC33" s="33">
        <v>27.43977189264254</v>
      </c>
      <c r="CD33" s="219">
        <v>27.373661407894861</v>
      </c>
      <c r="CE33" s="219">
        <v>27.30772876420415</v>
      </c>
      <c r="CF33" s="219">
        <v>27.21752740676509</v>
      </c>
      <c r="CG33" s="219">
        <v>27.151994665618691</v>
      </c>
      <c r="CH33" s="219">
        <v>27.086480619983451</v>
      </c>
      <c r="CI33" s="219">
        <v>29.01093018448362</v>
      </c>
      <c r="CJ33" s="219">
        <v>30.927286295864441</v>
      </c>
      <c r="CK33" s="219">
        <v>32.81981498484592</v>
      </c>
      <c r="CL33" s="219">
        <v>34.723015125199282</v>
      </c>
      <c r="CM33" s="219">
        <v>36.618152926740073</v>
      </c>
      <c r="CN33" s="219">
        <v>40.029824095637842</v>
      </c>
      <c r="CO33" s="219">
        <v>43.441070893422648</v>
      </c>
      <c r="CP33" s="219">
        <v>46.848958807889318</v>
      </c>
      <c r="CQ33" s="219">
        <v>50.259130293415083</v>
      </c>
      <c r="CR33" s="219">
        <v>53.668785654933899</v>
      </c>
      <c r="CS33" s="219">
        <v>54.197539496457651</v>
      </c>
      <c r="CT33" s="219">
        <v>54.725049329524282</v>
      </c>
      <c r="CU33" s="219">
        <v>55.248709599259797</v>
      </c>
      <c r="CV33" s="219">
        <v>55.77394978123926</v>
      </c>
      <c r="CW33" s="219">
        <v>56.298089703054501</v>
      </c>
      <c r="CX33" s="219">
        <v>54.97817359177877</v>
      </c>
      <c r="CY33" s="219">
        <v>53.517561811989459</v>
      </c>
      <c r="CZ33" s="219">
        <v>52.057941815858293</v>
      </c>
      <c r="DA33" s="219">
        <v>50.599281735392339</v>
      </c>
      <c r="DB33" s="219">
        <v>49.141580328794731</v>
      </c>
    </row>
    <row r="34" spans="1:106" x14ac:dyDescent="0.35">
      <c r="A34" s="137" t="s">
        <v>755</v>
      </c>
      <c r="B34" s="130" t="s">
        <v>704</v>
      </c>
      <c r="C34" s="219">
        <v>0</v>
      </c>
      <c r="D34" s="219">
        <v>0</v>
      </c>
      <c r="E34" s="219">
        <v>0</v>
      </c>
      <c r="F34" s="219">
        <v>0</v>
      </c>
      <c r="G34" s="219">
        <v>0</v>
      </c>
      <c r="H34" s="219">
        <v>0</v>
      </c>
      <c r="I34" s="219">
        <v>0</v>
      </c>
      <c r="J34" s="219">
        <v>0</v>
      </c>
      <c r="K34" s="219">
        <v>0</v>
      </c>
      <c r="L34" s="219">
        <v>0</v>
      </c>
      <c r="M34" s="219">
        <v>0</v>
      </c>
      <c r="N34" s="219">
        <v>0</v>
      </c>
      <c r="O34" s="219">
        <v>0</v>
      </c>
      <c r="P34" s="219">
        <v>0</v>
      </c>
      <c r="Q34" s="219">
        <v>0</v>
      </c>
      <c r="R34" s="219">
        <v>0</v>
      </c>
      <c r="S34" s="219">
        <v>0</v>
      </c>
      <c r="T34" s="219">
        <v>0</v>
      </c>
      <c r="U34" s="219">
        <v>0</v>
      </c>
      <c r="V34" s="219">
        <v>0</v>
      </c>
      <c r="W34" s="219">
        <v>0</v>
      </c>
      <c r="X34" s="219">
        <v>0</v>
      </c>
      <c r="Y34" s="219">
        <v>0</v>
      </c>
      <c r="Z34" s="219">
        <v>0</v>
      </c>
      <c r="AA34" s="219">
        <v>0</v>
      </c>
      <c r="AB34" s="219">
        <v>0</v>
      </c>
      <c r="AC34" s="33">
        <v>2.0736000294618859E-7</v>
      </c>
      <c r="AD34" s="219">
        <v>2.0736000294618859E-7</v>
      </c>
      <c r="AE34" s="219">
        <v>2.0736000294618859E-7</v>
      </c>
      <c r="AF34" s="219">
        <v>2.0736000294618859E-7</v>
      </c>
      <c r="AG34" s="219">
        <v>2.0736000294618859E-7</v>
      </c>
      <c r="AH34" s="219">
        <v>2.0736000294618859E-7</v>
      </c>
      <c r="AI34" s="219">
        <v>2.0736000294618859E-7</v>
      </c>
      <c r="AJ34" s="219">
        <v>2.0736000294618859E-7</v>
      </c>
      <c r="AK34" s="219">
        <v>2.0736000294618859E-7</v>
      </c>
      <c r="AL34" s="219">
        <v>2.0736000294618859E-7</v>
      </c>
      <c r="AM34" s="219">
        <v>2.0736000294618859E-7</v>
      </c>
      <c r="AN34" s="219">
        <v>2.0736000294618859E-7</v>
      </c>
      <c r="AO34" s="219">
        <v>2.0736000294618859E-7</v>
      </c>
      <c r="AP34" s="219">
        <v>2.0736000294618859E-7</v>
      </c>
      <c r="AQ34" s="219">
        <v>2.0736000294618859E-7</v>
      </c>
      <c r="AR34" s="219">
        <v>2.0736000294618859E-7</v>
      </c>
      <c r="AS34" s="219">
        <v>2.0736000294618859E-7</v>
      </c>
      <c r="AT34" s="219">
        <v>2.0736000294618859E-7</v>
      </c>
      <c r="AU34" s="219">
        <v>2.0736000294618859E-7</v>
      </c>
      <c r="AV34" s="219">
        <v>2.0736000294618859E-7</v>
      </c>
      <c r="AW34" s="219">
        <v>2.0736000294618859E-7</v>
      </c>
      <c r="AX34" s="219">
        <v>2.0736000294618859E-7</v>
      </c>
      <c r="AY34" s="219">
        <v>2.0736000294618859E-7</v>
      </c>
      <c r="AZ34" s="219">
        <v>2.0736000294618859E-7</v>
      </c>
      <c r="BA34" s="219">
        <v>2.0736000294618859E-7</v>
      </c>
      <c r="BB34" s="219">
        <v>2.0736000294618859E-7</v>
      </c>
      <c r="BC34" s="33">
        <v>0</v>
      </c>
      <c r="BD34" s="219">
        <v>0</v>
      </c>
      <c r="BE34" s="219">
        <v>0</v>
      </c>
      <c r="BF34" s="219">
        <v>0</v>
      </c>
      <c r="BG34" s="219">
        <v>0</v>
      </c>
      <c r="BH34" s="219">
        <v>0</v>
      </c>
      <c r="BI34" s="219">
        <v>0</v>
      </c>
      <c r="BJ34" s="219">
        <v>0</v>
      </c>
      <c r="BK34" s="219">
        <v>0</v>
      </c>
      <c r="BL34" s="219">
        <v>0</v>
      </c>
      <c r="BM34" s="219">
        <v>0</v>
      </c>
      <c r="BN34" s="219">
        <v>0</v>
      </c>
      <c r="BO34" s="219">
        <v>0</v>
      </c>
      <c r="BP34" s="219">
        <v>0</v>
      </c>
      <c r="BQ34" s="219">
        <v>0</v>
      </c>
      <c r="BR34" s="219">
        <v>0</v>
      </c>
      <c r="BS34" s="219">
        <v>0</v>
      </c>
      <c r="BT34" s="219">
        <v>0</v>
      </c>
      <c r="BU34" s="219">
        <v>0</v>
      </c>
      <c r="BV34" s="219">
        <v>0</v>
      </c>
      <c r="BW34" s="219">
        <v>0</v>
      </c>
      <c r="BX34" s="219">
        <v>0</v>
      </c>
      <c r="BY34" s="219">
        <v>0</v>
      </c>
      <c r="BZ34" s="219">
        <v>0</v>
      </c>
      <c r="CA34" s="219">
        <v>0</v>
      </c>
      <c r="CB34" s="219">
        <v>0</v>
      </c>
      <c r="CC34" s="33">
        <v>0</v>
      </c>
      <c r="CD34" s="219">
        <v>0</v>
      </c>
      <c r="CE34" s="219">
        <v>0</v>
      </c>
      <c r="CF34" s="219">
        <v>0</v>
      </c>
      <c r="CG34" s="219">
        <v>0</v>
      </c>
      <c r="CH34" s="219">
        <v>0</v>
      </c>
      <c r="CI34" s="219">
        <v>0</v>
      </c>
      <c r="CJ34" s="219">
        <v>0</v>
      </c>
      <c r="CK34" s="219">
        <v>0</v>
      </c>
      <c r="CL34" s="219">
        <v>0</v>
      </c>
      <c r="CM34" s="219">
        <v>0</v>
      </c>
      <c r="CN34" s="219">
        <v>0</v>
      </c>
      <c r="CO34" s="219">
        <v>0</v>
      </c>
      <c r="CP34" s="219">
        <v>0</v>
      </c>
      <c r="CQ34" s="219">
        <v>0</v>
      </c>
      <c r="CR34" s="219">
        <v>0</v>
      </c>
      <c r="CS34" s="219">
        <v>0</v>
      </c>
      <c r="CT34" s="219">
        <v>0</v>
      </c>
      <c r="CU34" s="219">
        <v>0</v>
      </c>
      <c r="CV34" s="219">
        <v>0</v>
      </c>
      <c r="CW34" s="219">
        <v>0</v>
      </c>
      <c r="CX34" s="219">
        <v>0</v>
      </c>
      <c r="CY34" s="219">
        <v>0</v>
      </c>
      <c r="CZ34" s="219">
        <v>0</v>
      </c>
      <c r="DA34" s="219">
        <v>0</v>
      </c>
      <c r="DB34" s="219">
        <v>0</v>
      </c>
    </row>
    <row r="35" spans="1:106" x14ac:dyDescent="0.35">
      <c r="A35" s="137" t="s">
        <v>563</v>
      </c>
      <c r="B35" s="130" t="s">
        <v>704</v>
      </c>
      <c r="C35" s="219">
        <v>3.1208515547463418</v>
      </c>
      <c r="D35" s="219">
        <v>3.1115894682350289</v>
      </c>
      <c r="E35" s="219">
        <v>3.1022314320029989</v>
      </c>
      <c r="F35" s="219">
        <v>3.0931004357287688</v>
      </c>
      <c r="G35" s="219">
        <v>3.0835768071651679</v>
      </c>
      <c r="H35" s="219">
        <v>3.0739787664805882</v>
      </c>
      <c r="I35" s="219">
        <v>3.361270820822106</v>
      </c>
      <c r="J35" s="219">
        <v>3.648172192245708</v>
      </c>
      <c r="K35" s="219">
        <v>3.935221464005326</v>
      </c>
      <c r="L35" s="219">
        <v>4.221588425371845</v>
      </c>
      <c r="M35" s="219">
        <v>4.5076142848967349</v>
      </c>
      <c r="N35" s="219">
        <v>5.066726515010334</v>
      </c>
      <c r="O35" s="219">
        <v>5.6272255695301334</v>
      </c>
      <c r="P35" s="219">
        <v>6.1894811024463374</v>
      </c>
      <c r="Q35" s="219">
        <v>6.7527515870654069</v>
      </c>
      <c r="R35" s="219">
        <v>7.3174069595748454</v>
      </c>
      <c r="S35" s="219">
        <v>7.3455769232231516</v>
      </c>
      <c r="T35" s="219">
        <v>7.3736516581927329</v>
      </c>
      <c r="U35" s="219">
        <v>7.4018525072969812</v>
      </c>
      <c r="V35" s="219">
        <v>7.4297535224510574</v>
      </c>
      <c r="W35" s="219">
        <v>7.4575760720479991</v>
      </c>
      <c r="X35" s="219">
        <v>7.2249790251547026</v>
      </c>
      <c r="Y35" s="219">
        <v>6.9886881155374434</v>
      </c>
      <c r="Z35" s="219">
        <v>6.7515806286725528</v>
      </c>
      <c r="AA35" s="219">
        <v>6.513649249180772</v>
      </c>
      <c r="AB35" s="219">
        <v>6.2748891651459404</v>
      </c>
      <c r="AC35" s="33">
        <v>2.0283419647101671E-3</v>
      </c>
      <c r="AD35" s="219">
        <v>2.0225487147066709E-3</v>
      </c>
      <c r="AE35" s="219">
        <v>2.0167303544336569E-3</v>
      </c>
      <c r="AF35" s="219">
        <v>2.0105770651723249E-3</v>
      </c>
      <c r="AG35" s="219">
        <v>2.0047055982580051E-3</v>
      </c>
      <c r="AH35" s="219">
        <v>1.9988066227866431E-3</v>
      </c>
      <c r="AI35" s="219">
        <v>2.1755177535831942E-3</v>
      </c>
      <c r="AJ35" s="219">
        <v>2.3519801583265702E-3</v>
      </c>
      <c r="AK35" s="219">
        <v>2.5282904312957581E-3</v>
      </c>
      <c r="AL35" s="219">
        <v>2.7044408839963542E-3</v>
      </c>
      <c r="AM35" s="219">
        <v>2.8803719776254468E-3</v>
      </c>
      <c r="AN35" s="219">
        <v>3.2160527214427212E-3</v>
      </c>
      <c r="AO35" s="219">
        <v>3.5525452763106929E-3</v>
      </c>
      <c r="AP35" s="219">
        <v>3.8900345295977091E-3</v>
      </c>
      <c r="AQ35" s="219">
        <v>4.2281601886612324E-3</v>
      </c>
      <c r="AR35" s="219">
        <v>4.567112145210302E-3</v>
      </c>
      <c r="AS35" s="219">
        <v>4.5933084756964466E-3</v>
      </c>
      <c r="AT35" s="219">
        <v>4.6194856112340664E-3</v>
      </c>
      <c r="AU35" s="219">
        <v>4.6457587544333967E-3</v>
      </c>
      <c r="AV35" s="219">
        <v>4.6718991416692616E-3</v>
      </c>
      <c r="AW35" s="219">
        <v>4.6980236857650966E-3</v>
      </c>
      <c r="AX35" s="219">
        <v>4.5626241736176684E-3</v>
      </c>
      <c r="AY35" s="219">
        <v>4.4209818698108631E-3</v>
      </c>
      <c r="AZ35" s="219">
        <v>4.2788562405541618E-3</v>
      </c>
      <c r="BA35" s="219">
        <v>4.1362427944951607E-3</v>
      </c>
      <c r="BB35" s="219">
        <v>3.9931386155789414E-3</v>
      </c>
      <c r="BC35" s="33">
        <v>2683.8874573103321</v>
      </c>
      <c r="BD35" s="219">
        <v>2692.793890721297</v>
      </c>
      <c r="BE35" s="219">
        <v>2701.7783403338281</v>
      </c>
      <c r="BF35" s="219">
        <v>2706.700672917465</v>
      </c>
      <c r="BG35" s="219">
        <v>2715.8995028076838</v>
      </c>
      <c r="BH35" s="219">
        <v>2725.1741389802619</v>
      </c>
      <c r="BI35" s="219">
        <v>2814.0402210849438</v>
      </c>
      <c r="BJ35" s="219">
        <v>2902.7887290809399</v>
      </c>
      <c r="BK35" s="219">
        <v>2988.3527774562708</v>
      </c>
      <c r="BL35" s="219">
        <v>3077.020353301285</v>
      </c>
      <c r="BM35" s="219">
        <v>3165.5987547228292</v>
      </c>
      <c r="BN35" s="219">
        <v>3263.6331652469598</v>
      </c>
      <c r="BO35" s="219">
        <v>3361.7811818242822</v>
      </c>
      <c r="BP35" s="219">
        <v>3459.354841568017</v>
      </c>
      <c r="BQ35" s="219">
        <v>3557.726115966937</v>
      </c>
      <c r="BR35" s="219">
        <v>3656.195924025676</v>
      </c>
      <c r="BS35" s="219">
        <v>3753.4578396803349</v>
      </c>
      <c r="BT35" s="219">
        <v>3850.7555417609692</v>
      </c>
      <c r="BU35" s="219">
        <v>3947.4971433905689</v>
      </c>
      <c r="BV35" s="219">
        <v>4044.9280830876269</v>
      </c>
      <c r="BW35" s="219">
        <v>4142.4339106704592</v>
      </c>
      <c r="BX35" s="219">
        <v>4120.7292199534086</v>
      </c>
      <c r="BY35" s="219">
        <v>4099.064890458726</v>
      </c>
      <c r="BZ35" s="219">
        <v>4077.3865797364019</v>
      </c>
      <c r="CA35" s="219">
        <v>4055.6927614695442</v>
      </c>
      <c r="CB35" s="219">
        <v>4033.9832667595351</v>
      </c>
      <c r="CC35" s="33">
        <v>34250.087218896842</v>
      </c>
      <c r="CD35" s="219">
        <v>34218.56778611405</v>
      </c>
      <c r="CE35" s="219">
        <v>34187.206709616687</v>
      </c>
      <c r="CF35" s="219">
        <v>34129.026179517758</v>
      </c>
      <c r="CG35" s="219">
        <v>34098.098951609783</v>
      </c>
      <c r="CH35" s="219">
        <v>34067.170621471523</v>
      </c>
      <c r="CI35" s="219">
        <v>36652.792163409693</v>
      </c>
      <c r="CJ35" s="219">
        <v>39234.925875793131</v>
      </c>
      <c r="CK35" s="219">
        <v>41796.15005611298</v>
      </c>
      <c r="CL35" s="219">
        <v>44375.240252589741</v>
      </c>
      <c r="CM35" s="219">
        <v>46950.866049747638</v>
      </c>
      <c r="CN35" s="219">
        <v>51536.539565813597</v>
      </c>
      <c r="CO35" s="219">
        <v>56131.949131323927</v>
      </c>
      <c r="CP35" s="219">
        <v>60733.967083794632</v>
      </c>
      <c r="CQ35" s="219">
        <v>65348.643071347557</v>
      </c>
      <c r="CR35" s="219">
        <v>69973.044542118281</v>
      </c>
      <c r="CS35" s="219">
        <v>70753.251525696367</v>
      </c>
      <c r="CT35" s="219">
        <v>71533.326766455531</v>
      </c>
      <c r="CU35" s="219">
        <v>72310.55495966773</v>
      </c>
      <c r="CV35" s="219">
        <v>73090.690856536341</v>
      </c>
      <c r="CW35" s="219">
        <v>73870.917099097816</v>
      </c>
      <c r="CX35" s="219">
        <v>72250.276918973395</v>
      </c>
      <c r="CY35" s="219">
        <v>70432.872089330616</v>
      </c>
      <c r="CZ35" s="219">
        <v>68609.55768213296</v>
      </c>
      <c r="DA35" s="219">
        <v>66780.276200489709</v>
      </c>
      <c r="DB35" s="219">
        <v>64944.989470757762</v>
      </c>
    </row>
    <row r="37" spans="1:106" s="11" customFormat="1" ht="21" x14ac:dyDescent="0.5">
      <c r="A37" s="11" t="s">
        <v>73</v>
      </c>
    </row>
    <row r="38" spans="1:106" x14ac:dyDescent="0.35">
      <c r="A38" s="29" t="s">
        <v>0</v>
      </c>
      <c r="B38" s="29"/>
      <c r="C38" s="332" t="s">
        <v>702</v>
      </c>
      <c r="D38" s="332"/>
      <c r="E38" s="332"/>
      <c r="F38" s="332"/>
      <c r="G38" s="332"/>
      <c r="H38" s="332"/>
      <c r="I38" s="332"/>
      <c r="J38" s="332"/>
      <c r="K38" s="332"/>
      <c r="L38" s="332"/>
      <c r="M38" s="332"/>
      <c r="N38" s="332"/>
      <c r="O38" s="332"/>
      <c r="P38" s="332"/>
      <c r="Q38" s="332"/>
      <c r="R38" s="332"/>
      <c r="S38" s="332"/>
      <c r="T38" s="332"/>
      <c r="U38" s="332"/>
      <c r="V38" s="332"/>
      <c r="W38" s="332"/>
      <c r="X38" s="332"/>
      <c r="Y38" s="332"/>
      <c r="Z38" s="332"/>
      <c r="AA38" s="332"/>
      <c r="AB38" s="332"/>
      <c r="AC38" s="333" t="s">
        <v>701</v>
      </c>
      <c r="AD38" s="333"/>
      <c r="AE38" s="333"/>
      <c r="AF38" s="333"/>
      <c r="AG38" s="333"/>
      <c r="AH38" s="333"/>
      <c r="AI38" s="333"/>
      <c r="AJ38" s="333"/>
      <c r="AK38" s="333"/>
      <c r="AL38" s="333"/>
      <c r="AM38" s="333"/>
      <c r="AN38" s="333"/>
      <c r="AO38" s="333"/>
      <c r="AP38" s="333"/>
      <c r="AQ38" s="333"/>
      <c r="AR38" s="333"/>
      <c r="AS38" s="333"/>
      <c r="AT38" s="333"/>
      <c r="AU38" s="333"/>
      <c r="AV38" s="333"/>
      <c r="AW38" s="333"/>
      <c r="AX38" s="333"/>
      <c r="AY38" s="333"/>
      <c r="AZ38" s="333"/>
      <c r="BA38" s="333"/>
      <c r="BB38" s="333"/>
      <c r="BC38" s="334" t="s">
        <v>756</v>
      </c>
      <c r="BD38" s="335"/>
      <c r="BE38" s="335"/>
      <c r="BF38" s="335"/>
      <c r="BG38" s="335"/>
      <c r="BH38" s="335"/>
      <c r="BI38" s="335"/>
      <c r="BJ38" s="335"/>
      <c r="BK38" s="335"/>
      <c r="BL38" s="335"/>
      <c r="BM38" s="335"/>
      <c r="BN38" s="335"/>
      <c r="BO38" s="335"/>
      <c r="BP38" s="335"/>
      <c r="BQ38" s="335"/>
      <c r="BR38" s="335"/>
      <c r="BS38" s="335"/>
      <c r="BT38" s="335"/>
      <c r="BU38" s="335"/>
      <c r="BV38" s="335"/>
      <c r="BW38" s="335"/>
      <c r="BX38" s="335"/>
      <c r="BY38" s="335"/>
      <c r="BZ38" s="335"/>
      <c r="CA38" s="335"/>
      <c r="CB38" s="336"/>
      <c r="CC38" s="337" t="s">
        <v>700</v>
      </c>
      <c r="CD38" s="337"/>
      <c r="CE38" s="337"/>
      <c r="CF38" s="337"/>
      <c r="CG38" s="337"/>
      <c r="CH38" s="337"/>
      <c r="CI38" s="337"/>
      <c r="CJ38" s="337"/>
      <c r="CK38" s="337"/>
      <c r="CL38" s="337"/>
      <c r="CM38" s="337"/>
      <c r="CN38" s="337"/>
      <c r="CO38" s="337"/>
      <c r="CP38" s="337"/>
      <c r="CQ38" s="337"/>
      <c r="CR38" s="337"/>
      <c r="CS38" s="337"/>
      <c r="CT38" s="337"/>
      <c r="CU38" s="337"/>
      <c r="CV38" s="337"/>
      <c r="CW38" s="337"/>
      <c r="CX38" s="337"/>
      <c r="CY38" s="337"/>
      <c r="CZ38" s="337"/>
      <c r="DA38" s="337"/>
      <c r="DB38" s="337"/>
    </row>
    <row r="39" spans="1:106" x14ac:dyDescent="0.35">
      <c r="A39" s="29" t="s">
        <v>1</v>
      </c>
      <c r="B39" s="29" t="s">
        <v>180</v>
      </c>
      <c r="C39" s="184" t="s">
        <v>8</v>
      </c>
      <c r="D39" s="184" t="s">
        <v>74</v>
      </c>
      <c r="E39" s="184" t="s">
        <v>75</v>
      </c>
      <c r="F39" s="184" t="s">
        <v>76</v>
      </c>
      <c r="G39" s="184" t="s">
        <v>77</v>
      </c>
      <c r="H39" s="184" t="s">
        <v>9</v>
      </c>
      <c r="I39" s="184" t="s">
        <v>78</v>
      </c>
      <c r="J39" s="184" t="s">
        <v>79</v>
      </c>
      <c r="K39" s="184" t="s">
        <v>80</v>
      </c>
      <c r="L39" s="184" t="s">
        <v>81</v>
      </c>
      <c r="M39" s="184" t="s">
        <v>10</v>
      </c>
      <c r="N39" s="184" t="s">
        <v>82</v>
      </c>
      <c r="O39" s="184" t="s">
        <v>83</v>
      </c>
      <c r="P39" s="184" t="s">
        <v>84</v>
      </c>
      <c r="Q39" s="184" t="s">
        <v>85</v>
      </c>
      <c r="R39" s="184" t="s">
        <v>11</v>
      </c>
      <c r="S39" s="184" t="s">
        <v>86</v>
      </c>
      <c r="T39" s="184" t="s">
        <v>87</v>
      </c>
      <c r="U39" s="184" t="s">
        <v>88</v>
      </c>
      <c r="V39" s="184" t="s">
        <v>89</v>
      </c>
      <c r="W39" s="184" t="s">
        <v>12</v>
      </c>
      <c r="X39" s="184" t="s">
        <v>90</v>
      </c>
      <c r="Y39" s="184" t="s">
        <v>91</v>
      </c>
      <c r="Z39" s="184" t="s">
        <v>92</v>
      </c>
      <c r="AA39" s="184" t="s">
        <v>93</v>
      </c>
      <c r="AB39" s="184" t="s">
        <v>13</v>
      </c>
      <c r="AC39" s="185" t="s">
        <v>8</v>
      </c>
      <c r="AD39" s="185" t="s">
        <v>74</v>
      </c>
      <c r="AE39" s="185" t="s">
        <v>75</v>
      </c>
      <c r="AF39" s="185" t="s">
        <v>76</v>
      </c>
      <c r="AG39" s="185" t="s">
        <v>77</v>
      </c>
      <c r="AH39" s="185" t="s">
        <v>9</v>
      </c>
      <c r="AI39" s="185" t="s">
        <v>78</v>
      </c>
      <c r="AJ39" s="185" t="s">
        <v>79</v>
      </c>
      <c r="AK39" s="185" t="s">
        <v>80</v>
      </c>
      <c r="AL39" s="185" t="s">
        <v>81</v>
      </c>
      <c r="AM39" s="185" t="s">
        <v>10</v>
      </c>
      <c r="AN39" s="185" t="s">
        <v>82</v>
      </c>
      <c r="AO39" s="185" t="s">
        <v>83</v>
      </c>
      <c r="AP39" s="185" t="s">
        <v>84</v>
      </c>
      <c r="AQ39" s="185" t="s">
        <v>85</v>
      </c>
      <c r="AR39" s="185" t="s">
        <v>11</v>
      </c>
      <c r="AS39" s="185" t="s">
        <v>86</v>
      </c>
      <c r="AT39" s="185" t="s">
        <v>87</v>
      </c>
      <c r="AU39" s="185" t="s">
        <v>88</v>
      </c>
      <c r="AV39" s="185" t="s">
        <v>89</v>
      </c>
      <c r="AW39" s="185" t="s">
        <v>12</v>
      </c>
      <c r="AX39" s="185" t="s">
        <v>90</v>
      </c>
      <c r="AY39" s="185" t="s">
        <v>91</v>
      </c>
      <c r="AZ39" s="185" t="s">
        <v>92</v>
      </c>
      <c r="BA39" s="185" t="s">
        <v>93</v>
      </c>
      <c r="BB39" s="185" t="s">
        <v>13</v>
      </c>
      <c r="BC39" s="213" t="s">
        <v>8</v>
      </c>
      <c r="BD39" s="213" t="s">
        <v>74</v>
      </c>
      <c r="BE39" s="213" t="s">
        <v>75</v>
      </c>
      <c r="BF39" s="213" t="s">
        <v>76</v>
      </c>
      <c r="BG39" s="213" t="s">
        <v>77</v>
      </c>
      <c r="BH39" s="213" t="s">
        <v>9</v>
      </c>
      <c r="BI39" s="213" t="s">
        <v>78</v>
      </c>
      <c r="BJ39" s="213" t="s">
        <v>79</v>
      </c>
      <c r="BK39" s="213" t="s">
        <v>80</v>
      </c>
      <c r="BL39" s="213" t="s">
        <v>81</v>
      </c>
      <c r="BM39" s="213" t="s">
        <v>10</v>
      </c>
      <c r="BN39" s="213" t="s">
        <v>82</v>
      </c>
      <c r="BO39" s="213" t="s">
        <v>83</v>
      </c>
      <c r="BP39" s="213" t="s">
        <v>84</v>
      </c>
      <c r="BQ39" s="213" t="s">
        <v>85</v>
      </c>
      <c r="BR39" s="213" t="s">
        <v>11</v>
      </c>
      <c r="BS39" s="213" t="s">
        <v>86</v>
      </c>
      <c r="BT39" s="213" t="s">
        <v>87</v>
      </c>
      <c r="BU39" s="213" t="s">
        <v>88</v>
      </c>
      <c r="BV39" s="213" t="s">
        <v>89</v>
      </c>
      <c r="BW39" s="213" t="s">
        <v>12</v>
      </c>
      <c r="BX39" s="213" t="s">
        <v>90</v>
      </c>
      <c r="BY39" s="213" t="s">
        <v>91</v>
      </c>
      <c r="BZ39" s="213" t="s">
        <v>92</v>
      </c>
      <c r="CA39" s="213" t="s">
        <v>93</v>
      </c>
      <c r="CB39" s="213" t="s">
        <v>13</v>
      </c>
      <c r="CC39" s="220" t="s">
        <v>8</v>
      </c>
      <c r="CD39" s="220" t="s">
        <v>74</v>
      </c>
      <c r="CE39" s="220" t="s">
        <v>75</v>
      </c>
      <c r="CF39" s="220" t="s">
        <v>76</v>
      </c>
      <c r="CG39" s="220" t="s">
        <v>77</v>
      </c>
      <c r="CH39" s="220" t="s">
        <v>9</v>
      </c>
      <c r="CI39" s="220" t="s">
        <v>78</v>
      </c>
      <c r="CJ39" s="220" t="s">
        <v>79</v>
      </c>
      <c r="CK39" s="220" t="s">
        <v>80</v>
      </c>
      <c r="CL39" s="220" t="s">
        <v>81</v>
      </c>
      <c r="CM39" s="220" t="s">
        <v>10</v>
      </c>
      <c r="CN39" s="220" t="s">
        <v>82</v>
      </c>
      <c r="CO39" s="220" t="s">
        <v>83</v>
      </c>
      <c r="CP39" s="220" t="s">
        <v>84</v>
      </c>
      <c r="CQ39" s="220" t="s">
        <v>85</v>
      </c>
      <c r="CR39" s="220" t="s">
        <v>11</v>
      </c>
      <c r="CS39" s="220" t="s">
        <v>86</v>
      </c>
      <c r="CT39" s="220" t="s">
        <v>87</v>
      </c>
      <c r="CU39" s="220" t="s">
        <v>88</v>
      </c>
      <c r="CV39" s="220" t="s">
        <v>89</v>
      </c>
      <c r="CW39" s="220" t="s">
        <v>12</v>
      </c>
      <c r="CX39" s="220" t="s">
        <v>90</v>
      </c>
      <c r="CY39" s="220" t="s">
        <v>91</v>
      </c>
      <c r="CZ39" s="220" t="s">
        <v>92</v>
      </c>
      <c r="DA39" s="220" t="s">
        <v>93</v>
      </c>
      <c r="DB39" s="220" t="s">
        <v>13</v>
      </c>
    </row>
    <row r="41" spans="1:106" x14ac:dyDescent="0.35">
      <c r="A41" s="137" t="s">
        <v>538</v>
      </c>
      <c r="B41" s="130" t="s">
        <v>545</v>
      </c>
      <c r="C41" s="33">
        <v>0.20960548877827331</v>
      </c>
      <c r="D41" s="219">
        <v>0.20888720612929321</v>
      </c>
      <c r="E41" s="219">
        <v>0.20817088565784519</v>
      </c>
      <c r="F41" s="219">
        <v>0.20748184454862881</v>
      </c>
      <c r="G41" s="219">
        <v>0.20677359798544659</v>
      </c>
      <c r="H41" s="219">
        <v>0.20606274200335589</v>
      </c>
      <c r="I41" s="219">
        <v>0.20485167336098301</v>
      </c>
      <c r="J41" s="219">
        <v>0.20384400300821071</v>
      </c>
      <c r="K41" s="219">
        <v>0.20300956641959381</v>
      </c>
      <c r="L41" s="219">
        <v>0.2021912373784874</v>
      </c>
      <c r="M41" s="219">
        <v>0.20141963051185069</v>
      </c>
      <c r="N41" s="219">
        <v>0.20079898254583139</v>
      </c>
      <c r="O41" s="219">
        <v>0.20025321094141091</v>
      </c>
      <c r="P41" s="219">
        <v>0.19979427687664189</v>
      </c>
      <c r="Q41" s="219">
        <v>0.199355742219059</v>
      </c>
      <c r="R41" s="219">
        <v>0.19895585106805161</v>
      </c>
      <c r="S41" s="219">
        <v>0.19887136911179831</v>
      </c>
      <c r="T41" s="219">
        <v>0.19880127044611351</v>
      </c>
      <c r="U41" s="219">
        <v>0.19875532691709519</v>
      </c>
      <c r="V41" s="219">
        <v>0.19869861245826759</v>
      </c>
      <c r="W41" s="219">
        <v>0.19864719717556151</v>
      </c>
      <c r="X41" s="219">
        <v>0.19878085135351209</v>
      </c>
      <c r="Y41" s="219">
        <v>0.19890080706816821</v>
      </c>
      <c r="Z41" s="219">
        <v>0.1990193679493327</v>
      </c>
      <c r="AA41" s="219">
        <v>0.19913660750262691</v>
      </c>
      <c r="AB41" s="219">
        <v>0.19925268070335869</v>
      </c>
      <c r="AC41" s="33">
        <v>9.7008535980434044E-5</v>
      </c>
      <c r="AD41" s="219">
        <v>9.6454434704475007E-5</v>
      </c>
      <c r="AE41" s="219">
        <v>9.5898131335131405E-5</v>
      </c>
      <c r="AF41" s="219">
        <v>9.5308332351952277E-5</v>
      </c>
      <c r="AG41" s="219">
        <v>9.4752498540072048E-5</v>
      </c>
      <c r="AH41" s="219">
        <v>9.4193610126287896E-5</v>
      </c>
      <c r="AI41" s="219">
        <v>9.362187252582716E-5</v>
      </c>
      <c r="AJ41" s="219">
        <v>9.3145918755787544E-5</v>
      </c>
      <c r="AK41" s="219">
        <v>9.272537175083208E-5</v>
      </c>
      <c r="AL41" s="219">
        <v>9.229983314642356E-5</v>
      </c>
      <c r="AM41" s="219">
        <v>9.1873214413069499E-5</v>
      </c>
      <c r="AN41" s="219">
        <v>9.1529123315868392E-5</v>
      </c>
      <c r="AO41" s="219">
        <v>9.1190150847642821E-5</v>
      </c>
      <c r="AP41" s="219">
        <v>9.0864345455384096E-5</v>
      </c>
      <c r="AQ41" s="219">
        <v>9.0533054129585629E-5</v>
      </c>
      <c r="AR41" s="219">
        <v>9.0204615870138246E-5</v>
      </c>
      <c r="AS41" s="219">
        <v>9.0014108588348731E-5</v>
      </c>
      <c r="AT41" s="219">
        <v>8.9829984381721112E-5</v>
      </c>
      <c r="AU41" s="219">
        <v>8.9654944085083241E-5</v>
      </c>
      <c r="AV41" s="219">
        <v>8.9474612495459141E-5</v>
      </c>
      <c r="AW41" s="219">
        <v>8.9296232799122028E-5</v>
      </c>
      <c r="AX41" s="219">
        <v>8.9265002806294551E-5</v>
      </c>
      <c r="AY41" s="219">
        <v>8.9221806299168767E-5</v>
      </c>
      <c r="AZ41" s="219">
        <v>8.9178745651080898E-5</v>
      </c>
      <c r="BA41" s="219">
        <v>8.9135828866538684E-5</v>
      </c>
      <c r="BB41" s="219">
        <v>8.9093125216521988E-5</v>
      </c>
      <c r="BC41" s="33">
        <v>75.549006646233693</v>
      </c>
      <c r="BD41" s="219">
        <v>75.142827291862289</v>
      </c>
      <c r="BE41" s="219">
        <v>74.736139892222383</v>
      </c>
      <c r="BF41" s="219">
        <v>74.006603352881967</v>
      </c>
      <c r="BG41" s="219">
        <v>73.603807625510541</v>
      </c>
      <c r="BH41" s="219">
        <v>73.19987196587013</v>
      </c>
      <c r="BI41" s="219">
        <v>72.969820609168238</v>
      </c>
      <c r="BJ41" s="219">
        <v>72.805508893836915</v>
      </c>
      <c r="BK41" s="219">
        <v>72.447577224869207</v>
      </c>
      <c r="BL41" s="219">
        <v>72.319169481164181</v>
      </c>
      <c r="BM41" s="219">
        <v>72.189192258192676</v>
      </c>
      <c r="BN41" s="219">
        <v>71.956957290486201</v>
      </c>
      <c r="BO41" s="219">
        <v>71.727609872811882</v>
      </c>
      <c r="BP41" s="219">
        <v>71.432791294736262</v>
      </c>
      <c r="BQ41" s="219">
        <v>71.209329104056948</v>
      </c>
      <c r="BR41" s="219">
        <v>70.987647790513847</v>
      </c>
      <c r="BS41" s="219">
        <v>70.859434515628394</v>
      </c>
      <c r="BT41" s="219">
        <v>70.735521279437393</v>
      </c>
      <c r="BU41" s="219">
        <v>70.549212783653971</v>
      </c>
      <c r="BV41" s="219">
        <v>70.42829647442484</v>
      </c>
      <c r="BW41" s="219">
        <v>70.307932125509723</v>
      </c>
      <c r="BX41" s="219">
        <v>70.229625648031757</v>
      </c>
      <c r="BY41" s="219">
        <v>70.15229543005276</v>
      </c>
      <c r="BZ41" s="219">
        <v>70.075601783407024</v>
      </c>
      <c r="CA41" s="219">
        <v>69.999520134030433</v>
      </c>
      <c r="CB41" s="219">
        <v>69.924076958969124</v>
      </c>
      <c r="CC41" s="33">
        <v>585.84401750146083</v>
      </c>
      <c r="CD41" s="219">
        <v>574.35293646851812</v>
      </c>
      <c r="CE41" s="219">
        <v>562.84796899644277</v>
      </c>
      <c r="CF41" s="219">
        <v>549.31818522625974</v>
      </c>
      <c r="CG41" s="219">
        <v>537.885432382408</v>
      </c>
      <c r="CH41" s="219">
        <v>526.41866203095435</v>
      </c>
      <c r="CI41" s="219">
        <v>512.16662399245433</v>
      </c>
      <c r="CJ41" s="219">
        <v>500.22130517441059</v>
      </c>
      <c r="CK41" s="219">
        <v>488.14434604639348</v>
      </c>
      <c r="CL41" s="219">
        <v>477.46094806980801</v>
      </c>
      <c r="CM41" s="219">
        <v>466.78028455037639</v>
      </c>
      <c r="CN41" s="219">
        <v>455.92979716532892</v>
      </c>
      <c r="CO41" s="219">
        <v>445.21658961906428</v>
      </c>
      <c r="CP41" s="219">
        <v>434.23616254305819</v>
      </c>
      <c r="CQ41" s="219">
        <v>423.75332222090691</v>
      </c>
      <c r="CR41" s="219">
        <v>413.36756070804103</v>
      </c>
      <c r="CS41" s="219">
        <v>406.35725106609118</v>
      </c>
      <c r="CT41" s="219">
        <v>399.503535272634</v>
      </c>
      <c r="CU41" s="219">
        <v>392.41480176876081</v>
      </c>
      <c r="CV41" s="219">
        <v>385.70398307032559</v>
      </c>
      <c r="CW41" s="219">
        <v>379.07608139356228</v>
      </c>
      <c r="CX41" s="219">
        <v>377.21365546358697</v>
      </c>
      <c r="CY41" s="219">
        <v>375.30264175410139</v>
      </c>
      <c r="CZ41" s="219">
        <v>373.39810335418957</v>
      </c>
      <c r="DA41" s="219">
        <v>371.5003330549456</v>
      </c>
      <c r="DB41" s="219">
        <v>369.61082361596038</v>
      </c>
    </row>
    <row r="42" spans="1:106" x14ac:dyDescent="0.35">
      <c r="A42" s="137" t="s">
        <v>533</v>
      </c>
      <c r="B42" s="130" t="s">
        <v>545</v>
      </c>
      <c r="C42" s="33">
        <v>0.46443428379104668</v>
      </c>
      <c r="D42" s="219">
        <v>0.46467715129342968</v>
      </c>
      <c r="E42" s="219">
        <v>0.46488325015712378</v>
      </c>
      <c r="F42" s="219">
        <v>0.46508770718899461</v>
      </c>
      <c r="G42" s="219">
        <v>0.46523054471471309</v>
      </c>
      <c r="H42" s="219">
        <v>0.46533436460243049</v>
      </c>
      <c r="I42" s="219">
        <v>0.46414099703700312</v>
      </c>
      <c r="J42" s="219">
        <v>0.46315226203060988</v>
      </c>
      <c r="K42" s="219">
        <v>0.46235392781872692</v>
      </c>
      <c r="L42" s="219">
        <v>0.46158128922710728</v>
      </c>
      <c r="M42" s="219">
        <v>0.46086948747445661</v>
      </c>
      <c r="N42" s="219">
        <v>0.46043546737910312</v>
      </c>
      <c r="O42" s="219">
        <v>0.46009813469910749</v>
      </c>
      <c r="P42" s="219">
        <v>0.45986864863872451</v>
      </c>
      <c r="Q42" s="219">
        <v>0.45966434003166229</v>
      </c>
      <c r="R42" s="219">
        <v>0.45950545339184728</v>
      </c>
      <c r="S42" s="219">
        <v>0.45975448049762391</v>
      </c>
      <c r="T42" s="219">
        <v>0.46001126545334892</v>
      </c>
      <c r="U42" s="219">
        <v>0.46029057956680602</v>
      </c>
      <c r="V42" s="219">
        <v>0.46055097784589111</v>
      </c>
      <c r="W42" s="219">
        <v>0.46081150334792181</v>
      </c>
      <c r="X42" s="219">
        <v>0.46126299705989621</v>
      </c>
      <c r="Y42" s="219">
        <v>0.46168901447787231</v>
      </c>
      <c r="Z42" s="219">
        <v>0.46211077810968371</v>
      </c>
      <c r="AA42" s="219">
        <v>0.46252847739401459</v>
      </c>
      <c r="AB42" s="219">
        <v>0.46294235227384489</v>
      </c>
      <c r="AC42" s="33">
        <v>1.853860983464347E-4</v>
      </c>
      <c r="AD42" s="219">
        <v>1.8459454204968251E-4</v>
      </c>
      <c r="AE42" s="219">
        <v>1.837969483408596E-4</v>
      </c>
      <c r="AF42" s="219">
        <v>1.8294947767234359E-4</v>
      </c>
      <c r="AG42" s="219">
        <v>1.821415541229864E-4</v>
      </c>
      <c r="AH42" s="219">
        <v>1.8132607152333201E-4</v>
      </c>
      <c r="AI42" s="219">
        <v>1.8061958007240829E-4</v>
      </c>
      <c r="AJ42" s="219">
        <v>1.7998047833008471E-4</v>
      </c>
      <c r="AK42" s="219">
        <v>1.793811584106836E-4</v>
      </c>
      <c r="AL42" s="219">
        <v>1.787747171770653E-4</v>
      </c>
      <c r="AM42" s="219">
        <v>1.7816575479785181E-4</v>
      </c>
      <c r="AN42" s="219">
        <v>1.776872857335164E-4</v>
      </c>
      <c r="AO42" s="219">
        <v>1.772146550423309E-4</v>
      </c>
      <c r="AP42" s="219">
        <v>1.7675768949796601E-4</v>
      </c>
      <c r="AQ42" s="219">
        <v>1.762939070626425E-4</v>
      </c>
      <c r="AR42" s="219">
        <v>1.7583343259328861E-4</v>
      </c>
      <c r="AS42" s="219">
        <v>1.7556100181786259E-4</v>
      </c>
      <c r="AT42" s="219">
        <v>1.7529450611750741E-4</v>
      </c>
      <c r="AU42" s="219">
        <v>1.7503969224375891E-4</v>
      </c>
      <c r="AV42" s="219">
        <v>1.747792314464392E-4</v>
      </c>
      <c r="AW42" s="219">
        <v>1.7452197388503909E-4</v>
      </c>
      <c r="AX42" s="219">
        <v>1.744674181667598E-4</v>
      </c>
      <c r="AY42" s="219">
        <v>1.743910513482393E-4</v>
      </c>
      <c r="AZ42" s="219">
        <v>1.7431525559047221E-4</v>
      </c>
      <c r="BA42" s="219">
        <v>1.742400249608945E-4</v>
      </c>
      <c r="BB42" s="219">
        <v>1.7416539400567021E-4</v>
      </c>
      <c r="BC42" s="33">
        <v>315.279997833935</v>
      </c>
      <c r="BD42" s="219">
        <v>314.56591010197411</v>
      </c>
      <c r="BE42" s="219">
        <v>313.85222584123352</v>
      </c>
      <c r="BF42" s="219">
        <v>312.72995447496731</v>
      </c>
      <c r="BG42" s="219">
        <v>312.02042018240411</v>
      </c>
      <c r="BH42" s="219">
        <v>311.30937839508488</v>
      </c>
      <c r="BI42" s="219">
        <v>311.01103588149272</v>
      </c>
      <c r="BJ42" s="219">
        <v>310.75935006997139</v>
      </c>
      <c r="BK42" s="219">
        <v>310.2438458517712</v>
      </c>
      <c r="BL42" s="219">
        <v>310.01808965928029</v>
      </c>
      <c r="BM42" s="219">
        <v>309.79070699767669</v>
      </c>
      <c r="BN42" s="219">
        <v>309.42536303549252</v>
      </c>
      <c r="BO42" s="219">
        <v>309.06390578435179</v>
      </c>
      <c r="BP42" s="219">
        <v>308.62058210249182</v>
      </c>
      <c r="BQ42" s="219">
        <v>308.26719330778792</v>
      </c>
      <c r="BR42" s="219">
        <v>307.91641069825039</v>
      </c>
      <c r="BS42" s="219">
        <v>307.68172711016581</v>
      </c>
      <c r="BT42" s="219">
        <v>307.45141566111369</v>
      </c>
      <c r="BU42" s="219">
        <v>307.143701177472</v>
      </c>
      <c r="BV42" s="219">
        <v>306.9188910005775</v>
      </c>
      <c r="BW42" s="219">
        <v>306.69560395608801</v>
      </c>
      <c r="BX42" s="219">
        <v>306.56219558118983</v>
      </c>
      <c r="BY42" s="219">
        <v>306.43037245057292</v>
      </c>
      <c r="BZ42" s="219">
        <v>306.29970825844691</v>
      </c>
      <c r="CA42" s="219">
        <v>306.17013871578172</v>
      </c>
      <c r="CB42" s="219">
        <v>306.04164786565701</v>
      </c>
      <c r="CC42" s="33">
        <v>785.1952395392517</v>
      </c>
      <c r="CD42" s="219">
        <v>769.31888512983994</v>
      </c>
      <c r="CE42" s="219">
        <v>753.34499790134009</v>
      </c>
      <c r="CF42" s="219">
        <v>734.63322044793915</v>
      </c>
      <c r="CG42" s="219">
        <v>718.49328561058462</v>
      </c>
      <c r="CH42" s="219">
        <v>702.22068768847635</v>
      </c>
      <c r="CI42" s="219">
        <v>685.17440238963286</v>
      </c>
      <c r="CJ42" s="219">
        <v>669.74364701520312</v>
      </c>
      <c r="CK42" s="219">
        <v>653.42367849877371</v>
      </c>
      <c r="CL42" s="219">
        <v>638.8213960569102</v>
      </c>
      <c r="CM42" s="219">
        <v>624.18591214889227</v>
      </c>
      <c r="CN42" s="219">
        <v>609.68215536652463</v>
      </c>
      <c r="CO42" s="219">
        <v>595.32021391392982</v>
      </c>
      <c r="CP42" s="219">
        <v>580.60218859452812</v>
      </c>
      <c r="CQ42" s="219">
        <v>566.49100027152645</v>
      </c>
      <c r="CR42" s="219">
        <v>552.49004752708038</v>
      </c>
      <c r="CS42" s="219">
        <v>543.01671050048014</v>
      </c>
      <c r="CT42" s="219">
        <v>533.69792775040582</v>
      </c>
      <c r="CU42" s="219">
        <v>524.10048662342786</v>
      </c>
      <c r="CV42" s="219">
        <v>514.99093302414974</v>
      </c>
      <c r="CW42" s="219">
        <v>506.00591674885533</v>
      </c>
      <c r="CX42" s="219">
        <v>503.42202254830312</v>
      </c>
      <c r="CY42" s="219">
        <v>500.70984964793848</v>
      </c>
      <c r="CZ42" s="219">
        <v>498.0125854871963</v>
      </c>
      <c r="DA42" s="219">
        <v>495.33031263143772</v>
      </c>
      <c r="DB42" s="219">
        <v>492.66383058302239</v>
      </c>
    </row>
    <row r="43" spans="1:106" x14ac:dyDescent="0.35">
      <c r="A43" s="137" t="s">
        <v>534</v>
      </c>
      <c r="B43" s="130" t="s">
        <v>545</v>
      </c>
      <c r="C43" s="33">
        <v>0.87912064669183188</v>
      </c>
      <c r="D43" s="219">
        <v>0.87674002137153062</v>
      </c>
      <c r="E43" s="219">
        <v>0.87440211700503734</v>
      </c>
      <c r="F43" s="219">
        <v>0.87222773015296162</v>
      </c>
      <c r="G43" s="219">
        <v>0.86999827894523807</v>
      </c>
      <c r="H43" s="219">
        <v>0.86779237717329383</v>
      </c>
      <c r="I43" s="219">
        <v>0.86296564756522276</v>
      </c>
      <c r="J43" s="219">
        <v>0.85913744799884184</v>
      </c>
      <c r="K43" s="219">
        <v>0.85615889736554196</v>
      </c>
      <c r="L43" s="219">
        <v>0.8532779695257473</v>
      </c>
      <c r="M43" s="219">
        <v>0.85063951191357656</v>
      </c>
      <c r="N43" s="219">
        <v>0.84832216693973161</v>
      </c>
      <c r="O43" s="219">
        <v>0.846361846696709</v>
      </c>
      <c r="P43" s="219">
        <v>0.84481530882405831</v>
      </c>
      <c r="Q43" s="219">
        <v>0.84336638738367742</v>
      </c>
      <c r="R43" s="219">
        <v>0.84210171156547564</v>
      </c>
      <c r="S43" s="219">
        <v>0.84200602917955514</v>
      </c>
      <c r="T43" s="219">
        <v>0.84197649631971028</v>
      </c>
      <c r="U43" s="219">
        <v>0.84205921890433777</v>
      </c>
      <c r="V43" s="219">
        <v>0.84208776191890766</v>
      </c>
      <c r="W43" s="219">
        <v>0.84213873372914594</v>
      </c>
      <c r="X43" s="219">
        <v>0.84285177178190351</v>
      </c>
      <c r="Y43" s="219">
        <v>0.84348066736134031</v>
      </c>
      <c r="Z43" s="219">
        <v>0.84410172453770038</v>
      </c>
      <c r="AA43" s="219">
        <v>0.84471531042396808</v>
      </c>
      <c r="AB43" s="219">
        <v>0.84532217092607864</v>
      </c>
      <c r="AC43" s="33">
        <v>3.8975441725594911E-4</v>
      </c>
      <c r="AD43" s="219">
        <v>3.8795852877466543E-4</v>
      </c>
      <c r="AE43" s="219">
        <v>3.8617535093912292E-4</v>
      </c>
      <c r="AF43" s="219">
        <v>3.8425761896167379E-4</v>
      </c>
      <c r="AG43" s="219">
        <v>3.8252690161334502E-4</v>
      </c>
      <c r="AH43" s="219">
        <v>3.8080737943067513E-4</v>
      </c>
      <c r="AI43" s="219">
        <v>3.7889351534189751E-4</v>
      </c>
      <c r="AJ43" s="219">
        <v>3.7745451114587562E-4</v>
      </c>
      <c r="AK43" s="219">
        <v>3.7629514833715009E-4</v>
      </c>
      <c r="AL43" s="219">
        <v>3.7512328742155459E-4</v>
      </c>
      <c r="AM43" s="219">
        <v>3.7395806122061281E-4</v>
      </c>
      <c r="AN43" s="219">
        <v>3.7302284490685729E-4</v>
      </c>
      <c r="AO43" s="219">
        <v>3.7210739550748098E-4</v>
      </c>
      <c r="AP43" s="219">
        <v>3.7125033575220251E-4</v>
      </c>
      <c r="AQ43" s="219">
        <v>3.7036370413967828E-4</v>
      </c>
      <c r="AR43" s="219">
        <v>3.6948702559842518E-4</v>
      </c>
      <c r="AS43" s="219">
        <v>3.6897964727000909E-4</v>
      </c>
      <c r="AT43" s="219">
        <v>3.6849854361591848E-4</v>
      </c>
      <c r="AU43" s="219">
        <v>3.680559835664633E-4</v>
      </c>
      <c r="AV43" s="219">
        <v>3.6758400992618911E-4</v>
      </c>
      <c r="AW43" s="219">
        <v>3.6711678930008158E-4</v>
      </c>
      <c r="AX43" s="219">
        <v>3.6707396385670071E-4</v>
      </c>
      <c r="AY43" s="219">
        <v>3.6695573360635109E-4</v>
      </c>
      <c r="AZ43" s="219">
        <v>3.6683689521962049E-4</v>
      </c>
      <c r="BA43" s="219">
        <v>3.6671750480516031E-4</v>
      </c>
      <c r="BB43" s="219">
        <v>3.6659790526896903E-4</v>
      </c>
      <c r="BC43" s="33">
        <v>318.13655504746191</v>
      </c>
      <c r="BD43" s="219">
        <v>316.70234547017162</v>
      </c>
      <c r="BE43" s="219">
        <v>315.28656145211039</v>
      </c>
      <c r="BF43" s="219">
        <v>312.36487981313383</v>
      </c>
      <c r="BG43" s="219">
        <v>311.01068999623942</v>
      </c>
      <c r="BH43" s="219">
        <v>309.67280092644131</v>
      </c>
      <c r="BI43" s="219">
        <v>308.62752289110301</v>
      </c>
      <c r="BJ43" s="219">
        <v>307.91144601737392</v>
      </c>
      <c r="BK43" s="219">
        <v>306.29663673323802</v>
      </c>
      <c r="BL43" s="219">
        <v>305.77592715120318</v>
      </c>
      <c r="BM43" s="219">
        <v>305.25870353795489</v>
      </c>
      <c r="BN43" s="219">
        <v>304.47547806305272</v>
      </c>
      <c r="BO43" s="219">
        <v>303.70414719280859</v>
      </c>
      <c r="BP43" s="219">
        <v>302.61973250486358</v>
      </c>
      <c r="BQ43" s="219">
        <v>301.87268649684421</v>
      </c>
      <c r="BR43" s="219">
        <v>301.13242734575431</v>
      </c>
      <c r="BS43" s="219">
        <v>300.78892318465739</v>
      </c>
      <c r="BT43" s="219">
        <v>300.46457003029849</v>
      </c>
      <c r="BU43" s="219">
        <v>299.84155446765021</v>
      </c>
      <c r="BV43" s="219">
        <v>299.52808869716011</v>
      </c>
      <c r="BW43" s="219">
        <v>299.21569185152788</v>
      </c>
      <c r="BX43" s="219">
        <v>298.92555231681581</v>
      </c>
      <c r="BY43" s="219">
        <v>298.63853206156853</v>
      </c>
      <c r="BZ43" s="219">
        <v>298.35337188235297</v>
      </c>
      <c r="CA43" s="219">
        <v>298.06997866048198</v>
      </c>
      <c r="CB43" s="219">
        <v>297.78850081077172</v>
      </c>
      <c r="CC43" s="33">
        <v>2400.6850597788962</v>
      </c>
      <c r="CD43" s="219">
        <v>2364.1218726880002</v>
      </c>
      <c r="CE43" s="219">
        <v>2327.9157336680241</v>
      </c>
      <c r="CF43" s="219">
        <v>2282.6134924813091</v>
      </c>
      <c r="CG43" s="219">
        <v>2247.717207511615</v>
      </c>
      <c r="CH43" s="219">
        <v>2213.153176156497</v>
      </c>
      <c r="CI43" s="219">
        <v>2164.4998646549211</v>
      </c>
      <c r="CJ43" s="219">
        <v>2127.1276047924198</v>
      </c>
      <c r="CK43" s="219">
        <v>2089.4140613729401</v>
      </c>
      <c r="CL43" s="219">
        <v>2058.4141987269832</v>
      </c>
      <c r="CM43" s="219">
        <v>2027.5675947682721</v>
      </c>
      <c r="CN43" s="219">
        <v>1996.6861308854759</v>
      </c>
      <c r="CO43" s="219">
        <v>1966.2354653627569</v>
      </c>
      <c r="CP43" s="219">
        <v>1934.3134262777819</v>
      </c>
      <c r="CQ43" s="219">
        <v>1904.562365312597</v>
      </c>
      <c r="CR43" s="219">
        <v>1875.0785779949349</v>
      </c>
      <c r="CS43" s="219">
        <v>1854.81809125359</v>
      </c>
      <c r="CT43" s="219">
        <v>1835.145845066623</v>
      </c>
      <c r="CU43" s="219">
        <v>1814.190284363593</v>
      </c>
      <c r="CV43" s="219">
        <v>1794.8725155344121</v>
      </c>
      <c r="CW43" s="219">
        <v>1775.7821759507669</v>
      </c>
      <c r="CX43" s="219">
        <v>1769.7195540996349</v>
      </c>
      <c r="CY43" s="219">
        <v>1763.3946494601551</v>
      </c>
      <c r="CZ43" s="219">
        <v>1757.062550207708</v>
      </c>
      <c r="DA43" s="219">
        <v>1750.7250388163061</v>
      </c>
      <c r="DB43" s="219">
        <v>1744.3896165373681</v>
      </c>
    </row>
    <row r="44" spans="1:106" x14ac:dyDescent="0.35">
      <c r="A44" s="137" t="s">
        <v>535</v>
      </c>
      <c r="B44" s="130" t="s">
        <v>545</v>
      </c>
      <c r="C44" s="33">
        <v>0.84534301526053379</v>
      </c>
      <c r="D44" s="219">
        <v>0.84265141396395282</v>
      </c>
      <c r="E44" s="219">
        <v>0.83995535331538906</v>
      </c>
      <c r="F44" s="219">
        <v>0.83732885509039323</v>
      </c>
      <c r="G44" s="219">
        <v>0.83463192569004674</v>
      </c>
      <c r="H44" s="219">
        <v>0.83191226915517391</v>
      </c>
      <c r="I44" s="219">
        <v>0.82844739362559761</v>
      </c>
      <c r="J44" s="219">
        <v>0.82541736784005648</v>
      </c>
      <c r="K44" s="219">
        <v>0.82281599159395424</v>
      </c>
      <c r="L44" s="219">
        <v>0.82018840676409377</v>
      </c>
      <c r="M44" s="219">
        <v>0.81765507873356247</v>
      </c>
      <c r="N44" s="219">
        <v>0.81590160755754693</v>
      </c>
      <c r="O44" s="219">
        <v>0.81431196682487783</v>
      </c>
      <c r="P44" s="219">
        <v>0.81295089216830851</v>
      </c>
      <c r="Q44" s="219">
        <v>0.81159765008932261</v>
      </c>
      <c r="R44" s="219">
        <v>0.81032943072178121</v>
      </c>
      <c r="S44" s="219">
        <v>0.81000122468718394</v>
      </c>
      <c r="T44" s="219">
        <v>0.80970646538968749</v>
      </c>
      <c r="U44" s="219">
        <v>0.80949074474611771</v>
      </c>
      <c r="V44" s="219">
        <v>0.8092295916201484</v>
      </c>
      <c r="W44" s="219">
        <v>0.80898199359066558</v>
      </c>
      <c r="X44" s="219">
        <v>0.80926005776766818</v>
      </c>
      <c r="Y44" s="219">
        <v>0.80949532650909251</v>
      </c>
      <c r="Z44" s="219">
        <v>0.80972889171201778</v>
      </c>
      <c r="AA44" s="219">
        <v>0.80996019130457586</v>
      </c>
      <c r="AB44" s="219">
        <v>0.81018956520218643</v>
      </c>
      <c r="AC44" s="33">
        <v>1.725424049662343E-4</v>
      </c>
      <c r="AD44" s="219">
        <v>1.704654516152955E-4</v>
      </c>
      <c r="AE44" s="219">
        <v>1.683792029366332E-4</v>
      </c>
      <c r="AF44" s="219">
        <v>1.661619815435245E-4</v>
      </c>
      <c r="AG44" s="219">
        <v>1.6406763531772291E-4</v>
      </c>
      <c r="AH44" s="219">
        <v>1.619556588045322E-4</v>
      </c>
      <c r="AI44" s="219">
        <v>1.5999288511597931E-4</v>
      </c>
      <c r="AJ44" s="219">
        <v>1.5823603282675631E-4</v>
      </c>
      <c r="AK44" s="219">
        <v>1.5660735721847459E-4</v>
      </c>
      <c r="AL44" s="219">
        <v>1.5495892469142699E-4</v>
      </c>
      <c r="AM44" s="219">
        <v>1.5330524771845359E-4</v>
      </c>
      <c r="AN44" s="219">
        <v>1.5208634806865339E-4</v>
      </c>
      <c r="AO44" s="219">
        <v>1.5088283451878049E-4</v>
      </c>
      <c r="AP44" s="219">
        <v>1.4972544142688541E-4</v>
      </c>
      <c r="AQ44" s="219">
        <v>1.4854769461468111E-4</v>
      </c>
      <c r="AR44" s="219">
        <v>1.4738007450405041E-4</v>
      </c>
      <c r="AS44" s="219">
        <v>1.4673230434307689E-4</v>
      </c>
      <c r="AT44" s="219">
        <v>1.4610216882431711E-4</v>
      </c>
      <c r="AU44" s="219">
        <v>1.4550600652714501E-4</v>
      </c>
      <c r="AV44" s="219">
        <v>1.448922516530996E-4</v>
      </c>
      <c r="AW44" s="219">
        <v>1.4428711568250819E-4</v>
      </c>
      <c r="AX44" s="219">
        <v>1.4416689014405671E-4</v>
      </c>
      <c r="AY44" s="219">
        <v>1.4401002939567629E-4</v>
      </c>
      <c r="AZ44" s="219">
        <v>1.438546674555939E-4</v>
      </c>
      <c r="BA44" s="219">
        <v>1.437003798301002E-4</v>
      </c>
      <c r="BB44" s="219">
        <v>1.4354731940747971E-4</v>
      </c>
      <c r="BC44" s="33">
        <v>247.39685044349511</v>
      </c>
      <c r="BD44" s="219">
        <v>245.9793490375144</v>
      </c>
      <c r="BE44" s="219">
        <v>244.55837159354061</v>
      </c>
      <c r="BF44" s="219">
        <v>241.9959545545446</v>
      </c>
      <c r="BG44" s="219">
        <v>240.5866300288221</v>
      </c>
      <c r="BH44" s="219">
        <v>239.16332516061451</v>
      </c>
      <c r="BI44" s="219">
        <v>238.5308643828337</v>
      </c>
      <c r="BJ44" s="219">
        <v>238.03103635351249</v>
      </c>
      <c r="BK44" s="219">
        <v>236.8018668703705</v>
      </c>
      <c r="BL44" s="219">
        <v>236.36762143910261</v>
      </c>
      <c r="BM44" s="219">
        <v>235.92048509705731</v>
      </c>
      <c r="BN44" s="219">
        <v>235.34986934883489</v>
      </c>
      <c r="BO44" s="219">
        <v>234.7864424373887</v>
      </c>
      <c r="BP44" s="219">
        <v>233.9912856118961</v>
      </c>
      <c r="BQ44" s="219">
        <v>233.44426395589909</v>
      </c>
      <c r="BR44" s="219">
        <v>232.90158889986051</v>
      </c>
      <c r="BS44" s="219">
        <v>232.64591461494041</v>
      </c>
      <c r="BT44" s="219">
        <v>232.40041639397899</v>
      </c>
      <c r="BU44" s="219">
        <v>231.935253006908</v>
      </c>
      <c r="BV44" s="219">
        <v>231.6995453470546</v>
      </c>
      <c r="BW44" s="219">
        <v>231.465519896053</v>
      </c>
      <c r="BX44" s="219">
        <v>231.11825316498721</v>
      </c>
      <c r="BY44" s="219">
        <v>230.77457959085351</v>
      </c>
      <c r="BZ44" s="219">
        <v>230.43530987283921</v>
      </c>
      <c r="CA44" s="219">
        <v>230.09804958336599</v>
      </c>
      <c r="CB44" s="219">
        <v>229.7628363622625</v>
      </c>
      <c r="CC44" s="33">
        <v>2253.0014214784742</v>
      </c>
      <c r="CD44" s="219">
        <v>2210.057599717918</v>
      </c>
      <c r="CE44" s="219">
        <v>2167.020270709992</v>
      </c>
      <c r="CF44" s="219">
        <v>2116.651634859611</v>
      </c>
      <c r="CG44" s="219">
        <v>2073.685578430569</v>
      </c>
      <c r="CH44" s="219">
        <v>2030.4594467818431</v>
      </c>
      <c r="CI44" s="219">
        <v>1982.544581946586</v>
      </c>
      <c r="CJ44" s="219">
        <v>1939.6627463093321</v>
      </c>
      <c r="CK44" s="219">
        <v>1894.7724632214081</v>
      </c>
      <c r="CL44" s="219">
        <v>1854.749517124947</v>
      </c>
      <c r="CM44" s="219">
        <v>1814.7325493157141</v>
      </c>
      <c r="CN44" s="219">
        <v>1776.7429851105801</v>
      </c>
      <c r="CO44" s="219">
        <v>1739.2325566242971</v>
      </c>
      <c r="CP44" s="219">
        <v>1700.8198981251539</v>
      </c>
      <c r="CQ44" s="219">
        <v>1664.194165336841</v>
      </c>
      <c r="CR44" s="219">
        <v>1627.958560736964</v>
      </c>
      <c r="CS44" s="219">
        <v>1604.363958463993</v>
      </c>
      <c r="CT44" s="219">
        <v>1581.254218495553</v>
      </c>
      <c r="CU44" s="219">
        <v>1557.377267805256</v>
      </c>
      <c r="CV44" s="219">
        <v>1534.896473907477</v>
      </c>
      <c r="CW44" s="219">
        <v>1512.7773582104501</v>
      </c>
      <c r="CX44" s="219">
        <v>1506.2623050117511</v>
      </c>
      <c r="CY44" s="219">
        <v>1499.6278414120959</v>
      </c>
      <c r="CZ44" s="219">
        <v>1493.0396925313159</v>
      </c>
      <c r="DA44" s="219">
        <v>1486.4913729622299</v>
      </c>
      <c r="DB44" s="219">
        <v>1479.9860717535521</v>
      </c>
    </row>
    <row r="45" spans="1:106" x14ac:dyDescent="0.35">
      <c r="A45" s="137" t="s">
        <v>536</v>
      </c>
      <c r="B45" s="130" t="s">
        <v>545</v>
      </c>
      <c r="C45" s="33">
        <v>0.91486801961645936</v>
      </c>
      <c r="D45" s="219">
        <v>0.91301376372727649</v>
      </c>
      <c r="E45" s="219">
        <v>0.91112316756279055</v>
      </c>
      <c r="F45" s="219">
        <v>0.90921737347335019</v>
      </c>
      <c r="G45" s="219">
        <v>0.90725154224512095</v>
      </c>
      <c r="H45" s="219">
        <v>0.90524024138134973</v>
      </c>
      <c r="I45" s="219">
        <v>0.90351914091573327</v>
      </c>
      <c r="J45" s="219">
        <v>0.90180848982063522</v>
      </c>
      <c r="K45" s="219">
        <v>0.90016498186324401</v>
      </c>
      <c r="L45" s="219">
        <v>0.89844899012824797</v>
      </c>
      <c r="M45" s="219">
        <v>0.89672111868059001</v>
      </c>
      <c r="N45" s="219">
        <v>0.89571944937003023</v>
      </c>
      <c r="O45" s="219">
        <v>0.89473470761942098</v>
      </c>
      <c r="P45" s="219">
        <v>0.89380814172155598</v>
      </c>
      <c r="Q45" s="219">
        <v>0.89284865422690685</v>
      </c>
      <c r="R45" s="219">
        <v>0.89189806520090043</v>
      </c>
      <c r="S45" s="219">
        <v>0.8914997736927508</v>
      </c>
      <c r="T45" s="219">
        <v>0.89110765156906191</v>
      </c>
      <c r="U45" s="219">
        <v>0.89074908523580254</v>
      </c>
      <c r="V45" s="219">
        <v>0.8903673668687716</v>
      </c>
      <c r="W45" s="219">
        <v>0.88999035664215853</v>
      </c>
      <c r="X45" s="219">
        <v>0.88999326255474598</v>
      </c>
      <c r="Y45" s="219">
        <v>0.88996386728514931</v>
      </c>
      <c r="Z45" s="219">
        <v>0.88993606221303279</v>
      </c>
      <c r="AA45" s="219">
        <v>0.88990933793322846</v>
      </c>
      <c r="AB45" s="219">
        <v>0.88988372715599784</v>
      </c>
      <c r="AC45" s="33">
        <v>3.1064510616099662E-4</v>
      </c>
      <c r="AD45" s="219">
        <v>3.0912045017878251E-4</v>
      </c>
      <c r="AE45" s="219">
        <v>3.0757232830116277E-4</v>
      </c>
      <c r="AF45" s="219">
        <v>3.0593707577710458E-4</v>
      </c>
      <c r="AG45" s="219">
        <v>3.0433936523608512E-4</v>
      </c>
      <c r="AH45" s="219">
        <v>3.0271103744576968E-4</v>
      </c>
      <c r="AI45" s="219">
        <v>3.0132079648702227E-4</v>
      </c>
      <c r="AJ45" s="219">
        <v>2.9993058606348221E-4</v>
      </c>
      <c r="AK45" s="219">
        <v>2.9854505807012108E-4</v>
      </c>
      <c r="AL45" s="219">
        <v>2.9714026564561129E-4</v>
      </c>
      <c r="AM45" s="219">
        <v>2.9572310209407632E-4</v>
      </c>
      <c r="AN45" s="219">
        <v>2.9465828312878891E-4</v>
      </c>
      <c r="AO45" s="219">
        <v>2.9360168230319181E-4</v>
      </c>
      <c r="AP45" s="219">
        <v>2.925683284429884E-4</v>
      </c>
      <c r="AQ45" s="219">
        <v>2.9152692263621061E-4</v>
      </c>
      <c r="AR45" s="219">
        <v>2.9049222732244282E-4</v>
      </c>
      <c r="AS45" s="219">
        <v>2.899030854238003E-4</v>
      </c>
      <c r="AT45" s="219">
        <v>2.8932154734092529E-4</v>
      </c>
      <c r="AU45" s="219">
        <v>2.8875956099552952E-4</v>
      </c>
      <c r="AV45" s="219">
        <v>2.8819274012430808E-4</v>
      </c>
      <c r="AW45" s="219">
        <v>2.8763357943581332E-4</v>
      </c>
      <c r="AX45" s="219">
        <v>2.8752348394766588E-4</v>
      </c>
      <c r="AY45" s="219">
        <v>2.8738403172794672E-4</v>
      </c>
      <c r="AZ45" s="219">
        <v>2.8724660994981077E-4</v>
      </c>
      <c r="BA45" s="219">
        <v>2.8711088753990852E-4</v>
      </c>
      <c r="BB45" s="219">
        <v>2.8697686736898549E-4</v>
      </c>
      <c r="BC45" s="33">
        <v>123.04843891538729</v>
      </c>
      <c r="BD45" s="219">
        <v>122.08150304483689</v>
      </c>
      <c r="BE45" s="219">
        <v>121.0950291656436</v>
      </c>
      <c r="BF45" s="219">
        <v>119.5761594776007</v>
      </c>
      <c r="BG45" s="219">
        <v>118.55640280632061</v>
      </c>
      <c r="BH45" s="219">
        <v>117.50948696499179</v>
      </c>
      <c r="BI45" s="219">
        <v>117.30223478006261</v>
      </c>
      <c r="BJ45" s="219">
        <v>117.08595898153069</v>
      </c>
      <c r="BK45" s="219">
        <v>116.50663145195649</v>
      </c>
      <c r="BL45" s="219">
        <v>116.2682953458506</v>
      </c>
      <c r="BM45" s="219">
        <v>116.013525036026</v>
      </c>
      <c r="BN45" s="219">
        <v>115.60697831668141</v>
      </c>
      <c r="BO45" s="219">
        <v>115.2034192497095</v>
      </c>
      <c r="BP45" s="219">
        <v>114.69977751499979</v>
      </c>
      <c r="BQ45" s="219">
        <v>114.30393192914261</v>
      </c>
      <c r="BR45" s="219">
        <v>113.9103582399198</v>
      </c>
      <c r="BS45" s="219">
        <v>113.6307592137874</v>
      </c>
      <c r="BT45" s="219">
        <v>113.3538785169446</v>
      </c>
      <c r="BU45" s="219">
        <v>112.98307181137361</v>
      </c>
      <c r="BV45" s="219">
        <v>112.71280867575859</v>
      </c>
      <c r="BW45" s="219">
        <v>112.4444995903999</v>
      </c>
      <c r="BX45" s="219">
        <v>112.2265873143796</v>
      </c>
      <c r="BY45" s="219">
        <v>112.0113349627042</v>
      </c>
      <c r="BZ45" s="219">
        <v>111.799479206475</v>
      </c>
      <c r="CA45" s="219">
        <v>111.5893135789312</v>
      </c>
      <c r="CB45" s="219">
        <v>111.3808073295551</v>
      </c>
      <c r="CC45" s="33">
        <v>1356.2467521252081</v>
      </c>
      <c r="CD45" s="219">
        <v>1323.775369200197</v>
      </c>
      <c r="CE45" s="219">
        <v>1290.9042219215969</v>
      </c>
      <c r="CF45" s="219">
        <v>1254.22970665924</v>
      </c>
      <c r="CG45" s="219">
        <v>1220.4978017062531</v>
      </c>
      <c r="CH45" s="219">
        <v>1186.2067879314459</v>
      </c>
      <c r="CI45" s="219">
        <v>1153.076020134805</v>
      </c>
      <c r="CJ45" s="219">
        <v>1120.133795493967</v>
      </c>
      <c r="CK45" s="219">
        <v>1085.1809175000039</v>
      </c>
      <c r="CL45" s="219">
        <v>1052.2563546923579</v>
      </c>
      <c r="CM45" s="219">
        <v>1019.2137694760401</v>
      </c>
      <c r="CN45" s="219">
        <v>987.2843700596427</v>
      </c>
      <c r="CO45" s="219">
        <v>955.70885734256467</v>
      </c>
      <c r="CP45" s="219">
        <v>923.89371571321533</v>
      </c>
      <c r="CQ45" s="219">
        <v>892.99971219456609</v>
      </c>
      <c r="CR45" s="219">
        <v>862.42929478834844</v>
      </c>
      <c r="CS45" s="219">
        <v>842.53208291143744</v>
      </c>
      <c r="CT45" s="219">
        <v>822.91001700759148</v>
      </c>
      <c r="CU45" s="219">
        <v>803.09675208386841</v>
      </c>
      <c r="CV45" s="219">
        <v>784.02981651682057</v>
      </c>
      <c r="CW45" s="219">
        <v>765.26308904486348</v>
      </c>
      <c r="CX45" s="219">
        <v>760.39003131263121</v>
      </c>
      <c r="CY45" s="219">
        <v>755.52089025927205</v>
      </c>
      <c r="CZ45" s="219">
        <v>750.71090437000157</v>
      </c>
      <c r="DA45" s="219">
        <v>745.95468291664861</v>
      </c>
      <c r="DB45" s="219">
        <v>741.25211666225823</v>
      </c>
    </row>
    <row r="46" spans="1:106" x14ac:dyDescent="0.35">
      <c r="A46" s="137" t="s">
        <v>537</v>
      </c>
      <c r="B46" s="130" t="s">
        <v>545</v>
      </c>
      <c r="C46" s="33">
        <v>0.58407251169844387</v>
      </c>
      <c r="D46" s="219">
        <v>0.58317584855636251</v>
      </c>
      <c r="E46" s="219">
        <v>0.58226918064278177</v>
      </c>
      <c r="F46" s="219">
        <v>0.58137178294715042</v>
      </c>
      <c r="G46" s="219">
        <v>0.58044505518473299</v>
      </c>
      <c r="H46" s="219">
        <v>0.57950388218717619</v>
      </c>
      <c r="I46" s="219">
        <v>0.57857734225068613</v>
      </c>
      <c r="J46" s="219">
        <v>0.57770079008609687</v>
      </c>
      <c r="K46" s="219">
        <v>0.57690918876038699</v>
      </c>
      <c r="L46" s="219">
        <v>0.57607719654812339</v>
      </c>
      <c r="M46" s="219">
        <v>0.57525368302517754</v>
      </c>
      <c r="N46" s="219">
        <v>0.57475638135871421</v>
      </c>
      <c r="O46" s="219">
        <v>0.57428203203909789</v>
      </c>
      <c r="P46" s="219">
        <v>0.57386211506587437</v>
      </c>
      <c r="Q46" s="219">
        <v>0.57342088089695042</v>
      </c>
      <c r="R46" s="219">
        <v>0.57299137659721389</v>
      </c>
      <c r="S46" s="219">
        <v>0.57284029191787667</v>
      </c>
      <c r="T46" s="219">
        <v>0.57269405388353012</v>
      </c>
      <c r="U46" s="219">
        <v>0.5725737507255243</v>
      </c>
      <c r="V46" s="219">
        <v>0.57243337857597387</v>
      </c>
      <c r="W46" s="219">
        <v>0.57229542531090039</v>
      </c>
      <c r="X46" s="219">
        <v>0.57238243921898757</v>
      </c>
      <c r="Y46" s="219">
        <v>0.57242880469955193</v>
      </c>
      <c r="Z46" s="219">
        <v>0.57247548126996939</v>
      </c>
      <c r="AA46" s="219">
        <v>0.57252229314806158</v>
      </c>
      <c r="AB46" s="219">
        <v>0.5725692939891297</v>
      </c>
      <c r="AC46" s="33">
        <v>2.3411381129342671E-4</v>
      </c>
      <c r="AD46" s="219">
        <v>2.3339684191392191E-4</v>
      </c>
      <c r="AE46" s="219">
        <v>2.3267306814076091E-4</v>
      </c>
      <c r="AF46" s="219">
        <v>2.318912774182373E-4</v>
      </c>
      <c r="AG46" s="219">
        <v>2.3115403603753159E-4</v>
      </c>
      <c r="AH46" s="219">
        <v>2.304071737460174E-4</v>
      </c>
      <c r="AI46" s="219">
        <v>2.2975932369941889E-4</v>
      </c>
      <c r="AJ46" s="219">
        <v>2.2913215947367919E-4</v>
      </c>
      <c r="AK46" s="219">
        <v>2.285219479437468E-4</v>
      </c>
      <c r="AL46" s="219">
        <v>2.2790208532257731E-4</v>
      </c>
      <c r="AM46" s="219">
        <v>2.272785025218934E-4</v>
      </c>
      <c r="AN46" s="219">
        <v>2.2680698123977869E-4</v>
      </c>
      <c r="AO46" s="219">
        <v>2.263392079106277E-4</v>
      </c>
      <c r="AP46" s="219">
        <v>2.2588738876322349E-4</v>
      </c>
      <c r="AQ46" s="219">
        <v>2.2542638332175309E-4</v>
      </c>
      <c r="AR46" s="219">
        <v>2.249682054368449E-4</v>
      </c>
      <c r="AS46" s="219">
        <v>2.2470038385814399E-4</v>
      </c>
      <c r="AT46" s="219">
        <v>2.244364961177301E-4</v>
      </c>
      <c r="AU46" s="219">
        <v>2.241855064906407E-4</v>
      </c>
      <c r="AV46" s="219">
        <v>2.2392768644253461E-4</v>
      </c>
      <c r="AW46" s="219">
        <v>2.2367306452057909E-4</v>
      </c>
      <c r="AX46" s="219">
        <v>2.2364026113136381E-4</v>
      </c>
      <c r="AY46" s="219">
        <v>2.2357363101651139E-4</v>
      </c>
      <c r="AZ46" s="219">
        <v>2.2350770964726409E-4</v>
      </c>
      <c r="BA46" s="219">
        <v>2.2344237079994031E-4</v>
      </c>
      <c r="BB46" s="219">
        <v>2.2337763206875861E-4</v>
      </c>
      <c r="BC46" s="33">
        <v>86.986946654413728</v>
      </c>
      <c r="BD46" s="219">
        <v>86.51311051406168</v>
      </c>
      <c r="BE46" s="219">
        <v>86.034004473601144</v>
      </c>
      <c r="BF46" s="219">
        <v>85.126248589249528</v>
      </c>
      <c r="BG46" s="219">
        <v>84.640429070370701</v>
      </c>
      <c r="BH46" s="219">
        <v>84.146122856522226</v>
      </c>
      <c r="BI46" s="219">
        <v>83.991594643128366</v>
      </c>
      <c r="BJ46" s="219">
        <v>83.847958305589842</v>
      </c>
      <c r="BK46" s="219">
        <v>83.417394527954002</v>
      </c>
      <c r="BL46" s="219">
        <v>83.275833529845599</v>
      </c>
      <c r="BM46" s="219">
        <v>83.128673222337497</v>
      </c>
      <c r="BN46" s="219">
        <v>82.898515590548485</v>
      </c>
      <c r="BO46" s="219">
        <v>82.669880428072105</v>
      </c>
      <c r="BP46" s="219">
        <v>82.35678816835545</v>
      </c>
      <c r="BQ46" s="219">
        <v>82.132428400181041</v>
      </c>
      <c r="BR46" s="219">
        <v>81.909065095765499</v>
      </c>
      <c r="BS46" s="219">
        <v>81.760770466366736</v>
      </c>
      <c r="BT46" s="219">
        <v>81.614185820516909</v>
      </c>
      <c r="BU46" s="219">
        <v>81.388077494036622</v>
      </c>
      <c r="BV46" s="219">
        <v>81.244762616387987</v>
      </c>
      <c r="BW46" s="219">
        <v>81.102081694061866</v>
      </c>
      <c r="BX46" s="219">
        <v>80.993438270630861</v>
      </c>
      <c r="BY46" s="219">
        <v>80.885860097476325</v>
      </c>
      <c r="BZ46" s="219">
        <v>80.779562178786449</v>
      </c>
      <c r="CA46" s="219">
        <v>80.673868925449341</v>
      </c>
      <c r="CB46" s="219">
        <v>80.568773599965112</v>
      </c>
      <c r="CC46" s="33">
        <v>980.98309739403408</v>
      </c>
      <c r="CD46" s="219">
        <v>965.76435865901237</v>
      </c>
      <c r="CE46" s="219">
        <v>950.44489110399445</v>
      </c>
      <c r="CF46" s="219">
        <v>932.24860496351448</v>
      </c>
      <c r="CG46" s="219">
        <v>916.73326788395968</v>
      </c>
      <c r="CH46" s="219">
        <v>901.05462540880137</v>
      </c>
      <c r="CI46" s="219">
        <v>885.09780677858771</v>
      </c>
      <c r="CJ46" s="219">
        <v>869.69585168477613</v>
      </c>
      <c r="CK46" s="219">
        <v>852.86317169963502</v>
      </c>
      <c r="CL46" s="219">
        <v>837.76521456839316</v>
      </c>
      <c r="CM46" s="219">
        <v>822.63806450389518</v>
      </c>
      <c r="CN46" s="219">
        <v>808.03146538796284</v>
      </c>
      <c r="CO46" s="219">
        <v>793.56799509387452</v>
      </c>
      <c r="CP46" s="219">
        <v>778.75973728341228</v>
      </c>
      <c r="CQ46" s="219">
        <v>764.5762833240301</v>
      </c>
      <c r="CR46" s="219">
        <v>750.52193079462018</v>
      </c>
      <c r="CS46" s="219">
        <v>741.10537089529862</v>
      </c>
      <c r="CT46" s="219">
        <v>731.81844196935765</v>
      </c>
      <c r="CU46" s="219">
        <v>722.25977278639698</v>
      </c>
      <c r="CV46" s="219">
        <v>713.2090163015863</v>
      </c>
      <c r="CW46" s="219">
        <v>704.29013405976593</v>
      </c>
      <c r="CX46" s="219">
        <v>701.87129709339013</v>
      </c>
      <c r="CY46" s="219">
        <v>699.39658886159293</v>
      </c>
      <c r="CZ46" s="219">
        <v>696.94244136111547</v>
      </c>
      <c r="DA46" s="219">
        <v>694.50687042510788</v>
      </c>
      <c r="DB46" s="219">
        <v>692.09021473631572</v>
      </c>
    </row>
    <row r="47" spans="1:106" x14ac:dyDescent="0.35">
      <c r="A47" s="137" t="s">
        <v>539</v>
      </c>
      <c r="B47" s="130" t="s">
        <v>545</v>
      </c>
      <c r="C47" s="33">
        <v>0.51645180264350998</v>
      </c>
      <c r="D47" s="219">
        <v>0.51564561451333069</v>
      </c>
      <c r="E47" s="219">
        <v>0.51482154996240204</v>
      </c>
      <c r="F47" s="219">
        <v>0.5139897306810689</v>
      </c>
      <c r="G47" s="219">
        <v>0.51312903633445128</v>
      </c>
      <c r="H47" s="219">
        <v>0.51224667606636642</v>
      </c>
      <c r="I47" s="219">
        <v>0.51142693237946391</v>
      </c>
      <c r="J47" s="219">
        <v>0.51062009829335131</v>
      </c>
      <c r="K47" s="219">
        <v>0.50985037339831862</v>
      </c>
      <c r="L47" s="219">
        <v>0.50904935985260624</v>
      </c>
      <c r="M47" s="219">
        <v>0.50824539155886395</v>
      </c>
      <c r="N47" s="219">
        <v>0.50776625856943469</v>
      </c>
      <c r="O47" s="219">
        <v>0.50729859740873229</v>
      </c>
      <c r="P47" s="219">
        <v>0.50686121960942077</v>
      </c>
      <c r="Q47" s="219">
        <v>0.50641018174304298</v>
      </c>
      <c r="R47" s="219">
        <v>0.50596498464160744</v>
      </c>
      <c r="S47" s="219">
        <v>0.50578291263535891</v>
      </c>
      <c r="T47" s="219">
        <v>0.50560394171360989</v>
      </c>
      <c r="U47" s="219">
        <v>0.50544092174470046</v>
      </c>
      <c r="V47" s="219">
        <v>0.5052667812606676</v>
      </c>
      <c r="W47" s="219">
        <v>0.50509477572089501</v>
      </c>
      <c r="X47" s="219">
        <v>0.50511919505028757</v>
      </c>
      <c r="Y47" s="219">
        <v>0.50512128013636604</v>
      </c>
      <c r="Z47" s="219">
        <v>0.50512390698663046</v>
      </c>
      <c r="AA47" s="219">
        <v>0.50512690272369409</v>
      </c>
      <c r="AB47" s="219">
        <v>0.50513029147467203</v>
      </c>
      <c r="AC47" s="33">
        <v>2.076012401221968E-4</v>
      </c>
      <c r="AD47" s="219">
        <v>2.0690543430092301E-4</v>
      </c>
      <c r="AE47" s="219">
        <v>2.0619848559620221E-4</v>
      </c>
      <c r="AF47" s="219">
        <v>2.0544994721688871E-4</v>
      </c>
      <c r="AG47" s="219">
        <v>2.0471948326950771E-4</v>
      </c>
      <c r="AH47" s="219">
        <v>2.0397493198390069E-4</v>
      </c>
      <c r="AI47" s="219">
        <v>2.0332850802221901E-4</v>
      </c>
      <c r="AJ47" s="219">
        <v>2.026847142033434E-4</v>
      </c>
      <c r="AK47" s="219">
        <v>2.0204431201570119E-4</v>
      </c>
      <c r="AL47" s="219">
        <v>2.0139473472171931E-4</v>
      </c>
      <c r="AM47" s="219">
        <v>2.0073932877379331E-4</v>
      </c>
      <c r="AN47" s="219">
        <v>2.0023557540111919E-4</v>
      </c>
      <c r="AO47" s="219">
        <v>1.997356644172637E-4</v>
      </c>
      <c r="AP47" s="219">
        <v>1.9924672862826919E-4</v>
      </c>
      <c r="AQ47" s="219">
        <v>1.9875377591201419E-4</v>
      </c>
      <c r="AR47" s="219">
        <v>1.982638841017093E-4</v>
      </c>
      <c r="AS47" s="219">
        <v>1.979794870366448E-4</v>
      </c>
      <c r="AT47" s="219">
        <v>1.9769867383804179E-4</v>
      </c>
      <c r="AU47" s="219">
        <v>1.9742704128235299E-4</v>
      </c>
      <c r="AV47" s="219">
        <v>1.9715290896779109E-4</v>
      </c>
      <c r="AW47" s="219">
        <v>1.968822420799284E-4</v>
      </c>
      <c r="AX47" s="219">
        <v>1.9683606640091199E-4</v>
      </c>
      <c r="AY47" s="219">
        <v>1.9676911809979141E-4</v>
      </c>
      <c r="AZ47" s="219">
        <v>1.9670307321840039E-4</v>
      </c>
      <c r="BA47" s="219">
        <v>1.9663781239314011E-4</v>
      </c>
      <c r="BB47" s="219">
        <v>1.9657333820108139E-4</v>
      </c>
      <c r="BC47" s="33">
        <v>58.68274634077617</v>
      </c>
      <c r="BD47" s="219">
        <v>58.230429907578319</v>
      </c>
      <c r="BE47" s="219">
        <v>57.768921752049692</v>
      </c>
      <c r="BF47" s="219">
        <v>57.053836922374359</v>
      </c>
      <c r="BG47" s="219">
        <v>56.576207511919037</v>
      </c>
      <c r="BH47" s="219">
        <v>56.08644799216512</v>
      </c>
      <c r="BI47" s="219">
        <v>55.988132863155869</v>
      </c>
      <c r="BJ47" s="219">
        <v>55.88806096276322</v>
      </c>
      <c r="BK47" s="219">
        <v>55.616902929649051</v>
      </c>
      <c r="BL47" s="219">
        <v>55.508389331954326</v>
      </c>
      <c r="BM47" s="219">
        <v>55.392727147898363</v>
      </c>
      <c r="BN47" s="219">
        <v>55.182339272828287</v>
      </c>
      <c r="BO47" s="219">
        <v>54.97348097585057</v>
      </c>
      <c r="BP47" s="219">
        <v>54.717293344625674</v>
      </c>
      <c r="BQ47" s="219">
        <v>54.512254986231817</v>
      </c>
      <c r="BR47" s="219">
        <v>54.308389487936118</v>
      </c>
      <c r="BS47" s="219">
        <v>54.15356093246244</v>
      </c>
      <c r="BT47" s="219">
        <v>54.00013601539198</v>
      </c>
      <c r="BU47" s="219">
        <v>53.802256744445287</v>
      </c>
      <c r="BV47" s="219">
        <v>53.652013837808987</v>
      </c>
      <c r="BW47" s="219">
        <v>53.502731961821418</v>
      </c>
      <c r="BX47" s="219">
        <v>53.407754229308033</v>
      </c>
      <c r="BY47" s="219">
        <v>53.313992725039583</v>
      </c>
      <c r="BZ47" s="219">
        <v>53.22164795818064</v>
      </c>
      <c r="CA47" s="219">
        <v>53.130108740865431</v>
      </c>
      <c r="CB47" s="219">
        <v>53.039361449821477</v>
      </c>
      <c r="CC47" s="33">
        <v>643.53411773634139</v>
      </c>
      <c r="CD47" s="219">
        <v>628.60660455006916</v>
      </c>
      <c r="CE47" s="219">
        <v>613.49041968962115</v>
      </c>
      <c r="CF47" s="219">
        <v>596.56283691784313</v>
      </c>
      <c r="CG47" s="219">
        <v>581.03662906552165</v>
      </c>
      <c r="CH47" s="219">
        <v>565.25382860736511</v>
      </c>
      <c r="CI47" s="219">
        <v>549.7666775561645</v>
      </c>
      <c r="CJ47" s="219">
        <v>534.42737304207992</v>
      </c>
      <c r="CK47" s="219">
        <v>518.15763672136961</v>
      </c>
      <c r="CL47" s="219">
        <v>502.84780612826597</v>
      </c>
      <c r="CM47" s="219">
        <v>487.47967152470608</v>
      </c>
      <c r="CN47" s="219">
        <v>472.37061952096923</v>
      </c>
      <c r="CO47" s="219">
        <v>457.42319216854202</v>
      </c>
      <c r="CP47" s="219">
        <v>442.35535384921042</v>
      </c>
      <c r="CQ47" s="219">
        <v>427.71644652280241</v>
      </c>
      <c r="CR47" s="219">
        <v>413.22388979832988</v>
      </c>
      <c r="CS47" s="219">
        <v>403.6621602352576</v>
      </c>
      <c r="CT47" s="219">
        <v>394.22760911908921</v>
      </c>
      <c r="CU47" s="219">
        <v>384.69696213136513</v>
      </c>
      <c r="CV47" s="219">
        <v>375.51354876526148</v>
      </c>
      <c r="CW47" s="219">
        <v>366.46539232501112</v>
      </c>
      <c r="CX47" s="219">
        <v>364.15922863881138</v>
      </c>
      <c r="CY47" s="219">
        <v>361.85275663833562</v>
      </c>
      <c r="CZ47" s="219">
        <v>359.57289357011149</v>
      </c>
      <c r="DA47" s="219">
        <v>357.31769389745642</v>
      </c>
      <c r="DB47" s="219">
        <v>355.08714123645763</v>
      </c>
    </row>
    <row r="48" spans="1:106" x14ac:dyDescent="0.35">
      <c r="A48" s="137" t="s">
        <v>540</v>
      </c>
      <c r="B48" s="130" t="s">
        <v>545</v>
      </c>
      <c r="C48" s="33">
        <v>0.37793592249524333</v>
      </c>
      <c r="D48" s="219">
        <v>0.37679497452038391</v>
      </c>
      <c r="E48" s="219">
        <v>0.37564796030886188</v>
      </c>
      <c r="F48" s="219">
        <v>0.37451079652591668</v>
      </c>
      <c r="G48" s="219">
        <v>0.37335091938947118</v>
      </c>
      <c r="H48" s="219">
        <v>0.37218157035303301</v>
      </c>
      <c r="I48" s="219">
        <v>0.37110450138168738</v>
      </c>
      <c r="J48" s="219">
        <v>0.37009393610875779</v>
      </c>
      <c r="K48" s="219">
        <v>0.36915633367328082</v>
      </c>
      <c r="L48" s="219">
        <v>0.36820442062613651</v>
      </c>
      <c r="M48" s="219">
        <v>0.36726511394411199</v>
      </c>
      <c r="N48" s="219">
        <v>0.36668489975296498</v>
      </c>
      <c r="O48" s="219">
        <v>0.36613245703978092</v>
      </c>
      <c r="P48" s="219">
        <v>0.36562179635181219</v>
      </c>
      <c r="Q48" s="219">
        <v>0.36510910630432902</v>
      </c>
      <c r="R48" s="219">
        <v>0.36461071064163653</v>
      </c>
      <c r="S48" s="219">
        <v>0.36444249427511771</v>
      </c>
      <c r="T48" s="219">
        <v>0.36428038671819463</v>
      </c>
      <c r="U48" s="219">
        <v>0.36413383828312429</v>
      </c>
      <c r="V48" s="219">
        <v>0.36397876196992879</v>
      </c>
      <c r="W48" s="219">
        <v>0.36382665116515173</v>
      </c>
      <c r="X48" s="219">
        <v>0.36395851943733643</v>
      </c>
      <c r="Y48" s="219">
        <v>0.36407884606820212</v>
      </c>
      <c r="Z48" s="219">
        <v>0.36420004867396738</v>
      </c>
      <c r="AA48" s="219">
        <v>0.36432216078006913</v>
      </c>
      <c r="AB48" s="219">
        <v>0.36444525397701438</v>
      </c>
      <c r="AC48" s="33">
        <v>1.8505843425287521E-4</v>
      </c>
      <c r="AD48" s="219">
        <v>1.8439617709458929E-4</v>
      </c>
      <c r="AE48" s="219">
        <v>1.8372405540632589E-4</v>
      </c>
      <c r="AF48" s="219">
        <v>1.8301506648095241E-4</v>
      </c>
      <c r="AG48" s="219">
        <v>1.8232320841793051E-4</v>
      </c>
      <c r="AH48" s="219">
        <v>1.816200501629184E-4</v>
      </c>
      <c r="AI48" s="219">
        <v>1.8102574511941151E-4</v>
      </c>
      <c r="AJ48" s="219">
        <v>1.8045900365448321E-4</v>
      </c>
      <c r="AK48" s="219">
        <v>1.7990788786266911E-4</v>
      </c>
      <c r="AL48" s="219">
        <v>1.7934897962216691E-4</v>
      </c>
      <c r="AM48" s="219">
        <v>1.787849887504E-4</v>
      </c>
      <c r="AN48" s="219">
        <v>1.7833941075825089E-4</v>
      </c>
      <c r="AO48" s="219">
        <v>1.7789723604029109E-4</v>
      </c>
      <c r="AP48" s="219">
        <v>1.7746446171341799E-4</v>
      </c>
      <c r="AQ48" s="219">
        <v>1.7702767858140259E-4</v>
      </c>
      <c r="AR48" s="219">
        <v>1.7659309794826561E-4</v>
      </c>
      <c r="AS48" s="219">
        <v>1.763451678858252E-4</v>
      </c>
      <c r="AT48" s="219">
        <v>1.761012087466336E-4</v>
      </c>
      <c r="AU48" s="219">
        <v>1.7586504032329319E-4</v>
      </c>
      <c r="AV48" s="219">
        <v>1.756262307762148E-4</v>
      </c>
      <c r="AW48" s="219">
        <v>1.7539012908135689E-4</v>
      </c>
      <c r="AX48" s="219">
        <v>1.7533977734196431E-4</v>
      </c>
      <c r="AY48" s="219">
        <v>1.7527576199874591E-4</v>
      </c>
      <c r="AZ48" s="219">
        <v>1.7521227696041299E-4</v>
      </c>
      <c r="BA48" s="219">
        <v>1.7514931769201691E-4</v>
      </c>
      <c r="BB48" s="219">
        <v>1.7508690702798611E-4</v>
      </c>
      <c r="BC48" s="33">
        <v>61.417377484540921</v>
      </c>
      <c r="BD48" s="219">
        <v>61.024899285472323</v>
      </c>
      <c r="BE48" s="219">
        <v>60.622475864899272</v>
      </c>
      <c r="BF48" s="219">
        <v>59.959372002504907</v>
      </c>
      <c r="BG48" s="219">
        <v>59.538626247645126</v>
      </c>
      <c r="BH48" s="219">
        <v>59.107241118733718</v>
      </c>
      <c r="BI48" s="219">
        <v>58.976140903615999</v>
      </c>
      <c r="BJ48" s="219">
        <v>58.862106246004039</v>
      </c>
      <c r="BK48" s="219">
        <v>58.57735538064901</v>
      </c>
      <c r="BL48" s="219">
        <v>58.466753620752492</v>
      </c>
      <c r="BM48" s="219">
        <v>58.350733455054502</v>
      </c>
      <c r="BN48" s="219">
        <v>58.090917706223927</v>
      </c>
      <c r="BO48" s="219">
        <v>57.83240220503265</v>
      </c>
      <c r="BP48" s="219">
        <v>57.522992864832041</v>
      </c>
      <c r="BQ48" s="219">
        <v>57.26755566065026</v>
      </c>
      <c r="BR48" s="219">
        <v>57.012883947634677</v>
      </c>
      <c r="BS48" s="219">
        <v>56.842003638976237</v>
      </c>
      <c r="BT48" s="219">
        <v>56.673068079569788</v>
      </c>
      <c r="BU48" s="219">
        <v>56.456563348292541</v>
      </c>
      <c r="BV48" s="219">
        <v>56.290222696459267</v>
      </c>
      <c r="BW48" s="219">
        <v>56.124507151464513</v>
      </c>
      <c r="BX48" s="219">
        <v>56.045045327735522</v>
      </c>
      <c r="BY48" s="219">
        <v>55.966443860274453</v>
      </c>
      <c r="BZ48" s="219">
        <v>55.888375629692007</v>
      </c>
      <c r="CA48" s="219">
        <v>55.810813854373158</v>
      </c>
      <c r="CB48" s="219">
        <v>55.733756574470583</v>
      </c>
      <c r="CC48" s="33">
        <v>537.01822383702427</v>
      </c>
      <c r="CD48" s="219">
        <v>523.30184226160816</v>
      </c>
      <c r="CE48" s="219">
        <v>509.4236283250188</v>
      </c>
      <c r="CF48" s="219">
        <v>493.74930262699661</v>
      </c>
      <c r="CG48" s="219">
        <v>479.52484253053672</v>
      </c>
      <c r="CH48" s="219">
        <v>465.09522252999392</v>
      </c>
      <c r="CI48" s="219">
        <v>450.59706384895583</v>
      </c>
      <c r="CJ48" s="219">
        <v>436.82663300620379</v>
      </c>
      <c r="CK48" s="219">
        <v>422.35891084663172</v>
      </c>
      <c r="CL48" s="219">
        <v>408.9169565730619</v>
      </c>
      <c r="CM48" s="219">
        <v>395.42105275954827</v>
      </c>
      <c r="CN48" s="219">
        <v>381.84650291720772</v>
      </c>
      <c r="CO48" s="219">
        <v>368.40453908846808</v>
      </c>
      <c r="CP48" s="219">
        <v>354.7878977022105</v>
      </c>
      <c r="CQ48" s="219">
        <v>341.58276251794041</v>
      </c>
      <c r="CR48" s="219">
        <v>328.48748616724589</v>
      </c>
      <c r="CS48" s="219">
        <v>319.82979675253881</v>
      </c>
      <c r="CT48" s="219">
        <v>311.29419776616368</v>
      </c>
      <c r="CU48" s="219">
        <v>302.6247857472668</v>
      </c>
      <c r="CV48" s="219">
        <v>294.28558067145229</v>
      </c>
      <c r="CW48" s="219">
        <v>286.05562593803558</v>
      </c>
      <c r="CX48" s="219">
        <v>283.79369678303198</v>
      </c>
      <c r="CY48" s="219">
        <v>281.43020613665749</v>
      </c>
      <c r="CZ48" s="219">
        <v>279.08373182996053</v>
      </c>
      <c r="DA48" s="219">
        <v>276.75424938788427</v>
      </c>
      <c r="DB48" s="219">
        <v>274.44221444202719</v>
      </c>
    </row>
    <row r="49" spans="1:106" x14ac:dyDescent="0.35">
      <c r="A49" s="137" t="s">
        <v>541</v>
      </c>
      <c r="B49" s="130" t="s">
        <v>545</v>
      </c>
      <c r="C49" s="33">
        <v>1.0661193001888549</v>
      </c>
      <c r="D49" s="219">
        <v>1.061313675285918</v>
      </c>
      <c r="E49" s="219">
        <v>1.056605943149717</v>
      </c>
      <c r="F49" s="219">
        <v>1.052253090323084</v>
      </c>
      <c r="G49" s="219">
        <v>1.0477919442980519</v>
      </c>
      <c r="H49" s="219">
        <v>1.04338797443349</v>
      </c>
      <c r="I49" s="219">
        <v>1.033256449040852</v>
      </c>
      <c r="J49" s="219">
        <v>1.0252876515941221</v>
      </c>
      <c r="K49" s="219">
        <v>1.019131545684467</v>
      </c>
      <c r="L49" s="219">
        <v>1.0132174596469239</v>
      </c>
      <c r="M49" s="219">
        <v>1.007830872285373</v>
      </c>
      <c r="N49" s="219">
        <v>1.00301383536281</v>
      </c>
      <c r="O49" s="219">
        <v>0.99896829195593717</v>
      </c>
      <c r="P49" s="219">
        <v>0.99579656447348985</v>
      </c>
      <c r="Q49" s="219">
        <v>0.99285593818612905</v>
      </c>
      <c r="R49" s="219">
        <v>0.99031336232270761</v>
      </c>
      <c r="S49" s="219">
        <v>0.99020942820611557</v>
      </c>
      <c r="T49" s="219">
        <v>0.99024779529006701</v>
      </c>
      <c r="U49" s="219">
        <v>0.99051453919656862</v>
      </c>
      <c r="V49" s="219">
        <v>0.99067694749406154</v>
      </c>
      <c r="W49" s="219">
        <v>0.99088713114996607</v>
      </c>
      <c r="X49" s="219">
        <v>0.99239362497442118</v>
      </c>
      <c r="Y49" s="219">
        <v>0.9937756439645129</v>
      </c>
      <c r="Z49" s="219">
        <v>0.99514046582003324</v>
      </c>
      <c r="AA49" s="219">
        <v>0.99648889522635653</v>
      </c>
      <c r="AB49" s="219">
        <v>0.99782254523272673</v>
      </c>
      <c r="AC49" s="33">
        <v>3.8929690933302958E-4</v>
      </c>
      <c r="AD49" s="219">
        <v>3.856925606821668E-4</v>
      </c>
      <c r="AE49" s="219">
        <v>3.8211932743418268E-4</v>
      </c>
      <c r="AF49" s="219">
        <v>3.7829003788069227E-4</v>
      </c>
      <c r="AG49" s="219">
        <v>3.7483834883768341E-4</v>
      </c>
      <c r="AH49" s="219">
        <v>3.7141519849379382E-4</v>
      </c>
      <c r="AI49" s="219">
        <v>3.6753216259432961E-4</v>
      </c>
      <c r="AJ49" s="219">
        <v>3.6467809661317791E-4</v>
      </c>
      <c r="AK49" s="219">
        <v>3.6242650014113728E-4</v>
      </c>
      <c r="AL49" s="219">
        <v>3.6015368976544668E-4</v>
      </c>
      <c r="AM49" s="219">
        <v>3.5789712098799477E-4</v>
      </c>
      <c r="AN49" s="219">
        <v>3.5607281953609711E-4</v>
      </c>
      <c r="AO49" s="219">
        <v>3.5429024258303699E-4</v>
      </c>
      <c r="AP49" s="219">
        <v>3.5262536762881071E-4</v>
      </c>
      <c r="AQ49" s="219">
        <v>3.5090309322027271E-4</v>
      </c>
      <c r="AR49" s="219">
        <v>3.4920144775714499E-4</v>
      </c>
      <c r="AS49" s="219">
        <v>3.4822542954486411E-4</v>
      </c>
      <c r="AT49" s="219">
        <v>3.4730524595574249E-4</v>
      </c>
      <c r="AU49" s="219">
        <v>3.4646134920949363E-4</v>
      </c>
      <c r="AV49" s="219">
        <v>3.4555872889894472E-4</v>
      </c>
      <c r="AW49" s="219">
        <v>3.4466529500495538E-4</v>
      </c>
      <c r="AX49" s="219">
        <v>3.445448671658018E-4</v>
      </c>
      <c r="AY49" s="219">
        <v>3.4431727788874648E-4</v>
      </c>
      <c r="AZ49" s="219">
        <v>3.4408808591108152E-4</v>
      </c>
      <c r="BA49" s="219">
        <v>3.4385742000286027E-4</v>
      </c>
      <c r="BB49" s="219">
        <v>3.4362602239448512E-4</v>
      </c>
      <c r="BC49" s="33">
        <v>660.18683262205275</v>
      </c>
      <c r="BD49" s="219">
        <v>657.29901563114709</v>
      </c>
      <c r="BE49" s="219">
        <v>654.45507189174623</v>
      </c>
      <c r="BF49" s="219">
        <v>648.58695615707393</v>
      </c>
      <c r="BG49" s="219">
        <v>645.8837017473229</v>
      </c>
      <c r="BH49" s="219">
        <v>643.22012392343061</v>
      </c>
      <c r="BI49" s="219">
        <v>641.02830729766526</v>
      </c>
      <c r="BJ49" s="219">
        <v>639.55059647698067</v>
      </c>
      <c r="BK49" s="219">
        <v>636.28245210624027</v>
      </c>
      <c r="BL49" s="219">
        <v>635.22932478605082</v>
      </c>
      <c r="BM49" s="219">
        <v>634.1857068708855</v>
      </c>
      <c r="BN49" s="219">
        <v>632.60141995825597</v>
      </c>
      <c r="BO49" s="219">
        <v>631.04243325910568</v>
      </c>
      <c r="BP49" s="219">
        <v>628.84953700265464</v>
      </c>
      <c r="BQ49" s="219">
        <v>627.34147075180454</v>
      </c>
      <c r="BR49" s="219">
        <v>625.84775311047736</v>
      </c>
      <c r="BS49" s="219">
        <v>625.20282055003383</v>
      </c>
      <c r="BT49" s="219">
        <v>624.59879890876675</v>
      </c>
      <c r="BU49" s="219">
        <v>623.38923010330677</v>
      </c>
      <c r="BV49" s="219">
        <v>622.80696308901736</v>
      </c>
      <c r="BW49" s="219">
        <v>622.22652687031177</v>
      </c>
      <c r="BX49" s="219">
        <v>621.61672010049995</v>
      </c>
      <c r="BY49" s="219">
        <v>621.01323294438794</v>
      </c>
      <c r="BZ49" s="219">
        <v>620.41341089545813</v>
      </c>
      <c r="CA49" s="219">
        <v>619.81708088970811</v>
      </c>
      <c r="CB49" s="219">
        <v>619.22456766132041</v>
      </c>
      <c r="CC49" s="33">
        <v>4812.1592907768581</v>
      </c>
      <c r="CD49" s="219">
        <v>4739.5103612292387</v>
      </c>
      <c r="CE49" s="219">
        <v>4667.6818856557529</v>
      </c>
      <c r="CF49" s="219">
        <v>4577.7614202096356</v>
      </c>
      <c r="CG49" s="219">
        <v>4508.8923232777324</v>
      </c>
      <c r="CH49" s="219">
        <v>4440.8150347441569</v>
      </c>
      <c r="CI49" s="219">
        <v>4341.7509315704783</v>
      </c>
      <c r="CJ49" s="219">
        <v>4267.0979610179393</v>
      </c>
      <c r="CK49" s="219">
        <v>4192.613233621264</v>
      </c>
      <c r="CL49" s="219">
        <v>4131.754585748311</v>
      </c>
      <c r="CM49" s="219">
        <v>4071.2432830842822</v>
      </c>
      <c r="CN49" s="219">
        <v>4010.221489570793</v>
      </c>
      <c r="CO49" s="219">
        <v>3950.0827187950549</v>
      </c>
      <c r="CP49" s="219">
        <v>3886.9554934811749</v>
      </c>
      <c r="CQ49" s="219">
        <v>3828.2282167380331</v>
      </c>
      <c r="CR49" s="219">
        <v>3770.0315750627778</v>
      </c>
      <c r="CS49" s="219">
        <v>3730.096443006249</v>
      </c>
      <c r="CT49" s="219">
        <v>3691.396064459153</v>
      </c>
      <c r="CU49" s="219">
        <v>3650.0774881859052</v>
      </c>
      <c r="CV49" s="219">
        <v>3612.060524367379</v>
      </c>
      <c r="CW49" s="219">
        <v>3574.492969519436</v>
      </c>
      <c r="CX49" s="219">
        <v>3562.3278275613702</v>
      </c>
      <c r="CY49" s="219">
        <v>3549.5932001714568</v>
      </c>
      <c r="CZ49" s="219">
        <v>3536.8334507717982</v>
      </c>
      <c r="DA49" s="219">
        <v>3524.05257269103</v>
      </c>
      <c r="DB49" s="219">
        <v>3511.2668302104712</v>
      </c>
    </row>
    <row r="50" spans="1:106" x14ac:dyDescent="0.35">
      <c r="A50" s="137" t="s">
        <v>542</v>
      </c>
      <c r="B50" s="130" t="s">
        <v>545</v>
      </c>
      <c r="C50" s="33">
        <v>8.5200987946093978</v>
      </c>
      <c r="D50" s="219">
        <v>8.5000381256074125</v>
      </c>
      <c r="E50" s="219">
        <v>8.4794591579082912</v>
      </c>
      <c r="F50" s="219">
        <v>8.4584096598765104</v>
      </c>
      <c r="G50" s="219">
        <v>8.4367401695028903</v>
      </c>
      <c r="H50" s="219">
        <v>8.4145006490803045</v>
      </c>
      <c r="I50" s="219">
        <v>8.3962926974237355</v>
      </c>
      <c r="J50" s="219">
        <v>8.3778822913633864</v>
      </c>
      <c r="K50" s="219">
        <v>8.359442406212672</v>
      </c>
      <c r="L50" s="219">
        <v>8.340535492913256</v>
      </c>
      <c r="M50" s="219">
        <v>8.3213578258726262</v>
      </c>
      <c r="N50" s="219">
        <v>8.309119899793183</v>
      </c>
      <c r="O50" s="219">
        <v>8.2969664144725694</v>
      </c>
      <c r="P50" s="219">
        <v>8.2850170707214286</v>
      </c>
      <c r="Q50" s="219">
        <v>8.2729866013072044</v>
      </c>
      <c r="R50" s="219">
        <v>8.2610028391832984</v>
      </c>
      <c r="S50" s="219">
        <v>8.2552260171166978</v>
      </c>
      <c r="T50" s="219">
        <v>8.2495139894787819</v>
      </c>
      <c r="U50" s="219">
        <v>8.2439487449790239</v>
      </c>
      <c r="V50" s="219">
        <v>8.2383578410492131</v>
      </c>
      <c r="W50" s="219">
        <v>8.2328253317257012</v>
      </c>
      <c r="X50" s="219">
        <v>8.2318470454220272</v>
      </c>
      <c r="Y50" s="219">
        <v>8.2307381047151917</v>
      </c>
      <c r="Z50" s="219">
        <v>8.2296484494011288</v>
      </c>
      <c r="AA50" s="219">
        <v>8.2285777427455518</v>
      </c>
      <c r="AB50" s="219">
        <v>8.2275259887802736</v>
      </c>
      <c r="AC50" s="33">
        <v>4.7872271562175396E-3</v>
      </c>
      <c r="AD50" s="219">
        <v>4.7716233709116157E-3</v>
      </c>
      <c r="AE50" s="219">
        <v>4.7556443723177182E-3</v>
      </c>
      <c r="AF50" s="219">
        <v>4.7390658586459952E-3</v>
      </c>
      <c r="AG50" s="219">
        <v>4.7222800915081766E-3</v>
      </c>
      <c r="AH50" s="219">
        <v>4.7050743303413143E-3</v>
      </c>
      <c r="AI50" s="219">
        <v>4.6901245660742642E-3</v>
      </c>
      <c r="AJ50" s="219">
        <v>4.675025157305693E-3</v>
      </c>
      <c r="AK50" s="219">
        <v>4.6597809559059331E-3</v>
      </c>
      <c r="AL50" s="219">
        <v>4.6443265373598839E-3</v>
      </c>
      <c r="AM50" s="219">
        <v>4.6286801287056751E-3</v>
      </c>
      <c r="AN50" s="219">
        <v>4.6159653127037696E-3</v>
      </c>
      <c r="AO50" s="219">
        <v>4.6033336368103738E-3</v>
      </c>
      <c r="AP50" s="219">
        <v>4.5908232865206084E-3</v>
      </c>
      <c r="AQ50" s="219">
        <v>4.5783298058460478E-3</v>
      </c>
      <c r="AR50" s="219">
        <v>4.5658995189048852E-3</v>
      </c>
      <c r="AS50" s="219">
        <v>4.5586622742880339E-3</v>
      </c>
      <c r="AT50" s="219">
        <v>4.5515028328628774E-3</v>
      </c>
      <c r="AU50" s="219">
        <v>4.5444588881093546E-3</v>
      </c>
      <c r="AV50" s="219">
        <v>4.5374509283991806E-3</v>
      </c>
      <c r="AW50" s="219">
        <v>4.5305184910871708E-3</v>
      </c>
      <c r="AX50" s="219">
        <v>4.5290449623011618E-3</v>
      </c>
      <c r="AY50" s="219">
        <v>4.5274565530298806E-3</v>
      </c>
      <c r="AZ50" s="219">
        <v>4.5258891042639672E-3</v>
      </c>
      <c r="BA50" s="219">
        <v>4.5243422843695823E-3</v>
      </c>
      <c r="BB50" s="219">
        <v>4.5228159719654147E-3</v>
      </c>
      <c r="BC50" s="33">
        <v>724.53561676640027</v>
      </c>
      <c r="BD50" s="219">
        <v>714.9161055094828</v>
      </c>
      <c r="BE50" s="219">
        <v>704.95562885688651</v>
      </c>
      <c r="BF50" s="219">
        <v>692.96033848683203</v>
      </c>
      <c r="BG50" s="219">
        <v>682.30799701747412</v>
      </c>
      <c r="BH50" s="219">
        <v>671.29970554965087</v>
      </c>
      <c r="BI50" s="219">
        <v>669.8605714229584</v>
      </c>
      <c r="BJ50" s="219">
        <v>668.26316459964698</v>
      </c>
      <c r="BK50" s="219">
        <v>665.32893927336863</v>
      </c>
      <c r="BL50" s="219">
        <v>663.39974397374658</v>
      </c>
      <c r="BM50" s="219">
        <v>661.28938287947039</v>
      </c>
      <c r="BN50" s="219">
        <v>655.28086441489802</v>
      </c>
      <c r="BO50" s="219">
        <v>649.3052978288074</v>
      </c>
      <c r="BP50" s="219">
        <v>643.04261680676018</v>
      </c>
      <c r="BQ50" s="219">
        <v>637.1376928417609</v>
      </c>
      <c r="BR50" s="219">
        <v>631.26152522770542</v>
      </c>
      <c r="BS50" s="219">
        <v>626.39199499149095</v>
      </c>
      <c r="BT50" s="219">
        <v>621.55161973709733</v>
      </c>
      <c r="BU50" s="219">
        <v>616.44805745016947</v>
      </c>
      <c r="BV50" s="219">
        <v>611.67065887578747</v>
      </c>
      <c r="BW50" s="219">
        <v>606.920741878782</v>
      </c>
      <c r="BX50" s="219">
        <v>605.46224640235118</v>
      </c>
      <c r="BY50" s="219">
        <v>604.03145580297473</v>
      </c>
      <c r="BZ50" s="219">
        <v>602.6217431285595</v>
      </c>
      <c r="CA50" s="219">
        <v>601.23257258250487</v>
      </c>
      <c r="CB50" s="219">
        <v>599.8636538085409</v>
      </c>
      <c r="CC50" s="33">
        <v>9251.7429629223079</v>
      </c>
      <c r="CD50" s="219">
        <v>8915.7800716557576</v>
      </c>
      <c r="CE50" s="219">
        <v>8573.1609418557236</v>
      </c>
      <c r="CF50" s="219">
        <v>8211.9317007929967</v>
      </c>
      <c r="CG50" s="219">
        <v>7854.0954010178684</v>
      </c>
      <c r="CH50" s="219">
        <v>7488.2962169615575</v>
      </c>
      <c r="CI50" s="219">
        <v>7131.4055591567731</v>
      </c>
      <c r="CJ50" s="219">
        <v>6773.5083418094446</v>
      </c>
      <c r="CK50" s="219">
        <v>6407.0586372951184</v>
      </c>
      <c r="CL50" s="219">
        <v>6045.5363396520816</v>
      </c>
      <c r="CM50" s="219">
        <v>5681.8152048490074</v>
      </c>
      <c r="CN50" s="219">
        <v>5305.9599415839666</v>
      </c>
      <c r="CO50" s="219">
        <v>4934.0141282802124</v>
      </c>
      <c r="CP50" s="219">
        <v>4563.7764493430914</v>
      </c>
      <c r="CQ50" s="219">
        <v>4198.7637069368102</v>
      </c>
      <c r="CR50" s="219">
        <v>3837.0984954683431</v>
      </c>
      <c r="CS50" s="219">
        <v>3599.1915202844489</v>
      </c>
      <c r="CT50" s="219">
        <v>3364.1144969057882</v>
      </c>
      <c r="CU50" s="219">
        <v>3130.4169205319749</v>
      </c>
      <c r="CV50" s="219">
        <v>2900.8597053976291</v>
      </c>
      <c r="CW50" s="219">
        <v>2674.062651355202</v>
      </c>
      <c r="CX50" s="219">
        <v>2621.6794839308659</v>
      </c>
      <c r="CY50" s="219">
        <v>2569.5214227841811</v>
      </c>
      <c r="CZ50" s="219">
        <v>2518.0099801260062</v>
      </c>
      <c r="DA50" s="219">
        <v>2467.1382830748821</v>
      </c>
      <c r="DB50" s="219">
        <v>2416.9016720165409</v>
      </c>
    </row>
    <row r="51" spans="1:106" x14ac:dyDescent="0.35">
      <c r="A51" s="137" t="s">
        <v>543</v>
      </c>
      <c r="B51" s="130" t="s">
        <v>545</v>
      </c>
      <c r="C51" s="33">
        <v>6.7892939996938573E-3</v>
      </c>
      <c r="D51" s="219">
        <v>6.7344846416892441E-3</v>
      </c>
      <c r="E51" s="219">
        <v>6.6798251488563512E-3</v>
      </c>
      <c r="F51" s="219">
        <v>6.6222216437595606E-3</v>
      </c>
      <c r="G51" s="219">
        <v>6.5682648133500781E-3</v>
      </c>
      <c r="H51" s="219">
        <v>6.5142278950657889E-3</v>
      </c>
      <c r="I51" s="219">
        <v>6.4510215376122736E-3</v>
      </c>
      <c r="J51" s="219">
        <v>6.3978653066012409E-3</v>
      </c>
      <c r="K51" s="219">
        <v>6.3477861566276017E-3</v>
      </c>
      <c r="L51" s="219">
        <v>6.3037648084249016E-3</v>
      </c>
      <c r="M51" s="219">
        <v>6.2619355183115453E-3</v>
      </c>
      <c r="N51" s="219">
        <v>6.2287123147125928E-3</v>
      </c>
      <c r="O51" s="219">
        <v>6.1989540700557186E-3</v>
      </c>
      <c r="P51" s="219">
        <v>6.1710799533434366E-3</v>
      </c>
      <c r="Q51" s="219">
        <v>6.1462348843705199E-3</v>
      </c>
      <c r="R51" s="219">
        <v>6.1231632604797992E-3</v>
      </c>
      <c r="S51" s="219">
        <v>6.1129249779548686E-3</v>
      </c>
      <c r="T51" s="219">
        <v>6.103299669384752E-3</v>
      </c>
      <c r="U51" s="219">
        <v>6.0940853901731273E-3</v>
      </c>
      <c r="V51" s="219">
        <v>6.0848876014014553E-3</v>
      </c>
      <c r="W51" s="219">
        <v>6.0758422051225731E-3</v>
      </c>
      <c r="X51" s="219">
        <v>6.0796201912961404E-3</v>
      </c>
      <c r="Y51" s="219">
        <v>6.083120557978574E-3</v>
      </c>
      <c r="Z51" s="219">
        <v>6.0865712808375241E-3</v>
      </c>
      <c r="AA51" s="219">
        <v>6.0899749338738426E-3</v>
      </c>
      <c r="AB51" s="219">
        <v>6.0933384278947676E-3</v>
      </c>
      <c r="AC51" s="33">
        <v>4.9195167421687214E-6</v>
      </c>
      <c r="AD51" s="219">
        <v>4.875358318819333E-6</v>
      </c>
      <c r="AE51" s="219">
        <v>4.8308761174375894E-6</v>
      </c>
      <c r="AF51" s="219">
        <v>4.7888931970974484E-6</v>
      </c>
      <c r="AG51" s="219">
        <v>4.7442222800006774E-6</v>
      </c>
      <c r="AH51" s="219">
        <v>4.6992557555402552E-6</v>
      </c>
      <c r="AI51" s="219">
        <v>4.6667854807694953E-6</v>
      </c>
      <c r="AJ51" s="219">
        <v>4.6392821011415138E-6</v>
      </c>
      <c r="AK51" s="219">
        <v>4.6142777226859496E-6</v>
      </c>
      <c r="AL51" s="219">
        <v>4.5893205720169126E-6</v>
      </c>
      <c r="AM51" s="219">
        <v>4.5642958962119353E-6</v>
      </c>
      <c r="AN51" s="219">
        <v>4.5431842197910496E-6</v>
      </c>
      <c r="AO51" s="219">
        <v>4.5222522235592331E-6</v>
      </c>
      <c r="AP51" s="219">
        <v>4.5017088340823198E-6</v>
      </c>
      <c r="AQ51" s="219">
        <v>4.4808823700851039E-6</v>
      </c>
      <c r="AR51" s="219">
        <v>4.4600781657836209E-6</v>
      </c>
      <c r="AS51" s="219">
        <v>4.4386503465883106E-6</v>
      </c>
      <c r="AT51" s="219">
        <v>4.4173622138410151E-6</v>
      </c>
      <c r="AU51" s="219">
        <v>4.3962107475964481E-6</v>
      </c>
      <c r="AV51" s="219">
        <v>4.3747008189476232E-6</v>
      </c>
      <c r="AW51" s="219">
        <v>4.3530983054484167E-6</v>
      </c>
      <c r="AX51" s="219">
        <v>4.3539764618742763E-6</v>
      </c>
      <c r="AY51" s="219">
        <v>4.3523423683382848E-6</v>
      </c>
      <c r="AZ51" s="219">
        <v>4.3507051311686034E-6</v>
      </c>
      <c r="BA51" s="219">
        <v>4.3490651594378058E-6</v>
      </c>
      <c r="BB51" s="219">
        <v>4.3474261064884116E-6</v>
      </c>
      <c r="BC51" s="33">
        <v>53.672827910833327</v>
      </c>
      <c r="BD51" s="219">
        <v>53.676744686845552</v>
      </c>
      <c r="BE51" s="219">
        <v>53.680131620642207</v>
      </c>
      <c r="BF51" s="219">
        <v>53.709243147131602</v>
      </c>
      <c r="BG51" s="219">
        <v>53.711679756428623</v>
      </c>
      <c r="BH51" s="219">
        <v>53.713565290864558</v>
      </c>
      <c r="BI51" s="219">
        <v>53.713220110296113</v>
      </c>
      <c r="BJ51" s="219">
        <v>53.716122680923171</v>
      </c>
      <c r="BK51" s="219">
        <v>53.739193176421438</v>
      </c>
      <c r="BL51" s="219">
        <v>53.743287379161309</v>
      </c>
      <c r="BM51" s="219">
        <v>53.747148891583151</v>
      </c>
      <c r="BN51" s="219">
        <v>53.758374599969713</v>
      </c>
      <c r="BO51" s="219">
        <v>53.769421837494143</v>
      </c>
      <c r="BP51" s="219">
        <v>53.787813864702542</v>
      </c>
      <c r="BQ51" s="219">
        <v>53.798317822800712</v>
      </c>
      <c r="BR51" s="219">
        <v>53.808589663843783</v>
      </c>
      <c r="BS51" s="219">
        <v>53.83381716227516</v>
      </c>
      <c r="BT51" s="219">
        <v>53.858647658625188</v>
      </c>
      <c r="BU51" s="219">
        <v>53.889954999423431</v>
      </c>
      <c r="BV51" s="219">
        <v>53.913553709472673</v>
      </c>
      <c r="BW51" s="219">
        <v>53.936567476204623</v>
      </c>
      <c r="BX51" s="219">
        <v>53.932721097501329</v>
      </c>
      <c r="BY51" s="219">
        <v>53.928898017152392</v>
      </c>
      <c r="BZ51" s="219">
        <v>53.925086182790999</v>
      </c>
      <c r="CA51" s="219">
        <v>53.921284070865433</v>
      </c>
      <c r="CB51" s="219">
        <v>53.91749332221918</v>
      </c>
      <c r="CC51" s="33">
        <v>86.99567380814095</v>
      </c>
      <c r="CD51" s="219">
        <v>85.822487930550238</v>
      </c>
      <c r="CE51" s="219">
        <v>84.645214452273308</v>
      </c>
      <c r="CF51" s="219">
        <v>83.638294874764583</v>
      </c>
      <c r="CG51" s="219">
        <v>82.457172643398337</v>
      </c>
      <c r="CH51" s="219">
        <v>81.270534943380099</v>
      </c>
      <c r="CI51" s="219">
        <v>80.436125639341242</v>
      </c>
      <c r="CJ51" s="219">
        <v>79.720530358330194</v>
      </c>
      <c r="CK51" s="219">
        <v>79.179738633102659</v>
      </c>
      <c r="CL51" s="219">
        <v>78.523423567371538</v>
      </c>
      <c r="CM51" s="219">
        <v>77.86557730909756</v>
      </c>
      <c r="CN51" s="219">
        <v>77.157401894762884</v>
      </c>
      <c r="CO51" s="219">
        <v>76.453449785035133</v>
      </c>
      <c r="CP51" s="219">
        <v>75.795778105545551</v>
      </c>
      <c r="CQ51" s="219">
        <v>75.092461580384082</v>
      </c>
      <c r="CR51" s="219">
        <v>74.389391003987754</v>
      </c>
      <c r="CS51" s="219">
        <v>73.512036451927628</v>
      </c>
      <c r="CT51" s="219">
        <v>72.636279225630943</v>
      </c>
      <c r="CU51" s="219">
        <v>71.788534089618466</v>
      </c>
      <c r="CV51" s="219">
        <v>70.905505437014185</v>
      </c>
      <c r="CW51" s="219">
        <v>70.020135935566188</v>
      </c>
      <c r="CX51" s="219">
        <v>69.96369791433537</v>
      </c>
      <c r="CY51" s="219">
        <v>69.883131079622729</v>
      </c>
      <c r="CZ51" s="219">
        <v>69.802527039476516</v>
      </c>
      <c r="DA51" s="219">
        <v>69.721897021300009</v>
      </c>
      <c r="DB51" s="219">
        <v>69.641317426877947</v>
      </c>
    </row>
    <row r="52" spans="1:106" x14ac:dyDescent="0.35">
      <c r="A52" s="137" t="s">
        <v>544</v>
      </c>
      <c r="B52" s="130" t="s">
        <v>545</v>
      </c>
      <c r="C52" s="33">
        <v>4.2892454308277171E-2</v>
      </c>
      <c r="D52" s="219">
        <v>4.2739140267751517E-2</v>
      </c>
      <c r="E52" s="219">
        <v>4.258446440031842E-2</v>
      </c>
      <c r="F52" s="219">
        <v>4.2432210413478888E-2</v>
      </c>
      <c r="G52" s="219">
        <v>4.2274854078603388E-2</v>
      </c>
      <c r="H52" s="219">
        <v>4.2116001612173708E-2</v>
      </c>
      <c r="I52" s="219">
        <v>4.1963347245237842E-2</v>
      </c>
      <c r="J52" s="219">
        <v>4.1815933709983252E-2</v>
      </c>
      <c r="K52" s="219">
        <v>4.1683966474598419E-2</v>
      </c>
      <c r="L52" s="219">
        <v>4.1540834705901669E-2</v>
      </c>
      <c r="M52" s="219">
        <v>4.1398275249053353E-2</v>
      </c>
      <c r="N52" s="219">
        <v>4.1269131057296841E-2</v>
      </c>
      <c r="O52" s="219">
        <v>4.1142207485376177E-2</v>
      </c>
      <c r="P52" s="219">
        <v>4.1026068411167169E-2</v>
      </c>
      <c r="Q52" s="219">
        <v>4.0902215867714149E-2</v>
      </c>
      <c r="R52" s="219">
        <v>4.077930127688309E-2</v>
      </c>
      <c r="S52" s="219">
        <v>4.0695668630015849E-2</v>
      </c>
      <c r="T52" s="219">
        <v>4.0612760674078062E-2</v>
      </c>
      <c r="U52" s="219">
        <v>4.0536312191211732E-2</v>
      </c>
      <c r="V52" s="219">
        <v>4.0454486702923009E-2</v>
      </c>
      <c r="W52" s="219">
        <v>4.0373111157540199E-2</v>
      </c>
      <c r="X52" s="219">
        <v>4.0383249389583001E-2</v>
      </c>
      <c r="Y52" s="219">
        <v>4.0384080028128239E-2</v>
      </c>
      <c r="Z52" s="219">
        <v>4.0384950666386019E-2</v>
      </c>
      <c r="AA52" s="219">
        <v>4.0385862193850167E-2</v>
      </c>
      <c r="AB52" s="219">
        <v>4.0386821488691271E-2</v>
      </c>
      <c r="AC52" s="33">
        <v>2.8938947844086161E-5</v>
      </c>
      <c r="AD52" s="219">
        <v>2.8798525750326549E-5</v>
      </c>
      <c r="AE52" s="219">
        <v>2.8657513757866521E-5</v>
      </c>
      <c r="AF52" s="219">
        <v>2.8504481757651801E-5</v>
      </c>
      <c r="AG52" s="219">
        <v>2.83622498791412E-5</v>
      </c>
      <c r="AH52" s="219">
        <v>2.8219356760226039E-5</v>
      </c>
      <c r="AI52" s="219">
        <v>2.8009565624591759E-5</v>
      </c>
      <c r="AJ52" s="219">
        <v>2.7802240274717019E-5</v>
      </c>
      <c r="AK52" s="219">
        <v>2.7597626274197219E-5</v>
      </c>
      <c r="AL52" s="219">
        <v>2.7391342291695621E-5</v>
      </c>
      <c r="AM52" s="219">
        <v>2.7184787661849761E-5</v>
      </c>
      <c r="AN52" s="219">
        <v>2.6931098044498891E-5</v>
      </c>
      <c r="AO52" s="219">
        <v>2.6678002546338091E-5</v>
      </c>
      <c r="AP52" s="219">
        <v>2.6428700919934881E-5</v>
      </c>
      <c r="AQ52" s="219">
        <v>2.6176729539977079E-5</v>
      </c>
      <c r="AR52" s="219">
        <v>2.5925243543325132E-5</v>
      </c>
      <c r="AS52" s="219">
        <v>2.5702438987736271E-5</v>
      </c>
      <c r="AT52" s="219">
        <v>2.5480850550078919E-5</v>
      </c>
      <c r="AU52" s="219">
        <v>2.5263100128500731E-5</v>
      </c>
      <c r="AV52" s="219">
        <v>2.5043824144513898E-5</v>
      </c>
      <c r="AW52" s="219">
        <v>2.482570676070311E-5</v>
      </c>
      <c r="AX52" s="219">
        <v>2.480890665991566E-5</v>
      </c>
      <c r="AY52" s="219">
        <v>2.4770180325408151E-5</v>
      </c>
      <c r="AZ52" s="219">
        <v>2.4731559727081318E-5</v>
      </c>
      <c r="BA52" s="219">
        <v>2.4693043613078049E-5</v>
      </c>
      <c r="BB52" s="219">
        <v>2.4654634792710179E-5</v>
      </c>
      <c r="BC52" s="33">
        <v>73.361900432224502</v>
      </c>
      <c r="BD52" s="219">
        <v>73.065868549718729</v>
      </c>
      <c r="BE52" s="219">
        <v>72.769281472186037</v>
      </c>
      <c r="BF52" s="219">
        <v>72.378015476357376</v>
      </c>
      <c r="BG52" s="219">
        <v>72.080173552820199</v>
      </c>
      <c r="BH52" s="219">
        <v>71.781732275015528</v>
      </c>
      <c r="BI52" s="219">
        <v>71.053728493028842</v>
      </c>
      <c r="BJ52" s="219">
        <v>70.326318182337502</v>
      </c>
      <c r="BK52" s="219">
        <v>69.529315432495409</v>
      </c>
      <c r="BL52" s="219">
        <v>68.799879014746622</v>
      </c>
      <c r="BM52" s="219">
        <v>68.069206566591987</v>
      </c>
      <c r="BN52" s="219">
        <v>67.069845771797702</v>
      </c>
      <c r="BO52" s="219">
        <v>66.068809827358521</v>
      </c>
      <c r="BP52" s="219">
        <v>65.044145941057394</v>
      </c>
      <c r="BQ52" s="219">
        <v>64.039691592983274</v>
      </c>
      <c r="BR52" s="219">
        <v>63.033575360575597</v>
      </c>
      <c r="BS52" s="219">
        <v>62.175114466134971</v>
      </c>
      <c r="BT52" s="219">
        <v>61.31600877595293</v>
      </c>
      <c r="BU52" s="219">
        <v>60.433557896968018</v>
      </c>
      <c r="BV52" s="219">
        <v>59.573060422977477</v>
      </c>
      <c r="BW52" s="219">
        <v>58.711828870544217</v>
      </c>
      <c r="BX52" s="219">
        <v>58.674965786360893</v>
      </c>
      <c r="BY52" s="219">
        <v>58.638180504861261</v>
      </c>
      <c r="BZ52" s="219">
        <v>58.601388343963109</v>
      </c>
      <c r="CA52" s="219">
        <v>58.564584289072108</v>
      </c>
      <c r="CB52" s="219">
        <v>58.527767783058643</v>
      </c>
      <c r="CC52" s="33">
        <v>485.23137314995512</v>
      </c>
      <c r="CD52" s="219">
        <v>481.21627156122338</v>
      </c>
      <c r="CE52" s="219">
        <v>477.20884957096428</v>
      </c>
      <c r="CF52" s="219">
        <v>472.58842940991087</v>
      </c>
      <c r="CG52" s="219">
        <v>468.59170301242932</v>
      </c>
      <c r="CH52" s="219">
        <v>464.5993591295682</v>
      </c>
      <c r="CI52" s="219">
        <v>455.6090089084733</v>
      </c>
      <c r="CJ52" s="219">
        <v>446.70936593086191</v>
      </c>
      <c r="CK52" s="219">
        <v>437.45720652033827</v>
      </c>
      <c r="CL52" s="219">
        <v>428.64072470760749</v>
      </c>
      <c r="CM52" s="219">
        <v>419.84871900185078</v>
      </c>
      <c r="CN52" s="219">
        <v>407.94110141717732</v>
      </c>
      <c r="CO52" s="219">
        <v>396.08177332038798</v>
      </c>
      <c r="CP52" s="219">
        <v>384.14668958735967</v>
      </c>
      <c r="CQ52" s="219">
        <v>372.38037459095028</v>
      </c>
      <c r="CR52" s="219">
        <v>360.66000587931518</v>
      </c>
      <c r="CS52" s="219">
        <v>349.9195131100181</v>
      </c>
      <c r="CT52" s="219">
        <v>339.24109379285449</v>
      </c>
      <c r="CU52" s="219">
        <v>328.51683047006111</v>
      </c>
      <c r="CV52" s="219">
        <v>317.96076807972929</v>
      </c>
      <c r="CW52" s="219">
        <v>307.46824228554198</v>
      </c>
      <c r="CX52" s="219">
        <v>305.77474946065593</v>
      </c>
      <c r="CY52" s="219">
        <v>304.05976820559738</v>
      </c>
      <c r="CZ52" s="219">
        <v>302.34865627076442</v>
      </c>
      <c r="DA52" s="219">
        <v>300.64141276412568</v>
      </c>
      <c r="DB52" s="219">
        <v>298.93809530735882</v>
      </c>
    </row>
    <row r="53" spans="1:106" x14ac:dyDescent="0.35">
      <c r="A53" s="137" t="s">
        <v>546</v>
      </c>
      <c r="B53" s="130" t="s">
        <v>547</v>
      </c>
      <c r="C53" s="33">
        <v>2.2730135326480799E-4</v>
      </c>
      <c r="D53" s="219">
        <v>2.2729159161840511E-4</v>
      </c>
      <c r="E53" s="219">
        <v>2.2727314593681811E-4</v>
      </c>
      <c r="F53" s="219">
        <v>2.272962386390942E-4</v>
      </c>
      <c r="G53" s="219">
        <v>2.272667478980079E-4</v>
      </c>
      <c r="H53" s="219">
        <v>2.2722606256133401E-4</v>
      </c>
      <c r="I53" s="219">
        <v>2.2628193897738291E-4</v>
      </c>
      <c r="J53" s="219">
        <v>2.2552900205670561E-4</v>
      </c>
      <c r="K53" s="219">
        <v>2.2497867316080119E-4</v>
      </c>
      <c r="L53" s="219">
        <v>2.2441973019562519E-4</v>
      </c>
      <c r="M53" s="219">
        <v>2.239140734851743E-4</v>
      </c>
      <c r="N53" s="219">
        <v>2.2351842768768119E-4</v>
      </c>
      <c r="O53" s="219">
        <v>2.232009918002912E-4</v>
      </c>
      <c r="P53" s="219">
        <v>2.2298939628783381E-4</v>
      </c>
      <c r="Q53" s="219">
        <v>2.2278142637112601E-4</v>
      </c>
      <c r="R53" s="219">
        <v>2.2261167949234599E-4</v>
      </c>
      <c r="S53" s="219">
        <v>2.2271205254188319E-4</v>
      </c>
      <c r="T53" s="219">
        <v>2.228218592291067E-4</v>
      </c>
      <c r="U53" s="219">
        <v>2.2296084925063961E-4</v>
      </c>
      <c r="V53" s="219">
        <v>2.2307715908175511E-4</v>
      </c>
      <c r="W53" s="219">
        <v>2.231953011533382E-4</v>
      </c>
      <c r="X53" s="219">
        <v>2.2350848622736401E-4</v>
      </c>
      <c r="Y53" s="219">
        <v>2.2378865642474471E-4</v>
      </c>
      <c r="Z53" s="219">
        <v>2.2406618910761681E-4</v>
      </c>
      <c r="AA53" s="219">
        <v>2.2434121473191031E-4</v>
      </c>
      <c r="AB53" s="219">
        <v>2.2461391932504231E-4</v>
      </c>
      <c r="AC53" s="33">
        <v>8.5011362732008066E-8</v>
      </c>
      <c r="AD53" s="219">
        <v>8.457593140113072E-8</v>
      </c>
      <c r="AE53" s="219">
        <v>8.4141368804765749E-8</v>
      </c>
      <c r="AF53" s="219">
        <v>8.3648368821342247E-8</v>
      </c>
      <c r="AG53" s="219">
        <v>8.321894000574645E-8</v>
      </c>
      <c r="AH53" s="219">
        <v>8.2789898913929693E-8</v>
      </c>
      <c r="AI53" s="219">
        <v>8.2314250648757369E-8</v>
      </c>
      <c r="AJ53" s="219">
        <v>8.1915654775068227E-8</v>
      </c>
      <c r="AK53" s="219">
        <v>8.1564942772857456E-8</v>
      </c>
      <c r="AL53" s="219">
        <v>8.1209207342053906E-8</v>
      </c>
      <c r="AM53" s="219">
        <v>8.0854141957676691E-8</v>
      </c>
      <c r="AN53" s="219">
        <v>8.0519038590004042E-8</v>
      </c>
      <c r="AO53" s="219">
        <v>8.018817987120477E-8</v>
      </c>
      <c r="AP53" s="219">
        <v>7.9874723086936226E-8</v>
      </c>
      <c r="AQ53" s="219">
        <v>7.9550267077623367E-8</v>
      </c>
      <c r="AR53" s="219">
        <v>7.9228062893687151E-8</v>
      </c>
      <c r="AS53" s="219">
        <v>7.899340220223719E-8</v>
      </c>
      <c r="AT53" s="219">
        <v>7.8763803783618545E-8</v>
      </c>
      <c r="AU53" s="219">
        <v>7.8547258104344974E-8</v>
      </c>
      <c r="AV53" s="219">
        <v>7.832127468971253E-8</v>
      </c>
      <c r="AW53" s="219">
        <v>7.8097158268810451E-8</v>
      </c>
      <c r="AX53" s="219">
        <v>7.8088362045358595E-8</v>
      </c>
      <c r="AY53" s="219">
        <v>7.8034214342098718E-8</v>
      </c>
      <c r="AZ53" s="219">
        <v>7.7980170253217729E-8</v>
      </c>
      <c r="BA53" s="219">
        <v>7.7926236138488287E-8</v>
      </c>
      <c r="BB53" s="219">
        <v>7.7872462142890917E-8</v>
      </c>
      <c r="BC53" s="33">
        <v>0.10757851995532861</v>
      </c>
      <c r="BD53" s="219">
        <v>0.10708745519239431</v>
      </c>
      <c r="BE53" s="219">
        <v>0.10660061081537631</v>
      </c>
      <c r="BF53" s="219">
        <v>0.1055178411461072</v>
      </c>
      <c r="BG53" s="219">
        <v>0.105044033648776</v>
      </c>
      <c r="BH53" s="219">
        <v>0.1045735535236003</v>
      </c>
      <c r="BI53" s="219">
        <v>0.104015812170169</v>
      </c>
      <c r="BJ53" s="219">
        <v>0.1035111940668046</v>
      </c>
      <c r="BK53" s="219">
        <v>0.10260247460964721</v>
      </c>
      <c r="BL53" s="219">
        <v>0.1021309566383712</v>
      </c>
      <c r="BM53" s="219">
        <v>0.10165956185112859</v>
      </c>
      <c r="BN53" s="219">
        <v>0.1009836647185455</v>
      </c>
      <c r="BO53" s="219">
        <v>0.1003096219807792</v>
      </c>
      <c r="BP53" s="219">
        <v>9.9506835792768603E-2</v>
      </c>
      <c r="BQ53" s="219">
        <v>9.8837542368650028E-2</v>
      </c>
      <c r="BR53" s="219">
        <v>9.816908291536014E-2</v>
      </c>
      <c r="BS53" s="219">
        <v>9.7637841188163169E-2</v>
      </c>
      <c r="BT53" s="219">
        <v>9.7109632262535855E-2</v>
      </c>
      <c r="BU53" s="219">
        <v>9.6459467080381014E-2</v>
      </c>
      <c r="BV53" s="219">
        <v>9.5933936411542964E-2</v>
      </c>
      <c r="BW53" s="219">
        <v>9.5408438568490614E-2</v>
      </c>
      <c r="BX53" s="219">
        <v>9.5313839987380189E-2</v>
      </c>
      <c r="BY53" s="219">
        <v>9.522005854657814E-2</v>
      </c>
      <c r="BZ53" s="219">
        <v>9.5126808904409457E-2</v>
      </c>
      <c r="CA53" s="219">
        <v>9.5034061857264845E-2</v>
      </c>
      <c r="CB53" s="219">
        <v>9.4941825439671473E-2</v>
      </c>
      <c r="CC53" s="33">
        <v>0.82978347178532919</v>
      </c>
      <c r="CD53" s="219">
        <v>0.82028474338960766</v>
      </c>
      <c r="CE53" s="219">
        <v>0.81082599441367331</v>
      </c>
      <c r="CF53" s="219">
        <v>0.79756578514919618</v>
      </c>
      <c r="CG53" s="219">
        <v>0.78827096420101939</v>
      </c>
      <c r="CH53" s="219">
        <v>0.77900845756406589</v>
      </c>
      <c r="CI53" s="219">
        <v>0.76525878737491071</v>
      </c>
      <c r="CJ53" s="219">
        <v>0.75334241102667288</v>
      </c>
      <c r="CK53" s="219">
        <v>0.73981724979657704</v>
      </c>
      <c r="CL53" s="219">
        <v>0.72894737041267066</v>
      </c>
      <c r="CM53" s="219">
        <v>0.71810119328741306</v>
      </c>
      <c r="CN53" s="219">
        <v>0.70547776110457572</v>
      </c>
      <c r="CO53" s="219">
        <v>0.69295491863331493</v>
      </c>
      <c r="CP53" s="219">
        <v>0.67978502856543199</v>
      </c>
      <c r="CQ53" s="219">
        <v>0.66744469556863129</v>
      </c>
      <c r="CR53" s="219">
        <v>0.65517790752930349</v>
      </c>
      <c r="CS53" s="219">
        <v>0.64522162194517407</v>
      </c>
      <c r="CT53" s="219">
        <v>0.6353932807156647</v>
      </c>
      <c r="CU53" s="219">
        <v>0.62505994204891846</v>
      </c>
      <c r="CV53" s="219">
        <v>0.61537750459081786</v>
      </c>
      <c r="CW53" s="219">
        <v>0.60578123506211967</v>
      </c>
      <c r="CX53" s="219">
        <v>0.60381484431466892</v>
      </c>
      <c r="CY53" s="219">
        <v>0.60153806676783561</v>
      </c>
      <c r="CZ53" s="219">
        <v>0.59926484528486867</v>
      </c>
      <c r="DA53" s="219">
        <v>0.59699545811432708</v>
      </c>
      <c r="DB53" s="219">
        <v>0.59473103382142378</v>
      </c>
    </row>
    <row r="54" spans="1:106" s="219" customFormat="1" x14ac:dyDescent="0.35">
      <c r="A54" s="137" t="s">
        <v>754</v>
      </c>
      <c r="B54" s="130" t="s">
        <v>547</v>
      </c>
      <c r="C54" s="33">
        <v>2.9435752164584032E-4</v>
      </c>
      <c r="D54" s="219">
        <v>2.9416855370381428E-4</v>
      </c>
      <c r="E54" s="219">
        <v>2.9397649844337462E-4</v>
      </c>
      <c r="F54" s="219">
        <v>2.9378844251490098E-4</v>
      </c>
      <c r="G54" s="219">
        <v>2.9359102498767643E-4</v>
      </c>
      <c r="H54" s="219">
        <v>2.9338961399064578E-4</v>
      </c>
      <c r="I54" s="219">
        <v>2.9304221481871509E-4</v>
      </c>
      <c r="J54" s="219">
        <v>2.9273016486597308E-4</v>
      </c>
      <c r="K54" s="219">
        <v>2.9245846922630971E-4</v>
      </c>
      <c r="L54" s="219">
        <v>2.9218097259151423E-4</v>
      </c>
      <c r="M54" s="219">
        <v>2.919123522664593E-4</v>
      </c>
      <c r="N54" s="219">
        <v>2.917098368981239E-4</v>
      </c>
      <c r="O54" s="219">
        <v>2.9152253570141813E-4</v>
      </c>
      <c r="P54" s="219">
        <v>2.9135892068608702E-4</v>
      </c>
      <c r="Q54" s="219">
        <v>2.911932029980424E-4</v>
      </c>
      <c r="R54" s="219">
        <v>2.9103515149686712E-4</v>
      </c>
      <c r="S54" s="219">
        <v>2.9098182280546151E-4</v>
      </c>
      <c r="T54" s="219">
        <v>2.9093079535639561E-4</v>
      </c>
      <c r="U54" s="219">
        <v>2.9088834135203881E-4</v>
      </c>
      <c r="V54" s="219">
        <v>2.908394924200206E-4</v>
      </c>
      <c r="W54" s="219">
        <v>2.9079145045184319E-4</v>
      </c>
      <c r="X54" s="219">
        <v>2.9085589771914318E-4</v>
      </c>
      <c r="Y54" s="219">
        <v>2.9090189757075441E-4</v>
      </c>
      <c r="Z54" s="219">
        <v>2.9094768569873581E-4</v>
      </c>
      <c r="AA54" s="219">
        <v>2.9099328264695019E-4</v>
      </c>
      <c r="AB54" s="219">
        <v>2.9103872368221352E-4</v>
      </c>
      <c r="AC54" s="33">
        <v>1.5951259533657759E-7</v>
      </c>
      <c r="AD54" s="219">
        <v>1.593170089048673E-7</v>
      </c>
      <c r="AE54" s="219">
        <v>1.5911995487141919E-7</v>
      </c>
      <c r="AF54" s="219">
        <v>1.5890522670072821E-7</v>
      </c>
      <c r="AG54" s="219">
        <v>1.587056462748317E-7</v>
      </c>
      <c r="AH54" s="219">
        <v>1.585042265466924E-7</v>
      </c>
      <c r="AI54" s="219">
        <v>1.5829427747095831E-7</v>
      </c>
      <c r="AJ54" s="219">
        <v>1.5809833057141819E-7</v>
      </c>
      <c r="AK54" s="219">
        <v>1.579115933766544E-7</v>
      </c>
      <c r="AL54" s="219">
        <v>1.5772206323238479E-7</v>
      </c>
      <c r="AM54" s="219">
        <v>1.5753165149742681E-7</v>
      </c>
      <c r="AN54" s="219">
        <v>1.5735160339330279E-7</v>
      </c>
      <c r="AO54" s="219">
        <v>1.571729442907018E-7</v>
      </c>
      <c r="AP54" s="219">
        <v>1.569995809107541E-7</v>
      </c>
      <c r="AQ54" s="219">
        <v>1.568232543772406E-7</v>
      </c>
      <c r="AR54" s="219">
        <v>1.5664787252731499E-7</v>
      </c>
      <c r="AS54" s="219">
        <v>1.5653338494084699E-7</v>
      </c>
      <c r="AT54" s="219">
        <v>1.564203604945219E-7</v>
      </c>
      <c r="AU54" s="219">
        <v>1.5631138820147839E-7</v>
      </c>
      <c r="AV54" s="219">
        <v>1.5620000674511361E-7</v>
      </c>
      <c r="AW54" s="219">
        <v>1.5608945955961999E-7</v>
      </c>
      <c r="AX54" s="219">
        <v>1.5608490929294629E-7</v>
      </c>
      <c r="AY54" s="219">
        <v>1.560593415672987E-7</v>
      </c>
      <c r="AZ54" s="219">
        <v>1.5603394719887359E-7</v>
      </c>
      <c r="BA54" s="219">
        <v>1.560087239545929E-7</v>
      </c>
      <c r="BB54" s="219">
        <v>1.5598368051873119E-7</v>
      </c>
      <c r="BC54" s="33">
        <v>3.7761684158135973E-2</v>
      </c>
      <c r="BD54" s="219">
        <v>3.7611289710649649E-2</v>
      </c>
      <c r="BE54" s="219">
        <v>3.7460274658047119E-2</v>
      </c>
      <c r="BF54" s="219">
        <v>3.7171452774954442E-2</v>
      </c>
      <c r="BG54" s="219">
        <v>3.7020123348029128E-2</v>
      </c>
      <c r="BH54" s="219">
        <v>3.6867902679201633E-2</v>
      </c>
      <c r="BI54" s="219">
        <v>3.6839831650686682E-2</v>
      </c>
      <c r="BJ54" s="219">
        <v>3.682127413574296E-2</v>
      </c>
      <c r="BK54" s="219">
        <v>3.671323155866206E-2</v>
      </c>
      <c r="BL54" s="219">
        <v>3.6699813965769192E-2</v>
      </c>
      <c r="BM54" s="219">
        <v>3.6685632357469182E-2</v>
      </c>
      <c r="BN54" s="219">
        <v>3.6587365974445472E-2</v>
      </c>
      <c r="BO54" s="219">
        <v>3.6489912893640473E-2</v>
      </c>
      <c r="BP54" s="219">
        <v>3.636560607624225E-2</v>
      </c>
      <c r="BQ54" s="219">
        <v>3.6270056105985958E-2</v>
      </c>
      <c r="BR54" s="219">
        <v>3.6175079063767927E-2</v>
      </c>
      <c r="BS54" s="219">
        <v>3.6087467503445853E-2</v>
      </c>
      <c r="BT54" s="219">
        <v>3.6000724420647029E-2</v>
      </c>
      <c r="BU54" s="219">
        <v>3.5888558406821702E-2</v>
      </c>
      <c r="BV54" s="219">
        <v>3.5803002328347593E-2</v>
      </c>
      <c r="BW54" s="219">
        <v>3.5717727696798693E-2</v>
      </c>
      <c r="BX54" s="219">
        <v>3.5685995251639277E-2</v>
      </c>
      <c r="BY54" s="219">
        <v>3.5654613250184188E-2</v>
      </c>
      <c r="BZ54" s="219">
        <v>3.5623505736459747E-2</v>
      </c>
      <c r="CA54" s="219">
        <v>3.5592656231675478E-2</v>
      </c>
      <c r="CB54" s="219">
        <v>3.5562064263326122E-2</v>
      </c>
      <c r="CC54" s="33">
        <v>0.65410675498031334</v>
      </c>
      <c r="CD54" s="219">
        <v>0.64976630260029022</v>
      </c>
      <c r="CE54" s="219">
        <v>0.64541251653218334</v>
      </c>
      <c r="CF54" s="219">
        <v>0.64015098937810666</v>
      </c>
      <c r="CG54" s="219">
        <v>0.63577514961614212</v>
      </c>
      <c r="CH54" s="219">
        <v>0.63137479485471015</v>
      </c>
      <c r="CI54" s="219">
        <v>0.62600019128810724</v>
      </c>
      <c r="CJ54" s="219">
        <v>0.62097005468248689</v>
      </c>
      <c r="CK54" s="219">
        <v>0.61555830849440296</v>
      </c>
      <c r="CL54" s="219">
        <v>0.61070760793667134</v>
      </c>
      <c r="CM54" s="219">
        <v>0.60584710406595466</v>
      </c>
      <c r="CN54" s="219">
        <v>0.60021548508044309</v>
      </c>
      <c r="CO54" s="219">
        <v>0.59462643817235605</v>
      </c>
      <c r="CP54" s="219">
        <v>0.5889225560965391</v>
      </c>
      <c r="CQ54" s="219">
        <v>0.5834142239934379</v>
      </c>
      <c r="CR54" s="219">
        <v>0.57794200887616765</v>
      </c>
      <c r="CS54" s="219">
        <v>0.57404209509338988</v>
      </c>
      <c r="CT54" s="219">
        <v>0.57018497753611896</v>
      </c>
      <c r="CU54" s="219">
        <v>0.5662349757196099</v>
      </c>
      <c r="CV54" s="219">
        <v>0.56244050869785189</v>
      </c>
      <c r="CW54" s="219">
        <v>0.55867972954342937</v>
      </c>
      <c r="CX54" s="219">
        <v>0.55779173567693441</v>
      </c>
      <c r="CY54" s="219">
        <v>0.55688599809754469</v>
      </c>
      <c r="CZ54" s="219">
        <v>0.55598573413060537</v>
      </c>
      <c r="DA54" s="219">
        <v>0.55509092478556987</v>
      </c>
      <c r="DB54" s="219">
        <v>0.55420175155073659</v>
      </c>
    </row>
    <row r="55" spans="1:106" x14ac:dyDescent="0.35">
      <c r="A55" s="137" t="s">
        <v>548</v>
      </c>
      <c r="B55" s="130" t="s">
        <v>545</v>
      </c>
      <c r="C55" s="33">
        <v>1.3327644674535591E-3</v>
      </c>
      <c r="D55" s="219">
        <v>1.3321164925058689E-3</v>
      </c>
      <c r="E55" s="219">
        <v>1.3314580577072331E-3</v>
      </c>
      <c r="F55" s="219">
        <v>1.331598376894446E-3</v>
      </c>
      <c r="G55" s="219">
        <v>1.3308920991276041E-3</v>
      </c>
      <c r="H55" s="219">
        <v>1.3301743381757859E-3</v>
      </c>
      <c r="I55" s="219">
        <v>1.3294573201569381E-3</v>
      </c>
      <c r="J55" s="219">
        <v>1.328768258043442E-3</v>
      </c>
      <c r="K55" s="219">
        <v>1.329173751018061E-3</v>
      </c>
      <c r="L55" s="219">
        <v>1.3285082065062159E-3</v>
      </c>
      <c r="M55" s="219">
        <v>1.3278451136532819E-3</v>
      </c>
      <c r="N55" s="219">
        <v>1.327343698184555E-3</v>
      </c>
      <c r="O55" s="219">
        <v>1.326855909517976E-3</v>
      </c>
      <c r="P55" s="219">
        <v>1.3269154387660479E-3</v>
      </c>
      <c r="Q55" s="219">
        <v>1.3264481965956729E-3</v>
      </c>
      <c r="R55" s="219">
        <v>1.3259868665017301E-3</v>
      </c>
      <c r="S55" s="219">
        <v>1.3257455017384591E-3</v>
      </c>
      <c r="T55" s="219">
        <v>1.325507594483106E-3</v>
      </c>
      <c r="U55" s="219">
        <v>1.325519577045825E-3</v>
      </c>
      <c r="V55" s="219">
        <v>1.3252882552623579E-3</v>
      </c>
      <c r="W55" s="219">
        <v>1.325058914795237E-3</v>
      </c>
      <c r="X55" s="219">
        <v>1.3250957006914609E-3</v>
      </c>
      <c r="Y55" s="219">
        <v>1.3250977875383381E-3</v>
      </c>
      <c r="Z55" s="219">
        <v>1.3251002326756789E-3</v>
      </c>
      <c r="AA55" s="219">
        <v>1.3251030746934389E-3</v>
      </c>
      <c r="AB55" s="219">
        <v>1.325106386853055E-3</v>
      </c>
      <c r="AC55" s="33">
        <v>1.564770383812915E-6</v>
      </c>
      <c r="AD55" s="219">
        <v>1.5641528597358461E-6</v>
      </c>
      <c r="AE55" s="219">
        <v>1.563529866841543E-6</v>
      </c>
      <c r="AF55" s="219">
        <v>1.5620617653399001E-6</v>
      </c>
      <c r="AG55" s="219">
        <v>1.561418299856857E-6</v>
      </c>
      <c r="AH55" s="219">
        <v>1.5607689215184849E-6</v>
      </c>
      <c r="AI55" s="219">
        <v>1.5600906988057181E-6</v>
      </c>
      <c r="AJ55" s="219">
        <v>1.559423848353964E-6</v>
      </c>
      <c r="AK55" s="219">
        <v>1.5588248298365879E-6</v>
      </c>
      <c r="AL55" s="219">
        <v>1.5581700089332719E-6</v>
      </c>
      <c r="AM55" s="219">
        <v>1.557512220151235E-6</v>
      </c>
      <c r="AN55" s="219">
        <v>1.5568466161403991E-6</v>
      </c>
      <c r="AO55" s="219">
        <v>1.556184786012011E-6</v>
      </c>
      <c r="AP55" s="219">
        <v>1.5556661451853559E-6</v>
      </c>
      <c r="AQ55" s="219">
        <v>1.555016745862039E-6</v>
      </c>
      <c r="AR55" s="219">
        <v>1.5543706061460009E-6</v>
      </c>
      <c r="AS55" s="219">
        <v>1.553889108303368E-6</v>
      </c>
      <c r="AT55" s="219">
        <v>1.5534126191712539E-6</v>
      </c>
      <c r="AU55" s="219">
        <v>1.5530569099362929E-6</v>
      </c>
      <c r="AV55" s="219">
        <v>1.55259662755509E-6</v>
      </c>
      <c r="AW55" s="219">
        <v>1.55214288851865E-6</v>
      </c>
      <c r="AX55" s="219">
        <v>1.55210138559204E-6</v>
      </c>
      <c r="AY55" s="219">
        <v>1.551986801214366E-6</v>
      </c>
      <c r="AZ55" s="219">
        <v>1.551873073527365E-6</v>
      </c>
      <c r="BA55" s="219">
        <v>1.551760227943872E-6</v>
      </c>
      <c r="BB55" s="219">
        <v>1.5516483181379021E-6</v>
      </c>
      <c r="BC55" s="33">
        <v>0.36402462542610081</v>
      </c>
      <c r="BD55" s="219">
        <v>0.36330961245322568</v>
      </c>
      <c r="BE55" s="219">
        <v>0.36259103682602761</v>
      </c>
      <c r="BF55" s="219">
        <v>0.35285199595512989</v>
      </c>
      <c r="BG55" s="219">
        <v>0.35215745949272542</v>
      </c>
      <c r="BH55" s="219">
        <v>0.35145812026506978</v>
      </c>
      <c r="BI55" s="219">
        <v>0.35039677890114368</v>
      </c>
      <c r="BJ55" s="219">
        <v>0.34934786525825601</v>
      </c>
      <c r="BK55" s="219">
        <v>0.34170925187190643</v>
      </c>
      <c r="BL55" s="219">
        <v>0.3407501791528515</v>
      </c>
      <c r="BM55" s="219">
        <v>0.33979368587330389</v>
      </c>
      <c r="BN55" s="219">
        <v>0.3383646631219091</v>
      </c>
      <c r="BO55" s="219">
        <v>0.33694348338094299</v>
      </c>
      <c r="BP55" s="219">
        <v>0.33350598680423649</v>
      </c>
      <c r="BQ55" s="219">
        <v>0.33213541930210871</v>
      </c>
      <c r="BR55" s="219">
        <v>0.3307721330706565</v>
      </c>
      <c r="BS55" s="219">
        <v>0.32964663312069858</v>
      </c>
      <c r="BT55" s="219">
        <v>0.32852669828850511</v>
      </c>
      <c r="BU55" s="219">
        <v>0.32552724061859528</v>
      </c>
      <c r="BV55" s="219">
        <v>0.3244453648651473</v>
      </c>
      <c r="BW55" s="219">
        <v>0.32336794738961872</v>
      </c>
      <c r="BX55" s="219">
        <v>0.32316533002892328</v>
      </c>
      <c r="BY55" s="219">
        <v>0.3229641180553624</v>
      </c>
      <c r="BZ55" s="219">
        <v>0.32276397423991982</v>
      </c>
      <c r="CA55" s="219">
        <v>0.32256488079999551</v>
      </c>
      <c r="CB55" s="219">
        <v>0.32236684018669609</v>
      </c>
      <c r="CC55" s="33">
        <v>17.958628319690462</v>
      </c>
      <c r="CD55" s="219">
        <v>17.942259964298501</v>
      </c>
      <c r="CE55" s="219">
        <v>17.92586448003744</v>
      </c>
      <c r="CF55" s="219">
        <v>17.850984808041311</v>
      </c>
      <c r="CG55" s="219">
        <v>17.834591921652841</v>
      </c>
      <c r="CH55" s="219">
        <v>17.818159562802361</v>
      </c>
      <c r="CI55" s="219">
        <v>17.795292606929451</v>
      </c>
      <c r="CJ55" s="219">
        <v>17.77282405603308</v>
      </c>
      <c r="CK55" s="219">
        <v>17.710905439562922</v>
      </c>
      <c r="CL55" s="219">
        <v>17.689371114935501</v>
      </c>
      <c r="CM55" s="219">
        <v>17.66788842837019</v>
      </c>
      <c r="CN55" s="219">
        <v>17.64186741030824</v>
      </c>
      <c r="CO55" s="219">
        <v>17.616071993221009</v>
      </c>
      <c r="CP55" s="219">
        <v>17.579025318037338</v>
      </c>
      <c r="CQ55" s="219">
        <v>17.5539736356608</v>
      </c>
      <c r="CR55" s="219">
        <v>17.529157218928351</v>
      </c>
      <c r="CS55" s="219">
        <v>17.50886446800072</v>
      </c>
      <c r="CT55" s="219">
        <v>17.488804320880551</v>
      </c>
      <c r="CU55" s="219">
        <v>17.46049486184274</v>
      </c>
      <c r="CV55" s="219">
        <v>17.441227741922869</v>
      </c>
      <c r="CW55" s="219">
        <v>17.422299649504701</v>
      </c>
      <c r="CX55" s="219">
        <v>17.41737948644511</v>
      </c>
      <c r="CY55" s="219">
        <v>17.412444385672611</v>
      </c>
      <c r="CZ55" s="219">
        <v>17.407541427530401</v>
      </c>
      <c r="DA55" s="219">
        <v>17.402671337666849</v>
      </c>
      <c r="DB55" s="219">
        <v>17.39783537348211</v>
      </c>
    </row>
    <row r="56" spans="1:106" x14ac:dyDescent="0.35">
      <c r="A56" s="137" t="s">
        <v>549</v>
      </c>
      <c r="B56" s="130" t="s">
        <v>545</v>
      </c>
      <c r="C56" s="33">
        <v>6.4706246929331992E-4</v>
      </c>
      <c r="D56" s="219">
        <v>6.4640851558951467E-4</v>
      </c>
      <c r="E56" s="219">
        <v>6.4574403910340494E-4</v>
      </c>
      <c r="F56" s="219">
        <v>6.4594421770515856E-4</v>
      </c>
      <c r="G56" s="219">
        <v>6.4522963871717983E-4</v>
      </c>
      <c r="H56" s="219">
        <v>6.4450366270986034E-4</v>
      </c>
      <c r="I56" s="219">
        <v>6.4378118277376851E-4</v>
      </c>
      <c r="J56" s="219">
        <v>6.4308679821242028E-4</v>
      </c>
      <c r="K56" s="219">
        <v>6.4358145087352043E-4</v>
      </c>
      <c r="L56" s="219">
        <v>6.4291130719976576E-4</v>
      </c>
      <c r="M56" s="219">
        <v>6.422441222709446E-4</v>
      </c>
      <c r="N56" s="219">
        <v>6.4173923107313047E-4</v>
      </c>
      <c r="O56" s="219">
        <v>6.4124817975602525E-4</v>
      </c>
      <c r="P56" s="219">
        <v>6.4135355440316888E-4</v>
      </c>
      <c r="Q56" s="219">
        <v>6.4088386738929838E-4</v>
      </c>
      <c r="R56" s="219">
        <v>6.4042071898783341E-4</v>
      </c>
      <c r="S56" s="219">
        <v>6.4017774321340653E-4</v>
      </c>
      <c r="T56" s="219">
        <v>6.3993828106204175E-4</v>
      </c>
      <c r="U56" s="219">
        <v>6.3997243652651181E-4</v>
      </c>
      <c r="V56" s="219">
        <v>6.3973975398105409E-4</v>
      </c>
      <c r="W56" s="219">
        <v>6.395091851036142E-4</v>
      </c>
      <c r="X56" s="219">
        <v>6.3954888304522156E-4</v>
      </c>
      <c r="Y56" s="219">
        <v>6.3955066288368719E-4</v>
      </c>
      <c r="Z56" s="219">
        <v>6.3955274195456706E-4</v>
      </c>
      <c r="AA56" s="219">
        <v>6.3955514219959052E-4</v>
      </c>
      <c r="AB56" s="219">
        <v>6.3955791346530114E-4</v>
      </c>
      <c r="AC56" s="33">
        <v>9.5500590920743594E-7</v>
      </c>
      <c r="AD56" s="219">
        <v>9.5439328977057131E-7</v>
      </c>
      <c r="AE56" s="219">
        <v>9.5377533885218332E-7</v>
      </c>
      <c r="AF56" s="219">
        <v>9.5223606805368531E-7</v>
      </c>
      <c r="AG56" s="219">
        <v>9.5159699361605185E-7</v>
      </c>
      <c r="AH56" s="219">
        <v>9.5095193396220709E-7</v>
      </c>
      <c r="AI56" s="219">
        <v>9.5025497395928447E-7</v>
      </c>
      <c r="AJ56" s="219">
        <v>9.4956959670219372E-7</v>
      </c>
      <c r="AK56" s="219">
        <v>9.4895859753915044E-7</v>
      </c>
      <c r="AL56" s="219">
        <v>9.4828682316304139E-7</v>
      </c>
      <c r="AM56" s="219">
        <v>9.4761263630011281E-7</v>
      </c>
      <c r="AN56" s="219">
        <v>9.4692310555300288E-7</v>
      </c>
      <c r="AO56" s="219">
        <v>9.4623757531078589E-7</v>
      </c>
      <c r="AP56" s="219">
        <v>9.4570885084389535E-7</v>
      </c>
      <c r="AQ56" s="219">
        <v>9.4503665537649888E-7</v>
      </c>
      <c r="AR56" s="219">
        <v>9.4436792207047548E-7</v>
      </c>
      <c r="AS56" s="219">
        <v>9.4386334347115751E-7</v>
      </c>
      <c r="AT56" s="219">
        <v>9.433637218867203E-7</v>
      </c>
      <c r="AU56" s="219">
        <v>9.4299569340264247E-7</v>
      </c>
      <c r="AV56" s="219">
        <v>9.4251184557790322E-7</v>
      </c>
      <c r="AW56" s="219">
        <v>9.4203311475831418E-7</v>
      </c>
      <c r="AX56" s="219">
        <v>9.4199086692764841E-7</v>
      </c>
      <c r="AY56" s="219">
        <v>9.4186811960589146E-7</v>
      </c>
      <c r="AZ56" s="219">
        <v>9.4174620063011936E-7</v>
      </c>
      <c r="BA56" s="219">
        <v>9.4162511551661784E-7</v>
      </c>
      <c r="BB56" s="219">
        <v>9.4150489004602508E-7</v>
      </c>
      <c r="BC56" s="33">
        <v>0.4043506901420918</v>
      </c>
      <c r="BD56" s="219">
        <v>0.40352468617573978</v>
      </c>
      <c r="BE56" s="219">
        <v>0.40269707677152983</v>
      </c>
      <c r="BF56" s="219">
        <v>0.39206309869156331</v>
      </c>
      <c r="BG56" s="219">
        <v>0.39126669904783468</v>
      </c>
      <c r="BH56" s="219">
        <v>0.39046804737412882</v>
      </c>
      <c r="BI56" s="219">
        <v>0.38926656640493279</v>
      </c>
      <c r="BJ56" s="219">
        <v>0.38807897398439228</v>
      </c>
      <c r="BK56" s="219">
        <v>0.37973138004772089</v>
      </c>
      <c r="BL56" s="219">
        <v>0.37864364350600999</v>
      </c>
      <c r="BM56" s="219">
        <v>0.37756033004625172</v>
      </c>
      <c r="BN56" s="219">
        <v>0.37598052855813219</v>
      </c>
      <c r="BO56" s="219">
        <v>0.37441024123395877</v>
      </c>
      <c r="BP56" s="219">
        <v>0.3706507392132562</v>
      </c>
      <c r="BQ56" s="219">
        <v>0.36913771388719119</v>
      </c>
      <c r="BR56" s="219">
        <v>0.36763404744720041</v>
      </c>
      <c r="BS56" s="219">
        <v>0.36639599063150569</v>
      </c>
      <c r="BT56" s="219">
        <v>0.36516436241935191</v>
      </c>
      <c r="BU56" s="219">
        <v>0.36189122900724863</v>
      </c>
      <c r="BV56" s="219">
        <v>0.36070137495593863</v>
      </c>
      <c r="BW56" s="219">
        <v>0.35951733323075891</v>
      </c>
      <c r="BX56" s="219">
        <v>0.35929010668761308</v>
      </c>
      <c r="BY56" s="219">
        <v>0.35906439268396412</v>
      </c>
      <c r="BZ56" s="219">
        <v>0.35883983618330229</v>
      </c>
      <c r="CA56" s="219">
        <v>0.3586164175343079</v>
      </c>
      <c r="CB56" s="219">
        <v>0.35839413580574808</v>
      </c>
      <c r="CC56" s="33">
        <v>6.7617923464112417</v>
      </c>
      <c r="CD56" s="219">
        <v>6.7458250059143969</v>
      </c>
      <c r="CE56" s="219">
        <v>6.7298391243701214</v>
      </c>
      <c r="CF56" s="219">
        <v>6.6502549491646787</v>
      </c>
      <c r="CG56" s="219">
        <v>6.6342852316963068</v>
      </c>
      <c r="CH56" s="219">
        <v>6.6182711238785714</v>
      </c>
      <c r="CI56" s="219">
        <v>6.5943014095717007</v>
      </c>
      <c r="CJ56" s="219">
        <v>6.5707485669745518</v>
      </c>
      <c r="CK56" s="219">
        <v>6.5043306579278664</v>
      </c>
      <c r="CL56" s="219">
        <v>6.4818085547716002</v>
      </c>
      <c r="CM56" s="219">
        <v>6.4593617944126196</v>
      </c>
      <c r="CN56" s="219">
        <v>6.4319103458780402</v>
      </c>
      <c r="CO56" s="219">
        <v>6.4046998677457792</v>
      </c>
      <c r="CP56" s="219">
        <v>6.3652625389236626</v>
      </c>
      <c r="CQ56" s="219">
        <v>6.3388418413617886</v>
      </c>
      <c r="CR56" s="219">
        <v>6.3126569660573111</v>
      </c>
      <c r="CS56" s="219">
        <v>6.291033842097379</v>
      </c>
      <c r="CT56" s="219">
        <v>6.2696424022341608</v>
      </c>
      <c r="CU56" s="219">
        <v>6.239254155208803</v>
      </c>
      <c r="CV56" s="219">
        <v>6.2186340089506524</v>
      </c>
      <c r="CW56" s="219">
        <v>6.1982758727136167</v>
      </c>
      <c r="CX56" s="219">
        <v>6.192930237051061</v>
      </c>
      <c r="CY56" s="219">
        <v>6.1875722544921539</v>
      </c>
      <c r="CZ56" s="219">
        <v>6.1822470533832981</v>
      </c>
      <c r="DA56" s="219">
        <v>6.1769548550697717</v>
      </c>
      <c r="DB56" s="219">
        <v>6.1716962041310808</v>
      </c>
    </row>
    <row r="57" spans="1:106" x14ac:dyDescent="0.35">
      <c r="A57" s="137" t="s">
        <v>550</v>
      </c>
      <c r="B57" s="130" t="s">
        <v>545</v>
      </c>
      <c r="C57" s="33">
        <v>2.2171464121471859E-3</v>
      </c>
      <c r="D57" s="219">
        <v>2.2077395994032942E-3</v>
      </c>
      <c r="E57" s="219">
        <v>2.1980686645759842E-3</v>
      </c>
      <c r="F57" s="219">
        <v>2.191895721820155E-3</v>
      </c>
      <c r="G57" s="219">
        <v>2.181551136298135E-3</v>
      </c>
      <c r="H57" s="219">
        <v>2.170919552436926E-3</v>
      </c>
      <c r="I57" s="219">
        <v>2.1617158731484861E-3</v>
      </c>
      <c r="J57" s="219">
        <v>2.1525270671290319E-3</v>
      </c>
      <c r="K57" s="219">
        <v>2.1485145556089671E-3</v>
      </c>
      <c r="L57" s="219">
        <v>2.13919782189918E-3</v>
      </c>
      <c r="M57" s="219">
        <v>2.1297702480648239E-3</v>
      </c>
      <c r="N57" s="219">
        <v>2.124296316276452E-3</v>
      </c>
      <c r="O57" s="219">
        <v>2.1189065934146319E-3</v>
      </c>
      <c r="P57" s="219">
        <v>2.116237760329842E-3</v>
      </c>
      <c r="Q57" s="219">
        <v>2.1109773995888008E-3</v>
      </c>
      <c r="R57" s="219">
        <v>2.1057566217815181E-3</v>
      </c>
      <c r="S57" s="219">
        <v>2.1031615505177912E-3</v>
      </c>
      <c r="T57" s="219">
        <v>2.1006054818773052E-3</v>
      </c>
      <c r="U57" s="219">
        <v>2.0993422981321441E-3</v>
      </c>
      <c r="V57" s="219">
        <v>2.0968620798965049E-3</v>
      </c>
      <c r="W57" s="219">
        <v>2.0944122859903138E-3</v>
      </c>
      <c r="X57" s="219">
        <v>2.0941743522812232E-3</v>
      </c>
      <c r="Y57" s="219">
        <v>2.0937908046046848E-3</v>
      </c>
      <c r="Z57" s="219">
        <v>2.093416402549115E-3</v>
      </c>
      <c r="AA57" s="219">
        <v>2.0930513190614889E-3</v>
      </c>
      <c r="AB57" s="219">
        <v>2.0926960215174452E-3</v>
      </c>
      <c r="AC57" s="33">
        <v>3.1847006660444382E-6</v>
      </c>
      <c r="AD57" s="219">
        <v>3.1767569323951788E-6</v>
      </c>
      <c r="AE57" s="219">
        <v>3.1686252821486721E-6</v>
      </c>
      <c r="AF57" s="219">
        <v>3.1561556534493882E-6</v>
      </c>
      <c r="AG57" s="219">
        <v>3.1475914059425552E-6</v>
      </c>
      <c r="AH57" s="219">
        <v>3.1388256501959069E-6</v>
      </c>
      <c r="AI57" s="219">
        <v>3.130907425677676E-6</v>
      </c>
      <c r="AJ57" s="219">
        <v>3.1229686250855529E-6</v>
      </c>
      <c r="AK57" s="219">
        <v>3.115306624958898E-6</v>
      </c>
      <c r="AL57" s="219">
        <v>3.1072732714093842E-6</v>
      </c>
      <c r="AM57" s="219">
        <v>3.099148097128641E-6</v>
      </c>
      <c r="AN57" s="219">
        <v>3.0927922011060191E-6</v>
      </c>
      <c r="AO57" s="219">
        <v>3.086485722747931E-6</v>
      </c>
      <c r="AP57" s="219">
        <v>3.0809346093990839E-6</v>
      </c>
      <c r="AQ57" s="219">
        <v>3.074747244446315E-6</v>
      </c>
      <c r="AR57" s="219">
        <v>3.0686039270477101E-6</v>
      </c>
      <c r="AS57" s="219">
        <v>3.0645150349345651E-6</v>
      </c>
      <c r="AT57" s="219">
        <v>3.060480655434854E-6</v>
      </c>
      <c r="AU57" s="219">
        <v>3.0570866322177181E-6</v>
      </c>
      <c r="AV57" s="219">
        <v>3.053195657788531E-6</v>
      </c>
      <c r="AW57" s="219">
        <v>3.049374769545755E-6</v>
      </c>
      <c r="AX57" s="219">
        <v>3.0486487780627461E-6</v>
      </c>
      <c r="AY57" s="219">
        <v>3.047646868394764E-6</v>
      </c>
      <c r="AZ57" s="219">
        <v>3.0466568494350612E-6</v>
      </c>
      <c r="BA57" s="219">
        <v>3.0456788673111499E-6</v>
      </c>
      <c r="BB57" s="219">
        <v>3.0447133039348778E-6</v>
      </c>
      <c r="BC57" s="33">
        <v>1.8700663200318961</v>
      </c>
      <c r="BD57" s="219">
        <v>1.8636636470186621</v>
      </c>
      <c r="BE57" s="219">
        <v>1.85709264757026</v>
      </c>
      <c r="BF57" s="219">
        <v>1.806793224194073</v>
      </c>
      <c r="BG57" s="219">
        <v>1.800026938463221</v>
      </c>
      <c r="BH57" s="219">
        <v>1.7930770844459341</v>
      </c>
      <c r="BI57" s="219">
        <v>1.786948292632037</v>
      </c>
      <c r="BJ57" s="219">
        <v>1.7808044871082791</v>
      </c>
      <c r="BK57" s="219">
        <v>1.7429011724679091</v>
      </c>
      <c r="BL57" s="219">
        <v>1.737039316566801</v>
      </c>
      <c r="BM57" s="219">
        <v>1.731113054986545</v>
      </c>
      <c r="BN57" s="219">
        <v>1.722728424547646</v>
      </c>
      <c r="BO57" s="219">
        <v>1.714396298018716</v>
      </c>
      <c r="BP57" s="219">
        <v>1.696397878701158</v>
      </c>
      <c r="BQ57" s="219">
        <v>1.688336825281797</v>
      </c>
      <c r="BR57" s="219">
        <v>1.6803224322060211</v>
      </c>
      <c r="BS57" s="219">
        <v>1.6735354996186731</v>
      </c>
      <c r="BT57" s="219">
        <v>1.6667875223951421</v>
      </c>
      <c r="BU57" s="219">
        <v>1.6510249664783809</v>
      </c>
      <c r="BV57" s="219">
        <v>1.644487618523589</v>
      </c>
      <c r="BW57" s="219">
        <v>1.637980732215214</v>
      </c>
      <c r="BX57" s="219">
        <v>1.636650146912533</v>
      </c>
      <c r="BY57" s="219">
        <v>1.6353353493991769</v>
      </c>
      <c r="BZ57" s="219">
        <v>1.6340327491971609</v>
      </c>
      <c r="CA57" s="219">
        <v>1.632742117781969</v>
      </c>
      <c r="CB57" s="219">
        <v>1.6314633834208989</v>
      </c>
      <c r="CC57" s="33">
        <v>23.855701051126179</v>
      </c>
      <c r="CD57" s="219">
        <v>23.665805581788391</v>
      </c>
      <c r="CE57" s="219">
        <v>23.472706162131342</v>
      </c>
      <c r="CF57" s="219">
        <v>22.99357641436184</v>
      </c>
      <c r="CG57" s="219">
        <v>22.794048772490509</v>
      </c>
      <c r="CH57" s="219">
        <v>22.59103266935162</v>
      </c>
      <c r="CI57" s="219">
        <v>22.37431484826201</v>
      </c>
      <c r="CJ57" s="219">
        <v>22.158721027334479</v>
      </c>
      <c r="CK57" s="219">
        <v>21.752771282451562</v>
      </c>
      <c r="CL57" s="219">
        <v>21.539967521814809</v>
      </c>
      <c r="CM57" s="219">
        <v>21.326515683454311</v>
      </c>
      <c r="CN57" s="219">
        <v>21.109279830218519</v>
      </c>
      <c r="CO57" s="219">
        <v>20.894565168347089</v>
      </c>
      <c r="CP57" s="219">
        <v>20.627294378366582</v>
      </c>
      <c r="CQ57" s="219">
        <v>20.41901468501311</v>
      </c>
      <c r="CR57" s="219">
        <v>20.213330075981531</v>
      </c>
      <c r="CS57" s="219">
        <v>20.05724118790129</v>
      </c>
      <c r="CT57" s="219">
        <v>19.903411044382072</v>
      </c>
      <c r="CU57" s="219">
        <v>19.711051774975601</v>
      </c>
      <c r="CV57" s="219">
        <v>19.56355336367843</v>
      </c>
      <c r="CW57" s="219">
        <v>19.419282650953409</v>
      </c>
      <c r="CX57" s="219">
        <v>19.381274217474051</v>
      </c>
      <c r="CY57" s="219">
        <v>19.34344479862353</v>
      </c>
      <c r="CZ57" s="219">
        <v>19.306009485975071</v>
      </c>
      <c r="DA57" s="219">
        <v>19.26897274884934</v>
      </c>
      <c r="DB57" s="219">
        <v>19.232343276260231</v>
      </c>
    </row>
    <row r="58" spans="1:106" x14ac:dyDescent="0.35">
      <c r="A58" s="137" t="s">
        <v>551</v>
      </c>
      <c r="B58" s="130" t="s">
        <v>545</v>
      </c>
      <c r="C58" s="33">
        <v>1.009799682382668E-3</v>
      </c>
      <c r="D58" s="219">
        <v>1.008468915738961E-3</v>
      </c>
      <c r="E58" s="219">
        <v>1.0071225777687079E-3</v>
      </c>
      <c r="F58" s="219">
        <v>1.008218546148574E-3</v>
      </c>
      <c r="G58" s="219">
        <v>1.0067607775521459E-3</v>
      </c>
      <c r="H58" s="219">
        <v>1.005286292741337E-3</v>
      </c>
      <c r="I58" s="219">
        <v>1.0037289370847531E-3</v>
      </c>
      <c r="J58" s="219">
        <v>1.0022552723067189E-3</v>
      </c>
      <c r="K58" s="219">
        <v>1.0041107465063061E-3</v>
      </c>
      <c r="L58" s="219">
        <v>1.0027181192682839E-3</v>
      </c>
      <c r="M58" s="219">
        <v>1.0013412407415189E-3</v>
      </c>
      <c r="N58" s="219">
        <v>1.0002177646956469E-3</v>
      </c>
      <c r="O58" s="219">
        <v>9.9913060145111784E-4</v>
      </c>
      <c r="P58" s="219">
        <v>9.997039099838784E-4</v>
      </c>
      <c r="Q58" s="219">
        <v>9.9867285384766676E-4</v>
      </c>
      <c r="R58" s="219">
        <v>9.9765882180847545E-4</v>
      </c>
      <c r="S58" s="219">
        <v>9.9712589660908989E-4</v>
      </c>
      <c r="T58" s="219">
        <v>9.9660109335535855E-4</v>
      </c>
      <c r="U58" s="219">
        <v>9.9683457238298567E-4</v>
      </c>
      <c r="V58" s="219">
        <v>9.9632554110711457E-4</v>
      </c>
      <c r="W58" s="219">
        <v>9.9582095272590264E-4</v>
      </c>
      <c r="X58" s="219">
        <v>9.959542716240458E-4</v>
      </c>
      <c r="Y58" s="219">
        <v>9.9598861322091692E-4</v>
      </c>
      <c r="Z58" s="219">
        <v>9.9602323586878367E-4</v>
      </c>
      <c r="AA58" s="219">
        <v>9.9605819857726137E-4</v>
      </c>
      <c r="AB58" s="219">
        <v>9.9609362594050687E-4</v>
      </c>
      <c r="AC58" s="33">
        <v>9.7663386927133201E-7</v>
      </c>
      <c r="AD58" s="219">
        <v>9.7532149538867202E-7</v>
      </c>
      <c r="AE58" s="219">
        <v>9.7400459677788611E-7</v>
      </c>
      <c r="AF58" s="219">
        <v>9.7013004593408514E-7</v>
      </c>
      <c r="AG58" s="219">
        <v>9.6877552093672873E-7</v>
      </c>
      <c r="AH58" s="219">
        <v>9.6741541293800709E-7</v>
      </c>
      <c r="AI58" s="219">
        <v>9.6584587010229033E-7</v>
      </c>
      <c r="AJ58" s="219">
        <v>9.6431258122240589E-7</v>
      </c>
      <c r="AK58" s="219">
        <v>9.6298967848064754E-7</v>
      </c>
      <c r="AL58" s="219">
        <v>9.61504127122621E-7</v>
      </c>
      <c r="AM58" s="219">
        <v>9.6001715893650663E-7</v>
      </c>
      <c r="AN58" s="219">
        <v>9.5839292769638229E-7</v>
      </c>
      <c r="AO58" s="219">
        <v>9.5677768071682008E-7</v>
      </c>
      <c r="AP58" s="219">
        <v>9.5559608105211739E-7</v>
      </c>
      <c r="AQ58" s="219">
        <v>9.5401400051150674E-7</v>
      </c>
      <c r="AR58" s="219">
        <v>9.5243963892626016E-7</v>
      </c>
      <c r="AS58" s="219">
        <v>9.5121425715349448E-7</v>
      </c>
      <c r="AT58" s="219">
        <v>9.5000057815457874E-7</v>
      </c>
      <c r="AU58" s="219">
        <v>9.4915058725554673E-7</v>
      </c>
      <c r="AV58" s="219">
        <v>9.479763173422007E-7</v>
      </c>
      <c r="AW58" s="219">
        <v>9.4681339259229739E-7</v>
      </c>
      <c r="AX58" s="219">
        <v>9.467144029087229E-7</v>
      </c>
      <c r="AY58" s="219">
        <v>9.4640948221951032E-7</v>
      </c>
      <c r="AZ58" s="219">
        <v>9.4610630170870105E-7</v>
      </c>
      <c r="BA58" s="219">
        <v>9.4580487214481723E-7</v>
      </c>
      <c r="BB58" s="219">
        <v>9.4550525091224271E-7</v>
      </c>
      <c r="BC58" s="33">
        <v>1.1237100730577261</v>
      </c>
      <c r="BD58" s="219">
        <v>1.121593610705846</v>
      </c>
      <c r="BE58" s="219">
        <v>1.11948294743627</v>
      </c>
      <c r="BF58" s="219">
        <v>1.0899698878658299</v>
      </c>
      <c r="BG58" s="219">
        <v>1.087967716939372</v>
      </c>
      <c r="BH58" s="219">
        <v>1.0859702830885489</v>
      </c>
      <c r="BI58" s="219">
        <v>1.082609032817466</v>
      </c>
      <c r="BJ58" s="219">
        <v>1.079291267190627</v>
      </c>
      <c r="BK58" s="219">
        <v>1.055951527800937</v>
      </c>
      <c r="BL58" s="219">
        <v>1.0529236321107309</v>
      </c>
      <c r="BM58" s="219">
        <v>1.049913790394547</v>
      </c>
      <c r="BN58" s="219">
        <v>1.045597780213154</v>
      </c>
      <c r="BO58" s="219">
        <v>1.041308086890274</v>
      </c>
      <c r="BP58" s="219">
        <v>1.0308938767567679</v>
      </c>
      <c r="BQ58" s="219">
        <v>1.026763953562051</v>
      </c>
      <c r="BR58" s="219">
        <v>1.0226602524657</v>
      </c>
      <c r="BS58" s="219">
        <v>1.019296457465096</v>
      </c>
      <c r="BT58" s="219">
        <v>1.015950407656508</v>
      </c>
      <c r="BU58" s="219">
        <v>1.006893236757249</v>
      </c>
      <c r="BV58" s="219">
        <v>1.0036633075397801</v>
      </c>
      <c r="BW58" s="219">
        <v>1.000449762327047</v>
      </c>
      <c r="BX58" s="219">
        <v>0.99984487662145471</v>
      </c>
      <c r="BY58" s="219">
        <v>0.99924354863051679</v>
      </c>
      <c r="BZ58" s="219">
        <v>0.99864494608203835</v>
      </c>
      <c r="CA58" s="219">
        <v>0.99804902585087185</v>
      </c>
      <c r="CB58" s="219">
        <v>0.99745579079646496</v>
      </c>
      <c r="CC58" s="33">
        <v>7.0633231362943656</v>
      </c>
      <c r="CD58" s="219">
        <v>7.0278062177815421</v>
      </c>
      <c r="CE58" s="219">
        <v>6.9924297053387319</v>
      </c>
      <c r="CF58" s="219">
        <v>6.7794954469826836</v>
      </c>
      <c r="CG58" s="219">
        <v>6.7445698713808007</v>
      </c>
      <c r="CH58" s="219">
        <v>6.7097282508818017</v>
      </c>
      <c r="CI58" s="219">
        <v>6.651707612573091</v>
      </c>
      <c r="CJ58" s="219">
        <v>6.5948829161336953</v>
      </c>
      <c r="CK58" s="219">
        <v>6.4181957830168459</v>
      </c>
      <c r="CL58" s="219">
        <v>6.3643663462484348</v>
      </c>
      <c r="CM58" s="219">
        <v>6.3108159559697574</v>
      </c>
      <c r="CN58" s="219">
        <v>6.2431124109195402</v>
      </c>
      <c r="CO58" s="219">
        <v>6.1759854540111379</v>
      </c>
      <c r="CP58" s="219">
        <v>6.0745549440152073</v>
      </c>
      <c r="CQ58" s="219">
        <v>6.0094422570584918</v>
      </c>
      <c r="CR58" s="219">
        <v>5.9448875968905881</v>
      </c>
      <c r="CS58" s="219">
        <v>5.8905617579354628</v>
      </c>
      <c r="CT58" s="219">
        <v>5.8368036527027103</v>
      </c>
      <c r="CU58" s="219">
        <v>5.7578014311251451</v>
      </c>
      <c r="CV58" s="219">
        <v>5.7060169314466744</v>
      </c>
      <c r="CW58" s="219">
        <v>5.6548384307624344</v>
      </c>
      <c r="CX58" s="219">
        <v>5.6410939516784344</v>
      </c>
      <c r="CY58" s="219">
        <v>5.6273164705463943</v>
      </c>
      <c r="CZ58" s="219">
        <v>5.6136135823349784</v>
      </c>
      <c r="DA58" s="219">
        <v>5.5999857476329256</v>
      </c>
      <c r="DB58" s="219">
        <v>5.586434150964191</v>
      </c>
    </row>
    <row r="59" spans="1:106" x14ac:dyDescent="0.35">
      <c r="A59" s="137" t="s">
        <v>552</v>
      </c>
      <c r="B59" s="130" t="s">
        <v>545</v>
      </c>
      <c r="C59" s="33">
        <v>1.7443330134892161E-3</v>
      </c>
      <c r="D59" s="219">
        <v>1.7434116572807769E-3</v>
      </c>
      <c r="E59" s="219">
        <v>1.742473815445171E-3</v>
      </c>
      <c r="F59" s="219">
        <v>1.7424917675922711E-3</v>
      </c>
      <c r="G59" s="219">
        <v>1.7414882403237091E-3</v>
      </c>
      <c r="H59" s="219">
        <v>1.7404666503961479E-3</v>
      </c>
      <c r="I59" s="219">
        <v>1.7394736722336789E-3</v>
      </c>
      <c r="J59" s="219">
        <v>1.738512858955361E-3</v>
      </c>
      <c r="K59" s="219">
        <v>1.7388714353846629E-3</v>
      </c>
      <c r="L59" s="219">
        <v>1.7379352499710941E-3</v>
      </c>
      <c r="M59" s="219">
        <v>1.736999999760214E-3</v>
      </c>
      <c r="N59" s="219">
        <v>1.736316214086271E-3</v>
      </c>
      <c r="O59" s="219">
        <v>1.7356495189219949E-3</v>
      </c>
      <c r="P59" s="219">
        <v>1.7356456850022091E-3</v>
      </c>
      <c r="Q59" s="219">
        <v>1.73500484729572E-3</v>
      </c>
      <c r="R59" s="219">
        <v>1.734371598984626E-3</v>
      </c>
      <c r="S59" s="219">
        <v>1.7340406200805241E-3</v>
      </c>
      <c r="T59" s="219">
        <v>1.733714279397103E-3</v>
      </c>
      <c r="U59" s="219">
        <v>1.733691824501903E-3</v>
      </c>
      <c r="V59" s="219">
        <v>1.7333742956334309E-3</v>
      </c>
      <c r="W59" s="219">
        <v>1.7330595797278711E-3</v>
      </c>
      <c r="X59" s="219">
        <v>1.733102265503752E-3</v>
      </c>
      <c r="Y59" s="219">
        <v>1.7330966197548049E-3</v>
      </c>
      <c r="Z59" s="219">
        <v>1.733091549546898E-3</v>
      </c>
      <c r="AA59" s="219">
        <v>1.7330870984460761E-3</v>
      </c>
      <c r="AB59" s="219">
        <v>1.733083353822744E-3</v>
      </c>
      <c r="AC59" s="33">
        <v>2.2831875456638702E-6</v>
      </c>
      <c r="AD59" s="219">
        <v>2.2823332483637778E-6</v>
      </c>
      <c r="AE59" s="219">
        <v>2.2814694535503852E-6</v>
      </c>
      <c r="AF59" s="219">
        <v>2.279580127039341E-6</v>
      </c>
      <c r="AG59" s="219">
        <v>2.2786856223100759E-6</v>
      </c>
      <c r="AH59" s="219">
        <v>2.277780821626689E-6</v>
      </c>
      <c r="AI59" s="219">
        <v>2.2768568475442788E-6</v>
      </c>
      <c r="AJ59" s="219">
        <v>2.275945475553586E-6</v>
      </c>
      <c r="AK59" s="219">
        <v>2.275115455458553E-6</v>
      </c>
      <c r="AL59" s="219">
        <v>2.2742159543416548E-6</v>
      </c>
      <c r="AM59" s="219">
        <v>2.2733114722815991E-6</v>
      </c>
      <c r="AN59" s="219">
        <v>2.272423538360823E-6</v>
      </c>
      <c r="AO59" s="219">
        <v>2.2715407860893829E-6</v>
      </c>
      <c r="AP59" s="219">
        <v>2.2708324312912391E-6</v>
      </c>
      <c r="AQ59" s="219">
        <v>2.2699658471647621E-6</v>
      </c>
      <c r="AR59" s="219">
        <v>2.2691037524818602E-6</v>
      </c>
      <c r="AS59" s="219">
        <v>2.268470455672991E-6</v>
      </c>
      <c r="AT59" s="219">
        <v>2.2678437438275771E-6</v>
      </c>
      <c r="AU59" s="219">
        <v>2.2673640654889138E-6</v>
      </c>
      <c r="AV59" s="219">
        <v>2.2667579231025418E-6</v>
      </c>
      <c r="AW59" s="219">
        <v>2.266160159202493E-6</v>
      </c>
      <c r="AX59" s="219">
        <v>2.266117352443008E-6</v>
      </c>
      <c r="AY59" s="219">
        <v>2.265968035915658E-6</v>
      </c>
      <c r="AZ59" s="219">
        <v>2.2658199019475551E-6</v>
      </c>
      <c r="BA59" s="219">
        <v>2.265672978316104E-6</v>
      </c>
      <c r="BB59" s="219">
        <v>2.2655273279815289E-6</v>
      </c>
      <c r="BC59" s="33">
        <v>0.44660346356479519</v>
      </c>
      <c r="BD59" s="219">
        <v>0.44567428832388578</v>
      </c>
      <c r="BE59" s="219">
        <v>0.44473824737962048</v>
      </c>
      <c r="BF59" s="219">
        <v>0.43291378580513729</v>
      </c>
      <c r="BG59" s="219">
        <v>0.4320015326586002</v>
      </c>
      <c r="BH59" s="219">
        <v>0.43108083179967288</v>
      </c>
      <c r="BI59" s="219">
        <v>0.42979189900342207</v>
      </c>
      <c r="BJ59" s="219">
        <v>0.42851677693818829</v>
      </c>
      <c r="BK59" s="219">
        <v>0.41929239371094801</v>
      </c>
      <c r="BL59" s="219">
        <v>0.41812301515235523</v>
      </c>
      <c r="BM59" s="219">
        <v>0.4169553913867815</v>
      </c>
      <c r="BN59" s="219">
        <v>0.41519590210326268</v>
      </c>
      <c r="BO59" s="219">
        <v>0.41344613498600769</v>
      </c>
      <c r="BP59" s="219">
        <v>0.40926512175640151</v>
      </c>
      <c r="BQ59" s="219">
        <v>0.40757691854666162</v>
      </c>
      <c r="BR59" s="219">
        <v>0.40589774500976611</v>
      </c>
      <c r="BS59" s="219">
        <v>0.40450833039403911</v>
      </c>
      <c r="BT59" s="219">
        <v>0.40312575287622893</v>
      </c>
      <c r="BU59" s="219">
        <v>0.39947665933962923</v>
      </c>
      <c r="BV59" s="219">
        <v>0.39814023397862019</v>
      </c>
      <c r="BW59" s="219">
        <v>0.39680931047972018</v>
      </c>
      <c r="BX59" s="219">
        <v>0.39655414536021272</v>
      </c>
      <c r="BY59" s="219">
        <v>0.39630087121492652</v>
      </c>
      <c r="BZ59" s="219">
        <v>0.39604903478518622</v>
      </c>
      <c r="CA59" s="219">
        <v>0.39579861091332591</v>
      </c>
      <c r="CB59" s="219">
        <v>0.39554960028494313</v>
      </c>
      <c r="CC59" s="33">
        <v>23.402625005830082</v>
      </c>
      <c r="CD59" s="219">
        <v>23.380489618249008</v>
      </c>
      <c r="CE59" s="219">
        <v>23.35826793434633</v>
      </c>
      <c r="CF59" s="219">
        <v>23.265401847327201</v>
      </c>
      <c r="CG59" s="219">
        <v>23.243068217591681</v>
      </c>
      <c r="CH59" s="219">
        <v>23.220626171527289</v>
      </c>
      <c r="CI59" s="219">
        <v>23.190512359637811</v>
      </c>
      <c r="CJ59" s="219">
        <v>23.160870971612741</v>
      </c>
      <c r="CK59" s="219">
        <v>23.083640727436819</v>
      </c>
      <c r="CL59" s="219">
        <v>23.055098264103179</v>
      </c>
      <c r="CM59" s="219">
        <v>23.026601773551558</v>
      </c>
      <c r="CN59" s="219">
        <v>22.992645248728198</v>
      </c>
      <c r="CO59" s="219">
        <v>22.958988559578518</v>
      </c>
      <c r="CP59" s="219">
        <v>22.911791867721149</v>
      </c>
      <c r="CQ59" s="219">
        <v>22.87908554056661</v>
      </c>
      <c r="CR59" s="219">
        <v>22.846688826632569</v>
      </c>
      <c r="CS59" s="219">
        <v>22.820431083701429</v>
      </c>
      <c r="CT59" s="219">
        <v>22.7944734077319</v>
      </c>
      <c r="CU59" s="219">
        <v>22.758582981565581</v>
      </c>
      <c r="CV59" s="219">
        <v>22.73361815452467</v>
      </c>
      <c r="CW59" s="219">
        <v>22.709079075451751</v>
      </c>
      <c r="CX59" s="219">
        <v>22.702785589158889</v>
      </c>
      <c r="CY59" s="219">
        <v>22.696470757431769</v>
      </c>
      <c r="CZ59" s="219">
        <v>22.690199280358701</v>
      </c>
      <c r="DA59" s="219">
        <v>22.683971971680389</v>
      </c>
      <c r="DB59" s="219">
        <v>22.677790293100099</v>
      </c>
    </row>
    <row r="60" spans="1:106" x14ac:dyDescent="0.35">
      <c r="A60" s="137" t="s">
        <v>553</v>
      </c>
      <c r="B60" s="130" t="s">
        <v>545</v>
      </c>
      <c r="C60" s="33">
        <v>6.5952431522952335E-4</v>
      </c>
      <c r="D60" s="219">
        <v>6.5922978609984082E-4</v>
      </c>
      <c r="E60" s="219">
        <v>6.5893190528020298E-4</v>
      </c>
      <c r="F60" s="219">
        <v>6.5922790527077834E-4</v>
      </c>
      <c r="G60" s="219">
        <v>6.5890340397056345E-4</v>
      </c>
      <c r="H60" s="219">
        <v>6.5857514644220591E-4</v>
      </c>
      <c r="I60" s="219">
        <v>6.5814631304884929E-4</v>
      </c>
      <c r="J60" s="219">
        <v>6.5775438144839553E-4</v>
      </c>
      <c r="K60" s="219">
        <v>6.5815255765661149E-4</v>
      </c>
      <c r="L60" s="219">
        <v>6.5779643764720666E-4</v>
      </c>
      <c r="M60" s="219">
        <v>6.5744823090283769E-4</v>
      </c>
      <c r="N60" s="219">
        <v>6.5716382612359314E-4</v>
      </c>
      <c r="O60" s="219">
        <v>6.5689413343777807E-4</v>
      </c>
      <c r="P60" s="219">
        <v>6.570086768137133E-4</v>
      </c>
      <c r="Q60" s="219">
        <v>6.5676050577743821E-4</v>
      </c>
      <c r="R60" s="219">
        <v>6.5651884060117193E-4</v>
      </c>
      <c r="S60" s="219">
        <v>6.564035440316489E-4</v>
      </c>
      <c r="T60" s="219">
        <v>6.5629100304057564E-4</v>
      </c>
      <c r="U60" s="219">
        <v>6.563463982144069E-4</v>
      </c>
      <c r="V60" s="219">
        <v>6.5623813650973414E-4</v>
      </c>
      <c r="W60" s="219">
        <v>6.5613098047927719E-4</v>
      </c>
      <c r="X60" s="219">
        <v>6.5619703911699314E-4</v>
      </c>
      <c r="Y60" s="219">
        <v>6.5623244745392241E-4</v>
      </c>
      <c r="Z60" s="219">
        <v>6.5626781957486412E-4</v>
      </c>
      <c r="AA60" s="219">
        <v>6.5630319438792764E-4</v>
      </c>
      <c r="AB60" s="219">
        <v>6.5633863941334163E-4</v>
      </c>
      <c r="AC60" s="33">
        <v>3.991821603992933E-7</v>
      </c>
      <c r="AD60" s="219">
        <v>3.9887083137721301E-7</v>
      </c>
      <c r="AE60" s="219">
        <v>3.98558428748086E-7</v>
      </c>
      <c r="AF60" s="219">
        <v>3.9766165769564249E-7</v>
      </c>
      <c r="AG60" s="219">
        <v>3.973407887714552E-7</v>
      </c>
      <c r="AH60" s="219">
        <v>3.9701884316244888E-7</v>
      </c>
      <c r="AI60" s="219">
        <v>3.9664599366489261E-7</v>
      </c>
      <c r="AJ60" s="219">
        <v>3.9628888710748382E-7</v>
      </c>
      <c r="AK60" s="219">
        <v>3.95980901086423E-7</v>
      </c>
      <c r="AL60" s="219">
        <v>3.9563835875755899E-7</v>
      </c>
      <c r="AM60" s="219">
        <v>3.9529496396714999E-7</v>
      </c>
      <c r="AN60" s="219">
        <v>3.9492544736817881E-7</v>
      </c>
      <c r="AO60" s="219">
        <v>3.9455788745808449E-7</v>
      </c>
      <c r="AP60" s="219">
        <v>3.9428635130268099E-7</v>
      </c>
      <c r="AQ60" s="219">
        <v>3.9392614453956742E-7</v>
      </c>
      <c r="AR60" s="219">
        <v>3.9356744994317771E-7</v>
      </c>
      <c r="AS60" s="219">
        <v>3.9328456740839109E-7</v>
      </c>
      <c r="AT60" s="219">
        <v>3.9300475269211752E-7</v>
      </c>
      <c r="AU60" s="219">
        <v>3.9280620620896952E-7</v>
      </c>
      <c r="AV60" s="219">
        <v>3.9253649985332201E-7</v>
      </c>
      <c r="AW60" s="219">
        <v>3.9227086930147018E-7</v>
      </c>
      <c r="AX60" s="219">
        <v>3.9225524665490862E-7</v>
      </c>
      <c r="AY60" s="219">
        <v>3.9219318554692799E-7</v>
      </c>
      <c r="AZ60" s="219">
        <v>3.9213149318085993E-7</v>
      </c>
      <c r="BA60" s="219">
        <v>3.9207019239858951E-7</v>
      </c>
      <c r="BB60" s="219">
        <v>3.9200932995566892E-7</v>
      </c>
      <c r="BC60" s="33">
        <v>0.20588578413318179</v>
      </c>
      <c r="BD60" s="219">
        <v>0.20547642226726379</v>
      </c>
      <c r="BE60" s="219">
        <v>0.20506610921689519</v>
      </c>
      <c r="BF60" s="219">
        <v>0.1982351245397638</v>
      </c>
      <c r="BG60" s="219">
        <v>0.19784541835995331</v>
      </c>
      <c r="BH60" s="219">
        <v>0.19745385678237831</v>
      </c>
      <c r="BI60" s="219">
        <v>0.1967033641976462</v>
      </c>
      <c r="BJ60" s="219">
        <v>0.19596519043736299</v>
      </c>
      <c r="BK60" s="219">
        <v>0.19051335026150229</v>
      </c>
      <c r="BL60" s="219">
        <v>0.18983989476008559</v>
      </c>
      <c r="BM60" s="219">
        <v>0.18916725974986201</v>
      </c>
      <c r="BN60" s="219">
        <v>0.18818496783771879</v>
      </c>
      <c r="BO60" s="219">
        <v>0.18720522041222309</v>
      </c>
      <c r="BP60" s="219">
        <v>0.1847777112677054</v>
      </c>
      <c r="BQ60" s="219">
        <v>0.18382789452139209</v>
      </c>
      <c r="BR60" s="219">
        <v>0.18288008040528839</v>
      </c>
      <c r="BS60" s="219">
        <v>0.1820923673292052</v>
      </c>
      <c r="BT60" s="219">
        <v>0.18130705438335731</v>
      </c>
      <c r="BU60" s="219">
        <v>0.17917387776672589</v>
      </c>
      <c r="BV60" s="219">
        <v>0.17841210018836129</v>
      </c>
      <c r="BW60" s="219">
        <v>0.17765159617703041</v>
      </c>
      <c r="BX60" s="219">
        <v>0.17755055717036081</v>
      </c>
      <c r="BY60" s="219">
        <v>0.17745011854551121</v>
      </c>
      <c r="BZ60" s="219">
        <v>0.1773500985559717</v>
      </c>
      <c r="CA60" s="219">
        <v>0.1772504828934679</v>
      </c>
      <c r="CB60" s="219">
        <v>0.17715127687504401</v>
      </c>
      <c r="CC60" s="33">
        <v>0.93192117912534689</v>
      </c>
      <c r="CD60" s="219">
        <v>0.92302725921194584</v>
      </c>
      <c r="CE60" s="219">
        <v>0.91415653075853498</v>
      </c>
      <c r="CF60" s="219">
        <v>0.86375141471065975</v>
      </c>
      <c r="CG60" s="219">
        <v>0.85498570721818723</v>
      </c>
      <c r="CH60" s="219">
        <v>0.84624548129677779</v>
      </c>
      <c r="CI60" s="219">
        <v>0.83282047525064085</v>
      </c>
      <c r="CJ60" s="219">
        <v>0.81982606272779446</v>
      </c>
      <c r="CK60" s="219">
        <v>0.7786561724438561</v>
      </c>
      <c r="CL60" s="219">
        <v>0.76640486442191968</v>
      </c>
      <c r="CM60" s="219">
        <v>0.75418835159926212</v>
      </c>
      <c r="CN60" s="219">
        <v>0.73882111833101827</v>
      </c>
      <c r="CO60" s="219">
        <v>0.72356519547308085</v>
      </c>
      <c r="CP60" s="219">
        <v>0.70019293837906094</v>
      </c>
      <c r="CQ60" s="219">
        <v>0.68537074423704158</v>
      </c>
      <c r="CR60" s="219">
        <v>0.67066822043492136</v>
      </c>
      <c r="CS60" s="219">
        <v>0.65828629227711211</v>
      </c>
      <c r="CT60" s="219">
        <v>0.64603957503300191</v>
      </c>
      <c r="CU60" s="219">
        <v>0.62786531665360368</v>
      </c>
      <c r="CV60" s="219">
        <v>0.6161197716718767</v>
      </c>
      <c r="CW60" s="219">
        <v>0.60459206847025526</v>
      </c>
      <c r="CX60" s="219">
        <v>0.6019090368311355</v>
      </c>
      <c r="CY60" s="219">
        <v>0.59917915757702678</v>
      </c>
      <c r="CZ60" s="219">
        <v>0.59646303410401891</v>
      </c>
      <c r="DA60" s="219">
        <v>0.59376131311437297</v>
      </c>
      <c r="DB60" s="219">
        <v>0.59107512116728156</v>
      </c>
    </row>
    <row r="61" spans="1:106" x14ac:dyDescent="0.35">
      <c r="A61" s="137" t="s">
        <v>554</v>
      </c>
      <c r="B61" s="130" t="s">
        <v>545</v>
      </c>
      <c r="C61" s="33">
        <v>4.3554098133733458E-4</v>
      </c>
      <c r="D61" s="219">
        <v>4.3522885916920932E-4</v>
      </c>
      <c r="E61" s="219">
        <v>4.3491025344580221E-4</v>
      </c>
      <c r="F61" s="219">
        <v>4.3482072039318151E-4</v>
      </c>
      <c r="G61" s="219">
        <v>4.3448098824914999E-4</v>
      </c>
      <c r="H61" s="219">
        <v>4.3413418622228708E-4</v>
      </c>
      <c r="I61" s="219">
        <v>4.338127719680529E-4</v>
      </c>
      <c r="J61" s="219">
        <v>4.3349799824191228E-4</v>
      </c>
      <c r="K61" s="219">
        <v>4.3350621149604871E-4</v>
      </c>
      <c r="L61" s="219">
        <v>4.3319490264747302E-4</v>
      </c>
      <c r="M61" s="219">
        <v>4.3288253290207272E-4</v>
      </c>
      <c r="N61" s="219">
        <v>4.3266733121856752E-4</v>
      </c>
      <c r="O61" s="219">
        <v>4.3245664949973298E-4</v>
      </c>
      <c r="P61" s="219">
        <v>4.3241046323519699E-4</v>
      </c>
      <c r="Q61" s="219">
        <v>4.3220672665044921E-4</v>
      </c>
      <c r="R61" s="219">
        <v>4.3200516224686851E-4</v>
      </c>
      <c r="S61" s="219">
        <v>4.3189993644273728E-4</v>
      </c>
      <c r="T61" s="219">
        <v>4.3179612883325919E-4</v>
      </c>
      <c r="U61" s="219">
        <v>4.3176867388839541E-4</v>
      </c>
      <c r="V61" s="219">
        <v>4.3166755612778022E-4</v>
      </c>
      <c r="W61" s="219">
        <v>4.3156740051890108E-4</v>
      </c>
      <c r="X61" s="219">
        <v>4.3157674091983702E-4</v>
      </c>
      <c r="Y61" s="219">
        <v>4.3156997665564609E-4</v>
      </c>
      <c r="Z61" s="219">
        <v>4.3156343798749229E-4</v>
      </c>
      <c r="AA61" s="219">
        <v>4.3155713161849529E-4</v>
      </c>
      <c r="AB61" s="219">
        <v>4.315510752955889E-4</v>
      </c>
      <c r="AC61" s="33">
        <v>7.4250104631238995E-7</v>
      </c>
      <c r="AD61" s="219">
        <v>7.4222601329514766E-7</v>
      </c>
      <c r="AE61" s="219">
        <v>7.4194681896295496E-7</v>
      </c>
      <c r="AF61" s="219">
        <v>7.414117809091523E-7</v>
      </c>
      <c r="AG61" s="219">
        <v>7.4112124107458597E-7</v>
      </c>
      <c r="AH61" s="219">
        <v>7.4082615505142408E-7</v>
      </c>
      <c r="AI61" s="219">
        <v>7.4053447226402234E-7</v>
      </c>
      <c r="AJ61" s="219">
        <v>7.4024507319688629E-7</v>
      </c>
      <c r="AK61" s="219">
        <v>7.3997538923030147E-7</v>
      </c>
      <c r="AL61" s="219">
        <v>7.3968723236544246E-7</v>
      </c>
      <c r="AM61" s="219">
        <v>7.3939702177638485E-7</v>
      </c>
      <c r="AN61" s="219">
        <v>7.3912713249978713E-7</v>
      </c>
      <c r="AO61" s="219">
        <v>7.3885891492149092E-7</v>
      </c>
      <c r="AP61" s="219">
        <v>7.3863469089957383E-7</v>
      </c>
      <c r="AQ61" s="219">
        <v>7.3837118764556201E-7</v>
      </c>
      <c r="AR61" s="219">
        <v>7.3810914147051917E-7</v>
      </c>
      <c r="AS61" s="219">
        <v>7.3792143080510776E-7</v>
      </c>
      <c r="AT61" s="219">
        <v>7.3773564054205265E-7</v>
      </c>
      <c r="AU61" s="219">
        <v>7.3758682707028595E-7</v>
      </c>
      <c r="AV61" s="219">
        <v>7.374065611194163E-7</v>
      </c>
      <c r="AW61" s="219">
        <v>7.3722846439202255E-7</v>
      </c>
      <c r="AX61" s="219">
        <v>7.3722299260727708E-7</v>
      </c>
      <c r="AY61" s="219">
        <v>7.3717930082930581E-7</v>
      </c>
      <c r="AZ61" s="219">
        <v>7.3713598607030235E-7</v>
      </c>
      <c r="BA61" s="219">
        <v>7.3709305101567413E-7</v>
      </c>
      <c r="BB61" s="219">
        <v>7.3705050663069399E-7</v>
      </c>
      <c r="BC61" s="33">
        <v>0.1153340566061056</v>
      </c>
      <c r="BD61" s="219">
        <v>0.11505761105141631</v>
      </c>
      <c r="BE61" s="219">
        <v>0.1147780352584129</v>
      </c>
      <c r="BF61" s="219">
        <v>0.1118224021272914</v>
      </c>
      <c r="BG61" s="219">
        <v>0.1115457775969725</v>
      </c>
      <c r="BH61" s="219">
        <v>0.1112656499134773</v>
      </c>
      <c r="BI61" s="219">
        <v>0.11093892002530301</v>
      </c>
      <c r="BJ61" s="219">
        <v>0.1106148461660147</v>
      </c>
      <c r="BK61" s="219">
        <v>0.1083407469261521</v>
      </c>
      <c r="BL61" s="219">
        <v>0.10804112179357871</v>
      </c>
      <c r="BM61" s="219">
        <v>0.1077412062144186</v>
      </c>
      <c r="BN61" s="219">
        <v>0.1072835618724028</v>
      </c>
      <c r="BO61" s="219">
        <v>0.10682857390261651</v>
      </c>
      <c r="BP61" s="219">
        <v>0.1057780407751497</v>
      </c>
      <c r="BQ61" s="219">
        <v>0.1053387186991926</v>
      </c>
      <c r="BR61" s="219">
        <v>0.1049019197453224</v>
      </c>
      <c r="BS61" s="219">
        <v>0.1045388409086023</v>
      </c>
      <c r="BT61" s="219">
        <v>0.10417755897776949</v>
      </c>
      <c r="BU61" s="219">
        <v>0.1032608604866968</v>
      </c>
      <c r="BV61" s="219">
        <v>0.1029111002471368</v>
      </c>
      <c r="BW61" s="219">
        <v>0.1025628690325637</v>
      </c>
      <c r="BX61" s="219">
        <v>0.1024925396010949</v>
      </c>
      <c r="BY61" s="219">
        <v>0.1024228002967785</v>
      </c>
      <c r="BZ61" s="219">
        <v>0.1023535107599168</v>
      </c>
      <c r="CA61" s="219">
        <v>0.10228466236576519</v>
      </c>
      <c r="CB61" s="219">
        <v>0.1022162534337408</v>
      </c>
      <c r="CC61" s="33">
        <v>5.5781435497601324</v>
      </c>
      <c r="CD61" s="219">
        <v>5.571338162833066</v>
      </c>
      <c r="CE61" s="219">
        <v>5.5644777440756172</v>
      </c>
      <c r="CF61" s="219">
        <v>5.5402208983752921</v>
      </c>
      <c r="CG61" s="219">
        <v>5.5332592414950286</v>
      </c>
      <c r="CH61" s="219">
        <v>5.526231140207603</v>
      </c>
      <c r="CI61" s="219">
        <v>5.5172819572992262</v>
      </c>
      <c r="CJ61" s="219">
        <v>5.5084416944641594</v>
      </c>
      <c r="CK61" s="219">
        <v>5.4879276309332372</v>
      </c>
      <c r="CL61" s="219">
        <v>5.4793402263848439</v>
      </c>
      <c r="CM61" s="219">
        <v>5.4707554028875141</v>
      </c>
      <c r="CN61" s="219">
        <v>5.460833243370721</v>
      </c>
      <c r="CO61" s="219">
        <v>5.4510022916484759</v>
      </c>
      <c r="CP61" s="219">
        <v>5.4378709318219371</v>
      </c>
      <c r="CQ61" s="219">
        <v>5.4283059702935628</v>
      </c>
      <c r="CR61" s="219">
        <v>5.4188317938839026</v>
      </c>
      <c r="CS61" s="219">
        <v>5.4112728603038986</v>
      </c>
      <c r="CT61" s="219">
        <v>5.4037981069801004</v>
      </c>
      <c r="CU61" s="219">
        <v>5.3938954407004731</v>
      </c>
      <c r="CV61" s="219">
        <v>5.3866786828887827</v>
      </c>
      <c r="CW61" s="219">
        <v>5.3795664893903501</v>
      </c>
      <c r="CX61" s="219">
        <v>5.3777887990236239</v>
      </c>
      <c r="CY61" s="219">
        <v>5.3760040963486757</v>
      </c>
      <c r="CZ61" s="219">
        <v>5.3742328013878646</v>
      </c>
      <c r="DA61" s="219">
        <v>5.372475015797618</v>
      </c>
      <c r="DB61" s="219">
        <v>5.3707309785205153</v>
      </c>
    </row>
    <row r="62" spans="1:106" x14ac:dyDescent="0.35">
      <c r="A62" s="137" t="s">
        <v>555</v>
      </c>
      <c r="B62" s="130" t="s">
        <v>545</v>
      </c>
      <c r="C62" s="33">
        <v>8.7108196267466926E-4</v>
      </c>
      <c r="D62" s="219">
        <v>8.7045771833841852E-4</v>
      </c>
      <c r="E62" s="219">
        <v>8.6982050689160442E-4</v>
      </c>
      <c r="F62" s="219">
        <v>8.6964144078636302E-4</v>
      </c>
      <c r="G62" s="219">
        <v>8.6896197649829999E-4</v>
      </c>
      <c r="H62" s="219">
        <v>8.6826837244457426E-4</v>
      </c>
      <c r="I62" s="219">
        <v>8.6762554393610581E-4</v>
      </c>
      <c r="J62" s="219">
        <v>8.6699599648382456E-4</v>
      </c>
      <c r="K62" s="219">
        <v>8.6701242299209731E-4</v>
      </c>
      <c r="L62" s="219">
        <v>8.6638980529494592E-4</v>
      </c>
      <c r="M62" s="219">
        <v>8.6576506580414545E-4</v>
      </c>
      <c r="N62" s="219">
        <v>8.6533466243713492E-4</v>
      </c>
      <c r="O62" s="219">
        <v>8.6491329899946606E-4</v>
      </c>
      <c r="P62" s="219">
        <v>8.6482092647039409E-4</v>
      </c>
      <c r="Q62" s="219">
        <v>8.644134533008983E-4</v>
      </c>
      <c r="R62" s="219">
        <v>8.6401032449373691E-4</v>
      </c>
      <c r="S62" s="219">
        <v>8.6379987288547468E-4</v>
      </c>
      <c r="T62" s="219">
        <v>8.6359225766651838E-4</v>
      </c>
      <c r="U62" s="219">
        <v>8.6353734777679081E-4</v>
      </c>
      <c r="V62" s="219">
        <v>8.6333511225556033E-4</v>
      </c>
      <c r="W62" s="219">
        <v>8.6313480103780227E-4</v>
      </c>
      <c r="X62" s="219">
        <v>8.6315348183967403E-4</v>
      </c>
      <c r="Y62" s="219">
        <v>8.6313995331129217E-4</v>
      </c>
      <c r="Z62" s="219">
        <v>8.6312687597498469E-4</v>
      </c>
      <c r="AA62" s="219">
        <v>8.6311426323699069E-4</v>
      </c>
      <c r="AB62" s="219">
        <v>8.631021505911778E-4</v>
      </c>
      <c r="AC62" s="33">
        <v>1.4850020926247799E-6</v>
      </c>
      <c r="AD62" s="219">
        <v>1.4844520265902949E-6</v>
      </c>
      <c r="AE62" s="219">
        <v>1.4838936379259099E-6</v>
      </c>
      <c r="AF62" s="219">
        <v>1.482823561818305E-6</v>
      </c>
      <c r="AG62" s="219">
        <v>1.4822424821491719E-6</v>
      </c>
      <c r="AH62" s="219">
        <v>1.481652310102848E-6</v>
      </c>
      <c r="AI62" s="219">
        <v>1.4810689445280451E-6</v>
      </c>
      <c r="AJ62" s="219">
        <v>1.480490146393773E-6</v>
      </c>
      <c r="AK62" s="219">
        <v>1.4799507784606029E-6</v>
      </c>
      <c r="AL62" s="219">
        <v>1.4793744647308849E-6</v>
      </c>
      <c r="AM62" s="219">
        <v>1.4787940435527699E-6</v>
      </c>
      <c r="AN62" s="219">
        <v>1.4782542649995741E-6</v>
      </c>
      <c r="AO62" s="219">
        <v>1.4777178298429821E-6</v>
      </c>
      <c r="AP62" s="219">
        <v>1.4772693817991481E-6</v>
      </c>
      <c r="AQ62" s="219">
        <v>1.476742375291124E-6</v>
      </c>
      <c r="AR62" s="219">
        <v>1.4762182829410379E-6</v>
      </c>
      <c r="AS62" s="219">
        <v>1.4758428616102159E-6</v>
      </c>
      <c r="AT62" s="219">
        <v>1.4754712810841051E-6</v>
      </c>
      <c r="AU62" s="219">
        <v>1.4751736541405719E-6</v>
      </c>
      <c r="AV62" s="219">
        <v>1.474813122238833E-6</v>
      </c>
      <c r="AW62" s="219">
        <v>1.4744569287840451E-6</v>
      </c>
      <c r="AX62" s="219">
        <v>1.4744459852145539E-6</v>
      </c>
      <c r="AY62" s="219">
        <v>1.474358601658612E-6</v>
      </c>
      <c r="AZ62" s="219">
        <v>1.4742719721406049E-6</v>
      </c>
      <c r="BA62" s="219">
        <v>1.474186102031348E-6</v>
      </c>
      <c r="BB62" s="219">
        <v>1.474101013261388E-6</v>
      </c>
      <c r="BC62" s="33">
        <v>0.23066811321221131</v>
      </c>
      <c r="BD62" s="219">
        <v>0.23011522210283261</v>
      </c>
      <c r="BE62" s="219">
        <v>0.22955607051682589</v>
      </c>
      <c r="BF62" s="219">
        <v>0.2236448042545828</v>
      </c>
      <c r="BG62" s="219">
        <v>0.223091555193945</v>
      </c>
      <c r="BH62" s="219">
        <v>0.2225312998269546</v>
      </c>
      <c r="BI62" s="219">
        <v>0.22187784005060601</v>
      </c>
      <c r="BJ62" s="219">
        <v>0.22122969233202941</v>
      </c>
      <c r="BK62" s="219">
        <v>0.2166814938523042</v>
      </c>
      <c r="BL62" s="219">
        <v>0.2160822435871575</v>
      </c>
      <c r="BM62" s="219">
        <v>0.2154824124288372</v>
      </c>
      <c r="BN62" s="219">
        <v>0.21456712374480549</v>
      </c>
      <c r="BO62" s="219">
        <v>0.21365714780523301</v>
      </c>
      <c r="BP62" s="219">
        <v>0.21155608155029931</v>
      </c>
      <c r="BQ62" s="219">
        <v>0.21067743739838521</v>
      </c>
      <c r="BR62" s="219">
        <v>0.20980383949064491</v>
      </c>
      <c r="BS62" s="219">
        <v>0.20907768181720471</v>
      </c>
      <c r="BT62" s="219">
        <v>0.2083551179555391</v>
      </c>
      <c r="BU62" s="219">
        <v>0.20652172097339361</v>
      </c>
      <c r="BV62" s="219">
        <v>0.2058222004942736</v>
      </c>
      <c r="BW62" s="219">
        <v>0.20512573806512749</v>
      </c>
      <c r="BX62" s="219">
        <v>0.20498507920218981</v>
      </c>
      <c r="BY62" s="219">
        <v>0.204845600593557</v>
      </c>
      <c r="BZ62" s="219">
        <v>0.20470702151983361</v>
      </c>
      <c r="CA62" s="219">
        <v>0.20456932473153031</v>
      </c>
      <c r="CB62" s="219">
        <v>0.2044325068674816</v>
      </c>
      <c r="CC62" s="33">
        <v>11.156287099520259</v>
      </c>
      <c r="CD62" s="219">
        <v>11.14267632566613</v>
      </c>
      <c r="CE62" s="219">
        <v>11.128955488151229</v>
      </c>
      <c r="CF62" s="219">
        <v>11.080441796750581</v>
      </c>
      <c r="CG62" s="219">
        <v>11.066518482990061</v>
      </c>
      <c r="CH62" s="219">
        <v>11.05246228041521</v>
      </c>
      <c r="CI62" s="219">
        <v>11.034563914598451</v>
      </c>
      <c r="CJ62" s="219">
        <v>11.016883388928321</v>
      </c>
      <c r="CK62" s="219">
        <v>10.975855261866471</v>
      </c>
      <c r="CL62" s="219">
        <v>10.958680452769689</v>
      </c>
      <c r="CM62" s="219">
        <v>10.94151080577503</v>
      </c>
      <c r="CN62" s="219">
        <v>10.92166648674144</v>
      </c>
      <c r="CO62" s="219">
        <v>10.90200458329695</v>
      </c>
      <c r="CP62" s="219">
        <v>10.875741863643871</v>
      </c>
      <c r="CQ62" s="219">
        <v>10.856611940587131</v>
      </c>
      <c r="CR62" s="219">
        <v>10.83766358776781</v>
      </c>
      <c r="CS62" s="219">
        <v>10.822545720607801</v>
      </c>
      <c r="CT62" s="219">
        <v>10.807596213960201</v>
      </c>
      <c r="CU62" s="219">
        <v>10.78779088140095</v>
      </c>
      <c r="CV62" s="219">
        <v>10.773357365777571</v>
      </c>
      <c r="CW62" s="219">
        <v>10.7591329787807</v>
      </c>
      <c r="CX62" s="219">
        <v>10.75557759804725</v>
      </c>
      <c r="CY62" s="219">
        <v>10.75200819269735</v>
      </c>
      <c r="CZ62" s="219">
        <v>10.748465602775729</v>
      </c>
      <c r="DA62" s="219">
        <v>10.74495003159524</v>
      </c>
      <c r="DB62" s="219">
        <v>10.741461957041031</v>
      </c>
    </row>
    <row r="63" spans="1:106" x14ac:dyDescent="0.35">
      <c r="A63" s="137" t="s">
        <v>556</v>
      </c>
      <c r="B63" s="130" t="s">
        <v>545</v>
      </c>
      <c r="C63" s="33">
        <v>2.4959535578806271E-3</v>
      </c>
      <c r="D63" s="219">
        <v>2.4919199457595939E-3</v>
      </c>
      <c r="E63" s="219">
        <v>2.4878386707597052E-3</v>
      </c>
      <c r="F63" s="219">
        <v>2.491257268281324E-3</v>
      </c>
      <c r="G63" s="219">
        <v>2.4868340755227519E-3</v>
      </c>
      <c r="H63" s="219">
        <v>2.482359822553373E-3</v>
      </c>
      <c r="I63" s="219">
        <v>2.4776272475074391E-3</v>
      </c>
      <c r="J63" s="219">
        <v>2.4731478396519948E-3</v>
      </c>
      <c r="K63" s="219">
        <v>2.4788878246541752E-3</v>
      </c>
      <c r="L63" s="219">
        <v>2.474653573717052E-3</v>
      </c>
      <c r="M63" s="219">
        <v>2.470466754552687E-3</v>
      </c>
      <c r="N63" s="219">
        <v>2.4670484182838389E-3</v>
      </c>
      <c r="O63" s="219">
        <v>2.4637400570242389E-3</v>
      </c>
      <c r="P63" s="219">
        <v>2.4655284757820642E-3</v>
      </c>
      <c r="Q63" s="219">
        <v>2.46239026071842E-3</v>
      </c>
      <c r="R63" s="219">
        <v>2.4593035695433889E-3</v>
      </c>
      <c r="S63" s="219">
        <v>2.4576781198938848E-3</v>
      </c>
      <c r="T63" s="219">
        <v>2.456077396299633E-3</v>
      </c>
      <c r="U63" s="219">
        <v>2.456804399129773E-3</v>
      </c>
      <c r="V63" s="219">
        <v>2.4552519346686509E-3</v>
      </c>
      <c r="W63" s="219">
        <v>2.453713058099626E-3</v>
      </c>
      <c r="X63" s="219">
        <v>2.4540712770795398E-3</v>
      </c>
      <c r="Y63" s="219">
        <v>2.4541720974908809E-3</v>
      </c>
      <c r="Z63" s="219">
        <v>2.4542737868114809E-3</v>
      </c>
      <c r="AA63" s="219">
        <v>2.4543765248569191E-3</v>
      </c>
      <c r="AB63" s="219">
        <v>2.454480690402596E-3</v>
      </c>
      <c r="AC63" s="33">
        <v>2.5075573821615361E-6</v>
      </c>
      <c r="AD63" s="219">
        <v>2.503573862409996E-6</v>
      </c>
      <c r="AE63" s="219">
        <v>2.4995765346928949E-6</v>
      </c>
      <c r="AF63" s="219">
        <v>2.487726588305489E-6</v>
      </c>
      <c r="AG63" s="219">
        <v>2.4836138799892941E-6</v>
      </c>
      <c r="AH63" s="219">
        <v>2.4794841911472441E-6</v>
      </c>
      <c r="AI63" s="219">
        <v>2.474701920004095E-6</v>
      </c>
      <c r="AJ63" s="219">
        <v>2.4700293773626349E-6</v>
      </c>
      <c r="AK63" s="219">
        <v>2.4660018580444112E-6</v>
      </c>
      <c r="AL63" s="219">
        <v>2.461475171411671E-6</v>
      </c>
      <c r="AM63" s="219">
        <v>2.4569442513799852E-6</v>
      </c>
      <c r="AN63" s="219">
        <v>2.4519924820279572E-6</v>
      </c>
      <c r="AO63" s="219">
        <v>2.4470681925936681E-6</v>
      </c>
      <c r="AP63" s="219">
        <v>2.4434750873429898E-6</v>
      </c>
      <c r="AQ63" s="219">
        <v>2.4386525192250531E-6</v>
      </c>
      <c r="AR63" s="219">
        <v>2.4338536110794882E-6</v>
      </c>
      <c r="AS63" s="219">
        <v>2.4301145694593812E-6</v>
      </c>
      <c r="AT63" s="219">
        <v>2.426411359867086E-6</v>
      </c>
      <c r="AU63" s="219">
        <v>2.423824622721812E-6</v>
      </c>
      <c r="AV63" s="219">
        <v>2.420242356610145E-6</v>
      </c>
      <c r="AW63" s="219">
        <v>2.4166948743222341E-6</v>
      </c>
      <c r="AX63" s="219">
        <v>2.416260916980376E-6</v>
      </c>
      <c r="AY63" s="219">
        <v>2.4153280615637038E-6</v>
      </c>
      <c r="AZ63" s="219">
        <v>2.4144005318058291E-6</v>
      </c>
      <c r="BA63" s="219">
        <v>2.4134783611111282E-6</v>
      </c>
      <c r="BB63" s="219">
        <v>2.4125617243009051E-6</v>
      </c>
      <c r="BC63" s="33">
        <v>3.4103962757246409</v>
      </c>
      <c r="BD63" s="219">
        <v>3.4039114864670208</v>
      </c>
      <c r="BE63" s="219">
        <v>3.397444689854773</v>
      </c>
      <c r="BF63" s="219">
        <v>3.3068402194584099</v>
      </c>
      <c r="BG63" s="219">
        <v>3.3007068731201801</v>
      </c>
      <c r="BH63" s="219">
        <v>3.2945882900356929</v>
      </c>
      <c r="BI63" s="219">
        <v>3.2842662272796268</v>
      </c>
      <c r="BJ63" s="219">
        <v>3.274076708256862</v>
      </c>
      <c r="BK63" s="219">
        <v>3.2024094708345081</v>
      </c>
      <c r="BL63" s="219">
        <v>3.193109756206681</v>
      </c>
      <c r="BM63" s="219">
        <v>3.1838656612156289</v>
      </c>
      <c r="BN63" s="219">
        <v>3.1706242068916071</v>
      </c>
      <c r="BO63" s="219">
        <v>3.157463674509839</v>
      </c>
      <c r="BP63" s="219">
        <v>3.1254978415696621</v>
      </c>
      <c r="BQ63" s="219">
        <v>3.1128281432183851</v>
      </c>
      <c r="BR63" s="219">
        <v>3.100239106882166</v>
      </c>
      <c r="BS63" s="219">
        <v>3.0899143667302669</v>
      </c>
      <c r="BT63" s="219">
        <v>3.0796442806106739</v>
      </c>
      <c r="BU63" s="219">
        <v>3.0518383485425171</v>
      </c>
      <c r="BV63" s="219">
        <v>3.0419252415638538</v>
      </c>
      <c r="BW63" s="219">
        <v>3.032062677538697</v>
      </c>
      <c r="BX63" s="219">
        <v>3.0302112916209181</v>
      </c>
      <c r="BY63" s="219">
        <v>3.0283707901687849</v>
      </c>
      <c r="BZ63" s="219">
        <v>3.0265386399959482</v>
      </c>
      <c r="CA63" s="219">
        <v>3.024714710988802</v>
      </c>
      <c r="CB63" s="219">
        <v>3.0228990119896859</v>
      </c>
      <c r="CC63" s="33">
        <v>13.967055800483189</v>
      </c>
      <c r="CD63" s="219">
        <v>13.85894474835967</v>
      </c>
      <c r="CE63" s="219">
        <v>13.751264287475299</v>
      </c>
      <c r="CF63" s="219">
        <v>13.09840179931486</v>
      </c>
      <c r="CG63" s="219">
        <v>12.99210668437507</v>
      </c>
      <c r="CH63" s="219">
        <v>12.886071807317229</v>
      </c>
      <c r="CI63" s="219">
        <v>12.70882953681498</v>
      </c>
      <c r="CJ63" s="219">
        <v>12.535221095622459</v>
      </c>
      <c r="CK63" s="219">
        <v>11.99355571853696</v>
      </c>
      <c r="CL63" s="219">
        <v>11.829126274963899</v>
      </c>
      <c r="CM63" s="219">
        <v>11.665555419996229</v>
      </c>
      <c r="CN63" s="219">
        <v>11.45870980958642</v>
      </c>
      <c r="CO63" s="219">
        <v>11.25363139794807</v>
      </c>
      <c r="CP63" s="219">
        <v>10.94322096380025</v>
      </c>
      <c r="CQ63" s="219">
        <v>10.744323278605121</v>
      </c>
      <c r="CR63" s="219">
        <v>10.547137031646249</v>
      </c>
      <c r="CS63" s="219">
        <v>10.381179585163141</v>
      </c>
      <c r="CT63" s="219">
        <v>10.21696268399783</v>
      </c>
      <c r="CU63" s="219">
        <v>9.9752328311982872</v>
      </c>
      <c r="CV63" s="219">
        <v>9.8170728475300209</v>
      </c>
      <c r="CW63" s="219">
        <v>9.6607707232145081</v>
      </c>
      <c r="CX63" s="219">
        <v>9.6186689687238225</v>
      </c>
      <c r="CY63" s="219">
        <v>9.5765042660929112</v>
      </c>
      <c r="CZ63" s="219">
        <v>9.5345681735462069</v>
      </c>
      <c r="DA63" s="219">
        <v>9.4928621034112748</v>
      </c>
      <c r="DB63" s="219">
        <v>9.451389662204706</v>
      </c>
    </row>
    <row r="64" spans="1:106" x14ac:dyDescent="0.35">
      <c r="A64" s="137" t="s">
        <v>557</v>
      </c>
      <c r="B64" s="130" t="s">
        <v>545</v>
      </c>
      <c r="C64" s="33">
        <v>9.2908531219502807E-2</v>
      </c>
      <c r="D64" s="219">
        <v>9.2892543229419963E-2</v>
      </c>
      <c r="E64" s="219">
        <v>9.2876111670127326E-2</v>
      </c>
      <c r="F64" s="219">
        <v>9.2863441215261411E-2</v>
      </c>
      <c r="G64" s="219">
        <v>9.2845946988749553E-2</v>
      </c>
      <c r="H64" s="219">
        <v>9.2827969046799075E-2</v>
      </c>
      <c r="I64" s="219">
        <v>9.2812640009097974E-2</v>
      </c>
      <c r="J64" s="219">
        <v>9.2797289307563466E-2</v>
      </c>
      <c r="K64" s="219">
        <v>9.2787365175868247E-2</v>
      </c>
      <c r="L64" s="219">
        <v>9.2771744103715179E-2</v>
      </c>
      <c r="M64" s="219">
        <v>9.2755920961111488E-2</v>
      </c>
      <c r="N64" s="219">
        <v>9.2746746269357763E-2</v>
      </c>
      <c r="O64" s="219">
        <v>9.2737694222607303E-2</v>
      </c>
      <c r="P64" s="219">
        <v>9.2731457182559235E-2</v>
      </c>
      <c r="Q64" s="219">
        <v>9.2722590841634728E-2</v>
      </c>
      <c r="R64" s="219">
        <v>9.2713780876523738E-2</v>
      </c>
      <c r="S64" s="219">
        <v>9.2709305707489503E-2</v>
      </c>
      <c r="T64" s="219">
        <v>9.2704890693350361E-2</v>
      </c>
      <c r="U64" s="219">
        <v>9.2701777000359031E-2</v>
      </c>
      <c r="V64" s="219">
        <v>9.269747622155515E-2</v>
      </c>
      <c r="W64" s="219">
        <v>9.2693222455783209E-2</v>
      </c>
      <c r="X64" s="219">
        <v>9.2692885024876506E-2</v>
      </c>
      <c r="Y64" s="219">
        <v>9.2692178059262345E-2</v>
      </c>
      <c r="Z64" s="219">
        <v>9.2691487128566577E-2</v>
      </c>
      <c r="AA64" s="219">
        <v>9.2690812501355274E-2</v>
      </c>
      <c r="AB64" s="219">
        <v>9.2690154952952741E-2</v>
      </c>
      <c r="AC64" s="33">
        <v>6.1427883709659723E-5</v>
      </c>
      <c r="AD64" s="219">
        <v>6.1414487893216948E-5</v>
      </c>
      <c r="AE64" s="219">
        <v>6.1400767149119567E-5</v>
      </c>
      <c r="AF64" s="219">
        <v>6.1382349254995018E-5</v>
      </c>
      <c r="AG64" s="219">
        <v>6.1367907759839448E-5</v>
      </c>
      <c r="AH64" s="219">
        <v>6.1353118894225662E-5</v>
      </c>
      <c r="AI64" s="219">
        <v>6.1340265798145408E-5</v>
      </c>
      <c r="AJ64" s="219">
        <v>6.1327354727225964E-5</v>
      </c>
      <c r="AK64" s="219">
        <v>6.1314614824423174E-5</v>
      </c>
      <c r="AL64" s="219">
        <v>6.1301493649395641E-5</v>
      </c>
      <c r="AM64" s="219">
        <v>6.1288209243151207E-5</v>
      </c>
      <c r="AN64" s="219">
        <v>6.1278005973406969E-5</v>
      </c>
      <c r="AO64" s="219">
        <v>6.1267876829061515E-5</v>
      </c>
      <c r="AP64" s="219">
        <v>6.1258519348925968E-5</v>
      </c>
      <c r="AQ64" s="219">
        <v>6.1248558156771528E-5</v>
      </c>
      <c r="AR64" s="219">
        <v>6.123866244254308E-5</v>
      </c>
      <c r="AS64" s="219">
        <v>6.1232129268956351E-5</v>
      </c>
      <c r="AT64" s="219">
        <v>6.1225675790949362E-5</v>
      </c>
      <c r="AU64" s="219">
        <v>6.1219897075480968E-5</v>
      </c>
      <c r="AV64" s="219">
        <v>6.1213647717274006E-5</v>
      </c>
      <c r="AW64" s="219">
        <v>6.1207509364446467E-5</v>
      </c>
      <c r="AX64" s="219">
        <v>6.1206924439751335E-5</v>
      </c>
      <c r="AY64" s="219">
        <v>6.1205485462787802E-5</v>
      </c>
      <c r="AZ64" s="219">
        <v>6.120406542643004E-5</v>
      </c>
      <c r="BA64" s="219">
        <v>6.1202664613666457E-5</v>
      </c>
      <c r="BB64" s="219">
        <v>6.1201283722159372E-5</v>
      </c>
      <c r="BC64" s="33">
        <v>1.667032556823731</v>
      </c>
      <c r="BD64" s="219">
        <v>1.658811874489569</v>
      </c>
      <c r="BE64" s="219">
        <v>1.6502703402571861</v>
      </c>
      <c r="BF64" s="219">
        <v>1.5940236611065099</v>
      </c>
      <c r="BG64" s="219">
        <v>1.5849847559308849</v>
      </c>
      <c r="BH64" s="219">
        <v>1.5755975391341359</v>
      </c>
      <c r="BI64" s="219">
        <v>1.5698076258213931</v>
      </c>
      <c r="BJ64" s="219">
        <v>1.563932624700477</v>
      </c>
      <c r="BK64" s="219">
        <v>1.523122805021192</v>
      </c>
      <c r="BL64" s="219">
        <v>1.517396307886872</v>
      </c>
      <c r="BM64" s="219">
        <v>1.5115108705595279</v>
      </c>
      <c r="BN64" s="219">
        <v>1.5023621022592779</v>
      </c>
      <c r="BO64" s="219">
        <v>1.4932480368697261</v>
      </c>
      <c r="BP64" s="219">
        <v>1.473505893614705</v>
      </c>
      <c r="BQ64" s="219">
        <v>1.464639055373762</v>
      </c>
      <c r="BR64" s="219">
        <v>1.4557948098163971</v>
      </c>
      <c r="BS64" s="219">
        <v>1.448269983057906</v>
      </c>
      <c r="BT64" s="219">
        <v>1.440770850381655</v>
      </c>
      <c r="BU64" s="219">
        <v>1.423353832561381</v>
      </c>
      <c r="BV64" s="219">
        <v>1.4160535690406859</v>
      </c>
      <c r="BW64" s="219">
        <v>1.408763144465693</v>
      </c>
      <c r="BX64" s="219">
        <v>1.4072731561103951</v>
      </c>
      <c r="BY64" s="219">
        <v>1.405806400040043</v>
      </c>
      <c r="BZ64" s="219">
        <v>1.4043570881438729</v>
      </c>
      <c r="CA64" s="219">
        <v>1.402924819378335</v>
      </c>
      <c r="CB64" s="219">
        <v>1.401509465756434</v>
      </c>
      <c r="CC64" s="33">
        <v>216.701061444239</v>
      </c>
      <c r="CD64" s="219">
        <v>216.3826566577869</v>
      </c>
      <c r="CE64" s="219">
        <v>216.05843496078461</v>
      </c>
      <c r="CF64" s="219">
        <v>215.42134765146471</v>
      </c>
      <c r="CG64" s="219">
        <v>215.08525543502051</v>
      </c>
      <c r="CH64" s="219">
        <v>214.74292176720991</v>
      </c>
      <c r="CI64" s="219">
        <v>214.41086293131491</v>
      </c>
      <c r="CJ64" s="219">
        <v>214.07974873945179</v>
      </c>
      <c r="CK64" s="219">
        <v>213.5389523811107</v>
      </c>
      <c r="CL64" s="219">
        <v>213.20944028127121</v>
      </c>
      <c r="CM64" s="219">
        <v>212.87826414376039</v>
      </c>
      <c r="CN64" s="219">
        <v>212.54813062300849</v>
      </c>
      <c r="CO64" s="219">
        <v>212.22156317082911</v>
      </c>
      <c r="CP64" s="219">
        <v>211.83827484762659</v>
      </c>
      <c r="CQ64" s="219">
        <v>211.5204293972966</v>
      </c>
      <c r="CR64" s="219">
        <v>211.20633680659881</v>
      </c>
      <c r="CS64" s="219">
        <v>210.96954481769549</v>
      </c>
      <c r="CT64" s="219">
        <v>210.73591364318389</v>
      </c>
      <c r="CU64" s="219">
        <v>210.46098401530219</v>
      </c>
      <c r="CV64" s="219">
        <v>210.23609576300541</v>
      </c>
      <c r="CW64" s="219">
        <v>210.01625864529731</v>
      </c>
      <c r="CX64" s="219">
        <v>209.96602427674441</v>
      </c>
      <c r="CY64" s="219">
        <v>209.91555660060939</v>
      </c>
      <c r="CZ64" s="219">
        <v>209.86568053731861</v>
      </c>
      <c r="DA64" s="219">
        <v>209.81640473959629</v>
      </c>
      <c r="DB64" s="219">
        <v>209.76774552182621</v>
      </c>
    </row>
    <row r="65" spans="1:106" x14ac:dyDescent="0.35">
      <c r="A65" s="137" t="s">
        <v>558</v>
      </c>
      <c r="B65" s="130" t="s">
        <v>545</v>
      </c>
      <c r="C65" s="33">
        <v>1.4752189502356149E-3</v>
      </c>
      <c r="D65" s="219">
        <v>1.467648938756234E-3</v>
      </c>
      <c r="E65" s="219">
        <v>1.459977744685183E-3</v>
      </c>
      <c r="F65" s="219">
        <v>1.461596755822583E-3</v>
      </c>
      <c r="G65" s="219">
        <v>1.4533205132281309E-3</v>
      </c>
      <c r="H65" s="219">
        <v>1.4449615890949959E-3</v>
      </c>
      <c r="I65" s="219">
        <v>1.4376191091214519E-3</v>
      </c>
      <c r="J65" s="219">
        <v>1.4306142803133511E-3</v>
      </c>
      <c r="K65" s="219">
        <v>1.435064310586872E-3</v>
      </c>
      <c r="L65" s="219">
        <v>1.4283753356372001E-3</v>
      </c>
      <c r="M65" s="219">
        <v>1.421743629581561E-3</v>
      </c>
      <c r="N65" s="219">
        <v>1.4169074996777541E-3</v>
      </c>
      <c r="O65" s="219">
        <v>1.412214070748491E-3</v>
      </c>
      <c r="P65" s="219">
        <v>1.412819981415189E-3</v>
      </c>
      <c r="Q65" s="219">
        <v>1.4083418997929071E-3</v>
      </c>
      <c r="R65" s="219">
        <v>1.4039270275703519E-3</v>
      </c>
      <c r="S65" s="219">
        <v>1.4015354748125181E-3</v>
      </c>
      <c r="T65" s="219">
        <v>1.3991742049665561E-3</v>
      </c>
      <c r="U65" s="219">
        <v>1.3989633945526931E-3</v>
      </c>
      <c r="V65" s="219">
        <v>1.396657041477964E-3</v>
      </c>
      <c r="W65" s="219">
        <v>1.3943656761343101E-3</v>
      </c>
      <c r="X65" s="219">
        <v>1.396358828511184E-3</v>
      </c>
      <c r="Y65" s="219">
        <v>1.3967077624065299E-3</v>
      </c>
      <c r="Z65" s="219">
        <v>1.397057567575992E-3</v>
      </c>
      <c r="AA65" s="219">
        <v>1.3974082908951009E-3</v>
      </c>
      <c r="AB65" s="219">
        <v>1.397760344395757E-3</v>
      </c>
      <c r="AC65" s="33">
        <v>1.640720623615898E-6</v>
      </c>
      <c r="AD65" s="219">
        <v>1.6340561589531871E-6</v>
      </c>
      <c r="AE65" s="219">
        <v>1.6273555332692779E-6</v>
      </c>
      <c r="AF65" s="219">
        <v>1.612489592047484E-6</v>
      </c>
      <c r="AG65" s="219">
        <v>1.605608581050587E-6</v>
      </c>
      <c r="AH65" s="219">
        <v>1.5986889872090399E-6</v>
      </c>
      <c r="AI65" s="219">
        <v>1.5907106221841139E-6</v>
      </c>
      <c r="AJ65" s="219">
        <v>1.5828741152710799E-6</v>
      </c>
      <c r="AK65" s="219">
        <v>1.5755800477785299E-6</v>
      </c>
      <c r="AL65" s="219">
        <v>1.5679023535675661E-6</v>
      </c>
      <c r="AM65" s="219">
        <v>1.560208653426958E-6</v>
      </c>
      <c r="AN65" s="219">
        <v>1.5523665774700071E-6</v>
      </c>
      <c r="AO65" s="219">
        <v>1.544549033806004E-6</v>
      </c>
      <c r="AP65" s="219">
        <v>1.5379778414884209E-6</v>
      </c>
      <c r="AQ65" s="219">
        <v>1.5302600361475541E-6</v>
      </c>
      <c r="AR65" s="219">
        <v>1.5225593706099341E-6</v>
      </c>
      <c r="AS65" s="219">
        <v>1.5159503851758791E-6</v>
      </c>
      <c r="AT65" s="219">
        <v>1.5093816113119389E-6</v>
      </c>
      <c r="AU65" s="219">
        <v>1.5038826128461901E-6</v>
      </c>
      <c r="AV65" s="219">
        <v>1.497448012280705E-6</v>
      </c>
      <c r="AW65" s="219">
        <v>1.4910505655751029E-6</v>
      </c>
      <c r="AX65" s="219">
        <v>1.4936186477323819E-6</v>
      </c>
      <c r="AY65" s="219">
        <v>1.4924254718070971E-6</v>
      </c>
      <c r="AZ65" s="219">
        <v>1.4912369496836999E-6</v>
      </c>
      <c r="BA65" s="219">
        <v>1.49005299861832E-6</v>
      </c>
      <c r="BB65" s="219">
        <v>1.4888737803738149E-6</v>
      </c>
      <c r="BC65" s="33">
        <v>4.3267157323595358</v>
      </c>
      <c r="BD65" s="219">
        <v>4.317146326600831</v>
      </c>
      <c r="BE65" s="219">
        <v>4.3075507990605129</v>
      </c>
      <c r="BF65" s="219">
        <v>4.2033418995736458</v>
      </c>
      <c r="BG65" s="219">
        <v>4.1940204193054944</v>
      </c>
      <c r="BH65" s="219">
        <v>4.1846684813591999</v>
      </c>
      <c r="BI65" s="219">
        <v>4.1657254728131718</v>
      </c>
      <c r="BJ65" s="219">
        <v>4.1468607104411648</v>
      </c>
      <c r="BK65" s="219">
        <v>4.0576204255711081</v>
      </c>
      <c r="BL65" s="219">
        <v>4.0395868167079936</v>
      </c>
      <c r="BM65" s="219">
        <v>4.0215256578042338</v>
      </c>
      <c r="BN65" s="219">
        <v>3.996516480597788</v>
      </c>
      <c r="BO65" s="219">
        <v>3.971486561059836</v>
      </c>
      <c r="BP65" s="219">
        <v>3.9247520954173751</v>
      </c>
      <c r="BQ65" s="219">
        <v>3.9000508009309849</v>
      </c>
      <c r="BR65" s="219">
        <v>3.8753277687765642</v>
      </c>
      <c r="BS65" s="219">
        <v>3.8550389071462039</v>
      </c>
      <c r="BT65" s="219">
        <v>3.8347430280300001</v>
      </c>
      <c r="BU65" s="219">
        <v>3.7942530490547419</v>
      </c>
      <c r="BV65" s="219">
        <v>3.7742149731828989</v>
      </c>
      <c r="BW65" s="219">
        <v>3.7541643690526332</v>
      </c>
      <c r="BX65" s="219">
        <v>3.7524390884569558</v>
      </c>
      <c r="BY65" s="219">
        <v>3.7507207112930581</v>
      </c>
      <c r="BZ65" s="219">
        <v>3.7490047766070229</v>
      </c>
      <c r="CA65" s="219">
        <v>3.747290872792246</v>
      </c>
      <c r="CB65" s="219">
        <v>3.745578974425456</v>
      </c>
      <c r="CC65" s="33">
        <v>21.43488248997777</v>
      </c>
      <c r="CD65" s="219">
        <v>21.259006758516691</v>
      </c>
      <c r="CE65" s="219">
        <v>21.08314337029044</v>
      </c>
      <c r="CF65" s="219">
        <v>20.296438167727199</v>
      </c>
      <c r="CG65" s="219">
        <v>20.120967989513911</v>
      </c>
      <c r="CH65" s="219">
        <v>19.945313402381831</v>
      </c>
      <c r="CI65" s="219">
        <v>19.650448562844481</v>
      </c>
      <c r="CJ65" s="219">
        <v>19.360025665637771</v>
      </c>
      <c r="CK65" s="219">
        <v>18.647549351408848</v>
      </c>
      <c r="CL65" s="219">
        <v>18.367125410098978</v>
      </c>
      <c r="CM65" s="219">
        <v>18.087310199552391</v>
      </c>
      <c r="CN65" s="219">
        <v>17.733259215989481</v>
      </c>
      <c r="CO65" s="219">
        <v>17.380869254799649</v>
      </c>
      <c r="CP65" s="219">
        <v>16.90690245174714</v>
      </c>
      <c r="CQ65" s="219">
        <v>16.56072520709813</v>
      </c>
      <c r="CR65" s="219">
        <v>16.216045483774121</v>
      </c>
      <c r="CS65" s="219">
        <v>15.914413563410969</v>
      </c>
      <c r="CT65" s="219">
        <v>15.61468995123546</v>
      </c>
      <c r="CU65" s="219">
        <v>15.22666574616375</v>
      </c>
      <c r="CV65" s="219">
        <v>14.933628491381141</v>
      </c>
      <c r="CW65" s="219">
        <v>14.6425870406991</v>
      </c>
      <c r="CX65" s="219">
        <v>14.66478816396034</v>
      </c>
      <c r="CY65" s="219">
        <v>14.61085684347915</v>
      </c>
      <c r="CZ65" s="219">
        <v>14.55708748517741</v>
      </c>
      <c r="DA65" s="219">
        <v>14.503479976805369</v>
      </c>
      <c r="DB65" s="219">
        <v>14.45003772259855</v>
      </c>
    </row>
    <row r="66" spans="1:106" x14ac:dyDescent="0.35">
      <c r="A66" s="137" t="s">
        <v>559</v>
      </c>
      <c r="B66" s="130" t="s">
        <v>545</v>
      </c>
      <c r="C66" s="33">
        <v>2.164236513340264E-2</v>
      </c>
      <c r="D66" s="219">
        <v>2.1550029828353471E-2</v>
      </c>
      <c r="E66" s="219">
        <v>2.14570012136041E-2</v>
      </c>
      <c r="F66" s="219">
        <v>2.1365200342094329E-2</v>
      </c>
      <c r="G66" s="219">
        <v>2.127080700851228E-2</v>
      </c>
      <c r="H66" s="219">
        <v>2.1175652447790249E-2</v>
      </c>
      <c r="I66" s="219">
        <v>2.109364764936842E-2</v>
      </c>
      <c r="J66" s="219">
        <v>2.1014279278471971E-2</v>
      </c>
      <c r="K66" s="219">
        <v>2.094268593583316E-2</v>
      </c>
      <c r="L66" s="219">
        <v>2.0865475924975879E-2</v>
      </c>
      <c r="M66" s="219">
        <v>2.078855619034797E-2</v>
      </c>
      <c r="N66" s="219">
        <v>2.072239410690168E-2</v>
      </c>
      <c r="O66" s="219">
        <v>2.0657336001207241E-2</v>
      </c>
      <c r="P66" s="219">
        <v>2.059769083799598E-2</v>
      </c>
      <c r="Q66" s="219">
        <v>2.053415189147835E-2</v>
      </c>
      <c r="R66" s="219">
        <v>2.0471072428224539E-2</v>
      </c>
      <c r="S66" s="219">
        <v>2.0430005816471909E-2</v>
      </c>
      <c r="T66" s="219">
        <v>2.0389296235322409E-2</v>
      </c>
      <c r="U66" s="219">
        <v>2.0351829648062709E-2</v>
      </c>
      <c r="V66" s="219">
        <v>2.0311650457391708E-2</v>
      </c>
      <c r="W66" s="219">
        <v>2.02716907127144E-2</v>
      </c>
      <c r="X66" s="219">
        <v>2.027735968652223E-2</v>
      </c>
      <c r="Y66" s="219">
        <v>2.0278355276618299E-2</v>
      </c>
      <c r="Z66" s="219">
        <v>2.0279373915239408E-2</v>
      </c>
      <c r="AA66" s="219">
        <v>2.0280415759600032E-2</v>
      </c>
      <c r="AB66" s="219">
        <v>2.028148427180412E-2</v>
      </c>
      <c r="AC66" s="33">
        <v>1.460056492600713E-5</v>
      </c>
      <c r="AD66" s="219">
        <v>1.452016140577515E-5</v>
      </c>
      <c r="AE66" s="219">
        <v>1.443945723069588E-5</v>
      </c>
      <c r="AF66" s="219">
        <v>1.4352711606059051E-5</v>
      </c>
      <c r="AG66" s="219">
        <v>1.4271384528734999E-5</v>
      </c>
      <c r="AH66" s="219">
        <v>1.4189719638221859E-5</v>
      </c>
      <c r="AI66" s="219">
        <v>1.4079703785490079E-5</v>
      </c>
      <c r="AJ66" s="219">
        <v>1.3970926796840539E-5</v>
      </c>
      <c r="AK66" s="219">
        <v>1.3863509003595519E-5</v>
      </c>
      <c r="AL66" s="219">
        <v>1.375525430188492E-5</v>
      </c>
      <c r="AM66" s="219">
        <v>1.3646862467308471E-5</v>
      </c>
      <c r="AN66" s="219">
        <v>1.3517204482152561E-5</v>
      </c>
      <c r="AO66" s="219">
        <v>1.3387828328025741E-5</v>
      </c>
      <c r="AP66" s="219">
        <v>1.326034780374505E-5</v>
      </c>
      <c r="AQ66" s="219">
        <v>1.3131503121414759E-5</v>
      </c>
      <c r="AR66" s="219">
        <v>1.3002886250271811E-5</v>
      </c>
      <c r="AS66" s="219">
        <v>1.2890575835407589E-5</v>
      </c>
      <c r="AT66" s="219">
        <v>1.2778871375489549E-5</v>
      </c>
      <c r="AU66" s="219">
        <v>1.266909619646075E-5</v>
      </c>
      <c r="AV66" s="219">
        <v>1.2558544052197871E-5</v>
      </c>
      <c r="AW66" s="219">
        <v>1.244856960100662E-5</v>
      </c>
      <c r="AX66" s="219">
        <v>1.243995257268098E-5</v>
      </c>
      <c r="AY66" s="219">
        <v>1.2420308136976329E-5</v>
      </c>
      <c r="AZ66" s="219">
        <v>1.2400716053683041E-5</v>
      </c>
      <c r="BA66" s="219">
        <v>1.238117551484213E-5</v>
      </c>
      <c r="BB66" s="219">
        <v>1.236168791890164E-5</v>
      </c>
      <c r="BC66" s="33">
        <v>36.892546206939002</v>
      </c>
      <c r="BD66" s="219">
        <v>36.740462928264058</v>
      </c>
      <c r="BE66" s="219">
        <v>36.58810219411815</v>
      </c>
      <c r="BF66" s="219">
        <v>36.388043907439503</v>
      </c>
      <c r="BG66" s="219">
        <v>36.235056719125318</v>
      </c>
      <c r="BH66" s="219">
        <v>36.081769392569953</v>
      </c>
      <c r="BI66" s="219">
        <v>35.716483600868223</v>
      </c>
      <c r="BJ66" s="219">
        <v>35.351485201695731</v>
      </c>
      <c r="BK66" s="219">
        <v>34.951364309753011</v>
      </c>
      <c r="BL66" s="219">
        <v>34.585319725998929</v>
      </c>
      <c r="BM66" s="219">
        <v>34.218642403697977</v>
      </c>
      <c r="BN66" s="219">
        <v>33.717505092892267</v>
      </c>
      <c r="BO66" s="219">
        <v>33.215508063284616</v>
      </c>
      <c r="BP66" s="219">
        <v>32.701601271701463</v>
      </c>
      <c r="BQ66" s="219">
        <v>32.197851868742582</v>
      </c>
      <c r="BR66" s="219">
        <v>31.69324974537944</v>
      </c>
      <c r="BS66" s="219">
        <v>31.26520150374726</v>
      </c>
      <c r="BT66" s="219">
        <v>30.83680930481097</v>
      </c>
      <c r="BU66" s="219">
        <v>30.396650621160891</v>
      </c>
      <c r="BV66" s="219">
        <v>29.967520383297089</v>
      </c>
      <c r="BW66" s="219">
        <v>29.53800239553367</v>
      </c>
      <c r="BX66" s="219">
        <v>29.517955954863972</v>
      </c>
      <c r="BY66" s="219">
        <v>29.497948947726758</v>
      </c>
      <c r="BZ66" s="219">
        <v>29.477931650607449</v>
      </c>
      <c r="CA66" s="219">
        <v>29.457901292932799</v>
      </c>
      <c r="CB66" s="219">
        <v>29.437857521752601</v>
      </c>
      <c r="CC66" s="33">
        <v>244.9624044104865</v>
      </c>
      <c r="CD66" s="219">
        <v>242.7915601961366</v>
      </c>
      <c r="CE66" s="219">
        <v>240.62462134975311</v>
      </c>
      <c r="CF66" s="219">
        <v>238.14892550509111</v>
      </c>
      <c r="CG66" s="219">
        <v>235.987415914661</v>
      </c>
      <c r="CH66" s="219">
        <v>233.82811589786559</v>
      </c>
      <c r="CI66" s="219">
        <v>229.2002601552058</v>
      </c>
      <c r="CJ66" s="219">
        <v>224.6179625863426</v>
      </c>
      <c r="CK66" s="219">
        <v>219.85763860249199</v>
      </c>
      <c r="CL66" s="219">
        <v>215.31702123380489</v>
      </c>
      <c r="CM66" s="219">
        <v>210.7886473450728</v>
      </c>
      <c r="CN66" s="219">
        <v>204.72866623168559</v>
      </c>
      <c r="CO66" s="219">
        <v>198.69242622041909</v>
      </c>
      <c r="CP66" s="219">
        <v>192.61752569683739</v>
      </c>
      <c r="CQ66" s="219">
        <v>186.6269997918719</v>
      </c>
      <c r="CR66" s="219">
        <v>180.65905875681119</v>
      </c>
      <c r="CS66" s="219">
        <v>175.2289711138902</v>
      </c>
      <c r="CT66" s="219">
        <v>169.82994549063591</v>
      </c>
      <c r="CU66" s="219">
        <v>164.40770413826479</v>
      </c>
      <c r="CV66" s="219">
        <v>159.06992792677829</v>
      </c>
      <c r="CW66" s="219">
        <v>153.76398204608151</v>
      </c>
      <c r="CX66" s="219">
        <v>152.89565558347491</v>
      </c>
      <c r="CY66" s="219">
        <v>152.01629928288469</v>
      </c>
      <c r="CZ66" s="219">
        <v>151.13880464453149</v>
      </c>
      <c r="DA66" s="219">
        <v>150.26316956661981</v>
      </c>
      <c r="DB66" s="219">
        <v>149.38942238067921</v>
      </c>
    </row>
    <row r="67" spans="1:106" x14ac:dyDescent="0.35">
      <c r="A67" s="137" t="s">
        <v>560</v>
      </c>
      <c r="B67" s="130" t="s">
        <v>547</v>
      </c>
      <c r="C67" s="33">
        <v>7.2808339832341908E-7</v>
      </c>
      <c r="D67" s="219">
        <v>7.2736933654583582E-7</v>
      </c>
      <c r="E67" s="219">
        <v>7.2664682722859216E-7</v>
      </c>
      <c r="F67" s="219">
        <v>7.272207493522127E-7</v>
      </c>
      <c r="G67" s="219">
        <v>7.2643870074041303E-7</v>
      </c>
      <c r="H67" s="219">
        <v>7.2564752307600872E-7</v>
      </c>
      <c r="I67" s="219">
        <v>7.2481082509850624E-7</v>
      </c>
      <c r="J67" s="219">
        <v>7.2401862081110516E-7</v>
      </c>
      <c r="K67" s="219">
        <v>7.2499064921128909E-7</v>
      </c>
      <c r="L67" s="219">
        <v>7.2424119933765056E-7</v>
      </c>
      <c r="M67" s="219">
        <v>7.2349979040470294E-7</v>
      </c>
      <c r="N67" s="219">
        <v>7.2289449790919166E-7</v>
      </c>
      <c r="O67" s="219">
        <v>7.2230847968200139E-7</v>
      </c>
      <c r="P67" s="219">
        <v>7.2260143299244646E-7</v>
      </c>
      <c r="Q67" s="219">
        <v>7.2204499290152636E-7</v>
      </c>
      <c r="R67" s="219">
        <v>7.2149729695467054E-7</v>
      </c>
      <c r="S67" s="219">
        <v>7.2120889803794312E-7</v>
      </c>
      <c r="T67" s="219">
        <v>7.2092484203347322E-7</v>
      </c>
      <c r="U67" s="219">
        <v>7.2104164920520956E-7</v>
      </c>
      <c r="V67" s="219">
        <v>7.2076605030689902E-7</v>
      </c>
      <c r="W67" s="219">
        <v>7.2049279127990005E-7</v>
      </c>
      <c r="X67" s="219">
        <v>7.2055390803619501E-7</v>
      </c>
      <c r="Y67" s="219">
        <v>7.2057131366123431E-7</v>
      </c>
      <c r="Z67" s="219">
        <v>7.2058890939646694E-7</v>
      </c>
      <c r="AA67" s="219">
        <v>7.2060673589576011E-7</v>
      </c>
      <c r="AB67" s="219">
        <v>7.2062487264787935E-7</v>
      </c>
      <c r="AC67" s="33">
        <v>6.7230649656224249E-10</v>
      </c>
      <c r="AD67" s="219">
        <v>6.7159573777255386E-10</v>
      </c>
      <c r="AE67" s="219">
        <v>6.70882447348364E-10</v>
      </c>
      <c r="AF67" s="219">
        <v>6.6881502746983572E-10</v>
      </c>
      <c r="AG67" s="219">
        <v>6.6808157329745769E-10</v>
      </c>
      <c r="AH67" s="219">
        <v>6.6734513509288692E-10</v>
      </c>
      <c r="AI67" s="219">
        <v>6.6650546535665016E-10</v>
      </c>
      <c r="AJ67" s="219">
        <v>6.6568500188817712E-10</v>
      </c>
      <c r="AK67" s="219">
        <v>6.6497556260351922E-10</v>
      </c>
      <c r="AL67" s="219">
        <v>6.6418006673468052E-10</v>
      </c>
      <c r="AM67" s="219">
        <v>6.6338351905782526E-10</v>
      </c>
      <c r="AN67" s="219">
        <v>6.6251616579723552E-10</v>
      </c>
      <c r="AO67" s="219">
        <v>6.6165357308051838E-10</v>
      </c>
      <c r="AP67" s="219">
        <v>6.6102020035631086E-10</v>
      </c>
      <c r="AQ67" s="219">
        <v>6.6017519599303734E-10</v>
      </c>
      <c r="AR67" s="219">
        <v>6.593342902051314E-10</v>
      </c>
      <c r="AS67" s="219">
        <v>6.5868218880856842E-10</v>
      </c>
      <c r="AT67" s="219">
        <v>6.5803647779121277E-10</v>
      </c>
      <c r="AU67" s="219">
        <v>6.5758333877317339E-10</v>
      </c>
      <c r="AV67" s="219">
        <v>6.5695935253817463E-10</v>
      </c>
      <c r="AW67" s="219">
        <v>6.5634231364418677E-10</v>
      </c>
      <c r="AX67" s="219">
        <v>6.5626523802963339E-10</v>
      </c>
      <c r="AY67" s="219">
        <v>6.5610374182263039E-10</v>
      </c>
      <c r="AZ67" s="219">
        <v>6.5594320898045951E-10</v>
      </c>
      <c r="BA67" s="219">
        <v>6.5578365607868129E-10</v>
      </c>
      <c r="BB67" s="219">
        <v>6.5562512899278648E-10</v>
      </c>
      <c r="BC67" s="33">
        <v>5.8502286610306723E-4</v>
      </c>
      <c r="BD67" s="219">
        <v>5.8392991046912659E-4</v>
      </c>
      <c r="BE67" s="219">
        <v>5.828391097117986E-4</v>
      </c>
      <c r="BF67" s="219">
        <v>5.6722539225659199E-4</v>
      </c>
      <c r="BG67" s="219">
        <v>5.6618998319222559E-4</v>
      </c>
      <c r="BH67" s="219">
        <v>5.6515583862201061E-4</v>
      </c>
      <c r="BI67" s="219">
        <v>5.6339772169606032E-4</v>
      </c>
      <c r="BJ67" s="219">
        <v>5.6166228315404285E-4</v>
      </c>
      <c r="BK67" s="219">
        <v>5.4931345558783336E-4</v>
      </c>
      <c r="BL67" s="219">
        <v>5.4773069708173442E-4</v>
      </c>
      <c r="BM67" s="219">
        <v>5.4615686621222457E-4</v>
      </c>
      <c r="BN67" s="219">
        <v>5.4388560200916412E-4</v>
      </c>
      <c r="BO67" s="219">
        <v>5.4162786184770858E-4</v>
      </c>
      <c r="BP67" s="219">
        <v>5.3612286192580752E-4</v>
      </c>
      <c r="BQ67" s="219">
        <v>5.3394883201603302E-4</v>
      </c>
      <c r="BR67" s="219">
        <v>5.3178806497218903E-4</v>
      </c>
      <c r="BS67" s="219">
        <v>5.3001468441364412E-4</v>
      </c>
      <c r="BT67" s="219">
        <v>5.2825057129339266E-4</v>
      </c>
      <c r="BU67" s="219">
        <v>5.2345878516958449E-4</v>
      </c>
      <c r="BV67" s="219">
        <v>5.2175614358007866E-4</v>
      </c>
      <c r="BW67" s="219">
        <v>5.2006178374476456E-4</v>
      </c>
      <c r="BX67" s="219">
        <v>5.1974555454805825E-4</v>
      </c>
      <c r="BY67" s="219">
        <v>5.1943120516360843E-4</v>
      </c>
      <c r="BZ67" s="219">
        <v>5.1911829488335737E-4</v>
      </c>
      <c r="CA67" s="219">
        <v>5.1880680171746349E-4</v>
      </c>
      <c r="CB67" s="219">
        <v>5.1849672901345747E-4</v>
      </c>
      <c r="CC67" s="33">
        <v>8.7565738699958342E-3</v>
      </c>
      <c r="CD67" s="219">
        <v>8.7371434107964534E-3</v>
      </c>
      <c r="CE67" s="219">
        <v>8.7177849020358949E-3</v>
      </c>
      <c r="CF67" s="219">
        <v>8.6043337707214854E-3</v>
      </c>
      <c r="CG67" s="219">
        <v>8.5852139321611915E-3</v>
      </c>
      <c r="CH67" s="219">
        <v>8.5661429480687421E-3</v>
      </c>
      <c r="CI67" s="219">
        <v>8.5352407883222299E-3</v>
      </c>
      <c r="CJ67" s="219">
        <v>8.5049704459725199E-3</v>
      </c>
      <c r="CK67" s="219">
        <v>8.4111585662142753E-3</v>
      </c>
      <c r="CL67" s="219">
        <v>8.38246518419993E-3</v>
      </c>
      <c r="CM67" s="219">
        <v>8.3539118522276985E-3</v>
      </c>
      <c r="CN67" s="219">
        <v>8.3179185364452655E-3</v>
      </c>
      <c r="CO67" s="219">
        <v>8.2822312820375089E-3</v>
      </c>
      <c r="CP67" s="219">
        <v>8.2283595998097498E-3</v>
      </c>
      <c r="CQ67" s="219">
        <v>8.193746308788559E-3</v>
      </c>
      <c r="CR67" s="219">
        <v>8.1594371504632567E-3</v>
      </c>
      <c r="CS67" s="219">
        <v>8.1306608811209952E-3</v>
      </c>
      <c r="CT67" s="219">
        <v>8.1021944645221829E-3</v>
      </c>
      <c r="CU67" s="219">
        <v>8.0603618340188404E-3</v>
      </c>
      <c r="CV67" s="219">
        <v>8.0329835280377425E-3</v>
      </c>
      <c r="CW67" s="219">
        <v>8.0059767467644399E-3</v>
      </c>
      <c r="CX67" s="219">
        <v>7.9987175346751919E-3</v>
      </c>
      <c r="CY67" s="219">
        <v>7.9914466477610923E-3</v>
      </c>
      <c r="CZ67" s="219">
        <v>7.9842161211645408E-3</v>
      </c>
      <c r="DA67" s="219">
        <v>7.9770264750942555E-3</v>
      </c>
      <c r="DB67" s="219">
        <v>7.9698787289811772E-3</v>
      </c>
    </row>
    <row r="68" spans="1:106" x14ac:dyDescent="0.35">
      <c r="A68" s="137" t="s">
        <v>561</v>
      </c>
      <c r="B68" s="130" t="s">
        <v>705</v>
      </c>
      <c r="C68" s="186">
        <v>0.14634543908972419</v>
      </c>
      <c r="D68" s="186">
        <v>0.14579663034043189</v>
      </c>
      <c r="E68" s="186">
        <v>0.1452403762482144</v>
      </c>
      <c r="F68" s="186">
        <v>0.144700117717494</v>
      </c>
      <c r="G68" s="186">
        <v>0.14412715742662441</v>
      </c>
      <c r="H68" s="186">
        <v>0.14354585844594669</v>
      </c>
      <c r="I68" s="186">
        <v>0.14300322402923241</v>
      </c>
      <c r="J68" s="186">
        <v>0.14246208632349619</v>
      </c>
      <c r="K68" s="186">
        <v>0.14200502565734541</v>
      </c>
      <c r="L68" s="186">
        <v>0.14146113160521259</v>
      </c>
      <c r="M68" s="186">
        <v>0.14091427334345921</v>
      </c>
      <c r="N68" s="186">
        <v>0.14043636373789661</v>
      </c>
      <c r="O68" s="186">
        <v>0.13996239429028681</v>
      </c>
      <c r="P68" s="186">
        <v>0.13954905709966489</v>
      </c>
      <c r="Q68" s="186">
        <v>0.13908129459722629</v>
      </c>
      <c r="R68" s="186">
        <v>0.13861595410465891</v>
      </c>
      <c r="S68" s="186">
        <v>0.1383345288367499</v>
      </c>
      <c r="T68" s="186">
        <v>0.13805488615908901</v>
      </c>
      <c r="U68" s="186">
        <v>0.1378128975848889</v>
      </c>
      <c r="V68" s="186">
        <v>0.1375364909433909</v>
      </c>
      <c r="W68" s="186">
        <v>0.13726155351310909</v>
      </c>
      <c r="X68" s="186">
        <v>0.13722954493495951</v>
      </c>
      <c r="Y68" s="186">
        <v>0.13718706200929201</v>
      </c>
      <c r="Z68" s="186">
        <v>0.13714509510066361</v>
      </c>
      <c r="AA68" s="186">
        <v>0.13710363329546579</v>
      </c>
      <c r="AB68" s="186">
        <v>0.1370626791838353</v>
      </c>
      <c r="AC68" s="33">
        <v>9.4301611037095288E-5</v>
      </c>
      <c r="AD68" s="219">
        <v>9.3864145744962737E-5</v>
      </c>
      <c r="AE68" s="219">
        <v>9.3422048900439864E-5</v>
      </c>
      <c r="AF68" s="219">
        <v>9.2886477686598764E-5</v>
      </c>
      <c r="AG68" s="219">
        <v>9.2434191272579524E-5</v>
      </c>
      <c r="AH68" s="219">
        <v>9.1976527115636379E-5</v>
      </c>
      <c r="AI68" s="219">
        <v>9.1489785996520763E-5</v>
      </c>
      <c r="AJ68" s="219">
        <v>9.1002418870964329E-5</v>
      </c>
      <c r="AK68" s="219">
        <v>9.0524842144070261E-5</v>
      </c>
      <c r="AL68" s="219">
        <v>9.0033315985642623E-5</v>
      </c>
      <c r="AM68" s="219">
        <v>8.9538585067318346E-5</v>
      </c>
      <c r="AN68" s="219">
        <v>8.8997809850082694E-5</v>
      </c>
      <c r="AO68" s="219">
        <v>8.8459173995158276E-5</v>
      </c>
      <c r="AP68" s="219">
        <v>8.7942263850055729E-5</v>
      </c>
      <c r="AQ68" s="219">
        <v>8.7407884953832191E-5</v>
      </c>
      <c r="AR68" s="219">
        <v>8.68753434169571E-5</v>
      </c>
      <c r="AS68" s="219">
        <v>8.6515555867659608E-5</v>
      </c>
      <c r="AT68" s="219">
        <v>8.6157782439075603E-5</v>
      </c>
      <c r="AU68" s="219">
        <v>8.5817679992132394E-5</v>
      </c>
      <c r="AV68" s="219">
        <v>8.5464125521544947E-5</v>
      </c>
      <c r="AW68" s="219">
        <v>8.5112521757604929E-5</v>
      </c>
      <c r="AX68" s="219">
        <v>8.506043847028737E-5</v>
      </c>
      <c r="AY68" s="219">
        <v>8.499309053467297E-5</v>
      </c>
      <c r="AZ68" s="219">
        <v>8.4926327573248345E-5</v>
      </c>
      <c r="BA68" s="219">
        <v>8.4860138497287434E-5</v>
      </c>
      <c r="BB68" s="219">
        <v>8.4794520745424756E-5</v>
      </c>
      <c r="BC68" s="33">
        <v>118.1438789925995</v>
      </c>
      <c r="BD68" s="219">
        <v>117.88238480174731</v>
      </c>
      <c r="BE68" s="219">
        <v>117.6174673115036</v>
      </c>
      <c r="BF68" s="219">
        <v>116.6612753102726</v>
      </c>
      <c r="BG68" s="219">
        <v>116.39178890133201</v>
      </c>
      <c r="BH68" s="219">
        <v>116.1185569651705</v>
      </c>
      <c r="BI68" s="219">
        <v>116.18081695012491</v>
      </c>
      <c r="BJ68" s="219">
        <v>116.242129598603</v>
      </c>
      <c r="BK68" s="219">
        <v>115.8391048924309</v>
      </c>
      <c r="BL68" s="219">
        <v>115.90171224187471</v>
      </c>
      <c r="BM68" s="219">
        <v>115.96177005098851</v>
      </c>
      <c r="BN68" s="219">
        <v>115.6708242437779</v>
      </c>
      <c r="BO68" s="219">
        <v>115.3805853817795</v>
      </c>
      <c r="BP68" s="219">
        <v>114.95261991976891</v>
      </c>
      <c r="BQ68" s="219">
        <v>114.6661954020653</v>
      </c>
      <c r="BR68" s="219">
        <v>114.3803047375598</v>
      </c>
      <c r="BS68" s="219">
        <v>114.15315750777199</v>
      </c>
      <c r="BT68" s="219">
        <v>113.92641215678221</v>
      </c>
      <c r="BU68" s="219">
        <v>113.57035329969089</v>
      </c>
      <c r="BV68" s="219">
        <v>113.3464707565312</v>
      </c>
      <c r="BW68" s="219">
        <v>113.1229108780152</v>
      </c>
      <c r="BX68" s="219">
        <v>113.03996369373409</v>
      </c>
      <c r="BY68" s="219">
        <v>112.95785787044269</v>
      </c>
      <c r="BZ68" s="219">
        <v>112.8763866533386</v>
      </c>
      <c r="CA68" s="219">
        <v>112.7955257307044</v>
      </c>
      <c r="CB68" s="219">
        <v>112.71526661411259</v>
      </c>
      <c r="CC68" s="33">
        <v>1002.2532345357261</v>
      </c>
      <c r="CD68" s="219">
        <v>992.54241268132228</v>
      </c>
      <c r="CE68" s="219">
        <v>982.76907952971146</v>
      </c>
      <c r="CF68" s="219">
        <v>968.37815789759441</v>
      </c>
      <c r="CG68" s="219">
        <v>958.46475580946662</v>
      </c>
      <c r="CH68" s="219">
        <v>948.46600267142333</v>
      </c>
      <c r="CI68" s="219">
        <v>935.22469385907107</v>
      </c>
      <c r="CJ68" s="219">
        <v>922.0081961481834</v>
      </c>
      <c r="CK68" s="219">
        <v>906.04641641951764</v>
      </c>
      <c r="CL68" s="219">
        <v>892.83003869097888</v>
      </c>
      <c r="CM68" s="219">
        <v>879.57125123777155</v>
      </c>
      <c r="CN68" s="219">
        <v>862.21096677589401</v>
      </c>
      <c r="CO68" s="219">
        <v>844.94159176113419</v>
      </c>
      <c r="CP68" s="219">
        <v>826.9847790614333</v>
      </c>
      <c r="CQ68" s="219">
        <v>809.90918314563464</v>
      </c>
      <c r="CR68" s="219">
        <v>792.9189308085422</v>
      </c>
      <c r="CS68" s="219">
        <v>780.71505395214228</v>
      </c>
      <c r="CT68" s="219">
        <v>768.58776830630893</v>
      </c>
      <c r="CU68" s="219">
        <v>755.92169116514378</v>
      </c>
      <c r="CV68" s="219">
        <v>743.9597511950426</v>
      </c>
      <c r="CW68" s="219">
        <v>732.07338633778875</v>
      </c>
      <c r="CX68" s="219">
        <v>729.74807912223457</v>
      </c>
      <c r="CY68" s="219">
        <v>727.41623510815828</v>
      </c>
      <c r="CZ68" s="219">
        <v>725.10197470826199</v>
      </c>
      <c r="DA68" s="219">
        <v>722.80509911141849</v>
      </c>
      <c r="DB68" s="219">
        <v>720.52551243380765</v>
      </c>
    </row>
    <row r="69" spans="1:106" x14ac:dyDescent="0.35">
      <c r="A69" s="137" t="s">
        <v>562</v>
      </c>
      <c r="B69" s="130" t="s">
        <v>547</v>
      </c>
      <c r="C69" s="186">
        <v>3.3496960877119671E-3</v>
      </c>
      <c r="D69" s="186">
        <v>3.1998154455019478E-3</v>
      </c>
      <c r="E69" s="186">
        <v>3.0505085367021371E-3</v>
      </c>
      <c r="F69" s="186">
        <v>2.9020866439963258E-3</v>
      </c>
      <c r="G69" s="186">
        <v>2.7539292782227179E-3</v>
      </c>
      <c r="H69" s="186">
        <v>2.6063387850224292E-3</v>
      </c>
      <c r="I69" s="186">
        <v>2.5526106510858938E-3</v>
      </c>
      <c r="J69" s="186">
        <v>2.4991471438999321E-3</v>
      </c>
      <c r="K69" s="186">
        <v>2.4463512752201841E-3</v>
      </c>
      <c r="L69" s="186">
        <v>2.3932690714052541E-3</v>
      </c>
      <c r="M69" s="186">
        <v>2.3403312355110722E-3</v>
      </c>
      <c r="N69" s="186">
        <v>2.3243810228026308E-3</v>
      </c>
      <c r="O69" s="186">
        <v>2.3083901682335421E-3</v>
      </c>
      <c r="P69" s="186">
        <v>2.2926535867646819E-3</v>
      </c>
      <c r="Q69" s="186">
        <v>2.2765421425711909E-3</v>
      </c>
      <c r="R69" s="186">
        <v>2.2603561612544541E-3</v>
      </c>
      <c r="S69" s="186">
        <v>2.2645689440946278E-3</v>
      </c>
      <c r="T69" s="186">
        <v>2.268791840787752E-3</v>
      </c>
      <c r="U69" s="186">
        <v>2.2732236809434691E-3</v>
      </c>
      <c r="V69" s="186">
        <v>2.2774607228759529E-3</v>
      </c>
      <c r="W69" s="186">
        <v>2.2817018141708342E-3</v>
      </c>
      <c r="X69" s="186">
        <v>2.288755068743121E-3</v>
      </c>
      <c r="Y69" s="186">
        <v>2.2955791901940019E-3</v>
      </c>
      <c r="Z69" s="186">
        <v>2.3024146468381022E-3</v>
      </c>
      <c r="AA69" s="186">
        <v>2.3092571499286861E-3</v>
      </c>
      <c r="AB69" s="186">
        <v>2.3161068658749582E-3</v>
      </c>
      <c r="AC69" s="33">
        <v>2.1200210976970829E-6</v>
      </c>
      <c r="AD69" s="219">
        <v>2.021932921403244E-6</v>
      </c>
      <c r="AE69" s="219">
        <v>1.9242367281880171E-6</v>
      </c>
      <c r="AF69" s="219">
        <v>1.8266256716692499E-6</v>
      </c>
      <c r="AG69" s="219">
        <v>1.7296981840063829E-6</v>
      </c>
      <c r="AH69" s="219">
        <v>1.6331480338540569E-6</v>
      </c>
      <c r="AI69" s="219">
        <v>1.584408524458978E-6</v>
      </c>
      <c r="AJ69" s="219">
        <v>1.535826360101849E-6</v>
      </c>
      <c r="AK69" s="219">
        <v>1.4873828006524911E-6</v>
      </c>
      <c r="AL69" s="219">
        <v>1.4390124218459661E-6</v>
      </c>
      <c r="AM69" s="219">
        <v>1.3907216646014729E-6</v>
      </c>
      <c r="AN69" s="219">
        <v>1.3634472983147989E-6</v>
      </c>
      <c r="AO69" s="219">
        <v>1.336042505316649E-6</v>
      </c>
      <c r="AP69" s="219">
        <v>1.3086525381570781E-6</v>
      </c>
      <c r="AQ69" s="219">
        <v>1.2809837865377949E-6</v>
      </c>
      <c r="AR69" s="219">
        <v>1.2531858742970201E-6</v>
      </c>
      <c r="AS69" s="219">
        <v>1.242736177835565E-6</v>
      </c>
      <c r="AT69" s="219">
        <v>1.2322589823164609E-6</v>
      </c>
      <c r="AU69" s="219">
        <v>1.221882259504441E-6</v>
      </c>
      <c r="AV69" s="219">
        <v>1.211350362366374E-6</v>
      </c>
      <c r="AW69" s="219">
        <v>1.2007929971726739E-6</v>
      </c>
      <c r="AX69" s="219">
        <v>1.1996774853193639E-6</v>
      </c>
      <c r="AY69" s="219">
        <v>1.1978950932135159E-6</v>
      </c>
      <c r="AZ69" s="219">
        <v>1.1961159270020919E-6</v>
      </c>
      <c r="BA69" s="219">
        <v>1.1943374966630739E-6</v>
      </c>
      <c r="BB69" s="219">
        <v>1.192559822457755E-6</v>
      </c>
      <c r="BC69" s="33">
        <v>2.0982451198193321</v>
      </c>
      <c r="BD69" s="219">
        <v>2.054803612812834</v>
      </c>
      <c r="BE69" s="219">
        <v>2.0115285872716222</v>
      </c>
      <c r="BF69" s="219">
        <v>1.9644333568935839</v>
      </c>
      <c r="BG69" s="219">
        <v>1.921504554775475</v>
      </c>
      <c r="BH69" s="219">
        <v>1.878735307757506</v>
      </c>
      <c r="BI69" s="219">
        <v>1.864768726679908</v>
      </c>
      <c r="BJ69" s="219">
        <v>1.850736871027072</v>
      </c>
      <c r="BK69" s="219">
        <v>1.833232119602765</v>
      </c>
      <c r="BL69" s="219">
        <v>1.818939704424031</v>
      </c>
      <c r="BM69" s="219">
        <v>1.8045300648257681</v>
      </c>
      <c r="BN69" s="219">
        <v>1.790468027180862</v>
      </c>
      <c r="BO69" s="219">
        <v>1.7762058944472989</v>
      </c>
      <c r="BP69" s="219">
        <v>1.7609330761533979</v>
      </c>
      <c r="BQ69" s="219">
        <v>1.746282363638975</v>
      </c>
      <c r="BR69" s="219">
        <v>1.7314337625106699</v>
      </c>
      <c r="BS69" s="219">
        <v>1.744896830163998</v>
      </c>
      <c r="BT69" s="219">
        <v>1.7582230446217719</v>
      </c>
      <c r="BU69" s="219">
        <v>1.7706192702385231</v>
      </c>
      <c r="BV69" s="219">
        <v>1.7836763237471001</v>
      </c>
      <c r="BW69" s="219">
        <v>1.796598926791638</v>
      </c>
      <c r="BX69" s="219">
        <v>1.7788713351427301</v>
      </c>
      <c r="BY69" s="219">
        <v>1.761233199962833</v>
      </c>
      <c r="BZ69" s="219">
        <v>1.7435785226161611</v>
      </c>
      <c r="CA69" s="219">
        <v>1.725904260858679</v>
      </c>
      <c r="CB69" s="219">
        <v>1.708210075763853</v>
      </c>
      <c r="CC69" s="33">
        <v>23.51714163944283</v>
      </c>
      <c r="CD69" s="219">
        <v>21.901673768340441</v>
      </c>
      <c r="CE69" s="219">
        <v>20.293904072666951</v>
      </c>
      <c r="CF69" s="219">
        <v>18.6679115767583</v>
      </c>
      <c r="CG69" s="219">
        <v>17.075026232926231</v>
      </c>
      <c r="CH69" s="219">
        <v>15.48932307446985</v>
      </c>
      <c r="CI69" s="219">
        <v>14.20898984221969</v>
      </c>
      <c r="CJ69" s="219">
        <v>12.93330857394248</v>
      </c>
      <c r="CK69" s="219">
        <v>11.64112887727328</v>
      </c>
      <c r="CL69" s="219">
        <v>10.371732653147751</v>
      </c>
      <c r="CM69" s="219">
        <v>9.1049963123163895</v>
      </c>
      <c r="CN69" s="219">
        <v>8.0879772424466658</v>
      </c>
      <c r="CO69" s="219">
        <v>7.067487052420339</v>
      </c>
      <c r="CP69" s="219">
        <v>6.0392919067835491</v>
      </c>
      <c r="CQ69" s="219">
        <v>5.0119625811265669</v>
      </c>
      <c r="CR69" s="219">
        <v>3.9812594487264459</v>
      </c>
      <c r="CS69" s="219">
        <v>3.4044341692369229</v>
      </c>
      <c r="CT69" s="219">
        <v>2.8262109837166611</v>
      </c>
      <c r="CU69" s="219">
        <v>2.243057513906682</v>
      </c>
      <c r="CV69" s="219">
        <v>1.6621850406026051</v>
      </c>
      <c r="CW69" s="219">
        <v>1.0802156568474821</v>
      </c>
      <c r="CX69" s="219">
        <v>0.87588281224861442</v>
      </c>
      <c r="CY69" s="219">
        <v>0.66962919108807961</v>
      </c>
      <c r="CZ69" s="219">
        <v>0.46333223064412449</v>
      </c>
      <c r="DA69" s="219">
        <v>0.25697533708808268</v>
      </c>
      <c r="DB69" s="219">
        <v>5.0558096667854491E-2</v>
      </c>
    </row>
    <row r="70" spans="1:106" x14ac:dyDescent="0.35">
      <c r="A70" s="137" t="s">
        <v>755</v>
      </c>
      <c r="B70" s="130" t="s">
        <v>704</v>
      </c>
      <c r="C70" s="186">
        <v>0</v>
      </c>
      <c r="D70" s="186">
        <v>0</v>
      </c>
      <c r="E70" s="186">
        <v>0</v>
      </c>
      <c r="F70" s="186">
        <v>0</v>
      </c>
      <c r="G70" s="186">
        <v>0</v>
      </c>
      <c r="H70" s="186">
        <v>0</v>
      </c>
      <c r="I70" s="186">
        <v>0</v>
      </c>
      <c r="J70" s="186">
        <v>0</v>
      </c>
      <c r="K70" s="186">
        <v>0</v>
      </c>
      <c r="L70" s="186">
        <v>0</v>
      </c>
      <c r="M70" s="186">
        <v>0</v>
      </c>
      <c r="N70" s="186">
        <v>0</v>
      </c>
      <c r="O70" s="186">
        <v>0</v>
      </c>
      <c r="P70" s="186">
        <v>0</v>
      </c>
      <c r="Q70" s="186">
        <v>0</v>
      </c>
      <c r="R70" s="186">
        <v>0</v>
      </c>
      <c r="S70" s="186">
        <v>0</v>
      </c>
      <c r="T70" s="186">
        <v>0</v>
      </c>
      <c r="U70" s="186">
        <v>0</v>
      </c>
      <c r="V70" s="186">
        <v>0</v>
      </c>
      <c r="W70" s="186">
        <v>0</v>
      </c>
      <c r="X70" s="186">
        <v>0</v>
      </c>
      <c r="Y70" s="186">
        <v>0</v>
      </c>
      <c r="Z70" s="186">
        <v>0</v>
      </c>
      <c r="AA70" s="186">
        <v>0</v>
      </c>
      <c r="AB70" s="186">
        <v>0</v>
      </c>
      <c r="AC70" s="33">
        <v>2.0736000294618859E-7</v>
      </c>
      <c r="AD70" s="219">
        <v>2.0736000294618859E-7</v>
      </c>
      <c r="AE70" s="219">
        <v>2.0736000294618859E-7</v>
      </c>
      <c r="AF70" s="219">
        <v>2.0736000294618859E-7</v>
      </c>
      <c r="AG70" s="219">
        <v>2.0736000294618859E-7</v>
      </c>
      <c r="AH70" s="219">
        <v>2.0736000294618859E-7</v>
      </c>
      <c r="AI70" s="219">
        <v>2.0736000294618859E-7</v>
      </c>
      <c r="AJ70" s="219">
        <v>2.0736000294618859E-7</v>
      </c>
      <c r="AK70" s="219">
        <v>2.0736000294618859E-7</v>
      </c>
      <c r="AL70" s="219">
        <v>2.0736000294618859E-7</v>
      </c>
      <c r="AM70" s="219">
        <v>2.0736000294618859E-7</v>
      </c>
      <c r="AN70" s="219">
        <v>2.0736000294618859E-7</v>
      </c>
      <c r="AO70" s="219">
        <v>2.0736000294618859E-7</v>
      </c>
      <c r="AP70" s="219">
        <v>2.0736000294618859E-7</v>
      </c>
      <c r="AQ70" s="219">
        <v>2.0736000294618859E-7</v>
      </c>
      <c r="AR70" s="219">
        <v>2.0736000294618859E-7</v>
      </c>
      <c r="AS70" s="219">
        <v>2.0736000294618859E-7</v>
      </c>
      <c r="AT70" s="219">
        <v>2.0736000294618859E-7</v>
      </c>
      <c r="AU70" s="219">
        <v>2.0736000294618859E-7</v>
      </c>
      <c r="AV70" s="219">
        <v>2.0736000294618859E-7</v>
      </c>
      <c r="AW70" s="219">
        <v>2.0736000294618859E-7</v>
      </c>
      <c r="AX70" s="219">
        <v>2.0736000294618859E-7</v>
      </c>
      <c r="AY70" s="219">
        <v>2.0736000294618859E-7</v>
      </c>
      <c r="AZ70" s="219">
        <v>2.0736000294618859E-7</v>
      </c>
      <c r="BA70" s="219">
        <v>2.0736000294618859E-7</v>
      </c>
      <c r="BB70" s="219">
        <v>2.0736000294618859E-7</v>
      </c>
      <c r="BC70" s="33">
        <v>0</v>
      </c>
      <c r="BD70" s="219">
        <v>0</v>
      </c>
      <c r="BE70" s="219">
        <v>0</v>
      </c>
      <c r="BF70" s="219">
        <v>0</v>
      </c>
      <c r="BG70" s="219">
        <v>0</v>
      </c>
      <c r="BH70" s="219">
        <v>0</v>
      </c>
      <c r="BI70" s="219">
        <v>0</v>
      </c>
      <c r="BJ70" s="219">
        <v>0</v>
      </c>
      <c r="BK70" s="219">
        <v>0</v>
      </c>
      <c r="BL70" s="219">
        <v>0</v>
      </c>
      <c r="BM70" s="219">
        <v>0</v>
      </c>
      <c r="BN70" s="219">
        <v>0</v>
      </c>
      <c r="BO70" s="219">
        <v>0</v>
      </c>
      <c r="BP70" s="219">
        <v>0</v>
      </c>
      <c r="BQ70" s="219">
        <v>0</v>
      </c>
      <c r="BR70" s="219">
        <v>0</v>
      </c>
      <c r="BS70" s="219">
        <v>0</v>
      </c>
      <c r="BT70" s="219">
        <v>0</v>
      </c>
      <c r="BU70" s="219">
        <v>0</v>
      </c>
      <c r="BV70" s="219">
        <v>0</v>
      </c>
      <c r="BW70" s="219">
        <v>0</v>
      </c>
      <c r="BX70" s="219">
        <v>0</v>
      </c>
      <c r="BY70" s="219">
        <v>0</v>
      </c>
      <c r="BZ70" s="219">
        <v>0</v>
      </c>
      <c r="CA70" s="219">
        <v>0</v>
      </c>
      <c r="CB70" s="219">
        <v>0</v>
      </c>
      <c r="CC70" s="33">
        <v>0</v>
      </c>
      <c r="CD70" s="219">
        <v>0</v>
      </c>
      <c r="CE70" s="219">
        <v>0</v>
      </c>
      <c r="CF70" s="219">
        <v>0</v>
      </c>
      <c r="CG70" s="219">
        <v>0</v>
      </c>
      <c r="CH70" s="219">
        <v>0</v>
      </c>
      <c r="CI70" s="219">
        <v>0</v>
      </c>
      <c r="CJ70" s="219">
        <v>0</v>
      </c>
      <c r="CK70" s="219">
        <v>0</v>
      </c>
      <c r="CL70" s="219">
        <v>0</v>
      </c>
      <c r="CM70" s="219">
        <v>0</v>
      </c>
      <c r="CN70" s="219">
        <v>0</v>
      </c>
      <c r="CO70" s="219">
        <v>0</v>
      </c>
      <c r="CP70" s="219">
        <v>0</v>
      </c>
      <c r="CQ70" s="219">
        <v>0</v>
      </c>
      <c r="CR70" s="219">
        <v>0</v>
      </c>
      <c r="CS70" s="219">
        <v>0</v>
      </c>
      <c r="CT70" s="219">
        <v>0</v>
      </c>
      <c r="CU70" s="219">
        <v>0</v>
      </c>
      <c r="CV70" s="219">
        <v>0</v>
      </c>
      <c r="CW70" s="219">
        <v>0</v>
      </c>
      <c r="CX70" s="219">
        <v>0</v>
      </c>
      <c r="CY70" s="219">
        <v>0</v>
      </c>
      <c r="CZ70" s="219">
        <v>0</v>
      </c>
      <c r="DA70" s="219">
        <v>0</v>
      </c>
      <c r="DB70" s="219">
        <v>0</v>
      </c>
    </row>
    <row r="71" spans="1:106" x14ac:dyDescent="0.35">
      <c r="A71" s="137" t="s">
        <v>563</v>
      </c>
      <c r="B71" s="130" t="s">
        <v>704</v>
      </c>
      <c r="C71" s="186">
        <v>2.451724740800556</v>
      </c>
      <c r="D71" s="186">
        <v>2.255746180971077</v>
      </c>
      <c r="E71" s="186">
        <v>2.0596126680614439</v>
      </c>
      <c r="F71" s="186">
        <v>1.8636891919362819</v>
      </c>
      <c r="G71" s="186">
        <v>1.6672496151323251</v>
      </c>
      <c r="H71" s="186">
        <v>1.470645521292405</v>
      </c>
      <c r="I71" s="186">
        <v>1.399675334368562</v>
      </c>
      <c r="J71" s="186">
        <v>1.3289052935042971</v>
      </c>
      <c r="K71" s="186">
        <v>1.2587837316745369</v>
      </c>
      <c r="L71" s="186">
        <v>1.188232150312958</v>
      </c>
      <c r="M71" s="186">
        <v>1.117732072766036</v>
      </c>
      <c r="N71" s="186">
        <v>1.0978572281657439</v>
      </c>
      <c r="O71" s="186">
        <v>1.077903231489266</v>
      </c>
      <c r="P71" s="186">
        <v>1.058207905154732</v>
      </c>
      <c r="Q71" s="186">
        <v>1.038049470266218</v>
      </c>
      <c r="R71" s="186">
        <v>1.0177723722873919</v>
      </c>
      <c r="S71" s="186">
        <v>1.0271437682999369</v>
      </c>
      <c r="T71" s="186">
        <v>1.036448728542396</v>
      </c>
      <c r="U71" s="186">
        <v>1.045919405710775</v>
      </c>
      <c r="V71" s="186">
        <v>1.055088824127391</v>
      </c>
      <c r="W71" s="186">
        <v>1.064189174303664</v>
      </c>
      <c r="X71" s="186">
        <v>1.0716873966338709</v>
      </c>
      <c r="Y71" s="186">
        <v>1.078940781927382</v>
      </c>
      <c r="Z71" s="186">
        <v>1.0862322755800391</v>
      </c>
      <c r="AA71" s="186">
        <v>1.0935582834365529</v>
      </c>
      <c r="AB71" s="186">
        <v>1.100919093231042</v>
      </c>
      <c r="AC71" s="33">
        <v>1.6386375495505349E-3</v>
      </c>
      <c r="AD71" s="219">
        <v>1.5112316326484959E-3</v>
      </c>
      <c r="AE71" s="219">
        <v>1.3837543970326631E-3</v>
      </c>
      <c r="AF71" s="219">
        <v>1.2558840904142621E-3</v>
      </c>
      <c r="AG71" s="219">
        <v>1.1282448645550649E-3</v>
      </c>
      <c r="AH71" s="219">
        <v>1.0005157263606719E-3</v>
      </c>
      <c r="AI71" s="219">
        <v>9.3651216492734936E-4</v>
      </c>
      <c r="AJ71" s="219">
        <v>8.7258324352513118E-4</v>
      </c>
      <c r="AK71" s="219">
        <v>8.0869833121114711E-4</v>
      </c>
      <c r="AL71" s="219">
        <v>7.4478945046417078E-4</v>
      </c>
      <c r="AM71" s="219">
        <v>6.8085795479469273E-4</v>
      </c>
      <c r="AN71" s="219">
        <v>6.4569324878916052E-4</v>
      </c>
      <c r="AO71" s="219">
        <v>6.1033818570832934E-4</v>
      </c>
      <c r="AP71" s="219">
        <v>5.7496679721996484E-4</v>
      </c>
      <c r="AQ71" s="219">
        <v>5.3922939282788709E-4</v>
      </c>
      <c r="AR71" s="219">
        <v>5.0330598261558233E-4</v>
      </c>
      <c r="AS71" s="219">
        <v>4.9195426924303787E-4</v>
      </c>
      <c r="AT71" s="219">
        <v>4.8057625562618859E-4</v>
      </c>
      <c r="AU71" s="219">
        <v>4.6932665262981591E-4</v>
      </c>
      <c r="AV71" s="219">
        <v>4.5789974926153389E-4</v>
      </c>
      <c r="AW71" s="219">
        <v>4.464527581883931E-4</v>
      </c>
      <c r="AX71" s="219">
        <v>4.4374053403939851E-4</v>
      </c>
      <c r="AY71" s="219">
        <v>4.4022467840314938E-4</v>
      </c>
      <c r="AZ71" s="219">
        <v>4.367023767799856E-4</v>
      </c>
      <c r="BA71" s="219">
        <v>4.3317135378885627E-4</v>
      </c>
      <c r="BB71" s="219">
        <v>4.2963153183192039E-4</v>
      </c>
      <c r="BC71" s="33">
        <v>2644.949885334418</v>
      </c>
      <c r="BD71" s="219">
        <v>2594.108167558657</v>
      </c>
      <c r="BE71" s="219">
        <v>2543.2682253138478</v>
      </c>
      <c r="BF71" s="219">
        <v>2487.9521157601371</v>
      </c>
      <c r="BG71" s="219">
        <v>2437.1242839401812</v>
      </c>
      <c r="BH71" s="219">
        <v>2386.2906882774419</v>
      </c>
      <c r="BI71" s="219">
        <v>2370.2419294222841</v>
      </c>
      <c r="BJ71" s="219">
        <v>2354.0763815873088</v>
      </c>
      <c r="BK71" s="219">
        <v>2333.8324188162778</v>
      </c>
      <c r="BL71" s="219">
        <v>2317.252732820411</v>
      </c>
      <c r="BM71" s="219">
        <v>2300.4890050248891</v>
      </c>
      <c r="BN71" s="219">
        <v>2282.2775874176141</v>
      </c>
      <c r="BO71" s="219">
        <v>2263.7893700673549</v>
      </c>
      <c r="BP71" s="219">
        <v>2244.103764658988</v>
      </c>
      <c r="BQ71" s="219">
        <v>2225.0759031368611</v>
      </c>
      <c r="BR71" s="219">
        <v>2205.775813645459</v>
      </c>
      <c r="BS71" s="219">
        <v>2220.5533834973212</v>
      </c>
      <c r="BT71" s="219">
        <v>2235.0614604309171</v>
      </c>
      <c r="BU71" s="219">
        <v>2248.3959084608359</v>
      </c>
      <c r="BV71" s="219">
        <v>2262.3771476040938</v>
      </c>
      <c r="BW71" s="219">
        <v>2276.09950326947</v>
      </c>
      <c r="BX71" s="219">
        <v>2255.913271043959</v>
      </c>
      <c r="BY71" s="219">
        <v>2235.7336912014089</v>
      </c>
      <c r="BZ71" s="219">
        <v>2215.4684828238019</v>
      </c>
      <c r="CA71" s="219">
        <v>2195.1143549592839</v>
      </c>
      <c r="CB71" s="219">
        <v>2174.6703777905368</v>
      </c>
      <c r="CC71" s="33">
        <v>29333.972943862042</v>
      </c>
      <c r="CD71" s="219">
        <v>27292.80519406205</v>
      </c>
      <c r="CE71" s="219">
        <v>25252.457053391019</v>
      </c>
      <c r="CF71" s="219">
        <v>23183.885001695438</v>
      </c>
      <c r="CG71" s="219">
        <v>21144.555105579959</v>
      </c>
      <c r="CH71" s="219">
        <v>19105.454163521252</v>
      </c>
      <c r="CI71" s="219">
        <v>17446.94626211204</v>
      </c>
      <c r="CJ71" s="219">
        <v>15790.99526139489</v>
      </c>
      <c r="CK71" s="219">
        <v>14112.941779038551</v>
      </c>
      <c r="CL71" s="219">
        <v>12458.236000018969</v>
      </c>
      <c r="CM71" s="219">
        <v>10803.59805184265</v>
      </c>
      <c r="CN71" s="219">
        <v>9476.44403871336</v>
      </c>
      <c r="CO71" s="219">
        <v>8144.2445028166321</v>
      </c>
      <c r="CP71" s="219">
        <v>6802.2612894680433</v>
      </c>
      <c r="CQ71" s="219">
        <v>5460.1562049563308</v>
      </c>
      <c r="CR71" s="219">
        <v>4113.1977144212233</v>
      </c>
      <c r="CS71" s="219">
        <v>3365.1819860143701</v>
      </c>
      <c r="CT71" s="219">
        <v>2617.48242761751</v>
      </c>
      <c r="CU71" s="219">
        <v>1866.1112904239531</v>
      </c>
      <c r="CV71" s="219">
        <v>1119.2985864149889</v>
      </c>
      <c r="CW71" s="219">
        <v>373.26129137393877</v>
      </c>
      <c r="CX71" s="219">
        <v>103.5106643353766</v>
      </c>
      <c r="CY71" s="219">
        <v>-169.81024892526969</v>
      </c>
      <c r="CZ71" s="219">
        <v>-444.043635634579</v>
      </c>
      <c r="DA71" s="219">
        <v>-719.2101930397281</v>
      </c>
      <c r="DB71" s="219">
        <v>-995.31591250145084</v>
      </c>
    </row>
    <row r="73" spans="1:106" s="11" customFormat="1" ht="21" x14ac:dyDescent="0.5">
      <c r="A73" s="11" t="s">
        <v>94</v>
      </c>
    </row>
    <row r="74" spans="1:106" x14ac:dyDescent="0.35">
      <c r="A74" s="29" t="s">
        <v>0</v>
      </c>
      <c r="B74" s="29"/>
      <c r="C74" s="332" t="s">
        <v>702</v>
      </c>
      <c r="D74" s="332"/>
      <c r="E74" s="332"/>
      <c r="F74" s="332"/>
      <c r="G74" s="332"/>
      <c r="H74" s="332"/>
      <c r="I74" s="332"/>
      <c r="J74" s="332"/>
      <c r="K74" s="332"/>
      <c r="L74" s="332"/>
      <c r="M74" s="332"/>
      <c r="N74" s="332"/>
      <c r="O74" s="332"/>
      <c r="P74" s="332"/>
      <c r="Q74" s="332"/>
      <c r="R74" s="332"/>
      <c r="S74" s="332"/>
      <c r="T74" s="332"/>
      <c r="U74" s="332"/>
      <c r="V74" s="332"/>
      <c r="W74" s="332"/>
      <c r="X74" s="332"/>
      <c r="Y74" s="332"/>
      <c r="Z74" s="332"/>
      <c r="AA74" s="332"/>
      <c r="AB74" s="332"/>
      <c r="AC74" s="333" t="s">
        <v>701</v>
      </c>
      <c r="AD74" s="333"/>
      <c r="AE74" s="333"/>
      <c r="AF74" s="333"/>
      <c r="AG74" s="333"/>
      <c r="AH74" s="333"/>
      <c r="AI74" s="333"/>
      <c r="AJ74" s="333"/>
      <c r="AK74" s="333"/>
      <c r="AL74" s="333"/>
      <c r="AM74" s="333"/>
      <c r="AN74" s="333"/>
      <c r="AO74" s="333"/>
      <c r="AP74" s="333"/>
      <c r="AQ74" s="333"/>
      <c r="AR74" s="333"/>
      <c r="AS74" s="333"/>
      <c r="AT74" s="333"/>
      <c r="AU74" s="333"/>
      <c r="AV74" s="333"/>
      <c r="AW74" s="333"/>
      <c r="AX74" s="333"/>
      <c r="AY74" s="333"/>
      <c r="AZ74" s="333"/>
      <c r="BA74" s="333"/>
      <c r="BB74" s="333"/>
      <c r="BC74" s="334" t="s">
        <v>756</v>
      </c>
      <c r="BD74" s="335"/>
      <c r="BE74" s="335"/>
      <c r="BF74" s="335"/>
      <c r="BG74" s="335"/>
      <c r="BH74" s="335"/>
      <c r="BI74" s="335"/>
      <c r="BJ74" s="335"/>
      <c r="BK74" s="335"/>
      <c r="BL74" s="335"/>
      <c r="BM74" s="335"/>
      <c r="BN74" s="335"/>
      <c r="BO74" s="335"/>
      <c r="BP74" s="335"/>
      <c r="BQ74" s="335"/>
      <c r="BR74" s="335"/>
      <c r="BS74" s="335"/>
      <c r="BT74" s="335"/>
      <c r="BU74" s="335"/>
      <c r="BV74" s="335"/>
      <c r="BW74" s="335"/>
      <c r="BX74" s="335"/>
      <c r="BY74" s="335"/>
      <c r="BZ74" s="335"/>
      <c r="CA74" s="335"/>
      <c r="CB74" s="336"/>
      <c r="CC74" s="337" t="s">
        <v>700</v>
      </c>
      <c r="CD74" s="337"/>
      <c r="CE74" s="337"/>
      <c r="CF74" s="337"/>
      <c r="CG74" s="337"/>
      <c r="CH74" s="337"/>
      <c r="CI74" s="337"/>
      <c r="CJ74" s="337"/>
      <c r="CK74" s="337"/>
      <c r="CL74" s="337"/>
      <c r="CM74" s="337"/>
      <c r="CN74" s="337"/>
      <c r="CO74" s="337"/>
      <c r="CP74" s="337"/>
      <c r="CQ74" s="337"/>
      <c r="CR74" s="337"/>
      <c r="CS74" s="337"/>
      <c r="CT74" s="337"/>
      <c r="CU74" s="337"/>
      <c r="CV74" s="337"/>
      <c r="CW74" s="337"/>
      <c r="CX74" s="337"/>
      <c r="CY74" s="337"/>
      <c r="CZ74" s="337"/>
      <c r="DA74" s="337"/>
      <c r="DB74" s="337"/>
    </row>
    <row r="75" spans="1:106" x14ac:dyDescent="0.35">
      <c r="A75" s="29" t="s">
        <v>1</v>
      </c>
      <c r="B75" s="29" t="s">
        <v>180</v>
      </c>
      <c r="C75" s="184" t="s">
        <v>14</v>
      </c>
      <c r="D75" s="184" t="s">
        <v>95</v>
      </c>
      <c r="E75" s="184" t="s">
        <v>96</v>
      </c>
      <c r="F75" s="184" t="s">
        <v>97</v>
      </c>
      <c r="G75" s="184" t="s">
        <v>98</v>
      </c>
      <c r="H75" s="184" t="s">
        <v>15</v>
      </c>
      <c r="I75" s="184" t="s">
        <v>99</v>
      </c>
      <c r="J75" s="184" t="s">
        <v>100</v>
      </c>
      <c r="K75" s="184" t="s">
        <v>101</v>
      </c>
      <c r="L75" s="184" t="s">
        <v>102</v>
      </c>
      <c r="M75" s="184" t="s">
        <v>16</v>
      </c>
      <c r="N75" s="184" t="s">
        <v>103</v>
      </c>
      <c r="O75" s="184" t="s">
        <v>104</v>
      </c>
      <c r="P75" s="184" t="s">
        <v>105</v>
      </c>
      <c r="Q75" s="184" t="s">
        <v>106</v>
      </c>
      <c r="R75" s="184" t="s">
        <v>17</v>
      </c>
      <c r="S75" s="184" t="s">
        <v>107</v>
      </c>
      <c r="T75" s="184" t="s">
        <v>108</v>
      </c>
      <c r="U75" s="184" t="s">
        <v>109</v>
      </c>
      <c r="V75" s="184" t="s">
        <v>110</v>
      </c>
      <c r="W75" s="184" t="s">
        <v>18</v>
      </c>
      <c r="X75" s="184" t="s">
        <v>111</v>
      </c>
      <c r="Y75" s="184" t="s">
        <v>112</v>
      </c>
      <c r="Z75" s="184" t="s">
        <v>113</v>
      </c>
      <c r="AA75" s="184" t="s">
        <v>114</v>
      </c>
      <c r="AB75" s="184" t="s">
        <v>19</v>
      </c>
      <c r="AC75" s="185" t="s">
        <v>14</v>
      </c>
      <c r="AD75" s="185" t="s">
        <v>95</v>
      </c>
      <c r="AE75" s="185" t="s">
        <v>96</v>
      </c>
      <c r="AF75" s="185" t="s">
        <v>97</v>
      </c>
      <c r="AG75" s="185" t="s">
        <v>98</v>
      </c>
      <c r="AH75" s="185" t="s">
        <v>15</v>
      </c>
      <c r="AI75" s="185" t="s">
        <v>99</v>
      </c>
      <c r="AJ75" s="185" t="s">
        <v>100</v>
      </c>
      <c r="AK75" s="185" t="s">
        <v>101</v>
      </c>
      <c r="AL75" s="185" t="s">
        <v>102</v>
      </c>
      <c r="AM75" s="185" t="s">
        <v>16</v>
      </c>
      <c r="AN75" s="185" t="s">
        <v>103</v>
      </c>
      <c r="AO75" s="185" t="s">
        <v>104</v>
      </c>
      <c r="AP75" s="185" t="s">
        <v>105</v>
      </c>
      <c r="AQ75" s="185" t="s">
        <v>106</v>
      </c>
      <c r="AR75" s="185" t="s">
        <v>17</v>
      </c>
      <c r="AS75" s="185" t="s">
        <v>107</v>
      </c>
      <c r="AT75" s="185" t="s">
        <v>108</v>
      </c>
      <c r="AU75" s="185" t="s">
        <v>109</v>
      </c>
      <c r="AV75" s="185" t="s">
        <v>110</v>
      </c>
      <c r="AW75" s="185" t="s">
        <v>18</v>
      </c>
      <c r="AX75" s="185" t="s">
        <v>111</v>
      </c>
      <c r="AY75" s="185" t="s">
        <v>112</v>
      </c>
      <c r="AZ75" s="185" t="s">
        <v>113</v>
      </c>
      <c r="BA75" s="185" t="s">
        <v>114</v>
      </c>
      <c r="BB75" s="185" t="s">
        <v>19</v>
      </c>
      <c r="BC75" s="213" t="s">
        <v>14</v>
      </c>
      <c r="BD75" s="213" t="s">
        <v>95</v>
      </c>
      <c r="BE75" s="213" t="s">
        <v>96</v>
      </c>
      <c r="BF75" s="213" t="s">
        <v>97</v>
      </c>
      <c r="BG75" s="213" t="s">
        <v>98</v>
      </c>
      <c r="BH75" s="213" t="s">
        <v>15</v>
      </c>
      <c r="BI75" s="213" t="s">
        <v>99</v>
      </c>
      <c r="BJ75" s="213" t="s">
        <v>100</v>
      </c>
      <c r="BK75" s="213" t="s">
        <v>101</v>
      </c>
      <c r="BL75" s="213" t="s">
        <v>102</v>
      </c>
      <c r="BM75" s="213" t="s">
        <v>16</v>
      </c>
      <c r="BN75" s="213" t="s">
        <v>103</v>
      </c>
      <c r="BO75" s="213" t="s">
        <v>104</v>
      </c>
      <c r="BP75" s="213" t="s">
        <v>105</v>
      </c>
      <c r="BQ75" s="213" t="s">
        <v>106</v>
      </c>
      <c r="BR75" s="213" t="s">
        <v>17</v>
      </c>
      <c r="BS75" s="213" t="s">
        <v>107</v>
      </c>
      <c r="BT75" s="213" t="s">
        <v>108</v>
      </c>
      <c r="BU75" s="213" t="s">
        <v>109</v>
      </c>
      <c r="BV75" s="213" t="s">
        <v>110</v>
      </c>
      <c r="BW75" s="213" t="s">
        <v>18</v>
      </c>
      <c r="BX75" s="213" t="s">
        <v>111</v>
      </c>
      <c r="BY75" s="213" t="s">
        <v>112</v>
      </c>
      <c r="BZ75" s="213" t="s">
        <v>113</v>
      </c>
      <c r="CA75" s="213" t="s">
        <v>114</v>
      </c>
      <c r="CB75" s="213" t="s">
        <v>19</v>
      </c>
      <c r="CC75" s="220" t="s">
        <v>14</v>
      </c>
      <c r="CD75" s="220" t="s">
        <v>95</v>
      </c>
      <c r="CE75" s="220" t="s">
        <v>96</v>
      </c>
      <c r="CF75" s="220" t="s">
        <v>97</v>
      </c>
      <c r="CG75" s="220" t="s">
        <v>98</v>
      </c>
      <c r="CH75" s="220" t="s">
        <v>15</v>
      </c>
      <c r="CI75" s="220" t="s">
        <v>99</v>
      </c>
      <c r="CJ75" s="220" t="s">
        <v>100</v>
      </c>
      <c r="CK75" s="220" t="s">
        <v>101</v>
      </c>
      <c r="CL75" s="220" t="s">
        <v>102</v>
      </c>
      <c r="CM75" s="220" t="s">
        <v>16</v>
      </c>
      <c r="CN75" s="220" t="s">
        <v>103</v>
      </c>
      <c r="CO75" s="220" t="s">
        <v>104</v>
      </c>
      <c r="CP75" s="220" t="s">
        <v>105</v>
      </c>
      <c r="CQ75" s="220" t="s">
        <v>106</v>
      </c>
      <c r="CR75" s="220" t="s">
        <v>17</v>
      </c>
      <c r="CS75" s="220" t="s">
        <v>107</v>
      </c>
      <c r="CT75" s="220" t="s">
        <v>108</v>
      </c>
      <c r="CU75" s="220" t="s">
        <v>109</v>
      </c>
      <c r="CV75" s="220" t="s">
        <v>110</v>
      </c>
      <c r="CW75" s="220" t="s">
        <v>18</v>
      </c>
      <c r="CX75" s="220" t="s">
        <v>111</v>
      </c>
      <c r="CY75" s="220" t="s">
        <v>112</v>
      </c>
      <c r="CZ75" s="220" t="s">
        <v>113</v>
      </c>
      <c r="DA75" s="220" t="s">
        <v>114</v>
      </c>
      <c r="DB75" s="220" t="s">
        <v>19</v>
      </c>
    </row>
    <row r="77" spans="1:106" x14ac:dyDescent="0.35">
      <c r="A77" s="137" t="s">
        <v>538</v>
      </c>
      <c r="B77" s="130" t="s">
        <v>545</v>
      </c>
      <c r="C77" s="33">
        <v>0.2008445742562068</v>
      </c>
      <c r="D77" s="219">
        <v>0.20027756969835289</v>
      </c>
      <c r="E77" s="219">
        <v>0.19975859870185189</v>
      </c>
      <c r="F77" s="219">
        <v>0.1992675953218932</v>
      </c>
      <c r="G77" s="219">
        <v>0.19877336710258511</v>
      </c>
      <c r="H77" s="219">
        <v>0.19828970565067641</v>
      </c>
      <c r="I77" s="219">
        <v>0.1975666277190713</v>
      </c>
      <c r="J77" s="219">
        <v>0.19695591251538139</v>
      </c>
      <c r="K77" s="219">
        <v>0.19647832242298191</v>
      </c>
      <c r="L77" s="219">
        <v>0.19603178234000451</v>
      </c>
      <c r="M77" s="219">
        <v>0.1956532319126838</v>
      </c>
      <c r="N77" s="219">
        <v>0.19529775125637169</v>
      </c>
      <c r="O77" s="219">
        <v>0.19502303228028331</v>
      </c>
      <c r="P77" s="219">
        <v>0.19483526298502671</v>
      </c>
      <c r="Q77" s="219">
        <v>0.19466488749722541</v>
      </c>
      <c r="R77" s="219">
        <v>0.194531244982002</v>
      </c>
      <c r="S77" s="219">
        <v>0.1946210508988982</v>
      </c>
      <c r="T77" s="219">
        <v>0.19471285493999349</v>
      </c>
      <c r="U77" s="219">
        <v>0.19482406113453599</v>
      </c>
      <c r="V77" s="219">
        <v>0.1949178043866982</v>
      </c>
      <c r="W77" s="219">
        <v>0.19501194406982739</v>
      </c>
      <c r="X77" s="219">
        <v>0.19518615764627059</v>
      </c>
      <c r="Y77" s="219">
        <v>0.1953471024491501</v>
      </c>
      <c r="Z77" s="219">
        <v>0.1955067452851719</v>
      </c>
      <c r="AA77" s="219">
        <v>0.19566510499319459</v>
      </c>
      <c r="AB77" s="219">
        <v>0.19582221590651</v>
      </c>
      <c r="AC77" s="33">
        <v>9.1407716310991399E-5</v>
      </c>
      <c r="AD77" s="219">
        <v>9.0859104711603367E-5</v>
      </c>
      <c r="AE77" s="219">
        <v>9.032755041625613E-5</v>
      </c>
      <c r="AF77" s="219">
        <v>8.975769579548739E-5</v>
      </c>
      <c r="AG77" s="219">
        <v>8.9222871355503343E-5</v>
      </c>
      <c r="AH77" s="219">
        <v>8.8687817702367663E-5</v>
      </c>
      <c r="AI77" s="219">
        <v>8.8519066686578335E-5</v>
      </c>
      <c r="AJ77" s="219">
        <v>8.8357315070849952E-5</v>
      </c>
      <c r="AK77" s="219">
        <v>8.8211010685091971E-5</v>
      </c>
      <c r="AL77" s="219">
        <v>8.8061025053879147E-5</v>
      </c>
      <c r="AM77" s="219">
        <v>8.792086062813401E-5</v>
      </c>
      <c r="AN77" s="219">
        <v>8.7840514778608398E-5</v>
      </c>
      <c r="AO77" s="219">
        <v>8.7768640152760462E-5</v>
      </c>
      <c r="AP77" s="219">
        <v>8.7711003109198108E-5</v>
      </c>
      <c r="AQ77" s="219">
        <v>8.7645053873064232E-5</v>
      </c>
      <c r="AR77" s="219">
        <v>8.758082841443831E-5</v>
      </c>
      <c r="AS77" s="219">
        <v>8.751893893041066E-5</v>
      </c>
      <c r="AT77" s="219">
        <v>8.7457961504410975E-5</v>
      </c>
      <c r="AU77" s="219">
        <v>8.7407142220761235E-5</v>
      </c>
      <c r="AV77" s="219">
        <v>8.7348053297712575E-5</v>
      </c>
      <c r="AW77" s="219">
        <v>8.7289664567893687E-5</v>
      </c>
      <c r="AX77" s="219">
        <v>8.7276109196327689E-5</v>
      </c>
      <c r="AY77" s="219">
        <v>8.7250599788031287E-5</v>
      </c>
      <c r="AZ77" s="219">
        <v>8.7225400707989365E-5</v>
      </c>
      <c r="BA77" s="219">
        <v>8.7200498638129382E-5</v>
      </c>
      <c r="BB77" s="219">
        <v>8.7175888612542874E-5</v>
      </c>
      <c r="BC77" s="33">
        <v>71.697576674124974</v>
      </c>
      <c r="BD77" s="219">
        <v>71.164370337072938</v>
      </c>
      <c r="BE77" s="219">
        <v>70.642508357899573</v>
      </c>
      <c r="BF77" s="219">
        <v>69.804401357069708</v>
      </c>
      <c r="BG77" s="219">
        <v>69.281606817813739</v>
      </c>
      <c r="BH77" s="219">
        <v>68.760428424823033</v>
      </c>
      <c r="BI77" s="219">
        <v>69.115111134153466</v>
      </c>
      <c r="BJ77" s="219">
        <v>69.463131146805722</v>
      </c>
      <c r="BK77" s="219">
        <v>69.587843101879912</v>
      </c>
      <c r="BL77" s="219">
        <v>69.925679128503731</v>
      </c>
      <c r="BM77" s="219">
        <v>70.261868884137371</v>
      </c>
      <c r="BN77" s="219">
        <v>70.461777433383048</v>
      </c>
      <c r="BO77" s="219">
        <v>70.665875197695513</v>
      </c>
      <c r="BP77" s="219">
        <v>70.805560876354662</v>
      </c>
      <c r="BQ77" s="219">
        <v>71.009200138961319</v>
      </c>
      <c r="BR77" s="219">
        <v>71.21118638132765</v>
      </c>
      <c r="BS77" s="219">
        <v>70.963517789776205</v>
      </c>
      <c r="BT77" s="219">
        <v>70.714891603953035</v>
      </c>
      <c r="BU77" s="219">
        <v>70.405439755688789</v>
      </c>
      <c r="BV77" s="219">
        <v>70.155694001324633</v>
      </c>
      <c r="BW77" s="219">
        <v>69.903126942349715</v>
      </c>
      <c r="BX77" s="219">
        <v>69.869979168777945</v>
      </c>
      <c r="BY77" s="219">
        <v>69.836823410507705</v>
      </c>
      <c r="BZ77" s="219">
        <v>69.803320658086449</v>
      </c>
      <c r="CA77" s="219">
        <v>69.769474733129414</v>
      </c>
      <c r="CB77" s="219">
        <v>69.735297293792499</v>
      </c>
      <c r="CC77" s="33">
        <v>456.66549758974878</v>
      </c>
      <c r="CD77" s="219">
        <v>439.88157035622748</v>
      </c>
      <c r="CE77" s="219">
        <v>423.50969835001018</v>
      </c>
      <c r="CF77" s="219">
        <v>405.17544282562352</v>
      </c>
      <c r="CG77" s="219">
        <v>388.86335689098132</v>
      </c>
      <c r="CH77" s="219">
        <v>372.57958491844101</v>
      </c>
      <c r="CI77" s="219">
        <v>365.7125553084158</v>
      </c>
      <c r="CJ77" s="219">
        <v>359.00912750521547</v>
      </c>
      <c r="CK77" s="219">
        <v>351.31740565138278</v>
      </c>
      <c r="CL77" s="219">
        <v>344.91241462695649</v>
      </c>
      <c r="CM77" s="219">
        <v>338.73284312671808</v>
      </c>
      <c r="CN77" s="219">
        <v>335.09598975120082</v>
      </c>
      <c r="CO77" s="219">
        <v>331.6348656714826</v>
      </c>
      <c r="CP77" s="219">
        <v>327.9457384303621</v>
      </c>
      <c r="CQ77" s="219">
        <v>324.64061931949891</v>
      </c>
      <c r="CR77" s="219">
        <v>321.38853268528732</v>
      </c>
      <c r="CS77" s="219">
        <v>318.34385884961029</v>
      </c>
      <c r="CT77" s="219">
        <v>315.34684699746612</v>
      </c>
      <c r="CU77" s="219">
        <v>312.18208971495801</v>
      </c>
      <c r="CV77" s="219">
        <v>309.28584351884922</v>
      </c>
      <c r="CW77" s="219">
        <v>306.4282399643979</v>
      </c>
      <c r="CX77" s="219">
        <v>304.76589526420361</v>
      </c>
      <c r="CY77" s="219">
        <v>303.07853710384882</v>
      </c>
      <c r="CZ77" s="219">
        <v>301.4126199804731</v>
      </c>
      <c r="DA77" s="219">
        <v>299.76767501733752</v>
      </c>
      <c r="DB77" s="219">
        <v>298.14329114651849</v>
      </c>
    </row>
    <row r="78" spans="1:106" x14ac:dyDescent="0.35">
      <c r="A78" s="137" t="s">
        <v>533</v>
      </c>
      <c r="B78" s="130" t="s">
        <v>545</v>
      </c>
      <c r="C78" s="33">
        <v>0.4525701334741718</v>
      </c>
      <c r="D78" s="219">
        <v>0.45293038843627342</v>
      </c>
      <c r="E78" s="219">
        <v>0.45329902566294361</v>
      </c>
      <c r="F78" s="219">
        <v>0.45366787466867908</v>
      </c>
      <c r="G78" s="219">
        <v>0.4539935158244261</v>
      </c>
      <c r="H78" s="219">
        <v>0.45432046986532121</v>
      </c>
      <c r="I78" s="219">
        <v>0.45370350564603329</v>
      </c>
      <c r="J78" s="219">
        <v>0.45323849925147891</v>
      </c>
      <c r="K78" s="219">
        <v>0.45294663712587002</v>
      </c>
      <c r="L78" s="219">
        <v>0.45269737954875222</v>
      </c>
      <c r="M78" s="219">
        <v>0.45253015923746398</v>
      </c>
      <c r="N78" s="219">
        <v>0.45243072579200388</v>
      </c>
      <c r="O78" s="219">
        <v>0.45242680107901551</v>
      </c>
      <c r="P78" s="219">
        <v>0.45252763585147582</v>
      </c>
      <c r="Q78" s="219">
        <v>0.45264812410548788</v>
      </c>
      <c r="R78" s="219">
        <v>0.45281053327107218</v>
      </c>
      <c r="S78" s="219">
        <v>0.45320745067301788</v>
      </c>
      <c r="T78" s="219">
        <v>0.45359963675612641</v>
      </c>
      <c r="U78" s="219">
        <v>0.45400800140804998</v>
      </c>
      <c r="V78" s="219">
        <v>0.45438879419569078</v>
      </c>
      <c r="W78" s="219">
        <v>0.45476356926748152</v>
      </c>
      <c r="X78" s="219">
        <v>0.45522390570984311</v>
      </c>
      <c r="Y78" s="219">
        <v>0.45566006258713748</v>
      </c>
      <c r="Z78" s="219">
        <v>0.45609247034585609</v>
      </c>
      <c r="AA78" s="219">
        <v>0.45652124730146659</v>
      </c>
      <c r="AB78" s="219">
        <v>0.45694652861199608</v>
      </c>
      <c r="AC78" s="33">
        <v>1.7765909001794011E-4</v>
      </c>
      <c r="AD78" s="219">
        <v>1.7685970797182669E-4</v>
      </c>
      <c r="AE78" s="219">
        <v>1.7606419475119599E-4</v>
      </c>
      <c r="AF78" s="219">
        <v>1.752169762251082E-4</v>
      </c>
      <c r="AG78" s="219">
        <v>1.7440642239019151E-4</v>
      </c>
      <c r="AH78" s="219">
        <v>1.7360623037659061E-4</v>
      </c>
      <c r="AI78" s="219">
        <v>1.7337837085480901E-4</v>
      </c>
      <c r="AJ78" s="219">
        <v>1.731580353929878E-4</v>
      </c>
      <c r="AK78" s="219">
        <v>1.7295581417144199E-4</v>
      </c>
      <c r="AL78" s="219">
        <v>1.7274814033776649E-4</v>
      </c>
      <c r="AM78" s="219">
        <v>1.7254849723644591E-4</v>
      </c>
      <c r="AN78" s="219">
        <v>1.7244170761285829E-4</v>
      </c>
      <c r="AO78" s="219">
        <v>1.7234233333215761E-4</v>
      </c>
      <c r="AP78" s="219">
        <v>1.7225995192106979E-4</v>
      </c>
      <c r="AQ78" s="219">
        <v>1.721674998928404E-4</v>
      </c>
      <c r="AR78" s="219">
        <v>1.7207719255599269E-4</v>
      </c>
      <c r="AS78" s="219">
        <v>1.7199715209513991E-4</v>
      </c>
      <c r="AT78" s="219">
        <v>1.7191854988871E-4</v>
      </c>
      <c r="AU78" s="219">
        <v>1.7185268742212531E-4</v>
      </c>
      <c r="AV78" s="219">
        <v>1.7177702353022989E-4</v>
      </c>
      <c r="AW78" s="219">
        <v>1.7170251264334081E-4</v>
      </c>
      <c r="AX78" s="219">
        <v>1.7167386066669631E-4</v>
      </c>
      <c r="AY78" s="219">
        <v>1.7162343163655029E-4</v>
      </c>
      <c r="AZ78" s="219">
        <v>1.715734617958678E-4</v>
      </c>
      <c r="BA78" s="219">
        <v>1.7152393270360359E-4</v>
      </c>
      <c r="BB78" s="219">
        <v>1.714748365416411E-4</v>
      </c>
      <c r="BC78" s="33">
        <v>309.91249364426312</v>
      </c>
      <c r="BD78" s="219">
        <v>309.02329160868112</v>
      </c>
      <c r="BE78" s="219">
        <v>308.13777850687973</v>
      </c>
      <c r="BF78" s="219">
        <v>306.85273611428312</v>
      </c>
      <c r="BG78" s="219">
        <v>305.96079134742848</v>
      </c>
      <c r="BH78" s="219">
        <v>305.08389308593399</v>
      </c>
      <c r="BI78" s="219">
        <v>305.48443792733951</v>
      </c>
      <c r="BJ78" s="219">
        <v>305.8777385772724</v>
      </c>
      <c r="BK78" s="219">
        <v>305.99118217685287</v>
      </c>
      <c r="BL78" s="219">
        <v>306.37359472698472</v>
      </c>
      <c r="BM78" s="219">
        <v>306.75189631583692</v>
      </c>
      <c r="BN78" s="219">
        <v>306.92269715632159</v>
      </c>
      <c r="BO78" s="219">
        <v>307.09663101487649</v>
      </c>
      <c r="BP78" s="219">
        <v>307.1904244606115</v>
      </c>
      <c r="BQ78" s="219">
        <v>307.3656409148669</v>
      </c>
      <c r="BR78" s="219">
        <v>307.53988563461292</v>
      </c>
      <c r="BS78" s="219">
        <v>307.13915367814349</v>
      </c>
      <c r="BT78" s="219">
        <v>306.73991736786422</v>
      </c>
      <c r="BU78" s="219">
        <v>306.26688508385013</v>
      </c>
      <c r="BV78" s="219">
        <v>305.87137463373682</v>
      </c>
      <c r="BW78" s="219">
        <v>305.4744164238848</v>
      </c>
      <c r="BX78" s="219">
        <v>305.38551571561788</v>
      </c>
      <c r="BY78" s="219">
        <v>305.29732593111288</v>
      </c>
      <c r="BZ78" s="219">
        <v>305.20939147186238</v>
      </c>
      <c r="CA78" s="219">
        <v>305.12169361297612</v>
      </c>
      <c r="CB78" s="219">
        <v>305.03422448007512</v>
      </c>
      <c r="CC78" s="33">
        <v>610.73079541271613</v>
      </c>
      <c r="CD78" s="219">
        <v>587.31686599411751</v>
      </c>
      <c r="CE78" s="219">
        <v>564.05522452309708</v>
      </c>
      <c r="CF78" s="219">
        <v>538.23610366236346</v>
      </c>
      <c r="CG78" s="219">
        <v>514.79548325443648</v>
      </c>
      <c r="CH78" s="219">
        <v>491.56487799445472</v>
      </c>
      <c r="CI78" s="219">
        <v>482.74546758607408</v>
      </c>
      <c r="CJ78" s="219">
        <v>474.06383518850362</v>
      </c>
      <c r="CK78" s="219">
        <v>464.08270298284549</v>
      </c>
      <c r="CL78" s="219">
        <v>455.66710278145689</v>
      </c>
      <c r="CM78" s="219">
        <v>447.4189168338138</v>
      </c>
      <c r="CN78" s="219">
        <v>442.9420063849214</v>
      </c>
      <c r="CO78" s="219">
        <v>438.59769153756429</v>
      </c>
      <c r="CP78" s="219">
        <v>433.93702449602392</v>
      </c>
      <c r="CQ78" s="219">
        <v>429.73488806864958</v>
      </c>
      <c r="CR78" s="219">
        <v>425.5808011187122</v>
      </c>
      <c r="CS78" s="219">
        <v>422.16105827346018</v>
      </c>
      <c r="CT78" s="219">
        <v>418.79684432835512</v>
      </c>
      <c r="CU78" s="219">
        <v>415.22140221719269</v>
      </c>
      <c r="CV78" s="219">
        <v>411.97642711486219</v>
      </c>
      <c r="CW78" s="219">
        <v>408.77646287957242</v>
      </c>
      <c r="CX78" s="219">
        <v>406.59450439365611</v>
      </c>
      <c r="CY78" s="219">
        <v>404.31300022570713</v>
      </c>
      <c r="CZ78" s="219">
        <v>402.0519650114656</v>
      </c>
      <c r="DA78" s="219">
        <v>399.81103575041448</v>
      </c>
      <c r="DB78" s="219">
        <v>397.58991171140281</v>
      </c>
    </row>
    <row r="79" spans="1:106" x14ac:dyDescent="0.35">
      <c r="A79" s="137" t="s">
        <v>534</v>
      </c>
      <c r="B79" s="130" t="s">
        <v>545</v>
      </c>
      <c r="C79" s="33">
        <v>0.84951763224515786</v>
      </c>
      <c r="D79" s="219">
        <v>0.84763532192723012</v>
      </c>
      <c r="E79" s="219">
        <v>0.8460221351856192</v>
      </c>
      <c r="F79" s="219">
        <v>0.84458554643514216</v>
      </c>
      <c r="G79" s="219">
        <v>0.84318607964098824</v>
      </c>
      <c r="H79" s="219">
        <v>0.84189559591498819</v>
      </c>
      <c r="I79" s="219">
        <v>0.83848295789854765</v>
      </c>
      <c r="J79" s="219">
        <v>0.83560827995951059</v>
      </c>
      <c r="K79" s="219">
        <v>0.83336927666614102</v>
      </c>
      <c r="L79" s="219">
        <v>0.83128016054320708</v>
      </c>
      <c r="M79" s="219">
        <v>0.82951697698724403</v>
      </c>
      <c r="N79" s="219">
        <v>0.82773436110759691</v>
      </c>
      <c r="O79" s="219">
        <v>0.826340970039808</v>
      </c>
      <c r="P79" s="219">
        <v>0.82536483777951153</v>
      </c>
      <c r="Q79" s="219">
        <v>0.82447490599619688</v>
      </c>
      <c r="R79" s="219">
        <v>0.82376266942430254</v>
      </c>
      <c r="S79" s="219">
        <v>0.82417475038083676</v>
      </c>
      <c r="T79" s="219">
        <v>0.82459644388636766</v>
      </c>
      <c r="U79" s="219">
        <v>0.82511045663989679</v>
      </c>
      <c r="V79" s="219">
        <v>0.82554156565496239</v>
      </c>
      <c r="W79" s="219">
        <v>0.82597450375775905</v>
      </c>
      <c r="X79" s="219">
        <v>0.82683374935959342</v>
      </c>
      <c r="Y79" s="219">
        <v>0.82761082414383369</v>
      </c>
      <c r="Z79" s="219">
        <v>0.82838125129333884</v>
      </c>
      <c r="AA79" s="219">
        <v>0.8291451342546079</v>
      </c>
      <c r="AB79" s="219">
        <v>0.82990263231053418</v>
      </c>
      <c r="AC79" s="33">
        <v>3.728222862533076E-4</v>
      </c>
      <c r="AD79" s="219">
        <v>3.7108092464358509E-4</v>
      </c>
      <c r="AE79" s="219">
        <v>3.6944986709656978E-4</v>
      </c>
      <c r="AF79" s="219">
        <v>3.6766890937745699E-4</v>
      </c>
      <c r="AG79" s="219">
        <v>3.6609461055466869E-4</v>
      </c>
      <c r="AH79" s="219">
        <v>3.6456361858650709E-4</v>
      </c>
      <c r="AI79" s="219">
        <v>3.6391910499344578E-4</v>
      </c>
      <c r="AJ79" s="219">
        <v>3.6330675752781742E-4</v>
      </c>
      <c r="AK79" s="219">
        <v>3.6276686487613392E-4</v>
      </c>
      <c r="AL79" s="219">
        <v>3.6220812506617528E-4</v>
      </c>
      <c r="AM79" s="219">
        <v>3.6169576224932538E-4</v>
      </c>
      <c r="AN79" s="219">
        <v>3.6133285240708542E-4</v>
      </c>
      <c r="AO79" s="219">
        <v>3.6101096449119621E-4</v>
      </c>
      <c r="AP79" s="219">
        <v>3.6075673243030841E-4</v>
      </c>
      <c r="AQ79" s="219">
        <v>3.60463615586292E-4</v>
      </c>
      <c r="AR79" s="219">
        <v>3.6017896810529309E-4</v>
      </c>
      <c r="AS79" s="219">
        <v>3.5991337486136852E-4</v>
      </c>
      <c r="AT79" s="219">
        <v>3.5965140043340118E-4</v>
      </c>
      <c r="AU79" s="219">
        <v>3.5943672763754411E-4</v>
      </c>
      <c r="AV79" s="219">
        <v>3.591823720377302E-4</v>
      </c>
      <c r="AW79" s="219">
        <v>3.5893067658513431E-4</v>
      </c>
      <c r="AX79" s="219">
        <v>3.5891247763234011E-4</v>
      </c>
      <c r="AY79" s="219">
        <v>3.588194039157669E-4</v>
      </c>
      <c r="AZ79" s="219">
        <v>3.5872732804110159E-4</v>
      </c>
      <c r="BA79" s="219">
        <v>3.5863619711293449E-4</v>
      </c>
      <c r="BB79" s="219">
        <v>3.58545988101651E-4</v>
      </c>
      <c r="BC79" s="33">
        <v>305.29947245707018</v>
      </c>
      <c r="BD79" s="219">
        <v>303.36179475341021</v>
      </c>
      <c r="BE79" s="219">
        <v>301.5035484242415</v>
      </c>
      <c r="BF79" s="219">
        <v>298.17017061546318</v>
      </c>
      <c r="BG79" s="219">
        <v>296.36545002633648</v>
      </c>
      <c r="BH79" s="219">
        <v>294.60306795677337</v>
      </c>
      <c r="BI79" s="219">
        <v>295.73300429135429</v>
      </c>
      <c r="BJ79" s="219">
        <v>296.84740684435337</v>
      </c>
      <c r="BK79" s="219">
        <v>296.92074482393377</v>
      </c>
      <c r="BL79" s="219">
        <v>298.01820569906471</v>
      </c>
      <c r="BM79" s="219">
        <v>299.12342805229258</v>
      </c>
      <c r="BN79" s="219">
        <v>300.04359864460389</v>
      </c>
      <c r="BO79" s="219">
        <v>300.98511594782582</v>
      </c>
      <c r="BP79" s="219">
        <v>301.62151343288849</v>
      </c>
      <c r="BQ79" s="219">
        <v>302.56289933578432</v>
      </c>
      <c r="BR79" s="219">
        <v>303.49745806322642</v>
      </c>
      <c r="BS79" s="219">
        <v>302.70327385440709</v>
      </c>
      <c r="BT79" s="219">
        <v>301.90020806410899</v>
      </c>
      <c r="BU79" s="219">
        <v>300.80381170592278</v>
      </c>
      <c r="BV79" s="219">
        <v>299.9870142308996</v>
      </c>
      <c r="BW79" s="219">
        <v>299.15335721923742</v>
      </c>
      <c r="BX79" s="219">
        <v>299.02840796926142</v>
      </c>
      <c r="BY79" s="219">
        <v>298.90285089863062</v>
      </c>
      <c r="BZ79" s="219">
        <v>298.77549928060438</v>
      </c>
      <c r="CA79" s="219">
        <v>298.64638425007439</v>
      </c>
      <c r="CB79" s="219">
        <v>298.51556434584973</v>
      </c>
      <c r="CC79" s="33">
        <v>2011.039070131885</v>
      </c>
      <c r="CD79" s="219">
        <v>1955.735417991312</v>
      </c>
      <c r="CE79" s="219">
        <v>1902.915608512847</v>
      </c>
      <c r="CF79" s="219">
        <v>1841.4233112293359</v>
      </c>
      <c r="CG79" s="219">
        <v>1790.2997096068359</v>
      </c>
      <c r="CH79" s="219">
        <v>1740.1683266033849</v>
      </c>
      <c r="CI79" s="219">
        <v>1714.3315573319639</v>
      </c>
      <c r="CJ79" s="219">
        <v>1689.1984687433669</v>
      </c>
      <c r="CK79" s="219">
        <v>1659.3242018358519</v>
      </c>
      <c r="CL79" s="219">
        <v>1635.479480104281</v>
      </c>
      <c r="CM79" s="219">
        <v>1612.6580125068931</v>
      </c>
      <c r="CN79" s="219">
        <v>1597.2503660092871</v>
      </c>
      <c r="CO79" s="219">
        <v>1582.679185553342</v>
      </c>
      <c r="CP79" s="219">
        <v>1567.01516977847</v>
      </c>
      <c r="CQ79" s="219">
        <v>1553.170851224656</v>
      </c>
      <c r="CR79" s="219">
        <v>1539.570373661219</v>
      </c>
      <c r="CS79" s="219">
        <v>1526.1500364315141</v>
      </c>
      <c r="CT79" s="219">
        <v>1512.928064114112</v>
      </c>
      <c r="CU79" s="219">
        <v>1498.879271239884</v>
      </c>
      <c r="CV79" s="219">
        <v>1486.0815911493121</v>
      </c>
      <c r="CW79" s="219">
        <v>1473.442346890658</v>
      </c>
      <c r="CX79" s="219">
        <v>1466.611174724512</v>
      </c>
      <c r="CY79" s="219">
        <v>1459.646063805028</v>
      </c>
      <c r="CZ79" s="219">
        <v>1452.762956687116</v>
      </c>
      <c r="DA79" s="219">
        <v>1445.959724263666</v>
      </c>
      <c r="DB79" s="219">
        <v>1439.2344608350379</v>
      </c>
    </row>
    <row r="80" spans="1:106" x14ac:dyDescent="0.35">
      <c r="A80" s="137" t="s">
        <v>535</v>
      </c>
      <c r="B80" s="130" t="s">
        <v>545</v>
      </c>
      <c r="C80" s="33">
        <v>0.81642773406770175</v>
      </c>
      <c r="D80" s="219">
        <v>0.81453420408397681</v>
      </c>
      <c r="E80" s="219">
        <v>0.81272211212263967</v>
      </c>
      <c r="F80" s="219">
        <v>0.81096117813327817</v>
      </c>
      <c r="G80" s="219">
        <v>0.80914508033614918</v>
      </c>
      <c r="H80" s="219">
        <v>0.80731628618331086</v>
      </c>
      <c r="I80" s="219">
        <v>0.80566326646146602</v>
      </c>
      <c r="J80" s="219">
        <v>0.80425224452736421</v>
      </c>
      <c r="K80" s="219">
        <v>0.80318731096159346</v>
      </c>
      <c r="L80" s="219">
        <v>0.80213088399831634</v>
      </c>
      <c r="M80" s="219">
        <v>0.8012208117860129</v>
      </c>
      <c r="N80" s="219">
        <v>0.80046472670196145</v>
      </c>
      <c r="O80" s="219">
        <v>0.79988159508511847</v>
      </c>
      <c r="P80" s="219">
        <v>0.79952470451704516</v>
      </c>
      <c r="Q80" s="219">
        <v>0.79916410443746244</v>
      </c>
      <c r="R80" s="219">
        <v>0.79888109688848474</v>
      </c>
      <c r="S80" s="219">
        <v>0.79908424172440506</v>
      </c>
      <c r="T80" s="219">
        <v>0.79929182113044406</v>
      </c>
      <c r="U80" s="219">
        <v>0.79956752685091903</v>
      </c>
      <c r="V80" s="219">
        <v>0.79977957445916004</v>
      </c>
      <c r="W80" s="219">
        <v>0.7999929541499804</v>
      </c>
      <c r="X80" s="219">
        <v>0.80037906947859094</v>
      </c>
      <c r="Y80" s="219">
        <v>0.80072281733004158</v>
      </c>
      <c r="Z80" s="219">
        <v>0.80106377558345698</v>
      </c>
      <c r="AA80" s="219">
        <v>0.80140197150827253</v>
      </c>
      <c r="AB80" s="219">
        <v>0.80173748757712515</v>
      </c>
      <c r="AC80" s="33">
        <v>1.5285847323858511E-4</v>
      </c>
      <c r="AD80" s="219">
        <v>1.509523544721465E-4</v>
      </c>
      <c r="AE80" s="219">
        <v>1.4906717691898851E-4</v>
      </c>
      <c r="AF80" s="219">
        <v>1.4702975438736721E-4</v>
      </c>
      <c r="AG80" s="219">
        <v>1.450974845603033E-4</v>
      </c>
      <c r="AH80" s="219">
        <v>1.431388659357038E-4</v>
      </c>
      <c r="AI80" s="219">
        <v>1.4257367638158619E-4</v>
      </c>
      <c r="AJ80" s="219">
        <v>1.4202473001727109E-4</v>
      </c>
      <c r="AK80" s="219">
        <v>1.4152436427094831E-4</v>
      </c>
      <c r="AL80" s="219">
        <v>1.410039716132882E-4</v>
      </c>
      <c r="AM80" s="219">
        <v>1.4050575594085139E-4</v>
      </c>
      <c r="AN80" s="219">
        <v>1.4026322765673381E-4</v>
      </c>
      <c r="AO80" s="219">
        <v>1.400389916571604E-4</v>
      </c>
      <c r="AP80" s="219">
        <v>1.3986083294183891E-4</v>
      </c>
      <c r="AQ80" s="219">
        <v>1.3964960522774091E-4</v>
      </c>
      <c r="AR80" s="219">
        <v>1.394418596675229E-4</v>
      </c>
      <c r="AS80" s="219">
        <v>1.3924415677295571E-4</v>
      </c>
      <c r="AT80" s="219">
        <v>1.3904929050302561E-4</v>
      </c>
      <c r="AU80" s="219">
        <v>1.3889044789739901E-4</v>
      </c>
      <c r="AV80" s="219">
        <v>1.387015932364354E-4</v>
      </c>
      <c r="AW80" s="219">
        <v>1.3851492488668521E-4</v>
      </c>
      <c r="AX80" s="219">
        <v>1.384583457985732E-4</v>
      </c>
      <c r="AY80" s="219">
        <v>1.3836420321181701E-4</v>
      </c>
      <c r="AZ80" s="219">
        <v>1.3827108907913001E-4</v>
      </c>
      <c r="BA80" s="219">
        <v>1.3817896022964361E-4</v>
      </c>
      <c r="BB80" s="219">
        <v>1.3808780368150769E-4</v>
      </c>
      <c r="BC80" s="33">
        <v>233.71099142564279</v>
      </c>
      <c r="BD80" s="219">
        <v>231.91568989662301</v>
      </c>
      <c r="BE80" s="219">
        <v>230.1305269317148</v>
      </c>
      <c r="BF80" s="219">
        <v>227.21697370942621</v>
      </c>
      <c r="BG80" s="219">
        <v>225.39721134093929</v>
      </c>
      <c r="BH80" s="219">
        <v>223.55951273738319</v>
      </c>
      <c r="BI80" s="219">
        <v>225.02689395675711</v>
      </c>
      <c r="BJ80" s="219">
        <v>226.4655138628456</v>
      </c>
      <c r="BK80" s="219">
        <v>227.1182368603946</v>
      </c>
      <c r="BL80" s="219">
        <v>228.5111279421335</v>
      </c>
      <c r="BM80" s="219">
        <v>229.88711379935549</v>
      </c>
      <c r="BN80" s="219">
        <v>230.703787156272</v>
      </c>
      <c r="BO80" s="219">
        <v>231.52712061801179</v>
      </c>
      <c r="BP80" s="219">
        <v>232.12305404127389</v>
      </c>
      <c r="BQ80" s="219">
        <v>232.9428584025014</v>
      </c>
      <c r="BR80" s="219">
        <v>233.7566511608627</v>
      </c>
      <c r="BS80" s="219">
        <v>232.7661450661812</v>
      </c>
      <c r="BT80" s="219">
        <v>231.7766374799225</v>
      </c>
      <c r="BU80" s="219">
        <v>230.57779114052829</v>
      </c>
      <c r="BV80" s="219">
        <v>229.59256835436111</v>
      </c>
      <c r="BW80" s="219">
        <v>228.6007246827275</v>
      </c>
      <c r="BX80" s="219">
        <v>228.499911450902</v>
      </c>
      <c r="BY80" s="219">
        <v>228.3997486433019</v>
      </c>
      <c r="BZ80" s="219">
        <v>228.2989688087458</v>
      </c>
      <c r="CA80" s="219">
        <v>228.19756870239891</v>
      </c>
      <c r="CB80" s="219">
        <v>228.09557474986889</v>
      </c>
      <c r="CC80" s="33">
        <v>1809.4907882550019</v>
      </c>
      <c r="CD80" s="219">
        <v>1752.2417507061721</v>
      </c>
      <c r="CE80" s="219">
        <v>1695.618952073233</v>
      </c>
      <c r="CF80" s="219">
        <v>1631.8088669609131</v>
      </c>
      <c r="CG80" s="219">
        <v>1574.6728291520169</v>
      </c>
      <c r="CH80" s="219">
        <v>1517.1472792693839</v>
      </c>
      <c r="CI80" s="219">
        <v>1494.6412417516119</v>
      </c>
      <c r="CJ80" s="219">
        <v>1472.5376403239241</v>
      </c>
      <c r="CK80" s="219">
        <v>1446.845536024163</v>
      </c>
      <c r="CL80" s="219">
        <v>1425.5131588113629</v>
      </c>
      <c r="CM80" s="219">
        <v>1404.7071920533681</v>
      </c>
      <c r="CN80" s="219">
        <v>1393.8007974501129</v>
      </c>
      <c r="CO80" s="219">
        <v>1383.289785930886</v>
      </c>
      <c r="CP80" s="219">
        <v>1371.883481021594</v>
      </c>
      <c r="CQ80" s="219">
        <v>1361.756331444539</v>
      </c>
      <c r="CR80" s="219">
        <v>1351.756795881066</v>
      </c>
      <c r="CS80" s="219">
        <v>1342.4243263273211</v>
      </c>
      <c r="CT80" s="219">
        <v>1333.2310101726821</v>
      </c>
      <c r="CU80" s="219">
        <v>1323.4205515274241</v>
      </c>
      <c r="CV80" s="219">
        <v>1314.528777550031</v>
      </c>
      <c r="CW80" s="219">
        <v>1305.7474520110129</v>
      </c>
      <c r="CX80" s="219">
        <v>1300.1827995220499</v>
      </c>
      <c r="CY80" s="219">
        <v>1294.546832851491</v>
      </c>
      <c r="CZ80" s="219">
        <v>1288.977817533967</v>
      </c>
      <c r="DA80" s="219">
        <v>1283.4743545704659</v>
      </c>
      <c r="DB80" s="219">
        <v>1278.035235613424</v>
      </c>
    </row>
    <row r="81" spans="1:106" x14ac:dyDescent="0.35">
      <c r="A81" s="137" t="s">
        <v>536</v>
      </c>
      <c r="B81" s="130" t="s">
        <v>545</v>
      </c>
      <c r="C81" s="33">
        <v>0.89483995377265024</v>
      </c>
      <c r="D81" s="219">
        <v>0.89353645164978412</v>
      </c>
      <c r="E81" s="219">
        <v>0.89218790176293494</v>
      </c>
      <c r="F81" s="219">
        <v>0.89080030849006497</v>
      </c>
      <c r="G81" s="219">
        <v>0.88932587015708731</v>
      </c>
      <c r="H81" s="219">
        <v>0.88777496973647296</v>
      </c>
      <c r="I81" s="219">
        <v>0.88751778961456707</v>
      </c>
      <c r="J81" s="219">
        <v>0.8872817985715159</v>
      </c>
      <c r="K81" s="219">
        <v>0.88712990148051474</v>
      </c>
      <c r="L81" s="219">
        <v>0.88692590942095251</v>
      </c>
      <c r="M81" s="219">
        <v>0.8867338109184858</v>
      </c>
      <c r="N81" s="219">
        <v>0.88676463825243612</v>
      </c>
      <c r="O81" s="219">
        <v>0.88680673690829959</v>
      </c>
      <c r="P81" s="219">
        <v>0.88690250889036948</v>
      </c>
      <c r="Q81" s="219">
        <v>0.88695807999288612</v>
      </c>
      <c r="R81" s="219">
        <v>0.88701730844392257</v>
      </c>
      <c r="S81" s="219">
        <v>0.887062409879806</v>
      </c>
      <c r="T81" s="219">
        <v>0.88710760632176988</v>
      </c>
      <c r="U81" s="219">
        <v>0.8871829741729309</v>
      </c>
      <c r="V81" s="219">
        <v>0.88722802270057377</v>
      </c>
      <c r="W81" s="219">
        <v>0.88727327903198727</v>
      </c>
      <c r="X81" s="219">
        <v>0.88734218767662032</v>
      </c>
      <c r="Y81" s="219">
        <v>0.88737868422363275</v>
      </c>
      <c r="Z81" s="219">
        <v>0.88741523640171605</v>
      </c>
      <c r="AA81" s="219">
        <v>0.88745183246335602</v>
      </c>
      <c r="AB81" s="219">
        <v>0.88748849485537706</v>
      </c>
      <c r="AC81" s="33">
        <v>2.9511762011667639E-4</v>
      </c>
      <c r="AD81" s="219">
        <v>2.9366860242904081E-4</v>
      </c>
      <c r="AE81" s="219">
        <v>2.9218445072567517E-4</v>
      </c>
      <c r="AF81" s="219">
        <v>2.9059813744381922E-4</v>
      </c>
      <c r="AG81" s="219">
        <v>2.8901914554581662E-4</v>
      </c>
      <c r="AH81" s="219">
        <v>2.873820787315241E-4</v>
      </c>
      <c r="AI81" s="219">
        <v>2.8703256550231728E-4</v>
      </c>
      <c r="AJ81" s="219">
        <v>2.8668644477359412E-4</v>
      </c>
      <c r="AK81" s="219">
        <v>2.8635950092955118E-4</v>
      </c>
      <c r="AL81" s="219">
        <v>2.8602066774827622E-4</v>
      </c>
      <c r="AM81" s="219">
        <v>2.8568483885583822E-4</v>
      </c>
      <c r="AN81" s="219">
        <v>2.8559407882923412E-4</v>
      </c>
      <c r="AO81" s="219">
        <v>2.8550423087939439E-4</v>
      </c>
      <c r="AP81" s="219">
        <v>2.8543283338756291E-4</v>
      </c>
      <c r="AQ81" s="219">
        <v>2.8534382758645902E-4</v>
      </c>
      <c r="AR81" s="219">
        <v>2.8525470745382298E-4</v>
      </c>
      <c r="AS81" s="219">
        <v>2.8516204832530458E-4</v>
      </c>
      <c r="AT81" s="219">
        <v>2.8507090088560988E-4</v>
      </c>
      <c r="AU81" s="219">
        <v>2.8499680135117962E-4</v>
      </c>
      <c r="AV81" s="219">
        <v>2.8490884562713668E-4</v>
      </c>
      <c r="AW81" s="219">
        <v>2.8482216402184998E-4</v>
      </c>
      <c r="AX81" s="219">
        <v>2.8479062617178618E-4</v>
      </c>
      <c r="AY81" s="219">
        <v>2.8472867007390309E-4</v>
      </c>
      <c r="AZ81" s="219">
        <v>2.846674895876481E-4</v>
      </c>
      <c r="BA81" s="219">
        <v>2.8460706236853257E-4</v>
      </c>
      <c r="BB81" s="219">
        <v>2.845473850932166E-4</v>
      </c>
      <c r="BC81" s="33">
        <v>113.53461870398969</v>
      </c>
      <c r="BD81" s="219">
        <v>112.40820728701659</v>
      </c>
      <c r="BE81" s="219">
        <v>111.2502437584899</v>
      </c>
      <c r="BF81" s="219">
        <v>109.5654633608419</v>
      </c>
      <c r="BG81" s="219">
        <v>108.3325563251861</v>
      </c>
      <c r="BH81" s="219">
        <v>107.05383671528961</v>
      </c>
      <c r="BI81" s="219">
        <v>108.07947590870521</v>
      </c>
      <c r="BJ81" s="219">
        <v>109.0787380744507</v>
      </c>
      <c r="BK81" s="219">
        <v>109.7203795284188</v>
      </c>
      <c r="BL81" s="219">
        <v>110.6730098115941</v>
      </c>
      <c r="BM81" s="219">
        <v>111.6013616456368</v>
      </c>
      <c r="BN81" s="219">
        <v>111.8599692404878</v>
      </c>
      <c r="BO81" s="219">
        <v>112.1165200508418</v>
      </c>
      <c r="BP81" s="219">
        <v>112.273768664893</v>
      </c>
      <c r="BQ81" s="219">
        <v>112.5275317132331</v>
      </c>
      <c r="BR81" s="219">
        <v>112.7784745272528</v>
      </c>
      <c r="BS81" s="219">
        <v>112.04378809936161</v>
      </c>
      <c r="BT81" s="219">
        <v>111.3149749235042</v>
      </c>
      <c r="BU81" s="219">
        <v>110.5007067172473</v>
      </c>
      <c r="BV81" s="219">
        <v>109.784262334414</v>
      </c>
      <c r="BW81" s="219">
        <v>109.06972423577881</v>
      </c>
      <c r="BX81" s="219">
        <v>108.9989475491855</v>
      </c>
      <c r="BY81" s="219">
        <v>108.9292799726141</v>
      </c>
      <c r="BZ81" s="219">
        <v>108.85989713665801</v>
      </c>
      <c r="CA81" s="219">
        <v>108.79077928173881</v>
      </c>
      <c r="CB81" s="219">
        <v>108.7219260449164</v>
      </c>
      <c r="CC81" s="33">
        <v>1003.521703680859</v>
      </c>
      <c r="CD81" s="219">
        <v>961.67371992520691</v>
      </c>
      <c r="CE81" s="219">
        <v>919.23223293188505</v>
      </c>
      <c r="CF81" s="219">
        <v>872.95330590229651</v>
      </c>
      <c r="CG81" s="219">
        <v>828.7884943330431</v>
      </c>
      <c r="CH81" s="219">
        <v>783.535395553586</v>
      </c>
      <c r="CI81" s="219">
        <v>769.47544264498958</v>
      </c>
      <c r="CJ81" s="219">
        <v>755.55691738575581</v>
      </c>
      <c r="CK81" s="219">
        <v>740.05018991380462</v>
      </c>
      <c r="CL81" s="219">
        <v>726.42464673029542</v>
      </c>
      <c r="CM81" s="219">
        <v>712.92021750119352</v>
      </c>
      <c r="CN81" s="219">
        <v>707.89754537841975</v>
      </c>
      <c r="CO81" s="219">
        <v>702.91634204860634</v>
      </c>
      <c r="CP81" s="219">
        <v>697.49841702986362</v>
      </c>
      <c r="CQ81" s="219">
        <v>692.59530896154513</v>
      </c>
      <c r="CR81" s="219">
        <v>687.7172977768472</v>
      </c>
      <c r="CS81" s="219">
        <v>683.95462324623088</v>
      </c>
      <c r="CT81" s="219">
        <v>680.25391559511297</v>
      </c>
      <c r="CU81" s="219">
        <v>676.28816618357598</v>
      </c>
      <c r="CV81" s="219">
        <v>672.72316537641802</v>
      </c>
      <c r="CW81" s="219">
        <v>669.20849741762208</v>
      </c>
      <c r="CX81" s="219">
        <v>666.38761821433582</v>
      </c>
      <c r="CY81" s="219">
        <v>663.55988616545267</v>
      </c>
      <c r="CZ81" s="219">
        <v>660.77041396474851</v>
      </c>
      <c r="DA81" s="219">
        <v>658.0187482166466</v>
      </c>
      <c r="DB81" s="219">
        <v>655.30453892441858</v>
      </c>
    </row>
    <row r="82" spans="1:106" x14ac:dyDescent="0.35">
      <c r="A82" s="137" t="s">
        <v>537</v>
      </c>
      <c r="B82" s="130" t="s">
        <v>545</v>
      </c>
      <c r="C82" s="33">
        <v>0.57438065398035343</v>
      </c>
      <c r="D82" s="219">
        <v>0.57367196996504477</v>
      </c>
      <c r="E82" s="219">
        <v>0.57296270167493557</v>
      </c>
      <c r="F82" s="219">
        <v>0.57225749915746871</v>
      </c>
      <c r="G82" s="219">
        <v>0.57151962053683203</v>
      </c>
      <c r="H82" s="219">
        <v>0.57077548832400671</v>
      </c>
      <c r="I82" s="219">
        <v>0.57045802222917219</v>
      </c>
      <c r="J82" s="219">
        <v>0.57017457255766291</v>
      </c>
      <c r="K82" s="219">
        <v>0.56997383937058022</v>
      </c>
      <c r="L82" s="219">
        <v>0.56974078333230482</v>
      </c>
      <c r="M82" s="219">
        <v>0.56952783831417597</v>
      </c>
      <c r="N82" s="219">
        <v>0.56944779269796031</v>
      </c>
      <c r="O82" s="219">
        <v>0.56938986972953498</v>
      </c>
      <c r="P82" s="219">
        <v>0.56938527873983447</v>
      </c>
      <c r="Q82" s="219">
        <v>0.56935568961433569</v>
      </c>
      <c r="R82" s="219">
        <v>0.56933557480026786</v>
      </c>
      <c r="S82" s="219">
        <v>0.56937373419894954</v>
      </c>
      <c r="T82" s="219">
        <v>0.56941213675997848</v>
      </c>
      <c r="U82" s="219">
        <v>0.56947498170385902</v>
      </c>
      <c r="V82" s="219">
        <v>0.56951333656544145</v>
      </c>
      <c r="W82" s="219">
        <v>0.56955169900038505</v>
      </c>
      <c r="X82" s="219">
        <v>0.56966560412358269</v>
      </c>
      <c r="Y82" s="219">
        <v>0.56973904254219376</v>
      </c>
      <c r="Z82" s="219">
        <v>0.56981226666881302</v>
      </c>
      <c r="AA82" s="219">
        <v>0.56988528197121657</v>
      </c>
      <c r="AB82" s="219">
        <v>0.56995811045549793</v>
      </c>
      <c r="AC82" s="33">
        <v>2.2702198560539731E-4</v>
      </c>
      <c r="AD82" s="219">
        <v>2.2631259073803591E-4</v>
      </c>
      <c r="AE82" s="219">
        <v>2.2559628724161599E-4</v>
      </c>
      <c r="AF82" s="219">
        <v>2.2481818699300371E-4</v>
      </c>
      <c r="AG82" s="219">
        <v>2.2407303256013859E-4</v>
      </c>
      <c r="AH82" s="219">
        <v>2.2331879528059229E-4</v>
      </c>
      <c r="AI82" s="219">
        <v>2.231201970539136E-4</v>
      </c>
      <c r="AJ82" s="219">
        <v>2.2292422482618661E-4</v>
      </c>
      <c r="AK82" s="219">
        <v>2.2274365285411001E-4</v>
      </c>
      <c r="AL82" s="219">
        <v>2.2255295273176259E-4</v>
      </c>
      <c r="AM82" s="219">
        <v>2.2236528177908859E-4</v>
      </c>
      <c r="AN82" s="219">
        <v>2.2229687823077109E-4</v>
      </c>
      <c r="AO82" s="219">
        <v>2.2223057042085589E-4</v>
      </c>
      <c r="AP82" s="219">
        <v>2.2217975719029281E-4</v>
      </c>
      <c r="AQ82" s="219">
        <v>2.2211514366080501E-4</v>
      </c>
      <c r="AR82" s="219">
        <v>2.2205082460850729E-4</v>
      </c>
      <c r="AS82" s="219">
        <v>2.2198838781312409E-4</v>
      </c>
      <c r="AT82" s="219">
        <v>2.2192678941666111E-4</v>
      </c>
      <c r="AU82" s="219">
        <v>2.2187862798759241E-4</v>
      </c>
      <c r="AV82" s="219">
        <v>2.2181888901278579E-4</v>
      </c>
      <c r="AW82" s="219">
        <v>2.217598314427098E-4</v>
      </c>
      <c r="AX82" s="219">
        <v>2.2175254263965541E-4</v>
      </c>
      <c r="AY82" s="219">
        <v>2.2171114274082421E-4</v>
      </c>
      <c r="AZ82" s="219">
        <v>2.2167006696765661E-4</v>
      </c>
      <c r="BA82" s="219">
        <v>2.2162930348152779E-4</v>
      </c>
      <c r="BB82" s="219">
        <v>2.2158884964008371E-4</v>
      </c>
      <c r="BC82" s="33">
        <v>82.338946667026192</v>
      </c>
      <c r="BD82" s="219">
        <v>81.734229357850239</v>
      </c>
      <c r="BE82" s="219">
        <v>81.11998994376475</v>
      </c>
      <c r="BF82" s="219">
        <v>80.084737010575452</v>
      </c>
      <c r="BG82" s="219">
        <v>79.44488586316352</v>
      </c>
      <c r="BH82" s="219">
        <v>78.798090313416338</v>
      </c>
      <c r="BI82" s="219">
        <v>79.248155966052209</v>
      </c>
      <c r="BJ82" s="219">
        <v>79.687233568659735</v>
      </c>
      <c r="BK82" s="219">
        <v>79.840143934172971</v>
      </c>
      <c r="BL82" s="219">
        <v>80.261557742557784</v>
      </c>
      <c r="BM82" s="219">
        <v>80.673689659113364</v>
      </c>
      <c r="BN82" s="219">
        <v>80.826334970463648</v>
      </c>
      <c r="BO82" s="219">
        <v>80.978959233354658</v>
      </c>
      <c r="BP82" s="219">
        <v>81.049768360858906</v>
      </c>
      <c r="BQ82" s="219">
        <v>81.201853564086676</v>
      </c>
      <c r="BR82" s="219">
        <v>81.352431621115642</v>
      </c>
      <c r="BS82" s="219">
        <v>80.97739065349613</v>
      </c>
      <c r="BT82" s="219">
        <v>80.604297463211893</v>
      </c>
      <c r="BU82" s="219">
        <v>80.15712724092586</v>
      </c>
      <c r="BV82" s="219">
        <v>79.788701838423123</v>
      </c>
      <c r="BW82" s="219">
        <v>79.419852681585112</v>
      </c>
      <c r="BX82" s="219">
        <v>79.368118950041477</v>
      </c>
      <c r="BY82" s="219">
        <v>79.316916238073091</v>
      </c>
      <c r="BZ82" s="219">
        <v>79.265850270461712</v>
      </c>
      <c r="CA82" s="219">
        <v>79.214913701340777</v>
      </c>
      <c r="CB82" s="219">
        <v>79.164108439323272</v>
      </c>
      <c r="CC82" s="33">
        <v>818.35442339690667</v>
      </c>
      <c r="CD82" s="219">
        <v>797.13037619516456</v>
      </c>
      <c r="CE82" s="219">
        <v>775.82653454104548</v>
      </c>
      <c r="CF82" s="219">
        <v>751.77472548972901</v>
      </c>
      <c r="CG82" s="219">
        <v>730.00355350090911</v>
      </c>
      <c r="CH82" s="219">
        <v>708.07084179959531</v>
      </c>
      <c r="CI82" s="219">
        <v>700.04012796167046</v>
      </c>
      <c r="CJ82" s="219">
        <v>692.08959208963734</v>
      </c>
      <c r="CK82" s="219">
        <v>682.78386104299079</v>
      </c>
      <c r="CL82" s="219">
        <v>675.00648200131604</v>
      </c>
      <c r="CM82" s="219">
        <v>667.31400130022735</v>
      </c>
      <c r="CN82" s="219">
        <v>663.88530235601502</v>
      </c>
      <c r="CO82" s="219">
        <v>660.50841706693859</v>
      </c>
      <c r="CP82" s="219">
        <v>656.77078738826231</v>
      </c>
      <c r="CQ82" s="219">
        <v>653.46265449512987</v>
      </c>
      <c r="CR82" s="219">
        <v>650.17513891649651</v>
      </c>
      <c r="CS82" s="219">
        <v>647.44750267731274</v>
      </c>
      <c r="CT82" s="219">
        <v>644.75776325655033</v>
      </c>
      <c r="CU82" s="219">
        <v>641.83469030886488</v>
      </c>
      <c r="CV82" s="219">
        <v>639.23154172798661</v>
      </c>
      <c r="CW82" s="219">
        <v>636.65881882461508</v>
      </c>
      <c r="CX82" s="219">
        <v>634.73811087034619</v>
      </c>
      <c r="CY82" s="219">
        <v>632.77213864518058</v>
      </c>
      <c r="CZ82" s="219">
        <v>630.82457554755842</v>
      </c>
      <c r="DA82" s="219">
        <v>628.89515007722423</v>
      </c>
      <c r="DB82" s="219">
        <v>626.98364275259723</v>
      </c>
    </row>
    <row r="83" spans="1:106" x14ac:dyDescent="0.35">
      <c r="A83" s="137" t="s">
        <v>539</v>
      </c>
      <c r="B83" s="130" t="s">
        <v>545</v>
      </c>
      <c r="C83" s="33">
        <v>0.50709268114645889</v>
      </c>
      <c r="D83" s="219">
        <v>0.50651024450576221</v>
      </c>
      <c r="E83" s="219">
        <v>0.50590813558613934</v>
      </c>
      <c r="F83" s="219">
        <v>0.50528821007234748</v>
      </c>
      <c r="G83" s="219">
        <v>0.50462829106553109</v>
      </c>
      <c r="H83" s="219">
        <v>0.50393408774551118</v>
      </c>
      <c r="I83" s="219">
        <v>0.50378485854674093</v>
      </c>
      <c r="J83" s="219">
        <v>0.50365137966233375</v>
      </c>
      <c r="K83" s="219">
        <v>0.50356229681897779</v>
      </c>
      <c r="L83" s="219">
        <v>0.50345211823895875</v>
      </c>
      <c r="M83" s="219">
        <v>0.50335073515360385</v>
      </c>
      <c r="N83" s="219">
        <v>0.50335888584337618</v>
      </c>
      <c r="O83" s="219">
        <v>0.5033760043786325</v>
      </c>
      <c r="P83" s="219">
        <v>0.50342133024840907</v>
      </c>
      <c r="Q83" s="219">
        <v>0.50344962227197354</v>
      </c>
      <c r="R83" s="219">
        <v>0.50348131886043157</v>
      </c>
      <c r="S83" s="219">
        <v>0.50351292723499563</v>
      </c>
      <c r="T83" s="219">
        <v>0.50354443890155587</v>
      </c>
      <c r="U83" s="219">
        <v>0.50359015757645609</v>
      </c>
      <c r="V83" s="219">
        <v>0.50362124119562734</v>
      </c>
      <c r="W83" s="219">
        <v>0.5036522065547413</v>
      </c>
      <c r="X83" s="219">
        <v>0.50370874253528797</v>
      </c>
      <c r="Y83" s="219">
        <v>0.50374298512303928</v>
      </c>
      <c r="Z83" s="219">
        <v>0.50377715067386131</v>
      </c>
      <c r="AA83" s="219">
        <v>0.50381123888158974</v>
      </c>
      <c r="AB83" s="219">
        <v>0.50384526461072443</v>
      </c>
      <c r="AC83" s="33">
        <v>2.003508604774799E-4</v>
      </c>
      <c r="AD83" s="219">
        <v>1.996698847168662E-4</v>
      </c>
      <c r="AE83" s="219">
        <v>1.98973120681153E-4</v>
      </c>
      <c r="AF83" s="219">
        <v>1.9822827253660369E-4</v>
      </c>
      <c r="AG83" s="219">
        <v>1.974878859263969E-4</v>
      </c>
      <c r="AH83" s="219">
        <v>1.9672147422477711E-4</v>
      </c>
      <c r="AI83" s="219">
        <v>1.9655443516539671E-4</v>
      </c>
      <c r="AJ83" s="219">
        <v>1.9638923852109951E-4</v>
      </c>
      <c r="AK83" s="219">
        <v>1.9623334072316399E-4</v>
      </c>
      <c r="AL83" s="219">
        <v>1.960719417873425E-4</v>
      </c>
      <c r="AM83" s="219">
        <v>1.9591223083046319E-4</v>
      </c>
      <c r="AN83" s="219">
        <v>1.958690092515129E-4</v>
      </c>
      <c r="AO83" s="219">
        <v>1.958264777156282E-4</v>
      </c>
      <c r="AP83" s="219">
        <v>1.95792872178323E-4</v>
      </c>
      <c r="AQ83" s="219">
        <v>1.9575094518961011E-4</v>
      </c>
      <c r="AR83" s="219">
        <v>1.9570903403709161E-4</v>
      </c>
      <c r="AS83" s="219">
        <v>1.9566463814810149E-4</v>
      </c>
      <c r="AT83" s="219">
        <v>1.9562095744646079E-4</v>
      </c>
      <c r="AU83" s="219">
        <v>1.9558540584482261E-4</v>
      </c>
      <c r="AV83" s="219">
        <v>1.9554323577048791E-4</v>
      </c>
      <c r="AW83" s="219">
        <v>1.9550167106731131E-4</v>
      </c>
      <c r="AX83" s="219">
        <v>1.954936579240833E-4</v>
      </c>
      <c r="AY83" s="219">
        <v>1.9546444323867489E-4</v>
      </c>
      <c r="AZ83" s="219">
        <v>1.954355930792561E-4</v>
      </c>
      <c r="BA83" s="219">
        <v>1.9540709730239101E-4</v>
      </c>
      <c r="BB83" s="219">
        <v>1.95378954232203E-4</v>
      </c>
      <c r="BC83" s="33">
        <v>54.333383214348338</v>
      </c>
      <c r="BD83" s="219">
        <v>53.811564161272642</v>
      </c>
      <c r="BE83" s="219">
        <v>53.275670291040342</v>
      </c>
      <c r="BF83" s="219">
        <v>52.490061210829133</v>
      </c>
      <c r="BG83" s="219">
        <v>51.920306675195278</v>
      </c>
      <c r="BH83" s="219">
        <v>51.330406936232762</v>
      </c>
      <c r="BI83" s="219">
        <v>51.781025134339068</v>
      </c>
      <c r="BJ83" s="219">
        <v>52.219652956232501</v>
      </c>
      <c r="BK83" s="219">
        <v>52.489145469429751</v>
      </c>
      <c r="BL83" s="219">
        <v>52.906645776780202</v>
      </c>
      <c r="BM83" s="219">
        <v>53.31320517204469</v>
      </c>
      <c r="BN83" s="219">
        <v>53.395919878505552</v>
      </c>
      <c r="BO83" s="219">
        <v>53.47794689683797</v>
      </c>
      <c r="BP83" s="219">
        <v>53.513123828613111</v>
      </c>
      <c r="BQ83" s="219">
        <v>53.594118854050343</v>
      </c>
      <c r="BR83" s="219">
        <v>53.673903248339563</v>
      </c>
      <c r="BS83" s="219">
        <v>53.337717117078682</v>
      </c>
      <c r="BT83" s="219">
        <v>53.004172884940822</v>
      </c>
      <c r="BU83" s="219">
        <v>52.630037012590421</v>
      </c>
      <c r="BV83" s="219">
        <v>52.302104445019197</v>
      </c>
      <c r="BW83" s="219">
        <v>51.975072346113571</v>
      </c>
      <c r="BX83" s="219">
        <v>51.937487004379641</v>
      </c>
      <c r="BY83" s="219">
        <v>51.900422802722957</v>
      </c>
      <c r="BZ83" s="219">
        <v>51.863514047534707</v>
      </c>
      <c r="CA83" s="219">
        <v>51.826751606264338</v>
      </c>
      <c r="CB83" s="219">
        <v>51.790134947428982</v>
      </c>
      <c r="CC83" s="33">
        <v>477.29942450815997</v>
      </c>
      <c r="CD83" s="219">
        <v>457.57452153450419</v>
      </c>
      <c r="CE83" s="219">
        <v>437.58273662083189</v>
      </c>
      <c r="CF83" s="219">
        <v>415.77209272082348</v>
      </c>
      <c r="CG83" s="219">
        <v>394.97917363233557</v>
      </c>
      <c r="CH83" s="219">
        <v>373.69279824932948</v>
      </c>
      <c r="CI83" s="219">
        <v>366.96528418430739</v>
      </c>
      <c r="CJ83" s="219">
        <v>360.30903168251302</v>
      </c>
      <c r="CK83" s="219">
        <v>352.9031514458481</v>
      </c>
      <c r="CL83" s="219">
        <v>346.39267000430061</v>
      </c>
      <c r="CM83" s="219">
        <v>339.94507392065282</v>
      </c>
      <c r="CN83" s="219">
        <v>337.51772223412331</v>
      </c>
      <c r="CO83" s="219">
        <v>335.11348110625647</v>
      </c>
      <c r="CP83" s="219">
        <v>332.50379151704408</v>
      </c>
      <c r="CQ83" s="219">
        <v>330.13809779217092</v>
      </c>
      <c r="CR83" s="219">
        <v>327.78458276896208</v>
      </c>
      <c r="CS83" s="219">
        <v>326.00075845437698</v>
      </c>
      <c r="CT83" s="219">
        <v>324.24624751856061</v>
      </c>
      <c r="CU83" s="219">
        <v>322.36630449642968</v>
      </c>
      <c r="CV83" s="219">
        <v>320.67604601346278</v>
      </c>
      <c r="CW83" s="219">
        <v>319.00981476236689</v>
      </c>
      <c r="CX83" s="219">
        <v>317.70548377153909</v>
      </c>
      <c r="CY83" s="219">
        <v>316.39676241208798</v>
      </c>
      <c r="CZ83" s="219">
        <v>315.10578318136129</v>
      </c>
      <c r="DA83" s="219">
        <v>313.83234745473362</v>
      </c>
      <c r="DB83" s="219">
        <v>312.57630282302108</v>
      </c>
    </row>
    <row r="84" spans="1:106" x14ac:dyDescent="0.35">
      <c r="A84" s="137" t="s">
        <v>540</v>
      </c>
      <c r="B84" s="130" t="s">
        <v>545</v>
      </c>
      <c r="C84" s="33">
        <v>0.36772710336827552</v>
      </c>
      <c r="D84" s="219">
        <v>0.36662952830943052</v>
      </c>
      <c r="E84" s="219">
        <v>0.36554842213603261</v>
      </c>
      <c r="F84" s="219">
        <v>0.36448139561028609</v>
      </c>
      <c r="G84" s="219">
        <v>0.3633984038753047</v>
      </c>
      <c r="H84" s="219">
        <v>0.3623380127336866</v>
      </c>
      <c r="I84" s="219">
        <v>0.36181811286441079</v>
      </c>
      <c r="J84" s="219">
        <v>0.36134239544455699</v>
      </c>
      <c r="K84" s="219">
        <v>0.36093514388859221</v>
      </c>
      <c r="L84" s="219">
        <v>0.3605259357626126</v>
      </c>
      <c r="M84" s="219">
        <v>0.36014433430199899</v>
      </c>
      <c r="N84" s="219">
        <v>0.35996489341439392</v>
      </c>
      <c r="O84" s="219">
        <v>0.35981413452294803</v>
      </c>
      <c r="P84" s="219">
        <v>0.3597048673769444</v>
      </c>
      <c r="Q84" s="219">
        <v>0.35959137910592698</v>
      </c>
      <c r="R84" s="219">
        <v>0.35949090033111453</v>
      </c>
      <c r="S84" s="219">
        <v>0.35950931406912229</v>
      </c>
      <c r="T84" s="219">
        <v>0.3595284612214999</v>
      </c>
      <c r="U84" s="219">
        <v>0.35956092143746599</v>
      </c>
      <c r="V84" s="219">
        <v>0.35958078501263002</v>
      </c>
      <c r="W84" s="219">
        <v>0.35960091961513041</v>
      </c>
      <c r="X84" s="219">
        <v>0.3597618077686951</v>
      </c>
      <c r="Y84" s="219">
        <v>0.35991162170485708</v>
      </c>
      <c r="Z84" s="219">
        <v>0.36006197285522318</v>
      </c>
      <c r="AA84" s="219">
        <v>0.36021287288629378</v>
      </c>
      <c r="AB84" s="219">
        <v>0.36036434905640918</v>
      </c>
      <c r="AC84" s="33">
        <v>1.7796088726191011E-4</v>
      </c>
      <c r="AD84" s="219">
        <v>1.7727429155235181E-4</v>
      </c>
      <c r="AE84" s="219">
        <v>1.7658486056499909E-4</v>
      </c>
      <c r="AF84" s="219">
        <v>1.7585732797668359E-4</v>
      </c>
      <c r="AG84" s="219">
        <v>1.7514211255055071E-4</v>
      </c>
      <c r="AH84" s="219">
        <v>1.744305532405981E-4</v>
      </c>
      <c r="AI84" s="219">
        <v>1.742687282744823E-4</v>
      </c>
      <c r="AJ84" s="219">
        <v>1.7410976904574639E-4</v>
      </c>
      <c r="AK84" s="219">
        <v>1.7396031869691681E-4</v>
      </c>
      <c r="AL84" s="219">
        <v>1.738065925958815E-4</v>
      </c>
      <c r="AM84" s="219">
        <v>1.7365646346617029E-4</v>
      </c>
      <c r="AN84" s="219">
        <v>1.7359757081449631E-4</v>
      </c>
      <c r="AO84" s="219">
        <v>1.735414541088518E-4</v>
      </c>
      <c r="AP84" s="219">
        <v>1.7349437406299209E-4</v>
      </c>
      <c r="AQ84" s="219">
        <v>1.7344018660318529E-4</v>
      </c>
      <c r="AR84" s="219">
        <v>1.7338643042241579E-4</v>
      </c>
      <c r="AS84" s="219">
        <v>1.7333905946897101E-4</v>
      </c>
      <c r="AT84" s="219">
        <v>1.732924016523723E-4</v>
      </c>
      <c r="AU84" s="219">
        <v>1.7325333059815701E-4</v>
      </c>
      <c r="AV84" s="219">
        <v>1.7320816444465849E-4</v>
      </c>
      <c r="AW84" s="219">
        <v>1.731635819546211E-4</v>
      </c>
      <c r="AX84" s="219">
        <v>1.7314154606129631E-4</v>
      </c>
      <c r="AY84" s="219">
        <v>1.7310597745753991E-4</v>
      </c>
      <c r="AZ84" s="219">
        <v>1.7307070097782919E-4</v>
      </c>
      <c r="BA84" s="219">
        <v>1.730357054409667E-4</v>
      </c>
      <c r="BB84" s="219">
        <v>1.7300098809345331E-4</v>
      </c>
      <c r="BC84" s="33">
        <v>56.910791768127723</v>
      </c>
      <c r="BD84" s="219">
        <v>56.392021911875247</v>
      </c>
      <c r="BE84" s="219">
        <v>55.863691071191603</v>
      </c>
      <c r="BF84" s="219">
        <v>55.080535088944032</v>
      </c>
      <c r="BG84" s="219">
        <v>54.522710214418353</v>
      </c>
      <c r="BH84" s="219">
        <v>53.967904673567233</v>
      </c>
      <c r="BI84" s="219">
        <v>54.395039779103108</v>
      </c>
      <c r="BJ84" s="219">
        <v>54.812171467474428</v>
      </c>
      <c r="BK84" s="219">
        <v>55.052125866555429</v>
      </c>
      <c r="BL84" s="219">
        <v>55.451830913494128</v>
      </c>
      <c r="BM84" s="219">
        <v>55.843588848757832</v>
      </c>
      <c r="BN84" s="219">
        <v>55.982100012646313</v>
      </c>
      <c r="BO84" s="219">
        <v>56.121116533526298</v>
      </c>
      <c r="BP84" s="219">
        <v>56.210108386594513</v>
      </c>
      <c r="BQ84" s="219">
        <v>56.347810451747307</v>
      </c>
      <c r="BR84" s="219">
        <v>56.484002999322037</v>
      </c>
      <c r="BS84" s="219">
        <v>56.179025107567412</v>
      </c>
      <c r="BT84" s="219">
        <v>55.87552309456364</v>
      </c>
      <c r="BU84" s="219">
        <v>55.527448966187933</v>
      </c>
      <c r="BV84" s="219">
        <v>55.227340672659359</v>
      </c>
      <c r="BW84" s="219">
        <v>54.927004520612911</v>
      </c>
      <c r="BX84" s="219">
        <v>54.876362430842271</v>
      </c>
      <c r="BY84" s="219">
        <v>54.825953669114448</v>
      </c>
      <c r="BZ84" s="219">
        <v>54.775420129237148</v>
      </c>
      <c r="CA84" s="219">
        <v>54.724755248104337</v>
      </c>
      <c r="CB84" s="219">
        <v>54.673960722108191</v>
      </c>
      <c r="CC84" s="33">
        <v>375.52857512831969</v>
      </c>
      <c r="CD84" s="219">
        <v>355.29310865321821</v>
      </c>
      <c r="CE84" s="219">
        <v>335.09355707168419</v>
      </c>
      <c r="CF84" s="219">
        <v>313.21964360231101</v>
      </c>
      <c r="CG84" s="219">
        <v>292.61759674660772</v>
      </c>
      <c r="CH84" s="219">
        <v>272.09981266271359</v>
      </c>
      <c r="CI84" s="219">
        <v>265.12710185368678</v>
      </c>
      <c r="CJ84" s="219">
        <v>258.24244660833779</v>
      </c>
      <c r="CK84" s="219">
        <v>250.56367806320659</v>
      </c>
      <c r="CL84" s="219">
        <v>243.84942051615721</v>
      </c>
      <c r="CM84" s="219">
        <v>237.2359203687927</v>
      </c>
      <c r="CN84" s="219">
        <v>234.0704551640257</v>
      </c>
      <c r="CO84" s="219">
        <v>230.96811522706761</v>
      </c>
      <c r="CP84" s="219">
        <v>227.66215304990561</v>
      </c>
      <c r="CQ84" s="219">
        <v>224.62572349317159</v>
      </c>
      <c r="CR84" s="219">
        <v>221.61046154164771</v>
      </c>
      <c r="CS84" s="219">
        <v>219.35673019241869</v>
      </c>
      <c r="CT84" s="219">
        <v>217.13683775346709</v>
      </c>
      <c r="CU84" s="219">
        <v>214.78912478256419</v>
      </c>
      <c r="CV84" s="219">
        <v>212.64216240990851</v>
      </c>
      <c r="CW84" s="219">
        <v>210.52293219984639</v>
      </c>
      <c r="CX84" s="219">
        <v>208.9275408106777</v>
      </c>
      <c r="CY84" s="219">
        <v>207.24936059987709</v>
      </c>
      <c r="CZ84" s="219">
        <v>205.58709454782891</v>
      </c>
      <c r="DA84" s="219">
        <v>203.9405016130012</v>
      </c>
      <c r="DB84" s="219">
        <v>202.30938976013331</v>
      </c>
    </row>
    <row r="85" spans="1:106" x14ac:dyDescent="0.35">
      <c r="A85" s="137" t="s">
        <v>541</v>
      </c>
      <c r="B85" s="130" t="s">
        <v>545</v>
      </c>
      <c r="C85" s="33">
        <v>1.0056262534197029</v>
      </c>
      <c r="D85" s="219">
        <v>1.0018174568254961</v>
      </c>
      <c r="E85" s="219">
        <v>0.99859941845996092</v>
      </c>
      <c r="F85" s="219">
        <v>0.99576821655242842</v>
      </c>
      <c r="G85" s="219">
        <v>0.99303485820918891</v>
      </c>
      <c r="H85" s="219">
        <v>0.99055130786796031</v>
      </c>
      <c r="I85" s="219">
        <v>0.9832222614695747</v>
      </c>
      <c r="J85" s="219">
        <v>0.97705611154246219</v>
      </c>
      <c r="K85" s="219">
        <v>0.97223501043592675</v>
      </c>
      <c r="L85" s="219">
        <v>0.96776645239584935</v>
      </c>
      <c r="M85" s="219">
        <v>0.96400240934107084</v>
      </c>
      <c r="N85" s="219">
        <v>0.96013497511463342</v>
      </c>
      <c r="O85" s="219">
        <v>0.95710951403275635</v>
      </c>
      <c r="P85" s="219">
        <v>0.95496560524551688</v>
      </c>
      <c r="Q85" s="219">
        <v>0.95302931190042783</v>
      </c>
      <c r="R85" s="219">
        <v>0.95147758488017398</v>
      </c>
      <c r="S85" s="219">
        <v>0.9523802645418139</v>
      </c>
      <c r="T85" s="219">
        <v>0.95330345934226324</v>
      </c>
      <c r="U85" s="219">
        <v>0.95441164888928887</v>
      </c>
      <c r="V85" s="219">
        <v>0.9553546717433743</v>
      </c>
      <c r="W85" s="219">
        <v>0.95630135045610942</v>
      </c>
      <c r="X85" s="219">
        <v>0.95810978934705748</v>
      </c>
      <c r="Y85" s="219">
        <v>0.9597979098763757</v>
      </c>
      <c r="Z85" s="219">
        <v>0.96147154712206362</v>
      </c>
      <c r="AA85" s="219">
        <v>0.9631309298731362</v>
      </c>
      <c r="AB85" s="219">
        <v>0.96477640276412646</v>
      </c>
      <c r="AC85" s="33">
        <v>3.5546587858732069E-4</v>
      </c>
      <c r="AD85" s="219">
        <v>3.519767697166937E-4</v>
      </c>
      <c r="AE85" s="219">
        <v>3.4873294752641349E-4</v>
      </c>
      <c r="AF85" s="219">
        <v>3.4520072046181351E-4</v>
      </c>
      <c r="AG85" s="219">
        <v>3.4209686174040398E-4</v>
      </c>
      <c r="AH85" s="219">
        <v>3.3909788852857738E-4</v>
      </c>
      <c r="AI85" s="219">
        <v>3.3778842566864069E-4</v>
      </c>
      <c r="AJ85" s="219">
        <v>3.365478343362948E-4</v>
      </c>
      <c r="AK85" s="219">
        <v>3.3545581394486861E-4</v>
      </c>
      <c r="AL85" s="219">
        <v>3.3432933803180168E-4</v>
      </c>
      <c r="AM85" s="219">
        <v>3.3330256455929677E-4</v>
      </c>
      <c r="AN85" s="219">
        <v>3.3253573199483011E-4</v>
      </c>
      <c r="AO85" s="219">
        <v>3.3185768823985971E-4</v>
      </c>
      <c r="AP85" s="219">
        <v>3.3131746438637899E-4</v>
      </c>
      <c r="AQ85" s="219">
        <v>3.3070160213456061E-4</v>
      </c>
      <c r="AR85" s="219">
        <v>3.3010415180302638E-4</v>
      </c>
      <c r="AS85" s="219">
        <v>3.2954882145201571E-4</v>
      </c>
      <c r="AT85" s="219">
        <v>3.2900104991782052E-4</v>
      </c>
      <c r="AU85" s="219">
        <v>3.2854796410768198E-4</v>
      </c>
      <c r="AV85" s="219">
        <v>3.280160068761548E-4</v>
      </c>
      <c r="AW85" s="219">
        <v>3.2748956634434131E-4</v>
      </c>
      <c r="AX85" s="219">
        <v>3.2740569137193438E-4</v>
      </c>
      <c r="AY85" s="219">
        <v>3.2721583515917652E-4</v>
      </c>
      <c r="AZ85" s="219">
        <v>3.2702796859098191E-4</v>
      </c>
      <c r="BA85" s="219">
        <v>3.2684198030277962E-4</v>
      </c>
      <c r="BB85" s="219">
        <v>3.2665782083323802E-4</v>
      </c>
      <c r="BC85" s="33">
        <v>633.85156952885507</v>
      </c>
      <c r="BD85" s="219">
        <v>629.85626316509251</v>
      </c>
      <c r="BE85" s="219">
        <v>626.03952915225273</v>
      </c>
      <c r="BF85" s="219">
        <v>619.25666216610341</v>
      </c>
      <c r="BG85" s="219">
        <v>615.56926142736484</v>
      </c>
      <c r="BH85" s="219">
        <v>611.98335158823397</v>
      </c>
      <c r="BI85" s="219">
        <v>614.38109185904318</v>
      </c>
      <c r="BJ85" s="219">
        <v>616.74952538395655</v>
      </c>
      <c r="BK85" s="219">
        <v>617.01217770044912</v>
      </c>
      <c r="BL85" s="219">
        <v>619.35019311975122</v>
      </c>
      <c r="BM85" s="219">
        <v>621.70910343716014</v>
      </c>
      <c r="BN85" s="219">
        <v>623.80789888794777</v>
      </c>
      <c r="BO85" s="219">
        <v>625.95273497256039</v>
      </c>
      <c r="BP85" s="219">
        <v>627.47829292731603</v>
      </c>
      <c r="BQ85" s="219">
        <v>629.62154559736723</v>
      </c>
      <c r="BR85" s="219">
        <v>631.7499305042802</v>
      </c>
      <c r="BS85" s="219">
        <v>630.13977844140334</v>
      </c>
      <c r="BT85" s="219">
        <v>628.5097011992907</v>
      </c>
      <c r="BU85" s="219">
        <v>626.28303055498463</v>
      </c>
      <c r="BV85" s="219">
        <v>624.62135856847954</v>
      </c>
      <c r="BW85" s="219">
        <v>622.92302691894463</v>
      </c>
      <c r="BX85" s="219">
        <v>622.67711768814115</v>
      </c>
      <c r="BY85" s="219">
        <v>622.42961172671562</v>
      </c>
      <c r="BZ85" s="219">
        <v>622.17805592652121</v>
      </c>
      <c r="CA85" s="219">
        <v>621.92251967282948</v>
      </c>
      <c r="CB85" s="219">
        <v>621.66312893875988</v>
      </c>
      <c r="CC85" s="33">
        <v>4033.598008635367</v>
      </c>
      <c r="CD85" s="219">
        <v>3922.175776321933</v>
      </c>
      <c r="CE85" s="219">
        <v>3816.22396030349</v>
      </c>
      <c r="CF85" s="219">
        <v>3693.003458286646</v>
      </c>
      <c r="CG85" s="219">
        <v>3591.0236404132652</v>
      </c>
      <c r="CH85" s="219">
        <v>3491.4080315768369</v>
      </c>
      <c r="CI85" s="219">
        <v>3438.8748996446602</v>
      </c>
      <c r="CJ85" s="219">
        <v>3387.826592419849</v>
      </c>
      <c r="CK85" s="219">
        <v>3327.217024066591</v>
      </c>
      <c r="CL85" s="219">
        <v>3278.865536508019</v>
      </c>
      <c r="CM85" s="219">
        <v>3232.6958495891799</v>
      </c>
      <c r="CN85" s="219">
        <v>3200.5209800477442</v>
      </c>
      <c r="CO85" s="219">
        <v>3170.1535188812709</v>
      </c>
      <c r="CP85" s="219">
        <v>3137.6169261845289</v>
      </c>
      <c r="CQ85" s="219">
        <v>3108.809986348871</v>
      </c>
      <c r="CR85" s="219">
        <v>3080.529328871517</v>
      </c>
      <c r="CS85" s="219">
        <v>3052.1014644394459</v>
      </c>
      <c r="CT85" s="219">
        <v>3024.0937427031558</v>
      </c>
      <c r="CU85" s="219">
        <v>2994.4278884195742</v>
      </c>
      <c r="CV85" s="219">
        <v>2967.313356525126</v>
      </c>
      <c r="CW85" s="219">
        <v>2940.5344163918189</v>
      </c>
      <c r="CX85" s="219">
        <v>2926.231154232968</v>
      </c>
      <c r="CY85" s="219">
        <v>2911.6373885009211</v>
      </c>
      <c r="CZ85" s="219">
        <v>2897.2129729381991</v>
      </c>
      <c r="DA85" s="219">
        <v>2882.9533400778969</v>
      </c>
      <c r="DB85" s="219">
        <v>2868.8543913263138</v>
      </c>
    </row>
    <row r="86" spans="1:106" x14ac:dyDescent="0.35">
      <c r="A86" s="137" t="s">
        <v>542</v>
      </c>
      <c r="B86" s="130" t="s">
        <v>545</v>
      </c>
      <c r="C86" s="33">
        <v>8.293874601762008</v>
      </c>
      <c r="D86" s="219">
        <v>8.2774646617904466</v>
      </c>
      <c r="E86" s="219">
        <v>8.2605047060748635</v>
      </c>
      <c r="F86" s="219">
        <v>8.2429265147392794</v>
      </c>
      <c r="G86" s="219">
        <v>8.2244864264855018</v>
      </c>
      <c r="H86" s="219">
        <v>8.205218552878085</v>
      </c>
      <c r="I86" s="219">
        <v>8.2033275099198644</v>
      </c>
      <c r="J86" s="219">
        <v>8.201523505392851</v>
      </c>
      <c r="K86" s="219">
        <v>8.200001122002023</v>
      </c>
      <c r="L86" s="219">
        <v>8.1983377898921077</v>
      </c>
      <c r="M86" s="219">
        <v>8.1967267877329899</v>
      </c>
      <c r="N86" s="219">
        <v>8.1975874589600206</v>
      </c>
      <c r="O86" s="219">
        <v>8.1984763778291665</v>
      </c>
      <c r="P86" s="219">
        <v>8.199525922350098</v>
      </c>
      <c r="Q86" s="219">
        <v>8.200441338773409</v>
      </c>
      <c r="R86" s="219">
        <v>8.2013600517417924</v>
      </c>
      <c r="S86" s="219">
        <v>8.2014748852534343</v>
      </c>
      <c r="T86" s="219">
        <v>8.2015967272818475</v>
      </c>
      <c r="U86" s="219">
        <v>8.2018197322122059</v>
      </c>
      <c r="V86" s="219">
        <v>8.2019537321405274</v>
      </c>
      <c r="W86" s="219">
        <v>8.2020942884410957</v>
      </c>
      <c r="X86" s="219">
        <v>8.2020037162699087</v>
      </c>
      <c r="Y86" s="219">
        <v>8.2017867596180061</v>
      </c>
      <c r="Z86" s="219">
        <v>8.2015766218439747</v>
      </c>
      <c r="AA86" s="219">
        <v>8.2013730078675291</v>
      </c>
      <c r="AB86" s="219">
        <v>8.2011759602655872</v>
      </c>
      <c r="AC86" s="33">
        <v>4.609356238257833E-3</v>
      </c>
      <c r="AD86" s="219">
        <v>4.5931250730815157E-3</v>
      </c>
      <c r="AE86" s="219">
        <v>4.5764525906713737E-3</v>
      </c>
      <c r="AF86" s="219">
        <v>4.5590542471874223E-3</v>
      </c>
      <c r="AG86" s="219">
        <v>4.5411870341415033E-3</v>
      </c>
      <c r="AH86" s="219">
        <v>4.5226484807276562E-3</v>
      </c>
      <c r="AI86" s="219">
        <v>4.5193724489732074E-3</v>
      </c>
      <c r="AJ86" s="219">
        <v>4.5161279220672923E-3</v>
      </c>
      <c r="AK86" s="219">
        <v>4.512962397939151E-3</v>
      </c>
      <c r="AL86" s="219">
        <v>4.509781379514393E-3</v>
      </c>
      <c r="AM86" s="219">
        <v>4.5066242248512651E-3</v>
      </c>
      <c r="AN86" s="219">
        <v>4.5060812741933697E-3</v>
      </c>
      <c r="AO86" s="219">
        <v>4.5055393104297516E-3</v>
      </c>
      <c r="AP86" s="219">
        <v>4.5050559838484194E-3</v>
      </c>
      <c r="AQ86" s="219">
        <v>4.5045126035906571E-3</v>
      </c>
      <c r="AR86" s="219">
        <v>4.5039668442522114E-3</v>
      </c>
      <c r="AS86" s="219">
        <v>4.5033015158061724E-3</v>
      </c>
      <c r="AT86" s="219">
        <v>4.5026494091883603E-3</v>
      </c>
      <c r="AU86" s="219">
        <v>4.5020614552175693E-3</v>
      </c>
      <c r="AV86" s="219">
        <v>4.5014360864276794E-3</v>
      </c>
      <c r="AW86" s="219">
        <v>4.5008231811326906E-3</v>
      </c>
      <c r="AX86" s="219">
        <v>4.5003966216169587E-3</v>
      </c>
      <c r="AY86" s="219">
        <v>4.499851099644815E-3</v>
      </c>
      <c r="AZ86" s="219">
        <v>4.4993143727758596E-3</v>
      </c>
      <c r="BA86" s="219">
        <v>4.4987862432606853E-3</v>
      </c>
      <c r="BB86" s="219">
        <v>4.4982666979874074E-3</v>
      </c>
      <c r="BC86" s="33">
        <v>624.93478538201657</v>
      </c>
      <c r="BD86" s="219">
        <v>613.54700663251344</v>
      </c>
      <c r="BE86" s="219">
        <v>601.74871868692253</v>
      </c>
      <c r="BF86" s="219">
        <v>587.97327347406178</v>
      </c>
      <c r="BG86" s="219">
        <v>575.20304337920686</v>
      </c>
      <c r="BH86" s="219">
        <v>561.91425291636403</v>
      </c>
      <c r="BI86" s="219">
        <v>571.53476660336389</v>
      </c>
      <c r="BJ86" s="219">
        <v>580.86597283306924</v>
      </c>
      <c r="BK86" s="219">
        <v>588.85615070184122</v>
      </c>
      <c r="BL86" s="219">
        <v>597.637604757688</v>
      </c>
      <c r="BM86" s="219">
        <v>606.14856505584521</v>
      </c>
      <c r="BN86" s="219">
        <v>606.43898871496344</v>
      </c>
      <c r="BO86" s="219">
        <v>606.71454392563533</v>
      </c>
      <c r="BP86" s="219">
        <v>606.67332636918638</v>
      </c>
      <c r="BQ86" s="219">
        <v>606.92168744413755</v>
      </c>
      <c r="BR86" s="219">
        <v>607.15170392376672</v>
      </c>
      <c r="BS86" s="219">
        <v>600.17688537478409</v>
      </c>
      <c r="BT86" s="219">
        <v>593.26797952198126</v>
      </c>
      <c r="BU86" s="219">
        <v>586.14162158901831</v>
      </c>
      <c r="BV86" s="219">
        <v>579.36634310349768</v>
      </c>
      <c r="BW86" s="219">
        <v>572.64673354951185</v>
      </c>
      <c r="BX86" s="219">
        <v>571.97255115679252</v>
      </c>
      <c r="BY86" s="219">
        <v>571.30888485926732</v>
      </c>
      <c r="BZ86" s="219">
        <v>570.64779555830762</v>
      </c>
      <c r="CA86" s="219">
        <v>569.98908567919409</v>
      </c>
      <c r="CB86" s="219">
        <v>569.33274197635001</v>
      </c>
      <c r="CC86" s="33">
        <v>5135.8538998225358</v>
      </c>
      <c r="CD86" s="219">
        <v>4674.032498445551</v>
      </c>
      <c r="CE86" s="219">
        <v>4204.8106631228038</v>
      </c>
      <c r="CF86" s="219">
        <v>3715.6678667606238</v>
      </c>
      <c r="CG86" s="219">
        <v>3223.6826494698389</v>
      </c>
      <c r="CH86" s="219">
        <v>2718.8184767206749</v>
      </c>
      <c r="CI86" s="219">
        <v>2579.7054622431779</v>
      </c>
      <c r="CJ86" s="219">
        <v>2442.2371766708261</v>
      </c>
      <c r="CK86" s="219">
        <v>2300.7978711993978</v>
      </c>
      <c r="CL86" s="219">
        <v>2166.3510116854518</v>
      </c>
      <c r="CM86" s="219">
        <v>2033.222691204923</v>
      </c>
      <c r="CN86" s="219">
        <v>1990.485204415831</v>
      </c>
      <c r="CO86" s="219">
        <v>1948.013718707429</v>
      </c>
      <c r="CP86" s="219">
        <v>1904.3405454105421</v>
      </c>
      <c r="CQ86" s="219">
        <v>1862.3669491995011</v>
      </c>
      <c r="CR86" s="219">
        <v>1820.5939265650641</v>
      </c>
      <c r="CS86" s="219">
        <v>1795.373883803371</v>
      </c>
      <c r="CT86" s="219">
        <v>1770.689761819571</v>
      </c>
      <c r="CU86" s="219">
        <v>1745.540009214558</v>
      </c>
      <c r="CV86" s="219">
        <v>1721.956143871387</v>
      </c>
      <c r="CW86" s="219">
        <v>1698.8667054428049</v>
      </c>
      <c r="CX86" s="219">
        <v>1676.4089511692571</v>
      </c>
      <c r="CY86" s="219">
        <v>1654.009474844107</v>
      </c>
      <c r="CZ86" s="219">
        <v>1632.0002620476989</v>
      </c>
      <c r="DA86" s="219">
        <v>1610.378970592054</v>
      </c>
      <c r="DB86" s="219">
        <v>1589.144216254472</v>
      </c>
    </row>
    <row r="87" spans="1:106" x14ac:dyDescent="0.35">
      <c r="A87" s="137" t="s">
        <v>543</v>
      </c>
      <c r="B87" s="130" t="s">
        <v>545</v>
      </c>
      <c r="C87" s="33">
        <v>6.2903915692456673E-3</v>
      </c>
      <c r="D87" s="219">
        <v>6.2516003593660512E-3</v>
      </c>
      <c r="E87" s="219">
        <v>6.2155618363683787E-3</v>
      </c>
      <c r="F87" s="219">
        <v>6.1771662982271951E-3</v>
      </c>
      <c r="G87" s="219">
        <v>6.143094323958518E-3</v>
      </c>
      <c r="H87" s="219">
        <v>6.1099781841689833E-3</v>
      </c>
      <c r="I87" s="219">
        <v>6.0723849044123854E-3</v>
      </c>
      <c r="J87" s="219">
        <v>6.0400517973439186E-3</v>
      </c>
      <c r="K87" s="219">
        <v>6.0084087468235681E-3</v>
      </c>
      <c r="L87" s="219">
        <v>5.9836863868244564E-3</v>
      </c>
      <c r="M87" s="219">
        <v>5.9621933068188379E-3</v>
      </c>
      <c r="N87" s="219">
        <v>5.9421868580730114E-3</v>
      </c>
      <c r="O87" s="219">
        <v>5.9260509065239718E-3</v>
      </c>
      <c r="P87" s="219">
        <v>5.9117729904260754E-3</v>
      </c>
      <c r="Q87" s="219">
        <v>5.9006062421671094E-3</v>
      </c>
      <c r="R87" s="219">
        <v>5.8912102397365579E-3</v>
      </c>
      <c r="S87" s="219">
        <v>5.8944791826547457E-3</v>
      </c>
      <c r="T87" s="219">
        <v>5.8978643623624587E-3</v>
      </c>
      <c r="U87" s="219">
        <v>5.9013862598330498E-3</v>
      </c>
      <c r="V87" s="219">
        <v>5.9048973471874811E-3</v>
      </c>
      <c r="W87" s="219">
        <v>5.9084499593478369E-3</v>
      </c>
      <c r="X87" s="219">
        <v>5.9145097892070366E-3</v>
      </c>
      <c r="Y87" s="219">
        <v>5.9203042280722238E-3</v>
      </c>
      <c r="Z87" s="219">
        <v>5.9260465081609603E-3</v>
      </c>
      <c r="AA87" s="219">
        <v>5.9317368491620731E-3</v>
      </c>
      <c r="AB87" s="219">
        <v>5.9373760798999142E-3</v>
      </c>
      <c r="AC87" s="33">
        <v>4.4670454668324006E-6</v>
      </c>
      <c r="AD87" s="219">
        <v>4.439154343613787E-6</v>
      </c>
      <c r="AE87" s="219">
        <v>4.4121768745793151E-6</v>
      </c>
      <c r="AF87" s="219">
        <v>4.3873786668015702E-6</v>
      </c>
      <c r="AG87" s="219">
        <v>4.3602543014458313E-6</v>
      </c>
      <c r="AH87" s="219">
        <v>4.3332521505410973E-6</v>
      </c>
      <c r="AI87" s="219">
        <v>4.3248257862144779E-6</v>
      </c>
      <c r="AJ87" s="219">
        <v>4.3168084647168356E-6</v>
      </c>
      <c r="AK87" s="219">
        <v>4.3085913904286453E-6</v>
      </c>
      <c r="AL87" s="219">
        <v>4.3010100286292434E-6</v>
      </c>
      <c r="AM87" s="219">
        <v>4.2939036377983498E-6</v>
      </c>
      <c r="AN87" s="219">
        <v>4.2909292973332699E-6</v>
      </c>
      <c r="AO87" s="219">
        <v>4.2883634738127724E-6</v>
      </c>
      <c r="AP87" s="219">
        <v>4.2860567062582119E-6</v>
      </c>
      <c r="AQ87" s="219">
        <v>4.28369282954181E-6</v>
      </c>
      <c r="AR87" s="219">
        <v>4.2813926914349439E-6</v>
      </c>
      <c r="AS87" s="219">
        <v>4.280399631304243E-6</v>
      </c>
      <c r="AT87" s="219">
        <v>4.2794283678631987E-6</v>
      </c>
      <c r="AU87" s="219">
        <v>4.2784989734418363E-6</v>
      </c>
      <c r="AV87" s="219">
        <v>4.2775415955947716E-6</v>
      </c>
      <c r="AW87" s="219">
        <v>4.2766009329994094E-6</v>
      </c>
      <c r="AX87" s="219">
        <v>4.2792975107491806E-6</v>
      </c>
      <c r="AY87" s="219">
        <v>4.2794783065066122E-6</v>
      </c>
      <c r="AZ87" s="219">
        <v>4.2796593287456623E-6</v>
      </c>
      <c r="BA87" s="219">
        <v>4.2798399734295026E-6</v>
      </c>
      <c r="BB87" s="219">
        <v>4.2800199570603053E-6</v>
      </c>
      <c r="BC87" s="33">
        <v>53.826181440223777</v>
      </c>
      <c r="BD87" s="219">
        <v>53.805912206705557</v>
      </c>
      <c r="BE87" s="219">
        <v>53.786100239114973</v>
      </c>
      <c r="BF87" s="219">
        <v>53.791275618757723</v>
      </c>
      <c r="BG87" s="219">
        <v>53.770701534311968</v>
      </c>
      <c r="BH87" s="219">
        <v>53.750138010798707</v>
      </c>
      <c r="BI87" s="219">
        <v>53.776700899636118</v>
      </c>
      <c r="BJ87" s="219">
        <v>53.80303152067323</v>
      </c>
      <c r="BK87" s="219">
        <v>53.846539274880499</v>
      </c>
      <c r="BL87" s="219">
        <v>53.872102185875093</v>
      </c>
      <c r="BM87" s="219">
        <v>53.897693933813457</v>
      </c>
      <c r="BN87" s="219">
        <v>53.921002640691398</v>
      </c>
      <c r="BO87" s="219">
        <v>53.944410063316511</v>
      </c>
      <c r="BP87" s="219">
        <v>53.974654489471163</v>
      </c>
      <c r="BQ87" s="219">
        <v>53.99756452177715</v>
      </c>
      <c r="BR87" s="219">
        <v>54.020272739980093</v>
      </c>
      <c r="BS87" s="219">
        <v>54.010233951328772</v>
      </c>
      <c r="BT87" s="219">
        <v>54.000210167109849</v>
      </c>
      <c r="BU87" s="219">
        <v>53.996827949309271</v>
      </c>
      <c r="BV87" s="219">
        <v>53.986751897808269</v>
      </c>
      <c r="BW87" s="219">
        <v>53.976610617436023</v>
      </c>
      <c r="BX87" s="219">
        <v>53.980770701792913</v>
      </c>
      <c r="BY87" s="219">
        <v>53.98490753677163</v>
      </c>
      <c r="BZ87" s="219">
        <v>53.989008757905971</v>
      </c>
      <c r="CA87" s="219">
        <v>53.993074930802408</v>
      </c>
      <c r="CB87" s="219">
        <v>53.997106882174151</v>
      </c>
      <c r="CC87" s="33">
        <v>73.216263230169957</v>
      </c>
      <c r="CD87" s="219">
        <v>72.4154515213922</v>
      </c>
      <c r="CE87" s="219">
        <v>71.637555469476354</v>
      </c>
      <c r="CF87" s="219">
        <v>71.011860743770526</v>
      </c>
      <c r="CG87" s="219">
        <v>70.230999090176439</v>
      </c>
      <c r="CH87" s="219">
        <v>69.453097188900713</v>
      </c>
      <c r="CI87" s="219">
        <v>69.160621332173804</v>
      </c>
      <c r="CJ87" s="219">
        <v>68.878834443400521</v>
      </c>
      <c r="CK87" s="219">
        <v>68.696572487502124</v>
      </c>
      <c r="CL87" s="219">
        <v>68.42305244826872</v>
      </c>
      <c r="CM87" s="219">
        <v>68.159830668591823</v>
      </c>
      <c r="CN87" s="219">
        <v>68.066934174630873</v>
      </c>
      <c r="CO87" s="219">
        <v>67.98196259486626</v>
      </c>
      <c r="CP87" s="219">
        <v>67.935459973193474</v>
      </c>
      <c r="CQ87" s="219">
        <v>67.854023450797399</v>
      </c>
      <c r="CR87" s="219">
        <v>67.774167585666646</v>
      </c>
      <c r="CS87" s="219">
        <v>67.706681565455483</v>
      </c>
      <c r="CT87" s="219">
        <v>67.640982410215656</v>
      </c>
      <c r="CU87" s="219">
        <v>67.598354823273624</v>
      </c>
      <c r="CV87" s="219">
        <v>67.534822797356412</v>
      </c>
      <c r="CW87" s="219">
        <v>67.472710875168374</v>
      </c>
      <c r="CX87" s="219">
        <v>67.480814435609005</v>
      </c>
      <c r="CY87" s="219">
        <v>67.465680913130271</v>
      </c>
      <c r="CZ87" s="219">
        <v>67.450909568609092</v>
      </c>
      <c r="DA87" s="219">
        <v>67.436473748421932</v>
      </c>
      <c r="DB87" s="219">
        <v>67.42234953926409</v>
      </c>
    </row>
    <row r="88" spans="1:106" x14ac:dyDescent="0.35">
      <c r="A88" s="137" t="s">
        <v>544</v>
      </c>
      <c r="B88" s="130" t="s">
        <v>545</v>
      </c>
      <c r="C88" s="33">
        <v>4.1510338187447218E-2</v>
      </c>
      <c r="D88" s="219">
        <v>4.1339392912795717E-2</v>
      </c>
      <c r="E88" s="219">
        <v>4.1168994203040987E-2</v>
      </c>
      <c r="F88" s="219">
        <v>4.1002561978185741E-2</v>
      </c>
      <c r="G88" s="219">
        <v>4.0831091317559312E-2</v>
      </c>
      <c r="H88" s="219">
        <v>4.0662341083271963E-2</v>
      </c>
      <c r="I88" s="219">
        <v>4.0559598753585058E-2</v>
      </c>
      <c r="J88" s="219">
        <v>4.0461002717611091E-2</v>
      </c>
      <c r="K88" s="219">
        <v>4.038007234501069E-2</v>
      </c>
      <c r="L88" s="219">
        <v>4.0287966182734523E-2</v>
      </c>
      <c r="M88" s="219">
        <v>4.0198377415006842E-2</v>
      </c>
      <c r="N88" s="219">
        <v>4.0097864585005832E-2</v>
      </c>
      <c r="O88" s="219">
        <v>4.0000230580891291E-2</v>
      </c>
      <c r="P88" s="219">
        <v>3.9914790034655347E-2</v>
      </c>
      <c r="Q88" s="219">
        <v>3.982117484318571E-2</v>
      </c>
      <c r="R88" s="219">
        <v>3.9728941970264608E-2</v>
      </c>
      <c r="S88" s="219">
        <v>3.9649528985070938E-2</v>
      </c>
      <c r="T88" s="219">
        <v>3.9570548507747119E-2</v>
      </c>
      <c r="U88" s="219">
        <v>3.9498603018643962E-2</v>
      </c>
      <c r="V88" s="219">
        <v>3.9420452513694658E-2</v>
      </c>
      <c r="W88" s="219">
        <v>3.9342701581132032E-2</v>
      </c>
      <c r="X88" s="219">
        <v>3.9316538258905347E-2</v>
      </c>
      <c r="Y88" s="219">
        <v>3.9281111199670239E-2</v>
      </c>
      <c r="Z88" s="219">
        <v>3.9245760301438802E-2</v>
      </c>
      <c r="AA88" s="219">
        <v>3.9210483655717089E-2</v>
      </c>
      <c r="AB88" s="219">
        <v>3.9175283205160803E-2</v>
      </c>
      <c r="AC88" s="33">
        <v>2.7602690065614942E-5</v>
      </c>
      <c r="AD88" s="219">
        <v>2.7277069530377671E-5</v>
      </c>
      <c r="AE88" s="219">
        <v>2.6951994050353811E-5</v>
      </c>
      <c r="AF88" s="219">
        <v>2.661592123451903E-5</v>
      </c>
      <c r="AG88" s="219">
        <v>2.629079167498942E-5</v>
      </c>
      <c r="AH88" s="219">
        <v>2.5967882708659229E-5</v>
      </c>
      <c r="AI88" s="219">
        <v>2.5768252762831761E-5</v>
      </c>
      <c r="AJ88" s="219">
        <v>2.556979335857826E-5</v>
      </c>
      <c r="AK88" s="219">
        <v>2.5375673211243018E-5</v>
      </c>
      <c r="AL88" s="219">
        <v>2.517964919382767E-5</v>
      </c>
      <c r="AM88" s="219">
        <v>2.4984809037917731E-5</v>
      </c>
      <c r="AN88" s="219">
        <v>2.474503589839399E-5</v>
      </c>
      <c r="AO88" s="219">
        <v>2.4506820732649461E-5</v>
      </c>
      <c r="AP88" s="219">
        <v>2.4274044349087081E-5</v>
      </c>
      <c r="AQ88" s="219">
        <v>2.4038697011784379E-5</v>
      </c>
      <c r="AR88" s="219">
        <v>2.3804648295513431E-5</v>
      </c>
      <c r="AS88" s="219">
        <v>2.356478526336021E-5</v>
      </c>
      <c r="AT88" s="219">
        <v>2.332634334920989E-5</v>
      </c>
      <c r="AU88" s="219">
        <v>2.3092963065100109E-5</v>
      </c>
      <c r="AV88" s="219">
        <v>2.2857418959893221E-5</v>
      </c>
      <c r="AW88" s="219">
        <v>2.262322984484665E-5</v>
      </c>
      <c r="AX88" s="219">
        <v>2.2513152126460811E-5</v>
      </c>
      <c r="AY88" s="219">
        <v>2.238114472031719E-5</v>
      </c>
      <c r="AZ88" s="219">
        <v>2.22493522710368E-5</v>
      </c>
      <c r="BA88" s="219">
        <v>2.211777179886149E-5</v>
      </c>
      <c r="BB88" s="219">
        <v>2.1986402449011829E-5</v>
      </c>
      <c r="BC88" s="33">
        <v>70.875745924850293</v>
      </c>
      <c r="BD88" s="219">
        <v>70.029240064738502</v>
      </c>
      <c r="BE88" s="219">
        <v>69.178600043580047</v>
      </c>
      <c r="BF88" s="219">
        <v>68.225463026166636</v>
      </c>
      <c r="BG88" s="219">
        <v>67.365249292505439</v>
      </c>
      <c r="BH88" s="219">
        <v>66.503208673923282</v>
      </c>
      <c r="BI88" s="219">
        <v>65.861859684675665</v>
      </c>
      <c r="BJ88" s="219">
        <v>65.22102934988915</v>
      </c>
      <c r="BK88" s="219">
        <v>64.507075871398484</v>
      </c>
      <c r="BL88" s="219">
        <v>63.866915071011647</v>
      </c>
      <c r="BM88" s="219">
        <v>63.227339293229647</v>
      </c>
      <c r="BN88" s="219">
        <v>62.482906598448992</v>
      </c>
      <c r="BO88" s="219">
        <v>61.740425711096727</v>
      </c>
      <c r="BP88" s="219">
        <v>60.977137494082633</v>
      </c>
      <c r="BQ88" s="219">
        <v>60.238363688666119</v>
      </c>
      <c r="BR88" s="219">
        <v>59.501282877080378</v>
      </c>
      <c r="BS88" s="219">
        <v>58.613831022970352</v>
      </c>
      <c r="BT88" s="219">
        <v>57.724765664463121</v>
      </c>
      <c r="BU88" s="219">
        <v>56.811084342536468</v>
      </c>
      <c r="BV88" s="219">
        <v>55.918791563241172</v>
      </c>
      <c r="BW88" s="219">
        <v>55.024552809726231</v>
      </c>
      <c r="BX88" s="219">
        <v>54.691085904917998</v>
      </c>
      <c r="BY88" s="219">
        <v>54.357652589452307</v>
      </c>
      <c r="BZ88" s="219">
        <v>54.024162184940998</v>
      </c>
      <c r="CA88" s="219">
        <v>53.690613397830568</v>
      </c>
      <c r="CB88" s="219">
        <v>53.357007096689649</v>
      </c>
      <c r="CC88" s="33">
        <v>443.20246971044838</v>
      </c>
      <c r="CD88" s="219">
        <v>429.02083840208343</v>
      </c>
      <c r="CE88" s="219">
        <v>414.89293343548792</v>
      </c>
      <c r="CF88" s="219">
        <v>400.20140862769102</v>
      </c>
      <c r="CG88" s="219">
        <v>386.15225456660158</v>
      </c>
      <c r="CH88" s="219">
        <v>372.18205774864089</v>
      </c>
      <c r="CI88" s="219">
        <v>362.42117304884272</v>
      </c>
      <c r="CJ88" s="219">
        <v>352.71890044034262</v>
      </c>
      <c r="CK88" s="219">
        <v>342.69062059706539</v>
      </c>
      <c r="CL88" s="219">
        <v>333.10353964356091</v>
      </c>
      <c r="CM88" s="219">
        <v>323.57408341762488</v>
      </c>
      <c r="CN88" s="219">
        <v>311.9891569769112</v>
      </c>
      <c r="CO88" s="219">
        <v>300.48321014938409</v>
      </c>
      <c r="CP88" s="219">
        <v>288.94474516675388</v>
      </c>
      <c r="CQ88" s="219">
        <v>277.59140115397128</v>
      </c>
      <c r="CR88" s="219">
        <v>266.31114668951778</v>
      </c>
      <c r="CS88" s="219">
        <v>254.76849578646451</v>
      </c>
      <c r="CT88" s="219">
        <v>243.30163521485329</v>
      </c>
      <c r="CU88" s="219">
        <v>231.82982288397429</v>
      </c>
      <c r="CV88" s="219">
        <v>220.51489536584461</v>
      </c>
      <c r="CW88" s="219">
        <v>209.2721244723148</v>
      </c>
      <c r="CX88" s="219">
        <v>203.07767457540839</v>
      </c>
      <c r="CY88" s="219">
        <v>196.87109590789871</v>
      </c>
      <c r="CZ88" s="219">
        <v>190.674961315856</v>
      </c>
      <c r="DA88" s="219">
        <v>184.48921295354529</v>
      </c>
      <c r="DB88" s="219">
        <v>178.31380450758871</v>
      </c>
    </row>
    <row r="89" spans="1:106" x14ac:dyDescent="0.35">
      <c r="A89" s="137" t="s">
        <v>546</v>
      </c>
      <c r="B89" s="130" t="s">
        <v>547</v>
      </c>
      <c r="C89" s="33">
        <v>2.2026478703469121E-4</v>
      </c>
      <c r="D89" s="219">
        <v>2.2020955012780601E-4</v>
      </c>
      <c r="E89" s="219">
        <v>2.2019062144830901E-4</v>
      </c>
      <c r="F89" s="219">
        <v>2.2021871573460941E-4</v>
      </c>
      <c r="G89" s="219">
        <v>2.2021630891008151E-4</v>
      </c>
      <c r="H89" s="219">
        <v>2.2024281321367261E-4</v>
      </c>
      <c r="I89" s="219">
        <v>2.1956101117015479E-4</v>
      </c>
      <c r="J89" s="219">
        <v>2.1900092284188151E-4</v>
      </c>
      <c r="K89" s="219">
        <v>2.186160080865308E-4</v>
      </c>
      <c r="L89" s="219">
        <v>2.182315083152904E-4</v>
      </c>
      <c r="M89" s="219">
        <v>2.1791638352197911E-4</v>
      </c>
      <c r="N89" s="219">
        <v>2.1763620794623941E-4</v>
      </c>
      <c r="O89" s="219">
        <v>2.17437353781601E-4</v>
      </c>
      <c r="P89" s="219">
        <v>2.1734484923720929E-4</v>
      </c>
      <c r="Q89" s="219">
        <v>2.1725188659682399E-4</v>
      </c>
      <c r="R89" s="219">
        <v>2.1719542266774761E-4</v>
      </c>
      <c r="S89" s="219">
        <v>2.1737068189794329E-4</v>
      </c>
      <c r="T89" s="219">
        <v>2.17544802321246E-4</v>
      </c>
      <c r="U89" s="219">
        <v>2.1774487747373299E-4</v>
      </c>
      <c r="V89" s="219">
        <v>2.1791497432323151E-4</v>
      </c>
      <c r="W89" s="219">
        <v>2.1808262214156581E-4</v>
      </c>
      <c r="X89" s="219">
        <v>2.183913552829143E-4</v>
      </c>
      <c r="Y89" s="219">
        <v>2.1866793712461101E-4</v>
      </c>
      <c r="Z89" s="219">
        <v>2.1894231467095191E-4</v>
      </c>
      <c r="AA89" s="219">
        <v>2.1921455744988079E-4</v>
      </c>
      <c r="AB89" s="219">
        <v>2.1948474620327139E-4</v>
      </c>
      <c r="AC89" s="33">
        <v>8.0684346632417927E-8</v>
      </c>
      <c r="AD89" s="219">
        <v>8.0120265532613907E-8</v>
      </c>
      <c r="AE89" s="219">
        <v>7.9572277635027369E-8</v>
      </c>
      <c r="AF89" s="219">
        <v>7.8967858379638139E-8</v>
      </c>
      <c r="AG89" s="219">
        <v>7.8429027404876679E-8</v>
      </c>
      <c r="AH89" s="219">
        <v>7.7910964792043903E-8</v>
      </c>
      <c r="AI89" s="219">
        <v>7.7673575803482753E-8</v>
      </c>
      <c r="AJ89" s="219">
        <v>7.7442537298506086E-8</v>
      </c>
      <c r="AK89" s="219">
        <v>7.7232954815245276E-8</v>
      </c>
      <c r="AL89" s="219">
        <v>7.7013348264456333E-8</v>
      </c>
      <c r="AM89" s="219">
        <v>7.6801928940940345E-8</v>
      </c>
      <c r="AN89" s="219">
        <v>7.6608281641599883E-8</v>
      </c>
      <c r="AO89" s="219">
        <v>7.6422606310031101E-8</v>
      </c>
      <c r="AP89" s="219">
        <v>7.6258350282629635E-8</v>
      </c>
      <c r="AQ89" s="219">
        <v>7.6080085217337042E-8</v>
      </c>
      <c r="AR89" s="219">
        <v>7.5904250545272956E-8</v>
      </c>
      <c r="AS89" s="219">
        <v>7.5730366516265531E-8</v>
      </c>
      <c r="AT89" s="219">
        <v>7.55580673862824E-8</v>
      </c>
      <c r="AU89" s="219">
        <v>7.5402671930957264E-8</v>
      </c>
      <c r="AV89" s="219">
        <v>7.5233805788106365E-8</v>
      </c>
      <c r="AW89" s="219">
        <v>7.5066272846413818E-8</v>
      </c>
      <c r="AX89" s="219">
        <v>7.5020162076017049E-8</v>
      </c>
      <c r="AY89" s="219">
        <v>7.4928930064119408E-8</v>
      </c>
      <c r="AZ89" s="219">
        <v>7.4838041269554009E-8</v>
      </c>
      <c r="BA89" s="219">
        <v>7.4747482838614183E-8</v>
      </c>
      <c r="BB89" s="219">
        <v>7.4657248680266034E-8</v>
      </c>
      <c r="BC89" s="33">
        <v>0.1038814101950728</v>
      </c>
      <c r="BD89" s="219">
        <v>0.10299808956686</v>
      </c>
      <c r="BE89" s="219">
        <v>0.10212455367909749</v>
      </c>
      <c r="BF89" s="219">
        <v>0.1006662842563638</v>
      </c>
      <c r="BG89" s="219">
        <v>9.9800046683540491E-2</v>
      </c>
      <c r="BH89" s="219">
        <v>9.8953297796424741E-2</v>
      </c>
      <c r="BI89" s="219">
        <v>9.8834877135998783E-2</v>
      </c>
      <c r="BJ89" s="219">
        <v>9.871392323437031E-2</v>
      </c>
      <c r="BK89" s="219">
        <v>9.8177356075956096E-2</v>
      </c>
      <c r="BL89" s="219">
        <v>9.8056499919113402E-2</v>
      </c>
      <c r="BM89" s="219">
        <v>9.7936563875405863E-2</v>
      </c>
      <c r="BN89" s="219">
        <v>9.7694727079236141E-2</v>
      </c>
      <c r="BO89" s="219">
        <v>9.7457423189892284E-2</v>
      </c>
      <c r="BP89" s="219">
        <v>9.7098266101916103E-2</v>
      </c>
      <c r="BQ89" s="219">
        <v>9.6864794102945337E-2</v>
      </c>
      <c r="BR89" s="219">
        <v>9.6631260650096307E-2</v>
      </c>
      <c r="BS89" s="219">
        <v>9.5988470175631405E-2</v>
      </c>
      <c r="BT89" s="219">
        <v>9.5344176251162011E-2</v>
      </c>
      <c r="BU89" s="219">
        <v>9.4582359268643945E-2</v>
      </c>
      <c r="BV89" s="219">
        <v>9.393642659659604E-2</v>
      </c>
      <c r="BW89" s="219">
        <v>9.3286749256158832E-2</v>
      </c>
      <c r="BX89" s="219">
        <v>9.3072347342670503E-2</v>
      </c>
      <c r="BY89" s="219">
        <v>9.2858115460975374E-2</v>
      </c>
      <c r="BZ89" s="219">
        <v>9.264377505550328E-2</v>
      </c>
      <c r="CA89" s="219">
        <v>9.2429322631141647E-2</v>
      </c>
      <c r="CB89" s="219">
        <v>9.221476117489244E-2</v>
      </c>
      <c r="CC89" s="33">
        <v>0.72279888238399292</v>
      </c>
      <c r="CD89" s="219">
        <v>0.7034562745192241</v>
      </c>
      <c r="CE89" s="219">
        <v>0.68449650736941459</v>
      </c>
      <c r="CF89" s="219">
        <v>0.66205195469186395</v>
      </c>
      <c r="CG89" s="219">
        <v>0.64343372329758874</v>
      </c>
      <c r="CH89" s="219">
        <v>0.62524853058308871</v>
      </c>
      <c r="CI89" s="219">
        <v>0.61512109943759508</v>
      </c>
      <c r="CJ89" s="219">
        <v>0.60511644604144055</v>
      </c>
      <c r="CK89" s="219">
        <v>0.59306384061789541</v>
      </c>
      <c r="CL89" s="219">
        <v>0.58333148647335076</v>
      </c>
      <c r="CM89" s="219">
        <v>0.57377901555560729</v>
      </c>
      <c r="CN89" s="219">
        <v>0.56500743254792885</v>
      </c>
      <c r="CO89" s="219">
        <v>0.55641180088137565</v>
      </c>
      <c r="CP89" s="219">
        <v>0.54732928709553175</v>
      </c>
      <c r="CQ89" s="219">
        <v>0.53894940603864749</v>
      </c>
      <c r="CR89" s="219">
        <v>0.53064945892648174</v>
      </c>
      <c r="CS89" s="219">
        <v>0.52240453524600805</v>
      </c>
      <c r="CT89" s="219">
        <v>0.51423538776185296</v>
      </c>
      <c r="CU89" s="219">
        <v>0.5057415537874016</v>
      </c>
      <c r="CV89" s="219">
        <v>0.4977391028537817</v>
      </c>
      <c r="CW89" s="219">
        <v>0.48980262896786098</v>
      </c>
      <c r="CX89" s="219">
        <v>0.4855774862122737</v>
      </c>
      <c r="CY89" s="219">
        <v>0.48107645968679319</v>
      </c>
      <c r="CZ89" s="219">
        <v>0.47659472709056577</v>
      </c>
      <c r="DA89" s="219">
        <v>0.47213191941762889</v>
      </c>
      <c r="DB89" s="219">
        <v>0.46768771231414108</v>
      </c>
    </row>
    <row r="90" spans="1:106" s="219" customFormat="1" x14ac:dyDescent="0.35">
      <c r="A90" s="137" t="s">
        <v>754</v>
      </c>
      <c r="B90" s="130" t="s">
        <v>547</v>
      </c>
      <c r="C90" s="33">
        <v>2.9107087751440249E-4</v>
      </c>
      <c r="D90" s="219">
        <v>2.9086539169185431E-4</v>
      </c>
      <c r="E90" s="219">
        <v>2.9066456179567258E-4</v>
      </c>
      <c r="F90" s="219">
        <v>2.9046764635486371E-4</v>
      </c>
      <c r="G90" s="219">
        <v>2.9026332662187762E-4</v>
      </c>
      <c r="H90" s="219">
        <v>2.9006179870756801E-4</v>
      </c>
      <c r="I90" s="219">
        <v>2.8989078483940349E-4</v>
      </c>
      <c r="J90" s="219">
        <v>2.8974314246231258E-4</v>
      </c>
      <c r="K90" s="219">
        <v>2.8963198177788619E-4</v>
      </c>
      <c r="L90" s="219">
        <v>2.8951844439317948E-4</v>
      </c>
      <c r="M90" s="219">
        <v>2.8941845207136141E-4</v>
      </c>
      <c r="N90" s="219">
        <v>2.8937561937276187E-4</v>
      </c>
      <c r="O90" s="219">
        <v>2.8934800844931019E-4</v>
      </c>
      <c r="P90" s="219">
        <v>2.8934357259128088E-4</v>
      </c>
      <c r="Q90" s="219">
        <v>2.8933570492453069E-4</v>
      </c>
      <c r="R90" s="219">
        <v>2.8933460746579661E-4</v>
      </c>
      <c r="S90" s="219">
        <v>2.8936615783073399E-4</v>
      </c>
      <c r="T90" s="219">
        <v>2.8939765177719617E-4</v>
      </c>
      <c r="U90" s="219">
        <v>2.894368488090336E-4</v>
      </c>
      <c r="V90" s="219">
        <v>2.8946788562147618E-4</v>
      </c>
      <c r="W90" s="219">
        <v>2.8949862091098518E-4</v>
      </c>
      <c r="X90" s="219">
        <v>2.8957800531511908E-4</v>
      </c>
      <c r="Y90" s="219">
        <v>2.8963917114116619E-4</v>
      </c>
      <c r="Z90" s="219">
        <v>2.897000574920949E-4</v>
      </c>
      <c r="AA90" s="219">
        <v>2.8976067628497671E-4</v>
      </c>
      <c r="AB90" s="219">
        <v>2.8982104354267451E-4</v>
      </c>
      <c r="AC90" s="33">
        <v>1.5710245921199019E-7</v>
      </c>
      <c r="AD90" s="219">
        <v>1.5686041163967571E-7</v>
      </c>
      <c r="AE90" s="219">
        <v>1.5661810188032111E-7</v>
      </c>
      <c r="AF90" s="219">
        <v>1.5635693435691171E-7</v>
      </c>
      <c r="AG90" s="219">
        <v>1.5610803752304241E-7</v>
      </c>
      <c r="AH90" s="219">
        <v>1.5585921772959531E-7</v>
      </c>
      <c r="AI90" s="219">
        <v>1.557908000675042E-7</v>
      </c>
      <c r="AJ90" s="219">
        <v>1.5572383678328881E-7</v>
      </c>
      <c r="AK90" s="219">
        <v>1.556622935289899E-7</v>
      </c>
      <c r="AL90" s="219">
        <v>1.5559795266938841E-7</v>
      </c>
      <c r="AM90" s="219">
        <v>1.555353174866319E-7</v>
      </c>
      <c r="AN90" s="219">
        <v>1.555167196820869E-7</v>
      </c>
      <c r="AO90" s="219">
        <v>1.5549944854708179E-7</v>
      </c>
      <c r="AP90" s="219">
        <v>1.5548749120291111E-7</v>
      </c>
      <c r="AQ90" s="219">
        <v>1.5547124663448559E-7</v>
      </c>
      <c r="AR90" s="219">
        <v>1.5545525408292861E-7</v>
      </c>
      <c r="AS90" s="219">
        <v>1.554346387745391E-7</v>
      </c>
      <c r="AT90" s="219">
        <v>1.55414347520662E-7</v>
      </c>
      <c r="AU90" s="219">
        <v>1.5539846665631109E-7</v>
      </c>
      <c r="AV90" s="219">
        <v>1.5537887953875839E-7</v>
      </c>
      <c r="AW90" s="219">
        <v>1.5535956508440169E-7</v>
      </c>
      <c r="AX90" s="219">
        <v>1.5536903468043471E-7</v>
      </c>
      <c r="AY90" s="219">
        <v>1.553575353174699E-7</v>
      </c>
      <c r="AZ90" s="219">
        <v>1.553461373074883E-7</v>
      </c>
      <c r="BA90" s="219">
        <v>1.5533483730658029E-7</v>
      </c>
      <c r="BB90" s="219">
        <v>1.5532363429603499E-7</v>
      </c>
      <c r="BC90" s="33">
        <v>3.6404787940924298E-2</v>
      </c>
      <c r="BD90" s="219">
        <v>3.6224344220581628E-2</v>
      </c>
      <c r="BE90" s="219">
        <v>3.6043390673870773E-2</v>
      </c>
      <c r="BF90" s="219">
        <v>3.5728468142023767E-2</v>
      </c>
      <c r="BG90" s="219">
        <v>3.5543575249274012E-2</v>
      </c>
      <c r="BH90" s="219">
        <v>3.5360127191071698E-2</v>
      </c>
      <c r="BI90" s="219">
        <v>3.5498131869393199E-2</v>
      </c>
      <c r="BJ90" s="219">
        <v>3.5632807784415049E-2</v>
      </c>
      <c r="BK90" s="219">
        <v>3.5675513076272737E-2</v>
      </c>
      <c r="BL90" s="219">
        <v>3.5804910505813581E-2</v>
      </c>
      <c r="BM90" s="219">
        <v>3.5931807443343088E-2</v>
      </c>
      <c r="BN90" s="219">
        <v>3.5918549509620257E-2</v>
      </c>
      <c r="BO90" s="219">
        <v>3.5905896947519139E-2</v>
      </c>
      <c r="BP90" s="219">
        <v>3.58673041760635E-2</v>
      </c>
      <c r="BQ90" s="219">
        <v>3.5854951439913553E-2</v>
      </c>
      <c r="BR90" s="219">
        <v>3.5842307485715492E-2</v>
      </c>
      <c r="BS90" s="219">
        <v>3.5715503385984108E-2</v>
      </c>
      <c r="BT90" s="219">
        <v>3.5589192279611492E-2</v>
      </c>
      <c r="BU90" s="219">
        <v>3.5439024771583102E-2</v>
      </c>
      <c r="BV90" s="219">
        <v>3.5313997632427277E-2</v>
      </c>
      <c r="BW90" s="219">
        <v>3.518890908805198E-2</v>
      </c>
      <c r="BX90" s="219">
        <v>3.5164282606041083E-2</v>
      </c>
      <c r="BY90" s="219">
        <v>3.5139852550780108E-2</v>
      </c>
      <c r="BZ90" s="219">
        <v>3.5115521247728383E-2</v>
      </c>
      <c r="CA90" s="219">
        <v>3.509128626728724E-2</v>
      </c>
      <c r="CB90" s="219">
        <v>3.5067147509582113E-2</v>
      </c>
      <c r="CC90" s="33">
        <v>0.5945013291460689</v>
      </c>
      <c r="CD90" s="219">
        <v>0.58712984397629775</v>
      </c>
      <c r="CE90" s="219">
        <v>0.5797601918187244</v>
      </c>
      <c r="CF90" s="219">
        <v>0.57150895184957251</v>
      </c>
      <c r="CG90" s="219">
        <v>0.56401382110361231</v>
      </c>
      <c r="CH90" s="219">
        <v>0.55650743513615408</v>
      </c>
      <c r="CI90" s="219">
        <v>0.55375547282603177</v>
      </c>
      <c r="CJ90" s="219">
        <v>0.55104294019435851</v>
      </c>
      <c r="CK90" s="219">
        <v>0.54790523137153879</v>
      </c>
      <c r="CL90" s="219">
        <v>0.54527063472429271</v>
      </c>
      <c r="CM90" s="219">
        <v>0.54267987784682692</v>
      </c>
      <c r="CN90" s="219">
        <v>0.54163444551802264</v>
      </c>
      <c r="CO90" s="219">
        <v>0.54061597229308922</v>
      </c>
      <c r="CP90" s="219">
        <v>0.53948579913245043</v>
      </c>
      <c r="CQ90" s="219">
        <v>0.53849519703738691</v>
      </c>
      <c r="CR90" s="219">
        <v>0.53751273411283185</v>
      </c>
      <c r="CS90" s="219">
        <v>0.53666390046795553</v>
      </c>
      <c r="CT90" s="219">
        <v>0.53582913505323515</v>
      </c>
      <c r="CU90" s="219">
        <v>0.53492162297735357</v>
      </c>
      <c r="CV90" s="219">
        <v>0.53411832240171464</v>
      </c>
      <c r="CW90" s="219">
        <v>0.53332685436051241</v>
      </c>
      <c r="CX90" s="219">
        <v>0.53276502191925335</v>
      </c>
      <c r="CY90" s="219">
        <v>0.53219050413924562</v>
      </c>
      <c r="CZ90" s="219">
        <v>0.53162195269033685</v>
      </c>
      <c r="DA90" s="219">
        <v>0.531059278959502</v>
      </c>
      <c r="DB90" s="219">
        <v>0.53050240835542362</v>
      </c>
    </row>
    <row r="91" spans="1:106" x14ac:dyDescent="0.35">
      <c r="A91" s="137" t="s">
        <v>548</v>
      </c>
      <c r="B91" s="130" t="s">
        <v>545</v>
      </c>
      <c r="C91" s="33">
        <v>1.325137076910268E-3</v>
      </c>
      <c r="D91" s="219">
        <v>1.3244922398066509E-3</v>
      </c>
      <c r="E91" s="219">
        <v>1.3238411597953309E-3</v>
      </c>
      <c r="F91" s="219">
        <v>1.3239646702739849E-3</v>
      </c>
      <c r="G91" s="219">
        <v>1.3232876286974869E-3</v>
      </c>
      <c r="H91" s="219">
        <v>1.322598879498956E-3</v>
      </c>
      <c r="I91" s="219">
        <v>1.3222566585847991E-3</v>
      </c>
      <c r="J91" s="219">
        <v>1.321936712167502E-3</v>
      </c>
      <c r="K91" s="219">
        <v>1.3227708788402189E-3</v>
      </c>
      <c r="L91" s="219">
        <v>1.322494366337448E-3</v>
      </c>
      <c r="M91" s="219">
        <v>1.32223049487573E-3</v>
      </c>
      <c r="N91" s="219">
        <v>1.3220404507767801E-3</v>
      </c>
      <c r="O91" s="219">
        <v>1.321864812922634E-3</v>
      </c>
      <c r="P91" s="219">
        <v>1.322265852241145E-3</v>
      </c>
      <c r="Q91" s="219">
        <v>1.322112108444902E-3</v>
      </c>
      <c r="R91" s="219">
        <v>1.3219639947667781E-3</v>
      </c>
      <c r="S91" s="219">
        <v>1.321878067790545E-3</v>
      </c>
      <c r="T91" s="219">
        <v>1.321793953070378E-3</v>
      </c>
      <c r="U91" s="219">
        <v>1.3219932952385099E-3</v>
      </c>
      <c r="V91" s="219">
        <v>1.321913895302343E-3</v>
      </c>
      <c r="W91" s="219">
        <v>1.3218367723023751E-3</v>
      </c>
      <c r="X91" s="219">
        <v>1.321830137017148E-3</v>
      </c>
      <c r="Y91" s="219">
        <v>1.321789005547891E-3</v>
      </c>
      <c r="Z91" s="219">
        <v>1.321748689965857E-3</v>
      </c>
      <c r="AA91" s="219">
        <v>1.3217091839655541E-3</v>
      </c>
      <c r="AB91" s="219">
        <v>1.3216704989492439E-3</v>
      </c>
      <c r="AC91" s="33">
        <v>1.5582896895141919E-6</v>
      </c>
      <c r="AD91" s="219">
        <v>1.557272659268309E-6</v>
      </c>
      <c r="AE91" s="219">
        <v>1.5562480858054681E-6</v>
      </c>
      <c r="AF91" s="219">
        <v>1.5544514706716209E-6</v>
      </c>
      <c r="AG91" s="219">
        <v>1.5534310148122439E-6</v>
      </c>
      <c r="AH91" s="219">
        <v>1.552400205620852E-6</v>
      </c>
      <c r="AI91" s="219">
        <v>1.551871796523674E-6</v>
      </c>
      <c r="AJ91" s="219">
        <v>1.5513468306197801E-6</v>
      </c>
      <c r="AK91" s="219">
        <v>1.5510281569702289E-6</v>
      </c>
      <c r="AL91" s="219">
        <v>1.5505287267936581E-6</v>
      </c>
      <c r="AM91" s="219">
        <v>1.550032773924078E-6</v>
      </c>
      <c r="AN91" s="219">
        <v>1.549582718917451E-6</v>
      </c>
      <c r="AO91" s="219">
        <v>1.5491371146030119E-6</v>
      </c>
      <c r="AP91" s="219">
        <v>1.548887182358484E-6</v>
      </c>
      <c r="AQ91" s="219">
        <v>1.548456634056554E-6</v>
      </c>
      <c r="AR91" s="219">
        <v>1.5480289255152709E-6</v>
      </c>
      <c r="AS91" s="219">
        <v>1.547686751680027E-6</v>
      </c>
      <c r="AT91" s="219">
        <v>1.5473493707452879E-6</v>
      </c>
      <c r="AU91" s="219">
        <v>1.547191988114109E-6</v>
      </c>
      <c r="AV91" s="219">
        <v>1.5468706898235501E-6</v>
      </c>
      <c r="AW91" s="219">
        <v>1.5465535792363099E-6</v>
      </c>
      <c r="AX91" s="219">
        <v>1.546357947899864E-6</v>
      </c>
      <c r="AY91" s="219">
        <v>1.546089569909013E-6</v>
      </c>
      <c r="AZ91" s="219">
        <v>1.545823918856844E-6</v>
      </c>
      <c r="BA91" s="219">
        <v>1.545560979437975E-6</v>
      </c>
      <c r="BB91" s="219">
        <v>1.5453007465274591E-6</v>
      </c>
      <c r="BC91" s="33">
        <v>0.35713798294098242</v>
      </c>
      <c r="BD91" s="219">
        <v>0.35522181142484738</v>
      </c>
      <c r="BE91" s="219">
        <v>0.35328975082315511</v>
      </c>
      <c r="BF91" s="219">
        <v>0.34263873972122749</v>
      </c>
      <c r="BG91" s="219">
        <v>0.3407689293936973</v>
      </c>
      <c r="BH91" s="219">
        <v>0.33888393339393957</v>
      </c>
      <c r="BI91" s="219">
        <v>0.33770110877141402</v>
      </c>
      <c r="BJ91" s="219">
        <v>0.3365113722434479</v>
      </c>
      <c r="BK91" s="219">
        <v>0.32908670496454279</v>
      </c>
      <c r="BL91" s="219">
        <v>0.32797819134083078</v>
      </c>
      <c r="BM91" s="219">
        <v>0.32686305454392561</v>
      </c>
      <c r="BN91" s="219">
        <v>0.32542939629184098</v>
      </c>
      <c r="BO91" s="219">
        <v>0.32400094257178808</v>
      </c>
      <c r="BP91" s="219">
        <v>0.32068583661445987</v>
      </c>
      <c r="BQ91" s="219">
        <v>0.31930926642564011</v>
      </c>
      <c r="BR91" s="219">
        <v>0.31793660261164819</v>
      </c>
      <c r="BS91" s="219">
        <v>0.31648757908887692</v>
      </c>
      <c r="BT91" s="219">
        <v>0.31504623322099889</v>
      </c>
      <c r="BU91" s="219">
        <v>0.31183633176968728</v>
      </c>
      <c r="BV91" s="219">
        <v>0.31043436006759623</v>
      </c>
      <c r="BW91" s="219">
        <v>0.30903147846598628</v>
      </c>
      <c r="BX91" s="219">
        <v>0.30837840037600239</v>
      </c>
      <c r="BY91" s="219">
        <v>0.30773143212254001</v>
      </c>
      <c r="BZ91" s="219">
        <v>0.30709017954480039</v>
      </c>
      <c r="CA91" s="219">
        <v>0.30645463756563912</v>
      </c>
      <c r="CB91" s="219">
        <v>0.30582481208031009</v>
      </c>
      <c r="CC91" s="33">
        <v>17.781600443469738</v>
      </c>
      <c r="CD91" s="219">
        <v>17.74115195042695</v>
      </c>
      <c r="CE91" s="219">
        <v>17.70062020353333</v>
      </c>
      <c r="CF91" s="219">
        <v>17.607112225597739</v>
      </c>
      <c r="CG91" s="219">
        <v>17.567660612186241</v>
      </c>
      <c r="CH91" s="219">
        <v>17.528035449744799</v>
      </c>
      <c r="CI91" s="219">
        <v>17.501698794650672</v>
      </c>
      <c r="CJ91" s="219">
        <v>17.47553782580356</v>
      </c>
      <c r="CK91" s="219">
        <v>17.416764828871319</v>
      </c>
      <c r="CL91" s="219">
        <v>17.391841056246701</v>
      </c>
      <c r="CM91" s="219">
        <v>17.36708233995661</v>
      </c>
      <c r="CN91" s="219">
        <v>17.343873989843321</v>
      </c>
      <c r="CO91" s="219">
        <v>17.320888323538391</v>
      </c>
      <c r="CP91" s="219">
        <v>17.289018036879639</v>
      </c>
      <c r="CQ91" s="219">
        <v>17.266829361757441</v>
      </c>
      <c r="CR91" s="219">
        <v>17.24483624721276</v>
      </c>
      <c r="CS91" s="219">
        <v>17.228380563203189</v>
      </c>
      <c r="CT91" s="219">
        <v>17.212168468992161</v>
      </c>
      <c r="CU91" s="219">
        <v>17.190325442035132</v>
      </c>
      <c r="CV91" s="219">
        <v>17.174915709202001</v>
      </c>
      <c r="CW91" s="219">
        <v>17.159721260635141</v>
      </c>
      <c r="CX91" s="219">
        <v>17.1466533082192</v>
      </c>
      <c r="CY91" s="219">
        <v>17.13368604333883</v>
      </c>
      <c r="CZ91" s="219">
        <v>17.120858246073091</v>
      </c>
      <c r="DA91" s="219">
        <v>17.108169512583981</v>
      </c>
      <c r="DB91" s="219">
        <v>17.095619523072308</v>
      </c>
    </row>
    <row r="92" spans="1:106" x14ac:dyDescent="0.35">
      <c r="A92" s="137" t="s">
        <v>549</v>
      </c>
      <c r="B92" s="130" t="s">
        <v>545</v>
      </c>
      <c r="C92" s="33">
        <v>6.3937003834912097E-4</v>
      </c>
      <c r="D92" s="219">
        <v>6.3871713717119217E-4</v>
      </c>
      <c r="E92" s="219">
        <v>6.3805782354385283E-4</v>
      </c>
      <c r="F92" s="219">
        <v>6.3823761796208487E-4</v>
      </c>
      <c r="G92" s="219">
        <v>6.3755222530432597E-4</v>
      </c>
      <c r="H92" s="219">
        <v>6.3685474957587604E-4</v>
      </c>
      <c r="I92" s="219">
        <v>6.3649497768998239E-4</v>
      </c>
      <c r="J92" s="219">
        <v>6.3615783051735957E-4</v>
      </c>
      <c r="K92" s="219">
        <v>6.3707467769295097E-4</v>
      </c>
      <c r="L92" s="219">
        <v>6.3678240368545335E-4</v>
      </c>
      <c r="M92" s="219">
        <v>6.3650283959185432E-4</v>
      </c>
      <c r="N92" s="219">
        <v>6.3629054505722892E-4</v>
      </c>
      <c r="O92" s="219">
        <v>6.3609302503950488E-4</v>
      </c>
      <c r="P92" s="219">
        <v>6.3652425676782799E-4</v>
      </c>
      <c r="Q92" s="219">
        <v>6.363499065463016E-4</v>
      </c>
      <c r="R92" s="219">
        <v>6.3618211086103639E-4</v>
      </c>
      <c r="S92" s="219">
        <v>6.360856748676908E-4</v>
      </c>
      <c r="T92" s="219">
        <v>6.3599115571926802E-4</v>
      </c>
      <c r="U92" s="219">
        <v>6.362072825689696E-4</v>
      </c>
      <c r="V92" s="219">
        <v>6.3611802086903911E-4</v>
      </c>
      <c r="W92" s="219">
        <v>6.360306524009128E-4</v>
      </c>
      <c r="X92" s="219">
        <v>6.3601410505822477E-4</v>
      </c>
      <c r="Y92" s="219">
        <v>6.3596049518793577E-4</v>
      </c>
      <c r="Z92" s="219">
        <v>6.3590787095058336E-4</v>
      </c>
      <c r="AA92" s="219">
        <v>6.3585622505052202E-4</v>
      </c>
      <c r="AB92" s="219">
        <v>6.3580556884405967E-4</v>
      </c>
      <c r="AC92" s="33">
        <v>9.4840556392050486E-7</v>
      </c>
      <c r="AD92" s="219">
        <v>9.4735435170417325E-7</v>
      </c>
      <c r="AE92" s="219">
        <v>9.4629591898182634E-7</v>
      </c>
      <c r="AF92" s="219">
        <v>9.4439674053129934E-7</v>
      </c>
      <c r="AG92" s="219">
        <v>9.4334557055907908E-7</v>
      </c>
      <c r="AH92" s="219">
        <v>9.4228419811020399E-7</v>
      </c>
      <c r="AI92" s="219">
        <v>9.4170916482554353E-7</v>
      </c>
      <c r="AJ92" s="219">
        <v>9.4113790125882799E-7</v>
      </c>
      <c r="AK92" s="219">
        <v>9.4079170794176177E-7</v>
      </c>
      <c r="AL92" s="219">
        <v>9.4024825141197345E-7</v>
      </c>
      <c r="AM92" s="219">
        <v>9.3970849088480317E-7</v>
      </c>
      <c r="AN92" s="219">
        <v>9.3919888158854847E-7</v>
      </c>
      <c r="AO92" s="219">
        <v>9.3869432486873918E-7</v>
      </c>
      <c r="AP92" s="219">
        <v>9.3840407957772587E-7</v>
      </c>
      <c r="AQ92" s="219">
        <v>9.3791663459975728E-7</v>
      </c>
      <c r="AR92" s="219">
        <v>9.3743293477154924E-7</v>
      </c>
      <c r="AS92" s="219">
        <v>9.3705300375111258E-7</v>
      </c>
      <c r="AT92" s="219">
        <v>9.36678480822636E-7</v>
      </c>
      <c r="AU92" s="219">
        <v>9.3650098056411898E-7</v>
      </c>
      <c r="AV92" s="219">
        <v>9.3614450345166062E-7</v>
      </c>
      <c r="AW92" s="219">
        <v>9.3579304287321406E-7</v>
      </c>
      <c r="AX92" s="219">
        <v>9.3556606203482916E-7</v>
      </c>
      <c r="AY92" s="219">
        <v>9.3526034978042272E-7</v>
      </c>
      <c r="AZ92" s="219">
        <v>9.3495783005800436E-7</v>
      </c>
      <c r="BA92" s="219">
        <v>9.3465848653713397E-7</v>
      </c>
      <c r="BB92" s="219">
        <v>9.3436231360093725E-7</v>
      </c>
      <c r="BC92" s="33">
        <v>0.39700835857854022</v>
      </c>
      <c r="BD92" s="219">
        <v>0.39481935682398278</v>
      </c>
      <c r="BE92" s="219">
        <v>0.39261428328805381</v>
      </c>
      <c r="BF92" s="219">
        <v>0.38092939004039977</v>
      </c>
      <c r="BG92" s="219">
        <v>0.37879488495478092</v>
      </c>
      <c r="BH92" s="219">
        <v>0.37664501950487439</v>
      </c>
      <c r="BI92" s="219">
        <v>0.37521302552281888</v>
      </c>
      <c r="BJ92" s="219">
        <v>0.37377475012809019</v>
      </c>
      <c r="BK92" s="219">
        <v>0.36556121924627349</v>
      </c>
      <c r="BL92" s="219">
        <v>0.36421363589313682</v>
      </c>
      <c r="BM92" s="219">
        <v>0.3628602808121138</v>
      </c>
      <c r="BN92" s="219">
        <v>0.3612164060523449</v>
      </c>
      <c r="BO92" s="219">
        <v>0.35957857930819359</v>
      </c>
      <c r="BP92" s="219">
        <v>0.35589132768634518</v>
      </c>
      <c r="BQ92" s="219">
        <v>0.35431091211059662</v>
      </c>
      <c r="BR92" s="219">
        <v>0.35273548060986559</v>
      </c>
      <c r="BS92" s="219">
        <v>0.35113425318309738</v>
      </c>
      <c r="BT92" s="219">
        <v>0.34954179216125369</v>
      </c>
      <c r="BU92" s="219">
        <v>0.34602818399515672</v>
      </c>
      <c r="BV92" s="219">
        <v>0.34448004269414467</v>
      </c>
      <c r="BW92" s="219">
        <v>0.34293727427898901</v>
      </c>
      <c r="BX92" s="219">
        <v>0.34219217560102672</v>
      </c>
      <c r="BY92" s="219">
        <v>0.34145423871492647</v>
      </c>
      <c r="BZ92" s="219">
        <v>0.34072305022948179</v>
      </c>
      <c r="CA92" s="219">
        <v>0.3399986060911393</v>
      </c>
      <c r="CB92" s="219">
        <v>0.33928091380742792</v>
      </c>
      <c r="CC92" s="33">
        <v>6.5794096833185209</v>
      </c>
      <c r="CD92" s="219">
        <v>6.5370338700802764</v>
      </c>
      <c r="CE92" s="219">
        <v>6.4945959652704888</v>
      </c>
      <c r="CF92" s="219">
        <v>6.3945828310562094</v>
      </c>
      <c r="CG92" s="219">
        <v>6.3533959699589406</v>
      </c>
      <c r="CH92" s="219">
        <v>6.3120523748638151</v>
      </c>
      <c r="CI92" s="219">
        <v>6.2830943300915951</v>
      </c>
      <c r="CJ92" s="219">
        <v>6.2543319836575142</v>
      </c>
      <c r="CK92" s="219">
        <v>6.1901352029590138</v>
      </c>
      <c r="CL92" s="219">
        <v>6.1627269917487881</v>
      </c>
      <c r="CM92" s="219">
        <v>6.1355015350649014</v>
      </c>
      <c r="CN92" s="219">
        <v>6.1091894167006977</v>
      </c>
      <c r="CO92" s="219">
        <v>6.0831319710131977</v>
      </c>
      <c r="CP92" s="219">
        <v>6.0474355111765732</v>
      </c>
      <c r="CQ92" s="219">
        <v>6.0222726020024711</v>
      </c>
      <c r="CR92" s="219">
        <v>5.9973380014910669</v>
      </c>
      <c r="CS92" s="219">
        <v>5.9789491201199301</v>
      </c>
      <c r="CT92" s="219">
        <v>5.960838776503909</v>
      </c>
      <c r="CU92" s="219">
        <v>5.9366217598546553</v>
      </c>
      <c r="CV92" s="219">
        <v>5.9194141047158668</v>
      </c>
      <c r="CW92" s="219">
        <v>5.9024647746296157</v>
      </c>
      <c r="CX92" s="219">
        <v>5.8875668246582418</v>
      </c>
      <c r="CY92" s="219">
        <v>5.8727938277119422</v>
      </c>
      <c r="CZ92" s="219">
        <v>5.8581838833206072</v>
      </c>
      <c r="DA92" s="219">
        <v>5.8437365588470422</v>
      </c>
      <c r="DB92" s="219">
        <v>5.8294515097856232</v>
      </c>
    </row>
    <row r="93" spans="1:106" x14ac:dyDescent="0.35">
      <c r="A93" s="137" t="s">
        <v>550</v>
      </c>
      <c r="B93" s="130" t="s">
        <v>545</v>
      </c>
      <c r="C93" s="33">
        <v>2.1151294568938941E-3</v>
      </c>
      <c r="D93" s="219">
        <v>2.107450408275818E-3</v>
      </c>
      <c r="E93" s="219">
        <v>2.099506951501334E-3</v>
      </c>
      <c r="F93" s="219">
        <v>2.0949025079458768E-3</v>
      </c>
      <c r="G93" s="219">
        <v>2.086236293333996E-3</v>
      </c>
      <c r="H93" s="219">
        <v>2.077130492909242E-3</v>
      </c>
      <c r="I93" s="219">
        <v>2.0750864401093659E-3</v>
      </c>
      <c r="J93" s="219">
        <v>2.0731587848572429E-3</v>
      </c>
      <c r="K93" s="219">
        <v>2.0768212194051949E-3</v>
      </c>
      <c r="L93" s="219">
        <v>2.075121587353746E-3</v>
      </c>
      <c r="M93" s="219">
        <v>2.07349023478036E-3</v>
      </c>
      <c r="N93" s="219">
        <v>2.0727806661472812E-3</v>
      </c>
      <c r="O93" s="219">
        <v>2.0721373975807998E-3</v>
      </c>
      <c r="P93" s="219">
        <v>2.0743341387334181E-3</v>
      </c>
      <c r="Q93" s="219">
        <v>2.073786933224651E-3</v>
      </c>
      <c r="R93" s="219">
        <v>2.073258617190776E-3</v>
      </c>
      <c r="S93" s="219">
        <v>2.0728125538083831E-3</v>
      </c>
      <c r="T93" s="219">
        <v>2.0723783744524358E-3</v>
      </c>
      <c r="U93" s="219">
        <v>2.0733778814639851E-3</v>
      </c>
      <c r="V93" s="219">
        <v>2.0729711946229231E-3</v>
      </c>
      <c r="W93" s="219">
        <v>2.0725815814856422E-3</v>
      </c>
      <c r="X93" s="219">
        <v>2.0723878685585E-3</v>
      </c>
      <c r="Y93" s="219">
        <v>2.0720470367155529E-3</v>
      </c>
      <c r="Z93" s="219">
        <v>2.0717135595020391E-3</v>
      </c>
      <c r="AA93" s="219">
        <v>2.0713872896946828E-3</v>
      </c>
      <c r="AB93" s="219">
        <v>2.071068267719202E-3</v>
      </c>
      <c r="AC93" s="33">
        <v>3.1031599444428739E-6</v>
      </c>
      <c r="AD93" s="219">
        <v>3.0936585375343232E-6</v>
      </c>
      <c r="AE93" s="219">
        <v>3.083939788811279E-6</v>
      </c>
      <c r="AF93" s="219">
        <v>3.0702048120770452E-6</v>
      </c>
      <c r="AG93" s="219">
        <v>3.060047508459198E-6</v>
      </c>
      <c r="AH93" s="219">
        <v>3.0495484516436022E-6</v>
      </c>
      <c r="AI93" s="219">
        <v>3.046074250487627E-6</v>
      </c>
      <c r="AJ93" s="219">
        <v>3.0426258425387068E-6</v>
      </c>
      <c r="AK93" s="219">
        <v>3.0402044199925788E-6</v>
      </c>
      <c r="AL93" s="219">
        <v>3.036897333524443E-6</v>
      </c>
      <c r="AM93" s="219">
        <v>3.0336153304589919E-6</v>
      </c>
      <c r="AN93" s="219">
        <v>3.031276086625444E-6</v>
      </c>
      <c r="AO93" s="219">
        <v>3.0289588039620591E-6</v>
      </c>
      <c r="AP93" s="219">
        <v>3.0276174310136718E-6</v>
      </c>
      <c r="AQ93" s="219">
        <v>3.0253724606246859E-6</v>
      </c>
      <c r="AR93" s="219">
        <v>3.0231394926090438E-6</v>
      </c>
      <c r="AS93" s="219">
        <v>3.0213081427907009E-6</v>
      </c>
      <c r="AT93" s="219">
        <v>3.0195048433875959E-6</v>
      </c>
      <c r="AU93" s="219">
        <v>3.018599183430163E-6</v>
      </c>
      <c r="AV93" s="219">
        <v>3.0168821136314962E-6</v>
      </c>
      <c r="AW93" s="219">
        <v>3.0151884739979339E-6</v>
      </c>
      <c r="AX93" s="219">
        <v>3.0140515791931501E-6</v>
      </c>
      <c r="AY93" s="219">
        <v>3.0126318929826241E-6</v>
      </c>
      <c r="AZ93" s="219">
        <v>3.011228769951479E-6</v>
      </c>
      <c r="BA93" s="219">
        <v>3.0098420730375761E-6</v>
      </c>
      <c r="BB93" s="219">
        <v>3.0084717698184342E-6</v>
      </c>
      <c r="BC93" s="33">
        <v>1.8071481927519559</v>
      </c>
      <c r="BD93" s="219">
        <v>1.7949043666525979</v>
      </c>
      <c r="BE93" s="219">
        <v>1.7824187394441919</v>
      </c>
      <c r="BF93" s="219">
        <v>1.7276753403592859</v>
      </c>
      <c r="BG93" s="219">
        <v>1.715094058938099</v>
      </c>
      <c r="BH93" s="219">
        <v>1.702195678236528</v>
      </c>
      <c r="BI93" s="219">
        <v>1.6988179958330409</v>
      </c>
      <c r="BJ93" s="219">
        <v>1.695314931286162</v>
      </c>
      <c r="BK93" s="219">
        <v>1.661754107752631</v>
      </c>
      <c r="BL93" s="219">
        <v>1.658460776202743</v>
      </c>
      <c r="BM93" s="219">
        <v>1.6550476193530681</v>
      </c>
      <c r="BN93" s="219">
        <v>1.64803791618364</v>
      </c>
      <c r="BO93" s="219">
        <v>1.6410488071140039</v>
      </c>
      <c r="BP93" s="219">
        <v>1.624997281764917</v>
      </c>
      <c r="BQ93" s="219">
        <v>1.618248319846243</v>
      </c>
      <c r="BR93" s="219">
        <v>1.611511703248951</v>
      </c>
      <c r="BS93" s="219">
        <v>1.602713039135466</v>
      </c>
      <c r="BT93" s="219">
        <v>1.593975332171468</v>
      </c>
      <c r="BU93" s="219">
        <v>1.576767618908461</v>
      </c>
      <c r="BV93" s="219">
        <v>1.5682631630635411</v>
      </c>
      <c r="BW93" s="219">
        <v>1.559743435987152</v>
      </c>
      <c r="BX93" s="219">
        <v>1.556500259859207</v>
      </c>
      <c r="BY93" s="219">
        <v>1.5532882451300849</v>
      </c>
      <c r="BZ93" s="219">
        <v>1.5501031060681341</v>
      </c>
      <c r="CA93" s="219">
        <v>1.5469447682086319</v>
      </c>
      <c r="CB93" s="219">
        <v>1.5438132643929861</v>
      </c>
      <c r="CC93" s="33">
        <v>21.898911739865849</v>
      </c>
      <c r="CD93" s="219">
        <v>21.573773214725591</v>
      </c>
      <c r="CE93" s="219">
        <v>21.245001244275532</v>
      </c>
      <c r="CF93" s="219">
        <v>20.656529965948501</v>
      </c>
      <c r="CG93" s="219">
        <v>20.32451702536887</v>
      </c>
      <c r="CH93" s="219">
        <v>19.986306066124769</v>
      </c>
      <c r="CI93" s="219">
        <v>19.81974968451479</v>
      </c>
      <c r="CJ93" s="219">
        <v>19.65452262473244</v>
      </c>
      <c r="CK93" s="219">
        <v>19.33314930169589</v>
      </c>
      <c r="CL93" s="219">
        <v>19.174738581600749</v>
      </c>
      <c r="CM93" s="219">
        <v>19.017525412570791</v>
      </c>
      <c r="CN93" s="219">
        <v>18.89379633743307</v>
      </c>
      <c r="CO93" s="219">
        <v>18.771267482295791</v>
      </c>
      <c r="CP93" s="219">
        <v>18.606196601738301</v>
      </c>
      <c r="CQ93" s="219">
        <v>18.487746021790979</v>
      </c>
      <c r="CR93" s="219">
        <v>18.37035064908601</v>
      </c>
      <c r="CS93" s="219">
        <v>18.284527082751371</v>
      </c>
      <c r="CT93" s="219">
        <v>18.200068267079331</v>
      </c>
      <c r="CU93" s="219">
        <v>18.088648725928511</v>
      </c>
      <c r="CV93" s="219">
        <v>18.00841259002954</v>
      </c>
      <c r="CW93" s="219">
        <v>17.929335086264139</v>
      </c>
      <c r="CX93" s="219">
        <v>17.862006770986799</v>
      </c>
      <c r="CY93" s="219">
        <v>17.7953319992491</v>
      </c>
      <c r="CZ93" s="219">
        <v>17.72947083157327</v>
      </c>
      <c r="DA93" s="219">
        <v>17.66442071885713</v>
      </c>
      <c r="DB93" s="219">
        <v>17.600179793616231</v>
      </c>
    </row>
    <row r="94" spans="1:106" x14ac:dyDescent="0.35">
      <c r="A94" s="137" t="s">
        <v>551</v>
      </c>
      <c r="B94" s="130" t="s">
        <v>545</v>
      </c>
      <c r="C94" s="33">
        <v>9.9377225209855945E-4</v>
      </c>
      <c r="D94" s="219">
        <v>9.9233530851495643E-4</v>
      </c>
      <c r="E94" s="219">
        <v>9.9089547563533113E-4</v>
      </c>
      <c r="F94" s="219">
        <v>9.9182951264732157E-4</v>
      </c>
      <c r="G94" s="219">
        <v>9.9035597756864046E-4</v>
      </c>
      <c r="H94" s="219">
        <v>9.8887304941549701E-4</v>
      </c>
      <c r="I94" s="219">
        <v>9.8791315241647157E-4</v>
      </c>
      <c r="J94" s="219">
        <v>9.8701432205007067E-4</v>
      </c>
      <c r="K94" s="219">
        <v>9.8961856930698767E-4</v>
      </c>
      <c r="L94" s="219">
        <v>9.8884161606864799E-4</v>
      </c>
      <c r="M94" s="219">
        <v>9.8809876512410272E-4</v>
      </c>
      <c r="N94" s="219">
        <v>9.8748146557809421E-4</v>
      </c>
      <c r="O94" s="219">
        <v>9.869047839654939E-4</v>
      </c>
      <c r="P94" s="219">
        <v>9.8808090225620021E-4</v>
      </c>
      <c r="Q94" s="219">
        <v>9.8756867272040204E-4</v>
      </c>
      <c r="R94" s="219">
        <v>9.8707514966663696E-4</v>
      </c>
      <c r="S94" s="219">
        <v>9.8680560364185622E-4</v>
      </c>
      <c r="T94" s="219">
        <v>9.865411827016655E-4</v>
      </c>
      <c r="U94" s="219">
        <v>9.87140217239303E-4</v>
      </c>
      <c r="V94" s="219">
        <v>9.8689019426733099E-4</v>
      </c>
      <c r="W94" s="219">
        <v>9.8664493577485263E-4</v>
      </c>
      <c r="X94" s="219">
        <v>9.8659330865353743E-4</v>
      </c>
      <c r="Y94" s="219">
        <v>9.8644539611032062E-4</v>
      </c>
      <c r="Z94" s="219">
        <v>9.8630011073244195E-4</v>
      </c>
      <c r="AA94" s="219">
        <v>9.8615743966489725E-4</v>
      </c>
      <c r="AB94" s="219">
        <v>9.8601741387709671E-4</v>
      </c>
      <c r="AC94" s="33">
        <v>9.6258398515746611E-7</v>
      </c>
      <c r="AD94" s="219">
        <v>9.6004126167283785E-7</v>
      </c>
      <c r="AE94" s="219">
        <v>9.5749080681970517E-7</v>
      </c>
      <c r="AF94" s="219">
        <v>9.5261089963097193E-7</v>
      </c>
      <c r="AG94" s="219">
        <v>9.5011242937137291E-7</v>
      </c>
      <c r="AH94" s="219">
        <v>9.476048496504321E-7</v>
      </c>
      <c r="AI94" s="219">
        <v>9.4607088309450566E-7</v>
      </c>
      <c r="AJ94" s="219">
        <v>9.4454674861534972E-7</v>
      </c>
      <c r="AK94" s="219">
        <v>9.4364940204368319E-7</v>
      </c>
      <c r="AL94" s="219">
        <v>9.4220168370672673E-7</v>
      </c>
      <c r="AM94" s="219">
        <v>9.4076365641733212E-7</v>
      </c>
      <c r="AN94" s="219">
        <v>9.3933722364617293E-7</v>
      </c>
      <c r="AO94" s="219">
        <v>9.3792504250718051E-7</v>
      </c>
      <c r="AP94" s="219">
        <v>9.3710985958631226E-7</v>
      </c>
      <c r="AQ94" s="219">
        <v>9.357460403608943E-7</v>
      </c>
      <c r="AR94" s="219">
        <v>9.343931204981309E-7</v>
      </c>
      <c r="AS94" s="219">
        <v>9.3334277497845008E-7</v>
      </c>
      <c r="AT94" s="219">
        <v>9.3230735811633401E-7</v>
      </c>
      <c r="AU94" s="219">
        <v>9.318207899496216E-7</v>
      </c>
      <c r="AV94" s="219">
        <v>9.3083555733498318E-7</v>
      </c>
      <c r="AW94" s="219">
        <v>9.2986432419771184E-7</v>
      </c>
      <c r="AX94" s="219">
        <v>9.2921169703631866E-7</v>
      </c>
      <c r="AY94" s="219">
        <v>9.2835902972682522E-7</v>
      </c>
      <c r="AZ94" s="219">
        <v>9.27515225210672E-7</v>
      </c>
      <c r="BA94" s="219">
        <v>9.2668024250964073E-7</v>
      </c>
      <c r="BB94" s="219">
        <v>9.2585406605866712E-7</v>
      </c>
      <c r="BC94" s="33">
        <v>1.105420997013246</v>
      </c>
      <c r="BD94" s="219">
        <v>1.099494019114037</v>
      </c>
      <c r="BE94" s="219">
        <v>1.09353294224993</v>
      </c>
      <c r="BF94" s="219">
        <v>1.0610802172899809</v>
      </c>
      <c r="BG94" s="219">
        <v>1.055342440146593</v>
      </c>
      <c r="BH94" s="219">
        <v>1.0495771839944781</v>
      </c>
      <c r="BI94" s="219">
        <v>1.0452498357276649</v>
      </c>
      <c r="BJ94" s="219">
        <v>1.040912792398351</v>
      </c>
      <c r="BK94" s="219">
        <v>1.0176313055277031</v>
      </c>
      <c r="BL94" s="219">
        <v>1.013563365826516</v>
      </c>
      <c r="BM94" s="219">
        <v>1.0094868062793749</v>
      </c>
      <c r="BN94" s="219">
        <v>1.0048279959186961</v>
      </c>
      <c r="BO94" s="219">
        <v>1.0001866913604831</v>
      </c>
      <c r="BP94" s="219">
        <v>0.9898126071531983</v>
      </c>
      <c r="BQ94" s="219">
        <v>0.98533320808071967</v>
      </c>
      <c r="BR94" s="219">
        <v>0.98086860423229472</v>
      </c>
      <c r="BS94" s="219">
        <v>0.97654371378989513</v>
      </c>
      <c r="BT94" s="219">
        <v>0.97224196816765918</v>
      </c>
      <c r="BU94" s="219">
        <v>0.96256445454504891</v>
      </c>
      <c r="BV94" s="219">
        <v>0.95838434049836374</v>
      </c>
      <c r="BW94" s="219">
        <v>0.95422145833487659</v>
      </c>
      <c r="BX94" s="219">
        <v>0.95212693910499313</v>
      </c>
      <c r="BY94" s="219">
        <v>0.95005256632364044</v>
      </c>
      <c r="BZ94" s="219">
        <v>0.94799738031611069</v>
      </c>
      <c r="CA94" s="219">
        <v>0.94596137523052126</v>
      </c>
      <c r="CB94" s="219">
        <v>0.94394457299730072</v>
      </c>
      <c r="CC94" s="33">
        <v>6.6568681265041416</v>
      </c>
      <c r="CD94" s="219">
        <v>6.5497372379621828</v>
      </c>
      <c r="CE94" s="219">
        <v>6.4426691158813716</v>
      </c>
      <c r="CF94" s="219">
        <v>6.1749352175763441</v>
      </c>
      <c r="CG94" s="219">
        <v>6.0719881525057069</v>
      </c>
      <c r="CH94" s="219">
        <v>5.9689815495703389</v>
      </c>
      <c r="CI94" s="219">
        <v>5.890905060899291</v>
      </c>
      <c r="CJ94" s="219">
        <v>5.8133401818536994</v>
      </c>
      <c r="CK94" s="219">
        <v>5.6366120037009049</v>
      </c>
      <c r="CL94" s="219">
        <v>5.5627735621371901</v>
      </c>
      <c r="CM94" s="219">
        <v>5.4894177317468573</v>
      </c>
      <c r="CN94" s="219">
        <v>5.4160400708111682</v>
      </c>
      <c r="CO94" s="219">
        <v>5.3433757542346054</v>
      </c>
      <c r="CP94" s="219">
        <v>5.2437493079954978</v>
      </c>
      <c r="CQ94" s="219">
        <v>5.1735925510474816</v>
      </c>
      <c r="CR94" s="219">
        <v>5.1040782649911174</v>
      </c>
      <c r="CS94" s="219">
        <v>5.0529439525848776</v>
      </c>
      <c r="CT94" s="219">
        <v>5.0025843647696329</v>
      </c>
      <c r="CU94" s="219">
        <v>4.9351459813392697</v>
      </c>
      <c r="CV94" s="219">
        <v>4.8873045045256767</v>
      </c>
      <c r="CW94" s="219">
        <v>4.8401880040265644</v>
      </c>
      <c r="CX94" s="219">
        <v>4.7985243975774958</v>
      </c>
      <c r="CY94" s="219">
        <v>4.7572250857346958</v>
      </c>
      <c r="CZ94" s="219">
        <v>4.7163798739527731</v>
      </c>
      <c r="DA94" s="219">
        <v>4.6759875984260919</v>
      </c>
      <c r="DB94" s="219">
        <v>4.6360473188885054</v>
      </c>
    </row>
    <row r="95" spans="1:106" x14ac:dyDescent="0.35">
      <c r="A95" s="137" t="s">
        <v>552</v>
      </c>
      <c r="B95" s="130" t="s">
        <v>545</v>
      </c>
      <c r="C95" s="33">
        <v>1.7336042424334051E-3</v>
      </c>
      <c r="D95" s="219">
        <v>1.732719039873576E-3</v>
      </c>
      <c r="E95" s="219">
        <v>1.7318220917515749E-3</v>
      </c>
      <c r="F95" s="219">
        <v>1.731851066908343E-3</v>
      </c>
      <c r="G95" s="219">
        <v>1.730911855499903E-3</v>
      </c>
      <c r="H95" s="219">
        <v>1.729951647646374E-3</v>
      </c>
      <c r="I95" s="219">
        <v>1.7295257795487821E-3</v>
      </c>
      <c r="J95" s="219">
        <v>1.729127342456747E-3</v>
      </c>
      <c r="K95" s="219">
        <v>1.730122363037761E-3</v>
      </c>
      <c r="L95" s="219">
        <v>1.729777247844863E-3</v>
      </c>
      <c r="M95" s="219">
        <v>1.7294477337191469E-3</v>
      </c>
      <c r="N95" s="219">
        <v>1.7292235681655649E-3</v>
      </c>
      <c r="O95" s="219">
        <v>1.7290169638853299E-3</v>
      </c>
      <c r="P95" s="219">
        <v>1.7295081534706091E-3</v>
      </c>
      <c r="Q95" s="219">
        <v>1.729328130137745E-3</v>
      </c>
      <c r="R95" s="219">
        <v>1.729154936540312E-3</v>
      </c>
      <c r="S95" s="219">
        <v>1.729050926931054E-3</v>
      </c>
      <c r="T95" s="219">
        <v>1.72894916146931E-3</v>
      </c>
      <c r="U95" s="219">
        <v>1.7291913987225549E-3</v>
      </c>
      <c r="V95" s="219">
        <v>1.729095431329577E-3</v>
      </c>
      <c r="W95" s="219">
        <v>1.729002252877965E-3</v>
      </c>
      <c r="X95" s="219">
        <v>1.728998987062558E-3</v>
      </c>
      <c r="Y95" s="219">
        <v>1.7289476688270829E-3</v>
      </c>
      <c r="Z95" s="219">
        <v>1.7288973881802541E-3</v>
      </c>
      <c r="AA95" s="219">
        <v>1.7288481352921109E-3</v>
      </c>
      <c r="AB95" s="219">
        <v>1.728799924092041E-3</v>
      </c>
      <c r="AC95" s="33">
        <v>2.2741335583001689E-6</v>
      </c>
      <c r="AD95" s="219">
        <v>2.272797840131575E-6</v>
      </c>
      <c r="AE95" s="219">
        <v>2.2714496088963628E-6</v>
      </c>
      <c r="AF95" s="219">
        <v>2.2691633568938559E-6</v>
      </c>
      <c r="AG95" s="219">
        <v>2.2678113935218911E-6</v>
      </c>
      <c r="AH95" s="219">
        <v>2.2664415351550541E-6</v>
      </c>
      <c r="AI95" s="219">
        <v>2.265781280819079E-6</v>
      </c>
      <c r="AJ95" s="219">
        <v>2.265125406198881E-6</v>
      </c>
      <c r="AK95" s="219">
        <v>2.2647193382183911E-6</v>
      </c>
      <c r="AL95" s="219">
        <v>2.2640946868714758E-6</v>
      </c>
      <c r="AM95" s="219">
        <v>2.263474414495431E-6</v>
      </c>
      <c r="AN95" s="219">
        <v>2.2629273086523339E-6</v>
      </c>
      <c r="AO95" s="219">
        <v>2.2623855891192591E-6</v>
      </c>
      <c r="AP95" s="219">
        <v>2.262080929407874E-6</v>
      </c>
      <c r="AQ95" s="219">
        <v>2.2615573715673589E-6</v>
      </c>
      <c r="AR95" s="219">
        <v>2.2610372410845219E-6</v>
      </c>
      <c r="AS95" s="219">
        <v>2.2606189714757622E-6</v>
      </c>
      <c r="AT95" s="219">
        <v>2.2602065797879552E-6</v>
      </c>
      <c r="AU95" s="219">
        <v>2.2600122274242432E-6</v>
      </c>
      <c r="AV95" s="219">
        <v>2.2596194287457169E-6</v>
      </c>
      <c r="AW95" s="219">
        <v>2.2592317798844622E-6</v>
      </c>
      <c r="AX95" s="219">
        <v>2.259010649628752E-6</v>
      </c>
      <c r="AY95" s="219">
        <v>2.2586834027951329E-6</v>
      </c>
      <c r="AZ95" s="219">
        <v>2.2583595068901242E-6</v>
      </c>
      <c r="BA95" s="219">
        <v>2.258038942088552E-6</v>
      </c>
      <c r="BB95" s="219">
        <v>2.2577217021500902E-6</v>
      </c>
      <c r="BC95" s="33">
        <v>0.43765543212372299</v>
      </c>
      <c r="BD95" s="219">
        <v>0.43526413040285328</v>
      </c>
      <c r="BE95" s="219">
        <v>0.43285073898489568</v>
      </c>
      <c r="BF95" s="219">
        <v>0.41991313703903782</v>
      </c>
      <c r="BG95" s="219">
        <v>0.41756781657531988</v>
      </c>
      <c r="BH95" s="219">
        <v>0.41519993883739797</v>
      </c>
      <c r="BI95" s="219">
        <v>0.41384272796843291</v>
      </c>
      <c r="BJ95" s="219">
        <v>0.41247508439037811</v>
      </c>
      <c r="BK95" s="219">
        <v>0.40358542667065112</v>
      </c>
      <c r="BL95" s="219">
        <v>0.40231163971739597</v>
      </c>
      <c r="BM95" s="219">
        <v>0.40102791609437938</v>
      </c>
      <c r="BN95" s="219">
        <v>0.39930237355849613</v>
      </c>
      <c r="BO95" s="219">
        <v>0.39758300923499318</v>
      </c>
      <c r="BP95" s="219">
        <v>0.39358836311092971</v>
      </c>
      <c r="BQ95" s="219">
        <v>0.39193136729997008</v>
      </c>
      <c r="BR95" s="219">
        <v>0.39027896296295372</v>
      </c>
      <c r="BS95" s="219">
        <v>0.38847923001030288</v>
      </c>
      <c r="BT95" s="219">
        <v>0.38668923803023908</v>
      </c>
      <c r="BU95" s="219">
        <v>0.38276692315890298</v>
      </c>
      <c r="BV95" s="219">
        <v>0.38102539070848918</v>
      </c>
      <c r="BW95" s="219">
        <v>0.37928331785793729</v>
      </c>
      <c r="BX95" s="219">
        <v>0.37849183355574217</v>
      </c>
      <c r="BY95" s="219">
        <v>0.37770778418327672</v>
      </c>
      <c r="BZ95" s="219">
        <v>0.37693063791558018</v>
      </c>
      <c r="CA95" s="219">
        <v>0.37616038726092632</v>
      </c>
      <c r="CB95" s="219">
        <v>0.37539703926627688</v>
      </c>
      <c r="CC95" s="33">
        <v>23.159816979732749</v>
      </c>
      <c r="CD95" s="219">
        <v>23.107912978696369</v>
      </c>
      <c r="CE95" s="219">
        <v>23.055845790205311</v>
      </c>
      <c r="CF95" s="219">
        <v>22.93977096733445</v>
      </c>
      <c r="CG95" s="219">
        <v>22.888839773707449</v>
      </c>
      <c r="CH95" s="219">
        <v>22.837595693937171</v>
      </c>
      <c r="CI95" s="219">
        <v>22.804884139697911</v>
      </c>
      <c r="CJ95" s="219">
        <v>22.772396192858249</v>
      </c>
      <c r="CK95" s="219">
        <v>22.700589822342909</v>
      </c>
      <c r="CL95" s="219">
        <v>22.669614134268759</v>
      </c>
      <c r="CM95" s="219">
        <v>22.638846819982071</v>
      </c>
      <c r="CN95" s="219">
        <v>22.61057154641443</v>
      </c>
      <c r="CO95" s="219">
        <v>22.582567170932929</v>
      </c>
      <c r="CP95" s="219">
        <v>22.543850230437378</v>
      </c>
      <c r="CQ95" s="219">
        <v>22.516810997847141</v>
      </c>
      <c r="CR95" s="219">
        <v>22.490009505275719</v>
      </c>
      <c r="CS95" s="219">
        <v>22.469962756656351</v>
      </c>
      <c r="CT95" s="219">
        <v>22.450213776530209</v>
      </c>
      <c r="CU95" s="219">
        <v>22.42367498222027</v>
      </c>
      <c r="CV95" s="219">
        <v>22.404901695527482</v>
      </c>
      <c r="CW95" s="219">
        <v>22.386392034368381</v>
      </c>
      <c r="CX95" s="219">
        <v>22.37049025885959</v>
      </c>
      <c r="CY95" s="219">
        <v>22.354704958473789</v>
      </c>
      <c r="CZ95" s="219">
        <v>22.339090589457442</v>
      </c>
      <c r="DA95" s="219">
        <v>22.323646651384621</v>
      </c>
      <c r="DB95" s="219">
        <v>22.308372751528619</v>
      </c>
    </row>
    <row r="96" spans="1:106" x14ac:dyDescent="0.35">
      <c r="A96" s="137" t="s">
        <v>553</v>
      </c>
      <c r="B96" s="130" t="s">
        <v>545</v>
      </c>
      <c r="C96" s="33">
        <v>6.5565844928005689E-4</v>
      </c>
      <c r="D96" s="219">
        <v>6.5530593333627514E-4</v>
      </c>
      <c r="E96" s="219">
        <v>6.5495861914171432E-4</v>
      </c>
      <c r="F96" s="219">
        <v>6.5518892200646132E-4</v>
      </c>
      <c r="G96" s="219">
        <v>6.5483894469921483E-4</v>
      </c>
      <c r="H96" s="219">
        <v>6.5449401876836505E-4</v>
      </c>
      <c r="I96" s="219">
        <v>6.5421883084864491E-4</v>
      </c>
      <c r="J96" s="219">
        <v>6.5396791115355255E-4</v>
      </c>
      <c r="K96" s="219">
        <v>6.5454383323331421E-4</v>
      </c>
      <c r="L96" s="219">
        <v>6.5433591520810096E-4</v>
      </c>
      <c r="M96" s="219">
        <v>6.5414199857635811E-4</v>
      </c>
      <c r="N96" s="219">
        <v>6.5398661616376916E-4</v>
      </c>
      <c r="O96" s="219">
        <v>6.5384724734326484E-4</v>
      </c>
      <c r="P96" s="219">
        <v>6.5411298054726501E-4</v>
      </c>
      <c r="Q96" s="219">
        <v>6.5399653157325016E-4</v>
      </c>
      <c r="R96" s="219">
        <v>6.5388658342184275E-4</v>
      </c>
      <c r="S96" s="219">
        <v>6.5383615360097859E-4</v>
      </c>
      <c r="T96" s="219">
        <v>6.5378669550256001E-4</v>
      </c>
      <c r="U96" s="219">
        <v>6.5392854339499818E-4</v>
      </c>
      <c r="V96" s="219">
        <v>6.5388164602770858E-4</v>
      </c>
      <c r="W96" s="219">
        <v>6.5383601505984473E-4</v>
      </c>
      <c r="X96" s="219">
        <v>6.5387235922938864E-4</v>
      </c>
      <c r="Y96" s="219">
        <v>6.5387793740490617E-4</v>
      </c>
      <c r="Z96" s="219">
        <v>6.5388369850162499E-4</v>
      </c>
      <c r="AA96" s="219">
        <v>6.5388964562615557E-4</v>
      </c>
      <c r="AB96" s="219">
        <v>6.5389579139991277E-4</v>
      </c>
      <c r="AC96" s="33">
        <v>3.9602098135861398E-7</v>
      </c>
      <c r="AD96" s="219">
        <v>3.9543994958869989E-7</v>
      </c>
      <c r="AE96" s="219">
        <v>3.9485948654912423E-7</v>
      </c>
      <c r="AF96" s="219">
        <v>3.9374691162576312E-7</v>
      </c>
      <c r="AG96" s="219">
        <v>3.9318093068869979E-7</v>
      </c>
      <c r="AH96" s="219">
        <v>3.9261690589453501E-7</v>
      </c>
      <c r="AI96" s="219">
        <v>3.9230273919033182E-7</v>
      </c>
      <c r="AJ96" s="219">
        <v>3.9199104660879698E-7</v>
      </c>
      <c r="AK96" s="219">
        <v>3.9182273217728212E-7</v>
      </c>
      <c r="AL96" s="219">
        <v>3.9152914268872151E-7</v>
      </c>
      <c r="AM96" s="219">
        <v>3.9123829481235442E-7</v>
      </c>
      <c r="AN96" s="219">
        <v>3.9095813422437941E-7</v>
      </c>
      <c r="AO96" s="219">
        <v>3.9068119322212241E-7</v>
      </c>
      <c r="AP96" s="219">
        <v>3.9053830314078581E-7</v>
      </c>
      <c r="AQ96" s="219">
        <v>3.9027144080974952E-7</v>
      </c>
      <c r="AR96" s="219">
        <v>3.9000617124149128E-7</v>
      </c>
      <c r="AS96" s="219">
        <v>3.8976898423659239E-7</v>
      </c>
      <c r="AT96" s="219">
        <v>3.8953437357695729E-7</v>
      </c>
      <c r="AU96" s="219">
        <v>3.8942310428781151E-7</v>
      </c>
      <c r="AV96" s="219">
        <v>3.8919827431489858E-7</v>
      </c>
      <c r="AW96" s="219">
        <v>3.8897556517858921E-7</v>
      </c>
      <c r="AX96" s="219">
        <v>3.8886310217058299E-7</v>
      </c>
      <c r="AY96" s="219">
        <v>3.8870375620044971E-7</v>
      </c>
      <c r="AZ96" s="219">
        <v>3.885455795028198E-7</v>
      </c>
      <c r="BA96" s="219">
        <v>3.8838856300837962E-7</v>
      </c>
      <c r="BB96" s="219">
        <v>3.882327032229939E-7</v>
      </c>
      <c r="BC96" s="33">
        <v>0.201948269516667</v>
      </c>
      <c r="BD96" s="219">
        <v>0.2007962126449582</v>
      </c>
      <c r="BE96" s="219">
        <v>0.19963786194283639</v>
      </c>
      <c r="BF96" s="219">
        <v>0.19227376758331841</v>
      </c>
      <c r="BG96" s="219">
        <v>0.1911695005479698</v>
      </c>
      <c r="BH96" s="219">
        <v>0.19006249840271069</v>
      </c>
      <c r="BI96" s="219">
        <v>0.1893193324587546</v>
      </c>
      <c r="BJ96" s="219">
        <v>0.18857365420616201</v>
      </c>
      <c r="BK96" s="219">
        <v>0.18337117115534049</v>
      </c>
      <c r="BL96" s="219">
        <v>0.18268874946045019</v>
      </c>
      <c r="BM96" s="219">
        <v>0.18200412580189701</v>
      </c>
      <c r="BN96" s="219">
        <v>0.18114368051506649</v>
      </c>
      <c r="BO96" s="219">
        <v>0.18028654686944759</v>
      </c>
      <c r="BP96" s="219">
        <v>0.1780780247814108</v>
      </c>
      <c r="BQ96" s="219">
        <v>0.17725640329680051</v>
      </c>
      <c r="BR96" s="219">
        <v>0.17643674079980801</v>
      </c>
      <c r="BS96" s="219">
        <v>0.17550304047392479</v>
      </c>
      <c r="BT96" s="219">
        <v>0.17457158801071701</v>
      </c>
      <c r="BU96" s="219">
        <v>0.172371246943998</v>
      </c>
      <c r="BV96" s="219">
        <v>0.17146132244954981</v>
      </c>
      <c r="BW96" s="219">
        <v>0.17054671573125951</v>
      </c>
      <c r="BX96" s="219">
        <v>0.17015417305608349</v>
      </c>
      <c r="BY96" s="219">
        <v>0.16976409082647159</v>
      </c>
      <c r="BZ96" s="219">
        <v>0.1693762596120556</v>
      </c>
      <c r="CA96" s="219">
        <v>0.16899067547104371</v>
      </c>
      <c r="CB96" s="219">
        <v>0.16860734057043081</v>
      </c>
      <c r="CC96" s="33">
        <v>0.84198954375588764</v>
      </c>
      <c r="CD96" s="219">
        <v>0.81798922788157646</v>
      </c>
      <c r="CE96" s="219">
        <v>0.79404664821443904</v>
      </c>
      <c r="CF96" s="219">
        <v>0.73250385574732868</v>
      </c>
      <c r="CG96" s="219">
        <v>0.70956579219153737</v>
      </c>
      <c r="CH96" s="219">
        <v>0.68668822381851824</v>
      </c>
      <c r="CI96" s="219">
        <v>0.67131470213422317</v>
      </c>
      <c r="CJ96" s="219">
        <v>0.65604520432362234</v>
      </c>
      <c r="CK96" s="219">
        <v>0.6174071844443314</v>
      </c>
      <c r="CL96" s="219">
        <v>0.60298281811309584</v>
      </c>
      <c r="CM96" s="219">
        <v>0.58866294227606686</v>
      </c>
      <c r="CN96" s="219">
        <v>0.57447293172199276</v>
      </c>
      <c r="CO96" s="219">
        <v>0.56041883594634978</v>
      </c>
      <c r="CP96" s="219">
        <v>0.53997706138259138</v>
      </c>
      <c r="CQ96" s="219">
        <v>0.52643393688165352</v>
      </c>
      <c r="CR96" s="219">
        <v>0.51299993438952307</v>
      </c>
      <c r="CS96" s="219">
        <v>0.50168488935424727</v>
      </c>
      <c r="CT96" s="219">
        <v>0.49050040896949781</v>
      </c>
      <c r="CU96" s="219">
        <v>0.47525912956325822</v>
      </c>
      <c r="CV96" s="219">
        <v>0.4645611978335622</v>
      </c>
      <c r="CW96" s="219">
        <v>0.45397329620578292</v>
      </c>
      <c r="CX96" s="219">
        <v>0.44628608773248069</v>
      </c>
      <c r="CY96" s="219">
        <v>0.43860663561355923</v>
      </c>
      <c r="CZ96" s="219">
        <v>0.4309876911221297</v>
      </c>
      <c r="DA96" s="219">
        <v>0.42342899875320889</v>
      </c>
      <c r="DB96" s="219">
        <v>0.4159303557404343</v>
      </c>
    </row>
    <row r="97" spans="1:106" x14ac:dyDescent="0.35">
      <c r="A97" s="137" t="s">
        <v>554</v>
      </c>
      <c r="B97" s="130" t="s">
        <v>545</v>
      </c>
      <c r="C97" s="33">
        <v>4.319722483856619E-4</v>
      </c>
      <c r="D97" s="219">
        <v>4.3168988827514329E-4</v>
      </c>
      <c r="E97" s="219">
        <v>4.3140193289630132E-4</v>
      </c>
      <c r="F97" s="219">
        <v>4.3133532335634222E-4</v>
      </c>
      <c r="G97" s="219">
        <v>4.3103007096129511E-4</v>
      </c>
      <c r="H97" s="219">
        <v>4.3071524529881612E-4</v>
      </c>
      <c r="I97" s="219">
        <v>4.3060348961274108E-4</v>
      </c>
      <c r="J97" s="219">
        <v>4.3049866863581742E-4</v>
      </c>
      <c r="K97" s="219">
        <v>4.3073647994258392E-4</v>
      </c>
      <c r="L97" s="219">
        <v>4.3064510831595951E-4</v>
      </c>
      <c r="M97" s="219">
        <v>4.3055768921900812E-4</v>
      </c>
      <c r="N97" s="219">
        <v>4.305054303849741E-4</v>
      </c>
      <c r="O97" s="219">
        <v>4.3045750940165218E-4</v>
      </c>
      <c r="P97" s="219">
        <v>4.3058238053576451E-4</v>
      </c>
      <c r="Q97" s="219">
        <v>4.3054102793541299E-4</v>
      </c>
      <c r="R97" s="219">
        <v>4.3050142006388159E-4</v>
      </c>
      <c r="S97" s="219">
        <v>4.3047536134028429E-4</v>
      </c>
      <c r="T97" s="219">
        <v>4.3044988567106281E-4</v>
      </c>
      <c r="U97" s="219">
        <v>4.3051041512741898E-4</v>
      </c>
      <c r="V97" s="219">
        <v>4.3048644765783631E-4</v>
      </c>
      <c r="W97" s="219">
        <v>4.3046313279732881E-4</v>
      </c>
      <c r="X97" s="219">
        <v>4.3046447480719652E-4</v>
      </c>
      <c r="Y97" s="219">
        <v>4.3044986772499267E-4</v>
      </c>
      <c r="Z97" s="219">
        <v>4.3043556010969951E-4</v>
      </c>
      <c r="AA97" s="219">
        <v>4.3042154805294927E-4</v>
      </c>
      <c r="AB97" s="219">
        <v>4.3040783498065059E-4</v>
      </c>
      <c r="AC97" s="33">
        <v>7.3951781379966962E-7</v>
      </c>
      <c r="AD97" s="219">
        <v>7.3912455753569273E-7</v>
      </c>
      <c r="AE97" s="219">
        <v>7.3872610231332558E-7</v>
      </c>
      <c r="AF97" s="219">
        <v>7.3809297917585084E-7</v>
      </c>
      <c r="AG97" s="219">
        <v>7.376882126104854E-7</v>
      </c>
      <c r="AH97" s="219">
        <v>7.3727563352098141E-7</v>
      </c>
      <c r="AI97" s="219">
        <v>7.3709867333140954E-7</v>
      </c>
      <c r="AJ97" s="219">
        <v>7.369229380734444E-7</v>
      </c>
      <c r="AK97" s="219">
        <v>7.3680919893553296E-7</v>
      </c>
      <c r="AL97" s="219">
        <v>7.3664140290824179E-7</v>
      </c>
      <c r="AM97" s="219">
        <v>7.3647479299846962E-7</v>
      </c>
      <c r="AN97" s="219">
        <v>7.3633574519304348E-7</v>
      </c>
      <c r="AO97" s="219">
        <v>7.3619805209703945E-7</v>
      </c>
      <c r="AP97" s="219">
        <v>7.3611934976185322E-7</v>
      </c>
      <c r="AQ97" s="219">
        <v>7.3598618811267582E-7</v>
      </c>
      <c r="AR97" s="219">
        <v>7.3585393548804842E-7</v>
      </c>
      <c r="AS97" s="219">
        <v>7.3574691037802087E-7</v>
      </c>
      <c r="AT97" s="219">
        <v>7.3564141036158436E-7</v>
      </c>
      <c r="AU97" s="219">
        <v>7.3559013512640812E-7</v>
      </c>
      <c r="AV97" s="219">
        <v>7.3548962513175549E-7</v>
      </c>
      <c r="AW97" s="219">
        <v>7.3539048997644952E-7</v>
      </c>
      <c r="AX97" s="219">
        <v>7.3534448092170734E-7</v>
      </c>
      <c r="AY97" s="219">
        <v>7.3526048430649992E-7</v>
      </c>
      <c r="AZ97" s="219">
        <v>7.3517737314956807E-7</v>
      </c>
      <c r="BA97" s="219">
        <v>7.3509514172885058E-7</v>
      </c>
      <c r="BB97" s="219">
        <v>7.3501378847072341E-7</v>
      </c>
      <c r="BC97" s="33">
        <v>0.11273508666614521</v>
      </c>
      <c r="BD97" s="219">
        <v>0.1120854904952612</v>
      </c>
      <c r="BE97" s="219">
        <v>0.1114286888632217</v>
      </c>
      <c r="BF97" s="219">
        <v>0.1081853846009482</v>
      </c>
      <c r="BG97" s="219">
        <v>0.107540994739369</v>
      </c>
      <c r="BH97" s="219">
        <v>0.10688842004851309</v>
      </c>
      <c r="BI97" s="219">
        <v>0.10658601385293839</v>
      </c>
      <c r="BJ97" s="219">
        <v>0.1062798058336353</v>
      </c>
      <c r="BK97" s="219">
        <v>0.1041278382221725</v>
      </c>
      <c r="BL97" s="219">
        <v>0.1038422099800486</v>
      </c>
      <c r="BM97" s="219">
        <v>0.10355301800223959</v>
      </c>
      <c r="BN97" s="219">
        <v>0.1031235059454378</v>
      </c>
      <c r="BO97" s="219">
        <v>0.1026954841180841</v>
      </c>
      <c r="BP97" s="219">
        <v>0.1017097697313669</v>
      </c>
      <c r="BQ97" s="219">
        <v>0.1012970098025729</v>
      </c>
      <c r="BR97" s="219">
        <v>0.10088537259319449</v>
      </c>
      <c r="BS97" s="219">
        <v>0.100407364924111</v>
      </c>
      <c r="BT97" s="219">
        <v>9.9932102922918209E-2</v>
      </c>
      <c r="BU97" s="219">
        <v>9.8934537941916298E-2</v>
      </c>
      <c r="BV97" s="219">
        <v>9.8471948035535647E-2</v>
      </c>
      <c r="BW97" s="219">
        <v>9.801023695530213E-2</v>
      </c>
      <c r="BX97" s="219">
        <v>9.7810071629810688E-2</v>
      </c>
      <c r="BY97" s="219">
        <v>9.7611825552480477E-2</v>
      </c>
      <c r="BZ97" s="219">
        <v>9.7415332991126993E-2</v>
      </c>
      <c r="CA97" s="219">
        <v>9.7220591364325634E-2</v>
      </c>
      <c r="CB97" s="219">
        <v>9.7027602470785942E-2</v>
      </c>
      <c r="CC97" s="33">
        <v>5.5004936829692737</v>
      </c>
      <c r="CD97" s="219">
        <v>5.4858905989926194</v>
      </c>
      <c r="CE97" s="219">
        <v>5.471209397667022</v>
      </c>
      <c r="CF97" s="219">
        <v>5.4407587987332882</v>
      </c>
      <c r="CG97" s="219">
        <v>5.4262551240568033</v>
      </c>
      <c r="CH97" s="219">
        <v>5.4116103413265666</v>
      </c>
      <c r="CI97" s="219">
        <v>5.4029365590936669</v>
      </c>
      <c r="CJ97" s="219">
        <v>5.3943257411998573</v>
      </c>
      <c r="CK97" s="219">
        <v>5.3760841165930868</v>
      </c>
      <c r="CL97" s="219">
        <v>5.3678582069643399</v>
      </c>
      <c r="CM97" s="219">
        <v>5.3596898089815319</v>
      </c>
      <c r="CN97" s="219">
        <v>5.3524602010154512</v>
      </c>
      <c r="CO97" s="219">
        <v>5.3452998240502403</v>
      </c>
      <c r="CP97" s="219">
        <v>5.335516363614758</v>
      </c>
      <c r="CQ97" s="219">
        <v>5.3285980817216396</v>
      </c>
      <c r="CR97" s="219">
        <v>5.3217409265556563</v>
      </c>
      <c r="CS97" s="219">
        <v>5.3166434973653498</v>
      </c>
      <c r="CT97" s="219">
        <v>5.3116230858159614</v>
      </c>
      <c r="CU97" s="219">
        <v>5.3049401254209618</v>
      </c>
      <c r="CV97" s="219">
        <v>5.3001672917903644</v>
      </c>
      <c r="CW97" s="219">
        <v>5.2954641750220031</v>
      </c>
      <c r="CX97" s="219">
        <v>5.2914022671571868</v>
      </c>
      <c r="CY97" s="219">
        <v>5.2873672595289571</v>
      </c>
      <c r="CZ97" s="219">
        <v>5.2833771109228334</v>
      </c>
      <c r="DA97" s="219">
        <v>5.2794316905419718</v>
      </c>
      <c r="DB97" s="219">
        <v>5.2755308978131099</v>
      </c>
    </row>
    <row r="98" spans="1:106" x14ac:dyDescent="0.35">
      <c r="A98" s="137" t="s">
        <v>555</v>
      </c>
      <c r="B98" s="130" t="s">
        <v>545</v>
      </c>
      <c r="C98" s="33">
        <v>8.639444967713239E-4</v>
      </c>
      <c r="D98" s="219">
        <v>8.6337977655028659E-4</v>
      </c>
      <c r="E98" s="219">
        <v>8.6280386579260264E-4</v>
      </c>
      <c r="F98" s="219">
        <v>8.6267064671268433E-4</v>
      </c>
      <c r="G98" s="219">
        <v>8.6206014192259021E-4</v>
      </c>
      <c r="H98" s="219">
        <v>8.6143049059763223E-4</v>
      </c>
      <c r="I98" s="219">
        <v>8.6120697922548216E-4</v>
      </c>
      <c r="J98" s="219">
        <v>8.6099733727163473E-4</v>
      </c>
      <c r="K98" s="219">
        <v>8.6147295988516783E-4</v>
      </c>
      <c r="L98" s="219">
        <v>8.6129021663191902E-4</v>
      </c>
      <c r="M98" s="219">
        <v>8.6111537843801614E-4</v>
      </c>
      <c r="N98" s="219">
        <v>8.610108607699481E-4</v>
      </c>
      <c r="O98" s="219">
        <v>8.6091501880330447E-4</v>
      </c>
      <c r="P98" s="219">
        <v>8.6116476107152892E-4</v>
      </c>
      <c r="Q98" s="219">
        <v>8.6108205587082608E-4</v>
      </c>
      <c r="R98" s="219">
        <v>8.6100284012776318E-4</v>
      </c>
      <c r="S98" s="219">
        <v>8.6095072268056857E-4</v>
      </c>
      <c r="T98" s="219">
        <v>8.6089977134212563E-4</v>
      </c>
      <c r="U98" s="219">
        <v>8.6102083025483796E-4</v>
      </c>
      <c r="V98" s="219">
        <v>8.6097289531567262E-4</v>
      </c>
      <c r="W98" s="219">
        <v>8.6092626559465763E-4</v>
      </c>
      <c r="X98" s="219">
        <v>8.6092894961439293E-4</v>
      </c>
      <c r="Y98" s="219">
        <v>8.6089973544998546E-4</v>
      </c>
      <c r="Z98" s="219">
        <v>8.6087112021939892E-4</v>
      </c>
      <c r="AA98" s="219">
        <v>8.6084309610589865E-4</v>
      </c>
      <c r="AB98" s="219">
        <v>8.608156699613013E-4</v>
      </c>
      <c r="AC98" s="33">
        <v>1.479035627599339E-6</v>
      </c>
      <c r="AD98" s="219">
        <v>1.478249115071385E-6</v>
      </c>
      <c r="AE98" s="219">
        <v>1.4774522046266509E-6</v>
      </c>
      <c r="AF98" s="219">
        <v>1.4761859583517021E-6</v>
      </c>
      <c r="AG98" s="219">
        <v>1.475376425220971E-6</v>
      </c>
      <c r="AH98" s="219">
        <v>1.474551267041963E-6</v>
      </c>
      <c r="AI98" s="219">
        <v>1.4741973466628191E-6</v>
      </c>
      <c r="AJ98" s="219">
        <v>1.473845876146889E-6</v>
      </c>
      <c r="AK98" s="219">
        <v>1.4736183978710659E-6</v>
      </c>
      <c r="AL98" s="219">
        <v>1.473282805816484E-6</v>
      </c>
      <c r="AM98" s="219">
        <v>1.472949585996939E-6</v>
      </c>
      <c r="AN98" s="219">
        <v>1.472671490386087E-6</v>
      </c>
      <c r="AO98" s="219">
        <v>1.4723961041940791E-6</v>
      </c>
      <c r="AP98" s="219">
        <v>1.472238699523706E-6</v>
      </c>
      <c r="AQ98" s="219">
        <v>1.4719723762253521E-6</v>
      </c>
      <c r="AR98" s="219">
        <v>1.471707870976097E-6</v>
      </c>
      <c r="AS98" s="219">
        <v>1.471493820756042E-6</v>
      </c>
      <c r="AT98" s="219">
        <v>1.4712828207231689E-6</v>
      </c>
      <c r="AU98" s="219">
        <v>1.471180270252816E-6</v>
      </c>
      <c r="AV98" s="219">
        <v>1.470979250263511E-6</v>
      </c>
      <c r="AW98" s="219">
        <v>1.470780979952899E-6</v>
      </c>
      <c r="AX98" s="219">
        <v>1.4706889618434151E-6</v>
      </c>
      <c r="AY98" s="219">
        <v>1.4705209686130001E-6</v>
      </c>
      <c r="AZ98" s="219">
        <v>1.4703547462991359E-6</v>
      </c>
      <c r="BA98" s="219">
        <v>1.470190283457701E-6</v>
      </c>
      <c r="BB98" s="219">
        <v>1.470027576941447E-6</v>
      </c>
      <c r="BC98" s="33">
        <v>0.22547017333229041</v>
      </c>
      <c r="BD98" s="219">
        <v>0.22417098099052241</v>
      </c>
      <c r="BE98" s="219">
        <v>0.22285737772644351</v>
      </c>
      <c r="BF98" s="219">
        <v>0.21637076920189649</v>
      </c>
      <c r="BG98" s="219">
        <v>0.21508198947873791</v>
      </c>
      <c r="BH98" s="219">
        <v>0.21377684009702619</v>
      </c>
      <c r="BI98" s="219">
        <v>0.21317202770587679</v>
      </c>
      <c r="BJ98" s="219">
        <v>0.21255961166727061</v>
      </c>
      <c r="BK98" s="219">
        <v>0.20825567644434501</v>
      </c>
      <c r="BL98" s="219">
        <v>0.20768441996009729</v>
      </c>
      <c r="BM98" s="219">
        <v>0.20710603600447919</v>
      </c>
      <c r="BN98" s="219">
        <v>0.20624701189087549</v>
      </c>
      <c r="BO98" s="219">
        <v>0.20539096823616809</v>
      </c>
      <c r="BP98" s="219">
        <v>0.20341953946273381</v>
      </c>
      <c r="BQ98" s="219">
        <v>0.20259401960514589</v>
      </c>
      <c r="BR98" s="219">
        <v>0.2017707451863891</v>
      </c>
      <c r="BS98" s="219">
        <v>0.20081472984822199</v>
      </c>
      <c r="BT98" s="219">
        <v>0.19986420584583639</v>
      </c>
      <c r="BU98" s="219">
        <v>0.1978690758838326</v>
      </c>
      <c r="BV98" s="219">
        <v>0.19694389607107129</v>
      </c>
      <c r="BW98" s="219">
        <v>0.19602047391060429</v>
      </c>
      <c r="BX98" s="219">
        <v>0.1956201432596214</v>
      </c>
      <c r="BY98" s="219">
        <v>0.19522365110496101</v>
      </c>
      <c r="BZ98" s="219">
        <v>0.19483066598225399</v>
      </c>
      <c r="CA98" s="219">
        <v>0.1944411827286513</v>
      </c>
      <c r="CB98" s="219">
        <v>0.19405520494157191</v>
      </c>
      <c r="CC98" s="33">
        <v>11.000987365938551</v>
      </c>
      <c r="CD98" s="219">
        <v>10.971781197985241</v>
      </c>
      <c r="CE98" s="219">
        <v>10.94241879533404</v>
      </c>
      <c r="CF98" s="219">
        <v>10.88151759746658</v>
      </c>
      <c r="CG98" s="219">
        <v>10.85251024811361</v>
      </c>
      <c r="CH98" s="219">
        <v>10.82322068265313</v>
      </c>
      <c r="CI98" s="219">
        <v>10.80587311818733</v>
      </c>
      <c r="CJ98" s="219">
        <v>10.788651482399709</v>
      </c>
      <c r="CK98" s="219">
        <v>10.75216823318617</v>
      </c>
      <c r="CL98" s="219">
        <v>10.73571641392868</v>
      </c>
      <c r="CM98" s="219">
        <v>10.71937961796306</v>
      </c>
      <c r="CN98" s="219">
        <v>10.704920402030901</v>
      </c>
      <c r="CO98" s="219">
        <v>10.690599648100481</v>
      </c>
      <c r="CP98" s="219">
        <v>10.67103272722952</v>
      </c>
      <c r="CQ98" s="219">
        <v>10.657196163443279</v>
      </c>
      <c r="CR98" s="219">
        <v>10.643481853111309</v>
      </c>
      <c r="CS98" s="219">
        <v>10.6332869947307</v>
      </c>
      <c r="CT98" s="219">
        <v>10.623246171631919</v>
      </c>
      <c r="CU98" s="219">
        <v>10.60988025084192</v>
      </c>
      <c r="CV98" s="219">
        <v>10.600334583580731</v>
      </c>
      <c r="CW98" s="219">
        <v>10.59092835004401</v>
      </c>
      <c r="CX98" s="219">
        <v>10.58280453431437</v>
      </c>
      <c r="CY98" s="219">
        <v>10.574734519057911</v>
      </c>
      <c r="CZ98" s="219">
        <v>10.56675422184567</v>
      </c>
      <c r="DA98" s="219">
        <v>10.55886338108394</v>
      </c>
      <c r="DB98" s="219">
        <v>10.55106179562622</v>
      </c>
    </row>
    <row r="99" spans="1:106" x14ac:dyDescent="0.35">
      <c r="A99" s="137" t="s">
        <v>556</v>
      </c>
      <c r="B99" s="130" t="s">
        <v>545</v>
      </c>
      <c r="C99" s="33">
        <v>2.4472939215688231E-3</v>
      </c>
      <c r="D99" s="219">
        <v>2.4429215369733818E-3</v>
      </c>
      <c r="E99" s="219">
        <v>2.4385395096411101E-3</v>
      </c>
      <c r="F99" s="219">
        <v>2.4414470763477621E-3</v>
      </c>
      <c r="G99" s="219">
        <v>2.4369614212477659E-3</v>
      </c>
      <c r="H99" s="219">
        <v>2.4324461504693158E-3</v>
      </c>
      <c r="I99" s="219">
        <v>2.4295195593114459E-3</v>
      </c>
      <c r="J99" s="219">
        <v>2.4267781102021921E-3</v>
      </c>
      <c r="K99" s="219">
        <v>2.434790733454332E-3</v>
      </c>
      <c r="L99" s="219">
        <v>2.4324200853600248E-3</v>
      </c>
      <c r="M99" s="219">
        <v>2.430152774399581E-3</v>
      </c>
      <c r="N99" s="219">
        <v>2.428264353132612E-3</v>
      </c>
      <c r="O99" s="219">
        <v>2.4264990845266521E-3</v>
      </c>
      <c r="P99" s="219">
        <v>2.4301141395383502E-3</v>
      </c>
      <c r="Q99" s="219">
        <v>2.4285447676084832E-3</v>
      </c>
      <c r="R99" s="219">
        <v>2.427032151406429E-3</v>
      </c>
      <c r="S99" s="219">
        <v>2.4262016996233911E-3</v>
      </c>
      <c r="T99" s="219">
        <v>2.4253869865688161E-3</v>
      </c>
      <c r="U99" s="219">
        <v>2.4272230358102919E-3</v>
      </c>
      <c r="V99" s="219">
        <v>2.426452563892195E-3</v>
      </c>
      <c r="W99" s="219">
        <v>2.4256967313222889E-3</v>
      </c>
      <c r="X99" s="219">
        <v>2.4254856369621278E-3</v>
      </c>
      <c r="Y99" s="219">
        <v>2.425025404062732E-3</v>
      </c>
      <c r="Z99" s="219">
        <v>2.4245732679224309E-3</v>
      </c>
      <c r="AA99" s="219">
        <v>2.4241291885713561E-3</v>
      </c>
      <c r="AB99" s="219">
        <v>2.4236932595882231E-3</v>
      </c>
      <c r="AC99" s="33">
        <v>2.464875451425858E-6</v>
      </c>
      <c r="AD99" s="219">
        <v>2.4571115711880641E-6</v>
      </c>
      <c r="AE99" s="219">
        <v>2.449323836688324E-6</v>
      </c>
      <c r="AF99" s="219">
        <v>2.4343843839942978E-6</v>
      </c>
      <c r="AG99" s="219">
        <v>2.4267568237934022E-6</v>
      </c>
      <c r="AH99" s="219">
        <v>2.4191010621528362E-6</v>
      </c>
      <c r="AI99" s="219">
        <v>2.414403799630774E-6</v>
      </c>
      <c r="AJ99" s="219">
        <v>2.4097365655875198E-6</v>
      </c>
      <c r="AK99" s="219">
        <v>2.4069936062735022E-6</v>
      </c>
      <c r="AL99" s="219">
        <v>2.4025608123440341E-6</v>
      </c>
      <c r="AM99" s="219">
        <v>2.3981576350587298E-6</v>
      </c>
      <c r="AN99" s="219">
        <v>2.3937850094669739E-6</v>
      </c>
      <c r="AO99" s="219">
        <v>2.389456018706052E-6</v>
      </c>
      <c r="AP99" s="219">
        <v>2.3869598118273129E-6</v>
      </c>
      <c r="AQ99" s="219">
        <v>2.3827792685475662E-6</v>
      </c>
      <c r="AR99" s="219">
        <v>2.3786321915453079E-6</v>
      </c>
      <c r="AS99" s="219">
        <v>2.375411901802493E-6</v>
      </c>
      <c r="AT99" s="219">
        <v>2.3722374314404121E-6</v>
      </c>
      <c r="AU99" s="219">
        <v>2.3707479761649889E-6</v>
      </c>
      <c r="AV99" s="219">
        <v>2.3677275641748689E-6</v>
      </c>
      <c r="AW99" s="219">
        <v>2.3647501241818369E-6</v>
      </c>
      <c r="AX99" s="219">
        <v>2.362614657134836E-6</v>
      </c>
      <c r="AY99" s="219">
        <v>2.359998412592287E-6</v>
      </c>
      <c r="AZ99" s="219">
        <v>2.3574093915195412E-6</v>
      </c>
      <c r="BA99" s="219">
        <v>2.3548474687377391E-6</v>
      </c>
      <c r="BB99" s="219">
        <v>2.3523125965365211E-6</v>
      </c>
      <c r="BC99" s="33">
        <v>3.354424608566263</v>
      </c>
      <c r="BD99" s="219">
        <v>3.3362596226789192</v>
      </c>
      <c r="BE99" s="219">
        <v>3.3179900142130201</v>
      </c>
      <c r="BF99" s="219">
        <v>3.2183792641855291</v>
      </c>
      <c r="BG99" s="219">
        <v>3.2007959045418559</v>
      </c>
      <c r="BH99" s="219">
        <v>3.1831278735850632</v>
      </c>
      <c r="BI99" s="219">
        <v>3.16979873770459</v>
      </c>
      <c r="BJ99" s="219">
        <v>3.1564403426745709</v>
      </c>
      <c r="BK99" s="219">
        <v>3.0849138960843918</v>
      </c>
      <c r="BL99" s="219">
        <v>3.072382825774437</v>
      </c>
      <c r="BM99" s="219">
        <v>3.0598257011565142</v>
      </c>
      <c r="BN99" s="219">
        <v>3.0454962212615051</v>
      </c>
      <c r="BO99" s="219">
        <v>3.0312205232432952</v>
      </c>
      <c r="BP99" s="219">
        <v>2.9993423838687399</v>
      </c>
      <c r="BQ99" s="219">
        <v>2.9855640472346812</v>
      </c>
      <c r="BR99" s="219">
        <v>2.971831274596719</v>
      </c>
      <c r="BS99" s="219">
        <v>2.9585772814560412</v>
      </c>
      <c r="BT99" s="219">
        <v>2.945394333012358</v>
      </c>
      <c r="BU99" s="219">
        <v>2.9157050234282349</v>
      </c>
      <c r="BV99" s="219">
        <v>2.90289551697159</v>
      </c>
      <c r="BW99" s="219">
        <v>2.890139040419506</v>
      </c>
      <c r="BX99" s="219">
        <v>2.8837088268603508</v>
      </c>
      <c r="BY99" s="219">
        <v>2.8773404753168652</v>
      </c>
      <c r="BZ99" s="219">
        <v>2.8710310634125902</v>
      </c>
      <c r="CA99" s="219">
        <v>2.8647805737763981</v>
      </c>
      <c r="CB99" s="219">
        <v>2.8585890737723751</v>
      </c>
      <c r="CC99" s="33">
        <v>12.73120880412122</v>
      </c>
      <c r="CD99" s="219">
        <v>12.40349059883434</v>
      </c>
      <c r="CE99" s="219">
        <v>12.07596149772059</v>
      </c>
      <c r="CF99" s="219">
        <v>11.255123581410359</v>
      </c>
      <c r="CG99" s="219">
        <v>10.94026198164523</v>
      </c>
      <c r="CH99" s="219">
        <v>10.625215995739699</v>
      </c>
      <c r="CI99" s="219">
        <v>10.38586169777561</v>
      </c>
      <c r="CJ99" s="219">
        <v>10.148073661000129</v>
      </c>
      <c r="CK99" s="219">
        <v>9.605802819118102</v>
      </c>
      <c r="CL99" s="219">
        <v>9.37945166045664</v>
      </c>
      <c r="CM99" s="219">
        <v>9.154578367784076</v>
      </c>
      <c r="CN99" s="219">
        <v>8.9294047450856642</v>
      </c>
      <c r="CO99" s="219">
        <v>8.7064193341629146</v>
      </c>
      <c r="CP99" s="219">
        <v>8.400645941229433</v>
      </c>
      <c r="CQ99" s="219">
        <v>8.1853593393140276</v>
      </c>
      <c r="CR99" s="219">
        <v>7.9720454842375794</v>
      </c>
      <c r="CS99" s="219">
        <v>7.8152063485041907</v>
      </c>
      <c r="CT99" s="219">
        <v>7.6607451501176902</v>
      </c>
      <c r="CU99" s="219">
        <v>7.4538432863175954</v>
      </c>
      <c r="CV99" s="219">
        <v>7.3071123925208434</v>
      </c>
      <c r="CW99" s="219">
        <v>7.1626070753697064</v>
      </c>
      <c r="CX99" s="219">
        <v>7.0347417785124318</v>
      </c>
      <c r="CY99" s="219">
        <v>6.9080335045590298</v>
      </c>
      <c r="CZ99" s="219">
        <v>6.7827199142939358</v>
      </c>
      <c r="DA99" s="219">
        <v>6.6587974459997392</v>
      </c>
      <c r="DB99" s="219">
        <v>6.5362632212754148</v>
      </c>
    </row>
    <row r="100" spans="1:106" x14ac:dyDescent="0.35">
      <c r="A100" s="137" t="s">
        <v>557</v>
      </c>
      <c r="B100" s="130" t="s">
        <v>545</v>
      </c>
      <c r="C100" s="33">
        <v>9.2735262352143216E-2</v>
      </c>
      <c r="D100" s="219">
        <v>9.2722555026231196E-2</v>
      </c>
      <c r="E100" s="219">
        <v>9.2709404432075426E-2</v>
      </c>
      <c r="F100" s="219">
        <v>9.269979463444053E-2</v>
      </c>
      <c r="G100" s="219">
        <v>9.2685431495871259E-2</v>
      </c>
      <c r="H100" s="219">
        <v>9.2670330435524015E-2</v>
      </c>
      <c r="I100" s="219">
        <v>9.2667674444928169E-2</v>
      </c>
      <c r="J100" s="219">
        <v>9.2665179119515995E-2</v>
      </c>
      <c r="K100" s="219">
        <v>9.2668647541646137E-2</v>
      </c>
      <c r="L100" s="219">
        <v>9.2666454126350273E-2</v>
      </c>
      <c r="M100" s="219">
        <v>9.266435730657184E-2</v>
      </c>
      <c r="N100" s="219">
        <v>9.2663965144902466E-2</v>
      </c>
      <c r="O100" s="219">
        <v>9.2663658292759354E-2</v>
      </c>
      <c r="P100" s="219">
        <v>9.2666275169989765E-2</v>
      </c>
      <c r="Q100" s="219">
        <v>9.266608051056574E-2</v>
      </c>
      <c r="R100" s="219">
        <v>9.2665901060649758E-2</v>
      </c>
      <c r="S100" s="219">
        <v>9.2665472676255148E-2</v>
      </c>
      <c r="T100" s="219">
        <v>9.2665057775999801E-2</v>
      </c>
      <c r="U100" s="219">
        <v>9.2666077225864216E-2</v>
      </c>
      <c r="V100" s="219">
        <v>9.2665690334973072E-2</v>
      </c>
      <c r="W100" s="219">
        <v>9.2665327770613606E-2</v>
      </c>
      <c r="X100" s="219">
        <v>9.2665447251641331E-2</v>
      </c>
      <c r="Y100" s="219">
        <v>9.2665188562352396E-2</v>
      </c>
      <c r="Z100" s="219">
        <v>9.2664937302319103E-2</v>
      </c>
      <c r="AA100" s="219">
        <v>9.2664693224757608E-2</v>
      </c>
      <c r="AB100" s="219">
        <v>9.2664456381703147E-2</v>
      </c>
      <c r="AC100" s="33">
        <v>6.1288339616264744E-5</v>
      </c>
      <c r="AD100" s="219">
        <v>6.1273846966435904E-5</v>
      </c>
      <c r="AE100" s="219">
        <v>6.1258985667269377E-5</v>
      </c>
      <c r="AF100" s="219">
        <v>6.1239734637297502E-5</v>
      </c>
      <c r="AG100" s="219">
        <v>6.1224049644419728E-5</v>
      </c>
      <c r="AH100" s="219">
        <v>6.1207784339282716E-5</v>
      </c>
      <c r="AI100" s="219">
        <v>6.120363567345939E-5</v>
      </c>
      <c r="AJ100" s="219">
        <v>6.1199521235534167E-5</v>
      </c>
      <c r="AK100" s="219">
        <v>6.1196459665520153E-5</v>
      </c>
      <c r="AL100" s="219">
        <v>6.1192511243334118E-5</v>
      </c>
      <c r="AM100" s="219">
        <v>6.1188596187788683E-5</v>
      </c>
      <c r="AN100" s="219">
        <v>6.1186560662949857E-5</v>
      </c>
      <c r="AO100" s="219">
        <v>6.118454295895643E-5</v>
      </c>
      <c r="AP100" s="219">
        <v>6.11835129709995E-5</v>
      </c>
      <c r="AQ100" s="219">
        <v>6.1181557079868423E-5</v>
      </c>
      <c r="AR100" s="219">
        <v>6.1179602857385694E-5</v>
      </c>
      <c r="AS100" s="219">
        <v>6.117770897204115E-5</v>
      </c>
      <c r="AT100" s="219">
        <v>6.1175840300170344E-5</v>
      </c>
      <c r="AU100" s="219">
        <v>6.117489886873588E-5</v>
      </c>
      <c r="AV100" s="219">
        <v>6.1173111696913104E-5</v>
      </c>
      <c r="AW100" s="219">
        <v>6.1171342008514826E-5</v>
      </c>
      <c r="AX100" s="219">
        <v>6.1171004628870422E-5</v>
      </c>
      <c r="AY100" s="219">
        <v>6.1169785949232775E-5</v>
      </c>
      <c r="AZ100" s="219">
        <v>6.1168580218639256E-5</v>
      </c>
      <c r="BA100" s="219">
        <v>6.116738723743368E-5</v>
      </c>
      <c r="BB100" s="219">
        <v>6.1166206971350815E-5</v>
      </c>
      <c r="BC100" s="33">
        <v>1.580837127581961</v>
      </c>
      <c r="BD100" s="219">
        <v>1.567299602162227</v>
      </c>
      <c r="BE100" s="219">
        <v>1.5533842004503711</v>
      </c>
      <c r="BF100" s="219">
        <v>1.4933940303342861</v>
      </c>
      <c r="BG100" s="219">
        <v>1.4790924763221041</v>
      </c>
      <c r="BH100" s="219">
        <v>1.4642809383721249</v>
      </c>
      <c r="BI100" s="219">
        <v>1.4664567780680711</v>
      </c>
      <c r="BJ100" s="219">
        <v>1.468408473781357</v>
      </c>
      <c r="BK100" s="219">
        <v>1.437336072616815</v>
      </c>
      <c r="BL100" s="219">
        <v>1.439349273468522</v>
      </c>
      <c r="BM100" s="219">
        <v>1.441147519604294</v>
      </c>
      <c r="BN100" s="219">
        <v>1.4363885889386669</v>
      </c>
      <c r="BO100" s="219">
        <v>1.4316367318736409</v>
      </c>
      <c r="BP100" s="219">
        <v>1.416937232300888</v>
      </c>
      <c r="BQ100" s="219">
        <v>1.412410160907311</v>
      </c>
      <c r="BR100" s="219">
        <v>1.4078765312160879</v>
      </c>
      <c r="BS100" s="219">
        <v>1.397738289082765</v>
      </c>
      <c r="BT100" s="219">
        <v>1.387661953159423</v>
      </c>
      <c r="BU100" s="219">
        <v>1.368284809093683</v>
      </c>
      <c r="BV100" s="219">
        <v>1.358446424832275</v>
      </c>
      <c r="BW100" s="219">
        <v>1.3485247978962569</v>
      </c>
      <c r="BX100" s="219">
        <v>1.3460564502930339</v>
      </c>
      <c r="BY100" s="219">
        <v>1.343606442018688</v>
      </c>
      <c r="BZ100" s="219">
        <v>1.3411678527285871</v>
      </c>
      <c r="CA100" s="219">
        <v>1.338740524566238</v>
      </c>
      <c r="CB100" s="219">
        <v>1.3363244676236341</v>
      </c>
      <c r="CC100" s="33">
        <v>213.3580235348395</v>
      </c>
      <c r="CD100" s="219">
        <v>212.89481910835119</v>
      </c>
      <c r="CE100" s="219">
        <v>212.4251900200955</v>
      </c>
      <c r="CF100" s="219">
        <v>211.67061455693161</v>
      </c>
      <c r="CG100" s="219">
        <v>211.19070914526779</v>
      </c>
      <c r="CH100" s="219">
        <v>210.70004073406341</v>
      </c>
      <c r="CI100" s="219">
        <v>210.51357369594379</v>
      </c>
      <c r="CJ100" s="219">
        <v>210.3287866071704</v>
      </c>
      <c r="CK100" s="219">
        <v>209.97306726236121</v>
      </c>
      <c r="CL100" s="219">
        <v>209.79611802595269</v>
      </c>
      <c r="CM100" s="219">
        <v>209.62064197049301</v>
      </c>
      <c r="CN100" s="219">
        <v>209.51213436306611</v>
      </c>
      <c r="CO100" s="219">
        <v>209.40460841745619</v>
      </c>
      <c r="CP100" s="219">
        <v>209.25036992473011</v>
      </c>
      <c r="CQ100" s="219">
        <v>209.14658638480671</v>
      </c>
      <c r="CR100" s="219">
        <v>209.04358257552369</v>
      </c>
      <c r="CS100" s="219">
        <v>208.9602600391791</v>
      </c>
      <c r="CT100" s="219">
        <v>208.87806931752331</v>
      </c>
      <c r="CU100" s="219">
        <v>208.76617811940449</v>
      </c>
      <c r="CV100" s="219">
        <v>208.6878526571158</v>
      </c>
      <c r="CW100" s="219">
        <v>208.61032945089599</v>
      </c>
      <c r="CX100" s="219">
        <v>208.55532766112569</v>
      </c>
      <c r="CY100" s="219">
        <v>208.5001973994865</v>
      </c>
      <c r="CZ100" s="219">
        <v>208.44567369459969</v>
      </c>
      <c r="DA100" s="219">
        <v>208.39175355172091</v>
      </c>
      <c r="DB100" s="219">
        <v>208.33843497109481</v>
      </c>
    </row>
    <row r="101" spans="1:106" x14ac:dyDescent="0.35">
      <c r="A101" s="137" t="s">
        <v>558</v>
      </c>
      <c r="B101" s="130" t="s">
        <v>545</v>
      </c>
      <c r="C101" s="33">
        <v>1.399960610191742E-3</v>
      </c>
      <c r="D101" s="219">
        <v>1.393661590239251E-3</v>
      </c>
      <c r="E101" s="219">
        <v>1.387342964582704E-3</v>
      </c>
      <c r="F101" s="219">
        <v>1.390009604625955E-3</v>
      </c>
      <c r="G101" s="219">
        <v>1.383420093826106E-3</v>
      </c>
      <c r="H101" s="219">
        <v>1.3768106630398971E-3</v>
      </c>
      <c r="I101" s="219">
        <v>1.373023592220037E-3</v>
      </c>
      <c r="J101" s="219">
        <v>1.3694859431732931E-3</v>
      </c>
      <c r="K101" s="219">
        <v>1.378018195015296E-3</v>
      </c>
      <c r="L101" s="219">
        <v>1.3749575899190229E-3</v>
      </c>
      <c r="M101" s="219">
        <v>1.372036688872341E-3</v>
      </c>
      <c r="N101" s="219">
        <v>1.3692983158368609E-3</v>
      </c>
      <c r="O101" s="219">
        <v>1.3667213399840639E-3</v>
      </c>
      <c r="P101" s="219">
        <v>1.3697704400189969E-3</v>
      </c>
      <c r="Q101" s="219">
        <v>1.367440796799567E-3</v>
      </c>
      <c r="R101" s="219">
        <v>1.3651833847862691E-3</v>
      </c>
      <c r="S101" s="219">
        <v>1.363552559720963E-3</v>
      </c>
      <c r="T101" s="219">
        <v>1.3619331218907779E-3</v>
      </c>
      <c r="U101" s="219">
        <v>1.362821357474049E-3</v>
      </c>
      <c r="V101" s="219">
        <v>1.361239720564183E-3</v>
      </c>
      <c r="W101" s="219">
        <v>1.3596682719520031E-3</v>
      </c>
      <c r="X101" s="219">
        <v>1.3607358745321551E-3</v>
      </c>
      <c r="Y101" s="219">
        <v>1.3601611951482139E-3</v>
      </c>
      <c r="Z101" s="219">
        <v>1.359588921175367E-3</v>
      </c>
      <c r="AA101" s="219">
        <v>1.3590189614152281E-3</v>
      </c>
      <c r="AB101" s="219">
        <v>1.3584514384911779E-3</v>
      </c>
      <c r="AC101" s="33">
        <v>1.575377150615129E-6</v>
      </c>
      <c r="AD101" s="219">
        <v>1.56423964258194E-6</v>
      </c>
      <c r="AE101" s="219">
        <v>1.553091727506485E-6</v>
      </c>
      <c r="AF101" s="219">
        <v>1.5345089688781489E-6</v>
      </c>
      <c r="AG101" s="219">
        <v>1.523556066506071E-6</v>
      </c>
      <c r="AH101" s="219">
        <v>1.5125911551300959E-6</v>
      </c>
      <c r="AI101" s="219">
        <v>1.506444881517493E-6</v>
      </c>
      <c r="AJ101" s="219">
        <v>1.5003410346702339E-6</v>
      </c>
      <c r="AK101" s="219">
        <v>1.496244407573205E-6</v>
      </c>
      <c r="AL101" s="219">
        <v>1.490417954752933E-6</v>
      </c>
      <c r="AM101" s="219">
        <v>1.484630886406638E-6</v>
      </c>
      <c r="AN101" s="219">
        <v>1.4785388279387609E-6</v>
      </c>
      <c r="AO101" s="219">
        <v>1.472496315194772E-6</v>
      </c>
      <c r="AP101" s="219">
        <v>1.4682894022696541E-6</v>
      </c>
      <c r="AQ101" s="219">
        <v>1.462412218776477E-6</v>
      </c>
      <c r="AR101" s="219">
        <v>1.4565708268106719E-6</v>
      </c>
      <c r="AS101" s="219">
        <v>1.450418532819998E-6</v>
      </c>
      <c r="AT101" s="219">
        <v>1.4443085309245719E-6</v>
      </c>
      <c r="AU101" s="219">
        <v>1.4399095078062259E-6</v>
      </c>
      <c r="AV101" s="219">
        <v>1.4339560452576021E-6</v>
      </c>
      <c r="AW101" s="219">
        <v>1.4280421286852991E-6</v>
      </c>
      <c r="AX101" s="219">
        <v>1.428254221998727E-6</v>
      </c>
      <c r="AY101" s="219">
        <v>1.424705992343395E-6</v>
      </c>
      <c r="AZ101" s="219">
        <v>1.421168847448169E-6</v>
      </c>
      <c r="BA101" s="219">
        <v>1.4176426125740861E-6</v>
      </c>
      <c r="BB101" s="219">
        <v>1.4141272359275451E-6</v>
      </c>
      <c r="BC101" s="33">
        <v>4.2383417753847494</v>
      </c>
      <c r="BD101" s="219">
        <v>4.2118869836141704</v>
      </c>
      <c r="BE101" s="219">
        <v>4.1852906123758258</v>
      </c>
      <c r="BF101" s="219">
        <v>4.0670356449249141</v>
      </c>
      <c r="BG101" s="219">
        <v>4.0411319746769188</v>
      </c>
      <c r="BH101" s="219">
        <v>4.0151162876801401</v>
      </c>
      <c r="BI101" s="219">
        <v>4.0004649778784218</v>
      </c>
      <c r="BJ101" s="219">
        <v>3.9857931908824189</v>
      </c>
      <c r="BK101" s="219">
        <v>3.9045808395996242</v>
      </c>
      <c r="BL101" s="219">
        <v>3.890877793471776</v>
      </c>
      <c r="BM101" s="219">
        <v>3.877158474649935</v>
      </c>
      <c r="BN101" s="219">
        <v>3.8606657209846582</v>
      </c>
      <c r="BO101" s="219">
        <v>3.8442224162880891</v>
      </c>
      <c r="BP101" s="219">
        <v>3.8075597865978259</v>
      </c>
      <c r="BQ101" s="219">
        <v>3.7916483908541712</v>
      </c>
      <c r="BR101" s="219">
        <v>3.7757739579643061</v>
      </c>
      <c r="BS101" s="219">
        <v>3.7524930078477352</v>
      </c>
      <c r="BT101" s="219">
        <v>3.7291999794710482</v>
      </c>
      <c r="BU101" s="219">
        <v>3.686871593772163</v>
      </c>
      <c r="BV101" s="219">
        <v>3.6638151820759308</v>
      </c>
      <c r="BW101" s="219">
        <v>3.6407275574701679</v>
      </c>
      <c r="BX101" s="219">
        <v>3.6322332570936799</v>
      </c>
      <c r="BY101" s="219">
        <v>3.6237559156182351</v>
      </c>
      <c r="BZ101" s="219">
        <v>3.6152906387816621</v>
      </c>
      <c r="CA101" s="219">
        <v>3.6068373150242472</v>
      </c>
      <c r="CB101" s="219">
        <v>3.59839596347478</v>
      </c>
      <c r="CC101" s="33">
        <v>19.600124646928531</v>
      </c>
      <c r="CD101" s="219">
        <v>19.1283383684145</v>
      </c>
      <c r="CE101" s="219">
        <v>18.657616138218032</v>
      </c>
      <c r="CF101" s="219">
        <v>17.633117302462988</v>
      </c>
      <c r="CG101" s="219">
        <v>17.17777007205849</v>
      </c>
      <c r="CH101" s="219">
        <v>16.723095741368031</v>
      </c>
      <c r="CI101" s="219">
        <v>16.428026844376721</v>
      </c>
      <c r="CJ101" s="219">
        <v>16.134929908031651</v>
      </c>
      <c r="CK101" s="219">
        <v>15.49242051867499</v>
      </c>
      <c r="CL101" s="219">
        <v>15.212498132009349</v>
      </c>
      <c r="CM101" s="219">
        <v>14.934342080007781</v>
      </c>
      <c r="CN101" s="219">
        <v>14.624273168748809</v>
      </c>
      <c r="CO101" s="219">
        <v>14.31653058489694</v>
      </c>
      <c r="CP101" s="219">
        <v>13.91369340005286</v>
      </c>
      <c r="CQ101" s="219">
        <v>13.614335467001039</v>
      </c>
      <c r="CR101" s="219">
        <v>13.31701495941391</v>
      </c>
      <c r="CS101" s="219">
        <v>13.026503961372059</v>
      </c>
      <c r="CT101" s="219">
        <v>12.738230476939099</v>
      </c>
      <c r="CU101" s="219">
        <v>12.39010141985181</v>
      </c>
      <c r="CV101" s="219">
        <v>12.109691528413739</v>
      </c>
      <c r="CW101" s="219">
        <v>11.8313688772836</v>
      </c>
      <c r="CX101" s="219">
        <v>11.73848248088014</v>
      </c>
      <c r="CY101" s="219">
        <v>11.569941298479581</v>
      </c>
      <c r="CZ101" s="219">
        <v>11.40195275195434</v>
      </c>
      <c r="DA101" s="219">
        <v>11.234513250129609</v>
      </c>
      <c r="DB101" s="219">
        <v>11.06762017233058</v>
      </c>
    </row>
    <row r="102" spans="1:106" x14ac:dyDescent="0.35">
      <c r="A102" s="137" t="s">
        <v>559</v>
      </c>
      <c r="B102" s="130" t="s">
        <v>545</v>
      </c>
      <c r="C102" s="33">
        <v>2.08544511630947E-2</v>
      </c>
      <c r="D102" s="219">
        <v>2.0763731612602889E-2</v>
      </c>
      <c r="E102" s="219">
        <v>2.0673256471976331E-2</v>
      </c>
      <c r="F102" s="219">
        <v>2.0584769267108439E-2</v>
      </c>
      <c r="G102" s="219">
        <v>2.0493695358126889E-2</v>
      </c>
      <c r="H102" s="219">
        <v>2.040394996043229E-2</v>
      </c>
      <c r="I102" s="219">
        <v>2.0352493283188229E-2</v>
      </c>
      <c r="J102" s="219">
        <v>2.0303107507257879E-2</v>
      </c>
      <c r="K102" s="219">
        <v>2.0262612442467829E-2</v>
      </c>
      <c r="L102" s="219">
        <v>2.0216466538298079E-2</v>
      </c>
      <c r="M102" s="219">
        <v>2.017157392056235E-2</v>
      </c>
      <c r="N102" s="219">
        <v>2.0120995247833749E-2</v>
      </c>
      <c r="O102" s="219">
        <v>2.0071861899331411E-2</v>
      </c>
      <c r="P102" s="219">
        <v>2.0028869223698519E-2</v>
      </c>
      <c r="Q102" s="219">
        <v>1.9981751129069251E-2</v>
      </c>
      <c r="R102" s="219">
        <v>1.9935325717672241E-2</v>
      </c>
      <c r="S102" s="219">
        <v>1.989648056661298E-2</v>
      </c>
      <c r="T102" s="219">
        <v>1.9857844000198011E-2</v>
      </c>
      <c r="U102" s="219">
        <v>1.9822743000884512E-2</v>
      </c>
      <c r="V102" s="219">
        <v>1.9784506987104981E-2</v>
      </c>
      <c r="W102" s="219">
        <v>1.974646402173846E-2</v>
      </c>
      <c r="X102" s="219">
        <v>1.9733376920418131E-2</v>
      </c>
      <c r="Y102" s="219">
        <v>1.9715634132653901E-2</v>
      </c>
      <c r="Z102" s="219">
        <v>1.9697930257037491E-2</v>
      </c>
      <c r="AA102" s="219">
        <v>1.9680264053241539E-2</v>
      </c>
      <c r="AB102" s="219">
        <v>1.9662636499596289E-2</v>
      </c>
      <c r="AC102" s="33">
        <v>1.386360205670554E-5</v>
      </c>
      <c r="AD102" s="219">
        <v>1.369497976135637E-5</v>
      </c>
      <c r="AE102" s="219">
        <v>1.3526611780268999E-5</v>
      </c>
      <c r="AF102" s="219">
        <v>1.3352701951552481E-5</v>
      </c>
      <c r="AG102" s="219">
        <v>1.318426580796744E-5</v>
      </c>
      <c r="AH102" s="219">
        <v>1.3016919296625069E-5</v>
      </c>
      <c r="AI102" s="219">
        <v>1.291605158762018E-5</v>
      </c>
      <c r="AJ102" s="219">
        <v>1.2815760776113139E-5</v>
      </c>
      <c r="AK102" s="219">
        <v>1.2717642127363409E-5</v>
      </c>
      <c r="AL102" s="219">
        <v>1.2618553829957599E-5</v>
      </c>
      <c r="AM102" s="219">
        <v>1.252004923960363E-5</v>
      </c>
      <c r="AN102" s="219">
        <v>1.239932157239477E-5</v>
      </c>
      <c r="AO102" s="219">
        <v>1.2279374226729011E-5</v>
      </c>
      <c r="AP102" s="219">
        <v>1.2162169574728371E-5</v>
      </c>
      <c r="AQ102" s="219">
        <v>1.204365704630453E-5</v>
      </c>
      <c r="AR102" s="219">
        <v>1.1925794294701701E-5</v>
      </c>
      <c r="AS102" s="219">
        <v>1.18053058025023E-5</v>
      </c>
      <c r="AT102" s="219">
        <v>1.168553121947552E-5</v>
      </c>
      <c r="AU102" s="219">
        <v>1.1568310164566501E-5</v>
      </c>
      <c r="AV102" s="219">
        <v>1.144999167397298E-5</v>
      </c>
      <c r="AW102" s="219">
        <v>1.133235412880634E-5</v>
      </c>
      <c r="AX102" s="219">
        <v>1.127653591565026E-5</v>
      </c>
      <c r="AY102" s="219">
        <v>1.120968108967312E-5</v>
      </c>
      <c r="AZ102" s="219">
        <v>1.114293178282863E-5</v>
      </c>
      <c r="BA102" s="219">
        <v>1.1076286322649199E-5</v>
      </c>
      <c r="BB102" s="219">
        <v>1.100974426052732E-5</v>
      </c>
      <c r="BC102" s="33">
        <v>35.558732909352599</v>
      </c>
      <c r="BD102" s="219">
        <v>35.125499963951484</v>
      </c>
      <c r="BE102" s="219">
        <v>34.690122208802691</v>
      </c>
      <c r="BF102" s="219">
        <v>34.202999213702441</v>
      </c>
      <c r="BG102" s="219">
        <v>33.762659861318589</v>
      </c>
      <c r="BH102" s="219">
        <v>33.32132901546909</v>
      </c>
      <c r="BI102" s="219">
        <v>33.012167507765888</v>
      </c>
      <c r="BJ102" s="219">
        <v>32.703236434002079</v>
      </c>
      <c r="BK102" s="219">
        <v>32.357284929784839</v>
      </c>
      <c r="BL102" s="219">
        <v>32.048615342587233</v>
      </c>
      <c r="BM102" s="219">
        <v>31.74021155414118</v>
      </c>
      <c r="BN102" s="219">
        <v>31.382257946666741</v>
      </c>
      <c r="BO102" s="219">
        <v>31.02523412932678</v>
      </c>
      <c r="BP102" s="219">
        <v>30.657665345040598</v>
      </c>
      <c r="BQ102" s="219">
        <v>30.302405501886561</v>
      </c>
      <c r="BR102" s="219">
        <v>29.94794587132489</v>
      </c>
      <c r="BS102" s="219">
        <v>29.499128298546339</v>
      </c>
      <c r="BT102" s="219">
        <v>29.049530189306051</v>
      </c>
      <c r="BU102" s="219">
        <v>28.587564133137761</v>
      </c>
      <c r="BV102" s="219">
        <v>28.136406234029891</v>
      </c>
      <c r="BW102" s="219">
        <v>27.684299997277929</v>
      </c>
      <c r="BX102" s="219">
        <v>27.517591470805261</v>
      </c>
      <c r="BY102" s="219">
        <v>27.350905487943979</v>
      </c>
      <c r="BZ102" s="219">
        <v>27.184189616732841</v>
      </c>
      <c r="CA102" s="219">
        <v>27.017443063191141</v>
      </c>
      <c r="CB102" s="219">
        <v>26.850666279119348</v>
      </c>
      <c r="CC102" s="33">
        <v>222.62027875062671</v>
      </c>
      <c r="CD102" s="219">
        <v>215.34871916524449</v>
      </c>
      <c r="CE102" s="219">
        <v>208.10390758320099</v>
      </c>
      <c r="CF102" s="219">
        <v>200.5746054945466</v>
      </c>
      <c r="CG102" s="219">
        <v>193.36870941424709</v>
      </c>
      <c r="CH102" s="219">
        <v>186.20206658513399</v>
      </c>
      <c r="CI102" s="219">
        <v>181.26538422243951</v>
      </c>
      <c r="CJ102" s="219">
        <v>176.3577770016386</v>
      </c>
      <c r="CK102" s="219">
        <v>171.28468857477631</v>
      </c>
      <c r="CL102" s="219">
        <v>166.43413568720629</v>
      </c>
      <c r="CM102" s="219">
        <v>161.61215496635961</v>
      </c>
      <c r="CN102" s="219">
        <v>155.784761181763</v>
      </c>
      <c r="CO102" s="219">
        <v>149.99694929956831</v>
      </c>
      <c r="CP102" s="219">
        <v>144.19256253858489</v>
      </c>
      <c r="CQ102" s="219">
        <v>138.48123984003689</v>
      </c>
      <c r="CR102" s="219">
        <v>132.8065415373263</v>
      </c>
      <c r="CS102" s="219">
        <v>126.9929236296735</v>
      </c>
      <c r="CT102" s="219">
        <v>121.2175393257198</v>
      </c>
      <c r="CU102" s="219">
        <v>115.43974557421591</v>
      </c>
      <c r="CV102" s="219">
        <v>109.74101692492511</v>
      </c>
      <c r="CW102" s="219">
        <v>104.0786971113582</v>
      </c>
      <c r="CX102" s="219">
        <v>100.9389781817043</v>
      </c>
      <c r="CY102" s="219">
        <v>97.79295584475544</v>
      </c>
      <c r="CZ102" s="219">
        <v>94.652039968208754</v>
      </c>
      <c r="DA102" s="219">
        <v>91.516200064018605</v>
      </c>
      <c r="DB102" s="219">
        <v>88.3854121971018</v>
      </c>
    </row>
    <row r="103" spans="1:106" x14ac:dyDescent="0.35">
      <c r="A103" s="137" t="s">
        <v>560</v>
      </c>
      <c r="B103" s="130" t="s">
        <v>547</v>
      </c>
      <c r="C103" s="33">
        <v>7.1947260320033143E-7</v>
      </c>
      <c r="D103" s="219">
        <v>7.1870020423454607E-7</v>
      </c>
      <c r="E103" s="219">
        <v>7.1792603972872992E-7</v>
      </c>
      <c r="F103" s="219">
        <v>7.1841168519138456E-7</v>
      </c>
      <c r="G103" s="219">
        <v>7.176190265871013E-7</v>
      </c>
      <c r="H103" s="219">
        <v>7.1682113622088499E-7</v>
      </c>
      <c r="I103" s="219">
        <v>7.1631197236284006E-7</v>
      </c>
      <c r="J103" s="219">
        <v>7.1583527528139562E-7</v>
      </c>
      <c r="K103" s="219">
        <v>7.1721497440134474E-7</v>
      </c>
      <c r="L103" s="219">
        <v>7.1680303311680516E-7</v>
      </c>
      <c r="M103" s="219">
        <v>7.1640927260581183E-7</v>
      </c>
      <c r="N103" s="219">
        <v>7.1608629376422261E-7</v>
      </c>
      <c r="O103" s="219">
        <v>7.1578483724423765E-7</v>
      </c>
      <c r="P103" s="219">
        <v>7.1641113216230906E-7</v>
      </c>
      <c r="Q103" s="219">
        <v>7.1614358890523157E-7</v>
      </c>
      <c r="R103" s="219">
        <v>7.1588556269510238E-7</v>
      </c>
      <c r="S103" s="219">
        <v>7.1574340371748178E-7</v>
      </c>
      <c r="T103" s="219">
        <v>7.1560398907218801E-7</v>
      </c>
      <c r="U103" s="219">
        <v>7.1592097673058801E-7</v>
      </c>
      <c r="V103" s="219">
        <v>7.1578914294676239E-7</v>
      </c>
      <c r="W103" s="219">
        <v>7.1566012233216742E-7</v>
      </c>
      <c r="X103" s="219">
        <v>7.1562687758869368E-7</v>
      </c>
      <c r="Y103" s="219">
        <v>7.155510417896374E-7</v>
      </c>
      <c r="Z103" s="219">
        <v>7.1547655997609733E-7</v>
      </c>
      <c r="AA103" s="219">
        <v>7.1540342543945403E-7</v>
      </c>
      <c r="AB103" s="219">
        <v>7.1533165470306499E-7</v>
      </c>
      <c r="AC103" s="33">
        <v>6.6478260294473171E-10</v>
      </c>
      <c r="AD103" s="219">
        <v>6.6342105412690964E-10</v>
      </c>
      <c r="AE103" s="219">
        <v>6.6205502744375969E-10</v>
      </c>
      <c r="AF103" s="219">
        <v>6.5945534366859993E-10</v>
      </c>
      <c r="AG103" s="219">
        <v>6.5811599660229904E-10</v>
      </c>
      <c r="AH103" s="219">
        <v>6.5677145307230321E-10</v>
      </c>
      <c r="AI103" s="219">
        <v>6.5596140471694917E-10</v>
      </c>
      <c r="AJ103" s="219">
        <v>6.5515650760621831E-10</v>
      </c>
      <c r="AK103" s="219">
        <v>6.5468337425107398E-10</v>
      </c>
      <c r="AL103" s="219">
        <v>6.5391888983334003E-10</v>
      </c>
      <c r="AM103" s="219">
        <v>6.5315953626548174E-10</v>
      </c>
      <c r="AN103" s="219">
        <v>6.5241419654723058E-10</v>
      </c>
      <c r="AO103" s="219">
        <v>6.5167627824991572E-10</v>
      </c>
      <c r="AP103" s="219">
        <v>6.5125397731911275E-10</v>
      </c>
      <c r="AQ103" s="219">
        <v>6.5054133088409564E-10</v>
      </c>
      <c r="AR103" s="219">
        <v>6.4983414905755208E-10</v>
      </c>
      <c r="AS103" s="219">
        <v>6.4928236953899598E-10</v>
      </c>
      <c r="AT103" s="219">
        <v>6.4873841139638419E-10</v>
      </c>
      <c r="AU103" s="219">
        <v>6.4848468567346616E-10</v>
      </c>
      <c r="AV103" s="219">
        <v>6.4796706417074703E-10</v>
      </c>
      <c r="AW103" s="219">
        <v>6.4745664405267885E-10</v>
      </c>
      <c r="AX103" s="219">
        <v>6.4709342179823835E-10</v>
      </c>
      <c r="AY103" s="219">
        <v>6.4664823951574795E-10</v>
      </c>
      <c r="AZ103" s="219">
        <v>6.4620765537164561E-10</v>
      </c>
      <c r="BA103" s="219">
        <v>6.4577164767378515E-10</v>
      </c>
      <c r="BB103" s="219">
        <v>6.4534020821340265E-10</v>
      </c>
      <c r="BC103" s="33">
        <v>5.7531806026612641E-4</v>
      </c>
      <c r="BD103" s="219">
        <v>5.7223547371966228E-4</v>
      </c>
      <c r="BE103" s="219">
        <v>5.6913434856339701E-4</v>
      </c>
      <c r="BF103" s="219">
        <v>5.5199359094595263E-4</v>
      </c>
      <c r="BG103" s="219">
        <v>5.4900982452913717E-4</v>
      </c>
      <c r="BH103" s="219">
        <v>5.4601101249397341E-4</v>
      </c>
      <c r="BI103" s="219">
        <v>5.437743770621118E-4</v>
      </c>
      <c r="BJ103" s="219">
        <v>5.4153219437016347E-4</v>
      </c>
      <c r="BK103" s="219">
        <v>5.292483600351605E-4</v>
      </c>
      <c r="BL103" s="219">
        <v>5.2714801156632371E-4</v>
      </c>
      <c r="BM103" s="219">
        <v>5.250425598830481E-4</v>
      </c>
      <c r="BN103" s="219">
        <v>5.226071021828463E-4</v>
      </c>
      <c r="BO103" s="219">
        <v>5.201807509459766E-4</v>
      </c>
      <c r="BP103" s="219">
        <v>5.1471529866686989E-4</v>
      </c>
      <c r="BQ103" s="219">
        <v>5.1237435318126376E-4</v>
      </c>
      <c r="BR103" s="219">
        <v>5.1004093964397777E-4</v>
      </c>
      <c r="BS103" s="219">
        <v>5.0776736191993901E-4</v>
      </c>
      <c r="BT103" s="219">
        <v>5.0550586894097804E-4</v>
      </c>
      <c r="BU103" s="219">
        <v>5.0039451965497371E-4</v>
      </c>
      <c r="BV103" s="219">
        <v>4.9819680503582274E-4</v>
      </c>
      <c r="BW103" s="219">
        <v>4.9600519946297055E-4</v>
      </c>
      <c r="BX103" s="219">
        <v>4.9491118461043599E-4</v>
      </c>
      <c r="BY103" s="219">
        <v>4.9382762579194589E-4</v>
      </c>
      <c r="BZ103" s="219">
        <v>4.9275401385607729E-4</v>
      </c>
      <c r="CA103" s="219">
        <v>4.9169034518989601E-4</v>
      </c>
      <c r="CB103" s="219">
        <v>4.9063663092569604E-4</v>
      </c>
      <c r="CC103" s="33">
        <v>8.5397333038434633E-3</v>
      </c>
      <c r="CD103" s="219">
        <v>8.4825193968279412E-3</v>
      </c>
      <c r="CE103" s="219">
        <v>8.4253262657995875E-3</v>
      </c>
      <c r="CF103" s="219">
        <v>8.282977768784533E-3</v>
      </c>
      <c r="CG103" s="219">
        <v>8.2279409865914782E-3</v>
      </c>
      <c r="CH103" s="219">
        <v>8.1728602460742622E-3</v>
      </c>
      <c r="CI103" s="219">
        <v>8.1317074499248753E-3</v>
      </c>
      <c r="CJ103" s="219">
        <v>8.0908222610011089E-3</v>
      </c>
      <c r="CK103" s="219">
        <v>7.997371079821864E-3</v>
      </c>
      <c r="CL103" s="219">
        <v>7.9584548283981801E-3</v>
      </c>
      <c r="CM103" s="219">
        <v>7.919791579190677E-3</v>
      </c>
      <c r="CN103" s="219">
        <v>7.881424691816576E-3</v>
      </c>
      <c r="CO103" s="219">
        <v>7.8434295827558894E-3</v>
      </c>
      <c r="CP103" s="219">
        <v>7.7911352887141674E-3</v>
      </c>
      <c r="CQ103" s="219">
        <v>7.7544561725790238E-3</v>
      </c>
      <c r="CR103" s="219">
        <v>7.7181103585101636E-3</v>
      </c>
      <c r="CS103" s="219">
        <v>7.6912852244253628E-3</v>
      </c>
      <c r="CT103" s="219">
        <v>7.664864388506447E-3</v>
      </c>
      <c r="CU103" s="219">
        <v>7.6293849938064567E-3</v>
      </c>
      <c r="CV103" s="219">
        <v>7.6042847336994339E-3</v>
      </c>
      <c r="CW103" s="219">
        <v>7.5795573721664754E-3</v>
      </c>
      <c r="CX103" s="219">
        <v>7.5578008355173766E-3</v>
      </c>
      <c r="CY103" s="219">
        <v>7.5362381681607126E-3</v>
      </c>
      <c r="CZ103" s="219">
        <v>7.5149112034055086E-3</v>
      </c>
      <c r="DA103" s="219">
        <v>7.4938193238863766E-3</v>
      </c>
      <c r="DB103" s="219">
        <v>7.4729620314375996E-3</v>
      </c>
    </row>
    <row r="104" spans="1:106" x14ac:dyDescent="0.35">
      <c r="A104" s="137" t="s">
        <v>561</v>
      </c>
      <c r="B104" s="130" t="s">
        <v>705</v>
      </c>
      <c r="C104" s="33">
        <v>0.13898838933965599</v>
      </c>
      <c r="D104" s="219">
        <v>0.138474787879075</v>
      </c>
      <c r="E104" s="219">
        <v>0.13795150681679641</v>
      </c>
      <c r="F104" s="219">
        <v>0.13744187952975451</v>
      </c>
      <c r="G104" s="219">
        <v>0.1368939635941302</v>
      </c>
      <c r="H104" s="219">
        <v>0.13633199563582901</v>
      </c>
      <c r="I104" s="219">
        <v>0.13624222837857081</v>
      </c>
      <c r="J104" s="219">
        <v>0.13615693040566229</v>
      </c>
      <c r="K104" s="219">
        <v>0.13616385284423879</v>
      </c>
      <c r="L104" s="219">
        <v>0.1360862547056324</v>
      </c>
      <c r="M104" s="219">
        <v>0.13601125441888631</v>
      </c>
      <c r="N104" s="219">
        <v>0.13605295891303071</v>
      </c>
      <c r="O104" s="219">
        <v>0.13609653546799161</v>
      </c>
      <c r="P104" s="219">
        <v>0.13620038443855961</v>
      </c>
      <c r="Q104" s="219">
        <v>0.13624614228801521</v>
      </c>
      <c r="R104" s="219">
        <v>0.13629232675839831</v>
      </c>
      <c r="S104" s="219">
        <v>0.13627737653284691</v>
      </c>
      <c r="T104" s="219">
        <v>0.13626275890918199</v>
      </c>
      <c r="U104" s="219">
        <v>0.1362868893052214</v>
      </c>
      <c r="V104" s="219">
        <v>0.13627297235069449</v>
      </c>
      <c r="W104" s="219">
        <v>0.13625938225509571</v>
      </c>
      <c r="X104" s="219">
        <v>0.1362693875750155</v>
      </c>
      <c r="Y104" s="219">
        <v>0.13626901103046121</v>
      </c>
      <c r="Z104" s="219">
        <v>0.1362686005427251</v>
      </c>
      <c r="AA104" s="219">
        <v>0.13626815075790319</v>
      </c>
      <c r="AB104" s="219">
        <v>0.136267667384462</v>
      </c>
      <c r="AC104" s="33">
        <v>8.7945321917406969E-5</v>
      </c>
      <c r="AD104" s="219">
        <v>8.7360235411899532E-5</v>
      </c>
      <c r="AE104" s="219">
        <v>8.6765503824792284E-5</v>
      </c>
      <c r="AF104" s="219">
        <v>8.6080196213763786E-5</v>
      </c>
      <c r="AG104" s="219">
        <v>8.5464054794002432E-5</v>
      </c>
      <c r="AH104" s="219">
        <v>8.4834713089503808E-5</v>
      </c>
      <c r="AI104" s="219">
        <v>8.4701027712607356E-5</v>
      </c>
      <c r="AJ104" s="219">
        <v>8.4568621138586455E-5</v>
      </c>
      <c r="AK104" s="219">
        <v>8.4458761190899453E-5</v>
      </c>
      <c r="AL104" s="219">
        <v>8.4330044138947001E-5</v>
      </c>
      <c r="AM104" s="219">
        <v>8.4202367591460354E-5</v>
      </c>
      <c r="AN104" s="219">
        <v>8.4187554397060824E-5</v>
      </c>
      <c r="AO104" s="219">
        <v>8.4172574646746671E-5</v>
      </c>
      <c r="AP104" s="219">
        <v>8.4180254077178415E-5</v>
      </c>
      <c r="AQ104" s="219">
        <v>8.4165188620623885E-5</v>
      </c>
      <c r="AR104" s="219">
        <v>8.4149742944760532E-5</v>
      </c>
      <c r="AS104" s="219">
        <v>8.4100171097197348E-5</v>
      </c>
      <c r="AT104" s="219">
        <v>8.4051075894570141E-5</v>
      </c>
      <c r="AU104" s="219">
        <v>8.4022324846170663E-5</v>
      </c>
      <c r="AV104" s="219">
        <v>8.3974643200084739E-5</v>
      </c>
      <c r="AW104" s="219">
        <v>8.3927396701806331E-5</v>
      </c>
      <c r="AX104" s="219">
        <v>8.3912901277463149E-5</v>
      </c>
      <c r="AY104" s="219">
        <v>8.388285103802466E-5</v>
      </c>
      <c r="AZ104" s="219">
        <v>8.3852901737358851E-5</v>
      </c>
      <c r="BA104" s="219">
        <v>8.3823048059039279E-5</v>
      </c>
      <c r="BB104" s="219">
        <v>8.3793290798512171E-5</v>
      </c>
      <c r="BC104" s="33">
        <v>114.3683807366764</v>
      </c>
      <c r="BD104" s="219">
        <v>114.0017039751709</v>
      </c>
      <c r="BE104" s="219">
        <v>113.6289420981055</v>
      </c>
      <c r="BF104" s="219">
        <v>112.5935013842018</v>
      </c>
      <c r="BG104" s="219">
        <v>112.21447205134019</v>
      </c>
      <c r="BH104" s="219">
        <v>111.8279247721663</v>
      </c>
      <c r="BI104" s="219">
        <v>112.32417693968689</v>
      </c>
      <c r="BJ104" s="219">
        <v>112.8105214019901</v>
      </c>
      <c r="BK104" s="219">
        <v>112.8515245628945</v>
      </c>
      <c r="BL104" s="219">
        <v>113.32500088396689</v>
      </c>
      <c r="BM104" s="219">
        <v>113.78920751582319</v>
      </c>
      <c r="BN104" s="219">
        <v>113.7575356663548</v>
      </c>
      <c r="BO104" s="219">
        <v>113.72581624339961</v>
      </c>
      <c r="BP104" s="219">
        <v>113.5646941347681</v>
      </c>
      <c r="BQ104" s="219">
        <v>113.53587591421029</v>
      </c>
      <c r="BR104" s="219">
        <v>113.5067955292801</v>
      </c>
      <c r="BS104" s="219">
        <v>113.1631040623593</v>
      </c>
      <c r="BT104" s="219">
        <v>112.821248289135</v>
      </c>
      <c r="BU104" s="219">
        <v>112.3594591286536</v>
      </c>
      <c r="BV104" s="219">
        <v>112.0229508624944</v>
      </c>
      <c r="BW104" s="219">
        <v>111.6876654012725</v>
      </c>
      <c r="BX104" s="219">
        <v>111.6217687079732</v>
      </c>
      <c r="BY104" s="219">
        <v>111.5564699160188</v>
      </c>
      <c r="BZ104" s="219">
        <v>111.4915057401156</v>
      </c>
      <c r="CA104" s="219">
        <v>111.42686667692951</v>
      </c>
      <c r="CB104" s="219">
        <v>111.3625496714055</v>
      </c>
      <c r="CC104" s="33">
        <v>836.15304835919005</v>
      </c>
      <c r="CD104" s="219">
        <v>817.78336582813949</v>
      </c>
      <c r="CE104" s="219">
        <v>799.19133391986463</v>
      </c>
      <c r="CF104" s="219">
        <v>776.29424088243638</v>
      </c>
      <c r="CG104" s="219">
        <v>757.23308494772095</v>
      </c>
      <c r="CH104" s="219">
        <v>737.84508987127867</v>
      </c>
      <c r="CI104" s="219">
        <v>732.22544703005042</v>
      </c>
      <c r="CJ104" s="219">
        <v>726.67207094534535</v>
      </c>
      <c r="CK104" s="219">
        <v>718.92674995060656</v>
      </c>
      <c r="CL104" s="219">
        <v>713.55013307811748</v>
      </c>
      <c r="CM104" s="219">
        <v>708.22503611488571</v>
      </c>
      <c r="CN104" s="219">
        <v>706.57775070944831</v>
      </c>
      <c r="CO104" s="219">
        <v>704.9299374269367</v>
      </c>
      <c r="CP104" s="219">
        <v>702.65416710120769</v>
      </c>
      <c r="CQ104" s="219">
        <v>701.02633944713705</v>
      </c>
      <c r="CR104" s="219">
        <v>699.39372002031462</v>
      </c>
      <c r="CS104" s="219">
        <v>697.61471991921735</v>
      </c>
      <c r="CT104" s="219">
        <v>695.8546407020857</v>
      </c>
      <c r="CU104" s="219">
        <v>693.68200539906138</v>
      </c>
      <c r="CV104" s="219">
        <v>691.98224148303984</v>
      </c>
      <c r="CW104" s="219">
        <v>690.29879714395975</v>
      </c>
      <c r="CX104" s="219">
        <v>688.82780991828383</v>
      </c>
      <c r="CY104" s="219">
        <v>687.34128868081211</v>
      </c>
      <c r="CZ104" s="219">
        <v>685.86168833886018</v>
      </c>
      <c r="DA104" s="219">
        <v>684.38892527547046</v>
      </c>
      <c r="DB104" s="219">
        <v>682.92294868662032</v>
      </c>
    </row>
    <row r="105" spans="1:106" x14ac:dyDescent="0.35">
      <c r="A105" s="137" t="s">
        <v>562</v>
      </c>
      <c r="B105" s="130" t="s">
        <v>547</v>
      </c>
      <c r="C105" s="33">
        <v>2.4178093877955469E-3</v>
      </c>
      <c r="D105" s="219">
        <v>2.3705729033863419E-3</v>
      </c>
      <c r="E105" s="219">
        <v>2.3233720055531519E-3</v>
      </c>
      <c r="F105" s="219">
        <v>2.2765552006383028E-3</v>
      </c>
      <c r="G105" s="219">
        <v>2.2293692659926031E-3</v>
      </c>
      <c r="H105" s="219">
        <v>2.1821871908375601E-3</v>
      </c>
      <c r="I105" s="219">
        <v>2.183328752610379E-3</v>
      </c>
      <c r="J105" s="219">
        <v>2.1844547262716641E-3</v>
      </c>
      <c r="K105" s="219">
        <v>2.186197885807338E-3</v>
      </c>
      <c r="L105" s="219">
        <v>2.1872848466727821E-3</v>
      </c>
      <c r="M105" s="219">
        <v>2.18832497646899E-3</v>
      </c>
      <c r="N105" s="219">
        <v>2.184155792129805E-3</v>
      </c>
      <c r="O105" s="219">
        <v>2.1800506941521088E-3</v>
      </c>
      <c r="P105" s="219">
        <v>2.1764066730740861E-3</v>
      </c>
      <c r="Q105" s="219">
        <v>2.1723706665984091E-3</v>
      </c>
      <c r="R105" s="219">
        <v>2.168354580811029E-3</v>
      </c>
      <c r="S105" s="219">
        <v>2.1706061947816841E-3</v>
      </c>
      <c r="T105" s="219">
        <v>2.1728945931437202E-3</v>
      </c>
      <c r="U105" s="219">
        <v>2.17548750470752E-3</v>
      </c>
      <c r="V105" s="219">
        <v>2.177852629463648E-3</v>
      </c>
      <c r="W105" s="219">
        <v>2.1802574197248531E-3</v>
      </c>
      <c r="X105" s="219">
        <v>2.181714576836215E-3</v>
      </c>
      <c r="Y105" s="219">
        <v>2.1829169710501409E-3</v>
      </c>
      <c r="Z105" s="219">
        <v>2.1841282227465422E-3</v>
      </c>
      <c r="AA105" s="219">
        <v>2.1853442335682399E-3</v>
      </c>
      <c r="AB105" s="219">
        <v>2.1865650967011672E-3</v>
      </c>
      <c r="AC105" s="33">
        <v>1.4560845252197081E-6</v>
      </c>
      <c r="AD105" s="219">
        <v>1.401746889309807E-6</v>
      </c>
      <c r="AE105" s="219">
        <v>1.347595258097608E-6</v>
      </c>
      <c r="AF105" s="219">
        <v>1.2933355007612719E-6</v>
      </c>
      <c r="AG105" s="219">
        <v>1.2395062622680859E-6</v>
      </c>
      <c r="AH105" s="219">
        <v>1.185834295987205E-6</v>
      </c>
      <c r="AI105" s="219">
        <v>1.177106058521759E-6</v>
      </c>
      <c r="AJ105" s="219">
        <v>1.16833943721544E-6</v>
      </c>
      <c r="AK105" s="219">
        <v>1.1596524185093331E-6</v>
      </c>
      <c r="AL105" s="219">
        <v>1.1508263612706489E-6</v>
      </c>
      <c r="AM105" s="219">
        <v>1.141964847306081E-6</v>
      </c>
      <c r="AN105" s="219">
        <v>1.133380361355944E-6</v>
      </c>
      <c r="AO105" s="219">
        <v>1.124802198269645E-6</v>
      </c>
      <c r="AP105" s="219">
        <v>1.116452465502024E-6</v>
      </c>
      <c r="AQ105" s="219">
        <v>1.1078701049525499E-6</v>
      </c>
      <c r="AR105" s="219">
        <v>1.099285088707221E-6</v>
      </c>
      <c r="AS105" s="219">
        <v>1.0901691646877621E-6</v>
      </c>
      <c r="AT105" s="219">
        <v>1.081053784874311E-6</v>
      </c>
      <c r="AU105" s="219">
        <v>1.072136947078792E-6</v>
      </c>
      <c r="AV105" s="219">
        <v>1.063027724323607E-6</v>
      </c>
      <c r="AW105" s="219">
        <v>1.0539194848440001E-6</v>
      </c>
      <c r="AX105" s="219">
        <v>1.0476727799141969E-6</v>
      </c>
      <c r="AY105" s="219">
        <v>1.0406991524002319E-6</v>
      </c>
      <c r="AZ105" s="219">
        <v>1.0337310314103419E-6</v>
      </c>
      <c r="BA105" s="219">
        <v>1.0267660315129621E-6</v>
      </c>
      <c r="BB105" s="219">
        <v>1.019804073453951E-6</v>
      </c>
      <c r="BC105" s="33">
        <v>1.2302041989163439</v>
      </c>
      <c r="BD105" s="219">
        <v>1.13168355221741</v>
      </c>
      <c r="BE105" s="219">
        <v>1.0331054666246491</v>
      </c>
      <c r="BF105" s="219">
        <v>0.9299562155029546</v>
      </c>
      <c r="BG105" s="219">
        <v>0.83111714201283893</v>
      </c>
      <c r="BH105" s="219">
        <v>0.73223729729510068</v>
      </c>
      <c r="BI105" s="219">
        <v>0.83884832308648705</v>
      </c>
      <c r="BJ105" s="219">
        <v>0.9447192033282833</v>
      </c>
      <c r="BK105" s="219">
        <v>1.0454458438611429</v>
      </c>
      <c r="BL105" s="219">
        <v>1.1497113745009231</v>
      </c>
      <c r="BM105" s="219">
        <v>1.253262553775311</v>
      </c>
      <c r="BN105" s="219">
        <v>1.3853033504075449</v>
      </c>
      <c r="BO105" s="219">
        <v>1.517142805666696</v>
      </c>
      <c r="BP105" s="219">
        <v>1.647782457633767</v>
      </c>
      <c r="BQ105" s="219">
        <v>1.779241906952733</v>
      </c>
      <c r="BR105" s="219">
        <v>1.9104942820341411</v>
      </c>
      <c r="BS105" s="219">
        <v>1.870138747103258</v>
      </c>
      <c r="BT105" s="219">
        <v>1.8296112950715191</v>
      </c>
      <c r="BU105" s="219">
        <v>1.787999375532108</v>
      </c>
      <c r="BV105" s="219">
        <v>1.7471474341677851</v>
      </c>
      <c r="BW105" s="219">
        <v>1.7061144881674</v>
      </c>
      <c r="BX105" s="219">
        <v>1.704121454043537</v>
      </c>
      <c r="BY105" s="219">
        <v>1.7022157063326191</v>
      </c>
      <c r="BZ105" s="219">
        <v>1.7002960896366901</v>
      </c>
      <c r="CA105" s="219">
        <v>1.6983604940899739</v>
      </c>
      <c r="CB105" s="219">
        <v>1.6964091794016669</v>
      </c>
      <c r="CC105" s="33">
        <v>10.641787738722631</v>
      </c>
      <c r="CD105" s="219">
        <v>8.8770150060663671</v>
      </c>
      <c r="CE105" s="219">
        <v>7.1228289419117568</v>
      </c>
      <c r="CF105" s="219">
        <v>5.3514476616068762</v>
      </c>
      <c r="CG105" s="219">
        <v>3.616110433195467</v>
      </c>
      <c r="CH105" s="219">
        <v>1.8900900792195161</v>
      </c>
      <c r="CI105" s="219">
        <v>1.358220820670111</v>
      </c>
      <c r="CJ105" s="219">
        <v>0.82645308146514984</v>
      </c>
      <c r="CK105" s="219">
        <v>0.27178799907393408</v>
      </c>
      <c r="CL105" s="219">
        <v>-0.26038868515217201</v>
      </c>
      <c r="CM105" s="219">
        <v>-0.7925146775825932</v>
      </c>
      <c r="CN105" s="219">
        <v>-1.122046290666368</v>
      </c>
      <c r="CO105" s="219">
        <v>-1.4511796913305719</v>
      </c>
      <c r="CP105" s="219">
        <v>-1.784238384313507</v>
      </c>
      <c r="CQ105" s="219">
        <v>-2.1125293495554951</v>
      </c>
      <c r="CR105" s="219">
        <v>-2.4405437173072908</v>
      </c>
      <c r="CS105" s="219">
        <v>-2.8618405190110172</v>
      </c>
      <c r="CT105" s="219">
        <v>-3.2836034731280042</v>
      </c>
      <c r="CU105" s="219">
        <v>-3.708707256956806</v>
      </c>
      <c r="CV105" s="219">
        <v>-4.1311591676598898</v>
      </c>
      <c r="CW105" s="219">
        <v>-4.5540369116783506</v>
      </c>
      <c r="CX105" s="219">
        <v>-4.9482446512450409</v>
      </c>
      <c r="CY105" s="219">
        <v>-5.3434164655585574</v>
      </c>
      <c r="CZ105" s="219">
        <v>-5.7384703923126601</v>
      </c>
      <c r="DA105" s="219">
        <v>-6.1334197781009081</v>
      </c>
      <c r="DB105" s="219">
        <v>-6.5282666034875874</v>
      </c>
    </row>
    <row r="106" spans="1:106" x14ac:dyDescent="0.35">
      <c r="A106" s="137" t="s">
        <v>755</v>
      </c>
      <c r="B106" s="130" t="s">
        <v>704</v>
      </c>
      <c r="C106" s="33">
        <v>0</v>
      </c>
      <c r="D106" s="219">
        <v>0</v>
      </c>
      <c r="E106" s="219">
        <v>0</v>
      </c>
      <c r="F106" s="219">
        <v>0</v>
      </c>
      <c r="G106" s="219">
        <v>0</v>
      </c>
      <c r="H106" s="219">
        <v>0</v>
      </c>
      <c r="I106" s="219">
        <v>0</v>
      </c>
      <c r="J106" s="219">
        <v>0</v>
      </c>
      <c r="K106" s="219">
        <v>0</v>
      </c>
      <c r="L106" s="219">
        <v>0</v>
      </c>
      <c r="M106" s="219">
        <v>0</v>
      </c>
      <c r="N106" s="219">
        <v>0</v>
      </c>
      <c r="O106" s="219">
        <v>0</v>
      </c>
      <c r="P106" s="219">
        <v>0</v>
      </c>
      <c r="Q106" s="219">
        <v>0</v>
      </c>
      <c r="R106" s="219">
        <v>0</v>
      </c>
      <c r="S106" s="219">
        <v>0</v>
      </c>
      <c r="T106" s="219">
        <v>0</v>
      </c>
      <c r="U106" s="219">
        <v>0</v>
      </c>
      <c r="V106" s="219">
        <v>0</v>
      </c>
      <c r="W106" s="219">
        <v>0</v>
      </c>
      <c r="X106" s="219">
        <v>0</v>
      </c>
      <c r="Y106" s="219">
        <v>0</v>
      </c>
      <c r="Z106" s="219">
        <v>0</v>
      </c>
      <c r="AA106" s="219">
        <v>0</v>
      </c>
      <c r="AB106" s="219">
        <v>0</v>
      </c>
      <c r="AC106" s="33">
        <v>2.0736000294618859E-7</v>
      </c>
      <c r="AD106" s="219">
        <v>2.0736000294618859E-7</v>
      </c>
      <c r="AE106" s="219">
        <v>2.0736000294618859E-7</v>
      </c>
      <c r="AF106" s="219">
        <v>2.0736000294618859E-7</v>
      </c>
      <c r="AG106" s="219">
        <v>2.0736000294618859E-7</v>
      </c>
      <c r="AH106" s="219">
        <v>2.0736000294618859E-7</v>
      </c>
      <c r="AI106" s="219">
        <v>2.0736000294618859E-7</v>
      </c>
      <c r="AJ106" s="219">
        <v>2.0736000294618859E-7</v>
      </c>
      <c r="AK106" s="219">
        <v>2.0736000294618859E-7</v>
      </c>
      <c r="AL106" s="219">
        <v>2.0736000294618859E-7</v>
      </c>
      <c r="AM106" s="219">
        <v>2.0736000294618859E-7</v>
      </c>
      <c r="AN106" s="219">
        <v>2.0736000294618859E-7</v>
      </c>
      <c r="AO106" s="219">
        <v>2.0736000294618859E-7</v>
      </c>
      <c r="AP106" s="219">
        <v>2.0736000294618859E-7</v>
      </c>
      <c r="AQ106" s="219">
        <v>2.0736000294618859E-7</v>
      </c>
      <c r="AR106" s="219">
        <v>2.0736000294618859E-7</v>
      </c>
      <c r="AS106" s="219">
        <v>2.0736000294618859E-7</v>
      </c>
      <c r="AT106" s="219">
        <v>2.0736000294618859E-7</v>
      </c>
      <c r="AU106" s="219">
        <v>2.0736000294618859E-7</v>
      </c>
      <c r="AV106" s="219">
        <v>2.0736000294618859E-7</v>
      </c>
      <c r="AW106" s="219">
        <v>2.0736000294618859E-7</v>
      </c>
      <c r="AX106" s="219">
        <v>2.0736000294618859E-7</v>
      </c>
      <c r="AY106" s="219">
        <v>2.0736000294618859E-7</v>
      </c>
      <c r="AZ106" s="219">
        <v>2.0736000294618859E-7</v>
      </c>
      <c r="BA106" s="219">
        <v>2.0736000294618859E-7</v>
      </c>
      <c r="BB106" s="219">
        <v>2.0736000294618859E-7</v>
      </c>
      <c r="BC106" s="33">
        <v>0</v>
      </c>
      <c r="BD106" s="219">
        <v>0</v>
      </c>
      <c r="BE106" s="219">
        <v>0</v>
      </c>
      <c r="BF106" s="219">
        <v>0</v>
      </c>
      <c r="BG106" s="219">
        <v>0</v>
      </c>
      <c r="BH106" s="219">
        <v>0</v>
      </c>
      <c r="BI106" s="219">
        <v>0</v>
      </c>
      <c r="BJ106" s="219">
        <v>0</v>
      </c>
      <c r="BK106" s="219">
        <v>0</v>
      </c>
      <c r="BL106" s="219">
        <v>0</v>
      </c>
      <c r="BM106" s="219">
        <v>0</v>
      </c>
      <c r="BN106" s="219">
        <v>0</v>
      </c>
      <c r="BO106" s="219">
        <v>0</v>
      </c>
      <c r="BP106" s="219">
        <v>0</v>
      </c>
      <c r="BQ106" s="219">
        <v>0</v>
      </c>
      <c r="BR106" s="219">
        <v>0</v>
      </c>
      <c r="BS106" s="219">
        <v>0</v>
      </c>
      <c r="BT106" s="219">
        <v>0</v>
      </c>
      <c r="BU106" s="219">
        <v>0</v>
      </c>
      <c r="BV106" s="219">
        <v>0</v>
      </c>
      <c r="BW106" s="219">
        <v>0</v>
      </c>
      <c r="BX106" s="219">
        <v>0</v>
      </c>
      <c r="BY106" s="219">
        <v>0</v>
      </c>
      <c r="BZ106" s="219">
        <v>0</v>
      </c>
      <c r="CA106" s="219">
        <v>0</v>
      </c>
      <c r="CB106" s="219">
        <v>0</v>
      </c>
      <c r="CC106" s="33">
        <v>0</v>
      </c>
      <c r="CD106" s="219">
        <v>0</v>
      </c>
      <c r="CE106" s="219">
        <v>0</v>
      </c>
      <c r="CF106" s="219">
        <v>0</v>
      </c>
      <c r="CG106" s="219">
        <v>0</v>
      </c>
      <c r="CH106" s="219">
        <v>0</v>
      </c>
      <c r="CI106" s="219">
        <v>0</v>
      </c>
      <c r="CJ106" s="219">
        <v>0</v>
      </c>
      <c r="CK106" s="219">
        <v>0</v>
      </c>
      <c r="CL106" s="219">
        <v>0</v>
      </c>
      <c r="CM106" s="219">
        <v>0</v>
      </c>
      <c r="CN106" s="219">
        <v>0</v>
      </c>
      <c r="CO106" s="219">
        <v>0</v>
      </c>
      <c r="CP106" s="219">
        <v>0</v>
      </c>
      <c r="CQ106" s="219">
        <v>0</v>
      </c>
      <c r="CR106" s="219">
        <v>0</v>
      </c>
      <c r="CS106" s="219">
        <v>0</v>
      </c>
      <c r="CT106" s="219">
        <v>0</v>
      </c>
      <c r="CU106" s="219">
        <v>0</v>
      </c>
      <c r="CV106" s="219">
        <v>0</v>
      </c>
      <c r="CW106" s="219">
        <v>0</v>
      </c>
      <c r="CX106" s="219">
        <v>0</v>
      </c>
      <c r="CY106" s="219">
        <v>0</v>
      </c>
      <c r="CZ106" s="219">
        <v>0</v>
      </c>
      <c r="DA106" s="219">
        <v>0</v>
      </c>
      <c r="DB106" s="219">
        <v>0</v>
      </c>
    </row>
    <row r="107" spans="1:106" x14ac:dyDescent="0.35">
      <c r="A107" s="137" t="s">
        <v>563</v>
      </c>
      <c r="B107" s="130" t="s">
        <v>704</v>
      </c>
      <c r="C107" s="33">
        <v>1.2410258671384291</v>
      </c>
      <c r="D107" s="219">
        <v>1.1754394525629079</v>
      </c>
      <c r="E107" s="219">
        <v>1.1094921306977481</v>
      </c>
      <c r="F107" s="219">
        <v>1.043603475194528</v>
      </c>
      <c r="G107" s="219">
        <v>0.97687124184033713</v>
      </c>
      <c r="H107" s="219">
        <v>0.90974273495436997</v>
      </c>
      <c r="I107" s="219">
        <v>0.9086738299461985</v>
      </c>
      <c r="J107" s="219">
        <v>0.9075768556541548</v>
      </c>
      <c r="K107" s="219">
        <v>0.90720337453074484</v>
      </c>
      <c r="L107" s="219">
        <v>0.90604308663547184</v>
      </c>
      <c r="M107" s="219">
        <v>0.90481516323680544</v>
      </c>
      <c r="N107" s="219">
        <v>0.9007869416354618</v>
      </c>
      <c r="O107" s="219">
        <v>0.89683261107224954</v>
      </c>
      <c r="P107" s="219">
        <v>0.89342757963595631</v>
      </c>
      <c r="Q107" s="219">
        <v>0.88954634345497596</v>
      </c>
      <c r="R107" s="219">
        <v>0.88568415674942536</v>
      </c>
      <c r="S107" s="219">
        <v>0.8964509259690433</v>
      </c>
      <c r="T107" s="219">
        <v>0.90712182905559435</v>
      </c>
      <c r="U107" s="219">
        <v>0.91801864453180304</v>
      </c>
      <c r="V107" s="219">
        <v>0.92850912822058418</v>
      </c>
      <c r="W107" s="219">
        <v>0.9389153896558331</v>
      </c>
      <c r="X107" s="219">
        <v>0.93884738706821258</v>
      </c>
      <c r="Y107" s="219">
        <v>0.93848166023486834</v>
      </c>
      <c r="Z107" s="219">
        <v>0.93812632897589798</v>
      </c>
      <c r="AA107" s="219">
        <v>0.93777781728756593</v>
      </c>
      <c r="AB107" s="219">
        <v>0.93743621269832578</v>
      </c>
      <c r="AC107" s="33">
        <v>7.7821279872604897E-4</v>
      </c>
      <c r="AD107" s="219">
        <v>7.0556245209434944E-4</v>
      </c>
      <c r="AE107" s="219">
        <v>6.3268443865113061E-4</v>
      </c>
      <c r="AF107" s="219">
        <v>5.5926667866187528E-4</v>
      </c>
      <c r="AG107" s="219">
        <v>4.8587463090926739E-4</v>
      </c>
      <c r="AH107" s="219">
        <v>4.122242786933685E-4</v>
      </c>
      <c r="AI107" s="219">
        <v>3.9906507755364177E-4</v>
      </c>
      <c r="AJ107" s="219">
        <v>3.8580121030021367E-4</v>
      </c>
      <c r="AK107" s="219">
        <v>3.7256902177357671E-4</v>
      </c>
      <c r="AL107" s="219">
        <v>3.591154130473406E-4</v>
      </c>
      <c r="AM107" s="219">
        <v>3.4555900805956528E-4</v>
      </c>
      <c r="AN107" s="219">
        <v>3.350452899723279E-4</v>
      </c>
      <c r="AO107" s="219">
        <v>3.2454825505351441E-4</v>
      </c>
      <c r="AP107" s="219">
        <v>3.1434250231036562E-4</v>
      </c>
      <c r="AQ107" s="219">
        <v>3.0385675515424353E-4</v>
      </c>
      <c r="AR107" s="219">
        <v>2.9337683681233398E-4</v>
      </c>
      <c r="AS107" s="219">
        <v>2.8641463527756029E-4</v>
      </c>
      <c r="AT107" s="219">
        <v>2.7949431088231759E-4</v>
      </c>
      <c r="AU107" s="219">
        <v>2.7285790020564532E-4</v>
      </c>
      <c r="AV107" s="219">
        <v>2.6602742532955771E-4</v>
      </c>
      <c r="AW107" s="219">
        <v>2.5924007978762902E-4</v>
      </c>
      <c r="AX107" s="219">
        <v>2.4949815524822781E-4</v>
      </c>
      <c r="AY107" s="219">
        <v>2.388591189318432E-4</v>
      </c>
      <c r="AZ107" s="219">
        <v>2.2819559137785209E-4</v>
      </c>
      <c r="BA107" s="219">
        <v>2.175052902308466E-4</v>
      </c>
      <c r="BB107" s="219">
        <v>2.0678795026766761E-4</v>
      </c>
      <c r="BC107" s="33">
        <v>1510.7493365932501</v>
      </c>
      <c r="BD107" s="219">
        <v>1385.9991447781149</v>
      </c>
      <c r="BE107" s="219">
        <v>1260.2773376581019</v>
      </c>
      <c r="BF107" s="219">
        <v>1128.34625773889</v>
      </c>
      <c r="BG107" s="219">
        <v>1000.440188322833</v>
      </c>
      <c r="BH107" s="219">
        <v>871.55848134317296</v>
      </c>
      <c r="BI107" s="219">
        <v>1015.470817850551</v>
      </c>
      <c r="BJ107" s="219">
        <v>1159.0219882185629</v>
      </c>
      <c r="BK107" s="219">
        <v>1296.8374260700809</v>
      </c>
      <c r="BL107" s="219">
        <v>1439.47258851779</v>
      </c>
      <c r="BM107" s="219">
        <v>1581.773844079341</v>
      </c>
      <c r="BN107" s="219">
        <v>1760.0580930279939</v>
      </c>
      <c r="BO107" s="219">
        <v>1937.7659222301961</v>
      </c>
      <c r="BP107" s="219">
        <v>2113.707474991043</v>
      </c>
      <c r="BQ107" s="219">
        <v>2290.295719418571</v>
      </c>
      <c r="BR107" s="219">
        <v>2466.3054098087928</v>
      </c>
      <c r="BS107" s="219">
        <v>2402.6598382644488</v>
      </c>
      <c r="BT107" s="219">
        <v>2339.3419634308411</v>
      </c>
      <c r="BU107" s="219">
        <v>2275.2745233690821</v>
      </c>
      <c r="BV107" s="219">
        <v>2212.6306551164821</v>
      </c>
      <c r="BW107" s="219">
        <v>2150.294905185307</v>
      </c>
      <c r="BX107" s="219">
        <v>2150.606479327841</v>
      </c>
      <c r="BY107" s="219">
        <v>2150.9899152228418</v>
      </c>
      <c r="BZ107" s="219">
        <v>2151.356553279456</v>
      </c>
      <c r="CA107" s="219">
        <v>2151.7045534483518</v>
      </c>
      <c r="CB107" s="219">
        <v>2152.0341346814812</v>
      </c>
      <c r="CC107" s="33">
        <v>12738.04869252668</v>
      </c>
      <c r="CD107" s="219">
        <v>10478.749552531461</v>
      </c>
      <c r="CE107" s="219">
        <v>8218.0108182124641</v>
      </c>
      <c r="CF107" s="219">
        <v>5923.7647587629936</v>
      </c>
      <c r="CG107" s="219">
        <v>3657.27663683117</v>
      </c>
      <c r="CH107" s="219">
        <v>1387.97138516821</v>
      </c>
      <c r="CI107" s="219">
        <v>684.9712252259709</v>
      </c>
      <c r="CJ107" s="219">
        <v>-20.915231660612559</v>
      </c>
      <c r="CK107" s="219">
        <v>-757.77154695561785</v>
      </c>
      <c r="CL107" s="219">
        <v>-1470.426682177984</v>
      </c>
      <c r="CM107" s="219">
        <v>-2186.0842806529108</v>
      </c>
      <c r="CN107" s="219">
        <v>-2622.7163336528101</v>
      </c>
      <c r="CO107" s="219">
        <v>-3058.1971890509931</v>
      </c>
      <c r="CP107" s="219">
        <v>-3497.625559903247</v>
      </c>
      <c r="CQ107" s="219">
        <v>-3930.759211855946</v>
      </c>
      <c r="CR107" s="219">
        <v>-4362.897592900008</v>
      </c>
      <c r="CS107" s="219">
        <v>-4891.5532944873103</v>
      </c>
      <c r="CT107" s="219">
        <v>-5415.978521346904</v>
      </c>
      <c r="CU107" s="219">
        <v>-5939.573347136863</v>
      </c>
      <c r="CV107" s="219">
        <v>-6455.3844749702102</v>
      </c>
      <c r="CW107" s="219">
        <v>-6967.0640599973112</v>
      </c>
      <c r="CX107" s="219">
        <v>-7498.2388249949981</v>
      </c>
      <c r="CY107" s="219">
        <v>-8032.4013649238459</v>
      </c>
      <c r="CZ107" s="219">
        <v>-8568.0086214884395</v>
      </c>
      <c r="DA107" s="219">
        <v>-9105.0801594301392</v>
      </c>
      <c r="DB107" s="219">
        <v>-9643.6257086549631</v>
      </c>
    </row>
    <row r="109" spans="1:106" s="231" customFormat="1" x14ac:dyDescent="0.35">
      <c r="A109" s="232"/>
    </row>
    <row r="110" spans="1:106" s="11" customFormat="1" ht="21" x14ac:dyDescent="0.5">
      <c r="A110" s="11" t="s">
        <v>72</v>
      </c>
    </row>
    <row r="111" spans="1:106" s="219" customFormat="1" x14ac:dyDescent="0.35">
      <c r="A111" s="29" t="s">
        <v>0</v>
      </c>
      <c r="B111" s="29"/>
      <c r="C111" s="332" t="s">
        <v>702</v>
      </c>
      <c r="D111" s="332"/>
      <c r="E111" s="332"/>
      <c r="F111" s="332"/>
      <c r="G111" s="332"/>
      <c r="H111" s="332"/>
      <c r="I111" s="332"/>
      <c r="J111" s="332"/>
      <c r="K111" s="332"/>
      <c r="L111" s="332"/>
      <c r="M111" s="332"/>
      <c r="N111" s="332"/>
      <c r="O111" s="332"/>
      <c r="P111" s="332"/>
      <c r="Q111" s="332"/>
      <c r="R111" s="332"/>
      <c r="S111" s="332"/>
      <c r="T111" s="332"/>
      <c r="U111" s="332"/>
      <c r="V111" s="332"/>
      <c r="W111" s="332"/>
      <c r="X111" s="332"/>
      <c r="Y111" s="332"/>
      <c r="Z111" s="332"/>
      <c r="AA111" s="332"/>
      <c r="AB111" s="332"/>
      <c r="AC111" s="333" t="s">
        <v>701</v>
      </c>
      <c r="AD111" s="333"/>
      <c r="AE111" s="333"/>
      <c r="AF111" s="333"/>
      <c r="AG111" s="333"/>
      <c r="AH111" s="333"/>
      <c r="AI111" s="333"/>
      <c r="AJ111" s="333"/>
      <c r="AK111" s="333"/>
      <c r="AL111" s="333"/>
      <c r="AM111" s="333"/>
      <c r="AN111" s="333"/>
      <c r="AO111" s="333"/>
      <c r="AP111" s="333"/>
      <c r="AQ111" s="333"/>
      <c r="AR111" s="333"/>
      <c r="AS111" s="333"/>
      <c r="AT111" s="333"/>
      <c r="AU111" s="333"/>
      <c r="AV111" s="333"/>
      <c r="AW111" s="333"/>
      <c r="AX111" s="333"/>
      <c r="AY111" s="333"/>
      <c r="AZ111" s="333"/>
      <c r="BA111" s="333"/>
      <c r="BB111" s="333"/>
      <c r="BC111" s="334" t="s">
        <v>756</v>
      </c>
      <c r="BD111" s="335"/>
      <c r="BE111" s="335"/>
      <c r="BF111" s="335"/>
      <c r="BG111" s="335"/>
      <c r="BH111" s="335"/>
      <c r="BI111" s="335"/>
      <c r="BJ111" s="335"/>
      <c r="BK111" s="335"/>
      <c r="BL111" s="335"/>
      <c r="BM111" s="335"/>
      <c r="BN111" s="335"/>
      <c r="BO111" s="335"/>
      <c r="BP111" s="335"/>
      <c r="BQ111" s="335"/>
      <c r="BR111" s="335"/>
      <c r="BS111" s="335"/>
      <c r="BT111" s="335"/>
      <c r="BU111" s="335"/>
      <c r="BV111" s="335"/>
      <c r="BW111" s="335"/>
      <c r="BX111" s="335"/>
      <c r="BY111" s="335"/>
      <c r="BZ111" s="335"/>
      <c r="CA111" s="335"/>
      <c r="CB111" s="336"/>
      <c r="CC111" s="337" t="s">
        <v>700</v>
      </c>
      <c r="CD111" s="337"/>
      <c r="CE111" s="337"/>
      <c r="CF111" s="337"/>
      <c r="CG111" s="337"/>
      <c r="CH111" s="337"/>
      <c r="CI111" s="337"/>
      <c r="CJ111" s="337"/>
      <c r="CK111" s="337"/>
      <c r="CL111" s="337"/>
      <c r="CM111" s="337"/>
      <c r="CN111" s="337"/>
      <c r="CO111" s="337"/>
      <c r="CP111" s="337"/>
      <c r="CQ111" s="337"/>
      <c r="CR111" s="337"/>
      <c r="CS111" s="337"/>
      <c r="CT111" s="337"/>
      <c r="CU111" s="337"/>
      <c r="CV111" s="337"/>
      <c r="CW111" s="337"/>
      <c r="CX111" s="337"/>
      <c r="CY111" s="337"/>
      <c r="CZ111" s="337"/>
      <c r="DA111" s="337"/>
      <c r="DB111" s="337"/>
    </row>
    <row r="112" spans="1:106" s="219" customFormat="1" x14ac:dyDescent="0.35">
      <c r="A112" s="29" t="s">
        <v>1</v>
      </c>
      <c r="B112" s="29" t="s">
        <v>180</v>
      </c>
      <c r="C112" s="222" t="s">
        <v>2</v>
      </c>
      <c r="D112" s="222" t="s">
        <v>52</v>
      </c>
      <c r="E112" s="222" t="s">
        <v>53</v>
      </c>
      <c r="F112" s="222" t="s">
        <v>54</v>
      </c>
      <c r="G112" s="222" t="s">
        <v>55</v>
      </c>
      <c r="H112" s="222" t="s">
        <v>3</v>
      </c>
      <c r="I112" s="222" t="s">
        <v>56</v>
      </c>
      <c r="J112" s="222" t="s">
        <v>57</v>
      </c>
      <c r="K112" s="222" t="s">
        <v>58</v>
      </c>
      <c r="L112" s="222" t="s">
        <v>59</v>
      </c>
      <c r="M112" s="222" t="s">
        <v>4</v>
      </c>
      <c r="N112" s="222" t="s">
        <v>60</v>
      </c>
      <c r="O112" s="222" t="s">
        <v>61</v>
      </c>
      <c r="P112" s="222" t="s">
        <v>62</v>
      </c>
      <c r="Q112" s="222" t="s">
        <v>63</v>
      </c>
      <c r="R112" s="222" t="s">
        <v>5</v>
      </c>
      <c r="S112" s="222" t="s">
        <v>64</v>
      </c>
      <c r="T112" s="222" t="s">
        <v>65</v>
      </c>
      <c r="U112" s="222" t="s">
        <v>66</v>
      </c>
      <c r="V112" s="222" t="s">
        <v>67</v>
      </c>
      <c r="W112" s="222" t="s">
        <v>6</v>
      </c>
      <c r="X112" s="222" t="s">
        <v>68</v>
      </c>
      <c r="Y112" s="222" t="s">
        <v>69</v>
      </c>
      <c r="Z112" s="222" t="s">
        <v>70</v>
      </c>
      <c r="AA112" s="222" t="s">
        <v>71</v>
      </c>
      <c r="AB112" s="222" t="s">
        <v>7</v>
      </c>
      <c r="AC112" s="223" t="s">
        <v>2</v>
      </c>
      <c r="AD112" s="223" t="s">
        <v>52</v>
      </c>
      <c r="AE112" s="223" t="s">
        <v>53</v>
      </c>
      <c r="AF112" s="223" t="s">
        <v>54</v>
      </c>
      <c r="AG112" s="223" t="s">
        <v>55</v>
      </c>
      <c r="AH112" s="223" t="s">
        <v>3</v>
      </c>
      <c r="AI112" s="223" t="s">
        <v>56</v>
      </c>
      <c r="AJ112" s="223" t="s">
        <v>57</v>
      </c>
      <c r="AK112" s="223" t="s">
        <v>58</v>
      </c>
      <c r="AL112" s="223" t="s">
        <v>59</v>
      </c>
      <c r="AM112" s="223" t="s">
        <v>4</v>
      </c>
      <c r="AN112" s="223" t="s">
        <v>60</v>
      </c>
      <c r="AO112" s="223" t="s">
        <v>61</v>
      </c>
      <c r="AP112" s="223" t="s">
        <v>62</v>
      </c>
      <c r="AQ112" s="223" t="s">
        <v>63</v>
      </c>
      <c r="AR112" s="223" t="s">
        <v>5</v>
      </c>
      <c r="AS112" s="223" t="s">
        <v>64</v>
      </c>
      <c r="AT112" s="223" t="s">
        <v>65</v>
      </c>
      <c r="AU112" s="223" t="s">
        <v>66</v>
      </c>
      <c r="AV112" s="223" t="s">
        <v>67</v>
      </c>
      <c r="AW112" s="223" t="s">
        <v>6</v>
      </c>
      <c r="AX112" s="223" t="s">
        <v>68</v>
      </c>
      <c r="AY112" s="223" t="s">
        <v>69</v>
      </c>
      <c r="AZ112" s="223" t="s">
        <v>70</v>
      </c>
      <c r="BA112" s="223" t="s">
        <v>71</v>
      </c>
      <c r="BB112" s="223" t="s">
        <v>7</v>
      </c>
      <c r="BC112" s="225" t="s">
        <v>2</v>
      </c>
      <c r="BD112" s="225" t="s">
        <v>52</v>
      </c>
      <c r="BE112" s="225" t="s">
        <v>53</v>
      </c>
      <c r="BF112" s="225" t="s">
        <v>54</v>
      </c>
      <c r="BG112" s="225" t="s">
        <v>55</v>
      </c>
      <c r="BH112" s="225" t="s">
        <v>3</v>
      </c>
      <c r="BI112" s="225" t="s">
        <v>56</v>
      </c>
      <c r="BJ112" s="225" t="s">
        <v>57</v>
      </c>
      <c r="BK112" s="225" t="s">
        <v>58</v>
      </c>
      <c r="BL112" s="225" t="s">
        <v>59</v>
      </c>
      <c r="BM112" s="225" t="s">
        <v>4</v>
      </c>
      <c r="BN112" s="225" t="s">
        <v>60</v>
      </c>
      <c r="BO112" s="225" t="s">
        <v>61</v>
      </c>
      <c r="BP112" s="225" t="s">
        <v>62</v>
      </c>
      <c r="BQ112" s="225" t="s">
        <v>63</v>
      </c>
      <c r="BR112" s="225" t="s">
        <v>5</v>
      </c>
      <c r="BS112" s="225" t="s">
        <v>64</v>
      </c>
      <c r="BT112" s="225" t="s">
        <v>65</v>
      </c>
      <c r="BU112" s="225" t="s">
        <v>66</v>
      </c>
      <c r="BV112" s="225" t="s">
        <v>67</v>
      </c>
      <c r="BW112" s="225" t="s">
        <v>6</v>
      </c>
      <c r="BX112" s="225" t="s">
        <v>68</v>
      </c>
      <c r="BY112" s="225" t="s">
        <v>69</v>
      </c>
      <c r="BZ112" s="225" t="s">
        <v>70</v>
      </c>
      <c r="CA112" s="225" t="s">
        <v>71</v>
      </c>
      <c r="CB112" s="225" t="s">
        <v>7</v>
      </c>
      <c r="CC112" s="224" t="s">
        <v>2</v>
      </c>
      <c r="CD112" s="224" t="s">
        <v>52</v>
      </c>
      <c r="CE112" s="224" t="s">
        <v>53</v>
      </c>
      <c r="CF112" s="224" t="s">
        <v>54</v>
      </c>
      <c r="CG112" s="224" t="s">
        <v>55</v>
      </c>
      <c r="CH112" s="224" t="s">
        <v>3</v>
      </c>
      <c r="CI112" s="224" t="s">
        <v>56</v>
      </c>
      <c r="CJ112" s="224" t="s">
        <v>57</v>
      </c>
      <c r="CK112" s="224" t="s">
        <v>58</v>
      </c>
      <c r="CL112" s="224" t="s">
        <v>59</v>
      </c>
      <c r="CM112" s="224" t="s">
        <v>4</v>
      </c>
      <c r="CN112" s="224" t="s">
        <v>60</v>
      </c>
      <c r="CO112" s="224" t="s">
        <v>61</v>
      </c>
      <c r="CP112" s="224" t="s">
        <v>62</v>
      </c>
      <c r="CQ112" s="224" t="s">
        <v>63</v>
      </c>
      <c r="CR112" s="224" t="s">
        <v>5</v>
      </c>
      <c r="CS112" s="224" t="s">
        <v>64</v>
      </c>
      <c r="CT112" s="224" t="s">
        <v>65</v>
      </c>
      <c r="CU112" s="224" t="s">
        <v>66</v>
      </c>
      <c r="CV112" s="224" t="s">
        <v>67</v>
      </c>
      <c r="CW112" s="224" t="s">
        <v>6</v>
      </c>
      <c r="CX112" s="224" t="s">
        <v>68</v>
      </c>
      <c r="CY112" s="224" t="s">
        <v>69</v>
      </c>
      <c r="CZ112" s="224" t="s">
        <v>70</v>
      </c>
      <c r="DA112" s="224" t="s">
        <v>71</v>
      </c>
      <c r="DB112" s="224" t="s">
        <v>7</v>
      </c>
    </row>
    <row r="113" spans="1:106" s="219" customFormat="1" x14ac:dyDescent="0.35"/>
    <row r="114" spans="1:106" s="219" customFormat="1" x14ac:dyDescent="0.35">
      <c r="A114" s="137" t="s">
        <v>770</v>
      </c>
      <c r="B114" s="31" t="s">
        <v>769</v>
      </c>
      <c r="C114" s="219">
        <v>1.366873597533053E-5</v>
      </c>
      <c r="D114" s="219">
        <v>1.3675051543373081E-5</v>
      </c>
      <c r="E114" s="219">
        <v>1.368142314735715E-5</v>
      </c>
      <c r="F114" s="219">
        <v>1.3688426331549819E-5</v>
      </c>
      <c r="G114" s="219">
        <v>1.369486003218698E-5</v>
      </c>
      <c r="H114" s="219">
        <v>1.37012752877428E-5</v>
      </c>
      <c r="I114" s="219">
        <v>1.369427045071191E-5</v>
      </c>
      <c r="J114" s="219">
        <v>1.3688631436898281E-5</v>
      </c>
      <c r="K114" s="219">
        <v>1.3687196725244591E-5</v>
      </c>
      <c r="L114" s="219">
        <v>1.368393041085336E-5</v>
      </c>
      <c r="M114" s="219">
        <v>1.3681609677401759E-5</v>
      </c>
      <c r="N114" s="219">
        <v>1.3684887366422249E-5</v>
      </c>
      <c r="O114" s="219">
        <v>1.368915457875126E-5</v>
      </c>
      <c r="P114" s="219">
        <v>1.3697101167358321E-5</v>
      </c>
      <c r="Q114" s="219">
        <v>1.3703083950822891E-5</v>
      </c>
      <c r="R114" s="219">
        <v>1.370987827171445E-5</v>
      </c>
      <c r="S114" s="219">
        <v>1.3708237100391649E-5</v>
      </c>
      <c r="T114" s="219">
        <v>1.370663609793915E-5</v>
      </c>
      <c r="U114" s="219">
        <v>1.370686387382588E-5</v>
      </c>
      <c r="V114" s="219">
        <v>1.370529425227664E-5</v>
      </c>
      <c r="W114" s="219">
        <v>1.3703723564687581E-5</v>
      </c>
      <c r="X114" s="219">
        <v>1.3699079264788279E-5</v>
      </c>
      <c r="Y114" s="219">
        <v>1.3693190539974539E-5</v>
      </c>
      <c r="Z114" s="219">
        <v>1.3687193146972181E-5</v>
      </c>
      <c r="AA114" s="219">
        <v>1.368108673902583E-5</v>
      </c>
      <c r="AB114" s="219">
        <v>1.3674871706598419E-5</v>
      </c>
      <c r="AC114" s="219">
        <v>7.8556025391584903E-9</v>
      </c>
      <c r="AD114" s="219">
        <v>7.8529929997189326E-9</v>
      </c>
      <c r="AE114" s="219">
        <v>7.850492774537924E-9</v>
      </c>
      <c r="AF114" s="219">
        <v>7.8453381085449183E-9</v>
      </c>
      <c r="AG114" s="219">
        <v>7.8430674380125535E-9</v>
      </c>
      <c r="AH114" s="219">
        <v>7.8408668143645135E-9</v>
      </c>
      <c r="AI114" s="219">
        <v>7.8405444381310518E-9</v>
      </c>
      <c r="AJ114" s="219">
        <v>7.840481906654194E-9</v>
      </c>
      <c r="AK114" s="219">
        <v>7.8411627774780254E-9</v>
      </c>
      <c r="AL114" s="219">
        <v>7.8415817426366068E-9</v>
      </c>
      <c r="AM114" s="219">
        <v>7.8421822805207521E-9</v>
      </c>
      <c r="AN114" s="219">
        <v>7.8449719571230792E-9</v>
      </c>
      <c r="AO114" s="219">
        <v>7.8479680936388189E-9</v>
      </c>
      <c r="AP114" s="219">
        <v>7.8524101968705291E-9</v>
      </c>
      <c r="AQ114" s="219">
        <v>7.8558164710285702E-9</v>
      </c>
      <c r="AR114" s="219">
        <v>7.8594927492829024E-9</v>
      </c>
      <c r="AS114" s="219">
        <v>7.8559759253293622E-9</v>
      </c>
      <c r="AT114" s="219">
        <v>7.8524502087603599E-9</v>
      </c>
      <c r="AU114" s="219">
        <v>7.8497719057978951E-9</v>
      </c>
      <c r="AV114" s="219">
        <v>7.8462109650226552E-9</v>
      </c>
      <c r="AW114" s="219">
        <v>7.8426252357862197E-9</v>
      </c>
      <c r="AX114" s="219">
        <v>7.8367556185047541E-9</v>
      </c>
      <c r="AY114" s="219">
        <v>7.829731617935347E-9</v>
      </c>
      <c r="AZ114" s="219">
        <v>7.8226680828447357E-9</v>
      </c>
      <c r="BA114" s="219">
        <v>7.8155630695199264E-9</v>
      </c>
      <c r="BB114" s="219">
        <v>7.8084155058205106E-9</v>
      </c>
      <c r="BC114" s="219">
        <v>2.337937268440538E-3</v>
      </c>
      <c r="BD114" s="219">
        <v>2.3322842507187999E-3</v>
      </c>
      <c r="BE114" s="219">
        <v>2.3267481942642731E-3</v>
      </c>
      <c r="BF114" s="219">
        <v>2.2989668628283521E-3</v>
      </c>
      <c r="BG114" s="219">
        <v>2.293703279631389E-3</v>
      </c>
      <c r="BH114" s="219">
        <v>2.288516889696536E-3</v>
      </c>
      <c r="BI114" s="219">
        <v>2.28390264195638E-3</v>
      </c>
      <c r="BJ114" s="219">
        <v>2.2794685239329732E-3</v>
      </c>
      <c r="BK114" s="219">
        <v>2.2597498954955559E-3</v>
      </c>
      <c r="BL114" s="219">
        <v>2.2557392391037291E-3</v>
      </c>
      <c r="BM114" s="219">
        <v>2.2518612071533899E-3</v>
      </c>
      <c r="BN114" s="219">
        <v>2.2499519129380221E-3</v>
      </c>
      <c r="BO114" s="219">
        <v>2.2481950246597119E-3</v>
      </c>
      <c r="BP114" s="219">
        <v>2.2423039723477342E-3</v>
      </c>
      <c r="BQ114" s="219">
        <v>2.2408659654254239E-3</v>
      </c>
      <c r="BR114" s="219">
        <v>2.2396278501681209E-3</v>
      </c>
      <c r="BS114" s="219">
        <v>2.2368302237064219E-3</v>
      </c>
      <c r="BT114" s="219">
        <v>2.2340377378099511E-3</v>
      </c>
      <c r="BU114" s="219">
        <v>2.2270659487350149E-3</v>
      </c>
      <c r="BV114" s="219">
        <v>2.2243240806647541E-3</v>
      </c>
      <c r="BW114" s="219">
        <v>2.2215817192532089E-3</v>
      </c>
      <c r="BX114" s="219">
        <v>2.2192420675807129E-3</v>
      </c>
      <c r="BY114" s="219">
        <v>2.2169283043597409E-3</v>
      </c>
      <c r="BZ114" s="219">
        <v>2.2146368472821532E-3</v>
      </c>
      <c r="CA114" s="219">
        <v>2.2123661017249439E-3</v>
      </c>
      <c r="CB114" s="219">
        <v>2.2101159936198239E-3</v>
      </c>
      <c r="CC114" s="219">
        <v>2.1436694524197129E-2</v>
      </c>
      <c r="CD114" s="219">
        <v>2.13674802908351E-2</v>
      </c>
      <c r="CE114" s="219">
        <v>2.1300745265975359E-2</v>
      </c>
      <c r="CF114" s="219">
        <v>2.1087107193991789E-2</v>
      </c>
      <c r="CG114" s="219">
        <v>2.1025335741070551E-2</v>
      </c>
      <c r="CH114" s="219">
        <v>2.096496367162665E-2</v>
      </c>
      <c r="CI114" s="219">
        <v>2.0915451504996262E-2</v>
      </c>
      <c r="CJ114" s="219">
        <v>2.0871911933213989E-2</v>
      </c>
      <c r="CK114" s="219">
        <v>2.074246409695955E-2</v>
      </c>
      <c r="CL114" s="219">
        <v>2.070995617499442E-2</v>
      </c>
      <c r="CM114" s="219">
        <v>2.0681601489150131E-2</v>
      </c>
      <c r="CN114" s="219">
        <v>2.0686316915358018E-2</v>
      </c>
      <c r="CO114" s="219">
        <v>2.0695787933282628E-2</v>
      </c>
      <c r="CP114" s="219">
        <v>2.069190044101513E-2</v>
      </c>
      <c r="CQ114" s="219">
        <v>2.0710274587441371E-2</v>
      </c>
      <c r="CR114" s="219">
        <v>2.073492791617584E-2</v>
      </c>
      <c r="CS114" s="219">
        <v>2.064368505508429E-2</v>
      </c>
      <c r="CT114" s="219">
        <v>2.0552774413914319E-2</v>
      </c>
      <c r="CU114" s="219">
        <v>2.0443778217706141E-2</v>
      </c>
      <c r="CV114" s="219">
        <v>2.0353051496101601E-2</v>
      </c>
      <c r="CW114" s="219">
        <v>2.0262159567191029E-2</v>
      </c>
      <c r="CX114" s="219">
        <v>2.0128325034726901E-2</v>
      </c>
      <c r="CY114" s="219">
        <v>1.9989571894578669E-2</v>
      </c>
      <c r="CZ114" s="219">
        <v>1.9850659007238081E-2</v>
      </c>
      <c r="DA114" s="219">
        <v>1.971153663125005E-2</v>
      </c>
      <c r="DB114" s="219">
        <v>1.9572182859829711E-2</v>
      </c>
    </row>
    <row r="115" spans="1:106" s="219" customFormat="1" x14ac:dyDescent="0.35">
      <c r="A115" s="137" t="s">
        <v>771</v>
      </c>
      <c r="B115" s="31" t="s">
        <v>769</v>
      </c>
      <c r="C115" s="219">
        <v>1.9102871420955151E-5</v>
      </c>
      <c r="D115" s="219">
        <v>1.904176723515733E-5</v>
      </c>
      <c r="E115" s="219">
        <v>1.8980027526255531E-5</v>
      </c>
      <c r="F115" s="219">
        <v>1.8919759618816151E-5</v>
      </c>
      <c r="G115" s="219">
        <v>1.885692592209508E-5</v>
      </c>
      <c r="H115" s="219">
        <v>1.8793600388087609E-5</v>
      </c>
      <c r="I115" s="219">
        <v>2.0691039669536701E-5</v>
      </c>
      <c r="J115" s="219">
        <v>2.2585894982689269E-5</v>
      </c>
      <c r="K115" s="219">
        <v>2.4481646446977391E-5</v>
      </c>
      <c r="L115" s="219">
        <v>2.637296435504964E-5</v>
      </c>
      <c r="M115" s="219">
        <v>2.8262026953097142E-5</v>
      </c>
      <c r="N115" s="219">
        <v>3.1954645037019728E-5</v>
      </c>
      <c r="O115" s="219">
        <v>3.5656420171271188E-5</v>
      </c>
      <c r="P115" s="219">
        <v>3.9369727701098133E-5</v>
      </c>
      <c r="Q115" s="219">
        <v>4.3089800686303867E-5</v>
      </c>
      <c r="R115" s="219">
        <v>4.6819018425994712E-5</v>
      </c>
      <c r="S115" s="219">
        <v>4.7005225691849508E-5</v>
      </c>
      <c r="T115" s="219">
        <v>4.7190805797554808E-5</v>
      </c>
      <c r="U115" s="219">
        <v>4.737718178962867E-5</v>
      </c>
      <c r="V115" s="219">
        <v>4.7561618333187157E-5</v>
      </c>
      <c r="W115" s="219">
        <v>4.774553862324135E-5</v>
      </c>
      <c r="X115" s="219">
        <v>4.620947539887221E-5</v>
      </c>
      <c r="Y115" s="219">
        <v>4.4649139440607863E-5</v>
      </c>
      <c r="Z115" s="219">
        <v>4.3083412851459102E-5</v>
      </c>
      <c r="AA115" s="219">
        <v>4.1512247355736112E-5</v>
      </c>
      <c r="AB115" s="219">
        <v>3.9935611206990689E-5</v>
      </c>
      <c r="AC115" s="219">
        <v>1.2482979850998699E-8</v>
      </c>
      <c r="AD115" s="219">
        <v>1.244480308350646E-8</v>
      </c>
      <c r="AE115" s="219">
        <v>1.240645875963964E-8</v>
      </c>
      <c r="AF115" s="219">
        <v>1.23659674158104E-8</v>
      </c>
      <c r="AG115" s="219">
        <v>1.2327271491689281E-8</v>
      </c>
      <c r="AH115" s="219">
        <v>1.2288393507545419E-8</v>
      </c>
      <c r="AI115" s="219">
        <v>1.345551232169438E-8</v>
      </c>
      <c r="AJ115" s="219">
        <v>1.4620987561752431E-8</v>
      </c>
      <c r="AK115" s="219">
        <v>1.5785445064193538E-8</v>
      </c>
      <c r="AL115" s="219">
        <v>1.6948857500199031E-8</v>
      </c>
      <c r="AM115" s="219">
        <v>1.8110820666612539E-8</v>
      </c>
      <c r="AN115" s="219">
        <v>2.0327812913242381E-8</v>
      </c>
      <c r="AO115" s="219">
        <v>2.255016633604758E-8</v>
      </c>
      <c r="AP115" s="219">
        <v>2.4779073352953309E-8</v>
      </c>
      <c r="AQ115" s="219">
        <v>2.701221040836656E-8</v>
      </c>
      <c r="AR115" s="219">
        <v>2.9250804250157449E-8</v>
      </c>
      <c r="AS115" s="219">
        <v>2.9423963198348131E-8</v>
      </c>
      <c r="AT115" s="219">
        <v>2.9596996476588851E-8</v>
      </c>
      <c r="AU115" s="219">
        <v>2.97706467478948E-8</v>
      </c>
      <c r="AV115" s="219">
        <v>2.9943439663572271E-8</v>
      </c>
      <c r="AW115" s="219">
        <v>3.0116129243943227E-8</v>
      </c>
      <c r="AX115" s="219">
        <v>2.922197035151451E-8</v>
      </c>
      <c r="AY115" s="219">
        <v>2.8286694028094302E-8</v>
      </c>
      <c r="AZ115" s="219">
        <v>2.734822689514299E-8</v>
      </c>
      <c r="BA115" s="219">
        <v>2.640653932660767E-8</v>
      </c>
      <c r="BB115" s="219">
        <v>2.5461612094002011E-8</v>
      </c>
      <c r="BC115" s="219">
        <v>1.7624510919931051E-2</v>
      </c>
      <c r="BD115" s="219">
        <v>1.768344423496894E-2</v>
      </c>
      <c r="BE115" s="219">
        <v>1.77428924286658E-2</v>
      </c>
      <c r="BF115" s="219">
        <v>1.7776091209402059E-2</v>
      </c>
      <c r="BG115" s="219">
        <v>1.7836955168257909E-2</v>
      </c>
      <c r="BH115" s="219">
        <v>1.7898320396008398E-2</v>
      </c>
      <c r="BI115" s="219">
        <v>1.848539061998844E-2</v>
      </c>
      <c r="BJ115" s="219">
        <v>1.9071684319024649E-2</v>
      </c>
      <c r="BK115" s="219">
        <v>1.96373545368922E-2</v>
      </c>
      <c r="BL115" s="219">
        <v>2.022311126453823E-2</v>
      </c>
      <c r="BM115" s="219">
        <v>2.08082792404942E-2</v>
      </c>
      <c r="BN115" s="219">
        <v>2.1455754986165511E-2</v>
      </c>
      <c r="BO115" s="219">
        <v>2.210398091382831E-2</v>
      </c>
      <c r="BP115" s="219">
        <v>2.2748529941662789E-2</v>
      </c>
      <c r="BQ115" s="219">
        <v>2.339822873251193E-2</v>
      </c>
      <c r="BR115" s="219">
        <v>2.4048578051601929E-2</v>
      </c>
      <c r="BS115" s="219">
        <v>2.4691057634198581E-2</v>
      </c>
      <c r="BT115" s="219">
        <v>2.5333774348060879E-2</v>
      </c>
      <c r="BU115" s="219">
        <v>2.597293279112399E-2</v>
      </c>
      <c r="BV115" s="219">
        <v>2.661652980171552E-2</v>
      </c>
      <c r="BW115" s="219">
        <v>2.7260622185397071E-2</v>
      </c>
      <c r="BX115" s="219">
        <v>2.7117322296672519E-2</v>
      </c>
      <c r="BY115" s="219">
        <v>2.6974288490342811E-2</v>
      </c>
      <c r="BZ115" s="219">
        <v>2.6831161974377939E-2</v>
      </c>
      <c r="CA115" s="219">
        <v>2.668793266572177E-2</v>
      </c>
      <c r="CB115" s="219">
        <v>2.6544599442020599E-2</v>
      </c>
      <c r="CC115" s="219">
        <v>0.22313584499617081</v>
      </c>
      <c r="CD115" s="219">
        <v>0.22293004479146941</v>
      </c>
      <c r="CE115" s="219">
        <v>0.22272523934092309</v>
      </c>
      <c r="CF115" s="219">
        <v>0.22234710608727279</v>
      </c>
      <c r="CG115" s="219">
        <v>0.2221451371030449</v>
      </c>
      <c r="CH115" s="219">
        <v>0.22194315093035849</v>
      </c>
      <c r="CI115" s="219">
        <v>0.23902156478965711</v>
      </c>
      <c r="CJ115" s="219">
        <v>0.25607691762723639</v>
      </c>
      <c r="CK115" s="219">
        <v>0.27299656441222608</v>
      </c>
      <c r="CL115" s="219">
        <v>0.29003174794021352</v>
      </c>
      <c r="CM115" s="219">
        <v>0.30704403500781041</v>
      </c>
      <c r="CN115" s="219">
        <v>0.33733057467173427</v>
      </c>
      <c r="CO115" s="219">
        <v>0.36768139252742921</v>
      </c>
      <c r="CP115" s="219">
        <v>0.39807634472307513</v>
      </c>
      <c r="CQ115" s="219">
        <v>0.42855434993127339</v>
      </c>
      <c r="CR115" s="219">
        <v>0.45909656845865382</v>
      </c>
      <c r="CS115" s="219">
        <v>0.4642532622164296</v>
      </c>
      <c r="CT115" s="219">
        <v>0.46940909184679952</v>
      </c>
      <c r="CU115" s="219">
        <v>0.47454664901761978</v>
      </c>
      <c r="CV115" s="219">
        <v>0.47970290098269852</v>
      </c>
      <c r="CW115" s="219">
        <v>0.48485976657212221</v>
      </c>
      <c r="CX115" s="219">
        <v>0.47416055954440273</v>
      </c>
      <c r="CY115" s="219">
        <v>0.46216191934919187</v>
      </c>
      <c r="CZ115" s="219">
        <v>0.45012425950530188</v>
      </c>
      <c r="DA115" s="219">
        <v>0.43804720128701552</v>
      </c>
      <c r="DB115" s="219">
        <v>0.42593049329272031</v>
      </c>
    </row>
    <row r="116" spans="1:106" s="219" customFormat="1" x14ac:dyDescent="0.35"/>
    <row r="117" spans="1:106" s="11" customFormat="1" ht="21" x14ac:dyDescent="0.5">
      <c r="A117" s="11" t="s">
        <v>73</v>
      </c>
    </row>
    <row r="118" spans="1:106" s="219" customFormat="1" x14ac:dyDescent="0.35">
      <c r="A118" s="29" t="s">
        <v>0</v>
      </c>
      <c r="B118" s="29"/>
      <c r="C118" s="332" t="s">
        <v>702</v>
      </c>
      <c r="D118" s="332"/>
      <c r="E118" s="332"/>
      <c r="F118" s="332"/>
      <c r="G118" s="332"/>
      <c r="H118" s="332"/>
      <c r="I118" s="332"/>
      <c r="J118" s="332"/>
      <c r="K118" s="332"/>
      <c r="L118" s="332"/>
      <c r="M118" s="332"/>
      <c r="N118" s="332"/>
      <c r="O118" s="332"/>
      <c r="P118" s="332"/>
      <c r="Q118" s="332"/>
      <c r="R118" s="332"/>
      <c r="S118" s="332"/>
      <c r="T118" s="332"/>
      <c r="U118" s="332"/>
      <c r="V118" s="332"/>
      <c r="W118" s="332"/>
      <c r="X118" s="332"/>
      <c r="Y118" s="332"/>
      <c r="Z118" s="332"/>
      <c r="AA118" s="332"/>
      <c r="AB118" s="332"/>
      <c r="AC118" s="333" t="s">
        <v>701</v>
      </c>
      <c r="AD118" s="333"/>
      <c r="AE118" s="333"/>
      <c r="AF118" s="333"/>
      <c r="AG118" s="333"/>
      <c r="AH118" s="333"/>
      <c r="AI118" s="333"/>
      <c r="AJ118" s="333"/>
      <c r="AK118" s="333"/>
      <c r="AL118" s="333"/>
      <c r="AM118" s="333"/>
      <c r="AN118" s="333"/>
      <c r="AO118" s="333"/>
      <c r="AP118" s="333"/>
      <c r="AQ118" s="333"/>
      <c r="AR118" s="333"/>
      <c r="AS118" s="333"/>
      <c r="AT118" s="333"/>
      <c r="AU118" s="333"/>
      <c r="AV118" s="333"/>
      <c r="AW118" s="333"/>
      <c r="AX118" s="333"/>
      <c r="AY118" s="333"/>
      <c r="AZ118" s="333"/>
      <c r="BA118" s="333"/>
      <c r="BB118" s="333"/>
      <c r="BC118" s="334" t="s">
        <v>756</v>
      </c>
      <c r="BD118" s="335"/>
      <c r="BE118" s="335"/>
      <c r="BF118" s="335"/>
      <c r="BG118" s="335"/>
      <c r="BH118" s="335"/>
      <c r="BI118" s="335"/>
      <c r="BJ118" s="335"/>
      <c r="BK118" s="335"/>
      <c r="BL118" s="335"/>
      <c r="BM118" s="335"/>
      <c r="BN118" s="335"/>
      <c r="BO118" s="335"/>
      <c r="BP118" s="335"/>
      <c r="BQ118" s="335"/>
      <c r="BR118" s="335"/>
      <c r="BS118" s="335"/>
      <c r="BT118" s="335"/>
      <c r="BU118" s="335"/>
      <c r="BV118" s="335"/>
      <c r="BW118" s="335"/>
      <c r="BX118" s="335"/>
      <c r="BY118" s="335"/>
      <c r="BZ118" s="335"/>
      <c r="CA118" s="335"/>
      <c r="CB118" s="336"/>
      <c r="CC118" s="337" t="s">
        <v>700</v>
      </c>
      <c r="CD118" s="337"/>
      <c r="CE118" s="337"/>
      <c r="CF118" s="337"/>
      <c r="CG118" s="337"/>
      <c r="CH118" s="337"/>
      <c r="CI118" s="337"/>
      <c r="CJ118" s="337"/>
      <c r="CK118" s="337"/>
      <c r="CL118" s="337"/>
      <c r="CM118" s="337"/>
      <c r="CN118" s="337"/>
      <c r="CO118" s="337"/>
      <c r="CP118" s="337"/>
      <c r="CQ118" s="337"/>
      <c r="CR118" s="337"/>
      <c r="CS118" s="337"/>
      <c r="CT118" s="337"/>
      <c r="CU118" s="337"/>
      <c r="CV118" s="337"/>
      <c r="CW118" s="337"/>
      <c r="CX118" s="337"/>
      <c r="CY118" s="337"/>
      <c r="CZ118" s="337"/>
      <c r="DA118" s="337"/>
      <c r="DB118" s="337"/>
    </row>
    <row r="119" spans="1:106" s="219" customFormat="1" x14ac:dyDescent="0.35">
      <c r="A119" s="29" t="s">
        <v>1</v>
      </c>
      <c r="B119" s="29" t="s">
        <v>180</v>
      </c>
      <c r="C119" s="222" t="s">
        <v>8</v>
      </c>
      <c r="D119" s="222" t="s">
        <v>74</v>
      </c>
      <c r="E119" s="222" t="s">
        <v>75</v>
      </c>
      <c r="F119" s="222" t="s">
        <v>76</v>
      </c>
      <c r="G119" s="222" t="s">
        <v>77</v>
      </c>
      <c r="H119" s="222" t="s">
        <v>9</v>
      </c>
      <c r="I119" s="222" t="s">
        <v>78</v>
      </c>
      <c r="J119" s="222" t="s">
        <v>79</v>
      </c>
      <c r="K119" s="222" t="s">
        <v>80</v>
      </c>
      <c r="L119" s="222" t="s">
        <v>81</v>
      </c>
      <c r="M119" s="222" t="s">
        <v>10</v>
      </c>
      <c r="N119" s="222" t="s">
        <v>82</v>
      </c>
      <c r="O119" s="222" t="s">
        <v>83</v>
      </c>
      <c r="P119" s="222" t="s">
        <v>84</v>
      </c>
      <c r="Q119" s="222" t="s">
        <v>85</v>
      </c>
      <c r="R119" s="222" t="s">
        <v>11</v>
      </c>
      <c r="S119" s="222" t="s">
        <v>86</v>
      </c>
      <c r="T119" s="222" t="s">
        <v>87</v>
      </c>
      <c r="U119" s="222" t="s">
        <v>88</v>
      </c>
      <c r="V119" s="222" t="s">
        <v>89</v>
      </c>
      <c r="W119" s="222" t="s">
        <v>12</v>
      </c>
      <c r="X119" s="222" t="s">
        <v>90</v>
      </c>
      <c r="Y119" s="222" t="s">
        <v>91</v>
      </c>
      <c r="Z119" s="222" t="s">
        <v>92</v>
      </c>
      <c r="AA119" s="222" t="s">
        <v>93</v>
      </c>
      <c r="AB119" s="222" t="s">
        <v>13</v>
      </c>
      <c r="AC119" s="223" t="s">
        <v>8</v>
      </c>
      <c r="AD119" s="223" t="s">
        <v>74</v>
      </c>
      <c r="AE119" s="223" t="s">
        <v>75</v>
      </c>
      <c r="AF119" s="223" t="s">
        <v>76</v>
      </c>
      <c r="AG119" s="223" t="s">
        <v>77</v>
      </c>
      <c r="AH119" s="223" t="s">
        <v>9</v>
      </c>
      <c r="AI119" s="223" t="s">
        <v>78</v>
      </c>
      <c r="AJ119" s="223" t="s">
        <v>79</v>
      </c>
      <c r="AK119" s="223" t="s">
        <v>80</v>
      </c>
      <c r="AL119" s="223" t="s">
        <v>81</v>
      </c>
      <c r="AM119" s="223" t="s">
        <v>10</v>
      </c>
      <c r="AN119" s="223" t="s">
        <v>82</v>
      </c>
      <c r="AO119" s="223" t="s">
        <v>83</v>
      </c>
      <c r="AP119" s="223" t="s">
        <v>84</v>
      </c>
      <c r="AQ119" s="223" t="s">
        <v>85</v>
      </c>
      <c r="AR119" s="223" t="s">
        <v>11</v>
      </c>
      <c r="AS119" s="223" t="s">
        <v>86</v>
      </c>
      <c r="AT119" s="223" t="s">
        <v>87</v>
      </c>
      <c r="AU119" s="223" t="s">
        <v>88</v>
      </c>
      <c r="AV119" s="223" t="s">
        <v>89</v>
      </c>
      <c r="AW119" s="223" t="s">
        <v>12</v>
      </c>
      <c r="AX119" s="223" t="s">
        <v>90</v>
      </c>
      <c r="AY119" s="223" t="s">
        <v>91</v>
      </c>
      <c r="AZ119" s="223" t="s">
        <v>92</v>
      </c>
      <c r="BA119" s="223" t="s">
        <v>93</v>
      </c>
      <c r="BB119" s="223" t="s">
        <v>13</v>
      </c>
      <c r="BC119" s="225" t="s">
        <v>8</v>
      </c>
      <c r="BD119" s="225" t="s">
        <v>74</v>
      </c>
      <c r="BE119" s="225" t="s">
        <v>75</v>
      </c>
      <c r="BF119" s="225" t="s">
        <v>76</v>
      </c>
      <c r="BG119" s="225" t="s">
        <v>77</v>
      </c>
      <c r="BH119" s="225" t="s">
        <v>9</v>
      </c>
      <c r="BI119" s="225" t="s">
        <v>78</v>
      </c>
      <c r="BJ119" s="225" t="s">
        <v>79</v>
      </c>
      <c r="BK119" s="225" t="s">
        <v>80</v>
      </c>
      <c r="BL119" s="225" t="s">
        <v>81</v>
      </c>
      <c r="BM119" s="225" t="s">
        <v>10</v>
      </c>
      <c r="BN119" s="225" t="s">
        <v>82</v>
      </c>
      <c r="BO119" s="225" t="s">
        <v>83</v>
      </c>
      <c r="BP119" s="225" t="s">
        <v>84</v>
      </c>
      <c r="BQ119" s="225" t="s">
        <v>85</v>
      </c>
      <c r="BR119" s="225" t="s">
        <v>11</v>
      </c>
      <c r="BS119" s="225" t="s">
        <v>86</v>
      </c>
      <c r="BT119" s="225" t="s">
        <v>87</v>
      </c>
      <c r="BU119" s="225" t="s">
        <v>88</v>
      </c>
      <c r="BV119" s="225" t="s">
        <v>89</v>
      </c>
      <c r="BW119" s="225" t="s">
        <v>12</v>
      </c>
      <c r="BX119" s="225" t="s">
        <v>90</v>
      </c>
      <c r="BY119" s="225" t="s">
        <v>91</v>
      </c>
      <c r="BZ119" s="225" t="s">
        <v>92</v>
      </c>
      <c r="CA119" s="225" t="s">
        <v>93</v>
      </c>
      <c r="CB119" s="225" t="s">
        <v>13</v>
      </c>
      <c r="CC119" s="224" t="s">
        <v>8</v>
      </c>
      <c r="CD119" s="224" t="s">
        <v>74</v>
      </c>
      <c r="CE119" s="224" t="s">
        <v>75</v>
      </c>
      <c r="CF119" s="224" t="s">
        <v>76</v>
      </c>
      <c r="CG119" s="224" t="s">
        <v>77</v>
      </c>
      <c r="CH119" s="224" t="s">
        <v>9</v>
      </c>
      <c r="CI119" s="224" t="s">
        <v>78</v>
      </c>
      <c r="CJ119" s="224" t="s">
        <v>79</v>
      </c>
      <c r="CK119" s="224" t="s">
        <v>80</v>
      </c>
      <c r="CL119" s="224" t="s">
        <v>81</v>
      </c>
      <c r="CM119" s="224" t="s">
        <v>10</v>
      </c>
      <c r="CN119" s="224" t="s">
        <v>82</v>
      </c>
      <c r="CO119" s="224" t="s">
        <v>83</v>
      </c>
      <c r="CP119" s="224" t="s">
        <v>84</v>
      </c>
      <c r="CQ119" s="224" t="s">
        <v>85</v>
      </c>
      <c r="CR119" s="224" t="s">
        <v>11</v>
      </c>
      <c r="CS119" s="224" t="s">
        <v>86</v>
      </c>
      <c r="CT119" s="224" t="s">
        <v>87</v>
      </c>
      <c r="CU119" s="224" t="s">
        <v>88</v>
      </c>
      <c r="CV119" s="224" t="s">
        <v>89</v>
      </c>
      <c r="CW119" s="224" t="s">
        <v>12</v>
      </c>
      <c r="CX119" s="224" t="s">
        <v>90</v>
      </c>
      <c r="CY119" s="224" t="s">
        <v>91</v>
      </c>
      <c r="CZ119" s="224" t="s">
        <v>92</v>
      </c>
      <c r="DA119" s="224" t="s">
        <v>93</v>
      </c>
      <c r="DB119" s="224" t="s">
        <v>13</v>
      </c>
    </row>
    <row r="120" spans="1:106" s="219" customFormat="1" x14ac:dyDescent="0.35"/>
    <row r="121" spans="1:106" s="219" customFormat="1" x14ac:dyDescent="0.35">
      <c r="A121" s="137" t="s">
        <v>770</v>
      </c>
      <c r="B121" s="31" t="s">
        <v>769</v>
      </c>
      <c r="C121" s="219">
        <v>1.3451256554244721E-5</v>
      </c>
      <c r="D121" s="219">
        <v>1.344212062277291E-5</v>
      </c>
      <c r="E121" s="219">
        <v>1.343247208512156E-5</v>
      </c>
      <c r="F121" s="219">
        <v>1.342318188016331E-5</v>
      </c>
      <c r="G121" s="219">
        <v>1.341256261764733E-5</v>
      </c>
      <c r="H121" s="219">
        <v>1.3401337286919769E-5</v>
      </c>
      <c r="I121" s="219">
        <v>1.3374855186079781E-5</v>
      </c>
      <c r="J121" s="219">
        <v>1.3351544018090619E-5</v>
      </c>
      <c r="K121" s="219">
        <v>1.333297678780871E-5</v>
      </c>
      <c r="L121" s="219">
        <v>1.331267534934062E-5</v>
      </c>
      <c r="M121" s="219">
        <v>1.32930820874735E-5</v>
      </c>
      <c r="N121" s="219">
        <v>1.3279750917965049E-5</v>
      </c>
      <c r="O121" s="219">
        <v>1.326782087995971E-5</v>
      </c>
      <c r="P121" s="219">
        <v>1.3258934313341561E-5</v>
      </c>
      <c r="Q121" s="219">
        <v>1.3248946090334201E-5</v>
      </c>
      <c r="R121" s="219">
        <v>1.323960673425025E-5</v>
      </c>
      <c r="S121" s="219">
        <v>1.3237977162515349E-5</v>
      </c>
      <c r="T121" s="219">
        <v>1.323655214115955E-5</v>
      </c>
      <c r="U121" s="219">
        <v>1.3236517473105031E-5</v>
      </c>
      <c r="V121" s="219">
        <v>1.3235310179233419E-5</v>
      </c>
      <c r="W121" s="219">
        <v>1.3234174094630101E-5</v>
      </c>
      <c r="X121" s="219">
        <v>1.323885632786636E-5</v>
      </c>
      <c r="Y121" s="219">
        <v>1.3242653864737311E-5</v>
      </c>
      <c r="Z121" s="219">
        <v>1.324641937160448E-5</v>
      </c>
      <c r="AA121" s="219">
        <v>1.325015599856062E-5</v>
      </c>
      <c r="AB121" s="219">
        <v>1.3253868656744041E-5</v>
      </c>
      <c r="AC121" s="219">
        <v>7.7641886396609147E-9</v>
      </c>
      <c r="AD121" s="219">
        <v>7.7463034564325968E-9</v>
      </c>
      <c r="AE121" s="219">
        <v>7.7281844057708394E-9</v>
      </c>
      <c r="AF121" s="219">
        <v>7.7071726232900506E-9</v>
      </c>
      <c r="AG121" s="219">
        <v>7.6886280080387074E-9</v>
      </c>
      <c r="AH121" s="219">
        <v>7.6698274630182452E-9</v>
      </c>
      <c r="AI121" s="219">
        <v>7.6531485264654023E-9</v>
      </c>
      <c r="AJ121" s="219">
        <v>7.6377001479737746E-9</v>
      </c>
      <c r="AK121" s="219">
        <v>7.623191023139775E-9</v>
      </c>
      <c r="AL121" s="219">
        <v>7.6082452405314428E-9</v>
      </c>
      <c r="AM121" s="219">
        <v>7.5931613116248165E-9</v>
      </c>
      <c r="AN121" s="219">
        <v>7.5814311205676659E-9</v>
      </c>
      <c r="AO121" s="219">
        <v>7.5698333779262577E-9</v>
      </c>
      <c r="AP121" s="219">
        <v>7.5590972910687453E-9</v>
      </c>
      <c r="AQ121" s="219">
        <v>7.547728530773733E-9</v>
      </c>
      <c r="AR121" s="219">
        <v>7.5364558770289117E-9</v>
      </c>
      <c r="AS121" s="219">
        <v>7.5293347381641182E-9</v>
      </c>
      <c r="AT121" s="219">
        <v>7.5223837565896915E-9</v>
      </c>
      <c r="AU121" s="219">
        <v>7.5161616041226809E-9</v>
      </c>
      <c r="AV121" s="219">
        <v>7.5095362691041128E-9</v>
      </c>
      <c r="AW121" s="219">
        <v>7.5031575674303788E-9</v>
      </c>
      <c r="AX121" s="219">
        <v>7.5023273064769698E-9</v>
      </c>
      <c r="AY121" s="219">
        <v>7.5005257270669244E-9</v>
      </c>
      <c r="AZ121" s="219">
        <v>7.4987445181575883E-9</v>
      </c>
      <c r="BA121" s="219">
        <v>7.4969850869774287E-9</v>
      </c>
      <c r="BB121" s="219">
        <v>7.4952504293026208E-9</v>
      </c>
      <c r="BC121" s="219">
        <v>2.326679632517363E-3</v>
      </c>
      <c r="BD121" s="219">
        <v>2.3195177694958092E-3</v>
      </c>
      <c r="BE121" s="219">
        <v>2.3120698195290162E-3</v>
      </c>
      <c r="BF121" s="219">
        <v>2.2822298578484301E-3</v>
      </c>
      <c r="BG121" s="219">
        <v>2.274281220915819E-3</v>
      </c>
      <c r="BH121" s="219">
        <v>2.2659583636999818E-3</v>
      </c>
      <c r="BI121" s="219">
        <v>2.2601764176177919E-3</v>
      </c>
      <c r="BJ121" s="219">
        <v>2.2552037622810841E-3</v>
      </c>
      <c r="BK121" s="219">
        <v>2.2354777332741862E-3</v>
      </c>
      <c r="BL121" s="219">
        <v>2.230927596415059E-3</v>
      </c>
      <c r="BM121" s="219">
        <v>2.226229033052233E-3</v>
      </c>
      <c r="BN121" s="219">
        <v>2.2171354581674461E-3</v>
      </c>
      <c r="BO121" s="219">
        <v>2.2081108895172039E-3</v>
      </c>
      <c r="BP121" s="219">
        <v>2.1949571850404391E-3</v>
      </c>
      <c r="BQ121" s="219">
        <v>2.1861071194001201E-3</v>
      </c>
      <c r="BR121" s="219">
        <v>2.177277289268832E-3</v>
      </c>
      <c r="BS121" s="219">
        <v>2.169474623663444E-3</v>
      </c>
      <c r="BT121" s="219">
        <v>2.1617727398816631E-3</v>
      </c>
      <c r="BU121" s="219">
        <v>2.1501978450630078E-3</v>
      </c>
      <c r="BV121" s="219">
        <v>2.1427851198355138E-3</v>
      </c>
      <c r="BW121" s="219">
        <v>2.1353794874742352E-3</v>
      </c>
      <c r="BX121" s="219">
        <v>2.1334442685049361E-3</v>
      </c>
      <c r="BY121" s="219">
        <v>2.1315376308863329E-3</v>
      </c>
      <c r="BZ121" s="219">
        <v>2.1296536931584269E-3</v>
      </c>
      <c r="CA121" s="219">
        <v>2.127790551377589E-3</v>
      </c>
      <c r="CB121" s="219">
        <v>2.125947634745291E-3</v>
      </c>
      <c r="CC121" s="219">
        <v>1.9119598789714289E-2</v>
      </c>
      <c r="CD121" s="219">
        <v>1.8651524733998191E-2</v>
      </c>
      <c r="CE121" s="219">
        <v>1.8179677075561021E-2</v>
      </c>
      <c r="CF121" s="219">
        <v>1.7559380097277082E-2</v>
      </c>
      <c r="CG121" s="219">
        <v>1.7081618893299091E-2</v>
      </c>
      <c r="CH121" s="219">
        <v>1.6600266114703329E-2</v>
      </c>
      <c r="CI121" s="219">
        <v>1.6172836787805279E-2</v>
      </c>
      <c r="CJ121" s="219">
        <v>1.5775990991412012E-2</v>
      </c>
      <c r="CK121" s="219">
        <v>1.5304857790331521E-2</v>
      </c>
      <c r="CL121" s="219">
        <v>1.492360913390673E-2</v>
      </c>
      <c r="CM121" s="219">
        <v>1.454066942536847E-2</v>
      </c>
      <c r="CN121" s="219">
        <v>1.417729163725653E-2</v>
      </c>
      <c r="CO121" s="219">
        <v>1.381848007190881E-2</v>
      </c>
      <c r="CP121" s="219">
        <v>1.344108981781514E-2</v>
      </c>
      <c r="CQ121" s="219">
        <v>1.3092059989073359E-2</v>
      </c>
      <c r="CR121" s="219">
        <v>1.274839913323445E-2</v>
      </c>
      <c r="CS121" s="219">
        <v>1.250407364919961E-2</v>
      </c>
      <c r="CT121" s="219">
        <v>1.2265569852956969E-2</v>
      </c>
      <c r="CU121" s="219">
        <v>1.201420203994214E-2</v>
      </c>
      <c r="CV121" s="219">
        <v>1.179013925705389E-2</v>
      </c>
      <c r="CW121" s="219">
        <v>1.1578351402233639E-2</v>
      </c>
      <c r="CX121" s="219">
        <v>1.151608972737422E-2</v>
      </c>
      <c r="CY121" s="219">
        <v>1.1452433037145051E-2</v>
      </c>
      <c r="CZ121" s="219">
        <v>1.1389405599370499E-2</v>
      </c>
      <c r="DA121" s="219">
        <v>1.13270483923688E-2</v>
      </c>
      <c r="DB121" s="219">
        <v>1.126543746366834E-2</v>
      </c>
    </row>
    <row r="122" spans="1:106" s="219" customFormat="1" x14ac:dyDescent="0.35">
      <c r="A122" s="137" t="s">
        <v>771</v>
      </c>
      <c r="B122" s="31" t="s">
        <v>769</v>
      </c>
      <c r="C122" s="219">
        <v>1.468692097771946E-5</v>
      </c>
      <c r="D122" s="219">
        <v>1.339323828932988E-5</v>
      </c>
      <c r="E122" s="219">
        <v>1.209854357853616E-5</v>
      </c>
      <c r="F122" s="219">
        <v>1.080522099390962E-5</v>
      </c>
      <c r="G122" s="219">
        <v>9.5085297453350459E-6</v>
      </c>
      <c r="H122" s="219">
        <v>8.2107647800481597E-6</v>
      </c>
      <c r="I122" s="219">
        <v>7.7426691216489692E-6</v>
      </c>
      <c r="J122" s="219">
        <v>7.2758930579013123E-6</v>
      </c>
      <c r="K122" s="219">
        <v>6.8133314487393414E-6</v>
      </c>
      <c r="L122" s="219">
        <v>6.3480015849501142E-6</v>
      </c>
      <c r="M122" s="219">
        <v>5.8830157187175122E-6</v>
      </c>
      <c r="N122" s="219">
        <v>5.7521385411306983E-6</v>
      </c>
      <c r="O122" s="219">
        <v>5.6207340145650084E-6</v>
      </c>
      <c r="P122" s="219">
        <v>5.4909885699876607E-6</v>
      </c>
      <c r="Q122" s="219">
        <v>5.3582269030382686E-6</v>
      </c>
      <c r="R122" s="219">
        <v>5.2246789865162936E-6</v>
      </c>
      <c r="S122" s="219">
        <v>5.2867689182587254E-6</v>
      </c>
      <c r="T122" s="219">
        <v>5.3484183441851444E-6</v>
      </c>
      <c r="U122" s="219">
        <v>5.4111326486854144E-6</v>
      </c>
      <c r="V122" s="219">
        <v>5.4718839066863456E-6</v>
      </c>
      <c r="W122" s="219">
        <v>5.5321776753336511E-6</v>
      </c>
      <c r="X122" s="219">
        <v>5.581618062546596E-6</v>
      </c>
      <c r="Y122" s="219">
        <v>5.6295528972561258E-6</v>
      </c>
      <c r="Z122" s="219">
        <v>5.6777389995303811E-6</v>
      </c>
      <c r="AA122" s="219">
        <v>5.7261526480466703E-6</v>
      </c>
      <c r="AB122" s="219">
        <v>5.7747957353482106E-6</v>
      </c>
      <c r="AC122" s="219">
        <v>9.9113537348526269E-9</v>
      </c>
      <c r="AD122" s="219">
        <v>9.0704553803505437E-9</v>
      </c>
      <c r="AE122" s="219">
        <v>8.229093438858024E-9</v>
      </c>
      <c r="AF122" s="219">
        <v>7.3852100922017569E-9</v>
      </c>
      <c r="AG122" s="219">
        <v>6.5427945757097422E-9</v>
      </c>
      <c r="AH122" s="219">
        <v>5.6997939132512848E-9</v>
      </c>
      <c r="AI122" s="219">
        <v>5.2776022444609579E-9</v>
      </c>
      <c r="AJ122" s="219">
        <v>4.8559037731498146E-9</v>
      </c>
      <c r="AK122" s="219">
        <v>4.4344901253658699E-9</v>
      </c>
      <c r="AL122" s="219">
        <v>4.0129287934456894E-9</v>
      </c>
      <c r="AM122" s="219">
        <v>3.5912218539280219E-9</v>
      </c>
      <c r="AN122" s="219">
        <v>3.3593862486236562E-9</v>
      </c>
      <c r="AO122" s="219">
        <v>3.126291251115441E-9</v>
      </c>
      <c r="AP122" s="219">
        <v>2.8930699445744072E-9</v>
      </c>
      <c r="AQ122" s="219">
        <v>2.6574454946926599E-9</v>
      </c>
      <c r="AR122" s="219">
        <v>2.4205907160071861E-9</v>
      </c>
      <c r="AS122" s="219">
        <v>2.345886460686373E-9</v>
      </c>
      <c r="AT122" s="219">
        <v>2.271006523614887E-9</v>
      </c>
      <c r="AU122" s="219">
        <v>2.1969595426766E-9</v>
      </c>
      <c r="AV122" s="219">
        <v>2.1217526067415671E-9</v>
      </c>
      <c r="AW122" s="219">
        <v>2.0464109771025761E-9</v>
      </c>
      <c r="AX122" s="219">
        <v>2.0284458998181761E-9</v>
      </c>
      <c r="AY122" s="219">
        <v>2.0052828527245828E-9</v>
      </c>
      <c r="AZ122" s="219">
        <v>1.9820766913287451E-9</v>
      </c>
      <c r="BA122" s="219">
        <v>1.958812402029027E-9</v>
      </c>
      <c r="BB122" s="219">
        <v>1.9354894709761259E-9</v>
      </c>
      <c r="BC122" s="219">
        <v>1.7368402822116678E-2</v>
      </c>
      <c r="BD122" s="219">
        <v>1.7032992981930339E-2</v>
      </c>
      <c r="BE122" s="219">
        <v>1.6697602083949659E-2</v>
      </c>
      <c r="BF122" s="219">
        <v>1.63332317562794E-2</v>
      </c>
      <c r="BG122" s="219">
        <v>1.59979334712698E-2</v>
      </c>
      <c r="BH122" s="219">
        <v>1.5662605002837528E-2</v>
      </c>
      <c r="BI122" s="219">
        <v>1.5556756323976359E-2</v>
      </c>
      <c r="BJ122" s="219">
        <v>1.545013805943069E-2</v>
      </c>
      <c r="BK122" s="219">
        <v>1.531698761801626E-2</v>
      </c>
      <c r="BL122" s="219">
        <v>1.5207636009089949E-2</v>
      </c>
      <c r="BM122" s="219">
        <v>1.5097072902427809E-2</v>
      </c>
      <c r="BN122" s="219">
        <v>1.497703199802999E-2</v>
      </c>
      <c r="BO122" s="219">
        <v>1.485516227709451E-2</v>
      </c>
      <c r="BP122" s="219">
        <v>1.472549773043696E-2</v>
      </c>
      <c r="BQ122" s="219">
        <v>1.4600060635114809E-2</v>
      </c>
      <c r="BR122" s="219">
        <v>1.4472825103216401E-2</v>
      </c>
      <c r="BS122" s="219">
        <v>1.4570629339531739E-2</v>
      </c>
      <c r="BT122" s="219">
        <v>1.4666653465225461E-2</v>
      </c>
      <c r="BU122" s="219">
        <v>1.4755032923859971E-2</v>
      </c>
      <c r="BV122" s="219">
        <v>1.484757546503063E-2</v>
      </c>
      <c r="BW122" s="219">
        <v>1.4938408147807079E-2</v>
      </c>
      <c r="BX122" s="219">
        <v>1.480513674406557E-2</v>
      </c>
      <c r="BY122" s="219">
        <v>1.4671908525213471E-2</v>
      </c>
      <c r="BZ122" s="219">
        <v>1.453811416158008E-2</v>
      </c>
      <c r="CA122" s="219">
        <v>1.440373197598846E-2</v>
      </c>
      <c r="CB122" s="219">
        <v>1.426875583463426E-2</v>
      </c>
      <c r="CC122" s="219">
        <v>0.1907165539394696</v>
      </c>
      <c r="CD122" s="219">
        <v>0.177248665687601</v>
      </c>
      <c r="CE122" s="219">
        <v>0.1637862952884325</v>
      </c>
      <c r="CF122" s="219">
        <v>0.1501414299344388</v>
      </c>
      <c r="CG122" s="219">
        <v>0.1366860339257972</v>
      </c>
      <c r="CH122" s="219">
        <v>0.1232322944111036</v>
      </c>
      <c r="CI122" s="219">
        <v>0.1122917001160114</v>
      </c>
      <c r="CJ122" s="219">
        <v>0.10136793692299879</v>
      </c>
      <c r="CK122" s="219">
        <v>9.0300568853014018E-2</v>
      </c>
      <c r="CL122" s="219">
        <v>7.9385005667675423E-2</v>
      </c>
      <c r="CM122" s="219">
        <v>6.8469924330582646E-2</v>
      </c>
      <c r="CN122" s="219">
        <v>5.9717349623438318E-2</v>
      </c>
      <c r="CO122" s="219">
        <v>5.0931354851911359E-2</v>
      </c>
      <c r="CP122" s="219">
        <v>4.2081281292268201E-2</v>
      </c>
      <c r="CQ122" s="219">
        <v>3.3229662116898852E-2</v>
      </c>
      <c r="CR122" s="219">
        <v>2.4345896057549981E-2</v>
      </c>
      <c r="CS122" s="219">
        <v>1.9414864559326291E-2</v>
      </c>
      <c r="CT122" s="219">
        <v>1.4485846013072901E-2</v>
      </c>
      <c r="CU122" s="219">
        <v>9.5330009750530208E-3</v>
      </c>
      <c r="CV122" s="219">
        <v>4.6096756372534711E-3</v>
      </c>
      <c r="CW122" s="219">
        <v>-3.0861111935602932E-4</v>
      </c>
      <c r="CX122" s="219">
        <v>-2.0882541407691111E-3</v>
      </c>
      <c r="CY122" s="219">
        <v>-3.8914197576742329E-3</v>
      </c>
      <c r="CZ122" s="219">
        <v>-5.7006292698580903E-3</v>
      </c>
      <c r="DA122" s="219">
        <v>-7.5160191180521606E-3</v>
      </c>
      <c r="DB122" s="219">
        <v>-9.3376288520070679E-3</v>
      </c>
    </row>
    <row r="123" spans="1:106" s="219" customFormat="1" x14ac:dyDescent="0.35"/>
    <row r="124" spans="1:106" s="11" customFormat="1" ht="21" x14ac:dyDescent="0.5">
      <c r="A124" s="11" t="s">
        <v>94</v>
      </c>
    </row>
    <row r="125" spans="1:106" s="219" customFormat="1" x14ac:dyDescent="0.35">
      <c r="A125" s="29" t="s">
        <v>0</v>
      </c>
      <c r="B125" s="29"/>
      <c r="C125" s="332" t="s">
        <v>702</v>
      </c>
      <c r="D125" s="332"/>
      <c r="E125" s="332"/>
      <c r="F125" s="332"/>
      <c r="G125" s="332"/>
      <c r="H125" s="332"/>
      <c r="I125" s="332"/>
      <c r="J125" s="332"/>
      <c r="K125" s="332"/>
      <c r="L125" s="332"/>
      <c r="M125" s="332"/>
      <c r="N125" s="332"/>
      <c r="O125" s="332"/>
      <c r="P125" s="332"/>
      <c r="Q125" s="332"/>
      <c r="R125" s="332"/>
      <c r="S125" s="332"/>
      <c r="T125" s="332"/>
      <c r="U125" s="332"/>
      <c r="V125" s="332"/>
      <c r="W125" s="332"/>
      <c r="X125" s="332"/>
      <c r="Y125" s="332"/>
      <c r="Z125" s="332"/>
      <c r="AA125" s="332"/>
      <c r="AB125" s="332"/>
      <c r="AC125" s="333" t="s">
        <v>701</v>
      </c>
      <c r="AD125" s="333"/>
      <c r="AE125" s="333"/>
      <c r="AF125" s="333"/>
      <c r="AG125" s="333"/>
      <c r="AH125" s="333"/>
      <c r="AI125" s="333"/>
      <c r="AJ125" s="333"/>
      <c r="AK125" s="333"/>
      <c r="AL125" s="333"/>
      <c r="AM125" s="333"/>
      <c r="AN125" s="333"/>
      <c r="AO125" s="333"/>
      <c r="AP125" s="333"/>
      <c r="AQ125" s="333"/>
      <c r="AR125" s="333"/>
      <c r="AS125" s="333"/>
      <c r="AT125" s="333"/>
      <c r="AU125" s="333"/>
      <c r="AV125" s="333"/>
      <c r="AW125" s="333"/>
      <c r="AX125" s="333"/>
      <c r="AY125" s="333"/>
      <c r="AZ125" s="333"/>
      <c r="BA125" s="333"/>
      <c r="BB125" s="333"/>
      <c r="BC125" s="334" t="s">
        <v>756</v>
      </c>
      <c r="BD125" s="335"/>
      <c r="BE125" s="335"/>
      <c r="BF125" s="335"/>
      <c r="BG125" s="335"/>
      <c r="BH125" s="335"/>
      <c r="BI125" s="335"/>
      <c r="BJ125" s="335"/>
      <c r="BK125" s="335"/>
      <c r="BL125" s="335"/>
      <c r="BM125" s="335"/>
      <c r="BN125" s="335"/>
      <c r="BO125" s="335"/>
      <c r="BP125" s="335"/>
      <c r="BQ125" s="335"/>
      <c r="BR125" s="335"/>
      <c r="BS125" s="335"/>
      <c r="BT125" s="335"/>
      <c r="BU125" s="335"/>
      <c r="BV125" s="335"/>
      <c r="BW125" s="335"/>
      <c r="BX125" s="335"/>
      <c r="BY125" s="335"/>
      <c r="BZ125" s="335"/>
      <c r="CA125" s="335"/>
      <c r="CB125" s="336"/>
      <c r="CC125" s="337" t="s">
        <v>700</v>
      </c>
      <c r="CD125" s="337"/>
      <c r="CE125" s="337"/>
      <c r="CF125" s="337"/>
      <c r="CG125" s="337"/>
      <c r="CH125" s="337"/>
      <c r="CI125" s="337"/>
      <c r="CJ125" s="337"/>
      <c r="CK125" s="337"/>
      <c r="CL125" s="337"/>
      <c r="CM125" s="337"/>
      <c r="CN125" s="337"/>
      <c r="CO125" s="337"/>
      <c r="CP125" s="337"/>
      <c r="CQ125" s="337"/>
      <c r="CR125" s="337"/>
      <c r="CS125" s="337"/>
      <c r="CT125" s="337"/>
      <c r="CU125" s="337"/>
      <c r="CV125" s="337"/>
      <c r="CW125" s="337"/>
      <c r="CX125" s="337"/>
      <c r="CY125" s="337"/>
      <c r="CZ125" s="337"/>
      <c r="DA125" s="337"/>
      <c r="DB125" s="337"/>
    </row>
    <row r="126" spans="1:106" s="219" customFormat="1" x14ac:dyDescent="0.35">
      <c r="A126" s="29" t="s">
        <v>1</v>
      </c>
      <c r="B126" s="29" t="s">
        <v>180</v>
      </c>
      <c r="C126" s="222" t="s">
        <v>14</v>
      </c>
      <c r="D126" s="222" t="s">
        <v>95</v>
      </c>
      <c r="E126" s="222" t="s">
        <v>96</v>
      </c>
      <c r="F126" s="222" t="s">
        <v>97</v>
      </c>
      <c r="G126" s="222" t="s">
        <v>98</v>
      </c>
      <c r="H126" s="222" t="s">
        <v>15</v>
      </c>
      <c r="I126" s="222" t="s">
        <v>99</v>
      </c>
      <c r="J126" s="222" t="s">
        <v>100</v>
      </c>
      <c r="K126" s="222" t="s">
        <v>101</v>
      </c>
      <c r="L126" s="222" t="s">
        <v>102</v>
      </c>
      <c r="M126" s="222" t="s">
        <v>16</v>
      </c>
      <c r="N126" s="222" t="s">
        <v>103</v>
      </c>
      <c r="O126" s="222" t="s">
        <v>104</v>
      </c>
      <c r="P126" s="222" t="s">
        <v>105</v>
      </c>
      <c r="Q126" s="222" t="s">
        <v>106</v>
      </c>
      <c r="R126" s="222" t="s">
        <v>17</v>
      </c>
      <c r="S126" s="222" t="s">
        <v>107</v>
      </c>
      <c r="T126" s="222" t="s">
        <v>108</v>
      </c>
      <c r="U126" s="222" t="s">
        <v>109</v>
      </c>
      <c r="V126" s="222" t="s">
        <v>110</v>
      </c>
      <c r="W126" s="222" t="s">
        <v>18</v>
      </c>
      <c r="X126" s="222" t="s">
        <v>111</v>
      </c>
      <c r="Y126" s="222" t="s">
        <v>112</v>
      </c>
      <c r="Z126" s="222" t="s">
        <v>113</v>
      </c>
      <c r="AA126" s="222" t="s">
        <v>114</v>
      </c>
      <c r="AB126" s="222" t="s">
        <v>19</v>
      </c>
      <c r="AC126" s="223" t="s">
        <v>14</v>
      </c>
      <c r="AD126" s="223" t="s">
        <v>95</v>
      </c>
      <c r="AE126" s="223" t="s">
        <v>96</v>
      </c>
      <c r="AF126" s="223" t="s">
        <v>97</v>
      </c>
      <c r="AG126" s="223" t="s">
        <v>98</v>
      </c>
      <c r="AH126" s="223" t="s">
        <v>15</v>
      </c>
      <c r="AI126" s="223" t="s">
        <v>99</v>
      </c>
      <c r="AJ126" s="223" t="s">
        <v>100</v>
      </c>
      <c r="AK126" s="223" t="s">
        <v>101</v>
      </c>
      <c r="AL126" s="223" t="s">
        <v>102</v>
      </c>
      <c r="AM126" s="223" t="s">
        <v>16</v>
      </c>
      <c r="AN126" s="223" t="s">
        <v>103</v>
      </c>
      <c r="AO126" s="223" t="s">
        <v>104</v>
      </c>
      <c r="AP126" s="223" t="s">
        <v>105</v>
      </c>
      <c r="AQ126" s="223" t="s">
        <v>106</v>
      </c>
      <c r="AR126" s="223" t="s">
        <v>17</v>
      </c>
      <c r="AS126" s="223" t="s">
        <v>107</v>
      </c>
      <c r="AT126" s="223" t="s">
        <v>108</v>
      </c>
      <c r="AU126" s="223" t="s">
        <v>109</v>
      </c>
      <c r="AV126" s="223" t="s">
        <v>110</v>
      </c>
      <c r="AW126" s="223" t="s">
        <v>18</v>
      </c>
      <c r="AX126" s="223" t="s">
        <v>111</v>
      </c>
      <c r="AY126" s="223" t="s">
        <v>112</v>
      </c>
      <c r="AZ126" s="223" t="s">
        <v>113</v>
      </c>
      <c r="BA126" s="223" t="s">
        <v>114</v>
      </c>
      <c r="BB126" s="223" t="s">
        <v>19</v>
      </c>
      <c r="BC126" s="225" t="s">
        <v>14</v>
      </c>
      <c r="BD126" s="225" t="s">
        <v>95</v>
      </c>
      <c r="BE126" s="225" t="s">
        <v>96</v>
      </c>
      <c r="BF126" s="225" t="s">
        <v>97</v>
      </c>
      <c r="BG126" s="225" t="s">
        <v>98</v>
      </c>
      <c r="BH126" s="225" t="s">
        <v>15</v>
      </c>
      <c r="BI126" s="225" t="s">
        <v>99</v>
      </c>
      <c r="BJ126" s="225" t="s">
        <v>100</v>
      </c>
      <c r="BK126" s="225" t="s">
        <v>101</v>
      </c>
      <c r="BL126" s="225" t="s">
        <v>102</v>
      </c>
      <c r="BM126" s="225" t="s">
        <v>16</v>
      </c>
      <c r="BN126" s="225" t="s">
        <v>103</v>
      </c>
      <c r="BO126" s="225" t="s">
        <v>104</v>
      </c>
      <c r="BP126" s="225" t="s">
        <v>105</v>
      </c>
      <c r="BQ126" s="225" t="s">
        <v>106</v>
      </c>
      <c r="BR126" s="225" t="s">
        <v>17</v>
      </c>
      <c r="BS126" s="225" t="s">
        <v>107</v>
      </c>
      <c r="BT126" s="225" t="s">
        <v>108</v>
      </c>
      <c r="BU126" s="225" t="s">
        <v>109</v>
      </c>
      <c r="BV126" s="225" t="s">
        <v>110</v>
      </c>
      <c r="BW126" s="225" t="s">
        <v>18</v>
      </c>
      <c r="BX126" s="225" t="s">
        <v>111</v>
      </c>
      <c r="BY126" s="225" t="s">
        <v>112</v>
      </c>
      <c r="BZ126" s="225" t="s">
        <v>113</v>
      </c>
      <c r="CA126" s="225" t="s">
        <v>114</v>
      </c>
      <c r="CB126" s="225" t="s">
        <v>19</v>
      </c>
      <c r="CC126" s="224" t="s">
        <v>14</v>
      </c>
      <c r="CD126" s="224" t="s">
        <v>95</v>
      </c>
      <c r="CE126" s="224" t="s">
        <v>96</v>
      </c>
      <c r="CF126" s="224" t="s">
        <v>97</v>
      </c>
      <c r="CG126" s="224" t="s">
        <v>98</v>
      </c>
      <c r="CH126" s="224" t="s">
        <v>15</v>
      </c>
      <c r="CI126" s="224" t="s">
        <v>99</v>
      </c>
      <c r="CJ126" s="224" t="s">
        <v>100</v>
      </c>
      <c r="CK126" s="224" t="s">
        <v>101</v>
      </c>
      <c r="CL126" s="224" t="s">
        <v>102</v>
      </c>
      <c r="CM126" s="224" t="s">
        <v>16</v>
      </c>
      <c r="CN126" s="224" t="s">
        <v>103</v>
      </c>
      <c r="CO126" s="224" t="s">
        <v>104</v>
      </c>
      <c r="CP126" s="224" t="s">
        <v>105</v>
      </c>
      <c r="CQ126" s="224" t="s">
        <v>106</v>
      </c>
      <c r="CR126" s="224" t="s">
        <v>17</v>
      </c>
      <c r="CS126" s="224" t="s">
        <v>107</v>
      </c>
      <c r="CT126" s="224" t="s">
        <v>108</v>
      </c>
      <c r="CU126" s="224" t="s">
        <v>109</v>
      </c>
      <c r="CV126" s="224" t="s">
        <v>110</v>
      </c>
      <c r="CW126" s="224" t="s">
        <v>18</v>
      </c>
      <c r="CX126" s="224" t="s">
        <v>111</v>
      </c>
      <c r="CY126" s="224" t="s">
        <v>112</v>
      </c>
      <c r="CZ126" s="224" t="s">
        <v>113</v>
      </c>
      <c r="DA126" s="224" t="s">
        <v>114</v>
      </c>
      <c r="DB126" s="224" t="s">
        <v>19</v>
      </c>
    </row>
    <row r="127" spans="1:106" s="219" customFormat="1" x14ac:dyDescent="0.35"/>
    <row r="128" spans="1:106" s="219" customFormat="1" x14ac:dyDescent="0.35">
      <c r="A128" s="137" t="s">
        <v>770</v>
      </c>
      <c r="B128" s="31" t="s">
        <v>769</v>
      </c>
      <c r="C128" s="219">
        <v>1.321317415712929E-5</v>
      </c>
      <c r="D128" s="219">
        <v>1.3203646961264901E-5</v>
      </c>
      <c r="E128" s="219">
        <v>1.3194317208112E-5</v>
      </c>
      <c r="F128" s="219">
        <v>1.3185385457987591E-5</v>
      </c>
      <c r="G128" s="219">
        <v>1.317525852316068E-5</v>
      </c>
      <c r="H128" s="219">
        <v>1.316503609134797E-5</v>
      </c>
      <c r="I128" s="219">
        <v>1.3152241111803859E-5</v>
      </c>
      <c r="J128" s="219">
        <v>1.314159439672143E-5</v>
      </c>
      <c r="K128" s="219">
        <v>1.3135467432650849E-5</v>
      </c>
      <c r="L128" s="219">
        <v>1.312793659593485E-5</v>
      </c>
      <c r="M128" s="219">
        <v>1.3121632146001589E-5</v>
      </c>
      <c r="N128" s="219">
        <v>1.3117795362689509E-5</v>
      </c>
      <c r="O128" s="219">
        <v>1.31153687342956E-5</v>
      </c>
      <c r="P128" s="219">
        <v>1.311596595426369E-5</v>
      </c>
      <c r="Q128" s="219">
        <v>1.311533760553802E-5</v>
      </c>
      <c r="R128" s="219">
        <v>1.311527108667626E-5</v>
      </c>
      <c r="S128" s="219">
        <v>1.3118506081027241E-5</v>
      </c>
      <c r="T128" s="219">
        <v>1.312175998023992E-5</v>
      </c>
      <c r="U128" s="219">
        <v>1.312633545749893E-5</v>
      </c>
      <c r="V128" s="219">
        <v>1.312952828623324E-5</v>
      </c>
      <c r="W128" s="219">
        <v>1.3132738732855529E-5</v>
      </c>
      <c r="X128" s="219">
        <v>1.313832831134756E-5</v>
      </c>
      <c r="Y128" s="219">
        <v>1.3143007418880131E-5</v>
      </c>
      <c r="Z128" s="219">
        <v>1.3147651237688891E-5</v>
      </c>
      <c r="AA128" s="219">
        <v>1.3152260856401071E-5</v>
      </c>
      <c r="AB128" s="219">
        <v>1.315683765430302E-5</v>
      </c>
      <c r="AC128" s="219">
        <v>7.5993178682065335E-9</v>
      </c>
      <c r="AD128" s="219">
        <v>7.5787052333590806E-9</v>
      </c>
      <c r="AE128" s="219">
        <v>7.5580030511161552E-9</v>
      </c>
      <c r="AF128" s="219">
        <v>7.534480913452656E-9</v>
      </c>
      <c r="AG128" s="219">
        <v>7.5130726331794493E-9</v>
      </c>
      <c r="AH128" s="219">
        <v>7.4915292772846483E-9</v>
      </c>
      <c r="AI128" s="219">
        <v>7.4851957031206167E-9</v>
      </c>
      <c r="AJ128" s="219">
        <v>7.4789849168645754E-9</v>
      </c>
      <c r="AK128" s="219">
        <v>7.473548693450415E-9</v>
      </c>
      <c r="AL128" s="219">
        <v>7.4675806687461897E-9</v>
      </c>
      <c r="AM128" s="219">
        <v>7.4617658730955592E-9</v>
      </c>
      <c r="AN128" s="219">
        <v>7.4591808244370748E-9</v>
      </c>
      <c r="AO128" s="219">
        <v>7.4567228011520553E-9</v>
      </c>
      <c r="AP128" s="219">
        <v>7.4551601651430666E-9</v>
      </c>
      <c r="AQ128" s="219">
        <v>7.4528018207455296E-9</v>
      </c>
      <c r="AR128" s="219">
        <v>7.4504433991000023E-9</v>
      </c>
      <c r="AS128" s="219">
        <v>7.4482890769080896E-9</v>
      </c>
      <c r="AT128" s="219">
        <v>7.446190724111633E-9</v>
      </c>
      <c r="AU128" s="219">
        <v>7.4448430754146233E-9</v>
      </c>
      <c r="AV128" s="219">
        <v>7.4428185917292983E-9</v>
      </c>
      <c r="AW128" s="219">
        <v>7.4408116769548174E-9</v>
      </c>
      <c r="AX128" s="219">
        <v>7.4408237557377974E-9</v>
      </c>
      <c r="AY128" s="219">
        <v>7.4397745529283468E-9</v>
      </c>
      <c r="AZ128" s="219">
        <v>7.4387389078579627E-9</v>
      </c>
      <c r="BA128" s="219">
        <v>7.4377164828093116E-9</v>
      </c>
      <c r="BB128" s="219">
        <v>7.4367071157343384E-9</v>
      </c>
      <c r="BC128" s="219">
        <v>2.2289578943750781E-3</v>
      </c>
      <c r="BD128" s="219">
        <v>2.219560944482626E-3</v>
      </c>
      <c r="BE128" s="219">
        <v>2.2099378922103121E-3</v>
      </c>
      <c r="BF128" s="219">
        <v>2.1787665798275761E-3</v>
      </c>
      <c r="BG128" s="219">
        <v>2.1685135842542391E-3</v>
      </c>
      <c r="BH128" s="219">
        <v>2.158123676059334E-3</v>
      </c>
      <c r="BI128" s="219">
        <v>2.1635860843694809E-3</v>
      </c>
      <c r="BJ128" s="219">
        <v>2.168799564107086E-3</v>
      </c>
      <c r="BK128" s="219">
        <v>2.1595349568851651E-3</v>
      </c>
      <c r="BL128" s="219">
        <v>2.1644498093741061E-3</v>
      </c>
      <c r="BM128" s="219">
        <v>2.169160793241331E-3</v>
      </c>
      <c r="BN128" s="219">
        <v>2.1651497978435901E-3</v>
      </c>
      <c r="BO128" s="219">
        <v>2.1611931928408141E-3</v>
      </c>
      <c r="BP128" s="219">
        <v>2.1533145159371848E-3</v>
      </c>
      <c r="BQ128" s="219">
        <v>2.1494169196286188E-3</v>
      </c>
      <c r="BR128" s="219">
        <v>2.1454736348883838E-3</v>
      </c>
      <c r="BS128" s="219">
        <v>2.135655423941704E-3</v>
      </c>
      <c r="BT128" s="219">
        <v>2.1259395770103812E-3</v>
      </c>
      <c r="BU128" s="219">
        <v>2.1125642753422121E-3</v>
      </c>
      <c r="BV128" s="219">
        <v>2.1029580229890428E-3</v>
      </c>
      <c r="BW128" s="219">
        <v>2.0929139006889419E-3</v>
      </c>
      <c r="BX128" s="219">
        <v>2.0906077750454848E-3</v>
      </c>
      <c r="BY128" s="219">
        <v>2.0883184557720369E-3</v>
      </c>
      <c r="BZ128" s="219">
        <v>2.0860389098157411E-3</v>
      </c>
      <c r="CA128" s="219">
        <v>2.083768957518667E-3</v>
      </c>
      <c r="CB128" s="219">
        <v>2.0815085922746639E-3</v>
      </c>
      <c r="CC128" s="219">
        <v>1.5227824457412741E-2</v>
      </c>
      <c r="CD128" s="219">
        <v>1.455460001626727E-2</v>
      </c>
      <c r="CE128" s="219">
        <v>1.3880296170471859E-2</v>
      </c>
      <c r="CF128" s="219">
        <v>1.306880321761119E-2</v>
      </c>
      <c r="CG128" s="219">
        <v>1.23830775561593E-2</v>
      </c>
      <c r="CH128" s="219">
        <v>1.169436910986453E-2</v>
      </c>
      <c r="CI128" s="219">
        <v>1.143337302051539E-2</v>
      </c>
      <c r="CJ128" s="219">
        <v>1.1175294862514481E-2</v>
      </c>
      <c r="CK128" s="219">
        <v>1.084617725809112E-2</v>
      </c>
      <c r="CL128" s="219">
        <v>1.0595041534857691E-2</v>
      </c>
      <c r="CM128" s="219">
        <v>1.0347500199720749E-2</v>
      </c>
      <c r="CN128" s="219">
        <v>1.022437101550739E-2</v>
      </c>
      <c r="CO128" s="219">
        <v>1.0104080747727459E-2</v>
      </c>
      <c r="CP128" s="219">
        <v>9.9667339158314994E-3</v>
      </c>
      <c r="CQ128" s="219">
        <v>9.8500194542955593E-3</v>
      </c>
      <c r="CR128" s="219">
        <v>9.7342823489805375E-3</v>
      </c>
      <c r="CS128" s="219">
        <v>9.6432525328783228E-3</v>
      </c>
      <c r="CT128" s="219">
        <v>9.554106285565361E-3</v>
      </c>
      <c r="CU128" s="219">
        <v>9.4532930895929405E-3</v>
      </c>
      <c r="CV128" s="219">
        <v>9.3675699245525292E-3</v>
      </c>
      <c r="CW128" s="219">
        <v>9.2818573776025631E-3</v>
      </c>
      <c r="CX128" s="219">
        <v>9.2326867800197419E-3</v>
      </c>
      <c r="CY128" s="219">
        <v>9.1826855651735498E-3</v>
      </c>
      <c r="CZ128" s="219">
        <v>9.133389108366162E-3</v>
      </c>
      <c r="DA128" s="219">
        <v>9.0847868540088264E-3</v>
      </c>
      <c r="DB128" s="219">
        <v>9.0368696936521109E-3</v>
      </c>
    </row>
    <row r="129" spans="1:106" s="219" customFormat="1" x14ac:dyDescent="0.35">
      <c r="A129" s="137" t="s">
        <v>771</v>
      </c>
      <c r="B129" s="31" t="s">
        <v>769</v>
      </c>
      <c r="C129" s="219">
        <v>6.6981370258311276E-6</v>
      </c>
      <c r="D129" s="219">
        <v>6.2655410467283547E-6</v>
      </c>
      <c r="E129" s="219">
        <v>5.830574039003777E-6</v>
      </c>
      <c r="F129" s="219">
        <v>5.3959839245694198E-6</v>
      </c>
      <c r="G129" s="219">
        <v>4.9558705436851317E-6</v>
      </c>
      <c r="H129" s="219">
        <v>4.5131546430021719E-6</v>
      </c>
      <c r="I129" s="219">
        <v>4.5062353975242436E-6</v>
      </c>
      <c r="J129" s="219">
        <v>4.4991246516658971E-6</v>
      </c>
      <c r="K129" s="219">
        <v>4.4967148255318803E-6</v>
      </c>
      <c r="L129" s="219">
        <v>4.4891758674842326E-6</v>
      </c>
      <c r="M129" s="219">
        <v>4.4811865452446326E-6</v>
      </c>
      <c r="N129" s="219">
        <v>4.4545789099357996E-6</v>
      </c>
      <c r="O129" s="219">
        <v>4.4284562095298453E-6</v>
      </c>
      <c r="P129" s="219">
        <v>4.4059121312885186E-6</v>
      </c>
      <c r="Q129" s="219">
        <v>4.3802683205781064E-6</v>
      </c>
      <c r="R129" s="219">
        <v>4.3547492824882279E-6</v>
      </c>
      <c r="S129" s="219">
        <v>4.4258715169849764E-6</v>
      </c>
      <c r="T129" s="219">
        <v>4.4963602006678917E-6</v>
      </c>
      <c r="U129" s="219">
        <v>4.5683104471734167E-6</v>
      </c>
      <c r="V129" s="219">
        <v>4.6376068022500206E-6</v>
      </c>
      <c r="W129" s="219">
        <v>4.7063464969831946E-6</v>
      </c>
      <c r="X129" s="219">
        <v>4.7057915985294076E-6</v>
      </c>
      <c r="Y129" s="219">
        <v>4.7033815435394188E-6</v>
      </c>
      <c r="Z129" s="219">
        <v>4.7010399972230751E-6</v>
      </c>
      <c r="AA129" s="219">
        <v>4.6987433493687287E-6</v>
      </c>
      <c r="AB129" s="219">
        <v>4.6964921758008687E-6</v>
      </c>
      <c r="AC129" s="219">
        <v>4.2344686555896917E-9</v>
      </c>
      <c r="AD129" s="219">
        <v>3.7552268383032152E-9</v>
      </c>
      <c r="AE129" s="219">
        <v>3.2744931808752551E-9</v>
      </c>
      <c r="AF129" s="219">
        <v>2.790269276739126E-9</v>
      </c>
      <c r="AG129" s="219">
        <v>2.3061716137614591E-9</v>
      </c>
      <c r="AH129" s="219">
        <v>1.820381861086525E-9</v>
      </c>
      <c r="AI129" s="219">
        <v>1.7336495188676189E-9</v>
      </c>
      <c r="AJ129" s="219">
        <v>1.646224458757901E-9</v>
      </c>
      <c r="AK129" s="219">
        <v>1.5589909840219251E-9</v>
      </c>
      <c r="AL129" s="219">
        <v>1.47030892159762E-9</v>
      </c>
      <c r="AM129" s="219">
        <v>1.3809466523587271E-9</v>
      </c>
      <c r="AN129" s="219">
        <v>1.3115573162693431E-9</v>
      </c>
      <c r="AO129" s="219">
        <v>1.242277843979431E-9</v>
      </c>
      <c r="AP129" s="219">
        <v>1.1749028564166429E-9</v>
      </c>
      <c r="AQ129" s="219">
        <v>1.105697258649937E-9</v>
      </c>
      <c r="AR129" s="219">
        <v>1.036530145345295E-9</v>
      </c>
      <c r="AS129" s="219">
        <v>9.9060019883037109E-10</v>
      </c>
      <c r="AT129" s="219">
        <v>9.4494618360730826E-10</v>
      </c>
      <c r="AU129" s="219">
        <v>9.0114999652397493E-10</v>
      </c>
      <c r="AV129" s="219">
        <v>8.560877583327868E-10</v>
      </c>
      <c r="AW129" s="219">
        <v>8.1130978809797352E-10</v>
      </c>
      <c r="AX129" s="219">
        <v>7.4689217940847372E-10</v>
      </c>
      <c r="AY129" s="219">
        <v>6.7665920635054988E-10</v>
      </c>
      <c r="AZ129" s="219">
        <v>6.0626417065911829E-10</v>
      </c>
      <c r="BA129" s="219">
        <v>5.3569200495188288E-10</v>
      </c>
      <c r="BB129" s="219">
        <v>4.6494095863720902E-10</v>
      </c>
      <c r="BC129" s="219">
        <v>9.8803233097379765E-3</v>
      </c>
      <c r="BD129" s="219">
        <v>9.056858860185665E-3</v>
      </c>
      <c r="BE129" s="219">
        <v>8.2269894802253808E-3</v>
      </c>
      <c r="BF129" s="219">
        <v>7.3566746778928761E-3</v>
      </c>
      <c r="BG129" s="219">
        <v>6.512402451824017E-3</v>
      </c>
      <c r="BH129" s="219">
        <v>5.6616974653622594E-3</v>
      </c>
      <c r="BI129" s="219">
        <v>6.6120225411947058E-3</v>
      </c>
      <c r="BJ129" s="219">
        <v>7.559970483688133E-3</v>
      </c>
      <c r="BK129" s="219">
        <v>8.4704216847793137E-3</v>
      </c>
      <c r="BL129" s="219">
        <v>9.4123302937298824E-3</v>
      </c>
      <c r="BM129" s="219">
        <v>1.035204129127293E-2</v>
      </c>
      <c r="BN129" s="219">
        <v>1.1529665993733869E-2</v>
      </c>
      <c r="BO129" s="219">
        <v>1.2703483698168211E-2</v>
      </c>
      <c r="BP129" s="219">
        <v>1.38657427295821E-2</v>
      </c>
      <c r="BQ129" s="219">
        <v>1.5032163856102371E-2</v>
      </c>
      <c r="BR129" s="219">
        <v>1.6194764153001188E-2</v>
      </c>
      <c r="BS129" s="219">
        <v>1.5774716901513559E-2</v>
      </c>
      <c r="BT129" s="219">
        <v>1.5356832159269329E-2</v>
      </c>
      <c r="BU129" s="219">
        <v>1.493409564877576E-2</v>
      </c>
      <c r="BV129" s="219">
        <v>1.452065760766158E-2</v>
      </c>
      <c r="BW129" s="219">
        <v>1.4109253873885201E-2</v>
      </c>
      <c r="BX129" s="219">
        <v>1.411137132809796E-2</v>
      </c>
      <c r="BY129" s="219">
        <v>1.411396286964036E-2</v>
      </c>
      <c r="BZ129" s="219">
        <v>1.4116443171470001E-2</v>
      </c>
      <c r="CA129" s="219">
        <v>1.4118800084968229E-2</v>
      </c>
      <c r="CB129" s="219">
        <v>1.4121035054865181E-2</v>
      </c>
      <c r="CC129" s="219">
        <v>8.124904843383321E-2</v>
      </c>
      <c r="CD129" s="219">
        <v>6.6344834052942461E-2</v>
      </c>
      <c r="CE129" s="219">
        <v>5.1431299368707557E-2</v>
      </c>
      <c r="CF129" s="219">
        <v>3.6300109789453118E-2</v>
      </c>
      <c r="CG129" s="219">
        <v>2.1349129739479049E-2</v>
      </c>
      <c r="CH129" s="219">
        <v>6.3798139652643084E-3</v>
      </c>
      <c r="CI129" s="219">
        <v>1.743975969511691E-3</v>
      </c>
      <c r="CJ129" s="219">
        <v>-2.9109943939954028E-3</v>
      </c>
      <c r="CK129" s="219">
        <v>-7.7686139454103444E-3</v>
      </c>
      <c r="CL129" s="219">
        <v>-1.246846682511505E-2</v>
      </c>
      <c r="CM129" s="219">
        <v>-1.7188208679665581E-2</v>
      </c>
      <c r="CN129" s="219">
        <v>-2.0069178208637569E-2</v>
      </c>
      <c r="CO129" s="219">
        <v>-2.294256153828507E-2</v>
      </c>
      <c r="CP129" s="219">
        <v>-2.5841522785796191E-2</v>
      </c>
      <c r="CQ129" s="219">
        <v>-2.8699451556049319E-2</v>
      </c>
      <c r="CR129" s="219">
        <v>-3.1550818404659418E-2</v>
      </c>
      <c r="CS129" s="219">
        <v>-3.5040292634388417E-2</v>
      </c>
      <c r="CT129" s="219">
        <v>-3.850185360709172E-2</v>
      </c>
      <c r="CU129" s="219">
        <v>-4.1957609256103159E-2</v>
      </c>
      <c r="CV129" s="219">
        <v>-4.5362349373566792E-2</v>
      </c>
      <c r="CW129" s="219">
        <v>-4.8739825572496939E-2</v>
      </c>
      <c r="CX129" s="219">
        <v>-5.2246612206181153E-2</v>
      </c>
      <c r="CY129" s="219">
        <v>-5.5773077746081617E-2</v>
      </c>
      <c r="CZ129" s="219">
        <v>-5.9309099639202577E-2</v>
      </c>
      <c r="DA129" s="219">
        <v>-6.2854807006812771E-2</v>
      </c>
      <c r="DB129" s="219">
        <v>-6.6410264045444492E-2</v>
      </c>
    </row>
    <row r="131" spans="1:106" s="231" customFormat="1" x14ac:dyDescent="0.35">
      <c r="A131" s="232"/>
    </row>
    <row r="132" spans="1:106" s="11" customFormat="1" ht="21" x14ac:dyDescent="0.5">
      <c r="A132" s="11" t="s">
        <v>72</v>
      </c>
    </row>
    <row r="133" spans="1:106" s="219" customFormat="1" x14ac:dyDescent="0.35">
      <c r="A133" s="29" t="s">
        <v>0</v>
      </c>
      <c r="B133" s="29"/>
      <c r="C133" s="332" t="s">
        <v>702</v>
      </c>
      <c r="D133" s="332"/>
      <c r="E133" s="332"/>
      <c r="F133" s="332"/>
      <c r="G133" s="332"/>
      <c r="H133" s="332"/>
      <c r="I133" s="332"/>
      <c r="J133" s="332"/>
      <c r="K133" s="332"/>
      <c r="L133" s="332"/>
      <c r="M133" s="332"/>
      <c r="N133" s="332"/>
      <c r="O133" s="332"/>
      <c r="P133" s="332"/>
      <c r="Q133" s="332"/>
      <c r="R133" s="332"/>
      <c r="S133" s="332"/>
      <c r="T133" s="332"/>
      <c r="U133" s="332"/>
      <c r="V133" s="332"/>
      <c r="W133" s="332"/>
      <c r="X133" s="332"/>
      <c r="Y133" s="332"/>
      <c r="Z133" s="332"/>
      <c r="AA133" s="332"/>
      <c r="AB133" s="332"/>
      <c r="AC133" s="333" t="s">
        <v>701</v>
      </c>
      <c r="AD133" s="333"/>
      <c r="AE133" s="333"/>
      <c r="AF133" s="333"/>
      <c r="AG133" s="333"/>
      <c r="AH133" s="333"/>
      <c r="AI133" s="333"/>
      <c r="AJ133" s="333"/>
      <c r="AK133" s="333"/>
      <c r="AL133" s="333"/>
      <c r="AM133" s="333"/>
      <c r="AN133" s="333"/>
      <c r="AO133" s="333"/>
      <c r="AP133" s="333"/>
      <c r="AQ133" s="333"/>
      <c r="AR133" s="333"/>
      <c r="AS133" s="333"/>
      <c r="AT133" s="333"/>
      <c r="AU133" s="333"/>
      <c r="AV133" s="333"/>
      <c r="AW133" s="333"/>
      <c r="AX133" s="333"/>
      <c r="AY133" s="333"/>
      <c r="AZ133" s="333"/>
      <c r="BA133" s="333"/>
      <c r="BB133" s="333"/>
      <c r="BC133" s="334" t="s">
        <v>756</v>
      </c>
      <c r="BD133" s="335"/>
      <c r="BE133" s="335"/>
      <c r="BF133" s="335"/>
      <c r="BG133" s="335"/>
      <c r="BH133" s="335"/>
      <c r="BI133" s="335"/>
      <c r="BJ133" s="335"/>
      <c r="BK133" s="335"/>
      <c r="BL133" s="335"/>
      <c r="BM133" s="335"/>
      <c r="BN133" s="335"/>
      <c r="BO133" s="335"/>
      <c r="BP133" s="335"/>
      <c r="BQ133" s="335"/>
      <c r="BR133" s="335"/>
      <c r="BS133" s="335"/>
      <c r="BT133" s="335"/>
      <c r="BU133" s="335"/>
      <c r="BV133" s="335"/>
      <c r="BW133" s="335"/>
      <c r="BX133" s="335"/>
      <c r="BY133" s="335"/>
      <c r="BZ133" s="335"/>
      <c r="CA133" s="335"/>
      <c r="CB133" s="336"/>
      <c r="CC133" s="337" t="s">
        <v>700</v>
      </c>
      <c r="CD133" s="337"/>
      <c r="CE133" s="337"/>
      <c r="CF133" s="337"/>
      <c r="CG133" s="337"/>
      <c r="CH133" s="337"/>
      <c r="CI133" s="337"/>
      <c r="CJ133" s="337"/>
      <c r="CK133" s="337"/>
      <c r="CL133" s="337"/>
      <c r="CM133" s="337"/>
      <c r="CN133" s="337"/>
      <c r="CO133" s="337"/>
      <c r="CP133" s="337"/>
      <c r="CQ133" s="337"/>
      <c r="CR133" s="337"/>
      <c r="CS133" s="337"/>
      <c r="CT133" s="337"/>
      <c r="CU133" s="337"/>
      <c r="CV133" s="337"/>
      <c r="CW133" s="337"/>
      <c r="CX133" s="337"/>
      <c r="CY133" s="337"/>
      <c r="CZ133" s="337"/>
      <c r="DA133" s="337"/>
      <c r="DB133" s="337"/>
    </row>
    <row r="134" spans="1:106" s="219" customFormat="1" x14ac:dyDescent="0.35">
      <c r="A134" s="29" t="s">
        <v>1</v>
      </c>
      <c r="B134" s="29" t="s">
        <v>180</v>
      </c>
      <c r="C134" s="222" t="s">
        <v>2</v>
      </c>
      <c r="D134" s="222" t="s">
        <v>52</v>
      </c>
      <c r="E134" s="222" t="s">
        <v>53</v>
      </c>
      <c r="F134" s="222" t="s">
        <v>54</v>
      </c>
      <c r="G134" s="222" t="s">
        <v>55</v>
      </c>
      <c r="H134" s="222" t="s">
        <v>3</v>
      </c>
      <c r="I134" s="222" t="s">
        <v>56</v>
      </c>
      <c r="J134" s="222" t="s">
        <v>57</v>
      </c>
      <c r="K134" s="222" t="s">
        <v>58</v>
      </c>
      <c r="L134" s="222" t="s">
        <v>59</v>
      </c>
      <c r="M134" s="222" t="s">
        <v>4</v>
      </c>
      <c r="N134" s="222" t="s">
        <v>60</v>
      </c>
      <c r="O134" s="222" t="s">
        <v>61</v>
      </c>
      <c r="P134" s="222" t="s">
        <v>62</v>
      </c>
      <c r="Q134" s="222" t="s">
        <v>63</v>
      </c>
      <c r="R134" s="222" t="s">
        <v>5</v>
      </c>
      <c r="S134" s="222" t="s">
        <v>64</v>
      </c>
      <c r="T134" s="222" t="s">
        <v>65</v>
      </c>
      <c r="U134" s="222" t="s">
        <v>66</v>
      </c>
      <c r="V134" s="222" t="s">
        <v>67</v>
      </c>
      <c r="W134" s="222" t="s">
        <v>6</v>
      </c>
      <c r="X134" s="222" t="s">
        <v>68</v>
      </c>
      <c r="Y134" s="222" t="s">
        <v>69</v>
      </c>
      <c r="Z134" s="222" t="s">
        <v>70</v>
      </c>
      <c r="AA134" s="222" t="s">
        <v>71</v>
      </c>
      <c r="AB134" s="222" t="s">
        <v>7</v>
      </c>
      <c r="AC134" s="223" t="s">
        <v>2</v>
      </c>
      <c r="AD134" s="223" t="s">
        <v>52</v>
      </c>
      <c r="AE134" s="223" t="s">
        <v>53</v>
      </c>
      <c r="AF134" s="223" t="s">
        <v>54</v>
      </c>
      <c r="AG134" s="223" t="s">
        <v>55</v>
      </c>
      <c r="AH134" s="223" t="s">
        <v>3</v>
      </c>
      <c r="AI134" s="223" t="s">
        <v>56</v>
      </c>
      <c r="AJ134" s="223" t="s">
        <v>57</v>
      </c>
      <c r="AK134" s="223" t="s">
        <v>58</v>
      </c>
      <c r="AL134" s="223" t="s">
        <v>59</v>
      </c>
      <c r="AM134" s="223" t="s">
        <v>4</v>
      </c>
      <c r="AN134" s="223" t="s">
        <v>60</v>
      </c>
      <c r="AO134" s="223" t="s">
        <v>61</v>
      </c>
      <c r="AP134" s="223" t="s">
        <v>62</v>
      </c>
      <c r="AQ134" s="223" t="s">
        <v>63</v>
      </c>
      <c r="AR134" s="223" t="s">
        <v>5</v>
      </c>
      <c r="AS134" s="223" t="s">
        <v>64</v>
      </c>
      <c r="AT134" s="223" t="s">
        <v>65</v>
      </c>
      <c r="AU134" s="223" t="s">
        <v>66</v>
      </c>
      <c r="AV134" s="223" t="s">
        <v>67</v>
      </c>
      <c r="AW134" s="223" t="s">
        <v>6</v>
      </c>
      <c r="AX134" s="223" t="s">
        <v>68</v>
      </c>
      <c r="AY134" s="223" t="s">
        <v>69</v>
      </c>
      <c r="AZ134" s="223" t="s">
        <v>70</v>
      </c>
      <c r="BA134" s="223" t="s">
        <v>71</v>
      </c>
      <c r="BB134" s="223" t="s">
        <v>7</v>
      </c>
      <c r="BC134" s="225" t="s">
        <v>2</v>
      </c>
      <c r="BD134" s="225" t="s">
        <v>52</v>
      </c>
      <c r="BE134" s="225" t="s">
        <v>53</v>
      </c>
      <c r="BF134" s="225" t="s">
        <v>54</v>
      </c>
      <c r="BG134" s="225" t="s">
        <v>55</v>
      </c>
      <c r="BH134" s="225" t="s">
        <v>3</v>
      </c>
      <c r="BI134" s="225" t="s">
        <v>56</v>
      </c>
      <c r="BJ134" s="225" t="s">
        <v>57</v>
      </c>
      <c r="BK134" s="225" t="s">
        <v>58</v>
      </c>
      <c r="BL134" s="225" t="s">
        <v>59</v>
      </c>
      <c r="BM134" s="225" t="s">
        <v>4</v>
      </c>
      <c r="BN134" s="225" t="s">
        <v>60</v>
      </c>
      <c r="BO134" s="225" t="s">
        <v>61</v>
      </c>
      <c r="BP134" s="225" t="s">
        <v>62</v>
      </c>
      <c r="BQ134" s="225" t="s">
        <v>63</v>
      </c>
      <c r="BR134" s="225" t="s">
        <v>5</v>
      </c>
      <c r="BS134" s="225" t="s">
        <v>64</v>
      </c>
      <c r="BT134" s="225" t="s">
        <v>65</v>
      </c>
      <c r="BU134" s="225" t="s">
        <v>66</v>
      </c>
      <c r="BV134" s="225" t="s">
        <v>67</v>
      </c>
      <c r="BW134" s="225" t="s">
        <v>6</v>
      </c>
      <c r="BX134" s="225" t="s">
        <v>68</v>
      </c>
      <c r="BY134" s="225" t="s">
        <v>69</v>
      </c>
      <c r="BZ134" s="225" t="s">
        <v>70</v>
      </c>
      <c r="CA134" s="225" t="s">
        <v>71</v>
      </c>
      <c r="CB134" s="225" t="s">
        <v>7</v>
      </c>
      <c r="CC134" s="224" t="s">
        <v>2</v>
      </c>
      <c r="CD134" s="224" t="s">
        <v>52</v>
      </c>
      <c r="CE134" s="224" t="s">
        <v>53</v>
      </c>
      <c r="CF134" s="224" t="s">
        <v>54</v>
      </c>
      <c r="CG134" s="224" t="s">
        <v>55</v>
      </c>
      <c r="CH134" s="224" t="s">
        <v>3</v>
      </c>
      <c r="CI134" s="224" t="s">
        <v>56</v>
      </c>
      <c r="CJ134" s="224" t="s">
        <v>57</v>
      </c>
      <c r="CK134" s="224" t="s">
        <v>58</v>
      </c>
      <c r="CL134" s="224" t="s">
        <v>59</v>
      </c>
      <c r="CM134" s="224" t="s">
        <v>4</v>
      </c>
      <c r="CN134" s="224" t="s">
        <v>60</v>
      </c>
      <c r="CO134" s="224" t="s">
        <v>61</v>
      </c>
      <c r="CP134" s="224" t="s">
        <v>62</v>
      </c>
      <c r="CQ134" s="224" t="s">
        <v>63</v>
      </c>
      <c r="CR134" s="224" t="s">
        <v>5</v>
      </c>
      <c r="CS134" s="224" t="s">
        <v>64</v>
      </c>
      <c r="CT134" s="224" t="s">
        <v>65</v>
      </c>
      <c r="CU134" s="224" t="s">
        <v>66</v>
      </c>
      <c r="CV134" s="224" t="s">
        <v>67</v>
      </c>
      <c r="CW134" s="224" t="s">
        <v>6</v>
      </c>
      <c r="CX134" s="224" t="s">
        <v>68</v>
      </c>
      <c r="CY134" s="224" t="s">
        <v>69</v>
      </c>
      <c r="CZ134" s="224" t="s">
        <v>70</v>
      </c>
      <c r="DA134" s="224" t="s">
        <v>71</v>
      </c>
      <c r="DB134" s="224" t="s">
        <v>7</v>
      </c>
    </row>
    <row r="135" spans="1:106" s="219" customFormat="1" x14ac:dyDescent="0.35"/>
    <row r="136" spans="1:106" s="219" customFormat="1" x14ac:dyDescent="0.35">
      <c r="A136" s="128" t="s">
        <v>745</v>
      </c>
      <c r="B136" s="31" t="s">
        <v>769</v>
      </c>
      <c r="C136" s="249">
        <v>7.9580657094618246E-3</v>
      </c>
      <c r="D136" s="249">
        <v>7.9586723107447268E-3</v>
      </c>
      <c r="E136" s="249">
        <v>7.9592845551599567E-3</v>
      </c>
      <c r="F136" s="249">
        <v>7.9600125714784122E-3</v>
      </c>
      <c r="G136" s="249">
        <v>7.9606057544274536E-3</v>
      </c>
      <c r="H136" s="249">
        <v>7.9611863823843276E-3</v>
      </c>
      <c r="I136" s="249">
        <v>7.9629888136269599E-3</v>
      </c>
      <c r="J136" s="249">
        <v>7.9649819893919931E-3</v>
      </c>
      <c r="K136" s="249">
        <v>7.9677514998098223E-3</v>
      </c>
      <c r="L136" s="249">
        <v>7.9700762456247059E-3</v>
      </c>
      <c r="M136" s="249">
        <v>7.9725259184854035E-3</v>
      </c>
      <c r="N136" s="249">
        <v>7.9774202243932009E-3</v>
      </c>
      <c r="O136" s="249">
        <v>7.9824498604313954E-3</v>
      </c>
      <c r="P136" s="249">
        <v>7.9881635730984606E-3</v>
      </c>
      <c r="Q136" s="249">
        <v>7.9934278535192822E-3</v>
      </c>
      <c r="R136" s="249">
        <v>7.99879645160851E-3</v>
      </c>
      <c r="S136" s="249">
        <v>7.9957960984776439E-3</v>
      </c>
      <c r="T136" s="249">
        <v>7.9927538089463509E-3</v>
      </c>
      <c r="U136" s="249">
        <v>7.9900307386977544E-3</v>
      </c>
      <c r="V136" s="249">
        <v>7.9868951667617961E-3</v>
      </c>
      <c r="W136" s="249">
        <v>7.9837092575089884E-3</v>
      </c>
      <c r="X136" s="249">
        <v>7.9772008057054679E-3</v>
      </c>
      <c r="Y136" s="249">
        <v>7.9699873003967157E-3</v>
      </c>
      <c r="Z136" s="249">
        <v>7.9626983655331791E-3</v>
      </c>
      <c r="AA136" s="249">
        <v>7.9553327389316354E-3</v>
      </c>
      <c r="AB136" s="249">
        <v>7.9478894017071776E-3</v>
      </c>
      <c r="AC136" s="252">
        <v>4.1587475323405654E-6</v>
      </c>
      <c r="AD136" s="252">
        <v>4.157347885596589E-6</v>
      </c>
      <c r="AE136" s="252">
        <v>4.1559736208581936E-6</v>
      </c>
      <c r="AF136" s="252">
        <v>4.1540506378000626E-6</v>
      </c>
      <c r="AG136" s="252">
        <v>4.1527003910915476E-6</v>
      </c>
      <c r="AH136" s="252">
        <v>4.1513570841521656E-6</v>
      </c>
      <c r="AI136" s="252">
        <v>4.1525042685790413E-6</v>
      </c>
      <c r="AJ136" s="252">
        <v>4.1536812311480909E-6</v>
      </c>
      <c r="AK136" s="252">
        <v>4.1549880989632779E-6</v>
      </c>
      <c r="AL136" s="252">
        <v>4.156218691062928E-6</v>
      </c>
      <c r="AM136" s="252">
        <v>4.1574626783566271E-6</v>
      </c>
      <c r="AN136" s="252">
        <v>4.1601124970057684E-6</v>
      </c>
      <c r="AO136" s="252">
        <v>4.1627851484951662E-6</v>
      </c>
      <c r="AP136" s="252">
        <v>4.1657296438802907E-6</v>
      </c>
      <c r="AQ136" s="252">
        <v>4.1684479112086238E-6</v>
      </c>
      <c r="AR136" s="252">
        <v>4.1711945848099996E-6</v>
      </c>
      <c r="AS136" s="252">
        <v>4.1681252043471983E-6</v>
      </c>
      <c r="AT136" s="252">
        <v>4.1650279960168537E-6</v>
      </c>
      <c r="AU136" s="252">
        <v>4.1620737675914422E-6</v>
      </c>
      <c r="AV136" s="252">
        <v>4.1589143581126349E-6</v>
      </c>
      <c r="AW136" s="252">
        <v>4.1557214208455422E-6</v>
      </c>
      <c r="AX136" s="252">
        <v>4.1504107583968268E-6</v>
      </c>
      <c r="AY136" s="252">
        <v>4.1446273734141239E-6</v>
      </c>
      <c r="AZ136" s="252">
        <v>4.1388087065834212E-6</v>
      </c>
      <c r="BA136" s="252">
        <v>4.1329535808614086E-6</v>
      </c>
      <c r="BB136" s="252">
        <v>4.1270610982525674E-6</v>
      </c>
      <c r="BC136" s="255">
        <v>0.96186888197575493</v>
      </c>
      <c r="BD136" s="255">
        <v>0.9599901808971949</v>
      </c>
      <c r="BE136" s="255">
        <v>0.95808614778980283</v>
      </c>
      <c r="BF136" s="255">
        <v>0.95161834678713353</v>
      </c>
      <c r="BG136" s="255">
        <v>0.94965776412111447</v>
      </c>
      <c r="BH136" s="255">
        <v>0.94765889225247801</v>
      </c>
      <c r="BI136" s="255">
        <v>0.94638149085319134</v>
      </c>
      <c r="BJ136" s="255">
        <v>0.9450970653454388</v>
      </c>
      <c r="BK136" s="255">
        <v>0.94067558155320063</v>
      </c>
      <c r="BL136" s="255">
        <v>0.93939600338405693</v>
      </c>
      <c r="BM136" s="255">
        <v>0.93810353617510778</v>
      </c>
      <c r="BN136" s="255">
        <v>0.93859889789377382</v>
      </c>
      <c r="BO136" s="255">
        <v>0.93910216674180391</v>
      </c>
      <c r="BP136" s="255">
        <v>0.93874028275305454</v>
      </c>
      <c r="BQ136" s="255">
        <v>0.93926443401580484</v>
      </c>
      <c r="BR136" s="255">
        <v>0.93980163966971952</v>
      </c>
      <c r="BS136" s="255">
        <v>0.93864821696336675</v>
      </c>
      <c r="BT136" s="255">
        <v>0.93746408659482838</v>
      </c>
      <c r="BU136" s="255">
        <v>0.93539732095216266</v>
      </c>
      <c r="BV136" s="255">
        <v>0.93416149587289155</v>
      </c>
      <c r="BW136" s="255">
        <v>0.93289491479084152</v>
      </c>
      <c r="BX136" s="255">
        <v>0.93186592876052166</v>
      </c>
      <c r="BY136" s="255">
        <v>0.93085154631919143</v>
      </c>
      <c r="BZ136" s="255">
        <v>0.92984892938561581</v>
      </c>
      <c r="CA136" s="255">
        <v>0.92885787135016695</v>
      </c>
      <c r="CB136" s="255">
        <v>0.92787855068959968</v>
      </c>
      <c r="CC136" s="258">
        <v>11.588665090884611</v>
      </c>
      <c r="CD136" s="258">
        <v>11.547097975047601</v>
      </c>
      <c r="CE136" s="258">
        <v>11.50622376780608</v>
      </c>
      <c r="CF136" s="258">
        <v>11.43534355253859</v>
      </c>
      <c r="CG136" s="258">
        <v>11.39489560796555</v>
      </c>
      <c r="CH136" s="258">
        <v>11.35451145228242</v>
      </c>
      <c r="CI136" s="258">
        <v>11.34900978614696</v>
      </c>
      <c r="CJ136" s="258">
        <v>11.344378745571669</v>
      </c>
      <c r="CK136" s="258">
        <v>11.32199013727149</v>
      </c>
      <c r="CL136" s="258">
        <v>11.31881741006374</v>
      </c>
      <c r="CM136" s="258">
        <v>11.316073235327339</v>
      </c>
      <c r="CN136" s="258">
        <v>11.33700181099517</v>
      </c>
      <c r="CO136" s="258">
        <v>11.358651446162011</v>
      </c>
      <c r="CP136" s="258">
        <v>11.37724452672043</v>
      </c>
      <c r="CQ136" s="258">
        <v>11.40007138324609</v>
      </c>
      <c r="CR136" s="258">
        <v>11.423668028697611</v>
      </c>
      <c r="CS136" s="258">
        <v>11.344905873883301</v>
      </c>
      <c r="CT136" s="258">
        <v>11.266041916929501</v>
      </c>
      <c r="CU136" s="258">
        <v>11.183199779257571</v>
      </c>
      <c r="CV136" s="258">
        <v>11.10376378301051</v>
      </c>
      <c r="CW136" s="258">
        <v>11.02394567896696</v>
      </c>
      <c r="CX136" s="258">
        <v>10.90792965837446</v>
      </c>
      <c r="CY136" s="258">
        <v>10.78979756793469</v>
      </c>
      <c r="CZ136" s="258">
        <v>10.67155228523831</v>
      </c>
      <c r="DA136" s="258">
        <v>10.553165712847029</v>
      </c>
      <c r="DB136" s="258">
        <v>10.43462013300074</v>
      </c>
    </row>
    <row r="137" spans="1:106" s="219" customFormat="1" x14ac:dyDescent="0.35">
      <c r="A137" s="128" t="s">
        <v>746</v>
      </c>
      <c r="B137" s="31" t="s">
        <v>769</v>
      </c>
      <c r="C137" s="249">
        <v>7.9580657094618246E-3</v>
      </c>
      <c r="D137" s="249">
        <v>7.9586723107447268E-3</v>
      </c>
      <c r="E137" s="249">
        <v>7.9592845551599567E-3</v>
      </c>
      <c r="F137" s="249">
        <v>7.9600125714784122E-3</v>
      </c>
      <c r="G137" s="249">
        <v>7.9606057544274536E-3</v>
      </c>
      <c r="H137" s="249">
        <v>7.9611863823843276E-3</v>
      </c>
      <c r="I137" s="249">
        <v>7.9629888136269599E-3</v>
      </c>
      <c r="J137" s="249">
        <v>7.9649819893919931E-3</v>
      </c>
      <c r="K137" s="249">
        <v>7.9677514998098223E-3</v>
      </c>
      <c r="L137" s="249">
        <v>7.9700762456247059E-3</v>
      </c>
      <c r="M137" s="249">
        <v>7.9725259184854035E-3</v>
      </c>
      <c r="N137" s="249">
        <v>7.9774202243932009E-3</v>
      </c>
      <c r="O137" s="249">
        <v>7.9824498604313954E-3</v>
      </c>
      <c r="P137" s="249">
        <v>7.9881635730984606E-3</v>
      </c>
      <c r="Q137" s="249">
        <v>7.9934278535192822E-3</v>
      </c>
      <c r="R137" s="249">
        <v>7.99879645160851E-3</v>
      </c>
      <c r="S137" s="249">
        <v>7.9957960984776439E-3</v>
      </c>
      <c r="T137" s="249">
        <v>7.9927538089463509E-3</v>
      </c>
      <c r="U137" s="249">
        <v>7.9900307386977544E-3</v>
      </c>
      <c r="V137" s="249">
        <v>7.9868951667617961E-3</v>
      </c>
      <c r="W137" s="249">
        <v>7.9837092575089884E-3</v>
      </c>
      <c r="X137" s="249">
        <v>7.9772008057054679E-3</v>
      </c>
      <c r="Y137" s="249">
        <v>7.9699873003967157E-3</v>
      </c>
      <c r="Z137" s="249">
        <v>7.9626983655331791E-3</v>
      </c>
      <c r="AA137" s="249">
        <v>7.9553327389316354E-3</v>
      </c>
      <c r="AB137" s="249">
        <v>7.9478894017071776E-3</v>
      </c>
      <c r="AC137" s="252">
        <v>4.1587475323405654E-6</v>
      </c>
      <c r="AD137" s="252">
        <v>4.157347885596589E-6</v>
      </c>
      <c r="AE137" s="252">
        <v>4.1559736208581936E-6</v>
      </c>
      <c r="AF137" s="252">
        <v>4.1540506378000626E-6</v>
      </c>
      <c r="AG137" s="252">
        <v>4.1527003910915476E-6</v>
      </c>
      <c r="AH137" s="252">
        <v>4.1513570841521656E-6</v>
      </c>
      <c r="AI137" s="252">
        <v>4.1525042685790413E-6</v>
      </c>
      <c r="AJ137" s="252">
        <v>4.1536812311480909E-6</v>
      </c>
      <c r="AK137" s="252">
        <v>4.1549880989632779E-6</v>
      </c>
      <c r="AL137" s="252">
        <v>4.156218691062928E-6</v>
      </c>
      <c r="AM137" s="252">
        <v>4.1574626783566271E-6</v>
      </c>
      <c r="AN137" s="252">
        <v>4.1601124970057684E-6</v>
      </c>
      <c r="AO137" s="252">
        <v>4.1627851484951662E-6</v>
      </c>
      <c r="AP137" s="252">
        <v>4.1657296438802907E-6</v>
      </c>
      <c r="AQ137" s="252">
        <v>4.1684479112086238E-6</v>
      </c>
      <c r="AR137" s="252">
        <v>4.1711945848099996E-6</v>
      </c>
      <c r="AS137" s="252">
        <v>4.1681252043471983E-6</v>
      </c>
      <c r="AT137" s="252">
        <v>4.1650279960168537E-6</v>
      </c>
      <c r="AU137" s="252">
        <v>4.1620737675914422E-6</v>
      </c>
      <c r="AV137" s="252">
        <v>4.1589143581126349E-6</v>
      </c>
      <c r="AW137" s="252">
        <v>4.1557214208455422E-6</v>
      </c>
      <c r="AX137" s="252">
        <v>4.1504107583968268E-6</v>
      </c>
      <c r="AY137" s="252">
        <v>4.1446273734141239E-6</v>
      </c>
      <c r="AZ137" s="252">
        <v>4.1388087065834212E-6</v>
      </c>
      <c r="BA137" s="252">
        <v>4.1329535808614086E-6</v>
      </c>
      <c r="BB137" s="252">
        <v>4.1270610982525674E-6</v>
      </c>
      <c r="BC137" s="255">
        <v>0.96186888197575493</v>
      </c>
      <c r="BD137" s="255">
        <v>0.9599901808971949</v>
      </c>
      <c r="BE137" s="255">
        <v>0.95808614778980283</v>
      </c>
      <c r="BF137" s="255">
        <v>0.95161834678713353</v>
      </c>
      <c r="BG137" s="255">
        <v>0.94965776412111447</v>
      </c>
      <c r="BH137" s="255">
        <v>0.94765889225247801</v>
      </c>
      <c r="BI137" s="255">
        <v>0.94638149085319134</v>
      </c>
      <c r="BJ137" s="255">
        <v>0.9450970653454388</v>
      </c>
      <c r="BK137" s="255">
        <v>0.94067558155320063</v>
      </c>
      <c r="BL137" s="255">
        <v>0.93939600338405693</v>
      </c>
      <c r="BM137" s="255">
        <v>0.93810353617510778</v>
      </c>
      <c r="BN137" s="255">
        <v>0.93859889789377382</v>
      </c>
      <c r="BO137" s="255">
        <v>0.93910216674180391</v>
      </c>
      <c r="BP137" s="255">
        <v>0.93874028275305454</v>
      </c>
      <c r="BQ137" s="255">
        <v>0.93926443401580484</v>
      </c>
      <c r="BR137" s="255">
        <v>0.93980163966971952</v>
      </c>
      <c r="BS137" s="255">
        <v>0.93864821696336675</v>
      </c>
      <c r="BT137" s="255">
        <v>0.93746408659482838</v>
      </c>
      <c r="BU137" s="255">
        <v>0.93539732095216266</v>
      </c>
      <c r="BV137" s="255">
        <v>0.93416149587289155</v>
      </c>
      <c r="BW137" s="255">
        <v>0.93289491479084152</v>
      </c>
      <c r="BX137" s="255">
        <v>0.93186592876052166</v>
      </c>
      <c r="BY137" s="255">
        <v>0.93085154631919143</v>
      </c>
      <c r="BZ137" s="255">
        <v>0.92984892938561581</v>
      </c>
      <c r="CA137" s="255">
        <v>0.92885787135016695</v>
      </c>
      <c r="CB137" s="255">
        <v>0.92787855068959968</v>
      </c>
      <c r="CC137" s="258">
        <v>11.588665090884611</v>
      </c>
      <c r="CD137" s="258">
        <v>11.547097975047601</v>
      </c>
      <c r="CE137" s="258">
        <v>11.50622376780608</v>
      </c>
      <c r="CF137" s="258">
        <v>11.43534355253859</v>
      </c>
      <c r="CG137" s="258">
        <v>11.39489560796555</v>
      </c>
      <c r="CH137" s="258">
        <v>11.35451145228242</v>
      </c>
      <c r="CI137" s="258">
        <v>11.34900978614696</v>
      </c>
      <c r="CJ137" s="258">
        <v>11.344378745571669</v>
      </c>
      <c r="CK137" s="258">
        <v>11.32199013727149</v>
      </c>
      <c r="CL137" s="258">
        <v>11.31881741006374</v>
      </c>
      <c r="CM137" s="258">
        <v>11.316073235327339</v>
      </c>
      <c r="CN137" s="258">
        <v>11.33700181099517</v>
      </c>
      <c r="CO137" s="258">
        <v>11.358651446162011</v>
      </c>
      <c r="CP137" s="258">
        <v>11.37724452672043</v>
      </c>
      <c r="CQ137" s="258">
        <v>11.40007138324609</v>
      </c>
      <c r="CR137" s="258">
        <v>11.423668028697611</v>
      </c>
      <c r="CS137" s="258">
        <v>11.344905873883301</v>
      </c>
      <c r="CT137" s="258">
        <v>11.266041916929501</v>
      </c>
      <c r="CU137" s="258">
        <v>11.183199779257571</v>
      </c>
      <c r="CV137" s="258">
        <v>11.10376378301051</v>
      </c>
      <c r="CW137" s="258">
        <v>11.02394567896696</v>
      </c>
      <c r="CX137" s="258">
        <v>10.90792965837446</v>
      </c>
      <c r="CY137" s="258">
        <v>10.78979756793469</v>
      </c>
      <c r="CZ137" s="258">
        <v>10.67155228523831</v>
      </c>
      <c r="DA137" s="258">
        <v>10.553165712847029</v>
      </c>
      <c r="DB137" s="258">
        <v>10.43462013300074</v>
      </c>
    </row>
    <row r="138" spans="1:106" s="219" customFormat="1" x14ac:dyDescent="0.35">
      <c r="A138" s="235" t="s">
        <v>772</v>
      </c>
      <c r="B138" s="234" t="s">
        <v>774</v>
      </c>
      <c r="C138" s="249">
        <v>8.6783495205026373E-2</v>
      </c>
      <c r="D138" s="249">
        <v>8.6791006076514257E-2</v>
      </c>
      <c r="E138" s="249">
        <v>8.6798477743534497E-2</v>
      </c>
      <c r="F138" s="249">
        <v>8.6806609055732467E-2</v>
      </c>
      <c r="G138" s="249">
        <v>8.6813830417798971E-2</v>
      </c>
      <c r="H138" s="249">
        <v>8.6820912431002137E-2</v>
      </c>
      <c r="I138" s="249">
        <v>8.6841391499115725E-2</v>
      </c>
      <c r="J138" s="249">
        <v>8.68637030765049E-2</v>
      </c>
      <c r="K138" s="249">
        <v>8.689146913512269E-2</v>
      </c>
      <c r="L138" s="249">
        <v>8.6916970399374696E-2</v>
      </c>
      <c r="M138" s="249">
        <v>8.6943679120207076E-2</v>
      </c>
      <c r="N138" s="249">
        <v>8.6997560287974035E-2</v>
      </c>
      <c r="O138" s="249">
        <v>8.7052707787581507E-2</v>
      </c>
      <c r="P138" s="249">
        <v>8.7112428567455574E-2</v>
      </c>
      <c r="Q138" s="249">
        <v>8.7169697978372318E-2</v>
      </c>
      <c r="R138" s="249">
        <v>8.7227910103492512E-2</v>
      </c>
      <c r="S138" s="249">
        <v>8.7200462918187394E-2</v>
      </c>
      <c r="T138" s="249">
        <v>8.7172560690974246E-2</v>
      </c>
      <c r="U138" s="249">
        <v>8.7146376510523468E-2</v>
      </c>
      <c r="V138" s="249">
        <v>8.7117478837047235E-2</v>
      </c>
      <c r="W138" s="249">
        <v>8.7088049633458481E-2</v>
      </c>
      <c r="X138" s="249">
        <v>8.7028032449240553E-2</v>
      </c>
      <c r="Y138" s="249">
        <v>8.6960176563603317E-2</v>
      </c>
      <c r="Z138" s="249">
        <v>8.6891557703851097E-2</v>
      </c>
      <c r="AA138" s="249">
        <v>8.6822165384649944E-2</v>
      </c>
      <c r="AB138" s="249">
        <v>8.6751989997452816E-2</v>
      </c>
      <c r="AC138" s="252">
        <v>4.6009510642757008E-5</v>
      </c>
      <c r="AD138" s="252">
        <v>4.5998240222132323E-5</v>
      </c>
      <c r="AE138" s="252">
        <v>4.5987100495774102E-5</v>
      </c>
      <c r="AF138" s="252">
        <v>4.5972489908515197E-5</v>
      </c>
      <c r="AG138" s="252">
        <v>4.5961490033067681E-5</v>
      </c>
      <c r="AH138" s="252">
        <v>4.5950522528880698E-5</v>
      </c>
      <c r="AI138" s="252">
        <v>4.5965273060779762E-5</v>
      </c>
      <c r="AJ138" s="252">
        <v>4.5980221168547801E-5</v>
      </c>
      <c r="AK138" s="252">
        <v>4.599604825347985E-5</v>
      </c>
      <c r="AL138" s="252">
        <v>4.6011373322394439E-5</v>
      </c>
      <c r="AM138" s="252">
        <v>4.6026779345952773E-5</v>
      </c>
      <c r="AN138" s="252">
        <v>4.605673036770877E-5</v>
      </c>
      <c r="AO138" s="252">
        <v>4.608685505141792E-5</v>
      </c>
      <c r="AP138" s="252">
        <v>4.611862733499387E-5</v>
      </c>
      <c r="AQ138" s="252">
        <v>4.6149083409603587E-5</v>
      </c>
      <c r="AR138" s="252">
        <v>4.6179762469883502E-5</v>
      </c>
      <c r="AS138" s="252">
        <v>4.6151174451741097E-5</v>
      </c>
      <c r="AT138" s="252">
        <v>4.612230150677742E-5</v>
      </c>
      <c r="AU138" s="252">
        <v>4.6094129234209742E-5</v>
      </c>
      <c r="AV138" s="252">
        <v>4.6064623609270639E-5</v>
      </c>
      <c r="AW138" s="252">
        <v>4.6034780649580142E-5</v>
      </c>
      <c r="AX138" s="252">
        <v>4.5985810250298992E-5</v>
      </c>
      <c r="AY138" s="252">
        <v>4.5930283243611022E-5</v>
      </c>
      <c r="AZ138" s="252">
        <v>4.5874400795233829E-5</v>
      </c>
      <c r="BA138" s="252">
        <v>4.5818152614927058E-5</v>
      </c>
      <c r="BB138" s="252">
        <v>4.5761529684676807E-5</v>
      </c>
      <c r="BC138" s="255">
        <v>7.0750278991652076</v>
      </c>
      <c r="BD138" s="255">
        <v>7.0588568390208817</v>
      </c>
      <c r="BE138" s="255">
        <v>7.0423387185630846</v>
      </c>
      <c r="BF138" s="255">
        <v>6.9975495989921548</v>
      </c>
      <c r="BG138" s="255">
        <v>6.9803023533226103</v>
      </c>
      <c r="BH138" s="255">
        <v>6.9626142107932099</v>
      </c>
      <c r="BI138" s="255">
        <v>6.9518259917442089</v>
      </c>
      <c r="BJ138" s="255">
        <v>6.9408761463353388</v>
      </c>
      <c r="BK138" s="255">
        <v>6.9107172991913268</v>
      </c>
      <c r="BL138" s="255">
        <v>6.8995703822994576</v>
      </c>
      <c r="BM138" s="255">
        <v>6.8882175804072929</v>
      </c>
      <c r="BN138" s="255">
        <v>6.8957545174303263</v>
      </c>
      <c r="BO138" s="255">
        <v>6.9033205710221726</v>
      </c>
      <c r="BP138" s="255">
        <v>6.9053132827509334</v>
      </c>
      <c r="BQ138" s="255">
        <v>6.9129532859990146</v>
      </c>
      <c r="BR138" s="255">
        <v>6.920660504036622</v>
      </c>
      <c r="BS138" s="255">
        <v>6.9128412005877014</v>
      </c>
      <c r="BT138" s="255">
        <v>6.9046929115792279</v>
      </c>
      <c r="BU138" s="255">
        <v>6.890761750905166</v>
      </c>
      <c r="BV138" s="255">
        <v>6.8820155695990799</v>
      </c>
      <c r="BW138" s="255">
        <v>6.8729384497931871</v>
      </c>
      <c r="BX138" s="255">
        <v>6.8641869266061759</v>
      </c>
      <c r="BY138" s="255">
        <v>6.8555724559488054</v>
      </c>
      <c r="BZ138" s="255">
        <v>6.8470686424132703</v>
      </c>
      <c r="CA138" s="255">
        <v>6.838676484847273</v>
      </c>
      <c r="CB138" s="255">
        <v>6.8303978365761786</v>
      </c>
      <c r="CC138" s="258">
        <v>79.8561296187208</v>
      </c>
      <c r="CD138" s="258">
        <v>79.517757322443671</v>
      </c>
      <c r="CE138" s="258">
        <v>79.182596360640815</v>
      </c>
      <c r="CF138" s="258">
        <v>78.662280928009537</v>
      </c>
      <c r="CG138" s="258">
        <v>78.328818321865924</v>
      </c>
      <c r="CH138" s="258">
        <v>77.995044910685706</v>
      </c>
      <c r="CI138" s="258">
        <v>78.01651580655907</v>
      </c>
      <c r="CJ138" s="258">
        <v>78.043919131892167</v>
      </c>
      <c r="CK138" s="258">
        <v>77.964816175472208</v>
      </c>
      <c r="CL138" s="258">
        <v>78.002941300950312</v>
      </c>
      <c r="CM138" s="258">
        <v>78.043952052159881</v>
      </c>
      <c r="CN138" s="258">
        <v>78.325760470278098</v>
      </c>
      <c r="CO138" s="258">
        <v>78.613284832981279</v>
      </c>
      <c r="CP138" s="258">
        <v>78.881680488873954</v>
      </c>
      <c r="CQ138" s="258">
        <v>79.178404068672805</v>
      </c>
      <c r="CR138" s="258">
        <v>79.481359731183076</v>
      </c>
      <c r="CS138" s="258">
        <v>78.769306686426134</v>
      </c>
      <c r="CT138" s="258">
        <v>78.055937356435223</v>
      </c>
      <c r="CU138" s="258">
        <v>77.315677308647523</v>
      </c>
      <c r="CV138" s="258">
        <v>76.596140247658539</v>
      </c>
      <c r="CW138" s="258">
        <v>75.8727150937506</v>
      </c>
      <c r="CX138" s="258">
        <v>74.794916125853888</v>
      </c>
      <c r="CY138" s="258">
        <v>73.695373053353407</v>
      </c>
      <c r="CZ138" s="258">
        <v>72.594926541534136</v>
      </c>
      <c r="DA138" s="258">
        <v>71.493336437818613</v>
      </c>
      <c r="DB138" s="258">
        <v>70.390424673350054</v>
      </c>
    </row>
    <row r="139" spans="1:106" s="219" customFormat="1" x14ac:dyDescent="0.35">
      <c r="A139" s="235" t="s">
        <v>773</v>
      </c>
      <c r="B139" s="234" t="s">
        <v>774</v>
      </c>
      <c r="C139" s="249">
        <v>2.3157547676151781E-2</v>
      </c>
      <c r="D139" s="249">
        <v>2.3166556289987379E-2</v>
      </c>
      <c r="E139" s="249">
        <v>2.3175490305354859E-2</v>
      </c>
      <c r="F139" s="249">
        <v>2.3184659199040801E-2</v>
      </c>
      <c r="G139" s="249">
        <v>2.319339982076123E-2</v>
      </c>
      <c r="H139" s="249">
        <v>2.3202027713860911E-2</v>
      </c>
      <c r="I139" s="249">
        <v>2.3203455858661629E-2</v>
      </c>
      <c r="J139" s="249">
        <v>2.320627596777573E-2</v>
      </c>
      <c r="K139" s="249">
        <v>2.321180722401979E-2</v>
      </c>
      <c r="L139" s="249">
        <v>2.321704740958655E-2</v>
      </c>
      <c r="M139" s="249">
        <v>2.3223254882119099E-2</v>
      </c>
      <c r="N139" s="249">
        <v>2.324307354160807E-2</v>
      </c>
      <c r="O139" s="249">
        <v>2.3263911988689739E-2</v>
      </c>
      <c r="P139" s="249">
        <v>2.3286958752096219E-2</v>
      </c>
      <c r="Q139" s="249">
        <v>2.3309515516337281E-2</v>
      </c>
      <c r="R139" s="249">
        <v>2.333286941873754E-2</v>
      </c>
      <c r="S139" s="249">
        <v>2.3331818893281911E-2</v>
      </c>
      <c r="T139" s="249">
        <v>2.3330758726847041E-2</v>
      </c>
      <c r="U139" s="249">
        <v>2.333048417676175E-2</v>
      </c>
      <c r="V139" s="249">
        <v>2.332936408989833E-2</v>
      </c>
      <c r="W139" s="249">
        <v>2.3328199665761822E-2</v>
      </c>
      <c r="X139" s="249">
        <v>2.3317226889343439E-2</v>
      </c>
      <c r="Y139" s="249">
        <v>2.330417708074525E-2</v>
      </c>
      <c r="Z139" s="249">
        <v>2.3290966817685159E-2</v>
      </c>
      <c r="AA139" s="249">
        <v>2.3277597425725851E-2</v>
      </c>
      <c r="AB139" s="249">
        <v>2.3264070447826711E-2</v>
      </c>
      <c r="AC139" s="252">
        <v>1.1828572815734599E-5</v>
      </c>
      <c r="AD139" s="252">
        <v>1.182516368714625E-5</v>
      </c>
      <c r="AE139" s="252">
        <v>1.1821840877814609E-5</v>
      </c>
      <c r="AF139" s="252">
        <v>1.181728443676769E-5</v>
      </c>
      <c r="AG139" s="252">
        <v>1.181413495436766E-5</v>
      </c>
      <c r="AH139" s="252">
        <v>1.181104588108434E-5</v>
      </c>
      <c r="AI139" s="252">
        <v>1.181585832833354E-5</v>
      </c>
      <c r="AJ139" s="252">
        <v>1.1820896466908199E-5</v>
      </c>
      <c r="AK139" s="252">
        <v>1.18264043986267E-5</v>
      </c>
      <c r="AL139" s="252">
        <v>1.1831864932321631E-5</v>
      </c>
      <c r="AM139" s="252">
        <v>1.1837487517300089E-5</v>
      </c>
      <c r="AN139" s="252">
        <v>1.184917651551851E-5</v>
      </c>
      <c r="AO139" s="252">
        <v>1.1861078132857261E-5</v>
      </c>
      <c r="AP139" s="252">
        <v>1.187373373008561E-5</v>
      </c>
      <c r="AQ139" s="252">
        <v>1.188603231988406E-5</v>
      </c>
      <c r="AR139" s="252">
        <v>1.18985815170943E-5</v>
      </c>
      <c r="AS139" s="252">
        <v>1.1893663889006099E-5</v>
      </c>
      <c r="AT139" s="252">
        <v>1.188872658444728E-5</v>
      </c>
      <c r="AU139" s="252">
        <v>1.188413043237106E-5</v>
      </c>
      <c r="AV139" s="252">
        <v>1.187913491098203E-5</v>
      </c>
      <c r="AW139" s="252">
        <v>1.187410463994342E-5</v>
      </c>
      <c r="AX139" s="252">
        <v>1.18623702373581E-5</v>
      </c>
      <c r="AY139" s="252">
        <v>1.184868480335362E-5</v>
      </c>
      <c r="AZ139" s="252">
        <v>1.183492625752955E-5</v>
      </c>
      <c r="BA139" s="252">
        <v>1.1821093282590559E-5</v>
      </c>
      <c r="BB139" s="252">
        <v>1.180718487153536E-5</v>
      </c>
      <c r="BC139" s="255">
        <v>3.031714547230862</v>
      </c>
      <c r="BD139" s="255">
        <v>3.0247676366441261</v>
      </c>
      <c r="BE139" s="255">
        <v>3.0179776613884521</v>
      </c>
      <c r="BF139" s="255">
        <v>3.0006823933322408</v>
      </c>
      <c r="BG139" s="255">
        <v>2.9942132014534928</v>
      </c>
      <c r="BH139" s="255">
        <v>2.987868957390758</v>
      </c>
      <c r="BI139" s="255">
        <v>2.9839731930303919</v>
      </c>
      <c r="BJ139" s="255">
        <v>2.9802812463220771</v>
      </c>
      <c r="BK139" s="255">
        <v>2.969426835360395</v>
      </c>
      <c r="BL139" s="255">
        <v>2.9661664644248309</v>
      </c>
      <c r="BM139" s="255">
        <v>2.9630722477290261</v>
      </c>
      <c r="BN139" s="255">
        <v>2.962227838617451</v>
      </c>
      <c r="BO139" s="255">
        <v>2.961565239032828</v>
      </c>
      <c r="BP139" s="255">
        <v>2.9588957535124369</v>
      </c>
      <c r="BQ139" s="255">
        <v>2.958585699114971</v>
      </c>
      <c r="BR139" s="255">
        <v>2.9584855241171581</v>
      </c>
      <c r="BS139" s="255">
        <v>2.954748169702317</v>
      </c>
      <c r="BT139" s="255">
        <v>2.951084064778851</v>
      </c>
      <c r="BU139" s="255">
        <v>2.9453644910891099</v>
      </c>
      <c r="BV139" s="255">
        <v>2.9418642913366342</v>
      </c>
      <c r="BW139" s="255">
        <v>2.9384337840999919</v>
      </c>
      <c r="BX139" s="255">
        <v>2.9337465168830641</v>
      </c>
      <c r="BY139" s="255">
        <v>2.9290975592831892</v>
      </c>
      <c r="BZ139" s="255">
        <v>2.924480131281765</v>
      </c>
      <c r="CA139" s="255">
        <v>2.919893802617612</v>
      </c>
      <c r="CB139" s="255">
        <v>2.9153384529444031</v>
      </c>
      <c r="CC139" s="258">
        <v>26.7645921421657</v>
      </c>
      <c r="CD139" s="258">
        <v>26.67248771920076</v>
      </c>
      <c r="CE139" s="258">
        <v>26.58257737299969</v>
      </c>
      <c r="CF139" s="258">
        <v>26.423602596935151</v>
      </c>
      <c r="CG139" s="258">
        <v>26.337795065878812</v>
      </c>
      <c r="CH139" s="258">
        <v>26.253376034283999</v>
      </c>
      <c r="CI139" s="258">
        <v>26.27153597304989</v>
      </c>
      <c r="CJ139" s="258">
        <v>26.2950289141205</v>
      </c>
      <c r="CK139" s="258">
        <v>26.280218940493771</v>
      </c>
      <c r="CL139" s="258">
        <v>26.313627426616922</v>
      </c>
      <c r="CM139" s="258">
        <v>26.350885344123309</v>
      </c>
      <c r="CN139" s="258">
        <v>26.465410404627569</v>
      </c>
      <c r="CO139" s="258">
        <v>26.5846968417322</v>
      </c>
      <c r="CP139" s="258">
        <v>26.698909843972789</v>
      </c>
      <c r="CQ139" s="258">
        <v>26.826647950070129</v>
      </c>
      <c r="CR139" s="258">
        <v>26.959976597416219</v>
      </c>
      <c r="CS139" s="258">
        <v>26.818258310017178</v>
      </c>
      <c r="CT139" s="258">
        <v>26.676926949986971</v>
      </c>
      <c r="CU139" s="258">
        <v>26.52611362030812</v>
      </c>
      <c r="CV139" s="258">
        <v>26.384694448731651</v>
      </c>
      <c r="CW139" s="258">
        <v>26.243014580744131</v>
      </c>
      <c r="CX139" s="258">
        <v>25.985407589300671</v>
      </c>
      <c r="CY139" s="258">
        <v>25.71781043373166</v>
      </c>
      <c r="CZ139" s="258">
        <v>25.44929961746217</v>
      </c>
      <c r="DA139" s="258">
        <v>25.1798399562356</v>
      </c>
      <c r="DB139" s="258">
        <v>24.909406005982319</v>
      </c>
    </row>
    <row r="140" spans="1:106" s="219" customFormat="1" x14ac:dyDescent="0.35">
      <c r="A140" s="235" t="s">
        <v>747</v>
      </c>
      <c r="B140" s="234" t="s">
        <v>769</v>
      </c>
      <c r="C140" s="249">
        <v>5.9510170321251922E-2</v>
      </c>
      <c r="D140" s="249">
        <v>5.9511036653220953E-2</v>
      </c>
      <c r="E140" s="249">
        <v>5.9511869548038471E-2</v>
      </c>
      <c r="F140" s="249">
        <v>5.9513888817430839E-2</v>
      </c>
      <c r="G140" s="249">
        <v>5.9514520604986319E-2</v>
      </c>
      <c r="H140" s="249">
        <v>5.9515057469849073E-2</v>
      </c>
      <c r="I140" s="249">
        <v>5.9528792451329401E-2</v>
      </c>
      <c r="J140" s="249">
        <v>5.9543257553687383E-2</v>
      </c>
      <c r="K140" s="249">
        <v>5.9564596186992877E-2</v>
      </c>
      <c r="L140" s="249">
        <v>5.9580480099852187E-2</v>
      </c>
      <c r="M140" s="249">
        <v>5.9596872829979892E-2</v>
      </c>
      <c r="N140" s="249">
        <v>5.9640364114986737E-2</v>
      </c>
      <c r="O140" s="249">
        <v>5.9684497684070567E-2</v>
      </c>
      <c r="P140" s="249">
        <v>5.9735104902420823E-2</v>
      </c>
      <c r="Q140" s="249">
        <v>5.9780538904195067E-2</v>
      </c>
      <c r="R140" s="249">
        <v>5.9826506953250737E-2</v>
      </c>
      <c r="S140" s="249">
        <v>5.9793848368874962E-2</v>
      </c>
      <c r="T140" s="249">
        <v>5.9760975484844617E-2</v>
      </c>
      <c r="U140" s="249">
        <v>5.9731704641614092E-2</v>
      </c>
      <c r="V140" s="249">
        <v>5.969837204551344E-2</v>
      </c>
      <c r="W140" s="249">
        <v>5.9664798325317077E-2</v>
      </c>
      <c r="X140" s="249">
        <v>5.9607745781653329E-2</v>
      </c>
      <c r="Y140" s="249">
        <v>5.9545676061560922E-2</v>
      </c>
      <c r="Z140" s="249">
        <v>5.9483349225238007E-2</v>
      </c>
      <c r="AA140" s="249">
        <v>5.942076301564149E-2</v>
      </c>
      <c r="AB140" s="249">
        <v>5.9357916103115443E-2</v>
      </c>
      <c r="AC140" s="252">
        <v>3.2559769839785592E-5</v>
      </c>
      <c r="AD140" s="252">
        <v>3.2552249036635588E-5</v>
      </c>
      <c r="AE140" s="252">
        <v>3.2544822058419741E-5</v>
      </c>
      <c r="AF140" s="252">
        <v>3.2531591230671928E-5</v>
      </c>
      <c r="AG140" s="252">
        <v>3.2524266810968497E-5</v>
      </c>
      <c r="AH140" s="252">
        <v>3.2516977418133617E-5</v>
      </c>
      <c r="AI140" s="252">
        <v>3.2524379323041587E-5</v>
      </c>
      <c r="AJ140" s="252">
        <v>3.2531936500755847E-5</v>
      </c>
      <c r="AK140" s="252">
        <v>3.2540642655765697E-5</v>
      </c>
      <c r="AL140" s="252">
        <v>3.2548585213138949E-5</v>
      </c>
      <c r="AM140" s="252">
        <v>3.255663591853451E-5</v>
      </c>
      <c r="AN140" s="252">
        <v>3.2581340096664412E-5</v>
      </c>
      <c r="AO140" s="252">
        <v>3.2606222686984493E-5</v>
      </c>
      <c r="AP140" s="252">
        <v>3.2633980405105628E-5</v>
      </c>
      <c r="AQ140" s="252">
        <v>3.2659312919660792E-5</v>
      </c>
      <c r="AR140" s="252">
        <v>3.2684844072130503E-5</v>
      </c>
      <c r="AS140" s="252">
        <v>3.2659800931539773E-5</v>
      </c>
      <c r="AT140" s="252">
        <v>3.2634616911280943E-5</v>
      </c>
      <c r="AU140" s="252">
        <v>3.2611162103422499E-5</v>
      </c>
      <c r="AV140" s="252">
        <v>3.2585674208046299E-5</v>
      </c>
      <c r="AW140" s="252">
        <v>3.2560021831989497E-5</v>
      </c>
      <c r="AX140" s="252">
        <v>3.252158222162216E-5</v>
      </c>
      <c r="AY140" s="252">
        <v>3.2478542816980807E-5</v>
      </c>
      <c r="AZ140" s="252">
        <v>3.2435359069226443E-5</v>
      </c>
      <c r="BA140" s="252">
        <v>3.2392027643581432E-5</v>
      </c>
      <c r="BB140" s="252">
        <v>3.2348546124480568E-5</v>
      </c>
      <c r="BC140" s="255">
        <v>22.845778022356392</v>
      </c>
      <c r="BD140" s="255">
        <v>22.83164237086223</v>
      </c>
      <c r="BE140" s="255">
        <v>22.817650554899451</v>
      </c>
      <c r="BF140" s="255">
        <v>22.75575967637791</v>
      </c>
      <c r="BG140" s="255">
        <v>22.742100631584819</v>
      </c>
      <c r="BH140" s="255">
        <v>22.72853837700799</v>
      </c>
      <c r="BI140" s="255">
        <v>22.719442598360651</v>
      </c>
      <c r="BJ140" s="255">
        <v>22.710476967573289</v>
      </c>
      <c r="BK140" s="255">
        <v>22.668292124971689</v>
      </c>
      <c r="BL140" s="255">
        <v>22.65981230973518</v>
      </c>
      <c r="BM140" s="255">
        <v>22.651440806493941</v>
      </c>
      <c r="BN140" s="255">
        <v>22.657131203058778</v>
      </c>
      <c r="BO140" s="255">
        <v>22.662910947354071</v>
      </c>
      <c r="BP140" s="255">
        <v>22.659871662900681</v>
      </c>
      <c r="BQ140" s="255">
        <v>22.665923407214461</v>
      </c>
      <c r="BR140" s="255">
        <v>22.672078448209461</v>
      </c>
      <c r="BS140" s="255">
        <v>22.67310805678348</v>
      </c>
      <c r="BT140" s="255">
        <v>22.6741406319086</v>
      </c>
      <c r="BU140" s="255">
        <v>22.6664589942581</v>
      </c>
      <c r="BV140" s="255">
        <v>22.66759987580755</v>
      </c>
      <c r="BW140" s="255">
        <v>22.668744909961919</v>
      </c>
      <c r="BX140" s="255">
        <v>22.670142642449779</v>
      </c>
      <c r="BY140" s="255">
        <v>22.67158726780411</v>
      </c>
      <c r="BZ140" s="255">
        <v>22.673058884236578</v>
      </c>
      <c r="CA140" s="255">
        <v>22.67455690350889</v>
      </c>
      <c r="CB140" s="255">
        <v>22.676081513398419</v>
      </c>
      <c r="CC140" s="258">
        <v>118.5376613698441</v>
      </c>
      <c r="CD140" s="258">
        <v>118.32377265017659</v>
      </c>
      <c r="CE140" s="258">
        <v>118.1129607532784</v>
      </c>
      <c r="CF140" s="258">
        <v>117.58418860913341</v>
      </c>
      <c r="CG140" s="258">
        <v>117.3770125294165</v>
      </c>
      <c r="CH140" s="258">
        <v>117.1710060298344</v>
      </c>
      <c r="CI140" s="258">
        <v>117.1714317810476</v>
      </c>
      <c r="CJ140" s="258">
        <v>117.1760242853227</v>
      </c>
      <c r="CK140" s="258">
        <v>116.9869886943045</v>
      </c>
      <c r="CL140" s="258">
        <v>117.0012387661131</v>
      </c>
      <c r="CM140" s="258">
        <v>117.01823023080721</v>
      </c>
      <c r="CN140" s="258">
        <v>117.2990614807678</v>
      </c>
      <c r="CO140" s="258">
        <v>117.5839660303506</v>
      </c>
      <c r="CP140" s="258">
        <v>117.83606779398799</v>
      </c>
      <c r="CQ140" s="258">
        <v>118.1296361233149</v>
      </c>
      <c r="CR140" s="258">
        <v>118.4272748974543</v>
      </c>
      <c r="CS140" s="258">
        <v>117.9320218802755</v>
      </c>
      <c r="CT140" s="258">
        <v>117.4352560948338</v>
      </c>
      <c r="CU140" s="258">
        <v>116.8985062337233</v>
      </c>
      <c r="CV140" s="258">
        <v>116.3974742408097</v>
      </c>
      <c r="CW140" s="258">
        <v>115.8937604562563</v>
      </c>
      <c r="CX140" s="258">
        <v>115.1685446028623</v>
      </c>
      <c r="CY140" s="258">
        <v>114.42396653199491</v>
      </c>
      <c r="CZ140" s="258">
        <v>113.67724866659979</v>
      </c>
      <c r="DA140" s="258">
        <v>112.9283102960639</v>
      </c>
      <c r="DB140" s="258">
        <v>112.1770972652736</v>
      </c>
    </row>
    <row r="142" spans="1:106" s="11" customFormat="1" ht="21" x14ac:dyDescent="0.5">
      <c r="A142" s="11" t="s">
        <v>73</v>
      </c>
    </row>
    <row r="143" spans="1:106" s="219" customFormat="1" x14ac:dyDescent="0.35">
      <c r="A143" s="29" t="s">
        <v>0</v>
      </c>
      <c r="B143" s="29"/>
      <c r="C143" s="332" t="s">
        <v>702</v>
      </c>
      <c r="D143" s="332"/>
      <c r="E143" s="332"/>
      <c r="F143" s="332"/>
      <c r="G143" s="332"/>
      <c r="H143" s="332"/>
      <c r="I143" s="332"/>
      <c r="J143" s="332"/>
      <c r="K143" s="332"/>
      <c r="L143" s="332"/>
      <c r="M143" s="332"/>
      <c r="N143" s="332"/>
      <c r="O143" s="332"/>
      <c r="P143" s="332"/>
      <c r="Q143" s="332"/>
      <c r="R143" s="332"/>
      <c r="S143" s="332"/>
      <c r="T143" s="332"/>
      <c r="U143" s="332"/>
      <c r="V143" s="332"/>
      <c r="W143" s="332"/>
      <c r="X143" s="332"/>
      <c r="Y143" s="332"/>
      <c r="Z143" s="332"/>
      <c r="AA143" s="332"/>
      <c r="AB143" s="332"/>
      <c r="AC143" s="333" t="s">
        <v>701</v>
      </c>
      <c r="AD143" s="333"/>
      <c r="AE143" s="333"/>
      <c r="AF143" s="333"/>
      <c r="AG143" s="333"/>
      <c r="AH143" s="333"/>
      <c r="AI143" s="333"/>
      <c r="AJ143" s="333"/>
      <c r="AK143" s="333"/>
      <c r="AL143" s="333"/>
      <c r="AM143" s="333"/>
      <c r="AN143" s="333"/>
      <c r="AO143" s="333"/>
      <c r="AP143" s="333"/>
      <c r="AQ143" s="333"/>
      <c r="AR143" s="333"/>
      <c r="AS143" s="333"/>
      <c r="AT143" s="333"/>
      <c r="AU143" s="333"/>
      <c r="AV143" s="333"/>
      <c r="AW143" s="333"/>
      <c r="AX143" s="333"/>
      <c r="AY143" s="333"/>
      <c r="AZ143" s="333"/>
      <c r="BA143" s="333"/>
      <c r="BB143" s="333"/>
      <c r="BC143" s="334" t="s">
        <v>756</v>
      </c>
      <c r="BD143" s="335"/>
      <c r="BE143" s="335"/>
      <c r="BF143" s="335"/>
      <c r="BG143" s="335"/>
      <c r="BH143" s="335"/>
      <c r="BI143" s="335"/>
      <c r="BJ143" s="335"/>
      <c r="BK143" s="335"/>
      <c r="BL143" s="335"/>
      <c r="BM143" s="335"/>
      <c r="BN143" s="335"/>
      <c r="BO143" s="335"/>
      <c r="BP143" s="335"/>
      <c r="BQ143" s="335"/>
      <c r="BR143" s="335"/>
      <c r="BS143" s="335"/>
      <c r="BT143" s="335"/>
      <c r="BU143" s="335"/>
      <c r="BV143" s="335"/>
      <c r="BW143" s="335"/>
      <c r="BX143" s="335"/>
      <c r="BY143" s="335"/>
      <c r="BZ143" s="335"/>
      <c r="CA143" s="335"/>
      <c r="CB143" s="336"/>
      <c r="CC143" s="337" t="s">
        <v>700</v>
      </c>
      <c r="CD143" s="337"/>
      <c r="CE143" s="337"/>
      <c r="CF143" s="337"/>
      <c r="CG143" s="337"/>
      <c r="CH143" s="337"/>
      <c r="CI143" s="337"/>
      <c r="CJ143" s="337"/>
      <c r="CK143" s="337"/>
      <c r="CL143" s="337"/>
      <c r="CM143" s="337"/>
      <c r="CN143" s="337"/>
      <c r="CO143" s="337"/>
      <c r="CP143" s="337"/>
      <c r="CQ143" s="337"/>
      <c r="CR143" s="337"/>
      <c r="CS143" s="337"/>
      <c r="CT143" s="337"/>
      <c r="CU143" s="337"/>
      <c r="CV143" s="337"/>
      <c r="CW143" s="337"/>
      <c r="CX143" s="337"/>
      <c r="CY143" s="337"/>
      <c r="CZ143" s="337"/>
      <c r="DA143" s="337"/>
      <c r="DB143" s="337"/>
    </row>
    <row r="144" spans="1:106" s="219" customFormat="1" x14ac:dyDescent="0.35">
      <c r="A144" s="29" t="s">
        <v>1</v>
      </c>
      <c r="B144" s="29" t="s">
        <v>180</v>
      </c>
      <c r="C144" s="222" t="s">
        <v>8</v>
      </c>
      <c r="D144" s="222" t="s">
        <v>74</v>
      </c>
      <c r="E144" s="222" t="s">
        <v>75</v>
      </c>
      <c r="F144" s="222" t="s">
        <v>76</v>
      </c>
      <c r="G144" s="222" t="s">
        <v>77</v>
      </c>
      <c r="H144" s="222" t="s">
        <v>9</v>
      </c>
      <c r="I144" s="222" t="s">
        <v>78</v>
      </c>
      <c r="J144" s="222" t="s">
        <v>79</v>
      </c>
      <c r="K144" s="222" t="s">
        <v>80</v>
      </c>
      <c r="L144" s="222" t="s">
        <v>81</v>
      </c>
      <c r="M144" s="222" t="s">
        <v>10</v>
      </c>
      <c r="N144" s="222" t="s">
        <v>82</v>
      </c>
      <c r="O144" s="222" t="s">
        <v>83</v>
      </c>
      <c r="P144" s="222" t="s">
        <v>84</v>
      </c>
      <c r="Q144" s="222" t="s">
        <v>85</v>
      </c>
      <c r="R144" s="222" t="s">
        <v>11</v>
      </c>
      <c r="S144" s="222" t="s">
        <v>86</v>
      </c>
      <c r="T144" s="222" t="s">
        <v>87</v>
      </c>
      <c r="U144" s="222" t="s">
        <v>88</v>
      </c>
      <c r="V144" s="222" t="s">
        <v>89</v>
      </c>
      <c r="W144" s="222" t="s">
        <v>12</v>
      </c>
      <c r="X144" s="222" t="s">
        <v>90</v>
      </c>
      <c r="Y144" s="222" t="s">
        <v>91</v>
      </c>
      <c r="Z144" s="222" t="s">
        <v>92</v>
      </c>
      <c r="AA144" s="222" t="s">
        <v>93</v>
      </c>
      <c r="AB144" s="222" t="s">
        <v>13</v>
      </c>
      <c r="AC144" s="223" t="s">
        <v>8</v>
      </c>
      <c r="AD144" s="223" t="s">
        <v>74</v>
      </c>
      <c r="AE144" s="223" t="s">
        <v>75</v>
      </c>
      <c r="AF144" s="223" t="s">
        <v>76</v>
      </c>
      <c r="AG144" s="223" t="s">
        <v>77</v>
      </c>
      <c r="AH144" s="223" t="s">
        <v>9</v>
      </c>
      <c r="AI144" s="223" t="s">
        <v>78</v>
      </c>
      <c r="AJ144" s="223" t="s">
        <v>79</v>
      </c>
      <c r="AK144" s="223" t="s">
        <v>80</v>
      </c>
      <c r="AL144" s="223" t="s">
        <v>81</v>
      </c>
      <c r="AM144" s="223" t="s">
        <v>10</v>
      </c>
      <c r="AN144" s="223" t="s">
        <v>82</v>
      </c>
      <c r="AO144" s="223" t="s">
        <v>83</v>
      </c>
      <c r="AP144" s="223" t="s">
        <v>84</v>
      </c>
      <c r="AQ144" s="223" t="s">
        <v>85</v>
      </c>
      <c r="AR144" s="223" t="s">
        <v>11</v>
      </c>
      <c r="AS144" s="223" t="s">
        <v>86</v>
      </c>
      <c r="AT144" s="223" t="s">
        <v>87</v>
      </c>
      <c r="AU144" s="223" t="s">
        <v>88</v>
      </c>
      <c r="AV144" s="223" t="s">
        <v>89</v>
      </c>
      <c r="AW144" s="223" t="s">
        <v>12</v>
      </c>
      <c r="AX144" s="223" t="s">
        <v>90</v>
      </c>
      <c r="AY144" s="223" t="s">
        <v>91</v>
      </c>
      <c r="AZ144" s="223" t="s">
        <v>92</v>
      </c>
      <c r="BA144" s="223" t="s">
        <v>93</v>
      </c>
      <c r="BB144" s="223" t="s">
        <v>13</v>
      </c>
      <c r="BC144" s="225" t="s">
        <v>8</v>
      </c>
      <c r="BD144" s="225" t="s">
        <v>74</v>
      </c>
      <c r="BE144" s="225" t="s">
        <v>75</v>
      </c>
      <c r="BF144" s="225" t="s">
        <v>76</v>
      </c>
      <c r="BG144" s="225" t="s">
        <v>77</v>
      </c>
      <c r="BH144" s="225" t="s">
        <v>9</v>
      </c>
      <c r="BI144" s="225" t="s">
        <v>78</v>
      </c>
      <c r="BJ144" s="225" t="s">
        <v>79</v>
      </c>
      <c r="BK144" s="225" t="s">
        <v>80</v>
      </c>
      <c r="BL144" s="225" t="s">
        <v>81</v>
      </c>
      <c r="BM144" s="225" t="s">
        <v>10</v>
      </c>
      <c r="BN144" s="225" t="s">
        <v>82</v>
      </c>
      <c r="BO144" s="225" t="s">
        <v>83</v>
      </c>
      <c r="BP144" s="225" t="s">
        <v>84</v>
      </c>
      <c r="BQ144" s="225" t="s">
        <v>85</v>
      </c>
      <c r="BR144" s="225" t="s">
        <v>11</v>
      </c>
      <c r="BS144" s="225" t="s">
        <v>86</v>
      </c>
      <c r="BT144" s="225" t="s">
        <v>87</v>
      </c>
      <c r="BU144" s="225" t="s">
        <v>88</v>
      </c>
      <c r="BV144" s="225" t="s">
        <v>89</v>
      </c>
      <c r="BW144" s="225" t="s">
        <v>12</v>
      </c>
      <c r="BX144" s="225" t="s">
        <v>90</v>
      </c>
      <c r="BY144" s="225" t="s">
        <v>91</v>
      </c>
      <c r="BZ144" s="225" t="s">
        <v>92</v>
      </c>
      <c r="CA144" s="225" t="s">
        <v>93</v>
      </c>
      <c r="CB144" s="225" t="s">
        <v>13</v>
      </c>
      <c r="CC144" s="224" t="s">
        <v>8</v>
      </c>
      <c r="CD144" s="224" t="s">
        <v>74</v>
      </c>
      <c r="CE144" s="224" t="s">
        <v>75</v>
      </c>
      <c r="CF144" s="224" t="s">
        <v>76</v>
      </c>
      <c r="CG144" s="224" t="s">
        <v>77</v>
      </c>
      <c r="CH144" s="224" t="s">
        <v>9</v>
      </c>
      <c r="CI144" s="224" t="s">
        <v>78</v>
      </c>
      <c r="CJ144" s="224" t="s">
        <v>79</v>
      </c>
      <c r="CK144" s="224" t="s">
        <v>80</v>
      </c>
      <c r="CL144" s="224" t="s">
        <v>81</v>
      </c>
      <c r="CM144" s="224" t="s">
        <v>10</v>
      </c>
      <c r="CN144" s="224" t="s">
        <v>82</v>
      </c>
      <c r="CO144" s="224" t="s">
        <v>83</v>
      </c>
      <c r="CP144" s="224" t="s">
        <v>84</v>
      </c>
      <c r="CQ144" s="224" t="s">
        <v>85</v>
      </c>
      <c r="CR144" s="224" t="s">
        <v>11</v>
      </c>
      <c r="CS144" s="224" t="s">
        <v>86</v>
      </c>
      <c r="CT144" s="224" t="s">
        <v>87</v>
      </c>
      <c r="CU144" s="224" t="s">
        <v>88</v>
      </c>
      <c r="CV144" s="224" t="s">
        <v>89</v>
      </c>
      <c r="CW144" s="224" t="s">
        <v>12</v>
      </c>
      <c r="CX144" s="224" t="s">
        <v>90</v>
      </c>
      <c r="CY144" s="224" t="s">
        <v>91</v>
      </c>
      <c r="CZ144" s="224" t="s">
        <v>92</v>
      </c>
      <c r="DA144" s="224" t="s">
        <v>93</v>
      </c>
      <c r="DB144" s="224" t="s">
        <v>13</v>
      </c>
    </row>
    <row r="146" spans="1:106" s="219" customFormat="1" x14ac:dyDescent="0.35">
      <c r="A146" s="128" t="s">
        <v>745</v>
      </c>
      <c r="B146" s="31" t="s">
        <v>769</v>
      </c>
      <c r="C146" s="250">
        <v>7.876941863533736E-3</v>
      </c>
      <c r="D146" s="250">
        <v>7.8631858656828448E-3</v>
      </c>
      <c r="E146" s="250">
        <v>7.8490236237919765E-3</v>
      </c>
      <c r="F146" s="250">
        <v>7.8346085626041142E-3</v>
      </c>
      <c r="G146" s="250">
        <v>7.8196015941361784E-3</v>
      </c>
      <c r="H146" s="250">
        <v>7.8041404748555067E-3</v>
      </c>
      <c r="I146" s="250">
        <v>7.7890483157639469E-3</v>
      </c>
      <c r="J146" s="250">
        <v>7.7742235242999717E-3</v>
      </c>
      <c r="K146" s="250">
        <v>7.7600628691210987E-3</v>
      </c>
      <c r="L146" s="250">
        <v>7.7453057130497296E-3</v>
      </c>
      <c r="M146" s="250">
        <v>7.7304659414614701E-3</v>
      </c>
      <c r="N146" s="250">
        <v>7.7210268372410046E-3</v>
      </c>
      <c r="O146" s="250">
        <v>7.7118229004435029E-3</v>
      </c>
      <c r="P146" s="250">
        <v>7.7031993812553164E-3</v>
      </c>
      <c r="Q146" s="250">
        <v>7.69432223576856E-3</v>
      </c>
      <c r="R146" s="250">
        <v>7.6855538877345052E-3</v>
      </c>
      <c r="S146" s="250">
        <v>7.6816743012145371E-3</v>
      </c>
      <c r="T146" s="250">
        <v>7.677859018960299E-3</v>
      </c>
      <c r="U146" s="250">
        <v>7.6743535064071272E-3</v>
      </c>
      <c r="V146" s="250">
        <v>7.6706416306134284E-3</v>
      </c>
      <c r="W146" s="250">
        <v>7.666973220725559E-3</v>
      </c>
      <c r="X146" s="250">
        <v>7.6671289863605952E-3</v>
      </c>
      <c r="Y146" s="250">
        <v>7.6669056076091114E-3</v>
      </c>
      <c r="Z146" s="250">
        <v>7.6666894101951469E-3</v>
      </c>
      <c r="AA146" s="250">
        <v>7.6664806400265524E-3</v>
      </c>
      <c r="AB146" s="250">
        <v>7.6662800808911377E-3</v>
      </c>
      <c r="AC146" s="253">
        <v>4.10999049016938E-6</v>
      </c>
      <c r="AD146" s="253">
        <v>4.0970979208312241E-6</v>
      </c>
      <c r="AE146" s="253">
        <v>4.0839455341363234E-6</v>
      </c>
      <c r="AF146" s="253">
        <v>4.0699579262798851E-6</v>
      </c>
      <c r="AG146" s="253">
        <v>4.0562446031074677E-6</v>
      </c>
      <c r="AH146" s="253">
        <v>4.0422356666891032E-6</v>
      </c>
      <c r="AI146" s="253">
        <v>4.030244785737687E-6</v>
      </c>
      <c r="AJ146" s="253">
        <v>4.0183043476010867E-6</v>
      </c>
      <c r="AK146" s="253">
        <v>4.0063982435205458E-6</v>
      </c>
      <c r="AL146" s="253">
        <v>3.9942918006121269E-6</v>
      </c>
      <c r="AM146" s="253">
        <v>3.9820453627584191E-6</v>
      </c>
      <c r="AN146" s="253">
        <v>3.9722953677765156E-6</v>
      </c>
      <c r="AO146" s="253">
        <v>3.9626153727482522E-6</v>
      </c>
      <c r="AP146" s="253">
        <v>3.9531475995691984E-6</v>
      </c>
      <c r="AQ146" s="253">
        <v>3.9435893665211341E-6</v>
      </c>
      <c r="AR146" s="253">
        <v>3.934086324149969E-6</v>
      </c>
      <c r="AS146" s="253">
        <v>3.9284066862261572E-6</v>
      </c>
      <c r="AT146" s="253">
        <v>3.9228013595098312E-6</v>
      </c>
      <c r="AU146" s="253">
        <v>3.9173867669282113E-6</v>
      </c>
      <c r="AV146" s="253">
        <v>3.9119369856352404E-6</v>
      </c>
      <c r="AW146" s="253">
        <v>3.9065835290209758E-6</v>
      </c>
      <c r="AX146" s="253">
        <v>3.9056530248778933E-6</v>
      </c>
      <c r="AY146" s="253">
        <v>3.9043764269384194E-6</v>
      </c>
      <c r="AZ146" s="253">
        <v>3.9031165048253037E-6</v>
      </c>
      <c r="BA146" s="253">
        <v>3.9018732935251666E-6</v>
      </c>
      <c r="BB146" s="253">
        <v>3.9006472486917251E-6</v>
      </c>
      <c r="BC146" s="256">
        <v>0.93993337914674524</v>
      </c>
      <c r="BD146" s="256">
        <v>0.93261875901037938</v>
      </c>
      <c r="BE146" s="256">
        <v>0.9250388357922783</v>
      </c>
      <c r="BF146" s="256">
        <v>0.91263672444786503</v>
      </c>
      <c r="BG146" s="256">
        <v>0.90452590136096145</v>
      </c>
      <c r="BH146" s="256">
        <v>0.89612165818244449</v>
      </c>
      <c r="BI146" s="256">
        <v>0.89418026457532596</v>
      </c>
      <c r="BJ146" s="256">
        <v>0.89223073949095544</v>
      </c>
      <c r="BK146" s="256">
        <v>0.88710090612233328</v>
      </c>
      <c r="BL146" s="256">
        <v>0.88499016289510912</v>
      </c>
      <c r="BM146" s="256">
        <v>0.8827416252469501</v>
      </c>
      <c r="BN146" s="256">
        <v>0.87759344984347953</v>
      </c>
      <c r="BO146" s="256">
        <v>0.87247588939437815</v>
      </c>
      <c r="BP146" s="256">
        <v>0.86652430681908577</v>
      </c>
      <c r="BQ146" s="256">
        <v>0.86147668890561602</v>
      </c>
      <c r="BR146" s="256">
        <v>0.8564490726486822</v>
      </c>
      <c r="BS146" s="256">
        <v>0.85210253034655059</v>
      </c>
      <c r="BT146" s="256">
        <v>0.84778883567289343</v>
      </c>
      <c r="BU146" s="256">
        <v>0.84269855965673546</v>
      </c>
      <c r="BV146" s="256">
        <v>0.83847897280145711</v>
      </c>
      <c r="BW146" s="256">
        <v>0.8342769833986946</v>
      </c>
      <c r="BX146" s="256">
        <v>0.8330169261427105</v>
      </c>
      <c r="BY146" s="256">
        <v>0.83177799632064964</v>
      </c>
      <c r="BZ146" s="256">
        <v>0.83055524082803089</v>
      </c>
      <c r="CA146" s="256">
        <v>0.82934773512781801</v>
      </c>
      <c r="CB146" s="256">
        <v>0.82815504657555772</v>
      </c>
      <c r="CC146" s="259">
        <v>10.52369602398754</v>
      </c>
      <c r="CD146" s="259">
        <v>10.22496283353451</v>
      </c>
      <c r="CE146" s="259">
        <v>9.9218717298228274</v>
      </c>
      <c r="CF146" s="259">
        <v>9.5837750063590406</v>
      </c>
      <c r="CG146" s="259">
        <v>9.2705797500634723</v>
      </c>
      <c r="CH146" s="259">
        <v>8.9520780217515359</v>
      </c>
      <c r="CI146" s="259">
        <v>8.6597096546780001</v>
      </c>
      <c r="CJ146" s="259">
        <v>8.3703503268453616</v>
      </c>
      <c r="CK146" s="259">
        <v>8.0633583560577904</v>
      </c>
      <c r="CL146" s="259">
        <v>7.7736547523033517</v>
      </c>
      <c r="CM146" s="259">
        <v>7.4823569745486713</v>
      </c>
      <c r="CN146" s="259">
        <v>7.1907483230896627</v>
      </c>
      <c r="CO146" s="259">
        <v>6.9022395194264492</v>
      </c>
      <c r="CP146" s="259">
        <v>6.6118815280603664</v>
      </c>
      <c r="CQ146" s="259">
        <v>6.3293419344755746</v>
      </c>
      <c r="CR146" s="259">
        <v>6.0498676620126188</v>
      </c>
      <c r="CS146" s="259">
        <v>5.8618002845010562</v>
      </c>
      <c r="CT146" s="259">
        <v>5.6764689832065196</v>
      </c>
      <c r="CU146" s="259">
        <v>5.4901236632383119</v>
      </c>
      <c r="CV146" s="259">
        <v>5.311032968722845</v>
      </c>
      <c r="CW146" s="259">
        <v>5.1361903641540554</v>
      </c>
      <c r="CX146" s="259">
        <v>5.093888416307446</v>
      </c>
      <c r="CY146" s="259">
        <v>5.0516761494397704</v>
      </c>
      <c r="CZ146" s="259">
        <v>5.0099789816203444</v>
      </c>
      <c r="DA146" s="259">
        <v>4.9687989173441398</v>
      </c>
      <c r="DB146" s="259">
        <v>4.9281456779105319</v>
      </c>
    </row>
    <row r="147" spans="1:106" s="219" customFormat="1" x14ac:dyDescent="0.35">
      <c r="A147" s="128" t="s">
        <v>746</v>
      </c>
      <c r="B147" s="31" t="s">
        <v>769</v>
      </c>
      <c r="C147" s="250">
        <v>7.876941863533736E-3</v>
      </c>
      <c r="D147" s="250">
        <v>7.8631858656828448E-3</v>
      </c>
      <c r="E147" s="250">
        <v>7.8490236237919765E-3</v>
      </c>
      <c r="F147" s="250">
        <v>7.8346085626041142E-3</v>
      </c>
      <c r="G147" s="250">
        <v>7.8196015941361784E-3</v>
      </c>
      <c r="H147" s="250">
        <v>7.8041404748555067E-3</v>
      </c>
      <c r="I147" s="250">
        <v>7.7890483157639469E-3</v>
      </c>
      <c r="J147" s="250">
        <v>7.7742235242999717E-3</v>
      </c>
      <c r="K147" s="250">
        <v>7.7600628691210987E-3</v>
      </c>
      <c r="L147" s="250">
        <v>7.7453057130497296E-3</v>
      </c>
      <c r="M147" s="250">
        <v>7.7304659414614701E-3</v>
      </c>
      <c r="N147" s="250">
        <v>7.7210268372410046E-3</v>
      </c>
      <c r="O147" s="250">
        <v>7.7118229004435029E-3</v>
      </c>
      <c r="P147" s="250">
        <v>7.7031993812553164E-3</v>
      </c>
      <c r="Q147" s="250">
        <v>7.69432223576856E-3</v>
      </c>
      <c r="R147" s="250">
        <v>7.6855538877345052E-3</v>
      </c>
      <c r="S147" s="250">
        <v>7.6816743012145371E-3</v>
      </c>
      <c r="T147" s="250">
        <v>7.677859018960299E-3</v>
      </c>
      <c r="U147" s="250">
        <v>7.6743535064071272E-3</v>
      </c>
      <c r="V147" s="250">
        <v>7.6706416306134284E-3</v>
      </c>
      <c r="W147" s="250">
        <v>7.666973220725559E-3</v>
      </c>
      <c r="X147" s="250">
        <v>7.6671289863605952E-3</v>
      </c>
      <c r="Y147" s="250">
        <v>7.6669056076091114E-3</v>
      </c>
      <c r="Z147" s="250">
        <v>7.6666894101951469E-3</v>
      </c>
      <c r="AA147" s="250">
        <v>7.6664806400265524E-3</v>
      </c>
      <c r="AB147" s="250">
        <v>7.6662800808911377E-3</v>
      </c>
      <c r="AC147" s="253">
        <v>4.10999049016938E-6</v>
      </c>
      <c r="AD147" s="253">
        <v>4.0970979208312241E-6</v>
      </c>
      <c r="AE147" s="253">
        <v>4.0839455341363234E-6</v>
      </c>
      <c r="AF147" s="253">
        <v>4.0699579262798851E-6</v>
      </c>
      <c r="AG147" s="253">
        <v>4.0562446031074677E-6</v>
      </c>
      <c r="AH147" s="253">
        <v>4.0422356666891032E-6</v>
      </c>
      <c r="AI147" s="253">
        <v>4.030244785737687E-6</v>
      </c>
      <c r="AJ147" s="253">
        <v>4.0183043476010867E-6</v>
      </c>
      <c r="AK147" s="253">
        <v>4.0063982435205458E-6</v>
      </c>
      <c r="AL147" s="253">
        <v>3.9942918006121269E-6</v>
      </c>
      <c r="AM147" s="253">
        <v>3.9820453627584191E-6</v>
      </c>
      <c r="AN147" s="253">
        <v>3.9722953677765156E-6</v>
      </c>
      <c r="AO147" s="253">
        <v>3.9626153727482522E-6</v>
      </c>
      <c r="AP147" s="253">
        <v>3.9531475995691984E-6</v>
      </c>
      <c r="AQ147" s="253">
        <v>3.9435893665211341E-6</v>
      </c>
      <c r="AR147" s="253">
        <v>3.934086324149969E-6</v>
      </c>
      <c r="AS147" s="253">
        <v>3.9284066862261572E-6</v>
      </c>
      <c r="AT147" s="253">
        <v>3.9228013595098312E-6</v>
      </c>
      <c r="AU147" s="253">
        <v>3.9173867669282113E-6</v>
      </c>
      <c r="AV147" s="253">
        <v>3.9119369856352404E-6</v>
      </c>
      <c r="AW147" s="253">
        <v>3.9065835290209758E-6</v>
      </c>
      <c r="AX147" s="253">
        <v>3.9056530248778933E-6</v>
      </c>
      <c r="AY147" s="253">
        <v>3.9043764269384194E-6</v>
      </c>
      <c r="AZ147" s="253">
        <v>3.9031165048253037E-6</v>
      </c>
      <c r="BA147" s="253">
        <v>3.9018732935251666E-6</v>
      </c>
      <c r="BB147" s="253">
        <v>3.9006472486917251E-6</v>
      </c>
      <c r="BC147" s="256">
        <v>0.93993337914674524</v>
      </c>
      <c r="BD147" s="256">
        <v>0.93261875901037938</v>
      </c>
      <c r="BE147" s="256">
        <v>0.9250388357922783</v>
      </c>
      <c r="BF147" s="256">
        <v>0.91263672444786503</v>
      </c>
      <c r="BG147" s="256">
        <v>0.90452590136096145</v>
      </c>
      <c r="BH147" s="256">
        <v>0.89612165818244449</v>
      </c>
      <c r="BI147" s="256">
        <v>0.89418026457532596</v>
      </c>
      <c r="BJ147" s="256">
        <v>0.89223073949095544</v>
      </c>
      <c r="BK147" s="256">
        <v>0.88710090612233328</v>
      </c>
      <c r="BL147" s="256">
        <v>0.88499016289510912</v>
      </c>
      <c r="BM147" s="256">
        <v>0.8827416252469501</v>
      </c>
      <c r="BN147" s="256">
        <v>0.87759344984347953</v>
      </c>
      <c r="BO147" s="256">
        <v>0.87247588939437815</v>
      </c>
      <c r="BP147" s="256">
        <v>0.86652430681908577</v>
      </c>
      <c r="BQ147" s="256">
        <v>0.86147668890561602</v>
      </c>
      <c r="BR147" s="256">
        <v>0.8564490726486822</v>
      </c>
      <c r="BS147" s="256">
        <v>0.85210253034655059</v>
      </c>
      <c r="BT147" s="256">
        <v>0.84778883567289343</v>
      </c>
      <c r="BU147" s="256">
        <v>0.84269855965673546</v>
      </c>
      <c r="BV147" s="256">
        <v>0.83847897280145711</v>
      </c>
      <c r="BW147" s="256">
        <v>0.8342769833986946</v>
      </c>
      <c r="BX147" s="256">
        <v>0.8330169261427105</v>
      </c>
      <c r="BY147" s="256">
        <v>0.83177799632064964</v>
      </c>
      <c r="BZ147" s="256">
        <v>0.83055524082803089</v>
      </c>
      <c r="CA147" s="256">
        <v>0.82934773512781801</v>
      </c>
      <c r="CB147" s="256">
        <v>0.82815504657555772</v>
      </c>
      <c r="CC147" s="259">
        <v>10.52369602398754</v>
      </c>
      <c r="CD147" s="259">
        <v>10.22496283353451</v>
      </c>
      <c r="CE147" s="259">
        <v>9.9218717298228274</v>
      </c>
      <c r="CF147" s="259">
        <v>9.5837750063590406</v>
      </c>
      <c r="CG147" s="259">
        <v>9.2705797500634723</v>
      </c>
      <c r="CH147" s="259">
        <v>8.9520780217515359</v>
      </c>
      <c r="CI147" s="259">
        <v>8.6597096546780001</v>
      </c>
      <c r="CJ147" s="259">
        <v>8.3703503268453616</v>
      </c>
      <c r="CK147" s="259">
        <v>8.0633583560577904</v>
      </c>
      <c r="CL147" s="259">
        <v>7.7736547523033517</v>
      </c>
      <c r="CM147" s="259">
        <v>7.4823569745486713</v>
      </c>
      <c r="CN147" s="259">
        <v>7.1907483230896627</v>
      </c>
      <c r="CO147" s="259">
        <v>6.9022395194264492</v>
      </c>
      <c r="CP147" s="259">
        <v>6.6118815280603664</v>
      </c>
      <c r="CQ147" s="259">
        <v>6.3293419344755746</v>
      </c>
      <c r="CR147" s="259">
        <v>6.0498676620126188</v>
      </c>
      <c r="CS147" s="259">
        <v>5.8618002845010562</v>
      </c>
      <c r="CT147" s="259">
        <v>5.6764689832065196</v>
      </c>
      <c r="CU147" s="259">
        <v>5.4901236632383119</v>
      </c>
      <c r="CV147" s="259">
        <v>5.311032968722845</v>
      </c>
      <c r="CW147" s="259">
        <v>5.1361903641540554</v>
      </c>
      <c r="CX147" s="259">
        <v>5.093888416307446</v>
      </c>
      <c r="CY147" s="259">
        <v>5.0516761494397704</v>
      </c>
      <c r="CZ147" s="259">
        <v>5.0099789816203444</v>
      </c>
      <c r="DA147" s="259">
        <v>4.9687989173441398</v>
      </c>
      <c r="DB147" s="259">
        <v>4.9281456779105319</v>
      </c>
    </row>
    <row r="148" spans="1:106" s="219" customFormat="1" x14ac:dyDescent="0.35">
      <c r="A148" s="235" t="s">
        <v>772</v>
      </c>
      <c r="B148" s="234" t="s">
        <v>774</v>
      </c>
      <c r="C148" s="250">
        <v>8.6003940516468508E-2</v>
      </c>
      <c r="D148" s="250">
        <v>8.5871457927108069E-2</v>
      </c>
      <c r="E148" s="250">
        <v>8.573480320563874E-2</v>
      </c>
      <c r="F148" s="250">
        <v>8.5595059755454561E-2</v>
      </c>
      <c r="G148" s="250">
        <v>8.5449864015897728E-2</v>
      </c>
      <c r="H148" s="250">
        <v>8.5300087496113744E-2</v>
      </c>
      <c r="I148" s="250">
        <v>8.5153917363076023E-2</v>
      </c>
      <c r="J148" s="250">
        <v>8.5010093645539159E-2</v>
      </c>
      <c r="K148" s="250">
        <v>8.4870703387119314E-2</v>
      </c>
      <c r="L148" s="250">
        <v>8.4727414168766613E-2</v>
      </c>
      <c r="M148" s="250">
        <v>8.4583369481510198E-2</v>
      </c>
      <c r="N148" s="250">
        <v>8.4500442605100048E-2</v>
      </c>
      <c r="O148" s="250">
        <v>8.4419866067454066E-2</v>
      </c>
      <c r="P148" s="250">
        <v>8.4343569567323015E-2</v>
      </c>
      <c r="Q148" s="250">
        <v>8.4266362326533881E-2</v>
      </c>
      <c r="R148" s="250">
        <v>8.4190365487664065E-2</v>
      </c>
      <c r="S148" s="250">
        <v>8.415865366478878E-2</v>
      </c>
      <c r="T148" s="250">
        <v>8.4127533439843805E-2</v>
      </c>
      <c r="U148" s="250">
        <v>8.4098416647101326E-2</v>
      </c>
      <c r="V148" s="250">
        <v>8.4068203029133939E-2</v>
      </c>
      <c r="W148" s="250">
        <v>8.4038395610743666E-2</v>
      </c>
      <c r="X148" s="250">
        <v>8.4044193201594231E-2</v>
      </c>
      <c r="Y148" s="250">
        <v>8.4045291306847972E-2</v>
      </c>
      <c r="Z148" s="250">
        <v>8.4046458030905102E-2</v>
      </c>
      <c r="AA148" s="250">
        <v>8.4047694288264682E-2</v>
      </c>
      <c r="AB148" s="250">
        <v>8.404900451450692E-2</v>
      </c>
      <c r="AC148" s="253">
        <v>4.5576891521284373E-5</v>
      </c>
      <c r="AD148" s="253">
        <v>4.5458864908184017E-5</v>
      </c>
      <c r="AE148" s="253">
        <v>4.5338083848462528E-5</v>
      </c>
      <c r="AF148" s="253">
        <v>4.5210900885014343E-5</v>
      </c>
      <c r="AG148" s="253">
        <v>4.5084305748360851E-5</v>
      </c>
      <c r="AH148" s="253">
        <v>4.4954639289758382E-5</v>
      </c>
      <c r="AI148" s="253">
        <v>4.4842291553696477E-5</v>
      </c>
      <c r="AJ148" s="253">
        <v>4.4730172021749798E-5</v>
      </c>
      <c r="AK148" s="253">
        <v>4.4618006677982927E-5</v>
      </c>
      <c r="AL148" s="253">
        <v>4.4504073268880518E-5</v>
      </c>
      <c r="AM148" s="253">
        <v>4.4388785047147727E-5</v>
      </c>
      <c r="AN148" s="253">
        <v>4.4303140991829227E-5</v>
      </c>
      <c r="AO148" s="253">
        <v>4.4218185901480451E-5</v>
      </c>
      <c r="AP148" s="253">
        <v>4.4134715607683748E-5</v>
      </c>
      <c r="AQ148" s="253">
        <v>4.405099648903903E-5</v>
      </c>
      <c r="AR148" s="253">
        <v>4.3967837479997597E-5</v>
      </c>
      <c r="AS148" s="253">
        <v>4.3917969017739767E-5</v>
      </c>
      <c r="AT148" s="253">
        <v>4.3868745729879738E-5</v>
      </c>
      <c r="AU148" s="253">
        <v>4.3820773925146189E-5</v>
      </c>
      <c r="AV148" s="253">
        <v>4.3772715952336127E-5</v>
      </c>
      <c r="AW148" s="253">
        <v>4.3725248114344227E-5</v>
      </c>
      <c r="AX148" s="253">
        <v>4.3718801326400543E-5</v>
      </c>
      <c r="AY148" s="253">
        <v>4.370704811323635E-5</v>
      </c>
      <c r="AZ148" s="253">
        <v>4.3695446666788843E-5</v>
      </c>
      <c r="BA148" s="253">
        <v>4.3683994550369457E-5</v>
      </c>
      <c r="BB148" s="253">
        <v>4.3672691699410468E-5</v>
      </c>
      <c r="BC148" s="256">
        <v>6.805643712945578</v>
      </c>
      <c r="BD148" s="256">
        <v>6.7250483625937054</v>
      </c>
      <c r="BE148" s="256">
        <v>6.6420763669228418</v>
      </c>
      <c r="BF148" s="256">
        <v>6.5284582184951381</v>
      </c>
      <c r="BG148" s="256">
        <v>6.4407527631141059</v>
      </c>
      <c r="BH148" s="256">
        <v>6.3505215715616599</v>
      </c>
      <c r="BI148" s="256">
        <v>6.329982738028157</v>
      </c>
      <c r="BJ148" s="256">
        <v>6.3092138785363483</v>
      </c>
      <c r="BK148" s="256">
        <v>6.2685313806705292</v>
      </c>
      <c r="BL148" s="256">
        <v>6.2459910535260974</v>
      </c>
      <c r="BM148" s="256">
        <v>6.2221497064493718</v>
      </c>
      <c r="BN148" s="256">
        <v>6.180152002397441</v>
      </c>
      <c r="BO148" s="256">
        <v>6.1384951471308016</v>
      </c>
      <c r="BP148" s="256">
        <v>6.0915924962078654</v>
      </c>
      <c r="BQ148" s="256">
        <v>6.050684397800647</v>
      </c>
      <c r="BR148" s="256">
        <v>6.0100663968046453</v>
      </c>
      <c r="BS148" s="256">
        <v>5.975031667423278</v>
      </c>
      <c r="BT148" s="256">
        <v>5.9402794024895158</v>
      </c>
      <c r="BU148" s="256">
        <v>5.9005703422444373</v>
      </c>
      <c r="BV148" s="256">
        <v>5.8663876615172397</v>
      </c>
      <c r="BW148" s="256">
        <v>5.8324183903496376</v>
      </c>
      <c r="BX148" s="256">
        <v>5.8203257183274184</v>
      </c>
      <c r="BY148" s="256">
        <v>5.8084393846263964</v>
      </c>
      <c r="BZ148" s="256">
        <v>5.796712135897879</v>
      </c>
      <c r="CA148" s="256">
        <v>5.785137728995335</v>
      </c>
      <c r="CB148" s="256">
        <v>5.7737138386115303</v>
      </c>
      <c r="CC148" s="259">
        <v>71.322406360335364</v>
      </c>
      <c r="CD148" s="259">
        <v>68.757613629369146</v>
      </c>
      <c r="CE148" s="259">
        <v>66.143836112462239</v>
      </c>
      <c r="CF148" s="259">
        <v>63.290848352369423</v>
      </c>
      <c r="CG148" s="259">
        <v>60.568892652429938</v>
      </c>
      <c r="CH148" s="259">
        <v>57.789344875013853</v>
      </c>
      <c r="CI148" s="259">
        <v>55.121725367898371</v>
      </c>
      <c r="CJ148" s="259">
        <v>52.477313090117548</v>
      </c>
      <c r="CK148" s="259">
        <v>49.723998452676852</v>
      </c>
      <c r="CL148" s="259">
        <v>47.071362828209693</v>
      </c>
      <c r="CM148" s="259">
        <v>44.403221974525231</v>
      </c>
      <c r="CN148" s="259">
        <v>41.85227270873694</v>
      </c>
      <c r="CO148" s="259">
        <v>39.330134659826008</v>
      </c>
      <c r="CP148" s="259">
        <v>36.804252319912457</v>
      </c>
      <c r="CQ148" s="259">
        <v>34.337126807110607</v>
      </c>
      <c r="CR148" s="259">
        <v>31.896418794546431</v>
      </c>
      <c r="CS148" s="259">
        <v>30.234613561338971</v>
      </c>
      <c r="CT148" s="259">
        <v>28.595202338479499</v>
      </c>
      <c r="CU148" s="259">
        <v>26.951995036542211</v>
      </c>
      <c r="CV148" s="259">
        <v>25.35522363875355</v>
      </c>
      <c r="CW148" s="259">
        <v>23.780500463382911</v>
      </c>
      <c r="CX148" s="259">
        <v>23.392110189129038</v>
      </c>
      <c r="CY148" s="259">
        <v>23.005380910980961</v>
      </c>
      <c r="CZ148" s="259">
        <v>22.623351170257791</v>
      </c>
      <c r="DA148" s="259">
        <v>22.245971481393969</v>
      </c>
      <c r="DB148" s="259">
        <v>21.87322568179551</v>
      </c>
    </row>
    <row r="149" spans="1:106" s="219" customFormat="1" x14ac:dyDescent="0.35">
      <c r="A149" s="235" t="s">
        <v>773</v>
      </c>
      <c r="B149" s="234" t="s">
        <v>774</v>
      </c>
      <c r="C149" s="250">
        <v>2.2906639859688729E-2</v>
      </c>
      <c r="D149" s="250">
        <v>2.2893120093511792E-2</v>
      </c>
      <c r="E149" s="250">
        <v>2.287901028345201E-2</v>
      </c>
      <c r="F149" s="250">
        <v>2.286491778774382E-2</v>
      </c>
      <c r="G149" s="250">
        <v>2.2849741181404679E-2</v>
      </c>
      <c r="H149" s="250">
        <v>2.283391462193592E-2</v>
      </c>
      <c r="I149" s="250">
        <v>2.280192039669789E-2</v>
      </c>
      <c r="J149" s="250">
        <v>2.2772863586856779E-2</v>
      </c>
      <c r="K149" s="250">
        <v>2.2747100001763991E-2</v>
      </c>
      <c r="L149" s="250">
        <v>2.2721045705326029E-2</v>
      </c>
      <c r="M149" s="250">
        <v>2.2695791307967329E-2</v>
      </c>
      <c r="N149" s="250">
        <v>2.267737822633745E-2</v>
      </c>
      <c r="O149" s="250">
        <v>2.2660397146373169E-2</v>
      </c>
      <c r="P149" s="250">
        <v>2.2645439729164461E-2</v>
      </c>
      <c r="Q149" s="250">
        <v>2.263045842535328E-2</v>
      </c>
      <c r="R149" s="250">
        <v>2.2616172080680931E-2</v>
      </c>
      <c r="S149" s="250">
        <v>2.2612249613135391E-2</v>
      </c>
      <c r="T149" s="250">
        <v>2.2608486678275141E-2</v>
      </c>
      <c r="U149" s="250">
        <v>2.2605372535531121E-2</v>
      </c>
      <c r="V149" s="250">
        <v>2.2601748584902871E-2</v>
      </c>
      <c r="W149" s="250">
        <v>2.2598168016412189E-2</v>
      </c>
      <c r="X149" s="250">
        <v>2.2605098485370879E-2</v>
      </c>
      <c r="Y149" s="250">
        <v>2.261056548027086E-2</v>
      </c>
      <c r="Z149" s="250">
        <v>2.2615997670155812E-2</v>
      </c>
      <c r="AA149" s="250">
        <v>2.262139752430211E-2</v>
      </c>
      <c r="AB149" s="250">
        <v>2.262676860142453E-2</v>
      </c>
      <c r="AC149" s="253">
        <v>1.1731295986188719E-5</v>
      </c>
      <c r="AD149" s="253">
        <v>1.170976476459545E-5</v>
      </c>
      <c r="AE149" s="253">
        <v>1.168804769036134E-5</v>
      </c>
      <c r="AF149" s="253">
        <v>1.166488361940861E-5</v>
      </c>
      <c r="AG149" s="253">
        <v>1.1642807980827829E-5</v>
      </c>
      <c r="AH149" s="253">
        <v>1.1620510946437839E-5</v>
      </c>
      <c r="AI149" s="253">
        <v>1.1598287894749169E-5</v>
      </c>
      <c r="AJ149" s="253">
        <v>1.157703539299418E-5</v>
      </c>
      <c r="AK149" s="253">
        <v>1.155641528061202E-5</v>
      </c>
      <c r="AL149" s="253">
        <v>1.153555022292678E-5</v>
      </c>
      <c r="AM149" s="253">
        <v>1.1514585705033969E-5</v>
      </c>
      <c r="AN149" s="253">
        <v>1.149454876618939E-5</v>
      </c>
      <c r="AO149" s="253">
        <v>1.1474654164847649E-5</v>
      </c>
      <c r="AP149" s="253">
        <v>1.1455199210444361E-5</v>
      </c>
      <c r="AQ149" s="253">
        <v>1.143554851678551E-5</v>
      </c>
      <c r="AR149" s="253">
        <v>1.141600031381905E-5</v>
      </c>
      <c r="AS149" s="253">
        <v>1.14029336070159E-5</v>
      </c>
      <c r="AT149" s="253">
        <v>1.139001001055975E-5</v>
      </c>
      <c r="AU149" s="253">
        <v>1.137743418333995E-5</v>
      </c>
      <c r="AV149" s="253">
        <v>1.1364710383543221E-5</v>
      </c>
      <c r="AW149" s="253">
        <v>1.135209002422303E-5</v>
      </c>
      <c r="AX149" s="253">
        <v>1.135069872417807E-5</v>
      </c>
      <c r="AY149" s="253">
        <v>1.134771846508071E-5</v>
      </c>
      <c r="AZ149" s="253">
        <v>1.1344760790203559E-5</v>
      </c>
      <c r="BA149" s="253">
        <v>1.134182541624759E-5</v>
      </c>
      <c r="BB149" s="253">
        <v>1.133891287550101E-5</v>
      </c>
      <c r="BC149" s="256">
        <v>2.9737758500389231</v>
      </c>
      <c r="BD149" s="256">
        <v>2.9560516476735761</v>
      </c>
      <c r="BE149" s="256">
        <v>2.9382766878846009</v>
      </c>
      <c r="BF149" s="256">
        <v>2.9098417631476599</v>
      </c>
      <c r="BG149" s="256">
        <v>2.892019533844826</v>
      </c>
      <c r="BH149" s="256">
        <v>2.8741146277391412</v>
      </c>
      <c r="BI149" s="256">
        <v>2.8668617408321189</v>
      </c>
      <c r="BJ149" s="256">
        <v>2.8603096550632889</v>
      </c>
      <c r="BK149" s="256">
        <v>2.8467774164601489</v>
      </c>
      <c r="BL149" s="256">
        <v>2.8406266254583761</v>
      </c>
      <c r="BM149" s="256">
        <v>2.834441043521136</v>
      </c>
      <c r="BN149" s="256">
        <v>2.8176683380123628</v>
      </c>
      <c r="BO149" s="256">
        <v>2.8010256701140639</v>
      </c>
      <c r="BP149" s="256">
        <v>2.7823365960389328</v>
      </c>
      <c r="BQ149" s="256">
        <v>2.7659717308452252</v>
      </c>
      <c r="BR149" s="256">
        <v>2.7497161240078118</v>
      </c>
      <c r="BS149" s="256">
        <v>2.7366411565687159</v>
      </c>
      <c r="BT149" s="256">
        <v>2.72367238369206</v>
      </c>
      <c r="BU149" s="256">
        <v>2.7087370395039878</v>
      </c>
      <c r="BV149" s="256">
        <v>2.695947186059283</v>
      </c>
      <c r="BW149" s="256">
        <v>2.6832206168352659</v>
      </c>
      <c r="BX149" s="256">
        <v>2.6786196351892229</v>
      </c>
      <c r="BY149" s="256">
        <v>2.6740608860337058</v>
      </c>
      <c r="BZ149" s="256">
        <v>2.669534787912184</v>
      </c>
      <c r="CA149" s="256">
        <v>2.6650397497542579</v>
      </c>
      <c r="CB149" s="256">
        <v>2.6605754055605422</v>
      </c>
      <c r="CC149" s="259">
        <v>24.827704847671491</v>
      </c>
      <c r="CD149" s="259">
        <v>24.35631849040465</v>
      </c>
      <c r="CE149" s="259">
        <v>23.882753044445629</v>
      </c>
      <c r="CF149" s="259">
        <v>23.337570109693051</v>
      </c>
      <c r="CG149" s="259">
        <v>22.859588334753401</v>
      </c>
      <c r="CH149" s="259">
        <v>22.378457448251851</v>
      </c>
      <c r="CI149" s="259">
        <v>21.78280469054133</v>
      </c>
      <c r="CJ149" s="259">
        <v>21.21181331878568</v>
      </c>
      <c r="CK149" s="259">
        <v>20.60982973057062</v>
      </c>
      <c r="CL149" s="259">
        <v>20.05150514304346</v>
      </c>
      <c r="CM149" s="259">
        <v>19.49242799791946</v>
      </c>
      <c r="CN149" s="259">
        <v>18.838419024917741</v>
      </c>
      <c r="CO149" s="259">
        <v>18.189292796898961</v>
      </c>
      <c r="CP149" s="259">
        <v>17.532644093965811</v>
      </c>
      <c r="CQ149" s="259">
        <v>16.89290666857265</v>
      </c>
      <c r="CR149" s="259">
        <v>16.257556407197232</v>
      </c>
      <c r="CS149" s="259">
        <v>15.79272405034593</v>
      </c>
      <c r="CT149" s="259">
        <v>15.332625521088721</v>
      </c>
      <c r="CU149" s="259">
        <v>14.86668372775895</v>
      </c>
      <c r="CV149" s="259">
        <v>14.41458037358262</v>
      </c>
      <c r="CW149" s="259">
        <v>13.966827381225009</v>
      </c>
      <c r="CX149" s="259">
        <v>13.859360308713089</v>
      </c>
      <c r="CY149" s="259">
        <v>13.75110662398113</v>
      </c>
      <c r="CZ149" s="259">
        <v>13.643557804769801</v>
      </c>
      <c r="DA149" s="259">
        <v>13.53671116093588</v>
      </c>
      <c r="DB149" s="259">
        <v>13.430577754444551</v>
      </c>
    </row>
    <row r="150" spans="1:106" s="219" customFormat="1" x14ac:dyDescent="0.35">
      <c r="A150" s="235" t="s">
        <v>747</v>
      </c>
      <c r="B150" s="234" t="s">
        <v>769</v>
      </c>
      <c r="C150" s="250">
        <v>5.8770061070943597E-2</v>
      </c>
      <c r="D150" s="250">
        <v>5.8674121682493682E-2</v>
      </c>
      <c r="E150" s="250">
        <v>5.8577433972327758E-2</v>
      </c>
      <c r="F150" s="250">
        <v>5.8481467562588242E-2</v>
      </c>
      <c r="G150" s="250">
        <v>5.8383180753157779E-2</v>
      </c>
      <c r="H150" s="250">
        <v>5.8284026082365693E-2</v>
      </c>
      <c r="I150" s="250">
        <v>5.8161153744933691E-2</v>
      </c>
      <c r="J150" s="250">
        <v>5.8039428181598553E-2</v>
      </c>
      <c r="K150" s="250">
        <v>5.7923954955353747E-2</v>
      </c>
      <c r="L150" s="250">
        <v>5.7802937471622982E-2</v>
      </c>
      <c r="M150" s="250">
        <v>5.7681866529520669E-2</v>
      </c>
      <c r="N150" s="250">
        <v>5.7592516494935929E-2</v>
      </c>
      <c r="O150" s="250">
        <v>5.7503530631842097E-2</v>
      </c>
      <c r="P150" s="250">
        <v>5.7418884024540727E-2</v>
      </c>
      <c r="Q150" s="250">
        <v>5.7330137493675527E-2</v>
      </c>
      <c r="R150" s="250">
        <v>5.7241327734200938E-2</v>
      </c>
      <c r="S150" s="250">
        <v>5.7210730561369667E-2</v>
      </c>
      <c r="T150" s="250">
        <v>5.7180298860037441E-2</v>
      </c>
      <c r="U150" s="250">
        <v>5.7152744554309153E-2</v>
      </c>
      <c r="V150" s="250">
        <v>5.7122545098155023E-2</v>
      </c>
      <c r="W150" s="250">
        <v>5.7092438685730107E-2</v>
      </c>
      <c r="X150" s="250">
        <v>5.7091240073430298E-2</v>
      </c>
      <c r="Y150" s="250">
        <v>5.7086400048595921E-2</v>
      </c>
      <c r="Z150" s="250">
        <v>5.708157088893509E-2</v>
      </c>
      <c r="AA150" s="250">
        <v>5.7076752240748888E-2</v>
      </c>
      <c r="AB150" s="250">
        <v>5.7071945862557337E-2</v>
      </c>
      <c r="AC150" s="253">
        <v>3.2109738740214021E-5</v>
      </c>
      <c r="AD150" s="253">
        <v>3.2032040198513383E-5</v>
      </c>
      <c r="AE150" s="253">
        <v>3.1954021180622583E-5</v>
      </c>
      <c r="AF150" s="253">
        <v>3.1869753450000188E-5</v>
      </c>
      <c r="AG150" s="253">
        <v>3.1790969342577993E-5</v>
      </c>
      <c r="AH150" s="253">
        <v>3.171174712210879E-5</v>
      </c>
      <c r="AI150" s="253">
        <v>3.1620000736188473E-5</v>
      </c>
      <c r="AJ150" s="253">
        <v>3.1528559371275543E-5</v>
      </c>
      <c r="AK150" s="253">
        <v>3.1437798347563558E-5</v>
      </c>
      <c r="AL150" s="253">
        <v>3.1346096411991449E-5</v>
      </c>
      <c r="AM150" s="253">
        <v>3.1254051085239523E-5</v>
      </c>
      <c r="AN150" s="253">
        <v>3.1174695529400232E-5</v>
      </c>
      <c r="AO150" s="253">
        <v>3.109519181046834E-5</v>
      </c>
      <c r="AP150" s="253">
        <v>3.1017181353945958E-5</v>
      </c>
      <c r="AQ150" s="253">
        <v>3.0937340424156338E-5</v>
      </c>
      <c r="AR150" s="253">
        <v>3.0857297338879937E-5</v>
      </c>
      <c r="AS150" s="253">
        <v>3.0819242462658462E-5</v>
      </c>
      <c r="AT150" s="253">
        <v>3.0781366321427052E-5</v>
      </c>
      <c r="AU150" s="253">
        <v>3.0744989140131072E-5</v>
      </c>
      <c r="AV150" s="253">
        <v>3.0707454518129388E-5</v>
      </c>
      <c r="AW150" s="253">
        <v>3.0670095836433403E-5</v>
      </c>
      <c r="AX150" s="253">
        <v>3.0664129994568417E-5</v>
      </c>
      <c r="AY150" s="253">
        <v>3.0654333474809068E-5</v>
      </c>
      <c r="AZ150" s="253">
        <v>3.0644581657107062E-5</v>
      </c>
      <c r="BA150" s="253">
        <v>3.0634873522890657E-5</v>
      </c>
      <c r="BB150" s="253">
        <v>3.0625209462133293E-5</v>
      </c>
      <c r="BC150" s="256">
        <v>22.63765860475419</v>
      </c>
      <c r="BD150" s="256">
        <v>22.584268955001232</v>
      </c>
      <c r="BE150" s="256">
        <v>22.53052564760269</v>
      </c>
      <c r="BF150" s="256">
        <v>22.42812532799735</v>
      </c>
      <c r="BG150" s="256">
        <v>22.373821299423941</v>
      </c>
      <c r="BH150" s="256">
        <v>22.319096756087578</v>
      </c>
      <c r="BI150" s="256">
        <v>22.30412117071188</v>
      </c>
      <c r="BJ150" s="256">
        <v>22.289304291660329</v>
      </c>
      <c r="BK150" s="256">
        <v>22.24126124614914</v>
      </c>
      <c r="BL150" s="256">
        <v>22.22656398234998</v>
      </c>
      <c r="BM150" s="256">
        <v>22.211608811715578</v>
      </c>
      <c r="BN150" s="256">
        <v>22.175386964221492</v>
      </c>
      <c r="BO150" s="256">
        <v>22.139144600906739</v>
      </c>
      <c r="BP150" s="256">
        <v>22.09400903377832</v>
      </c>
      <c r="BQ150" s="256">
        <v>22.057857783859252</v>
      </c>
      <c r="BR150" s="256">
        <v>22.021656088432469</v>
      </c>
      <c r="BS150" s="256">
        <v>21.999559056864872</v>
      </c>
      <c r="BT150" s="256">
        <v>21.9775314257361</v>
      </c>
      <c r="BU150" s="256">
        <v>21.9472320941099</v>
      </c>
      <c r="BV150" s="256">
        <v>21.925468014670219</v>
      </c>
      <c r="BW150" s="256">
        <v>21.90374639855348</v>
      </c>
      <c r="BX150" s="256">
        <v>21.894016245658779</v>
      </c>
      <c r="BY150" s="256">
        <v>21.884357737465031</v>
      </c>
      <c r="BZ150" s="256">
        <v>21.874744212644469</v>
      </c>
      <c r="CA150" s="256">
        <v>21.865172370031061</v>
      </c>
      <c r="CB150" s="256">
        <v>21.855641532707239</v>
      </c>
      <c r="CC150" s="259">
        <v>110.58378557048511</v>
      </c>
      <c r="CD150" s="259">
        <v>108.96977406733031</v>
      </c>
      <c r="CE150" s="259">
        <v>107.3544884105351</v>
      </c>
      <c r="CF150" s="259">
        <v>105.4168125580683</v>
      </c>
      <c r="CG150" s="259">
        <v>103.79409754231681</v>
      </c>
      <c r="CH150" s="259">
        <v>102.1657151289992</v>
      </c>
      <c r="CI150" s="259">
        <v>100.16388069567709</v>
      </c>
      <c r="CJ150" s="259">
        <v>98.173973893618509</v>
      </c>
      <c r="CK150" s="259">
        <v>95.991493299759568</v>
      </c>
      <c r="CL150" s="259">
        <v>94.00568792552194</v>
      </c>
      <c r="CM150" s="259">
        <v>92.015714102501974</v>
      </c>
      <c r="CN150" s="259">
        <v>89.94138422206224</v>
      </c>
      <c r="CO150" s="259">
        <v>87.868095035030947</v>
      </c>
      <c r="CP150" s="259">
        <v>85.747247713251298</v>
      </c>
      <c r="CQ150" s="259">
        <v>83.676204342381126</v>
      </c>
      <c r="CR150" s="259">
        <v>81.605508566860493</v>
      </c>
      <c r="CS150" s="259">
        <v>80.410749415293466</v>
      </c>
      <c r="CT150" s="259">
        <v>79.222860639917528</v>
      </c>
      <c r="CU150" s="259">
        <v>78.002541904967075</v>
      </c>
      <c r="CV150" s="259">
        <v>76.829112610506158</v>
      </c>
      <c r="CW150" s="259">
        <v>75.663443830005662</v>
      </c>
      <c r="CX150" s="259">
        <v>75.339124202458834</v>
      </c>
      <c r="CY150" s="259">
        <v>75.012658538215277</v>
      </c>
      <c r="CZ150" s="259">
        <v>74.687602018481371</v>
      </c>
      <c r="DA150" s="259">
        <v>74.363939148074678</v>
      </c>
      <c r="DB150" s="259">
        <v>74.041674484014521</v>
      </c>
    </row>
    <row r="152" spans="1:106" s="11" customFormat="1" ht="21" x14ac:dyDescent="0.5">
      <c r="A152" s="11" t="s">
        <v>94</v>
      </c>
    </row>
    <row r="153" spans="1:106" s="219" customFormat="1" x14ac:dyDescent="0.35">
      <c r="A153" s="29" t="s">
        <v>0</v>
      </c>
      <c r="B153" s="29"/>
      <c r="C153" s="332" t="s">
        <v>702</v>
      </c>
      <c r="D153" s="332"/>
      <c r="E153" s="332"/>
      <c r="F153" s="332"/>
      <c r="G153" s="332"/>
      <c r="H153" s="332"/>
      <c r="I153" s="332"/>
      <c r="J153" s="332"/>
      <c r="K153" s="332"/>
      <c r="L153" s="332"/>
      <c r="M153" s="332"/>
      <c r="N153" s="332"/>
      <c r="O153" s="332"/>
      <c r="P153" s="332"/>
      <c r="Q153" s="332"/>
      <c r="R153" s="332"/>
      <c r="S153" s="332"/>
      <c r="T153" s="332"/>
      <c r="U153" s="332"/>
      <c r="V153" s="332"/>
      <c r="W153" s="332"/>
      <c r="X153" s="332"/>
      <c r="Y153" s="332"/>
      <c r="Z153" s="332"/>
      <c r="AA153" s="332"/>
      <c r="AB153" s="332"/>
      <c r="AC153" s="333" t="s">
        <v>701</v>
      </c>
      <c r="AD153" s="333"/>
      <c r="AE153" s="333"/>
      <c r="AF153" s="333"/>
      <c r="AG153" s="333"/>
      <c r="AH153" s="333"/>
      <c r="AI153" s="333"/>
      <c r="AJ153" s="333"/>
      <c r="AK153" s="333"/>
      <c r="AL153" s="333"/>
      <c r="AM153" s="333"/>
      <c r="AN153" s="333"/>
      <c r="AO153" s="333"/>
      <c r="AP153" s="333"/>
      <c r="AQ153" s="333"/>
      <c r="AR153" s="333"/>
      <c r="AS153" s="333"/>
      <c r="AT153" s="333"/>
      <c r="AU153" s="333"/>
      <c r="AV153" s="333"/>
      <c r="AW153" s="333"/>
      <c r="AX153" s="333"/>
      <c r="AY153" s="333"/>
      <c r="AZ153" s="333"/>
      <c r="BA153" s="333"/>
      <c r="BB153" s="333"/>
      <c r="BC153" s="334" t="s">
        <v>756</v>
      </c>
      <c r="BD153" s="335"/>
      <c r="BE153" s="335"/>
      <c r="BF153" s="335"/>
      <c r="BG153" s="335"/>
      <c r="BH153" s="335"/>
      <c r="BI153" s="335"/>
      <c r="BJ153" s="335"/>
      <c r="BK153" s="335"/>
      <c r="BL153" s="335"/>
      <c r="BM153" s="335"/>
      <c r="BN153" s="335"/>
      <c r="BO153" s="335"/>
      <c r="BP153" s="335"/>
      <c r="BQ153" s="335"/>
      <c r="BR153" s="335"/>
      <c r="BS153" s="335"/>
      <c r="BT153" s="335"/>
      <c r="BU153" s="335"/>
      <c r="BV153" s="335"/>
      <c r="BW153" s="335"/>
      <c r="BX153" s="335"/>
      <c r="BY153" s="335"/>
      <c r="BZ153" s="335"/>
      <c r="CA153" s="335"/>
      <c r="CB153" s="336"/>
      <c r="CC153" s="337" t="s">
        <v>700</v>
      </c>
      <c r="CD153" s="337"/>
      <c r="CE153" s="337"/>
      <c r="CF153" s="337"/>
      <c r="CG153" s="337"/>
      <c r="CH153" s="337"/>
      <c r="CI153" s="337"/>
      <c r="CJ153" s="337"/>
      <c r="CK153" s="337"/>
      <c r="CL153" s="337"/>
      <c r="CM153" s="337"/>
      <c r="CN153" s="337"/>
      <c r="CO153" s="337"/>
      <c r="CP153" s="337"/>
      <c r="CQ153" s="337"/>
      <c r="CR153" s="337"/>
      <c r="CS153" s="337"/>
      <c r="CT153" s="337"/>
      <c r="CU153" s="337"/>
      <c r="CV153" s="337"/>
      <c r="CW153" s="337"/>
      <c r="CX153" s="337"/>
      <c r="CY153" s="337"/>
      <c r="CZ153" s="337"/>
      <c r="DA153" s="337"/>
      <c r="DB153" s="337"/>
    </row>
    <row r="154" spans="1:106" s="219" customFormat="1" x14ac:dyDescent="0.35">
      <c r="A154" s="29" t="s">
        <v>1</v>
      </c>
      <c r="B154" s="29" t="s">
        <v>180</v>
      </c>
      <c r="C154" s="222" t="s">
        <v>14</v>
      </c>
      <c r="D154" s="222" t="s">
        <v>95</v>
      </c>
      <c r="E154" s="222" t="s">
        <v>96</v>
      </c>
      <c r="F154" s="222" t="s">
        <v>97</v>
      </c>
      <c r="G154" s="222" t="s">
        <v>98</v>
      </c>
      <c r="H154" s="222" t="s">
        <v>15</v>
      </c>
      <c r="I154" s="222" t="s">
        <v>99</v>
      </c>
      <c r="J154" s="222" t="s">
        <v>100</v>
      </c>
      <c r="K154" s="222" t="s">
        <v>101</v>
      </c>
      <c r="L154" s="222" t="s">
        <v>102</v>
      </c>
      <c r="M154" s="222" t="s">
        <v>16</v>
      </c>
      <c r="N154" s="222" t="s">
        <v>103</v>
      </c>
      <c r="O154" s="222" t="s">
        <v>104</v>
      </c>
      <c r="P154" s="222" t="s">
        <v>105</v>
      </c>
      <c r="Q154" s="222" t="s">
        <v>106</v>
      </c>
      <c r="R154" s="222" t="s">
        <v>17</v>
      </c>
      <c r="S154" s="222" t="s">
        <v>107</v>
      </c>
      <c r="T154" s="222" t="s">
        <v>108</v>
      </c>
      <c r="U154" s="222" t="s">
        <v>109</v>
      </c>
      <c r="V154" s="222" t="s">
        <v>110</v>
      </c>
      <c r="W154" s="222" t="s">
        <v>18</v>
      </c>
      <c r="X154" s="222" t="s">
        <v>111</v>
      </c>
      <c r="Y154" s="222" t="s">
        <v>112</v>
      </c>
      <c r="Z154" s="222" t="s">
        <v>113</v>
      </c>
      <c r="AA154" s="222" t="s">
        <v>114</v>
      </c>
      <c r="AB154" s="222" t="s">
        <v>19</v>
      </c>
      <c r="AC154" s="223" t="s">
        <v>14</v>
      </c>
      <c r="AD154" s="223" t="s">
        <v>95</v>
      </c>
      <c r="AE154" s="223" t="s">
        <v>96</v>
      </c>
      <c r="AF154" s="223" t="s">
        <v>97</v>
      </c>
      <c r="AG154" s="223" t="s">
        <v>98</v>
      </c>
      <c r="AH154" s="223" t="s">
        <v>15</v>
      </c>
      <c r="AI154" s="223" t="s">
        <v>99</v>
      </c>
      <c r="AJ154" s="223" t="s">
        <v>100</v>
      </c>
      <c r="AK154" s="223" t="s">
        <v>101</v>
      </c>
      <c r="AL154" s="223" t="s">
        <v>102</v>
      </c>
      <c r="AM154" s="223" t="s">
        <v>16</v>
      </c>
      <c r="AN154" s="223" t="s">
        <v>103</v>
      </c>
      <c r="AO154" s="223" t="s">
        <v>104</v>
      </c>
      <c r="AP154" s="223" t="s">
        <v>105</v>
      </c>
      <c r="AQ154" s="223" t="s">
        <v>106</v>
      </c>
      <c r="AR154" s="223" t="s">
        <v>17</v>
      </c>
      <c r="AS154" s="223" t="s">
        <v>107</v>
      </c>
      <c r="AT154" s="223" t="s">
        <v>108</v>
      </c>
      <c r="AU154" s="223" t="s">
        <v>109</v>
      </c>
      <c r="AV154" s="223" t="s">
        <v>110</v>
      </c>
      <c r="AW154" s="223" t="s">
        <v>18</v>
      </c>
      <c r="AX154" s="223" t="s">
        <v>111</v>
      </c>
      <c r="AY154" s="223" t="s">
        <v>112</v>
      </c>
      <c r="AZ154" s="223" t="s">
        <v>113</v>
      </c>
      <c r="BA154" s="223" t="s">
        <v>114</v>
      </c>
      <c r="BB154" s="223" t="s">
        <v>19</v>
      </c>
      <c r="BC154" s="225" t="s">
        <v>14</v>
      </c>
      <c r="BD154" s="225" t="s">
        <v>95</v>
      </c>
      <c r="BE154" s="225" t="s">
        <v>96</v>
      </c>
      <c r="BF154" s="225" t="s">
        <v>97</v>
      </c>
      <c r="BG154" s="225" t="s">
        <v>98</v>
      </c>
      <c r="BH154" s="225" t="s">
        <v>15</v>
      </c>
      <c r="BI154" s="225" t="s">
        <v>99</v>
      </c>
      <c r="BJ154" s="225" t="s">
        <v>100</v>
      </c>
      <c r="BK154" s="225" t="s">
        <v>101</v>
      </c>
      <c r="BL154" s="225" t="s">
        <v>102</v>
      </c>
      <c r="BM154" s="225" t="s">
        <v>16</v>
      </c>
      <c r="BN154" s="225" t="s">
        <v>103</v>
      </c>
      <c r="BO154" s="225" t="s">
        <v>104</v>
      </c>
      <c r="BP154" s="225" t="s">
        <v>105</v>
      </c>
      <c r="BQ154" s="225" t="s">
        <v>106</v>
      </c>
      <c r="BR154" s="225" t="s">
        <v>17</v>
      </c>
      <c r="BS154" s="225" t="s">
        <v>107</v>
      </c>
      <c r="BT154" s="225" t="s">
        <v>108</v>
      </c>
      <c r="BU154" s="225" t="s">
        <v>109</v>
      </c>
      <c r="BV154" s="225" t="s">
        <v>110</v>
      </c>
      <c r="BW154" s="225" t="s">
        <v>18</v>
      </c>
      <c r="BX154" s="225" t="s">
        <v>111</v>
      </c>
      <c r="BY154" s="225" t="s">
        <v>112</v>
      </c>
      <c r="BZ154" s="225" t="s">
        <v>113</v>
      </c>
      <c r="CA154" s="225" t="s">
        <v>114</v>
      </c>
      <c r="CB154" s="225" t="s">
        <v>19</v>
      </c>
      <c r="CC154" s="224" t="s">
        <v>14</v>
      </c>
      <c r="CD154" s="224" t="s">
        <v>95</v>
      </c>
      <c r="CE154" s="224" t="s">
        <v>96</v>
      </c>
      <c r="CF154" s="224" t="s">
        <v>97</v>
      </c>
      <c r="CG154" s="224" t="s">
        <v>98</v>
      </c>
      <c r="CH154" s="224" t="s">
        <v>15</v>
      </c>
      <c r="CI154" s="224" t="s">
        <v>99</v>
      </c>
      <c r="CJ154" s="224" t="s">
        <v>100</v>
      </c>
      <c r="CK154" s="224" t="s">
        <v>101</v>
      </c>
      <c r="CL154" s="224" t="s">
        <v>102</v>
      </c>
      <c r="CM154" s="224" t="s">
        <v>16</v>
      </c>
      <c r="CN154" s="224" t="s">
        <v>103</v>
      </c>
      <c r="CO154" s="224" t="s">
        <v>104</v>
      </c>
      <c r="CP154" s="224" t="s">
        <v>105</v>
      </c>
      <c r="CQ154" s="224" t="s">
        <v>106</v>
      </c>
      <c r="CR154" s="224" t="s">
        <v>17</v>
      </c>
      <c r="CS154" s="224" t="s">
        <v>107</v>
      </c>
      <c r="CT154" s="224" t="s">
        <v>108</v>
      </c>
      <c r="CU154" s="224" t="s">
        <v>109</v>
      </c>
      <c r="CV154" s="224" t="s">
        <v>110</v>
      </c>
      <c r="CW154" s="224" t="s">
        <v>18</v>
      </c>
      <c r="CX154" s="224" t="s">
        <v>111</v>
      </c>
      <c r="CY154" s="224" t="s">
        <v>112</v>
      </c>
      <c r="CZ154" s="224" t="s">
        <v>113</v>
      </c>
      <c r="DA154" s="224" t="s">
        <v>114</v>
      </c>
      <c r="DB154" s="224" t="s">
        <v>19</v>
      </c>
    </row>
    <row r="155" spans="1:106" s="219" customFormat="1" x14ac:dyDescent="0.35"/>
    <row r="156" spans="1:106" s="219" customFormat="1" x14ac:dyDescent="0.35">
      <c r="A156" s="128" t="s">
        <v>745</v>
      </c>
      <c r="B156" s="31" t="s">
        <v>769</v>
      </c>
      <c r="C156" s="251">
        <v>7.7037464645450084E-3</v>
      </c>
      <c r="D156" s="251">
        <v>7.6929715627736071E-3</v>
      </c>
      <c r="E156" s="251">
        <v>7.6818170794007096E-3</v>
      </c>
      <c r="F156" s="251">
        <v>7.6702900470111413E-3</v>
      </c>
      <c r="G156" s="251">
        <v>7.6580007173457634E-3</v>
      </c>
      <c r="H156" s="251">
        <v>7.6450331748371307E-3</v>
      </c>
      <c r="I156" s="251">
        <v>7.6422706110761338E-3</v>
      </c>
      <c r="J156" s="251">
        <v>7.6398427890048016E-3</v>
      </c>
      <c r="K156" s="251">
        <v>7.6382597027676458E-3</v>
      </c>
      <c r="L156" s="251">
        <v>7.63632533124106E-3</v>
      </c>
      <c r="M156" s="251">
        <v>7.6345808831693894E-3</v>
      </c>
      <c r="N156" s="251">
        <v>7.6347487979832266E-3</v>
      </c>
      <c r="O156" s="251">
        <v>7.6351148715963456E-3</v>
      </c>
      <c r="P156" s="251">
        <v>7.6360309717109932E-3</v>
      </c>
      <c r="Q156" s="251">
        <v>7.6366409993288906E-3</v>
      </c>
      <c r="R156" s="251">
        <v>7.6373181865735662E-3</v>
      </c>
      <c r="S156" s="251">
        <v>7.637852880637592E-3</v>
      </c>
      <c r="T156" s="251">
        <v>7.6383979053664657E-3</v>
      </c>
      <c r="U156" s="251">
        <v>7.6392167827004347E-3</v>
      </c>
      <c r="V156" s="251">
        <v>7.639758440905052E-3</v>
      </c>
      <c r="W156" s="251">
        <v>7.6403107656605714E-3</v>
      </c>
      <c r="X156" s="251">
        <v>7.6411495262248986E-3</v>
      </c>
      <c r="Y156" s="251">
        <v>7.6416032852267097E-3</v>
      </c>
      <c r="Z156" s="251">
        <v>7.6420557362957796E-3</v>
      </c>
      <c r="AA156" s="251">
        <v>7.6425068363535718E-3</v>
      </c>
      <c r="AB156" s="251">
        <v>7.6429568008409424E-3</v>
      </c>
      <c r="AC156" s="254">
        <v>3.974794741337944E-6</v>
      </c>
      <c r="AD156" s="254">
        <v>3.9614168454573443E-6</v>
      </c>
      <c r="AE156" s="254">
        <v>3.9477242918305493E-6</v>
      </c>
      <c r="AF156" s="254">
        <v>3.9331175430177871E-6</v>
      </c>
      <c r="AG156" s="254">
        <v>3.9185475863221506E-6</v>
      </c>
      <c r="AH156" s="254">
        <v>3.9034543215413902E-6</v>
      </c>
      <c r="AI156" s="254">
        <v>3.9002836986509106E-6</v>
      </c>
      <c r="AJ156" s="254">
        <v>3.8971499869747632E-6</v>
      </c>
      <c r="AK156" s="254">
        <v>3.8941883603302167E-6</v>
      </c>
      <c r="AL156" s="254">
        <v>3.8911300465584359E-6</v>
      </c>
      <c r="AM156" s="254">
        <v>3.8881078890818634E-6</v>
      </c>
      <c r="AN156" s="254">
        <v>3.8873595921046376E-6</v>
      </c>
      <c r="AO156" s="254">
        <v>3.8866278464859519E-6</v>
      </c>
      <c r="AP156" s="254">
        <v>3.8860735911761866E-6</v>
      </c>
      <c r="AQ156" s="254">
        <v>3.8853538393968799E-6</v>
      </c>
      <c r="AR156" s="254">
        <v>3.8846303380671356E-6</v>
      </c>
      <c r="AS156" s="254">
        <v>3.8838902462981054E-6</v>
      </c>
      <c r="AT156" s="254">
        <v>3.8831700473160998E-6</v>
      </c>
      <c r="AU156" s="254">
        <v>3.8826091305754604E-6</v>
      </c>
      <c r="AV156" s="254">
        <v>3.8819171352978888E-6</v>
      </c>
      <c r="AW156" s="254">
        <v>3.8812347977206024E-6</v>
      </c>
      <c r="AX156" s="254">
        <v>3.8810938074955728E-6</v>
      </c>
      <c r="AY156" s="254">
        <v>3.8805818611899843E-6</v>
      </c>
      <c r="AZ156" s="254">
        <v>3.8800776596740873E-6</v>
      </c>
      <c r="BA156" s="254">
        <v>3.8795810066705147E-6</v>
      </c>
      <c r="BB156" s="254">
        <v>3.8790918525690201E-6</v>
      </c>
      <c r="BC156" s="257">
        <v>0.86124088598046422</v>
      </c>
      <c r="BD156" s="257">
        <v>0.85268476950282224</v>
      </c>
      <c r="BE156" s="257">
        <v>0.84381982666975408</v>
      </c>
      <c r="BF156" s="257">
        <v>0.83029914961811846</v>
      </c>
      <c r="BG156" s="257">
        <v>0.82070622391692283</v>
      </c>
      <c r="BH156" s="257">
        <v>0.81067975454071917</v>
      </c>
      <c r="BI156" s="257">
        <v>0.81721784930895014</v>
      </c>
      <c r="BJ156" s="257">
        <v>0.82353851556197122</v>
      </c>
      <c r="BK156" s="257">
        <v>0.82673825126299294</v>
      </c>
      <c r="BL156" s="257">
        <v>0.83267238429538604</v>
      </c>
      <c r="BM156" s="257">
        <v>0.83840360340394471</v>
      </c>
      <c r="BN156" s="257">
        <v>0.83764483745556673</v>
      </c>
      <c r="BO156" s="257">
        <v>0.83688422185704481</v>
      </c>
      <c r="BP156" s="257">
        <v>0.83530550727127917</v>
      </c>
      <c r="BQ156" s="257">
        <v>0.83454043655687526</v>
      </c>
      <c r="BR156" s="257">
        <v>0.83375783207231979</v>
      </c>
      <c r="BS156" s="257">
        <v>0.8278627433385588</v>
      </c>
      <c r="BT156" s="257">
        <v>0.82203333376967558</v>
      </c>
      <c r="BU156" s="257">
        <v>0.81548917798416454</v>
      </c>
      <c r="BV156" s="257">
        <v>0.80976076917575657</v>
      </c>
      <c r="BW156" s="257">
        <v>0.80396315093705373</v>
      </c>
      <c r="BX156" s="257">
        <v>0.80317232086028567</v>
      </c>
      <c r="BY156" s="257">
        <v>0.80239134598588169</v>
      </c>
      <c r="BZ156" s="257">
        <v>0.80161415570129646</v>
      </c>
      <c r="CA156" s="257">
        <v>0.80084060047549388</v>
      </c>
      <c r="CB156" s="257">
        <v>0.80007067248270824</v>
      </c>
      <c r="CC156" s="260">
        <v>7.3747404198043069</v>
      </c>
      <c r="CD156" s="260">
        <v>6.9751587672622932</v>
      </c>
      <c r="CE156" s="260">
        <v>6.5701355415876694</v>
      </c>
      <c r="CF156" s="260">
        <v>6.130658160552926</v>
      </c>
      <c r="CG156" s="260">
        <v>5.708995376456822</v>
      </c>
      <c r="CH156" s="260">
        <v>5.2771549930494954</v>
      </c>
      <c r="CI156" s="260">
        <v>5.1452339075662588</v>
      </c>
      <c r="CJ156" s="260">
        <v>5.014776701176558</v>
      </c>
      <c r="CK156" s="260">
        <v>4.8706207648986926</v>
      </c>
      <c r="CL156" s="260">
        <v>4.7431228741091402</v>
      </c>
      <c r="CM156" s="260">
        <v>4.6169574909957118</v>
      </c>
      <c r="CN156" s="260">
        <v>4.5710394809075758</v>
      </c>
      <c r="CO156" s="260">
        <v>4.5256710735033483</v>
      </c>
      <c r="CP156" s="260">
        <v>4.4768310240158788</v>
      </c>
      <c r="CQ156" s="260">
        <v>4.4323242257594364</v>
      </c>
      <c r="CR156" s="260">
        <v>4.3881005288366781</v>
      </c>
      <c r="CS156" s="260">
        <v>4.3599942356360426</v>
      </c>
      <c r="CT156" s="260">
        <v>4.3325629303816671</v>
      </c>
      <c r="CU156" s="260">
        <v>4.302974443740669</v>
      </c>
      <c r="CV156" s="260">
        <v>4.2767499299628788</v>
      </c>
      <c r="CW156" s="260">
        <v>4.250750266670547</v>
      </c>
      <c r="CX156" s="260">
        <v>4.229290068364107</v>
      </c>
      <c r="CY156" s="260">
        <v>4.2078468329696896</v>
      </c>
      <c r="CZ156" s="260">
        <v>4.1867634108107463</v>
      </c>
      <c r="DA156" s="260">
        <v>4.166035431907944</v>
      </c>
      <c r="DB156" s="260">
        <v>4.1456595911065683</v>
      </c>
    </row>
    <row r="157" spans="1:106" s="219" customFormat="1" x14ac:dyDescent="0.35">
      <c r="A157" s="128" t="s">
        <v>746</v>
      </c>
      <c r="B157" s="31" t="s">
        <v>769</v>
      </c>
      <c r="C157" s="251">
        <v>7.7037464645450084E-3</v>
      </c>
      <c r="D157" s="251">
        <v>7.6929715627736071E-3</v>
      </c>
      <c r="E157" s="251">
        <v>7.6818170794007096E-3</v>
      </c>
      <c r="F157" s="251">
        <v>7.6702900470111413E-3</v>
      </c>
      <c r="G157" s="251">
        <v>7.6580007173457634E-3</v>
      </c>
      <c r="H157" s="251">
        <v>7.6450331748371307E-3</v>
      </c>
      <c r="I157" s="251">
        <v>7.6422706110761338E-3</v>
      </c>
      <c r="J157" s="251">
        <v>7.6398427890048016E-3</v>
      </c>
      <c r="K157" s="251">
        <v>7.6382597027676458E-3</v>
      </c>
      <c r="L157" s="251">
        <v>7.63632533124106E-3</v>
      </c>
      <c r="M157" s="251">
        <v>7.6345808831693894E-3</v>
      </c>
      <c r="N157" s="251">
        <v>7.6347487979832266E-3</v>
      </c>
      <c r="O157" s="251">
        <v>7.6351148715963456E-3</v>
      </c>
      <c r="P157" s="251">
        <v>7.6360309717109932E-3</v>
      </c>
      <c r="Q157" s="251">
        <v>7.6366409993288906E-3</v>
      </c>
      <c r="R157" s="251">
        <v>7.6373181865735662E-3</v>
      </c>
      <c r="S157" s="251">
        <v>7.637852880637592E-3</v>
      </c>
      <c r="T157" s="251">
        <v>7.6383979053664657E-3</v>
      </c>
      <c r="U157" s="251">
        <v>7.6392167827004347E-3</v>
      </c>
      <c r="V157" s="251">
        <v>7.639758440905052E-3</v>
      </c>
      <c r="W157" s="251">
        <v>7.6403107656605714E-3</v>
      </c>
      <c r="X157" s="251">
        <v>7.6411495262248986E-3</v>
      </c>
      <c r="Y157" s="251">
        <v>7.6416032852267097E-3</v>
      </c>
      <c r="Z157" s="251">
        <v>7.6420557362957796E-3</v>
      </c>
      <c r="AA157" s="251">
        <v>7.6425068363535718E-3</v>
      </c>
      <c r="AB157" s="251">
        <v>7.6429568008409424E-3</v>
      </c>
      <c r="AC157" s="254">
        <v>3.974794741337944E-6</v>
      </c>
      <c r="AD157" s="254">
        <v>3.9614168454573443E-6</v>
      </c>
      <c r="AE157" s="254">
        <v>3.9477242918305493E-6</v>
      </c>
      <c r="AF157" s="254">
        <v>3.9331175430177871E-6</v>
      </c>
      <c r="AG157" s="254">
        <v>3.9185475863221506E-6</v>
      </c>
      <c r="AH157" s="254">
        <v>3.9034543215413902E-6</v>
      </c>
      <c r="AI157" s="254">
        <v>3.9002836986509106E-6</v>
      </c>
      <c r="AJ157" s="254">
        <v>3.8971499869747632E-6</v>
      </c>
      <c r="AK157" s="254">
        <v>3.8941883603302167E-6</v>
      </c>
      <c r="AL157" s="254">
        <v>3.8911300465584359E-6</v>
      </c>
      <c r="AM157" s="254">
        <v>3.8881078890818634E-6</v>
      </c>
      <c r="AN157" s="254">
        <v>3.8873595921046376E-6</v>
      </c>
      <c r="AO157" s="254">
        <v>3.8866278464859519E-6</v>
      </c>
      <c r="AP157" s="254">
        <v>3.8860735911761866E-6</v>
      </c>
      <c r="AQ157" s="254">
        <v>3.8853538393968799E-6</v>
      </c>
      <c r="AR157" s="254">
        <v>3.8846303380671356E-6</v>
      </c>
      <c r="AS157" s="254">
        <v>3.8838902462981054E-6</v>
      </c>
      <c r="AT157" s="254">
        <v>3.8831700473160998E-6</v>
      </c>
      <c r="AU157" s="254">
        <v>3.8826091305754604E-6</v>
      </c>
      <c r="AV157" s="254">
        <v>3.8819171352978888E-6</v>
      </c>
      <c r="AW157" s="254">
        <v>3.8812347977206024E-6</v>
      </c>
      <c r="AX157" s="254">
        <v>3.8810938074955728E-6</v>
      </c>
      <c r="AY157" s="254">
        <v>3.8805818611899843E-6</v>
      </c>
      <c r="AZ157" s="254">
        <v>3.8800776596740873E-6</v>
      </c>
      <c r="BA157" s="254">
        <v>3.8795810066705147E-6</v>
      </c>
      <c r="BB157" s="254">
        <v>3.8790918525690201E-6</v>
      </c>
      <c r="BC157" s="257">
        <v>0.86124088598046422</v>
      </c>
      <c r="BD157" s="257">
        <v>0.85268476950282224</v>
      </c>
      <c r="BE157" s="257">
        <v>0.84381982666975408</v>
      </c>
      <c r="BF157" s="257">
        <v>0.83029914961811846</v>
      </c>
      <c r="BG157" s="257">
        <v>0.82070622391692283</v>
      </c>
      <c r="BH157" s="257">
        <v>0.81067975454071917</v>
      </c>
      <c r="BI157" s="257">
        <v>0.81721784930895014</v>
      </c>
      <c r="BJ157" s="257">
        <v>0.82353851556197122</v>
      </c>
      <c r="BK157" s="257">
        <v>0.82673825126299294</v>
      </c>
      <c r="BL157" s="257">
        <v>0.83267238429538604</v>
      </c>
      <c r="BM157" s="257">
        <v>0.83840360340394471</v>
      </c>
      <c r="BN157" s="257">
        <v>0.83764483745556673</v>
      </c>
      <c r="BO157" s="257">
        <v>0.83688422185704481</v>
      </c>
      <c r="BP157" s="257">
        <v>0.83530550727127917</v>
      </c>
      <c r="BQ157" s="257">
        <v>0.83454043655687526</v>
      </c>
      <c r="BR157" s="257">
        <v>0.83375783207231979</v>
      </c>
      <c r="BS157" s="257">
        <v>0.8278627433385588</v>
      </c>
      <c r="BT157" s="257">
        <v>0.82203333376967558</v>
      </c>
      <c r="BU157" s="257">
        <v>0.81548917798416454</v>
      </c>
      <c r="BV157" s="257">
        <v>0.80976076917575657</v>
      </c>
      <c r="BW157" s="257">
        <v>0.80396315093705373</v>
      </c>
      <c r="BX157" s="257">
        <v>0.80317232086028567</v>
      </c>
      <c r="BY157" s="257">
        <v>0.80239134598588169</v>
      </c>
      <c r="BZ157" s="257">
        <v>0.80161415570129646</v>
      </c>
      <c r="CA157" s="257">
        <v>0.80084060047549388</v>
      </c>
      <c r="CB157" s="257">
        <v>0.80007067248270824</v>
      </c>
      <c r="CC157" s="260">
        <v>7.3747404198043069</v>
      </c>
      <c r="CD157" s="260">
        <v>6.9751587672622932</v>
      </c>
      <c r="CE157" s="260">
        <v>6.5701355415876694</v>
      </c>
      <c r="CF157" s="260">
        <v>6.130658160552926</v>
      </c>
      <c r="CG157" s="260">
        <v>5.708995376456822</v>
      </c>
      <c r="CH157" s="260">
        <v>5.2771549930494954</v>
      </c>
      <c r="CI157" s="260">
        <v>5.1452339075662588</v>
      </c>
      <c r="CJ157" s="260">
        <v>5.014776701176558</v>
      </c>
      <c r="CK157" s="260">
        <v>4.8706207648986926</v>
      </c>
      <c r="CL157" s="260">
        <v>4.7431228741091402</v>
      </c>
      <c r="CM157" s="260">
        <v>4.6169574909957118</v>
      </c>
      <c r="CN157" s="260">
        <v>4.5710394809075758</v>
      </c>
      <c r="CO157" s="260">
        <v>4.5256710735033483</v>
      </c>
      <c r="CP157" s="260">
        <v>4.4768310240158788</v>
      </c>
      <c r="CQ157" s="260">
        <v>4.4323242257594364</v>
      </c>
      <c r="CR157" s="260">
        <v>4.3881005288366781</v>
      </c>
      <c r="CS157" s="260">
        <v>4.3599942356360426</v>
      </c>
      <c r="CT157" s="260">
        <v>4.3325629303816671</v>
      </c>
      <c r="CU157" s="260">
        <v>4.302974443740669</v>
      </c>
      <c r="CV157" s="260">
        <v>4.2767499299628788</v>
      </c>
      <c r="CW157" s="260">
        <v>4.250750266670547</v>
      </c>
      <c r="CX157" s="260">
        <v>4.229290068364107</v>
      </c>
      <c r="CY157" s="260">
        <v>4.2078468329696896</v>
      </c>
      <c r="CZ157" s="260">
        <v>4.1867634108107463</v>
      </c>
      <c r="DA157" s="260">
        <v>4.166035431907944</v>
      </c>
      <c r="DB157" s="260">
        <v>4.1456595911065683</v>
      </c>
    </row>
    <row r="158" spans="1:106" s="219" customFormat="1" x14ac:dyDescent="0.35">
      <c r="A158" s="235" t="s">
        <v>772</v>
      </c>
      <c r="B158" s="234" t="s">
        <v>774</v>
      </c>
      <c r="C158" s="251">
        <v>8.43589186558555E-2</v>
      </c>
      <c r="D158" s="251">
        <v>8.4260710632363262E-2</v>
      </c>
      <c r="E158" s="251">
        <v>8.4158587024453488E-2</v>
      </c>
      <c r="F158" s="251">
        <v>8.4052155761256117E-2</v>
      </c>
      <c r="G158" s="251">
        <v>8.3938594268479924E-2</v>
      </c>
      <c r="H158" s="251">
        <v>8.3818092121157886E-2</v>
      </c>
      <c r="I158" s="251">
        <v>8.379195699392869E-2</v>
      </c>
      <c r="J158" s="251">
        <v>8.3769150563021463E-2</v>
      </c>
      <c r="K158" s="251">
        <v>8.3752634224301833E-2</v>
      </c>
      <c r="L158" s="251">
        <v>8.3734723289218507E-2</v>
      </c>
      <c r="M158" s="251">
        <v>8.3718679797199644E-2</v>
      </c>
      <c r="N158" s="251">
        <v>8.3720537615504007E-2</v>
      </c>
      <c r="O158" s="251">
        <v>8.3724313922551905E-2</v>
      </c>
      <c r="P158" s="251">
        <v>8.3731974591413502E-2</v>
      </c>
      <c r="Q158" s="251">
        <v>8.3738187889945401E-2</v>
      </c>
      <c r="R158" s="251">
        <v>8.3745185227647345E-2</v>
      </c>
      <c r="S158" s="251">
        <v>8.3751710622543649E-2</v>
      </c>
      <c r="T158" s="251">
        <v>8.3758214630293218E-2</v>
      </c>
      <c r="U158" s="251">
        <v>8.3766326413423089E-2</v>
      </c>
      <c r="V158" s="251">
        <v>8.3772735462855991E-2</v>
      </c>
      <c r="W158" s="251">
        <v>8.3779098725229928E-2</v>
      </c>
      <c r="X158" s="251">
        <v>8.3790911199781742E-2</v>
      </c>
      <c r="Y158" s="251">
        <v>8.3798060821858963E-2</v>
      </c>
      <c r="Z158" s="251">
        <v>8.3805207840278825E-2</v>
      </c>
      <c r="AA158" s="251">
        <v>8.3812352351439218E-2</v>
      </c>
      <c r="AB158" s="251">
        <v>8.3819496918785236E-2</v>
      </c>
      <c r="AC158" s="254">
        <v>4.4305821943749977E-5</v>
      </c>
      <c r="AD158" s="254">
        <v>4.4189280015780677E-5</v>
      </c>
      <c r="AE158" s="254">
        <v>4.4069523052094713E-5</v>
      </c>
      <c r="AF158" s="254">
        <v>4.394248557139835E-5</v>
      </c>
      <c r="AG158" s="254">
        <v>4.3813984266869738E-5</v>
      </c>
      <c r="AH158" s="254">
        <v>4.3680209602768297E-5</v>
      </c>
      <c r="AI158" s="254">
        <v>4.365431012309875E-5</v>
      </c>
      <c r="AJ158" s="254">
        <v>4.3628770167435181E-5</v>
      </c>
      <c r="AK158" s="254">
        <v>4.360443352455493E-5</v>
      </c>
      <c r="AL158" s="254">
        <v>4.3579591062111422E-5</v>
      </c>
      <c r="AM158" s="254">
        <v>4.3555083672840689E-5</v>
      </c>
      <c r="AN158" s="254">
        <v>4.3549629302978373E-5</v>
      </c>
      <c r="AO158" s="254">
        <v>4.3544327694497597E-5</v>
      </c>
      <c r="AP158" s="254">
        <v>4.3540089852338318E-5</v>
      </c>
      <c r="AQ158" s="254">
        <v>4.353492783454656E-5</v>
      </c>
      <c r="AR158" s="254">
        <v>4.3529794629287998E-5</v>
      </c>
      <c r="AS158" s="254">
        <v>4.3523893300348951E-5</v>
      </c>
      <c r="AT158" s="254">
        <v>4.3518116163414959E-5</v>
      </c>
      <c r="AU158" s="254">
        <v>4.3513310179652323E-5</v>
      </c>
      <c r="AV158" s="254">
        <v>4.3507786623360608E-5</v>
      </c>
      <c r="AW158" s="254">
        <v>4.3502373159533023E-5</v>
      </c>
      <c r="AX158" s="254">
        <v>4.3503454173670867E-5</v>
      </c>
      <c r="AY158" s="254">
        <v>4.3499180073775171E-5</v>
      </c>
      <c r="AZ158" s="254">
        <v>4.3494975942324101E-5</v>
      </c>
      <c r="BA158" s="254">
        <v>4.3490840062498892E-5</v>
      </c>
      <c r="BB158" s="254">
        <v>4.3486772094478633E-5</v>
      </c>
      <c r="BC158" s="257">
        <v>6.0543771450012542</v>
      </c>
      <c r="BD158" s="257">
        <v>5.966043913686419</v>
      </c>
      <c r="BE158" s="257">
        <v>5.8748889132150097</v>
      </c>
      <c r="BF158" s="257">
        <v>5.7538536598844514</v>
      </c>
      <c r="BG158" s="257">
        <v>5.6557917082455278</v>
      </c>
      <c r="BH158" s="257">
        <v>5.553616900495685</v>
      </c>
      <c r="BI158" s="257">
        <v>5.6183043004632101</v>
      </c>
      <c r="BJ158" s="257">
        <v>5.6809744532806397</v>
      </c>
      <c r="BK158" s="257">
        <v>5.7237727556863254</v>
      </c>
      <c r="BL158" s="257">
        <v>5.7827600793578107</v>
      </c>
      <c r="BM158" s="257">
        <v>5.8399121364708684</v>
      </c>
      <c r="BN158" s="257">
        <v>5.8411403783946527</v>
      </c>
      <c r="BO158" s="257">
        <v>5.8423431240542412</v>
      </c>
      <c r="BP158" s="257">
        <v>5.8382223989099433</v>
      </c>
      <c r="BQ158" s="257">
        <v>5.8393399107084454</v>
      </c>
      <c r="BR158" s="257">
        <v>5.8403282981793598</v>
      </c>
      <c r="BS158" s="257">
        <v>5.7890882844136264</v>
      </c>
      <c r="BT158" s="257">
        <v>5.7383397668596681</v>
      </c>
      <c r="BU158" s="257">
        <v>5.6831504364256311</v>
      </c>
      <c r="BV158" s="257">
        <v>5.6334234773894476</v>
      </c>
      <c r="BW158" s="257">
        <v>5.5840134703123603</v>
      </c>
      <c r="BX158" s="257">
        <v>5.5782911296721576</v>
      </c>
      <c r="BY158" s="257">
        <v>5.5726413315269223</v>
      </c>
      <c r="BZ158" s="257">
        <v>5.56700568843263</v>
      </c>
      <c r="CA158" s="257">
        <v>5.561382756355238</v>
      </c>
      <c r="CB158" s="257">
        <v>5.5557724417575498</v>
      </c>
      <c r="CC158" s="260">
        <v>42.227191257372652</v>
      </c>
      <c r="CD158" s="260">
        <v>38.879066780867937</v>
      </c>
      <c r="CE158" s="260">
        <v>35.47488499149464</v>
      </c>
      <c r="CF158" s="260">
        <v>31.82957939937474</v>
      </c>
      <c r="CG158" s="260">
        <v>28.261981962282579</v>
      </c>
      <c r="CH158" s="260">
        <v>24.594264260489531</v>
      </c>
      <c r="CI158" s="260">
        <v>23.516828944145981</v>
      </c>
      <c r="CJ158" s="260">
        <v>22.453386674126438</v>
      </c>
      <c r="CK158" s="260">
        <v>21.310169656324511</v>
      </c>
      <c r="CL158" s="260">
        <v>20.273653496258589</v>
      </c>
      <c r="CM158" s="260">
        <v>19.249580840510848</v>
      </c>
      <c r="CN158" s="260">
        <v>18.898064606073849</v>
      </c>
      <c r="CO158" s="260">
        <v>18.551186971150418</v>
      </c>
      <c r="CP158" s="260">
        <v>18.182294512027411</v>
      </c>
      <c r="CQ158" s="260">
        <v>17.842472600963259</v>
      </c>
      <c r="CR158" s="260">
        <v>17.505234897103499</v>
      </c>
      <c r="CS158" s="260">
        <v>17.280278788004239</v>
      </c>
      <c r="CT158" s="260">
        <v>17.060302172811671</v>
      </c>
      <c r="CU158" s="260">
        <v>16.827621456544279</v>
      </c>
      <c r="CV158" s="260">
        <v>16.618175192824591</v>
      </c>
      <c r="CW158" s="260">
        <v>16.413067038072121</v>
      </c>
      <c r="CX158" s="260">
        <v>16.238793228797778</v>
      </c>
      <c r="CY158" s="260">
        <v>16.065102594564362</v>
      </c>
      <c r="CZ158" s="260">
        <v>15.894502176312811</v>
      </c>
      <c r="DA158" s="260">
        <v>15.726964570344951</v>
      </c>
      <c r="DB158" s="260">
        <v>15.56247044211376</v>
      </c>
    </row>
    <row r="159" spans="1:106" s="219" customFormat="1" x14ac:dyDescent="0.35">
      <c r="A159" s="235" t="s">
        <v>773</v>
      </c>
      <c r="B159" s="234" t="s">
        <v>774</v>
      </c>
      <c r="C159" s="251">
        <v>2.2574726492499361E-2</v>
      </c>
      <c r="D159" s="251">
        <v>2.2563561998403571E-2</v>
      </c>
      <c r="E159" s="251">
        <v>2.25522977813923E-2</v>
      </c>
      <c r="F159" s="251">
        <v>2.254090486209696E-2</v>
      </c>
      <c r="G159" s="251">
        <v>2.2528460605985609E-2</v>
      </c>
      <c r="H159" s="251">
        <v>2.251552656720596E-2</v>
      </c>
      <c r="I159" s="251">
        <v>2.2501770839196598E-2</v>
      </c>
      <c r="J159" s="251">
        <v>2.2490241167385659E-2</v>
      </c>
      <c r="K159" s="251">
        <v>2.248188256046324E-2</v>
      </c>
      <c r="L159" s="251">
        <v>2.247356043490727E-2</v>
      </c>
      <c r="M159" s="251">
        <v>2.2466466784328329E-2</v>
      </c>
      <c r="N159" s="251">
        <v>2.2464130845784872E-2</v>
      </c>
      <c r="O159" s="251">
        <v>2.2463176127937721E-2</v>
      </c>
      <c r="P159" s="251">
        <v>2.2464191711260951E-2</v>
      </c>
      <c r="Q159" s="251">
        <v>2.2465036505883249E-2</v>
      </c>
      <c r="R159" s="251">
        <v>2.2466486132088629E-2</v>
      </c>
      <c r="S159" s="251">
        <v>2.2470614877319741E-2</v>
      </c>
      <c r="T159" s="251">
        <v>2.247470210052031E-2</v>
      </c>
      <c r="U159" s="251">
        <v>2.247936035046481E-2</v>
      </c>
      <c r="V159" s="251">
        <v>2.2483335414418978E-2</v>
      </c>
      <c r="W159" s="251">
        <v>2.2487250824228401E-2</v>
      </c>
      <c r="X159" s="251">
        <v>2.2494940980393719E-2</v>
      </c>
      <c r="Y159" s="251">
        <v>2.2501190427050288E-2</v>
      </c>
      <c r="Z159" s="251">
        <v>2.2507404623744131E-2</v>
      </c>
      <c r="AA159" s="251">
        <v>2.251358511964649E-2</v>
      </c>
      <c r="AB159" s="251">
        <v>2.2519733931578561E-2</v>
      </c>
      <c r="AC159" s="254">
        <v>1.147574076089041E-5</v>
      </c>
      <c r="AD159" s="254">
        <v>1.1449579401781549E-5</v>
      </c>
      <c r="AE159" s="254">
        <v>1.142320199233593E-5</v>
      </c>
      <c r="AF159" s="254">
        <v>1.1395202185597359E-5</v>
      </c>
      <c r="AG159" s="254">
        <v>1.1367972260419409E-5</v>
      </c>
      <c r="AH159" s="254">
        <v>1.1340407923059939E-5</v>
      </c>
      <c r="AI159" s="254">
        <v>1.1331996090754789E-5</v>
      </c>
      <c r="AJ159" s="254">
        <v>1.132372823068557E-5</v>
      </c>
      <c r="AK159" s="254">
        <v>1.1315913997850691E-5</v>
      </c>
      <c r="AL159" s="254">
        <v>1.130790670763453E-5</v>
      </c>
      <c r="AM159" s="254">
        <v>1.1300048057233161E-5</v>
      </c>
      <c r="AN159" s="254">
        <v>1.1296153257384039E-5</v>
      </c>
      <c r="AO159" s="254">
        <v>1.129238032854E-5</v>
      </c>
      <c r="AP159" s="254">
        <v>1.1289049160474429E-5</v>
      </c>
      <c r="AQ159" s="254">
        <v>1.1285402941752309E-5</v>
      </c>
      <c r="AR159" s="254">
        <v>1.128179721339312E-5</v>
      </c>
      <c r="AS159" s="254">
        <v>1.127816904643715E-5</v>
      </c>
      <c r="AT159" s="254">
        <v>1.127459903140305E-5</v>
      </c>
      <c r="AU159" s="254">
        <v>1.127141044248551E-5</v>
      </c>
      <c r="AV159" s="254">
        <v>1.126795941699273E-5</v>
      </c>
      <c r="AW159" s="254">
        <v>1.126456049748136E-5</v>
      </c>
      <c r="AX159" s="254">
        <v>1.126342593457655E-5</v>
      </c>
      <c r="AY159" s="254">
        <v>1.126070804359711E-5</v>
      </c>
      <c r="AZ159" s="254">
        <v>1.1258016106497441E-5</v>
      </c>
      <c r="BA159" s="254">
        <v>1.125534973886275E-5</v>
      </c>
      <c r="BB159" s="254">
        <v>1.125270882885027E-5</v>
      </c>
      <c r="BC159" s="257">
        <v>2.800713484502054</v>
      </c>
      <c r="BD159" s="257">
        <v>2.7740331059567631</v>
      </c>
      <c r="BE159" s="257">
        <v>2.7472068589745851</v>
      </c>
      <c r="BF159" s="257">
        <v>2.7098618594542359</v>
      </c>
      <c r="BG159" s="257">
        <v>2.6825198292184358</v>
      </c>
      <c r="BH159" s="257">
        <v>2.6550263886855592</v>
      </c>
      <c r="BI159" s="257">
        <v>2.663222160964918</v>
      </c>
      <c r="BJ159" s="257">
        <v>2.6711007228610582</v>
      </c>
      <c r="BK159" s="257">
        <v>2.6716403629589389</v>
      </c>
      <c r="BL159" s="257">
        <v>2.6789734055390961</v>
      </c>
      <c r="BM159" s="257">
        <v>2.686049342461728</v>
      </c>
      <c r="BN159" s="257">
        <v>2.6786783143534381</v>
      </c>
      <c r="BO159" s="257">
        <v>2.6713805136332529</v>
      </c>
      <c r="BP159" s="257">
        <v>2.6620331464701161</v>
      </c>
      <c r="BQ159" s="257">
        <v>2.6548214318618788</v>
      </c>
      <c r="BR159" s="257">
        <v>2.6476183895801619</v>
      </c>
      <c r="BS159" s="257">
        <v>2.6284569765136792</v>
      </c>
      <c r="BT159" s="257">
        <v>2.6094129793009069</v>
      </c>
      <c r="BU159" s="257">
        <v>2.5885180015361482</v>
      </c>
      <c r="BV159" s="257">
        <v>2.569728221742531</v>
      </c>
      <c r="BW159" s="257">
        <v>2.5509943876960248</v>
      </c>
      <c r="BX159" s="257">
        <v>2.544771407993061</v>
      </c>
      <c r="BY159" s="257">
        <v>2.5386100478418041</v>
      </c>
      <c r="BZ159" s="257">
        <v>2.532498644761326</v>
      </c>
      <c r="CA159" s="257">
        <v>2.5264368260719241</v>
      </c>
      <c r="CB159" s="257">
        <v>2.520424498791451</v>
      </c>
      <c r="CC159" s="260">
        <v>18.46261891982962</v>
      </c>
      <c r="CD159" s="260">
        <v>17.624718771377481</v>
      </c>
      <c r="CE159" s="260">
        <v>16.782779729612859</v>
      </c>
      <c r="CF159" s="260">
        <v>15.86861933568821</v>
      </c>
      <c r="CG159" s="260">
        <v>15.009291798304011</v>
      </c>
      <c r="CH159" s="260">
        <v>14.14214961736621</v>
      </c>
      <c r="CI159" s="260">
        <v>13.777459294811409</v>
      </c>
      <c r="CJ159" s="260">
        <v>13.416975753764699</v>
      </c>
      <c r="CK159" s="260">
        <v>13.02385683546026</v>
      </c>
      <c r="CL159" s="260">
        <v>12.67152665193862</v>
      </c>
      <c r="CM159" s="260">
        <v>12.323487605513611</v>
      </c>
      <c r="CN159" s="260">
        <v>12.11362480674819</v>
      </c>
      <c r="CO159" s="260">
        <v>11.90684657580757</v>
      </c>
      <c r="CP159" s="260">
        <v>11.69217393008554</v>
      </c>
      <c r="CQ159" s="260">
        <v>11.489773800956741</v>
      </c>
      <c r="CR159" s="260">
        <v>11.28910505713325</v>
      </c>
      <c r="CS159" s="260">
        <v>11.12955281411495</v>
      </c>
      <c r="CT159" s="260">
        <v>10.9726668399495</v>
      </c>
      <c r="CU159" s="260">
        <v>10.811420828294199</v>
      </c>
      <c r="CV159" s="260">
        <v>10.6600700319035</v>
      </c>
      <c r="CW159" s="260">
        <v>10.51112037863045</v>
      </c>
      <c r="CX159" s="260">
        <v>10.38181342146472</v>
      </c>
      <c r="CY159" s="260">
        <v>10.252622254133749</v>
      </c>
      <c r="CZ159" s="260">
        <v>10.12476112410034</v>
      </c>
      <c r="DA159" s="260">
        <v>9.998221959199828</v>
      </c>
      <c r="DB159" s="260">
        <v>9.872998168939441</v>
      </c>
    </row>
    <row r="160" spans="1:106" s="219" customFormat="1" x14ac:dyDescent="0.35">
      <c r="A160" s="235" t="s">
        <v>747</v>
      </c>
      <c r="B160" s="234" t="s">
        <v>769</v>
      </c>
      <c r="C160" s="251">
        <v>5.7441779185406321E-2</v>
      </c>
      <c r="D160" s="251">
        <v>5.7352165990392973E-2</v>
      </c>
      <c r="E160" s="251">
        <v>5.7261442349182873E-2</v>
      </c>
      <c r="F160" s="251">
        <v>5.7170769292959757E-2</v>
      </c>
      <c r="G160" s="251">
        <v>5.7076735659034157E-2</v>
      </c>
      <c r="H160" s="251">
        <v>5.6980768479538008E-2</v>
      </c>
      <c r="I160" s="251">
        <v>5.6964441605876652E-2</v>
      </c>
      <c r="J160" s="251">
        <v>5.6949286279841679E-2</v>
      </c>
      <c r="K160" s="251">
        <v>5.6941025442104429E-2</v>
      </c>
      <c r="L160" s="251">
        <v>5.6927644219155721E-2</v>
      </c>
      <c r="M160" s="251">
        <v>5.6914920134832632E-2</v>
      </c>
      <c r="N160" s="251">
        <v>5.6914817672532349E-2</v>
      </c>
      <c r="O160" s="251">
        <v>5.6915400563216242E-2</v>
      </c>
      <c r="P160" s="251">
        <v>5.6920759737625018E-2</v>
      </c>
      <c r="Q160" s="251">
        <v>5.6922213122319661E-2</v>
      </c>
      <c r="R160" s="251">
        <v>5.6923932004627337E-2</v>
      </c>
      <c r="S160" s="251">
        <v>5.6925962801878317E-2</v>
      </c>
      <c r="T160" s="251">
        <v>5.6928012140601447E-2</v>
      </c>
      <c r="U160" s="251">
        <v>5.6933004088836059E-2</v>
      </c>
      <c r="V160" s="251">
        <v>5.6935072571472428E-2</v>
      </c>
      <c r="W160" s="251">
        <v>5.6937162563312389E-2</v>
      </c>
      <c r="X160" s="251">
        <v>5.6940535961499582E-2</v>
      </c>
      <c r="Y160" s="251">
        <v>5.6940294095540543E-2</v>
      </c>
      <c r="Z160" s="251">
        <v>5.6940041789190807E-2</v>
      </c>
      <c r="AA160" s="251">
        <v>5.69397784658289E-2</v>
      </c>
      <c r="AB160" s="251">
        <v>5.6939504910824869E-2</v>
      </c>
      <c r="AC160" s="254">
        <v>3.1119519804955553E-5</v>
      </c>
      <c r="AD160" s="254">
        <v>3.1028308362257293E-5</v>
      </c>
      <c r="AE160" s="254">
        <v>3.0936191257638629E-5</v>
      </c>
      <c r="AF160" s="254">
        <v>3.0837653358370312E-5</v>
      </c>
      <c r="AG160" s="254">
        <v>3.0743046071317483E-5</v>
      </c>
      <c r="AH160" s="254">
        <v>3.0646903702665927E-5</v>
      </c>
      <c r="AI160" s="254">
        <v>3.0621287700669383E-5</v>
      </c>
      <c r="AJ160" s="254">
        <v>3.0595944310106429E-5</v>
      </c>
      <c r="AK160" s="254">
        <v>3.0572259006083797E-5</v>
      </c>
      <c r="AL160" s="254">
        <v>3.0547516412883177E-5</v>
      </c>
      <c r="AM160" s="254">
        <v>3.052302647790184E-5</v>
      </c>
      <c r="AN160" s="254">
        <v>3.0514391444003648E-5</v>
      </c>
      <c r="AO160" s="254">
        <v>3.050578993105713E-5</v>
      </c>
      <c r="AP160" s="254">
        <v>3.049906319051855E-5</v>
      </c>
      <c r="AQ160" s="254">
        <v>3.0490487487147401E-5</v>
      </c>
      <c r="AR160" s="254">
        <v>3.048189116174586E-5</v>
      </c>
      <c r="AS160" s="254">
        <v>3.047755252252816E-5</v>
      </c>
      <c r="AT160" s="254">
        <v>3.047328203538478E-5</v>
      </c>
      <c r="AU160" s="254">
        <v>3.0470696797069759E-5</v>
      </c>
      <c r="AV160" s="254">
        <v>3.0466585173832909E-5</v>
      </c>
      <c r="AW160" s="254">
        <v>3.0462536034624251E-5</v>
      </c>
      <c r="AX160" s="254">
        <v>3.046155386053461E-5</v>
      </c>
      <c r="AY160" s="254">
        <v>3.045673006769503E-5</v>
      </c>
      <c r="AZ160" s="254">
        <v>3.045193344125954E-5</v>
      </c>
      <c r="BA160" s="254">
        <v>3.0447163073410029E-5</v>
      </c>
      <c r="BB160" s="254">
        <v>3.0442418815531298E-5</v>
      </c>
      <c r="BC160" s="257">
        <v>22.02790752452977</v>
      </c>
      <c r="BD160" s="257">
        <v>21.959819542117732</v>
      </c>
      <c r="BE160" s="257">
        <v>21.890751349430829</v>
      </c>
      <c r="BF160" s="257">
        <v>21.774693270606431</v>
      </c>
      <c r="BG160" s="257">
        <v>21.703760435382382</v>
      </c>
      <c r="BH160" s="257">
        <v>21.631488582771709</v>
      </c>
      <c r="BI160" s="257">
        <v>21.66252417004986</v>
      </c>
      <c r="BJ160" s="257">
        <v>21.692775786317181</v>
      </c>
      <c r="BK160" s="257">
        <v>21.690968653531549</v>
      </c>
      <c r="BL160" s="257">
        <v>21.72009015780657</v>
      </c>
      <c r="BM160" s="257">
        <v>21.74848918042008</v>
      </c>
      <c r="BN160" s="257">
        <v>21.741138436571742</v>
      </c>
      <c r="BO160" s="257">
        <v>21.733750136906739</v>
      </c>
      <c r="BP160" s="257">
        <v>21.717920272400061</v>
      </c>
      <c r="BQ160" s="257">
        <v>21.71058953172151</v>
      </c>
      <c r="BR160" s="257">
        <v>21.70317674604982</v>
      </c>
      <c r="BS160" s="257">
        <v>21.66021505024198</v>
      </c>
      <c r="BT160" s="257">
        <v>21.617379285023532</v>
      </c>
      <c r="BU160" s="257">
        <v>21.56671832545171</v>
      </c>
      <c r="BV160" s="257">
        <v>21.524218974197169</v>
      </c>
      <c r="BW160" s="257">
        <v>21.481697445303649</v>
      </c>
      <c r="BX160" s="257">
        <v>21.468451958063039</v>
      </c>
      <c r="BY160" s="257">
        <v>21.455299114143251</v>
      </c>
      <c r="BZ160" s="257">
        <v>21.44220649597861</v>
      </c>
      <c r="CA160" s="257">
        <v>21.429173321862319</v>
      </c>
      <c r="CB160" s="257">
        <v>21.41619958026088</v>
      </c>
      <c r="CC160" s="260">
        <v>89.176513232888894</v>
      </c>
      <c r="CD160" s="260">
        <v>86.683258499736738</v>
      </c>
      <c r="CE160" s="260">
        <v>84.178457418916736</v>
      </c>
      <c r="CF160" s="260">
        <v>81.369158467442674</v>
      </c>
      <c r="CG160" s="260">
        <v>78.820634348464452</v>
      </c>
      <c r="CH160" s="260">
        <v>76.240743162759543</v>
      </c>
      <c r="CI160" s="260">
        <v>75.166981100808542</v>
      </c>
      <c r="CJ160" s="260">
        <v>74.105686672968744</v>
      </c>
      <c r="CK160" s="260">
        <v>72.894533368957397</v>
      </c>
      <c r="CL160" s="260">
        <v>71.860433505654385</v>
      </c>
      <c r="CM160" s="260">
        <v>70.837604487819547</v>
      </c>
      <c r="CN160" s="260">
        <v>70.370886393016363</v>
      </c>
      <c r="CO160" s="260">
        <v>69.905003196880642</v>
      </c>
      <c r="CP160" s="260">
        <v>69.400185811118135</v>
      </c>
      <c r="CQ160" s="260">
        <v>68.936230303715448</v>
      </c>
      <c r="CR160" s="260">
        <v>68.472164579471567</v>
      </c>
      <c r="CS160" s="260">
        <v>68.28408705968134</v>
      </c>
      <c r="CT160" s="260">
        <v>68.09884026776372</v>
      </c>
      <c r="CU160" s="260">
        <v>67.888661158815253</v>
      </c>
      <c r="CV160" s="260">
        <v>67.710334143631172</v>
      </c>
      <c r="CW160" s="260">
        <v>67.534310399200663</v>
      </c>
      <c r="CX160" s="260">
        <v>67.35147127213061</v>
      </c>
      <c r="CY160" s="260">
        <v>67.166664064565509</v>
      </c>
      <c r="CZ160" s="260">
        <v>66.983181608474055</v>
      </c>
      <c r="DA160" s="260">
        <v>66.801008188546334</v>
      </c>
      <c r="DB160" s="260">
        <v>66.620132561543727</v>
      </c>
    </row>
  </sheetData>
  <mergeCells count="36">
    <mergeCell ref="C143:AB143"/>
    <mergeCell ref="AC143:BB143"/>
    <mergeCell ref="BC143:CB143"/>
    <mergeCell ref="CC143:DB143"/>
    <mergeCell ref="C153:AB153"/>
    <mergeCell ref="AC153:BB153"/>
    <mergeCell ref="BC153:CB153"/>
    <mergeCell ref="CC153:DB153"/>
    <mergeCell ref="C125:AB125"/>
    <mergeCell ref="AC125:BB125"/>
    <mergeCell ref="BC125:CB125"/>
    <mergeCell ref="CC125:DB125"/>
    <mergeCell ref="C133:AB133"/>
    <mergeCell ref="AC133:BB133"/>
    <mergeCell ref="BC133:CB133"/>
    <mergeCell ref="CC133:DB133"/>
    <mergeCell ref="C111:AB111"/>
    <mergeCell ref="AC111:BB111"/>
    <mergeCell ref="BC111:CB111"/>
    <mergeCell ref="CC111:DB111"/>
    <mergeCell ref="C118:AB118"/>
    <mergeCell ref="AC118:BB118"/>
    <mergeCell ref="BC118:CB118"/>
    <mergeCell ref="CC118:DB118"/>
    <mergeCell ref="C74:AB74"/>
    <mergeCell ref="AC74:BB74"/>
    <mergeCell ref="CC74:DB74"/>
    <mergeCell ref="C2:AB2"/>
    <mergeCell ref="AC2:BB2"/>
    <mergeCell ref="CC2:DB2"/>
    <mergeCell ref="C38:AB38"/>
    <mergeCell ref="AC38:BB38"/>
    <mergeCell ref="CC38:DB38"/>
    <mergeCell ref="BC2:CB2"/>
    <mergeCell ref="BC38:CB38"/>
    <mergeCell ref="BC74:CB7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4B51D-0D4A-4B7E-BAC9-2BAB137E0418}">
  <sheetPr>
    <tabColor theme="7" tint="0.79998168889431442"/>
  </sheetPr>
  <dimension ref="A1:DB160"/>
  <sheetViews>
    <sheetView zoomScale="80" zoomScaleNormal="80" workbookViewId="0">
      <selection activeCell="A109" sqref="A109"/>
    </sheetView>
  </sheetViews>
  <sheetFormatPr defaultRowHeight="14.5" x14ac:dyDescent="0.35"/>
  <cols>
    <col min="1" max="1" width="86.81640625" style="28" customWidth="1"/>
    <col min="2" max="2" width="18.08984375" style="28" customWidth="1"/>
    <col min="3" max="42" width="13.1796875" style="28" customWidth="1"/>
    <col min="43" max="51" width="12.1796875" style="28" customWidth="1"/>
    <col min="52" max="54" width="8.7265625" style="28" customWidth="1"/>
    <col min="55" max="80" width="8.7265625" style="219" customWidth="1"/>
    <col min="81" max="16384" width="8.7265625" style="28"/>
  </cols>
  <sheetData>
    <row r="1" spans="1:106" s="11" customFormat="1" ht="21" x14ac:dyDescent="0.5">
      <c r="A1" s="11" t="s">
        <v>72</v>
      </c>
    </row>
    <row r="2" spans="1:106" x14ac:dyDescent="0.35">
      <c r="A2" s="29" t="s">
        <v>0</v>
      </c>
      <c r="B2" s="29"/>
      <c r="C2" s="332" t="s">
        <v>697</v>
      </c>
      <c r="D2" s="332"/>
      <c r="E2" s="332"/>
      <c r="F2" s="332"/>
      <c r="G2" s="332"/>
      <c r="H2" s="332"/>
      <c r="I2" s="332"/>
      <c r="J2" s="332"/>
      <c r="K2" s="332"/>
      <c r="L2" s="332"/>
      <c r="M2" s="332"/>
      <c r="N2" s="332"/>
      <c r="O2" s="332"/>
      <c r="P2" s="332"/>
      <c r="Q2" s="332"/>
      <c r="R2" s="332"/>
      <c r="S2" s="332"/>
      <c r="T2" s="332"/>
      <c r="U2" s="332"/>
      <c r="V2" s="332"/>
      <c r="W2" s="332"/>
      <c r="X2" s="332"/>
      <c r="Y2" s="332"/>
      <c r="Z2" s="332"/>
      <c r="AA2" s="332"/>
      <c r="AB2" s="332"/>
      <c r="AC2" s="333" t="s">
        <v>698</v>
      </c>
      <c r="AD2" s="333"/>
      <c r="AE2" s="333"/>
      <c r="AF2" s="333"/>
      <c r="AG2" s="333"/>
      <c r="AH2" s="333"/>
      <c r="AI2" s="333"/>
      <c r="AJ2" s="333"/>
      <c r="AK2" s="333"/>
      <c r="AL2" s="333"/>
      <c r="AM2" s="333"/>
      <c r="AN2" s="333"/>
      <c r="AO2" s="333"/>
      <c r="AP2" s="333"/>
      <c r="AQ2" s="333"/>
      <c r="AR2" s="333"/>
      <c r="AS2" s="333"/>
      <c r="AT2" s="333"/>
      <c r="AU2" s="333"/>
      <c r="AV2" s="333"/>
      <c r="AW2" s="333"/>
      <c r="AX2" s="333"/>
      <c r="AY2" s="333"/>
      <c r="AZ2" s="333"/>
      <c r="BA2" s="333"/>
      <c r="BB2" s="333"/>
      <c r="BC2" s="334" t="s">
        <v>756</v>
      </c>
      <c r="BD2" s="335"/>
      <c r="BE2" s="335"/>
      <c r="BF2" s="335"/>
      <c r="BG2" s="335"/>
      <c r="BH2" s="335"/>
      <c r="BI2" s="335"/>
      <c r="BJ2" s="335"/>
      <c r="BK2" s="335"/>
      <c r="BL2" s="335"/>
      <c r="BM2" s="335"/>
      <c r="BN2" s="335"/>
      <c r="BO2" s="335"/>
      <c r="BP2" s="335"/>
      <c r="BQ2" s="335"/>
      <c r="BR2" s="335"/>
      <c r="BS2" s="335"/>
      <c r="BT2" s="335"/>
      <c r="BU2" s="335"/>
      <c r="BV2" s="335"/>
      <c r="BW2" s="335"/>
      <c r="BX2" s="335"/>
      <c r="BY2" s="335"/>
      <c r="BZ2" s="335"/>
      <c r="CA2" s="335"/>
      <c r="CB2" s="336"/>
      <c r="CC2" s="337" t="s">
        <v>699</v>
      </c>
      <c r="CD2" s="337"/>
      <c r="CE2" s="337"/>
      <c r="CF2" s="337"/>
      <c r="CG2" s="337"/>
      <c r="CH2" s="337"/>
      <c r="CI2" s="337"/>
      <c r="CJ2" s="337"/>
      <c r="CK2" s="337"/>
      <c r="CL2" s="337"/>
      <c r="CM2" s="337"/>
      <c r="CN2" s="337"/>
      <c r="CO2" s="337"/>
      <c r="CP2" s="337"/>
      <c r="CQ2" s="337"/>
      <c r="CR2" s="337"/>
      <c r="CS2" s="337"/>
      <c r="CT2" s="337"/>
      <c r="CU2" s="337"/>
      <c r="CV2" s="337"/>
      <c r="CW2" s="337"/>
      <c r="CX2" s="337"/>
      <c r="CY2" s="337"/>
      <c r="CZ2" s="337"/>
      <c r="DA2" s="337"/>
      <c r="DB2" s="337"/>
    </row>
    <row r="3" spans="1:106" x14ac:dyDescent="0.35">
      <c r="A3" s="29" t="s">
        <v>1</v>
      </c>
      <c r="B3" s="29" t="s">
        <v>180</v>
      </c>
      <c r="C3" s="184" t="s">
        <v>2</v>
      </c>
      <c r="D3" s="184" t="s">
        <v>52</v>
      </c>
      <c r="E3" s="184" t="s">
        <v>53</v>
      </c>
      <c r="F3" s="184" t="s">
        <v>54</v>
      </c>
      <c r="G3" s="184" t="s">
        <v>55</v>
      </c>
      <c r="H3" s="184" t="s">
        <v>3</v>
      </c>
      <c r="I3" s="184" t="s">
        <v>56</v>
      </c>
      <c r="J3" s="184" t="s">
        <v>57</v>
      </c>
      <c r="K3" s="184" t="s">
        <v>58</v>
      </c>
      <c r="L3" s="184" t="s">
        <v>59</v>
      </c>
      <c r="M3" s="184" t="s">
        <v>4</v>
      </c>
      <c r="N3" s="184" t="s">
        <v>60</v>
      </c>
      <c r="O3" s="184" t="s">
        <v>61</v>
      </c>
      <c r="P3" s="184" t="s">
        <v>62</v>
      </c>
      <c r="Q3" s="184" t="s">
        <v>63</v>
      </c>
      <c r="R3" s="184" t="s">
        <v>5</v>
      </c>
      <c r="S3" s="184" t="s">
        <v>64</v>
      </c>
      <c r="T3" s="184" t="s">
        <v>65</v>
      </c>
      <c r="U3" s="184" t="s">
        <v>66</v>
      </c>
      <c r="V3" s="184" t="s">
        <v>67</v>
      </c>
      <c r="W3" s="184" t="s">
        <v>6</v>
      </c>
      <c r="X3" s="184" t="s">
        <v>68</v>
      </c>
      <c r="Y3" s="184" t="s">
        <v>69</v>
      </c>
      <c r="Z3" s="184" t="s">
        <v>70</v>
      </c>
      <c r="AA3" s="184" t="s">
        <v>71</v>
      </c>
      <c r="AB3" s="184" t="s">
        <v>7</v>
      </c>
      <c r="AC3" s="185" t="s">
        <v>2</v>
      </c>
      <c r="AD3" s="185" t="s">
        <v>52</v>
      </c>
      <c r="AE3" s="185" t="s">
        <v>53</v>
      </c>
      <c r="AF3" s="185" t="s">
        <v>54</v>
      </c>
      <c r="AG3" s="185" t="s">
        <v>55</v>
      </c>
      <c r="AH3" s="185" t="s">
        <v>3</v>
      </c>
      <c r="AI3" s="185" t="s">
        <v>56</v>
      </c>
      <c r="AJ3" s="185" t="s">
        <v>57</v>
      </c>
      <c r="AK3" s="185" t="s">
        <v>58</v>
      </c>
      <c r="AL3" s="185" t="s">
        <v>59</v>
      </c>
      <c r="AM3" s="185" t="s">
        <v>4</v>
      </c>
      <c r="AN3" s="185" t="s">
        <v>60</v>
      </c>
      <c r="AO3" s="185" t="s">
        <v>61</v>
      </c>
      <c r="AP3" s="185" t="s">
        <v>62</v>
      </c>
      <c r="AQ3" s="185" t="s">
        <v>63</v>
      </c>
      <c r="AR3" s="185" t="s">
        <v>5</v>
      </c>
      <c r="AS3" s="185" t="s">
        <v>64</v>
      </c>
      <c r="AT3" s="185" t="s">
        <v>65</v>
      </c>
      <c r="AU3" s="185" t="s">
        <v>66</v>
      </c>
      <c r="AV3" s="185" t="s">
        <v>67</v>
      </c>
      <c r="AW3" s="185" t="s">
        <v>6</v>
      </c>
      <c r="AX3" s="185" t="s">
        <v>68</v>
      </c>
      <c r="AY3" s="185" t="s">
        <v>69</v>
      </c>
      <c r="AZ3" s="185" t="s">
        <v>70</v>
      </c>
      <c r="BA3" s="185" t="s">
        <v>71</v>
      </c>
      <c r="BB3" s="185" t="s">
        <v>7</v>
      </c>
      <c r="BC3" s="225" t="s">
        <v>2</v>
      </c>
      <c r="BD3" s="225" t="s">
        <v>52</v>
      </c>
      <c r="BE3" s="225" t="s">
        <v>53</v>
      </c>
      <c r="BF3" s="225" t="s">
        <v>54</v>
      </c>
      <c r="BG3" s="225" t="s">
        <v>55</v>
      </c>
      <c r="BH3" s="225" t="s">
        <v>3</v>
      </c>
      <c r="BI3" s="225" t="s">
        <v>56</v>
      </c>
      <c r="BJ3" s="225" t="s">
        <v>57</v>
      </c>
      <c r="BK3" s="225" t="s">
        <v>58</v>
      </c>
      <c r="BL3" s="225" t="s">
        <v>59</v>
      </c>
      <c r="BM3" s="225" t="s">
        <v>4</v>
      </c>
      <c r="BN3" s="225" t="s">
        <v>60</v>
      </c>
      <c r="BO3" s="225" t="s">
        <v>61</v>
      </c>
      <c r="BP3" s="225" t="s">
        <v>62</v>
      </c>
      <c r="BQ3" s="225" t="s">
        <v>63</v>
      </c>
      <c r="BR3" s="225" t="s">
        <v>5</v>
      </c>
      <c r="BS3" s="225" t="s">
        <v>64</v>
      </c>
      <c r="BT3" s="225" t="s">
        <v>65</v>
      </c>
      <c r="BU3" s="225" t="s">
        <v>66</v>
      </c>
      <c r="BV3" s="225" t="s">
        <v>67</v>
      </c>
      <c r="BW3" s="225" t="s">
        <v>6</v>
      </c>
      <c r="BX3" s="225" t="s">
        <v>68</v>
      </c>
      <c r="BY3" s="225" t="s">
        <v>69</v>
      </c>
      <c r="BZ3" s="225" t="s">
        <v>70</v>
      </c>
      <c r="CA3" s="225" t="s">
        <v>71</v>
      </c>
      <c r="CB3" s="225" t="s">
        <v>7</v>
      </c>
      <c r="CC3" s="224" t="s">
        <v>2</v>
      </c>
      <c r="CD3" s="224" t="s">
        <v>52</v>
      </c>
      <c r="CE3" s="224" t="s">
        <v>53</v>
      </c>
      <c r="CF3" s="224" t="s">
        <v>54</v>
      </c>
      <c r="CG3" s="224" t="s">
        <v>55</v>
      </c>
      <c r="CH3" s="224" t="s">
        <v>3</v>
      </c>
      <c r="CI3" s="224" t="s">
        <v>56</v>
      </c>
      <c r="CJ3" s="224" t="s">
        <v>57</v>
      </c>
      <c r="CK3" s="224" t="s">
        <v>58</v>
      </c>
      <c r="CL3" s="224" t="s">
        <v>59</v>
      </c>
      <c r="CM3" s="224" t="s">
        <v>4</v>
      </c>
      <c r="CN3" s="224" t="s">
        <v>60</v>
      </c>
      <c r="CO3" s="224" t="s">
        <v>61</v>
      </c>
      <c r="CP3" s="224" t="s">
        <v>62</v>
      </c>
      <c r="CQ3" s="224" t="s">
        <v>63</v>
      </c>
      <c r="CR3" s="224" t="s">
        <v>5</v>
      </c>
      <c r="CS3" s="224" t="s">
        <v>64</v>
      </c>
      <c r="CT3" s="224" t="s">
        <v>65</v>
      </c>
      <c r="CU3" s="224" t="s">
        <v>66</v>
      </c>
      <c r="CV3" s="224" t="s">
        <v>67</v>
      </c>
      <c r="CW3" s="224" t="s">
        <v>6</v>
      </c>
      <c r="CX3" s="224" t="s">
        <v>68</v>
      </c>
      <c r="CY3" s="224" t="s">
        <v>69</v>
      </c>
      <c r="CZ3" s="224" t="s">
        <v>70</v>
      </c>
      <c r="DA3" s="224" t="s">
        <v>71</v>
      </c>
      <c r="DB3" s="224" t="s">
        <v>7</v>
      </c>
    </row>
    <row r="5" spans="1:106" x14ac:dyDescent="0.35">
      <c r="A5" s="137" t="s">
        <v>538</v>
      </c>
      <c r="B5" s="130" t="s">
        <v>545</v>
      </c>
      <c r="C5" s="219">
        <v>3.4482324452453388E-4</v>
      </c>
      <c r="D5" s="219">
        <v>3.4320978622497859E-4</v>
      </c>
      <c r="E5" s="219">
        <v>3.4163142356843088E-4</v>
      </c>
      <c r="F5" s="219">
        <v>3.3939989018958767E-4</v>
      </c>
      <c r="G5" s="219">
        <v>3.3801527355671108E-4</v>
      </c>
      <c r="H5" s="219">
        <v>3.3669392474923449E-4</v>
      </c>
      <c r="I5" s="219">
        <v>3.3425214002806412E-4</v>
      </c>
      <c r="J5" s="219">
        <v>3.3206893021059061E-4</v>
      </c>
      <c r="K5" s="219">
        <v>3.2988198398189821E-4</v>
      </c>
      <c r="L5" s="219">
        <v>3.2807837431795108E-4</v>
      </c>
      <c r="M5" s="219">
        <v>3.2646082602948628E-4</v>
      </c>
      <c r="N5" s="219">
        <v>3.2546416575817739E-4</v>
      </c>
      <c r="O5" s="219">
        <v>3.2466211383688098E-4</v>
      </c>
      <c r="P5" s="219">
        <v>3.2395492247078882E-4</v>
      </c>
      <c r="Q5" s="219">
        <v>3.2347898783039261E-4</v>
      </c>
      <c r="R5" s="219">
        <v>3.2328873107086511E-4</v>
      </c>
      <c r="S5" s="219">
        <v>3.2250070753365041E-4</v>
      </c>
      <c r="T5" s="219">
        <v>3.2172094221824749E-4</v>
      </c>
      <c r="U5" s="219">
        <v>3.2087687459921688E-4</v>
      </c>
      <c r="V5" s="219">
        <v>3.2010519240277779E-4</v>
      </c>
      <c r="W5" s="219">
        <v>3.1933538284185361E-4</v>
      </c>
      <c r="X5" s="219">
        <v>3.3115435178320977E-4</v>
      </c>
      <c r="Y5" s="219">
        <v>3.2962214570219853E-4</v>
      </c>
      <c r="Z5" s="219">
        <v>3.2808391767782642E-4</v>
      </c>
      <c r="AA5" s="219">
        <v>3.2653954819049298E-4</v>
      </c>
      <c r="AB5" s="219">
        <v>3.249889571795147E-4</v>
      </c>
      <c r="AC5" s="33">
        <v>1.7330854305452959E-6</v>
      </c>
      <c r="AD5" s="219">
        <v>1.7287106382104671E-6</v>
      </c>
      <c r="AE5" s="219">
        <v>1.7244549228391239E-6</v>
      </c>
      <c r="AF5" s="219">
        <v>1.716165530299144E-6</v>
      </c>
      <c r="AG5" s="219">
        <v>1.7123494576023491E-6</v>
      </c>
      <c r="AH5" s="219">
        <v>1.7086365355600589E-6</v>
      </c>
      <c r="AI5" s="219">
        <v>1.7110011801057801E-6</v>
      </c>
      <c r="AJ5" s="219">
        <v>1.7139115723166371E-6</v>
      </c>
      <c r="AK5" s="219">
        <v>1.71481261145375E-6</v>
      </c>
      <c r="AL5" s="219">
        <v>1.7186066627183341E-6</v>
      </c>
      <c r="AM5" s="219">
        <v>1.7227428897526361E-6</v>
      </c>
      <c r="AN5" s="219">
        <v>1.736342870506476E-6</v>
      </c>
      <c r="AO5" s="219">
        <v>1.7503784739502841E-6</v>
      </c>
      <c r="AP5" s="219">
        <v>1.7640948789840079E-6</v>
      </c>
      <c r="AQ5" s="219">
        <v>1.778939184706121E-6</v>
      </c>
      <c r="AR5" s="219">
        <v>1.7945235980644039E-6</v>
      </c>
      <c r="AS5" s="219">
        <v>1.7910624644962221E-6</v>
      </c>
      <c r="AT5" s="219">
        <v>1.7875226031205851E-6</v>
      </c>
      <c r="AU5" s="219">
        <v>1.783008004961203E-6</v>
      </c>
      <c r="AV5" s="219">
        <v>1.7793308652475709E-6</v>
      </c>
      <c r="AW5" s="219">
        <v>1.7755924604825739E-6</v>
      </c>
      <c r="AX5" s="219">
        <v>1.776150509958498E-6</v>
      </c>
      <c r="AY5" s="219">
        <v>1.760953758775613E-6</v>
      </c>
      <c r="AZ5" s="219">
        <v>1.7456452359878379E-6</v>
      </c>
      <c r="BA5" s="219">
        <v>1.7302255145473201E-6</v>
      </c>
      <c r="BB5" s="219">
        <v>1.714694467999663E-6</v>
      </c>
      <c r="BC5" s="33">
        <v>76.767492302520182</v>
      </c>
      <c r="BD5" s="219">
        <v>76.577777081165067</v>
      </c>
      <c r="BE5" s="219">
        <v>76.393596852260686</v>
      </c>
      <c r="BF5" s="219">
        <v>75.883379853665673</v>
      </c>
      <c r="BG5" s="219">
        <v>75.714629552503368</v>
      </c>
      <c r="BH5" s="219">
        <v>75.550397779572791</v>
      </c>
      <c r="BI5" s="219">
        <v>75.37583088580196</v>
      </c>
      <c r="BJ5" s="219">
        <v>75.212901659603361</v>
      </c>
      <c r="BK5" s="219">
        <v>74.82557714084281</v>
      </c>
      <c r="BL5" s="219">
        <v>74.684498352075721</v>
      </c>
      <c r="BM5" s="219">
        <v>74.55209918732308</v>
      </c>
      <c r="BN5" s="219">
        <v>74.405893969862149</v>
      </c>
      <c r="BO5" s="219">
        <v>74.269092542000749</v>
      </c>
      <c r="BP5" s="219">
        <v>74.068418844004015</v>
      </c>
      <c r="BQ5" s="219">
        <v>73.948212296356132</v>
      </c>
      <c r="BR5" s="219">
        <v>73.841437169655819</v>
      </c>
      <c r="BS5" s="219">
        <v>73.899732729318572</v>
      </c>
      <c r="BT5" s="219">
        <v>73.958976713520187</v>
      </c>
      <c r="BU5" s="219">
        <v>73.949493457308549</v>
      </c>
      <c r="BV5" s="219">
        <v>74.01070153010221</v>
      </c>
      <c r="BW5" s="219">
        <v>74.072379994527196</v>
      </c>
      <c r="BX5" s="219">
        <v>74.055510038710892</v>
      </c>
      <c r="BY5" s="219">
        <v>74.040020312575564</v>
      </c>
      <c r="BZ5" s="219">
        <v>74.025669447245974</v>
      </c>
      <c r="CA5" s="219">
        <v>74.012438900171318</v>
      </c>
      <c r="CB5" s="219">
        <v>74.000321986496715</v>
      </c>
      <c r="CC5" s="33">
        <v>866.78624642607451</v>
      </c>
      <c r="CD5" s="219">
        <v>863.02708638299055</v>
      </c>
      <c r="CE5" s="219">
        <v>859.4186905509564</v>
      </c>
      <c r="CF5" s="219">
        <v>853.15005476903571</v>
      </c>
      <c r="CG5" s="219">
        <v>850.01070712449359</v>
      </c>
      <c r="CH5" s="219">
        <v>846.98968955710166</v>
      </c>
      <c r="CI5" s="219">
        <v>844.86326261360568</v>
      </c>
      <c r="CJ5" s="219">
        <v>843.27214408232419</v>
      </c>
      <c r="CK5" s="219">
        <v>840.39274328957458</v>
      </c>
      <c r="CL5" s="219">
        <v>839.70942352412555</v>
      </c>
      <c r="CM5" s="219">
        <v>839.39639023052962</v>
      </c>
      <c r="CN5" s="219">
        <v>842.78548515276054</v>
      </c>
      <c r="CO5" s="219">
        <v>846.57958919147734</v>
      </c>
      <c r="CP5" s="219">
        <v>850.31456168395471</v>
      </c>
      <c r="CQ5" s="219">
        <v>854.78622534686917</v>
      </c>
      <c r="CR5" s="219">
        <v>859.86634598786566</v>
      </c>
      <c r="CS5" s="219">
        <v>857.67709212578393</v>
      </c>
      <c r="CT5" s="219">
        <v>855.51818282733427</v>
      </c>
      <c r="CU5" s="219">
        <v>852.96527137673752</v>
      </c>
      <c r="CV5" s="219">
        <v>850.82805148061311</v>
      </c>
      <c r="CW5" s="219">
        <v>848.69226332819858</v>
      </c>
      <c r="CX5" s="219">
        <v>847.51627192594196</v>
      </c>
      <c r="CY5" s="219">
        <v>840.04621240748486</v>
      </c>
      <c r="CZ5" s="219">
        <v>832.57836952474725</v>
      </c>
      <c r="DA5" s="219">
        <v>825.11171131717811</v>
      </c>
      <c r="DB5" s="219">
        <v>817.64553105678715</v>
      </c>
    </row>
    <row r="6" spans="1:106" x14ac:dyDescent="0.35">
      <c r="A6" s="137" t="s">
        <v>533</v>
      </c>
      <c r="B6" s="130" t="s">
        <v>545</v>
      </c>
      <c r="C6" s="219">
        <v>4.7946797325153261E-4</v>
      </c>
      <c r="D6" s="219">
        <v>4.7693815751324089E-4</v>
      </c>
      <c r="E6" s="219">
        <v>4.7444487404955829E-4</v>
      </c>
      <c r="F6" s="219">
        <v>4.7111323116465589E-4</v>
      </c>
      <c r="G6" s="219">
        <v>4.6876225364068648E-4</v>
      </c>
      <c r="H6" s="219">
        <v>4.6648638939058489E-4</v>
      </c>
      <c r="I6" s="219">
        <v>4.6444964402566019E-4</v>
      </c>
      <c r="J6" s="219">
        <v>4.6265267166822058E-4</v>
      </c>
      <c r="K6" s="219">
        <v>4.6077502147470002E-4</v>
      </c>
      <c r="L6" s="219">
        <v>4.5932146670773892E-4</v>
      </c>
      <c r="M6" s="219">
        <v>4.5803931873652229E-4</v>
      </c>
      <c r="N6" s="219">
        <v>4.5756167153797642E-4</v>
      </c>
      <c r="O6" s="219">
        <v>4.5725087438956279E-4</v>
      </c>
      <c r="P6" s="219">
        <v>4.5699059607410831E-4</v>
      </c>
      <c r="Q6" s="219">
        <v>4.5695961697984178E-4</v>
      </c>
      <c r="R6" s="219">
        <v>4.571331429081297E-4</v>
      </c>
      <c r="S6" s="219">
        <v>4.5595475739851598E-4</v>
      </c>
      <c r="T6" s="219">
        <v>4.5478127710737749E-4</v>
      </c>
      <c r="U6" s="219">
        <v>4.5352576548027843E-4</v>
      </c>
      <c r="V6" s="219">
        <v>4.5236080072669471E-4</v>
      </c>
      <c r="W6" s="219">
        <v>4.5119812086236117E-4</v>
      </c>
      <c r="X6" s="219">
        <v>4.6767960693132088E-4</v>
      </c>
      <c r="Y6" s="219">
        <v>4.6558471119710919E-4</v>
      </c>
      <c r="Z6" s="219">
        <v>4.6347819959423168E-4</v>
      </c>
      <c r="AA6" s="219">
        <v>4.6136015405781551E-4</v>
      </c>
      <c r="AB6" s="219">
        <v>4.5923068767461379E-4</v>
      </c>
      <c r="AC6" s="33">
        <v>3.6963854350299402E-6</v>
      </c>
      <c r="AD6" s="219">
        <v>3.6900817150710198E-6</v>
      </c>
      <c r="AE6" s="219">
        <v>3.6838748752345828E-6</v>
      </c>
      <c r="AF6" s="219">
        <v>3.6725444452672912E-6</v>
      </c>
      <c r="AG6" s="219">
        <v>3.6665757083376991E-6</v>
      </c>
      <c r="AH6" s="219">
        <v>3.6606958299502672E-6</v>
      </c>
      <c r="AI6" s="219">
        <v>3.6664450955614951E-6</v>
      </c>
      <c r="AJ6" s="219">
        <v>3.6726203481916572E-6</v>
      </c>
      <c r="AK6" s="219">
        <v>3.6760308325914878E-6</v>
      </c>
      <c r="AL6" s="219">
        <v>3.682906138075244E-6</v>
      </c>
      <c r="AM6" s="219">
        <v>3.690024530367515E-6</v>
      </c>
      <c r="AN6" s="219">
        <v>3.7087645660686549E-6</v>
      </c>
      <c r="AO6" s="219">
        <v>3.727792616910635E-6</v>
      </c>
      <c r="AP6" s="219">
        <v>3.7461763395737192E-6</v>
      </c>
      <c r="AQ6" s="219">
        <v>3.765784736063575E-6</v>
      </c>
      <c r="AR6" s="219">
        <v>3.7858857540979401E-6</v>
      </c>
      <c r="AS6" s="219">
        <v>3.7802980503583169E-6</v>
      </c>
      <c r="AT6" s="219">
        <v>3.7745629001153658E-6</v>
      </c>
      <c r="AU6" s="219">
        <v>3.767560820564347E-6</v>
      </c>
      <c r="AV6" s="219">
        <v>3.7615969423065728E-6</v>
      </c>
      <c r="AW6" s="219">
        <v>3.755528179013368E-6</v>
      </c>
      <c r="AX6" s="219">
        <v>3.7611821964122728E-6</v>
      </c>
      <c r="AY6" s="219">
        <v>3.7408595074827942E-6</v>
      </c>
      <c r="AZ6" s="219">
        <v>3.7203609606947672E-6</v>
      </c>
      <c r="BA6" s="219">
        <v>3.6996863950673402E-6</v>
      </c>
      <c r="BB6" s="219">
        <v>3.6788347397429378E-6</v>
      </c>
      <c r="BC6" s="33">
        <v>338.00738724341471</v>
      </c>
      <c r="BD6" s="219">
        <v>337.62229785049738</v>
      </c>
      <c r="BE6" s="219">
        <v>337.24734425151462</v>
      </c>
      <c r="BF6" s="219">
        <v>336.46512200766688</v>
      </c>
      <c r="BG6" s="219">
        <v>336.11123264064452</v>
      </c>
      <c r="BH6" s="219">
        <v>335.76565856546819</v>
      </c>
      <c r="BI6" s="219">
        <v>335.55019594641641</v>
      </c>
      <c r="BJ6" s="219">
        <v>335.34602490017357</v>
      </c>
      <c r="BK6" s="219">
        <v>334.85700526698389</v>
      </c>
      <c r="BL6" s="219">
        <v>334.675453314555</v>
      </c>
      <c r="BM6" s="219">
        <v>334.50259614936641</v>
      </c>
      <c r="BN6" s="219">
        <v>334.32513784795452</v>
      </c>
      <c r="BO6" s="219">
        <v>334.15651346325552</v>
      </c>
      <c r="BP6" s="219">
        <v>333.9052887039573</v>
      </c>
      <c r="BQ6" s="219">
        <v>333.75266560567928</v>
      </c>
      <c r="BR6" s="219">
        <v>333.61069087976932</v>
      </c>
      <c r="BS6" s="219">
        <v>333.62757327884998</v>
      </c>
      <c r="BT6" s="219">
        <v>333.64576203643952</v>
      </c>
      <c r="BU6" s="219">
        <v>333.57811708191929</v>
      </c>
      <c r="BV6" s="219">
        <v>333.59935695170799</v>
      </c>
      <c r="BW6" s="219">
        <v>333.62151681386518</v>
      </c>
      <c r="BX6" s="219">
        <v>333.56894184741469</v>
      </c>
      <c r="BY6" s="219">
        <v>333.51839708988382</v>
      </c>
      <c r="BZ6" s="219">
        <v>333.46959779232009</v>
      </c>
      <c r="CA6" s="219">
        <v>333.42251873745278</v>
      </c>
      <c r="CB6" s="219">
        <v>333.37715005310167</v>
      </c>
      <c r="CC6" s="33">
        <v>1120.538598725911</v>
      </c>
      <c r="CD6" s="219">
        <v>1115.7729574934131</v>
      </c>
      <c r="CE6" s="219">
        <v>1111.157925480476</v>
      </c>
      <c r="CF6" s="219">
        <v>1103.1509824907371</v>
      </c>
      <c r="CG6" s="219">
        <v>1098.86648988566</v>
      </c>
      <c r="CH6" s="219">
        <v>1094.690211642275</v>
      </c>
      <c r="CI6" s="219">
        <v>1094.5124478963139</v>
      </c>
      <c r="CJ6" s="219">
        <v>1094.7825001500989</v>
      </c>
      <c r="CK6" s="219">
        <v>1093.2327178666269</v>
      </c>
      <c r="CL6" s="219">
        <v>1094.280111636695</v>
      </c>
      <c r="CM6" s="219">
        <v>1095.628389376787</v>
      </c>
      <c r="CN6" s="219">
        <v>1101.5486198231779</v>
      </c>
      <c r="CO6" s="219">
        <v>1107.777775851974</v>
      </c>
      <c r="CP6" s="219">
        <v>1113.750233363839</v>
      </c>
      <c r="CQ6" s="219">
        <v>1120.4943473565449</v>
      </c>
      <c r="CR6" s="219">
        <v>1127.6465570863279</v>
      </c>
      <c r="CS6" s="219">
        <v>1124.2768210765389</v>
      </c>
      <c r="CT6" s="219">
        <v>1120.920315781445</v>
      </c>
      <c r="CU6" s="219">
        <v>1117.046511923274</v>
      </c>
      <c r="CV6" s="219">
        <v>1113.6861920153231</v>
      </c>
      <c r="CW6" s="219">
        <v>1110.3147272876761</v>
      </c>
      <c r="CX6" s="219">
        <v>1109.570566976955</v>
      </c>
      <c r="CY6" s="219">
        <v>1099.723563837724</v>
      </c>
      <c r="CZ6" s="219">
        <v>1089.873768380616</v>
      </c>
      <c r="DA6" s="219">
        <v>1080.019964909083</v>
      </c>
      <c r="DB6" s="219">
        <v>1070.161361823689</v>
      </c>
    </row>
    <row r="7" spans="1:106" x14ac:dyDescent="0.35">
      <c r="A7" s="137" t="s">
        <v>534</v>
      </c>
      <c r="B7" s="130" t="s">
        <v>545</v>
      </c>
      <c r="C7" s="219">
        <v>1.571898438205927E-3</v>
      </c>
      <c r="D7" s="219">
        <v>1.5650643494351871E-3</v>
      </c>
      <c r="E7" s="219">
        <v>1.5583981451240661E-3</v>
      </c>
      <c r="F7" s="219">
        <v>1.548612019460966E-3</v>
      </c>
      <c r="G7" s="219">
        <v>1.5428805676678001E-3</v>
      </c>
      <c r="H7" s="219">
        <v>1.5374338603158981E-3</v>
      </c>
      <c r="I7" s="219">
        <v>1.5254865178757271E-3</v>
      </c>
      <c r="J7" s="219">
        <v>1.514757394616998E-3</v>
      </c>
      <c r="K7" s="219">
        <v>1.504015361101947E-3</v>
      </c>
      <c r="L7" s="219">
        <v>1.495263021480809E-3</v>
      </c>
      <c r="M7" s="219">
        <v>1.487380834359044E-3</v>
      </c>
      <c r="N7" s="219">
        <v>1.4822404052111801E-3</v>
      </c>
      <c r="O7" s="219">
        <v>1.4780245220852261E-3</v>
      </c>
      <c r="P7" s="219">
        <v>1.4742542374082371E-3</v>
      </c>
      <c r="Q7" s="219">
        <v>1.4715843914130319E-3</v>
      </c>
      <c r="R7" s="219">
        <v>1.470282838761778E-3</v>
      </c>
      <c r="S7" s="219">
        <v>1.468320308638158E-3</v>
      </c>
      <c r="T7" s="219">
        <v>1.466406163306745E-3</v>
      </c>
      <c r="U7" s="219">
        <v>1.4641890640401951E-3</v>
      </c>
      <c r="V7" s="219">
        <v>1.4623240165263971E-3</v>
      </c>
      <c r="W7" s="219">
        <v>1.4604731074022929E-3</v>
      </c>
      <c r="X7" s="219">
        <v>1.5054480298937801E-3</v>
      </c>
      <c r="Y7" s="219">
        <v>1.5009109407802599E-3</v>
      </c>
      <c r="Z7" s="219">
        <v>1.4963606727736549E-3</v>
      </c>
      <c r="AA7" s="219">
        <v>1.4917967711670769E-3</v>
      </c>
      <c r="AB7" s="219">
        <v>1.487218958963078E-3</v>
      </c>
      <c r="AC7" s="33">
        <v>8.1543373668989961E-6</v>
      </c>
      <c r="AD7" s="219">
        <v>8.1352786662831514E-6</v>
      </c>
      <c r="AE7" s="219">
        <v>8.1169278983080942E-6</v>
      </c>
      <c r="AF7" s="219">
        <v>8.0795162259724033E-6</v>
      </c>
      <c r="AG7" s="219">
        <v>8.0635293283752827E-6</v>
      </c>
      <c r="AH7" s="219">
        <v>8.0481400684892557E-6</v>
      </c>
      <c r="AI7" s="219">
        <v>8.0542032209605313E-6</v>
      </c>
      <c r="AJ7" s="219">
        <v>8.0630188492442892E-6</v>
      </c>
      <c r="AK7" s="219">
        <v>8.0624823373009272E-6</v>
      </c>
      <c r="AL7" s="219">
        <v>8.0757880554848207E-6</v>
      </c>
      <c r="AM7" s="219">
        <v>8.0910067803648753E-6</v>
      </c>
      <c r="AN7" s="219">
        <v>8.1483796497937435E-6</v>
      </c>
      <c r="AO7" s="219">
        <v>8.208048300144112E-6</v>
      </c>
      <c r="AP7" s="219">
        <v>8.2663196345061511E-6</v>
      </c>
      <c r="AQ7" s="219">
        <v>8.330072865814375E-6</v>
      </c>
      <c r="AR7" s="219">
        <v>8.3974923771832601E-6</v>
      </c>
      <c r="AS7" s="219">
        <v>8.3927293763560316E-6</v>
      </c>
      <c r="AT7" s="219">
        <v>8.388016150959183E-6</v>
      </c>
      <c r="AU7" s="219">
        <v>8.3789833064064089E-6</v>
      </c>
      <c r="AV7" s="219">
        <v>8.374219230726722E-6</v>
      </c>
      <c r="AW7" s="219">
        <v>8.3694371293080085E-6</v>
      </c>
      <c r="AX7" s="219">
        <v>8.4073040532549952E-6</v>
      </c>
      <c r="AY7" s="219">
        <v>8.3568279716679703E-6</v>
      </c>
      <c r="AZ7" s="219">
        <v>8.3061715534185366E-6</v>
      </c>
      <c r="BA7" s="219">
        <v>8.2553334583612972E-6</v>
      </c>
      <c r="BB7" s="219">
        <v>8.2043122612066767E-6</v>
      </c>
      <c r="BC7" s="33">
        <v>323.4318262539179</v>
      </c>
      <c r="BD7" s="219">
        <v>322.57817916579978</v>
      </c>
      <c r="BE7" s="219">
        <v>321.75604733258001</v>
      </c>
      <c r="BF7" s="219">
        <v>319.39089443961558</v>
      </c>
      <c r="BG7" s="219">
        <v>318.65294515834591</v>
      </c>
      <c r="BH7" s="219">
        <v>317.94177618381849</v>
      </c>
      <c r="BI7" s="219">
        <v>317.16298607380429</v>
      </c>
      <c r="BJ7" s="219">
        <v>316.44330771615063</v>
      </c>
      <c r="BK7" s="219">
        <v>314.66405271807167</v>
      </c>
      <c r="BL7" s="219">
        <v>314.05503512363953</v>
      </c>
      <c r="BM7" s="219">
        <v>313.49068316001632</v>
      </c>
      <c r="BN7" s="219">
        <v>312.79012632631139</v>
      </c>
      <c r="BO7" s="219">
        <v>312.13610918705541</v>
      </c>
      <c r="BP7" s="219">
        <v>311.17951197966312</v>
      </c>
      <c r="BQ7" s="219">
        <v>310.60791037413043</v>
      </c>
      <c r="BR7" s="219">
        <v>310.10247770532908</v>
      </c>
      <c r="BS7" s="219">
        <v>310.40859209944551</v>
      </c>
      <c r="BT7" s="219">
        <v>310.7213887135365</v>
      </c>
      <c r="BU7" s="219">
        <v>310.70893106317459</v>
      </c>
      <c r="BV7" s="219">
        <v>311.03528383617117</v>
      </c>
      <c r="BW7" s="219">
        <v>311.3659271572613</v>
      </c>
      <c r="BX7" s="219">
        <v>311.28402266020203</v>
      </c>
      <c r="BY7" s="219">
        <v>311.20663647306242</v>
      </c>
      <c r="BZ7" s="219">
        <v>311.13276469029739</v>
      </c>
      <c r="CA7" s="219">
        <v>311.06228697169951</v>
      </c>
      <c r="CB7" s="219">
        <v>310.99513370269472</v>
      </c>
      <c r="CC7" s="33">
        <v>3554.1174127380332</v>
      </c>
      <c r="CD7" s="219">
        <v>3539.0070802853061</v>
      </c>
      <c r="CE7" s="219">
        <v>3524.6372765987949</v>
      </c>
      <c r="CF7" s="219">
        <v>3497.6618543958198</v>
      </c>
      <c r="CG7" s="219">
        <v>3485.604222928228</v>
      </c>
      <c r="CH7" s="219">
        <v>3474.141197211738</v>
      </c>
      <c r="CI7" s="219">
        <v>3463.0614351175141</v>
      </c>
      <c r="CJ7" s="219">
        <v>3454.568883914967</v>
      </c>
      <c r="CK7" s="219">
        <v>3440.0303141693298</v>
      </c>
      <c r="CL7" s="219">
        <v>3435.9474615939612</v>
      </c>
      <c r="CM7" s="219">
        <v>3433.676488513498</v>
      </c>
      <c r="CN7" s="219">
        <v>3447.8119485176621</v>
      </c>
      <c r="CO7" s="219">
        <v>3463.914226553733</v>
      </c>
      <c r="CP7" s="219">
        <v>3479.780736435901</v>
      </c>
      <c r="CQ7" s="219">
        <v>3499.2001321166331</v>
      </c>
      <c r="CR7" s="219">
        <v>3521.5864449433311</v>
      </c>
      <c r="CS7" s="219">
        <v>3518.826311870178</v>
      </c>
      <c r="CT7" s="219">
        <v>3516.224526683181</v>
      </c>
      <c r="CU7" s="219">
        <v>3511.7721451709858</v>
      </c>
      <c r="CV7" s="219">
        <v>3509.3261026476671</v>
      </c>
      <c r="CW7" s="219">
        <v>3506.9170626912469</v>
      </c>
      <c r="CX7" s="219">
        <v>3510.2752253620911</v>
      </c>
      <c r="CY7" s="219">
        <v>3485.9356852594392</v>
      </c>
      <c r="CZ7" s="219">
        <v>3461.598653568275</v>
      </c>
      <c r="DA7" s="219">
        <v>3437.2607716314478</v>
      </c>
      <c r="DB7" s="219">
        <v>3412.9198004267519</v>
      </c>
    </row>
    <row r="8" spans="1:106" x14ac:dyDescent="0.35">
      <c r="A8" s="137" t="s">
        <v>535</v>
      </c>
      <c r="B8" s="130" t="s">
        <v>545</v>
      </c>
      <c r="C8" s="219">
        <v>2.6377271881221618E-3</v>
      </c>
      <c r="D8" s="219">
        <v>2.6298042881740028E-3</v>
      </c>
      <c r="E8" s="219">
        <v>2.6225033741096729E-3</v>
      </c>
      <c r="F8" s="219">
        <v>2.6128038675082232E-3</v>
      </c>
      <c r="G8" s="219">
        <v>2.6059401853408522E-3</v>
      </c>
      <c r="H8" s="219">
        <v>2.59927489117863E-3</v>
      </c>
      <c r="I8" s="219">
        <v>2.5937363317603168E-3</v>
      </c>
      <c r="J8" s="219">
        <v>2.5888156430253881E-3</v>
      </c>
      <c r="K8" s="219">
        <v>2.5836256650501252E-3</v>
      </c>
      <c r="L8" s="219">
        <v>2.5796636039568258E-3</v>
      </c>
      <c r="M8" s="219">
        <v>2.5761511710961039E-3</v>
      </c>
      <c r="N8" s="219">
        <v>2.5759836159323321E-3</v>
      </c>
      <c r="O8" s="219">
        <v>2.576249597936499E-3</v>
      </c>
      <c r="P8" s="219">
        <v>2.57663010693578E-3</v>
      </c>
      <c r="Q8" s="219">
        <v>2.577627869685743E-3</v>
      </c>
      <c r="R8" s="219">
        <v>2.5792683115797581E-3</v>
      </c>
      <c r="S8" s="219">
        <v>2.5759682472000669E-3</v>
      </c>
      <c r="T8" s="219">
        <v>2.572665404977048E-3</v>
      </c>
      <c r="U8" s="219">
        <v>2.5691133773377561E-3</v>
      </c>
      <c r="V8" s="219">
        <v>2.5657976326287162E-3</v>
      </c>
      <c r="W8" s="219">
        <v>2.5624708304485839E-3</v>
      </c>
      <c r="X8" s="219">
        <v>2.604238979205874E-3</v>
      </c>
      <c r="Y8" s="219">
        <v>2.598695001090087E-3</v>
      </c>
      <c r="Z8" s="219">
        <v>2.5931089032130302E-3</v>
      </c>
      <c r="AA8" s="219">
        <v>2.5874817570770139E-3</v>
      </c>
      <c r="AB8" s="219">
        <v>2.5818146784062682E-3</v>
      </c>
      <c r="AC8" s="33">
        <v>5.9818298247525386E-6</v>
      </c>
      <c r="AD8" s="219">
        <v>5.9646648287199244E-6</v>
      </c>
      <c r="AE8" s="219">
        <v>5.9506805942967573E-6</v>
      </c>
      <c r="AF8" s="219">
        <v>5.9222790686664666E-6</v>
      </c>
      <c r="AG8" s="219">
        <v>5.9091926166413289E-6</v>
      </c>
      <c r="AH8" s="219">
        <v>5.8965608331203932E-6</v>
      </c>
      <c r="AI8" s="219">
        <v>5.9149440932068104E-6</v>
      </c>
      <c r="AJ8" s="219">
        <v>5.9346495322054559E-6</v>
      </c>
      <c r="AK8" s="219">
        <v>5.9466584665838853E-6</v>
      </c>
      <c r="AL8" s="219">
        <v>5.9680999421870093E-6</v>
      </c>
      <c r="AM8" s="219">
        <v>5.990390278589158E-6</v>
      </c>
      <c r="AN8" s="219">
        <v>6.0452460049296396E-6</v>
      </c>
      <c r="AO8" s="219">
        <v>6.1008954071962129E-6</v>
      </c>
      <c r="AP8" s="219">
        <v>6.1548351239312674E-6</v>
      </c>
      <c r="AQ8" s="219">
        <v>6.2121478295024853E-6</v>
      </c>
      <c r="AR8" s="219">
        <v>6.2710675534803781E-6</v>
      </c>
      <c r="AS8" s="219">
        <v>6.2523926077938219E-6</v>
      </c>
      <c r="AT8" s="219">
        <v>6.2338424110484293E-6</v>
      </c>
      <c r="AU8" s="219">
        <v>6.2122480557375022E-6</v>
      </c>
      <c r="AV8" s="219">
        <v>6.1938785812015771E-6</v>
      </c>
      <c r="AW8" s="219">
        <v>6.1755600980122944E-6</v>
      </c>
      <c r="AX8" s="219">
        <v>6.1685412914028771E-6</v>
      </c>
      <c r="AY8" s="219">
        <v>6.1109819054754874E-6</v>
      </c>
      <c r="AZ8" s="219">
        <v>6.0532896405537129E-6</v>
      </c>
      <c r="BA8" s="219">
        <v>5.9954377840970438E-6</v>
      </c>
      <c r="BB8" s="219">
        <v>5.9374014850567854E-6</v>
      </c>
      <c r="BC8" s="33">
        <v>232.54506805144459</v>
      </c>
      <c r="BD8" s="219">
        <v>232.03135035138129</v>
      </c>
      <c r="BE8" s="219">
        <v>231.58072646582869</v>
      </c>
      <c r="BF8" s="219">
        <v>229.978730310538</v>
      </c>
      <c r="BG8" s="219">
        <v>229.56359256094919</v>
      </c>
      <c r="BH8" s="219">
        <v>229.16530038716709</v>
      </c>
      <c r="BI8" s="219">
        <v>228.74903175396071</v>
      </c>
      <c r="BJ8" s="219">
        <v>228.3610629059946</v>
      </c>
      <c r="BK8" s="219">
        <v>227.17559070658601</v>
      </c>
      <c r="BL8" s="219">
        <v>226.83336492305031</v>
      </c>
      <c r="BM8" s="219">
        <v>226.51095998194791</v>
      </c>
      <c r="BN8" s="219">
        <v>226.18773806773231</v>
      </c>
      <c r="BO8" s="219">
        <v>225.88364290595371</v>
      </c>
      <c r="BP8" s="219">
        <v>225.34383320796761</v>
      </c>
      <c r="BQ8" s="219">
        <v>225.07410619310301</v>
      </c>
      <c r="BR8" s="219">
        <v>224.8329738634757</v>
      </c>
      <c r="BS8" s="219">
        <v>225.1466186872002</v>
      </c>
      <c r="BT8" s="219">
        <v>225.45928777534351</v>
      </c>
      <c r="BU8" s="219">
        <v>225.52732384255461</v>
      </c>
      <c r="BV8" s="219">
        <v>225.83959291704201</v>
      </c>
      <c r="BW8" s="219">
        <v>226.1501590868844</v>
      </c>
      <c r="BX8" s="219">
        <v>226.13510477717861</v>
      </c>
      <c r="BY8" s="219">
        <v>226.12412825916289</v>
      </c>
      <c r="BZ8" s="219">
        <v>226.11632098915311</v>
      </c>
      <c r="CA8" s="219">
        <v>226.11164200759109</v>
      </c>
      <c r="CB8" s="219">
        <v>226.11009366987631</v>
      </c>
      <c r="CC8" s="33">
        <v>3199.1456136315001</v>
      </c>
      <c r="CD8" s="219">
        <v>3184.6586023545001</v>
      </c>
      <c r="CE8" s="219">
        <v>3173.3404054131529</v>
      </c>
      <c r="CF8" s="219">
        <v>3152.5834211366132</v>
      </c>
      <c r="CG8" s="219">
        <v>3142.478217305113</v>
      </c>
      <c r="CH8" s="219">
        <v>3132.8761481824909</v>
      </c>
      <c r="CI8" s="219">
        <v>3132.7732287282829</v>
      </c>
      <c r="CJ8" s="219">
        <v>3133.9415844638288</v>
      </c>
      <c r="CK8" s="219">
        <v>3130.029926308328</v>
      </c>
      <c r="CL8" s="219">
        <v>3133.224009820683</v>
      </c>
      <c r="CM8" s="219">
        <v>3137.3029453265071</v>
      </c>
      <c r="CN8" s="219">
        <v>3154.3044579650632</v>
      </c>
      <c r="CO8" s="219">
        <v>3172.1532465325422</v>
      </c>
      <c r="CP8" s="219">
        <v>3189.3089211629849</v>
      </c>
      <c r="CQ8" s="219">
        <v>3208.5925915249718</v>
      </c>
      <c r="CR8" s="219">
        <v>3229.180379366438</v>
      </c>
      <c r="CS8" s="219">
        <v>3221.621020045257</v>
      </c>
      <c r="CT8" s="219">
        <v>3214.1130077836619</v>
      </c>
      <c r="CU8" s="219">
        <v>3205.193531234037</v>
      </c>
      <c r="CV8" s="219">
        <v>3197.69552764026</v>
      </c>
      <c r="CW8" s="219">
        <v>3190.1780429070859</v>
      </c>
      <c r="CX8" s="219">
        <v>3185.6573532367902</v>
      </c>
      <c r="CY8" s="219">
        <v>3159.962120998292</v>
      </c>
      <c r="CZ8" s="219">
        <v>3134.2772040352652</v>
      </c>
      <c r="DA8" s="219">
        <v>3108.6001787461701</v>
      </c>
      <c r="DB8" s="219">
        <v>3082.9296833577182</v>
      </c>
    </row>
    <row r="9" spans="1:106" x14ac:dyDescent="0.35">
      <c r="A9" s="137" t="s">
        <v>536</v>
      </c>
      <c r="B9" s="130" t="s">
        <v>545</v>
      </c>
      <c r="C9" s="219">
        <v>1.6956900718161901E-3</v>
      </c>
      <c r="D9" s="219">
        <v>1.6909792540487211E-3</v>
      </c>
      <c r="E9" s="219">
        <v>1.686670108248449E-3</v>
      </c>
      <c r="F9" s="219">
        <v>1.6812531634082849E-3</v>
      </c>
      <c r="G9" s="219">
        <v>1.6769829072530141E-3</v>
      </c>
      <c r="H9" s="219">
        <v>1.6727858049033859E-3</v>
      </c>
      <c r="I9" s="219">
        <v>1.6720925424985481E-3</v>
      </c>
      <c r="J9" s="219">
        <v>1.671501843636999E-3</v>
      </c>
      <c r="K9" s="219">
        <v>1.670635642033782E-3</v>
      </c>
      <c r="L9" s="219">
        <v>1.6700865316446531E-3</v>
      </c>
      <c r="M9" s="219">
        <v>1.6696209691997861E-3</v>
      </c>
      <c r="N9" s="219">
        <v>1.6709901632426011E-3</v>
      </c>
      <c r="O9" s="219">
        <v>1.6724057863934519E-3</v>
      </c>
      <c r="P9" s="219">
        <v>1.673752087628373E-3</v>
      </c>
      <c r="Q9" s="219">
        <v>1.675252777306028E-3</v>
      </c>
      <c r="R9" s="219">
        <v>1.6768139869962301E-3</v>
      </c>
      <c r="S9" s="219">
        <v>1.6737695664572961E-3</v>
      </c>
      <c r="T9" s="219">
        <v>1.670705055248624E-3</v>
      </c>
      <c r="U9" s="219">
        <v>1.6675206857806369E-3</v>
      </c>
      <c r="V9" s="219">
        <v>1.6644247509930369E-3</v>
      </c>
      <c r="W9" s="219">
        <v>1.6613127130317229E-3</v>
      </c>
      <c r="X9" s="219">
        <v>1.6931408913412539E-3</v>
      </c>
      <c r="Y9" s="219">
        <v>1.6887177059782439E-3</v>
      </c>
      <c r="Z9" s="219">
        <v>1.684257998132172E-3</v>
      </c>
      <c r="AA9" s="219">
        <v>1.6797626091273081E-3</v>
      </c>
      <c r="AB9" s="219">
        <v>1.675232365801271E-3</v>
      </c>
      <c r="AC9" s="33">
        <v>5.5602541263126201E-6</v>
      </c>
      <c r="AD9" s="219">
        <v>5.5503532815475556E-6</v>
      </c>
      <c r="AE9" s="219">
        <v>5.5424444264928263E-6</v>
      </c>
      <c r="AF9" s="219">
        <v>5.5279178255225742E-6</v>
      </c>
      <c r="AG9" s="219">
        <v>5.5198049980027687E-6</v>
      </c>
      <c r="AH9" s="219">
        <v>5.5117921953503346E-6</v>
      </c>
      <c r="AI9" s="219">
        <v>5.5237917028118414E-6</v>
      </c>
      <c r="AJ9" s="219">
        <v>5.5358553449553562E-6</v>
      </c>
      <c r="AK9" s="219">
        <v>5.5440371326170544E-6</v>
      </c>
      <c r="AL9" s="219">
        <v>5.5558774527440646E-6</v>
      </c>
      <c r="AM9" s="219">
        <v>5.5676283811563396E-6</v>
      </c>
      <c r="AN9" s="219">
        <v>5.5918639673642327E-6</v>
      </c>
      <c r="AO9" s="219">
        <v>5.6158143577980642E-6</v>
      </c>
      <c r="AP9" s="219">
        <v>5.6385674581506931E-6</v>
      </c>
      <c r="AQ9" s="219">
        <v>5.6623142752051897E-6</v>
      </c>
      <c r="AR9" s="219">
        <v>5.6860341990247337E-6</v>
      </c>
      <c r="AS9" s="219">
        <v>5.6660908352771811E-6</v>
      </c>
      <c r="AT9" s="219">
        <v>5.645949382031747E-6</v>
      </c>
      <c r="AU9" s="219">
        <v>5.6243376094911394E-6</v>
      </c>
      <c r="AV9" s="219">
        <v>5.6039517010647244E-6</v>
      </c>
      <c r="AW9" s="219">
        <v>5.5834344289546533E-6</v>
      </c>
      <c r="AX9" s="219">
        <v>5.5822929508103733E-6</v>
      </c>
      <c r="AY9" s="219">
        <v>5.5428855224819132E-6</v>
      </c>
      <c r="AZ9" s="219">
        <v>5.503231875322256E-6</v>
      </c>
      <c r="BA9" s="219">
        <v>5.4633155407004936E-6</v>
      </c>
      <c r="BB9" s="219">
        <v>5.4231193492799253E-6</v>
      </c>
      <c r="BC9" s="33">
        <v>108.53636572634311</v>
      </c>
      <c r="BD9" s="219">
        <v>108.3471835853164</v>
      </c>
      <c r="BE9" s="219">
        <v>108.1918470392695</v>
      </c>
      <c r="BF9" s="219">
        <v>107.52012072049109</v>
      </c>
      <c r="BG9" s="219">
        <v>107.3612350817908</v>
      </c>
      <c r="BH9" s="219">
        <v>107.20427393645809</v>
      </c>
      <c r="BI9" s="219">
        <v>107.04606029981581</v>
      </c>
      <c r="BJ9" s="219">
        <v>106.8894061756186</v>
      </c>
      <c r="BK9" s="219">
        <v>106.37304332257079</v>
      </c>
      <c r="BL9" s="219">
        <v>106.2147209761785</v>
      </c>
      <c r="BM9" s="219">
        <v>106.0561278529844</v>
      </c>
      <c r="BN9" s="219">
        <v>106.0269606558154</v>
      </c>
      <c r="BO9" s="219">
        <v>105.99729309343959</v>
      </c>
      <c r="BP9" s="219">
        <v>105.8583737595176</v>
      </c>
      <c r="BQ9" s="219">
        <v>105.8282996713388</v>
      </c>
      <c r="BR9" s="219">
        <v>105.79853408967701</v>
      </c>
      <c r="BS9" s="219">
        <v>105.8690218559136</v>
      </c>
      <c r="BT9" s="219">
        <v>105.9357393238554</v>
      </c>
      <c r="BU9" s="219">
        <v>105.8937826913714</v>
      </c>
      <c r="BV9" s="219">
        <v>105.95437079466871</v>
      </c>
      <c r="BW9" s="219">
        <v>106.0114051678112</v>
      </c>
      <c r="BX9" s="219">
        <v>106.0130537362047</v>
      </c>
      <c r="BY9" s="219">
        <v>106.0175414230422</v>
      </c>
      <c r="BZ9" s="219">
        <v>106.0244142507636</v>
      </c>
      <c r="CA9" s="219">
        <v>106.03369429240379</v>
      </c>
      <c r="CB9" s="219">
        <v>106.04542416177731</v>
      </c>
      <c r="CC9" s="33">
        <v>1874.359915502863</v>
      </c>
      <c r="CD9" s="219">
        <v>1865.93509994389</v>
      </c>
      <c r="CE9" s="219">
        <v>1859.5625167089599</v>
      </c>
      <c r="CF9" s="219">
        <v>1848.908983987654</v>
      </c>
      <c r="CG9" s="219">
        <v>1842.70447976475</v>
      </c>
      <c r="CH9" s="219">
        <v>1836.677568794267</v>
      </c>
      <c r="CI9" s="219">
        <v>1838.915201231013</v>
      </c>
      <c r="CJ9" s="219">
        <v>1841.3067504384419</v>
      </c>
      <c r="CK9" s="219">
        <v>1841.0982663386369</v>
      </c>
      <c r="CL9" s="219">
        <v>1843.6484897221919</v>
      </c>
      <c r="CM9" s="219">
        <v>1846.2920105614851</v>
      </c>
      <c r="CN9" s="219">
        <v>1854.0586803011599</v>
      </c>
      <c r="CO9" s="219">
        <v>1861.851285182767</v>
      </c>
      <c r="CP9" s="219">
        <v>1869.0504904252689</v>
      </c>
      <c r="CQ9" s="219">
        <v>1876.8833556990271</v>
      </c>
      <c r="CR9" s="219">
        <v>1884.758973394878</v>
      </c>
      <c r="CS9" s="219">
        <v>1874.548854379407</v>
      </c>
      <c r="CT9" s="219">
        <v>1864.3185352990261</v>
      </c>
      <c r="CU9" s="219">
        <v>1853.4440920537641</v>
      </c>
      <c r="CV9" s="219">
        <v>1843.138713189029</v>
      </c>
      <c r="CW9" s="219">
        <v>1832.786241788303</v>
      </c>
      <c r="CX9" s="219">
        <v>1822.285529521647</v>
      </c>
      <c r="CY9" s="219">
        <v>1804.0258768980491</v>
      </c>
      <c r="CZ9" s="219">
        <v>1785.77390064921</v>
      </c>
      <c r="DA9" s="219">
        <v>1767.5277859026651</v>
      </c>
      <c r="DB9" s="219">
        <v>1749.286452339838</v>
      </c>
    </row>
    <row r="10" spans="1:106" x14ac:dyDescent="0.35">
      <c r="A10" s="137" t="s">
        <v>537</v>
      </c>
      <c r="B10" s="130" t="s">
        <v>545</v>
      </c>
      <c r="C10" s="219">
        <v>9.1842149141053552E-4</v>
      </c>
      <c r="D10" s="219">
        <v>9.1599574967651679E-4</v>
      </c>
      <c r="E10" s="219">
        <v>9.1372231578558459E-4</v>
      </c>
      <c r="F10" s="219">
        <v>9.1051971723981543E-4</v>
      </c>
      <c r="G10" s="219">
        <v>9.082293326077343E-4</v>
      </c>
      <c r="H10" s="219">
        <v>9.0590926372331997E-4</v>
      </c>
      <c r="I10" s="219">
        <v>9.049191308485217E-4</v>
      </c>
      <c r="J10" s="219">
        <v>9.0401936950279364E-4</v>
      </c>
      <c r="K10" s="219">
        <v>9.0290342043489733E-4</v>
      </c>
      <c r="L10" s="219">
        <v>9.0212062929165065E-4</v>
      </c>
      <c r="M10" s="219">
        <v>9.0140608473933371E-4</v>
      </c>
      <c r="N10" s="219">
        <v>9.0179066109340948E-4</v>
      </c>
      <c r="O10" s="219">
        <v>9.0223106557258792E-4</v>
      </c>
      <c r="P10" s="219">
        <v>9.0262597682677647E-4</v>
      </c>
      <c r="Q10" s="219">
        <v>9.0316299672808082E-4</v>
      </c>
      <c r="R10" s="219">
        <v>9.0377809362034156E-4</v>
      </c>
      <c r="S10" s="219">
        <v>9.0247782957542121E-4</v>
      </c>
      <c r="T10" s="219">
        <v>9.01170021958696E-4</v>
      </c>
      <c r="U10" s="219">
        <v>8.9976868947429472E-4</v>
      </c>
      <c r="V10" s="219">
        <v>8.9844910633090562E-4</v>
      </c>
      <c r="W10" s="219">
        <v>8.9712295246636205E-4</v>
      </c>
      <c r="X10" s="219">
        <v>9.2209168147000108E-4</v>
      </c>
      <c r="Y10" s="219">
        <v>9.2006297049000891E-4</v>
      </c>
      <c r="Z10" s="219">
        <v>9.1801890974579697E-4</v>
      </c>
      <c r="AA10" s="219">
        <v>9.1595981324139864E-4</v>
      </c>
      <c r="AB10" s="219">
        <v>9.1388600116170228E-4</v>
      </c>
      <c r="AC10" s="33">
        <v>4.5077788535705001E-6</v>
      </c>
      <c r="AD10" s="219">
        <v>4.5022594813249921E-6</v>
      </c>
      <c r="AE10" s="219">
        <v>4.4975495857165504E-6</v>
      </c>
      <c r="AF10" s="219">
        <v>4.4874149245547506E-6</v>
      </c>
      <c r="AG10" s="219">
        <v>4.4827052270178231E-6</v>
      </c>
      <c r="AH10" s="219">
        <v>4.4780596852739166E-6</v>
      </c>
      <c r="AI10" s="219">
        <v>4.4843052705818992E-6</v>
      </c>
      <c r="AJ10" s="219">
        <v>4.4906770506137944E-6</v>
      </c>
      <c r="AK10" s="219">
        <v>4.4939458151829533E-6</v>
      </c>
      <c r="AL10" s="219">
        <v>4.5003711187548162E-6</v>
      </c>
      <c r="AM10" s="219">
        <v>4.5068359109633304E-6</v>
      </c>
      <c r="AN10" s="219">
        <v>4.5223326563073736E-6</v>
      </c>
      <c r="AO10" s="219">
        <v>4.5377868708069276E-6</v>
      </c>
      <c r="AP10" s="219">
        <v>4.5523442229688822E-6</v>
      </c>
      <c r="AQ10" s="219">
        <v>4.5678494911622794E-6</v>
      </c>
      <c r="AR10" s="219">
        <v>4.5834763158156394E-6</v>
      </c>
      <c r="AS10" s="219">
        <v>4.5761588665412498E-6</v>
      </c>
      <c r="AT10" s="219">
        <v>4.568787626628645E-6</v>
      </c>
      <c r="AU10" s="219">
        <v>4.5602467148058492E-6</v>
      </c>
      <c r="AV10" s="219">
        <v>4.5528070629067914E-6</v>
      </c>
      <c r="AW10" s="219">
        <v>4.5453310221822523E-6</v>
      </c>
      <c r="AX10" s="219">
        <v>4.5645097031087881E-6</v>
      </c>
      <c r="AY10" s="219">
        <v>4.5458776947112846E-6</v>
      </c>
      <c r="AZ10" s="219">
        <v>4.5271514345087426E-6</v>
      </c>
      <c r="BA10" s="219">
        <v>4.5083238652915269E-6</v>
      </c>
      <c r="BB10" s="219">
        <v>4.4893879004650104E-6</v>
      </c>
      <c r="BC10" s="33">
        <v>79.824583259713961</v>
      </c>
      <c r="BD10" s="219">
        <v>79.697017134608444</v>
      </c>
      <c r="BE10" s="219">
        <v>79.584786502545498</v>
      </c>
      <c r="BF10" s="219">
        <v>79.046410210685977</v>
      </c>
      <c r="BG10" s="219">
        <v>78.938025880438488</v>
      </c>
      <c r="BH10" s="219">
        <v>78.832240651068147</v>
      </c>
      <c r="BI10" s="219">
        <v>78.726429746663726</v>
      </c>
      <c r="BJ10" s="219">
        <v>78.624339640704491</v>
      </c>
      <c r="BK10" s="219">
        <v>78.226601836928026</v>
      </c>
      <c r="BL10" s="219">
        <v>78.130181502121815</v>
      </c>
      <c r="BM10" s="219">
        <v>78.036023538314382</v>
      </c>
      <c r="BN10" s="219">
        <v>77.983623462307492</v>
      </c>
      <c r="BO10" s="219">
        <v>77.933324347646433</v>
      </c>
      <c r="BP10" s="219">
        <v>77.793906611171536</v>
      </c>
      <c r="BQ10" s="219">
        <v>77.747893998439807</v>
      </c>
      <c r="BR10" s="219">
        <v>77.705088140588188</v>
      </c>
      <c r="BS10" s="219">
        <v>77.754747845333</v>
      </c>
      <c r="BT10" s="219">
        <v>77.803602164785758</v>
      </c>
      <c r="BU10" s="219">
        <v>77.763772966645178</v>
      </c>
      <c r="BV10" s="219">
        <v>77.81197055843549</v>
      </c>
      <c r="BW10" s="219">
        <v>77.859375444823755</v>
      </c>
      <c r="BX10" s="219">
        <v>77.850004896036964</v>
      </c>
      <c r="BY10" s="219">
        <v>77.841925780893092</v>
      </c>
      <c r="BZ10" s="219">
        <v>77.834897986351251</v>
      </c>
      <c r="CA10" s="219">
        <v>77.828919873209443</v>
      </c>
      <c r="CB10" s="219">
        <v>77.8240017484558</v>
      </c>
      <c r="CC10" s="33">
        <v>1323.441437842409</v>
      </c>
      <c r="CD10" s="219">
        <v>1318.9491672162731</v>
      </c>
      <c r="CE10" s="219">
        <v>1315.299930468939</v>
      </c>
      <c r="CF10" s="219">
        <v>1308.0975244276419</v>
      </c>
      <c r="CG10" s="219">
        <v>1304.6239489068889</v>
      </c>
      <c r="CH10" s="219">
        <v>1301.251387707194</v>
      </c>
      <c r="CI10" s="219">
        <v>1301.9531140629731</v>
      </c>
      <c r="CJ10" s="219">
        <v>1302.829361367392</v>
      </c>
      <c r="CK10" s="219">
        <v>1301.6098169190809</v>
      </c>
      <c r="CL10" s="219">
        <v>1302.7525139758591</v>
      </c>
      <c r="CM10" s="219">
        <v>1304.0112753239141</v>
      </c>
      <c r="CN10" s="219">
        <v>1308.9891221834539</v>
      </c>
      <c r="CO10" s="219">
        <v>1314.061307343386</v>
      </c>
      <c r="CP10" s="219">
        <v>1318.701533696553</v>
      </c>
      <c r="CQ10" s="219">
        <v>1323.940955753653</v>
      </c>
      <c r="CR10" s="219">
        <v>1329.3213419875681</v>
      </c>
      <c r="CS10" s="219">
        <v>1325.334289283524</v>
      </c>
      <c r="CT10" s="219">
        <v>1321.3450206330999</v>
      </c>
      <c r="CU10" s="219">
        <v>1316.833088643195</v>
      </c>
      <c r="CV10" s="219">
        <v>1312.8220131117439</v>
      </c>
      <c r="CW10" s="219">
        <v>1308.7934639910141</v>
      </c>
      <c r="CX10" s="219">
        <v>1305.9806187626359</v>
      </c>
      <c r="CY10" s="219">
        <v>1297.1471266130279</v>
      </c>
      <c r="CZ10" s="219">
        <v>1288.3092284351289</v>
      </c>
      <c r="DA10" s="219">
        <v>1279.466064442852</v>
      </c>
      <c r="DB10" s="219">
        <v>1270.6171301183799</v>
      </c>
    </row>
    <row r="11" spans="1:106" x14ac:dyDescent="0.35">
      <c r="A11" s="137" t="s">
        <v>539</v>
      </c>
      <c r="B11" s="130" t="s">
        <v>545</v>
      </c>
      <c r="C11" s="219">
        <v>7.0849442354684153E-4</v>
      </c>
      <c r="D11" s="219">
        <v>7.064438133009979E-4</v>
      </c>
      <c r="E11" s="219">
        <v>7.045387948886266E-4</v>
      </c>
      <c r="F11" s="219">
        <v>7.02108229314281E-4</v>
      </c>
      <c r="G11" s="219">
        <v>7.0022604900599422E-4</v>
      </c>
      <c r="H11" s="219">
        <v>6.983766768086469E-4</v>
      </c>
      <c r="I11" s="219">
        <v>6.9792733771627605E-4</v>
      </c>
      <c r="J11" s="219">
        <v>6.9753099589003398E-4</v>
      </c>
      <c r="K11" s="219">
        <v>6.9700809775878679E-4</v>
      </c>
      <c r="L11" s="219">
        <v>6.9663434993938672E-4</v>
      </c>
      <c r="M11" s="219">
        <v>6.9630306230182906E-4</v>
      </c>
      <c r="N11" s="219">
        <v>6.9671839882508009E-4</v>
      </c>
      <c r="O11" s="219">
        <v>6.9716100944525791E-4</v>
      </c>
      <c r="P11" s="219">
        <v>6.9757552574996112E-4</v>
      </c>
      <c r="Q11" s="219">
        <v>6.9806699591593512E-4</v>
      </c>
      <c r="R11" s="219">
        <v>6.9859293452112752E-4</v>
      </c>
      <c r="S11" s="219">
        <v>6.9716802108649872E-4</v>
      </c>
      <c r="T11" s="219">
        <v>6.9573519874411584E-4</v>
      </c>
      <c r="U11" s="219">
        <v>6.9424682096091061E-4</v>
      </c>
      <c r="V11" s="219">
        <v>6.9280122739741898E-4</v>
      </c>
      <c r="W11" s="219">
        <v>6.9134895760927578E-4</v>
      </c>
      <c r="X11" s="219">
        <v>7.0753498236188249E-4</v>
      </c>
      <c r="Y11" s="219">
        <v>7.0546628666051821E-4</v>
      </c>
      <c r="Z11" s="219">
        <v>7.033817481541596E-4</v>
      </c>
      <c r="AA11" s="219">
        <v>7.0128165008590882E-4</v>
      </c>
      <c r="AB11" s="219">
        <v>6.9916627314362836E-4</v>
      </c>
      <c r="AC11" s="33">
        <v>3.2733374989828449E-6</v>
      </c>
      <c r="AD11" s="219">
        <v>3.2686742973276171E-6</v>
      </c>
      <c r="AE11" s="219">
        <v>3.2647064340832558E-6</v>
      </c>
      <c r="AF11" s="219">
        <v>3.257588823814823E-6</v>
      </c>
      <c r="AG11" s="219">
        <v>3.2535345210448911E-6</v>
      </c>
      <c r="AH11" s="219">
        <v>3.2495111867856388E-6</v>
      </c>
      <c r="AI11" s="219">
        <v>3.2538840263866072E-6</v>
      </c>
      <c r="AJ11" s="219">
        <v>3.2582909610329072E-6</v>
      </c>
      <c r="AK11" s="219">
        <v>3.2608715644543749E-6</v>
      </c>
      <c r="AL11" s="219">
        <v>3.2652106529064999E-6</v>
      </c>
      <c r="AM11" s="219">
        <v>3.2695077968204671E-6</v>
      </c>
      <c r="AN11" s="219">
        <v>3.2790618406141092E-6</v>
      </c>
      <c r="AO11" s="219">
        <v>3.2884912292018299E-6</v>
      </c>
      <c r="AP11" s="219">
        <v>3.297361677563729E-6</v>
      </c>
      <c r="AQ11" s="219">
        <v>3.3067101801294119E-6</v>
      </c>
      <c r="AR11" s="219">
        <v>3.316058512808433E-6</v>
      </c>
      <c r="AS11" s="219">
        <v>3.307006748772116E-6</v>
      </c>
      <c r="AT11" s="219">
        <v>3.2978196490504671E-6</v>
      </c>
      <c r="AU11" s="219">
        <v>3.2879014520724358E-6</v>
      </c>
      <c r="AV11" s="219">
        <v>3.2785350621276711E-6</v>
      </c>
      <c r="AW11" s="219">
        <v>3.2690813816134139E-6</v>
      </c>
      <c r="AX11" s="219">
        <v>3.2761839617168701E-6</v>
      </c>
      <c r="AY11" s="219">
        <v>3.2585843776195521E-6</v>
      </c>
      <c r="AZ11" s="219">
        <v>3.2408478645964111E-6</v>
      </c>
      <c r="BA11" s="219">
        <v>3.222969014744278E-6</v>
      </c>
      <c r="BB11" s="219">
        <v>3.204941695930271E-6</v>
      </c>
      <c r="BC11" s="33">
        <v>52.771691831657407</v>
      </c>
      <c r="BD11" s="219">
        <v>52.672766691191782</v>
      </c>
      <c r="BE11" s="219">
        <v>52.585881104855311</v>
      </c>
      <c r="BF11" s="219">
        <v>52.253412099879789</v>
      </c>
      <c r="BG11" s="219">
        <v>52.165498077944108</v>
      </c>
      <c r="BH11" s="219">
        <v>52.078195837080109</v>
      </c>
      <c r="BI11" s="219">
        <v>51.989598632188361</v>
      </c>
      <c r="BJ11" s="219">
        <v>51.901941751167087</v>
      </c>
      <c r="BK11" s="219">
        <v>51.643799751971748</v>
      </c>
      <c r="BL11" s="219">
        <v>51.55644338404651</v>
      </c>
      <c r="BM11" s="219">
        <v>51.469201846987822</v>
      </c>
      <c r="BN11" s="219">
        <v>51.45045221129817</v>
      </c>
      <c r="BO11" s="219">
        <v>51.43189711460127</v>
      </c>
      <c r="BP11" s="219">
        <v>51.361943796119562</v>
      </c>
      <c r="BQ11" s="219">
        <v>51.343963221590791</v>
      </c>
      <c r="BR11" s="219">
        <v>51.326570351668543</v>
      </c>
      <c r="BS11" s="219">
        <v>51.335402684022853</v>
      </c>
      <c r="BT11" s="219">
        <v>51.342769005121411</v>
      </c>
      <c r="BU11" s="219">
        <v>51.298906541063147</v>
      </c>
      <c r="BV11" s="219">
        <v>51.303958083253953</v>
      </c>
      <c r="BW11" s="219">
        <v>51.307605057106848</v>
      </c>
      <c r="BX11" s="219">
        <v>51.302642041957228</v>
      </c>
      <c r="BY11" s="219">
        <v>51.299024506363828</v>
      </c>
      <c r="BZ11" s="219">
        <v>51.296560112100671</v>
      </c>
      <c r="CA11" s="219">
        <v>51.295258650108828</v>
      </c>
      <c r="CB11" s="219">
        <v>51.295138825657141</v>
      </c>
      <c r="CC11" s="33">
        <v>891.197409038155</v>
      </c>
      <c r="CD11" s="219">
        <v>887.39558930935914</v>
      </c>
      <c r="CE11" s="219">
        <v>884.32975067380573</v>
      </c>
      <c r="CF11" s="219">
        <v>879.22114434355558</v>
      </c>
      <c r="CG11" s="219">
        <v>876.23267376233434</v>
      </c>
      <c r="CH11" s="219">
        <v>873.31206445487589</v>
      </c>
      <c r="CI11" s="219">
        <v>873.72188186707888</v>
      </c>
      <c r="CJ11" s="219">
        <v>874.21414282616104</v>
      </c>
      <c r="CK11" s="219">
        <v>873.48470808043623</v>
      </c>
      <c r="CL11" s="219">
        <v>874.08109053749536</v>
      </c>
      <c r="CM11" s="219">
        <v>874.7276014592984</v>
      </c>
      <c r="CN11" s="219">
        <v>877.52717098943901</v>
      </c>
      <c r="CO11" s="219">
        <v>880.35514904683976</v>
      </c>
      <c r="CP11" s="219">
        <v>882.91613218984185</v>
      </c>
      <c r="CQ11" s="219">
        <v>885.78989498086173</v>
      </c>
      <c r="CR11" s="219">
        <v>888.70217587491197</v>
      </c>
      <c r="CS11" s="219">
        <v>883.63307460215105</v>
      </c>
      <c r="CT11" s="219">
        <v>878.55547440390592</v>
      </c>
      <c r="CU11" s="219">
        <v>873.17332241178349</v>
      </c>
      <c r="CV11" s="219">
        <v>868.061216474513</v>
      </c>
      <c r="CW11" s="219">
        <v>862.92697607163336</v>
      </c>
      <c r="CX11" s="219">
        <v>857.68953084239001</v>
      </c>
      <c r="CY11" s="219">
        <v>849.23498076219914</v>
      </c>
      <c r="CZ11" s="219">
        <v>840.78173380220574</v>
      </c>
      <c r="DA11" s="219">
        <v>832.32884855807322</v>
      </c>
      <c r="DB11" s="219">
        <v>823.87572900742816</v>
      </c>
    </row>
    <row r="12" spans="1:106" x14ac:dyDescent="0.35">
      <c r="A12" s="137" t="s">
        <v>540</v>
      </c>
      <c r="B12" s="130" t="s">
        <v>545</v>
      </c>
      <c r="C12" s="219">
        <v>2.9394021232551797E-4</v>
      </c>
      <c r="D12" s="219">
        <v>2.930252816967468E-4</v>
      </c>
      <c r="E12" s="219">
        <v>2.9210618718980558E-4</v>
      </c>
      <c r="F12" s="219">
        <v>2.9065904845402852E-4</v>
      </c>
      <c r="G12" s="219">
        <v>2.8977764917854692E-4</v>
      </c>
      <c r="H12" s="219">
        <v>2.8892176038178578E-4</v>
      </c>
      <c r="I12" s="219">
        <v>2.8827159479242619E-4</v>
      </c>
      <c r="J12" s="219">
        <v>2.8771818396255202E-4</v>
      </c>
      <c r="K12" s="219">
        <v>2.8706747901115188E-4</v>
      </c>
      <c r="L12" s="219">
        <v>2.865832982336424E-4</v>
      </c>
      <c r="M12" s="219">
        <v>2.8617036180085271E-4</v>
      </c>
      <c r="N12" s="219">
        <v>2.8620010411218319E-4</v>
      </c>
      <c r="O12" s="219">
        <v>2.863006988873232E-4</v>
      </c>
      <c r="P12" s="219">
        <v>2.8640602789447938E-4</v>
      </c>
      <c r="Q12" s="219">
        <v>2.8662675322664198E-4</v>
      </c>
      <c r="R12" s="219">
        <v>2.8694670575922542E-4</v>
      </c>
      <c r="S12" s="219">
        <v>2.8592544727934992E-4</v>
      </c>
      <c r="T12" s="219">
        <v>2.8490223813936382E-4</v>
      </c>
      <c r="U12" s="219">
        <v>2.8382569726288591E-4</v>
      </c>
      <c r="V12" s="219">
        <v>2.8280014596563882E-4</v>
      </c>
      <c r="W12" s="219">
        <v>2.8177257825692342E-4</v>
      </c>
      <c r="X12" s="219">
        <v>2.9458557453383418E-4</v>
      </c>
      <c r="Y12" s="219">
        <v>2.9275966211825797E-4</v>
      </c>
      <c r="Z12" s="219">
        <v>2.9092464960791918E-4</v>
      </c>
      <c r="AA12" s="219">
        <v>2.8908044185860281E-4</v>
      </c>
      <c r="AB12" s="219">
        <v>2.8722697008352319E-4</v>
      </c>
      <c r="AC12" s="33">
        <v>2.976186156681013E-6</v>
      </c>
      <c r="AD12" s="219">
        <v>2.9733685363093932E-6</v>
      </c>
      <c r="AE12" s="219">
        <v>2.9705244176639999E-6</v>
      </c>
      <c r="AF12" s="219">
        <v>2.9645214912422911E-6</v>
      </c>
      <c r="AG12" s="219">
        <v>2.961687037514945E-6</v>
      </c>
      <c r="AH12" s="219">
        <v>2.9588387366421088E-6</v>
      </c>
      <c r="AI12" s="219">
        <v>2.9639666830785719E-6</v>
      </c>
      <c r="AJ12" s="219">
        <v>2.9692111264072371E-6</v>
      </c>
      <c r="AK12" s="219">
        <v>2.972622954591543E-6</v>
      </c>
      <c r="AL12" s="219">
        <v>2.978031278817598E-6</v>
      </c>
      <c r="AM12" s="219">
        <v>2.9834399620752572E-6</v>
      </c>
      <c r="AN12" s="219">
        <v>2.996025833873724E-6</v>
      </c>
      <c r="AO12" s="219">
        <v>3.0086685829875962E-6</v>
      </c>
      <c r="AP12" s="219">
        <v>3.0208278857335358E-6</v>
      </c>
      <c r="AQ12" s="219">
        <v>3.0336618923608099E-6</v>
      </c>
      <c r="AR12" s="219">
        <v>3.0467089575215971E-6</v>
      </c>
      <c r="AS12" s="219">
        <v>3.0407084386190319E-6</v>
      </c>
      <c r="AT12" s="219">
        <v>3.0345170749638259E-6</v>
      </c>
      <c r="AU12" s="219">
        <v>3.0274680011454818E-6</v>
      </c>
      <c r="AV12" s="219">
        <v>3.0209877434444421E-6</v>
      </c>
      <c r="AW12" s="219">
        <v>3.0143780234933691E-6</v>
      </c>
      <c r="AX12" s="219">
        <v>3.0140905963609549E-6</v>
      </c>
      <c r="AY12" s="219">
        <v>2.997085237055375E-6</v>
      </c>
      <c r="AZ12" s="219">
        <v>2.979891827288132E-6</v>
      </c>
      <c r="BA12" s="219">
        <v>2.96251175006574E-6</v>
      </c>
      <c r="BB12" s="219">
        <v>2.9449449170368469E-6</v>
      </c>
      <c r="BC12" s="33">
        <v>61.224159595716117</v>
      </c>
      <c r="BD12" s="219">
        <v>61.166491936531663</v>
      </c>
      <c r="BE12" s="219">
        <v>61.108206796965611</v>
      </c>
      <c r="BF12" s="219">
        <v>60.796676957950638</v>
      </c>
      <c r="BG12" s="219">
        <v>60.73872046173873</v>
      </c>
      <c r="BH12" s="219">
        <v>60.679737797770002</v>
      </c>
      <c r="BI12" s="219">
        <v>60.60670157459495</v>
      </c>
      <c r="BJ12" s="219">
        <v>60.536080908991821</v>
      </c>
      <c r="BK12" s="219">
        <v>60.286728884797277</v>
      </c>
      <c r="BL12" s="219">
        <v>60.22133665352726</v>
      </c>
      <c r="BM12" s="219">
        <v>60.157460821299424</v>
      </c>
      <c r="BN12" s="219">
        <v>60.103178478879698</v>
      </c>
      <c r="BO12" s="219">
        <v>60.051587364331347</v>
      </c>
      <c r="BP12" s="219">
        <v>59.947276373723668</v>
      </c>
      <c r="BQ12" s="219">
        <v>59.900559265671333</v>
      </c>
      <c r="BR12" s="219">
        <v>59.85780826508487</v>
      </c>
      <c r="BS12" s="219">
        <v>59.886385652655548</v>
      </c>
      <c r="BT12" s="219">
        <v>59.914391178416992</v>
      </c>
      <c r="BU12" s="219">
        <v>59.888794139132372</v>
      </c>
      <c r="BV12" s="219">
        <v>59.916030013405823</v>
      </c>
      <c r="BW12" s="219">
        <v>59.942567515030618</v>
      </c>
      <c r="BX12" s="219">
        <v>59.925607497873457</v>
      </c>
      <c r="BY12" s="219">
        <v>59.909947506991728</v>
      </c>
      <c r="BZ12" s="219">
        <v>59.895399244343771</v>
      </c>
      <c r="CA12" s="219">
        <v>59.881963487823313</v>
      </c>
      <c r="CB12" s="219">
        <v>59.869650389724498</v>
      </c>
      <c r="CC12" s="33">
        <v>769.01432974159798</v>
      </c>
      <c r="CD12" s="219">
        <v>766.49826301486348</v>
      </c>
      <c r="CE12" s="219">
        <v>764.02848902510891</v>
      </c>
      <c r="CF12" s="219">
        <v>759.46972428876768</v>
      </c>
      <c r="CG12" s="219">
        <v>757.13147894217741</v>
      </c>
      <c r="CH12" s="219">
        <v>754.8198892005156</v>
      </c>
      <c r="CI12" s="219">
        <v>755.38962110480838</v>
      </c>
      <c r="CJ12" s="219">
        <v>756.1336392612285</v>
      </c>
      <c r="CK12" s="219">
        <v>755.66889160254118</v>
      </c>
      <c r="CL12" s="219">
        <v>756.70774995777606</v>
      </c>
      <c r="CM12" s="219">
        <v>757.85566862732071</v>
      </c>
      <c r="CN12" s="219">
        <v>761.82539469868516</v>
      </c>
      <c r="CO12" s="219">
        <v>765.92448958599653</v>
      </c>
      <c r="CP12" s="219">
        <v>769.81089521457648</v>
      </c>
      <c r="CQ12" s="219">
        <v>774.12007404143333</v>
      </c>
      <c r="CR12" s="219">
        <v>778.61882195812996</v>
      </c>
      <c r="CS12" s="219">
        <v>774.74012681909551</v>
      </c>
      <c r="CT12" s="219">
        <v>770.86365882702967</v>
      </c>
      <c r="CU12" s="219">
        <v>766.66220193048969</v>
      </c>
      <c r="CV12" s="219">
        <v>762.76812116838573</v>
      </c>
      <c r="CW12" s="219">
        <v>758.85913311478794</v>
      </c>
      <c r="CX12" s="219">
        <v>756.83068950915754</v>
      </c>
      <c r="CY12" s="219">
        <v>748.40463649161074</v>
      </c>
      <c r="CZ12" s="219">
        <v>739.9772917668314</v>
      </c>
      <c r="DA12" s="219">
        <v>731.54755833423098</v>
      </c>
      <c r="DB12" s="219">
        <v>723.11468674666821</v>
      </c>
    </row>
    <row r="13" spans="1:106" x14ac:dyDescent="0.35">
      <c r="A13" s="137" t="s">
        <v>541</v>
      </c>
      <c r="B13" s="130" t="s">
        <v>545</v>
      </c>
      <c r="C13" s="219">
        <v>3.0387950122960721E-3</v>
      </c>
      <c r="D13" s="219">
        <v>3.0249380909711529E-3</v>
      </c>
      <c r="E13" s="219">
        <v>3.0114349445595082E-3</v>
      </c>
      <c r="F13" s="219">
        <v>2.9916930883180518E-3</v>
      </c>
      <c r="G13" s="219">
        <v>2.9802111727061029E-3</v>
      </c>
      <c r="H13" s="219">
        <v>2.9693379890028768E-3</v>
      </c>
      <c r="I13" s="219">
        <v>2.9440034989983918E-3</v>
      </c>
      <c r="J13" s="219">
        <v>2.9212977295823392E-3</v>
      </c>
      <c r="K13" s="219">
        <v>2.898711976905965E-3</v>
      </c>
      <c r="L13" s="219">
        <v>2.8802788009978601E-3</v>
      </c>
      <c r="M13" s="219">
        <v>2.8637208195072669E-3</v>
      </c>
      <c r="N13" s="219">
        <v>2.8528340879206602E-3</v>
      </c>
      <c r="O13" s="219">
        <v>2.843945222312121E-3</v>
      </c>
      <c r="P13" s="219">
        <v>2.8360645738765371E-3</v>
      </c>
      <c r="Q13" s="219">
        <v>2.830514792277054E-3</v>
      </c>
      <c r="R13" s="219">
        <v>2.8279241350476548E-3</v>
      </c>
      <c r="S13" s="219">
        <v>2.824264869298401E-3</v>
      </c>
      <c r="T13" s="219">
        <v>2.820708719544682E-3</v>
      </c>
      <c r="U13" s="219">
        <v>2.8165436286428959E-3</v>
      </c>
      <c r="V13" s="219">
        <v>2.8130983959033049E-3</v>
      </c>
      <c r="W13" s="219">
        <v>2.8096863077507412E-3</v>
      </c>
      <c r="X13" s="219">
        <v>2.8916487573459201E-3</v>
      </c>
      <c r="Y13" s="219">
        <v>2.8824936021571101E-3</v>
      </c>
      <c r="Z13" s="219">
        <v>2.8733134161196328E-3</v>
      </c>
      <c r="AA13" s="219">
        <v>2.8641072236116252E-3</v>
      </c>
      <c r="AB13" s="219">
        <v>2.8548744294124751E-3</v>
      </c>
      <c r="AC13" s="33">
        <v>1.164717356496513E-5</v>
      </c>
      <c r="AD13" s="219">
        <v>1.1609759610869821E-5</v>
      </c>
      <c r="AE13" s="219">
        <v>1.157388052376968E-5</v>
      </c>
      <c r="AF13" s="219">
        <v>1.1499749092791401E-5</v>
      </c>
      <c r="AG13" s="219">
        <v>1.1469042361631191E-5</v>
      </c>
      <c r="AH13" s="219">
        <v>1.143963342983425E-5</v>
      </c>
      <c r="AI13" s="219">
        <v>1.145568522082997E-5</v>
      </c>
      <c r="AJ13" s="219">
        <v>1.147772829054493E-5</v>
      </c>
      <c r="AK13" s="219">
        <v>1.1481219442946589E-5</v>
      </c>
      <c r="AL13" s="219">
        <v>1.1513057977771919E-5</v>
      </c>
      <c r="AM13" s="219">
        <v>1.154905749213725E-5</v>
      </c>
      <c r="AN13" s="219">
        <v>1.167581977447065E-5</v>
      </c>
      <c r="AO13" s="219">
        <v>1.180769583233182E-5</v>
      </c>
      <c r="AP13" s="219">
        <v>1.193709480104163E-5</v>
      </c>
      <c r="AQ13" s="219">
        <v>1.2077992995047389E-5</v>
      </c>
      <c r="AR13" s="219">
        <v>1.222690639642522E-5</v>
      </c>
      <c r="AS13" s="219">
        <v>1.222057232030188E-5</v>
      </c>
      <c r="AT13" s="219">
        <v>1.221445501175918E-5</v>
      </c>
      <c r="AU13" s="219">
        <v>1.2199643122304621E-5</v>
      </c>
      <c r="AV13" s="219">
        <v>1.21935781242009E-5</v>
      </c>
      <c r="AW13" s="219">
        <v>1.218754356678791E-5</v>
      </c>
      <c r="AX13" s="219">
        <v>1.2217162765205339E-5</v>
      </c>
      <c r="AY13" s="219">
        <v>1.211218289605786E-5</v>
      </c>
      <c r="AZ13" s="219">
        <v>1.2006868013777859E-5</v>
      </c>
      <c r="BA13" s="219">
        <v>1.190121456751065E-5</v>
      </c>
      <c r="BB13" s="219">
        <v>1.179521971522344E-5</v>
      </c>
      <c r="BC13" s="33">
        <v>676.12434605426552</v>
      </c>
      <c r="BD13" s="219">
        <v>674.33320338654119</v>
      </c>
      <c r="BE13" s="219">
        <v>672.61019767262724</v>
      </c>
      <c r="BF13" s="219">
        <v>667.77898770185027</v>
      </c>
      <c r="BG13" s="219">
        <v>666.23852841847565</v>
      </c>
      <c r="BH13" s="219">
        <v>664.75644145096794</v>
      </c>
      <c r="BI13" s="219">
        <v>663.1694995007224</v>
      </c>
      <c r="BJ13" s="219">
        <v>661.710650648502</v>
      </c>
      <c r="BK13" s="219">
        <v>658.11570728692163</v>
      </c>
      <c r="BL13" s="219">
        <v>656.89582715619122</v>
      </c>
      <c r="BM13" s="219">
        <v>655.7728357102302</v>
      </c>
      <c r="BN13" s="219">
        <v>654.25723745520793</v>
      </c>
      <c r="BO13" s="219">
        <v>652.84235104595382</v>
      </c>
      <c r="BP13" s="219">
        <v>650.81950751050044</v>
      </c>
      <c r="BQ13" s="219">
        <v>649.58253977880065</v>
      </c>
      <c r="BR13" s="219">
        <v>648.48874552233076</v>
      </c>
      <c r="BS13" s="219">
        <v>649.22334867996312</v>
      </c>
      <c r="BT13" s="219">
        <v>649.97286620192949</v>
      </c>
      <c r="BU13" s="219">
        <v>650.06439296437964</v>
      </c>
      <c r="BV13" s="219">
        <v>650.8436427627895</v>
      </c>
      <c r="BW13" s="219">
        <v>651.63264369609556</v>
      </c>
      <c r="BX13" s="219">
        <v>651.46768667696824</v>
      </c>
      <c r="BY13" s="219">
        <v>651.31208976843698</v>
      </c>
      <c r="BZ13" s="219">
        <v>651.16374308731122</v>
      </c>
      <c r="CA13" s="219">
        <v>651.02238224024802</v>
      </c>
      <c r="CB13" s="219">
        <v>650.88784996952973</v>
      </c>
      <c r="CC13" s="33">
        <v>7173.8295208590289</v>
      </c>
      <c r="CD13" s="219">
        <v>7142.9112116843453</v>
      </c>
      <c r="CE13" s="219">
        <v>7113.5616846269586</v>
      </c>
      <c r="CF13" s="219">
        <v>7058.8963410261094</v>
      </c>
      <c r="CG13" s="219">
        <v>7034.5364085645406</v>
      </c>
      <c r="CH13" s="219">
        <v>7011.4566781751928</v>
      </c>
      <c r="CI13" s="219">
        <v>6989.6083897951257</v>
      </c>
      <c r="CJ13" s="219">
        <v>6973.3498098010286</v>
      </c>
      <c r="CK13" s="219">
        <v>6945.1671021378634</v>
      </c>
      <c r="CL13" s="219">
        <v>6938.4227488252709</v>
      </c>
      <c r="CM13" s="219">
        <v>6935.5928196008426</v>
      </c>
      <c r="CN13" s="219">
        <v>6967.9602493551911</v>
      </c>
      <c r="CO13" s="219">
        <v>7004.5776257551088</v>
      </c>
      <c r="CP13" s="219">
        <v>7040.9337116411716</v>
      </c>
      <c r="CQ13" s="219">
        <v>7084.7115021428908</v>
      </c>
      <c r="CR13" s="219">
        <v>7134.9075575721508</v>
      </c>
      <c r="CS13" s="219">
        <v>7131.9459270078214</v>
      </c>
      <c r="CT13" s="219">
        <v>7129.3343785181269</v>
      </c>
      <c r="CU13" s="219">
        <v>7122.9845447456682</v>
      </c>
      <c r="CV13" s="219">
        <v>7120.7293410816555</v>
      </c>
      <c r="CW13" s="219">
        <v>7118.567122267199</v>
      </c>
      <c r="CX13" s="219">
        <v>7128.9848656120193</v>
      </c>
      <c r="CY13" s="219">
        <v>7078.8242087674798</v>
      </c>
      <c r="CZ13" s="219">
        <v>7028.6682130238614</v>
      </c>
      <c r="DA13" s="219">
        <v>6978.5101075914354</v>
      </c>
      <c r="DB13" s="219">
        <v>6928.3453789646101</v>
      </c>
    </row>
    <row r="14" spans="1:106" x14ac:dyDescent="0.35">
      <c r="A14" s="137" t="s">
        <v>542</v>
      </c>
      <c r="B14" s="130" t="s">
        <v>545</v>
      </c>
      <c r="C14" s="219">
        <v>4.0042660555487464E-3</v>
      </c>
      <c r="D14" s="219">
        <v>3.9826943204967959E-3</v>
      </c>
      <c r="E14" s="219">
        <v>3.9612018145917024E-3</v>
      </c>
      <c r="F14" s="219">
        <v>3.9364958749833834E-3</v>
      </c>
      <c r="G14" s="219">
        <v>3.9151875147218074E-3</v>
      </c>
      <c r="H14" s="219">
        <v>3.8942649483712059E-3</v>
      </c>
      <c r="I14" s="219">
        <v>3.8918594596339079E-3</v>
      </c>
      <c r="J14" s="219">
        <v>3.8900578268272461E-3</v>
      </c>
      <c r="K14" s="219">
        <v>3.8874581532421849E-3</v>
      </c>
      <c r="L14" s="219">
        <v>3.883247376830982E-3</v>
      </c>
      <c r="M14" s="219">
        <v>3.8795825232011932E-3</v>
      </c>
      <c r="N14" s="219">
        <v>3.882517849393881E-3</v>
      </c>
      <c r="O14" s="219">
        <v>3.8857742776705331E-3</v>
      </c>
      <c r="P14" s="219">
        <v>3.8890138956439598E-3</v>
      </c>
      <c r="Q14" s="219">
        <v>3.8928633260362469E-3</v>
      </c>
      <c r="R14" s="219">
        <v>3.8970213350560819E-3</v>
      </c>
      <c r="S14" s="219">
        <v>3.8644672693739488E-3</v>
      </c>
      <c r="T14" s="219">
        <v>3.831793744982001E-3</v>
      </c>
      <c r="U14" s="219">
        <v>3.7987260753504309E-3</v>
      </c>
      <c r="V14" s="219">
        <v>3.765862450306853E-3</v>
      </c>
      <c r="W14" s="219">
        <v>3.7329008278759171E-3</v>
      </c>
      <c r="X14" s="219">
        <v>4.0359967221520266E-3</v>
      </c>
      <c r="Y14" s="219">
        <v>3.9868195849056421E-3</v>
      </c>
      <c r="Z14" s="219">
        <v>3.9373764304084314E-3</v>
      </c>
      <c r="AA14" s="219">
        <v>3.8876651008847062E-3</v>
      </c>
      <c r="AB14" s="219">
        <v>3.8376836764373182E-3</v>
      </c>
      <c r="AC14" s="33">
        <v>4.5519703438415077E-5</v>
      </c>
      <c r="AD14" s="219">
        <v>4.5457256415975132E-5</v>
      </c>
      <c r="AE14" s="219">
        <v>4.5392807369625997E-5</v>
      </c>
      <c r="AF14" s="219">
        <v>4.5306292372479772E-5</v>
      </c>
      <c r="AG14" s="219">
        <v>4.5238145414233981E-5</v>
      </c>
      <c r="AH14" s="219">
        <v>4.5168518006577599E-5</v>
      </c>
      <c r="AI14" s="219">
        <v>4.5233112467665002E-5</v>
      </c>
      <c r="AJ14" s="219">
        <v>4.5295929466126121E-5</v>
      </c>
      <c r="AK14" s="219">
        <v>4.5344839873223477E-5</v>
      </c>
      <c r="AL14" s="219">
        <v>4.5404113849271923E-5</v>
      </c>
      <c r="AM14" s="219">
        <v>4.545912351282906E-5</v>
      </c>
      <c r="AN14" s="219">
        <v>4.5578737404777678E-5</v>
      </c>
      <c r="AO14" s="219">
        <v>4.5694610274725807E-5</v>
      </c>
      <c r="AP14" s="219">
        <v>4.5805340876828262E-5</v>
      </c>
      <c r="AQ14" s="219">
        <v>4.5917701745722161E-5</v>
      </c>
      <c r="AR14" s="219">
        <v>4.6028520867797787E-5</v>
      </c>
      <c r="AS14" s="219">
        <v>4.5816409870516443E-5</v>
      </c>
      <c r="AT14" s="219">
        <v>4.5596989708335321E-5</v>
      </c>
      <c r="AU14" s="219">
        <v>4.5367954587266507E-5</v>
      </c>
      <c r="AV14" s="219">
        <v>4.5138121872557721E-5</v>
      </c>
      <c r="AW14" s="219">
        <v>4.4903588157769612E-5</v>
      </c>
      <c r="AX14" s="219">
        <v>4.4713131119317922E-5</v>
      </c>
      <c r="AY14" s="219">
        <v>4.4321887653702391E-5</v>
      </c>
      <c r="AZ14" s="219">
        <v>4.392481058761463E-5</v>
      </c>
      <c r="BA14" s="219">
        <v>4.3521967770850842E-5</v>
      </c>
      <c r="BB14" s="219">
        <v>4.3113370605275071E-5</v>
      </c>
      <c r="BC14" s="33">
        <v>708.24896256388683</v>
      </c>
      <c r="BD14" s="219">
        <v>707.0107724819195</v>
      </c>
      <c r="BE14" s="219">
        <v>705.6992758787228</v>
      </c>
      <c r="BF14" s="219">
        <v>702.70318251925846</v>
      </c>
      <c r="BG14" s="219">
        <v>701.24430768363197</v>
      </c>
      <c r="BH14" s="219">
        <v>699.70695697870701</v>
      </c>
      <c r="BI14" s="219">
        <v>698.10673325014773</v>
      </c>
      <c r="BJ14" s="219">
        <v>696.46461774158547</v>
      </c>
      <c r="BK14" s="219">
        <v>693.64873458752584</v>
      </c>
      <c r="BL14" s="219">
        <v>691.93642028567695</v>
      </c>
      <c r="BM14" s="219">
        <v>690.18330291329016</v>
      </c>
      <c r="BN14" s="219">
        <v>690.09041755328462</v>
      </c>
      <c r="BO14" s="219">
        <v>689.98305403639222</v>
      </c>
      <c r="BP14" s="219">
        <v>689.53114862479174</v>
      </c>
      <c r="BQ14" s="219">
        <v>689.39573050491572</v>
      </c>
      <c r="BR14" s="219">
        <v>689.24570620716077</v>
      </c>
      <c r="BS14" s="219">
        <v>688.48445588672018</v>
      </c>
      <c r="BT14" s="219">
        <v>687.68721449308327</v>
      </c>
      <c r="BU14" s="219">
        <v>686.53583345599452</v>
      </c>
      <c r="BV14" s="219">
        <v>685.67106511027646</v>
      </c>
      <c r="BW14" s="219">
        <v>684.77124415896401</v>
      </c>
      <c r="BX14" s="219">
        <v>684.70398933161164</v>
      </c>
      <c r="BY14" s="219">
        <v>684.67238571373821</v>
      </c>
      <c r="BZ14" s="219">
        <v>684.67325517220502</v>
      </c>
      <c r="CA14" s="219">
        <v>684.70710748498084</v>
      </c>
      <c r="CB14" s="219">
        <v>684.77455388268004</v>
      </c>
      <c r="CC14" s="33">
        <v>13142.75284581364</v>
      </c>
      <c r="CD14" s="219">
        <v>13082.599653135791</v>
      </c>
      <c r="CE14" s="219">
        <v>13022.507406156259</v>
      </c>
      <c r="CF14" s="219">
        <v>12948.573840165171</v>
      </c>
      <c r="CG14" s="219">
        <v>12888.098029715549</v>
      </c>
      <c r="CH14" s="219">
        <v>12827.360332630589</v>
      </c>
      <c r="CI14" s="219">
        <v>12826.3024276982</v>
      </c>
      <c r="CJ14" s="219">
        <v>12825.497743482811</v>
      </c>
      <c r="CK14" s="219">
        <v>12816.24609774797</v>
      </c>
      <c r="CL14" s="219">
        <v>12815.52568280125</v>
      </c>
      <c r="CM14" s="219">
        <v>12814.613257593101</v>
      </c>
      <c r="CN14" s="219">
        <v>12841.15878965218</v>
      </c>
      <c r="CO14" s="219">
        <v>12867.734837827549</v>
      </c>
      <c r="CP14" s="219">
        <v>12892.27400612209</v>
      </c>
      <c r="CQ14" s="219">
        <v>12918.477438608021</v>
      </c>
      <c r="CR14" s="219">
        <v>12944.519941358671</v>
      </c>
      <c r="CS14" s="219">
        <v>12803.996201583001</v>
      </c>
      <c r="CT14" s="219">
        <v>12663.237588945611</v>
      </c>
      <c r="CU14" s="219">
        <v>12520.18217908412</v>
      </c>
      <c r="CV14" s="219">
        <v>12378.478311116651</v>
      </c>
      <c r="CW14" s="219">
        <v>12236.20879817583</v>
      </c>
      <c r="CX14" s="219">
        <v>12079.72761984914</v>
      </c>
      <c r="CY14" s="219">
        <v>11877.745488519189</v>
      </c>
      <c r="CZ14" s="219">
        <v>11675.888097289549</v>
      </c>
      <c r="DA14" s="219">
        <v>11474.1273191234</v>
      </c>
      <c r="DB14" s="219">
        <v>11272.442747363701</v>
      </c>
    </row>
    <row r="15" spans="1:106" x14ac:dyDescent="0.35">
      <c r="A15" s="137" t="s">
        <v>543</v>
      </c>
      <c r="B15" s="130" t="s">
        <v>545</v>
      </c>
      <c r="C15" s="219">
        <v>1.711764216090895E-5</v>
      </c>
      <c r="D15" s="219">
        <v>1.7030531436325499E-5</v>
      </c>
      <c r="E15" s="219">
        <v>1.6953733517434349E-5</v>
      </c>
      <c r="F15" s="219">
        <v>1.6996359770386091E-5</v>
      </c>
      <c r="G15" s="219">
        <v>1.6984307383457489E-5</v>
      </c>
      <c r="H15" s="219">
        <v>1.6972445049654932E-5</v>
      </c>
      <c r="I15" s="219">
        <v>1.6892221440598029E-5</v>
      </c>
      <c r="J15" s="219">
        <v>1.6824837591619791E-5</v>
      </c>
      <c r="K15" s="219">
        <v>1.6791916432826001E-5</v>
      </c>
      <c r="L15" s="219">
        <v>1.6744882289516472E-5</v>
      </c>
      <c r="M15" s="219">
        <v>1.6707094046841571E-5</v>
      </c>
      <c r="N15" s="219">
        <v>1.673194248502991E-5</v>
      </c>
      <c r="O15" s="219">
        <v>1.6766581321835529E-5</v>
      </c>
      <c r="P15" s="219">
        <v>1.6822898948228179E-5</v>
      </c>
      <c r="Q15" s="219">
        <v>1.687372645895796E-5</v>
      </c>
      <c r="R15" s="219">
        <v>1.6939265096535118E-5</v>
      </c>
      <c r="S15" s="219">
        <v>1.6914457140369159E-5</v>
      </c>
      <c r="T15" s="219">
        <v>1.68901288481189E-5</v>
      </c>
      <c r="U15" s="219">
        <v>1.6875690921609249E-5</v>
      </c>
      <c r="V15" s="219">
        <v>1.6851588598498061E-5</v>
      </c>
      <c r="W15" s="219">
        <v>1.6827525375162422E-5</v>
      </c>
      <c r="X15" s="219">
        <v>1.544629074531019E-5</v>
      </c>
      <c r="Y15" s="219">
        <v>1.537827493512348E-5</v>
      </c>
      <c r="Z15" s="219">
        <v>1.53099063052766E-5</v>
      </c>
      <c r="AA15" s="219">
        <v>1.524117840698045E-5</v>
      </c>
      <c r="AB15" s="219">
        <v>1.517208584188974E-5</v>
      </c>
      <c r="AC15" s="33">
        <v>4.1673679681720339E-7</v>
      </c>
      <c r="AD15" s="219">
        <v>4.1621068162961809E-7</v>
      </c>
      <c r="AE15" s="219">
        <v>4.1561550958192071E-7</v>
      </c>
      <c r="AF15" s="219">
        <v>4.1534072589843429E-7</v>
      </c>
      <c r="AG15" s="219">
        <v>4.1477205476209941E-7</v>
      </c>
      <c r="AH15" s="219">
        <v>4.1420874640764568E-7</v>
      </c>
      <c r="AI15" s="219">
        <v>4.1423002252701008E-7</v>
      </c>
      <c r="AJ15" s="219">
        <v>4.1428124679780672E-7</v>
      </c>
      <c r="AK15" s="219">
        <v>4.1457223126816002E-7</v>
      </c>
      <c r="AL15" s="219">
        <v>4.146748838767634E-7</v>
      </c>
      <c r="AM15" s="219">
        <v>4.1479823103520981E-7</v>
      </c>
      <c r="AN15" s="219">
        <v>4.1538117243126939E-7</v>
      </c>
      <c r="AO15" s="219">
        <v>4.1598975637084179E-7</v>
      </c>
      <c r="AP15" s="219">
        <v>4.1673138913717011E-7</v>
      </c>
      <c r="AQ15" s="219">
        <v>4.1738750650438907E-7</v>
      </c>
      <c r="AR15" s="219">
        <v>4.1808519177084798E-7</v>
      </c>
      <c r="AS15" s="219">
        <v>4.1776061739563439E-7</v>
      </c>
      <c r="AT15" s="219">
        <v>4.1744280412205688E-7</v>
      </c>
      <c r="AU15" s="219">
        <v>4.1725122597037429E-7</v>
      </c>
      <c r="AV15" s="219">
        <v>4.1694631639804811E-7</v>
      </c>
      <c r="AW15" s="219">
        <v>4.1664607278329463E-7</v>
      </c>
      <c r="AX15" s="219">
        <v>4.180109356502975E-7</v>
      </c>
      <c r="AY15" s="219">
        <v>4.171149899017364E-7</v>
      </c>
      <c r="AZ15" s="219">
        <v>4.1621311741633022E-7</v>
      </c>
      <c r="BA15" s="219">
        <v>4.1530533635740111E-7</v>
      </c>
      <c r="BB15" s="219">
        <v>4.1439162683583948E-7</v>
      </c>
      <c r="BC15" s="33">
        <v>53.280996790889731</v>
      </c>
      <c r="BD15" s="219">
        <v>53.275567206562393</v>
      </c>
      <c r="BE15" s="219">
        <v>53.270426095371228</v>
      </c>
      <c r="BF15" s="219">
        <v>53.292083608843058</v>
      </c>
      <c r="BG15" s="219">
        <v>53.287630437559088</v>
      </c>
      <c r="BH15" s="219">
        <v>53.283410161359669</v>
      </c>
      <c r="BI15" s="219">
        <v>53.280535897598952</v>
      </c>
      <c r="BJ15" s="219">
        <v>53.278255439030673</v>
      </c>
      <c r="BK15" s="219">
        <v>53.295907922778767</v>
      </c>
      <c r="BL15" s="219">
        <v>53.294536189306037</v>
      </c>
      <c r="BM15" s="219">
        <v>53.293609865931529</v>
      </c>
      <c r="BN15" s="219">
        <v>53.294007130042068</v>
      </c>
      <c r="BO15" s="219">
        <v>53.294858076128698</v>
      </c>
      <c r="BP15" s="219">
        <v>53.304224612469028</v>
      </c>
      <c r="BQ15" s="219">
        <v>53.305768045491646</v>
      </c>
      <c r="BR15" s="219">
        <v>53.307982922920047</v>
      </c>
      <c r="BS15" s="219">
        <v>53.322626374632463</v>
      </c>
      <c r="BT15" s="219">
        <v>53.33730094008682</v>
      </c>
      <c r="BU15" s="219">
        <v>53.359826384034648</v>
      </c>
      <c r="BV15" s="219">
        <v>53.374469269574547</v>
      </c>
      <c r="BW15" s="219">
        <v>53.389123577768061</v>
      </c>
      <c r="BX15" s="219">
        <v>53.393500805616462</v>
      </c>
      <c r="BY15" s="219">
        <v>53.397936369397328</v>
      </c>
      <c r="BZ15" s="219">
        <v>53.402424887019677</v>
      </c>
      <c r="CA15" s="219">
        <v>53.406965648493824</v>
      </c>
      <c r="CB15" s="219">
        <v>53.411558338706733</v>
      </c>
      <c r="CC15" s="33">
        <v>259.19425167474537</v>
      </c>
      <c r="CD15" s="219">
        <v>259.03994975146207</v>
      </c>
      <c r="CE15" s="219">
        <v>258.89455725991212</v>
      </c>
      <c r="CF15" s="219">
        <v>258.96902577944388</v>
      </c>
      <c r="CG15" s="219">
        <v>258.84743745040618</v>
      </c>
      <c r="CH15" s="219">
        <v>258.73200122127031</v>
      </c>
      <c r="CI15" s="219">
        <v>258.73754879268029</v>
      </c>
      <c r="CJ15" s="219">
        <v>258.7704170627357</v>
      </c>
      <c r="CK15" s="219">
        <v>258.97286151066203</v>
      </c>
      <c r="CL15" s="219">
        <v>259.04944735072041</v>
      </c>
      <c r="CM15" s="219">
        <v>259.1451888237645</v>
      </c>
      <c r="CN15" s="219">
        <v>259.50139823961217</v>
      </c>
      <c r="CO15" s="219">
        <v>259.87853883666179</v>
      </c>
      <c r="CP15" s="219">
        <v>260.33080950694142</v>
      </c>
      <c r="CQ15" s="219">
        <v>260.74070870983547</v>
      </c>
      <c r="CR15" s="219">
        <v>261.18249713032537</v>
      </c>
      <c r="CS15" s="219">
        <v>261.19363293885732</v>
      </c>
      <c r="CT15" s="219">
        <v>261.20756097316598</v>
      </c>
      <c r="CU15" s="219">
        <v>261.27559628560812</v>
      </c>
      <c r="CV15" s="219">
        <v>261.28936049541983</v>
      </c>
      <c r="CW15" s="219">
        <v>261.3029920715511</v>
      </c>
      <c r="CX15" s="219">
        <v>261.71670674622771</v>
      </c>
      <c r="CY15" s="219">
        <v>261.38509884417778</v>
      </c>
      <c r="CZ15" s="219">
        <v>261.05243699552892</v>
      </c>
      <c r="DA15" s="219">
        <v>260.71866764999612</v>
      </c>
      <c r="DB15" s="219">
        <v>260.38374993126592</v>
      </c>
    </row>
    <row r="16" spans="1:106" x14ac:dyDescent="0.35">
      <c r="A16" s="137" t="s">
        <v>544</v>
      </c>
      <c r="B16" s="130" t="s">
        <v>545</v>
      </c>
      <c r="C16" s="219">
        <v>1.2630230587234361E-4</v>
      </c>
      <c r="D16" s="219">
        <v>1.261353892091332E-4</v>
      </c>
      <c r="E16" s="219">
        <v>1.2595478717153879E-4</v>
      </c>
      <c r="F16" s="219">
        <v>1.2554957946404969E-4</v>
      </c>
      <c r="G16" s="219">
        <v>1.2534355382201251E-4</v>
      </c>
      <c r="H16" s="219">
        <v>1.2513963730171479E-4</v>
      </c>
      <c r="I16" s="219">
        <v>1.24975420947973E-4</v>
      </c>
      <c r="J16" s="219">
        <v>1.248205288621745E-4</v>
      </c>
      <c r="K16" s="219">
        <v>1.2460863532837149E-4</v>
      </c>
      <c r="L16" s="219">
        <v>1.2446557013218171E-4</v>
      </c>
      <c r="M16" s="219">
        <v>1.243289068883835E-4</v>
      </c>
      <c r="N16" s="219">
        <v>1.2425522776901891E-4</v>
      </c>
      <c r="O16" s="219">
        <v>1.241917464215647E-4</v>
      </c>
      <c r="P16" s="219">
        <v>1.2411695346371891E-4</v>
      </c>
      <c r="Q16" s="219">
        <v>1.2407171606273909E-4</v>
      </c>
      <c r="R16" s="219">
        <v>1.240382322709907E-4</v>
      </c>
      <c r="S16" s="219">
        <v>1.2363261255077411E-4</v>
      </c>
      <c r="T16" s="219">
        <v>1.2322636656662191E-4</v>
      </c>
      <c r="U16" s="219">
        <v>1.2279955027612619E-4</v>
      </c>
      <c r="V16" s="219">
        <v>1.2239342345294111E-4</v>
      </c>
      <c r="W16" s="219">
        <v>1.2198738509317111E-4</v>
      </c>
      <c r="X16" s="219">
        <v>1.2384607805744201E-4</v>
      </c>
      <c r="Y16" s="219">
        <v>1.233955591161681E-4</v>
      </c>
      <c r="Z16" s="219">
        <v>1.229425435605588E-4</v>
      </c>
      <c r="AA16" s="219">
        <v>1.224870237438317E-4</v>
      </c>
      <c r="AB16" s="219">
        <v>1.220290001584113E-4</v>
      </c>
      <c r="AC16" s="33">
        <v>7.7351773873582404E-7</v>
      </c>
      <c r="AD16" s="219">
        <v>7.7659311291653741E-7</v>
      </c>
      <c r="AE16" s="219">
        <v>7.7962281857613878E-7</v>
      </c>
      <c r="AF16" s="219">
        <v>7.8143068256147629E-7</v>
      </c>
      <c r="AG16" s="219">
        <v>7.8436216310369941E-7</v>
      </c>
      <c r="AH16" s="219">
        <v>7.8725080693089548E-7</v>
      </c>
      <c r="AI16" s="219">
        <v>8.0032927911375462E-7</v>
      </c>
      <c r="AJ16" s="219">
        <v>8.1334018773610159E-7</v>
      </c>
      <c r="AK16" s="219">
        <v>8.2557115618308613E-7</v>
      </c>
      <c r="AL16" s="219">
        <v>8.3843435587584201E-7</v>
      </c>
      <c r="AM16" s="219">
        <v>8.5122921916192009E-7</v>
      </c>
      <c r="AN16" s="219">
        <v>8.7268451467853233E-7</v>
      </c>
      <c r="AO16" s="219">
        <v>8.9411112299052313E-7</v>
      </c>
      <c r="AP16" s="219">
        <v>9.1530453114998653E-7</v>
      </c>
      <c r="AQ16" s="219">
        <v>9.3668569477435916E-7</v>
      </c>
      <c r="AR16" s="219">
        <v>9.5805962456832909E-7</v>
      </c>
      <c r="AS16" s="219">
        <v>9.755535109769129E-7</v>
      </c>
      <c r="AT16" s="219">
        <v>9.9289110921929057E-7</v>
      </c>
      <c r="AU16" s="219">
        <v>1.009791174762055E-6</v>
      </c>
      <c r="AV16" s="219">
        <v>1.026815470460087E-6</v>
      </c>
      <c r="AW16" s="219">
        <v>1.0436895671325031E-6</v>
      </c>
      <c r="AX16" s="219">
        <v>1.0712173758645581E-6</v>
      </c>
      <c r="AY16" s="219">
        <v>1.07576747606011E-6</v>
      </c>
      <c r="AZ16" s="219">
        <v>1.0802515248834871E-6</v>
      </c>
      <c r="BA16" s="219">
        <v>1.084669685031091E-6</v>
      </c>
      <c r="BB16" s="219">
        <v>1.0890221193510151E-6</v>
      </c>
      <c r="BC16" s="33">
        <v>73.643519008709234</v>
      </c>
      <c r="BD16" s="219">
        <v>73.514402752721054</v>
      </c>
      <c r="BE16" s="219">
        <v>73.385506270629335</v>
      </c>
      <c r="BF16" s="219">
        <v>73.163721884426479</v>
      </c>
      <c r="BG16" s="219">
        <v>73.035280514628383</v>
      </c>
      <c r="BH16" s="219">
        <v>72.907026742076923</v>
      </c>
      <c r="BI16" s="219">
        <v>72.585322103617557</v>
      </c>
      <c r="BJ16" s="219">
        <v>72.264135186859562</v>
      </c>
      <c r="BK16" s="219">
        <v>71.876279394384682</v>
      </c>
      <c r="BL16" s="219">
        <v>71.555940995603365</v>
      </c>
      <c r="BM16" s="219">
        <v>71.236052624616562</v>
      </c>
      <c r="BN16" s="219">
        <v>70.737396220370982</v>
      </c>
      <c r="BO16" s="219">
        <v>70.238655536361847</v>
      </c>
      <c r="BP16" s="219">
        <v>69.718840153958524</v>
      </c>
      <c r="BQ16" s="219">
        <v>69.219792883733817</v>
      </c>
      <c r="BR16" s="219">
        <v>68.720766811941189</v>
      </c>
      <c r="BS16" s="219">
        <v>68.19553266042702</v>
      </c>
      <c r="BT16" s="219">
        <v>67.670965034371321</v>
      </c>
      <c r="BU16" s="219">
        <v>67.125475167769181</v>
      </c>
      <c r="BV16" s="219">
        <v>66.602210535616649</v>
      </c>
      <c r="BW16" s="219">
        <v>66.079610022622035</v>
      </c>
      <c r="BX16" s="219">
        <v>65.811879489644738</v>
      </c>
      <c r="BY16" s="219">
        <v>65.544333055815997</v>
      </c>
      <c r="BZ16" s="219">
        <v>65.276923242548463</v>
      </c>
      <c r="CA16" s="219">
        <v>65.009648406939505</v>
      </c>
      <c r="CB16" s="219">
        <v>64.742509158912256</v>
      </c>
      <c r="CC16" s="33">
        <v>632.55655211301337</v>
      </c>
      <c r="CD16" s="219">
        <v>631.32064336675398</v>
      </c>
      <c r="CE16" s="219">
        <v>630.09613653985286</v>
      </c>
      <c r="CF16" s="219">
        <v>628.09292666289036</v>
      </c>
      <c r="CG16" s="219">
        <v>626.89207965667549</v>
      </c>
      <c r="CH16" s="219">
        <v>625.7004372845123</v>
      </c>
      <c r="CI16" s="219">
        <v>624.39637949084772</v>
      </c>
      <c r="CJ16" s="219">
        <v>623.13884547744647</v>
      </c>
      <c r="CK16" s="219">
        <v>621.42140139634796</v>
      </c>
      <c r="CL16" s="219">
        <v>620.25024343627058</v>
      </c>
      <c r="CM16" s="219">
        <v>619.11660263935801</v>
      </c>
      <c r="CN16" s="219">
        <v>617.95790022810945</v>
      </c>
      <c r="CO16" s="219">
        <v>616.87108116043078</v>
      </c>
      <c r="CP16" s="219">
        <v>615.73621265822567</v>
      </c>
      <c r="CQ16" s="219">
        <v>614.7882206451917</v>
      </c>
      <c r="CR16" s="219">
        <v>613.91328989401654</v>
      </c>
      <c r="CS16" s="219">
        <v>609.99441073967739</v>
      </c>
      <c r="CT16" s="219">
        <v>606.10373200588515</v>
      </c>
      <c r="CU16" s="219">
        <v>602.1136719002169</v>
      </c>
      <c r="CV16" s="219">
        <v>598.27566489888034</v>
      </c>
      <c r="CW16" s="219">
        <v>594.46328571748541</v>
      </c>
      <c r="CX16" s="219">
        <v>593.23755748750204</v>
      </c>
      <c r="CY16" s="219">
        <v>589.6155191181706</v>
      </c>
      <c r="CZ16" s="219">
        <v>585.98088555744789</v>
      </c>
      <c r="DA16" s="219">
        <v>582.333584849614</v>
      </c>
      <c r="DB16" s="219">
        <v>578.67359369689154</v>
      </c>
    </row>
    <row r="17" spans="1:106" x14ac:dyDescent="0.35">
      <c r="A17" s="137" t="s">
        <v>546</v>
      </c>
      <c r="B17" s="130" t="s">
        <v>547</v>
      </c>
      <c r="C17" s="219">
        <v>4.22827166109962E-7</v>
      </c>
      <c r="D17" s="219">
        <v>4.2143488991386791E-7</v>
      </c>
      <c r="E17" s="219">
        <v>4.2003149169146989E-7</v>
      </c>
      <c r="F17" s="219">
        <v>4.1723580603848788E-7</v>
      </c>
      <c r="G17" s="219">
        <v>4.1574825072868842E-7</v>
      </c>
      <c r="H17" s="219">
        <v>4.1430752788947071E-7</v>
      </c>
      <c r="I17" s="219">
        <v>4.1224739052180428E-7</v>
      </c>
      <c r="J17" s="219">
        <v>4.104081525409281E-7</v>
      </c>
      <c r="K17" s="219">
        <v>4.0831964201848731E-7</v>
      </c>
      <c r="L17" s="219">
        <v>4.0680112090004742E-7</v>
      </c>
      <c r="M17" s="219">
        <v>4.0543265371536209E-7</v>
      </c>
      <c r="N17" s="219">
        <v>4.0456366446368338E-7</v>
      </c>
      <c r="O17" s="219">
        <v>4.0386028775701108E-7</v>
      </c>
      <c r="P17" s="219">
        <v>4.0315281542757678E-7</v>
      </c>
      <c r="Q17" s="219">
        <v>4.0272705528308452E-7</v>
      </c>
      <c r="R17" s="219">
        <v>4.0252698251747218E-7</v>
      </c>
      <c r="S17" s="219">
        <v>4.0181444613604858E-7</v>
      </c>
      <c r="T17" s="219">
        <v>4.0110918429693622E-7</v>
      </c>
      <c r="U17" s="219">
        <v>4.0027509087892153E-7</v>
      </c>
      <c r="V17" s="219">
        <v>3.9957861029389589E-7</v>
      </c>
      <c r="W17" s="219">
        <v>3.9888461074192212E-7</v>
      </c>
      <c r="X17" s="219">
        <v>4.0922784123775529E-7</v>
      </c>
      <c r="Y17" s="219">
        <v>4.0797150206279888E-7</v>
      </c>
      <c r="Z17" s="219">
        <v>4.0670897962152008E-7</v>
      </c>
      <c r="AA17" s="219">
        <v>4.0544027430032908E-7</v>
      </c>
      <c r="AB17" s="219">
        <v>4.0416541777799452E-7</v>
      </c>
      <c r="AC17" s="33">
        <v>2.2328694640301179E-9</v>
      </c>
      <c r="AD17" s="219">
        <v>2.2315917494532471E-9</v>
      </c>
      <c r="AE17" s="219">
        <v>2.2303893472101001E-9</v>
      </c>
      <c r="AF17" s="219">
        <v>2.2217176159232199E-9</v>
      </c>
      <c r="AG17" s="219">
        <v>2.2206809291754668E-9</v>
      </c>
      <c r="AH17" s="219">
        <v>2.2197054946958178E-9</v>
      </c>
      <c r="AI17" s="219">
        <v>2.2268638110946541E-9</v>
      </c>
      <c r="AJ17" s="219">
        <v>2.2343406563926219E-9</v>
      </c>
      <c r="AK17" s="219">
        <v>2.2372997651469042E-9</v>
      </c>
      <c r="AL17" s="219">
        <v>2.245245089286226E-9</v>
      </c>
      <c r="AM17" s="219">
        <v>2.253410667893041E-9</v>
      </c>
      <c r="AN17" s="219">
        <v>2.274468135806901E-9</v>
      </c>
      <c r="AO17" s="219">
        <v>2.29581185290718E-9</v>
      </c>
      <c r="AP17" s="219">
        <v>2.3158716244296398E-9</v>
      </c>
      <c r="AQ17" s="219">
        <v>2.3376321458979019E-9</v>
      </c>
      <c r="AR17" s="219">
        <v>2.3598782013701562E-9</v>
      </c>
      <c r="AS17" s="219">
        <v>2.366318401317408E-9</v>
      </c>
      <c r="AT17" s="219">
        <v>2.3727664715182169E-9</v>
      </c>
      <c r="AU17" s="219">
        <v>2.3773677036995079E-9</v>
      </c>
      <c r="AV17" s="219">
        <v>2.3837578703671998E-9</v>
      </c>
      <c r="AW17" s="219">
        <v>2.390118354130178E-9</v>
      </c>
      <c r="AX17" s="219">
        <v>2.4269033704778001E-9</v>
      </c>
      <c r="AY17" s="219">
        <v>2.419073710838667E-9</v>
      </c>
      <c r="AZ17" s="219">
        <v>2.411157745224187E-9</v>
      </c>
      <c r="BA17" s="219">
        <v>2.403155036380634E-9</v>
      </c>
      <c r="BB17" s="219">
        <v>2.3950651355906372E-9</v>
      </c>
      <c r="BC17" s="33">
        <v>0.1082252777454608</v>
      </c>
      <c r="BD17" s="219">
        <v>0.1079227447513349</v>
      </c>
      <c r="BE17" s="219">
        <v>0.1076282175435853</v>
      </c>
      <c r="BF17" s="219">
        <v>0.10673050650075699</v>
      </c>
      <c r="BG17" s="219">
        <v>0.10645517671908949</v>
      </c>
      <c r="BH17" s="219">
        <v>0.1061867675470968</v>
      </c>
      <c r="BI17" s="219">
        <v>0.1058748780713024</v>
      </c>
      <c r="BJ17" s="219">
        <v>0.1055743113504513</v>
      </c>
      <c r="BK17" s="219">
        <v>0.10483978313716109</v>
      </c>
      <c r="BL17" s="219">
        <v>0.1045620826536274</v>
      </c>
      <c r="BM17" s="219">
        <v>0.1042931913585486</v>
      </c>
      <c r="BN17" s="219">
        <v>0.1039092863388605</v>
      </c>
      <c r="BO17" s="219">
        <v>0.1035340119525328</v>
      </c>
      <c r="BP17" s="219">
        <v>0.1030287805527513</v>
      </c>
      <c r="BQ17" s="219">
        <v>0.10266945884760351</v>
      </c>
      <c r="BR17" s="219">
        <v>0.1023215116814931</v>
      </c>
      <c r="BS17" s="219">
        <v>0.1020884966378587</v>
      </c>
      <c r="BT17" s="219">
        <v>0.1018571432105277</v>
      </c>
      <c r="BU17" s="219">
        <v>0.10149423749233739</v>
      </c>
      <c r="BV17" s="219">
        <v>0.10126693801542171</v>
      </c>
      <c r="BW17" s="219">
        <v>0.1010409570496765</v>
      </c>
      <c r="BX17" s="219">
        <v>0.10086818676920881</v>
      </c>
      <c r="BY17" s="219">
        <v>0.1006965253128117</v>
      </c>
      <c r="BZ17" s="219">
        <v>0.1005257652640355</v>
      </c>
      <c r="CA17" s="219">
        <v>0.1003558786336588</v>
      </c>
      <c r="CB17" s="219">
        <v>0.10018684937943741</v>
      </c>
      <c r="CC17" s="33">
        <v>1.1487692132385161</v>
      </c>
      <c r="CD17" s="219">
        <v>1.145168726705339</v>
      </c>
      <c r="CE17" s="219">
        <v>1.1417010131617691</v>
      </c>
      <c r="CF17" s="219">
        <v>1.1332557463034629</v>
      </c>
      <c r="CG17" s="219">
        <v>1.130168787060482</v>
      </c>
      <c r="CH17" s="219">
        <v>1.127191734937393</v>
      </c>
      <c r="CI17" s="219">
        <v>1.125006760568275</v>
      </c>
      <c r="CJ17" s="219">
        <v>1.1232917296269329</v>
      </c>
      <c r="CK17" s="219">
        <v>1.1186464593612671</v>
      </c>
      <c r="CL17" s="219">
        <v>1.1177574540522359</v>
      </c>
      <c r="CM17" s="219">
        <v>1.117196892337786</v>
      </c>
      <c r="CN17" s="219">
        <v>1.1194362988312121</v>
      </c>
      <c r="CO17" s="219">
        <v>1.122039467392534</v>
      </c>
      <c r="CP17" s="219">
        <v>1.1241403616155741</v>
      </c>
      <c r="CQ17" s="219">
        <v>1.12737841874385</v>
      </c>
      <c r="CR17" s="219">
        <v>1.131119825770283</v>
      </c>
      <c r="CS17" s="219">
        <v>1.128178481663866</v>
      </c>
      <c r="CT17" s="219">
        <v>1.1252686833561021</v>
      </c>
      <c r="CU17" s="219">
        <v>1.121563111677033</v>
      </c>
      <c r="CV17" s="219">
        <v>1.1186955042346181</v>
      </c>
      <c r="CW17" s="219">
        <v>1.1158404941614961</v>
      </c>
      <c r="CX17" s="219">
        <v>1.119796170484362</v>
      </c>
      <c r="CY17" s="219">
        <v>1.113026886340857</v>
      </c>
      <c r="CZ17" s="219">
        <v>1.1062490158222209</v>
      </c>
      <c r="DA17" s="219">
        <v>1.0994618543904791</v>
      </c>
      <c r="DB17" s="219">
        <v>1.092664957749913</v>
      </c>
    </row>
    <row r="18" spans="1:106" s="219" customFormat="1" x14ac:dyDescent="0.35">
      <c r="A18" s="137" t="s">
        <v>754</v>
      </c>
      <c r="B18" s="130" t="s">
        <v>547</v>
      </c>
      <c r="C18" s="219">
        <v>7.8434984469187729E-7</v>
      </c>
      <c r="D18" s="219">
        <v>7.8377035182587029E-7</v>
      </c>
      <c r="E18" s="219">
        <v>7.8320108187513546E-7</v>
      </c>
      <c r="F18" s="219">
        <v>7.8234079706564207E-7</v>
      </c>
      <c r="G18" s="219">
        <v>7.8180204887246521E-7</v>
      </c>
      <c r="H18" s="219">
        <v>7.8127703320119452E-7</v>
      </c>
      <c r="I18" s="219">
        <v>7.8077679102522971E-7</v>
      </c>
      <c r="J18" s="219">
        <v>7.8032094306553284E-7</v>
      </c>
      <c r="K18" s="219">
        <v>7.7981037262084812E-7</v>
      </c>
      <c r="L18" s="219">
        <v>7.7942552689749786E-7</v>
      </c>
      <c r="M18" s="219">
        <v>7.7907308904790245E-7</v>
      </c>
      <c r="N18" s="219">
        <v>7.788077537057916E-7</v>
      </c>
      <c r="O18" s="219">
        <v>7.7857389895361269E-7</v>
      </c>
      <c r="P18" s="219">
        <v>7.7833756715788856E-7</v>
      </c>
      <c r="Q18" s="219">
        <v>7.7815679195986968E-7</v>
      </c>
      <c r="R18" s="219">
        <v>7.7801912009569875E-7</v>
      </c>
      <c r="S18" s="219">
        <v>7.7749584752547419E-7</v>
      </c>
      <c r="T18" s="219">
        <v>7.7697175999610882E-7</v>
      </c>
      <c r="U18" s="219">
        <v>7.7641853301778249E-7</v>
      </c>
      <c r="V18" s="219">
        <v>7.7589157943654353E-7</v>
      </c>
      <c r="W18" s="219">
        <v>7.7536276161999925E-7</v>
      </c>
      <c r="X18" s="219">
        <v>7.799232060262172E-7</v>
      </c>
      <c r="Y18" s="219">
        <v>7.7916969915608464E-7</v>
      </c>
      <c r="Z18" s="219">
        <v>7.7841165718371136E-7</v>
      </c>
      <c r="AA18" s="219">
        <v>7.77649055240307E-7</v>
      </c>
      <c r="AB18" s="219">
        <v>7.7688187419885668E-7</v>
      </c>
      <c r="AC18" s="33">
        <v>6.1168272999584886E-9</v>
      </c>
      <c r="AD18" s="219">
        <v>6.114850577029699E-9</v>
      </c>
      <c r="AE18" s="219">
        <v>6.1128900574049337E-9</v>
      </c>
      <c r="AF18" s="219">
        <v>6.1091884102328263E-9</v>
      </c>
      <c r="AG18" s="219">
        <v>6.1072708085581959E-9</v>
      </c>
      <c r="AH18" s="219">
        <v>6.1053690405819036E-9</v>
      </c>
      <c r="AI18" s="219">
        <v>6.105291719013477E-9</v>
      </c>
      <c r="AJ18" s="219">
        <v>6.1052932863501541E-9</v>
      </c>
      <c r="AK18" s="219">
        <v>6.1043420964197806E-9</v>
      </c>
      <c r="AL18" s="219">
        <v>6.1044674564894624E-9</v>
      </c>
      <c r="AM18" s="219">
        <v>6.1046455127580188E-9</v>
      </c>
      <c r="AN18" s="219">
        <v>6.1063250048370127E-9</v>
      </c>
      <c r="AO18" s="219">
        <v>6.1080159645314533E-9</v>
      </c>
      <c r="AP18" s="219">
        <v>6.1094506119796482E-9</v>
      </c>
      <c r="AQ18" s="219">
        <v>6.1112209629560896E-9</v>
      </c>
      <c r="AR18" s="219">
        <v>6.1130837930659973E-9</v>
      </c>
      <c r="AS18" s="219">
        <v>6.1108213311498089E-9</v>
      </c>
      <c r="AT18" s="219">
        <v>6.1084861604302862E-9</v>
      </c>
      <c r="AU18" s="219">
        <v>6.1057331299759206E-9</v>
      </c>
      <c r="AV18" s="219">
        <v>6.1033001237429413E-9</v>
      </c>
      <c r="AW18" s="219">
        <v>6.1008273976682009E-9</v>
      </c>
      <c r="AX18" s="219">
        <v>6.1180357802305542E-9</v>
      </c>
      <c r="AY18" s="219">
        <v>6.1132048368448403E-9</v>
      </c>
      <c r="AZ18" s="219">
        <v>6.1083276097644554E-9</v>
      </c>
      <c r="BA18" s="219">
        <v>6.1034044100217166E-9</v>
      </c>
      <c r="BB18" s="219">
        <v>6.0984351662694383E-9</v>
      </c>
      <c r="BC18" s="33">
        <v>3.7834163545517288E-2</v>
      </c>
      <c r="BD18" s="219">
        <v>3.7775568912894568E-2</v>
      </c>
      <c r="BE18" s="219">
        <v>3.7718489182232202E-2</v>
      </c>
      <c r="BF18" s="219">
        <v>3.7524252994242238E-2</v>
      </c>
      <c r="BG18" s="219">
        <v>3.7470550947679107E-2</v>
      </c>
      <c r="BH18" s="219">
        <v>3.7418004284556577E-2</v>
      </c>
      <c r="BI18" s="219">
        <v>3.7360720401830617E-2</v>
      </c>
      <c r="BJ18" s="219">
        <v>3.7305483766752759E-2</v>
      </c>
      <c r="BK18" s="219">
        <v>3.7155601208286038E-2</v>
      </c>
      <c r="BL18" s="219">
        <v>3.7104613132686773E-2</v>
      </c>
      <c r="BM18" s="219">
        <v>3.7055172974614428E-2</v>
      </c>
      <c r="BN18" s="219">
        <v>3.7032565553122197E-2</v>
      </c>
      <c r="BO18" s="219">
        <v>3.7011466117421142E-2</v>
      </c>
      <c r="BP18" s="219">
        <v>3.696248778836498E-2</v>
      </c>
      <c r="BQ18" s="219">
        <v>3.6944186221805377E-2</v>
      </c>
      <c r="BR18" s="219">
        <v>3.6927909039960967E-2</v>
      </c>
      <c r="BS18" s="219">
        <v>3.6900376336277747E-2</v>
      </c>
      <c r="BT18" s="219">
        <v>3.687307625390334E-2</v>
      </c>
      <c r="BU18" s="219">
        <v>3.6817730239442008E-2</v>
      </c>
      <c r="BV18" s="219">
        <v>3.6791102247499929E-2</v>
      </c>
      <c r="BW18" s="219">
        <v>3.6764637631171979E-2</v>
      </c>
      <c r="BX18" s="219">
        <v>3.674840000921601E-2</v>
      </c>
      <c r="BY18" s="219">
        <v>3.6732516303647773E-2</v>
      </c>
      <c r="BZ18" s="219">
        <v>3.6716931178459727E-2</v>
      </c>
      <c r="CA18" s="219">
        <v>3.6701641151607942E-2</v>
      </c>
      <c r="CB18" s="219">
        <v>3.6686645569651989E-2</v>
      </c>
      <c r="CC18" s="33">
        <v>7.7255237539682078</v>
      </c>
      <c r="CD18" s="219">
        <v>7.724255633986413</v>
      </c>
      <c r="CE18" s="219">
        <v>7.7230242390760759</v>
      </c>
      <c r="CF18" s="219">
        <v>7.7206446564445841</v>
      </c>
      <c r="CG18" s="219">
        <v>7.7194894206418807</v>
      </c>
      <c r="CH18" s="219">
        <v>7.7183566400465438</v>
      </c>
      <c r="CI18" s="219">
        <v>7.7175970859296008</v>
      </c>
      <c r="CJ18" s="219">
        <v>7.7169288324786907</v>
      </c>
      <c r="CK18" s="219">
        <v>7.7156205520860563</v>
      </c>
      <c r="CL18" s="219">
        <v>7.7151158516258498</v>
      </c>
      <c r="CM18" s="219">
        <v>7.7146754375455728</v>
      </c>
      <c r="CN18" s="219">
        <v>7.7147462919173879</v>
      </c>
      <c r="CO18" s="219">
        <v>7.7148854652168586</v>
      </c>
      <c r="CP18" s="219">
        <v>7.7149196941086089</v>
      </c>
      <c r="CQ18" s="219">
        <v>7.7151762750727029</v>
      </c>
      <c r="CR18" s="219">
        <v>7.7155266454828064</v>
      </c>
      <c r="CS18" s="219">
        <v>7.7135248033892223</v>
      </c>
      <c r="CT18" s="219">
        <v>7.7115230227404554</v>
      </c>
      <c r="CU18" s="219">
        <v>7.7093524159700264</v>
      </c>
      <c r="CV18" s="219">
        <v>7.7073408714587206</v>
      </c>
      <c r="CW18" s="219">
        <v>7.7053214575938087</v>
      </c>
      <c r="CX18" s="219">
        <v>7.7035064201235981</v>
      </c>
      <c r="CY18" s="219">
        <v>7.7005551743941911</v>
      </c>
      <c r="CZ18" s="219">
        <v>7.697594354103841</v>
      </c>
      <c r="DA18" s="219">
        <v>7.694623547077776</v>
      </c>
      <c r="DB18" s="219">
        <v>7.6916424465300368</v>
      </c>
    </row>
    <row r="19" spans="1:106" x14ac:dyDescent="0.35">
      <c r="A19" s="137" t="s">
        <v>548</v>
      </c>
      <c r="B19" s="130" t="s">
        <v>545</v>
      </c>
      <c r="C19" s="219">
        <v>2.574683214244067E-6</v>
      </c>
      <c r="D19" s="219">
        <v>2.5737028351299059E-6</v>
      </c>
      <c r="E19" s="219">
        <v>2.5726925213758919E-6</v>
      </c>
      <c r="F19" s="219">
        <v>2.553737103330975E-6</v>
      </c>
      <c r="G19" s="219">
        <v>2.5526349013334169E-6</v>
      </c>
      <c r="H19" s="219">
        <v>2.551551178999548E-6</v>
      </c>
      <c r="I19" s="219">
        <v>2.550942538221801E-6</v>
      </c>
      <c r="J19" s="219">
        <v>2.5503845956993488E-6</v>
      </c>
      <c r="K19" s="219">
        <v>2.5432601469849709E-6</v>
      </c>
      <c r="L19" s="219">
        <v>2.542828283638525E-6</v>
      </c>
      <c r="M19" s="219">
        <v>2.5424347133695639E-6</v>
      </c>
      <c r="N19" s="219">
        <v>2.5423714560977682E-6</v>
      </c>
      <c r="O19" s="219">
        <v>2.5423457809627299E-6</v>
      </c>
      <c r="P19" s="219">
        <v>2.5398404424667539E-6</v>
      </c>
      <c r="Q19" s="219">
        <v>2.5399215924285021E-6</v>
      </c>
      <c r="R19" s="219">
        <v>2.540046889132761E-6</v>
      </c>
      <c r="S19" s="219">
        <v>2.5385603105243642E-6</v>
      </c>
      <c r="T19" s="219">
        <v>2.5370702400634291E-6</v>
      </c>
      <c r="U19" s="219">
        <v>2.5334345246645838E-6</v>
      </c>
      <c r="V19" s="219">
        <v>2.5319536081276779E-6</v>
      </c>
      <c r="W19" s="219">
        <v>2.5304713210499159E-6</v>
      </c>
      <c r="X19" s="219">
        <v>2.54537004980703E-6</v>
      </c>
      <c r="Y19" s="219">
        <v>2.5432194568853789E-6</v>
      </c>
      <c r="Z19" s="219">
        <v>2.5410592787120311E-6</v>
      </c>
      <c r="AA19" s="219">
        <v>2.538889440119622E-6</v>
      </c>
      <c r="AB19" s="219">
        <v>2.536709932983771E-6</v>
      </c>
      <c r="AC19" s="33">
        <v>1.8568994279558851E-8</v>
      </c>
      <c r="AD19" s="219">
        <v>1.857605403345141E-8</v>
      </c>
      <c r="AE19" s="219">
        <v>1.8582925610728659E-8</v>
      </c>
      <c r="AF19" s="219">
        <v>1.848107661544553E-8</v>
      </c>
      <c r="AG19" s="219">
        <v>1.8486874103003301E-8</v>
      </c>
      <c r="AH19" s="219">
        <v>1.8492505334911199E-8</v>
      </c>
      <c r="AI19" s="219">
        <v>1.851441901533943E-8</v>
      </c>
      <c r="AJ19" s="219">
        <v>1.8535872355365821E-8</v>
      </c>
      <c r="AK19" s="219">
        <v>1.8483103619960769E-8</v>
      </c>
      <c r="AL19" s="219">
        <v>1.8502935775172789E-8</v>
      </c>
      <c r="AM19" s="219">
        <v>1.852230258871042E-8</v>
      </c>
      <c r="AN19" s="219">
        <v>1.855804342204313E-8</v>
      </c>
      <c r="AO19" s="219">
        <v>1.8593231889142E-8</v>
      </c>
      <c r="AP19" s="219">
        <v>1.8602083914246249E-8</v>
      </c>
      <c r="AQ19" s="219">
        <v>1.8636396352052369E-8</v>
      </c>
      <c r="AR19" s="219">
        <v>1.867029018811548E-8</v>
      </c>
      <c r="AS19" s="219">
        <v>1.8685407323800111E-8</v>
      </c>
      <c r="AT19" s="219">
        <v>1.8699688743535929E-8</v>
      </c>
      <c r="AU19" s="219">
        <v>1.8682834830946051E-8</v>
      </c>
      <c r="AV19" s="219">
        <v>1.8695070399971779E-8</v>
      </c>
      <c r="AW19" s="219">
        <v>1.870657185390468E-8</v>
      </c>
      <c r="AX19" s="219">
        <v>1.8777356342351571E-8</v>
      </c>
      <c r="AY19" s="219">
        <v>1.8769761052942711E-8</v>
      </c>
      <c r="AZ19" s="219">
        <v>1.8761847085947901E-8</v>
      </c>
      <c r="BA19" s="219">
        <v>1.8753616045833519E-8</v>
      </c>
      <c r="BB19" s="219">
        <v>1.874506915546574E-8</v>
      </c>
      <c r="BC19" s="33">
        <v>0.3643212499331302</v>
      </c>
      <c r="BD19" s="219">
        <v>0.36402772863224853</v>
      </c>
      <c r="BE19" s="219">
        <v>0.36373672646302629</v>
      </c>
      <c r="BF19" s="219">
        <v>0.35432277444698618</v>
      </c>
      <c r="BG19" s="219">
        <v>0.35405872547141681</v>
      </c>
      <c r="BH19" s="219">
        <v>0.35379679453199181</v>
      </c>
      <c r="BI19" s="219">
        <v>0.35330489889142741</v>
      </c>
      <c r="BJ19" s="219">
        <v>0.35282170115495021</v>
      </c>
      <c r="BK19" s="219">
        <v>0.34552036453212209</v>
      </c>
      <c r="BL19" s="219">
        <v>0.34509674508869992</v>
      </c>
      <c r="BM19" s="219">
        <v>0.34468136529912757</v>
      </c>
      <c r="BN19" s="219">
        <v>0.34407465600139531</v>
      </c>
      <c r="BO19" s="219">
        <v>0.34347747457797217</v>
      </c>
      <c r="BP19" s="219">
        <v>0.34072865159738508</v>
      </c>
      <c r="BQ19" s="219">
        <v>0.34016903217632533</v>
      </c>
      <c r="BR19" s="219">
        <v>0.3396193867281519</v>
      </c>
      <c r="BS19" s="219">
        <v>0.3391027170883642</v>
      </c>
      <c r="BT19" s="219">
        <v>0.33859610747370189</v>
      </c>
      <c r="BU19" s="219">
        <v>0.33602437221030218</v>
      </c>
      <c r="BV19" s="219">
        <v>0.33555724185087282</v>
      </c>
      <c r="BW19" s="219">
        <v>0.33510016001188753</v>
      </c>
      <c r="BX19" s="219">
        <v>0.33482445017405321</v>
      </c>
      <c r="BY19" s="219">
        <v>0.3345524377302751</v>
      </c>
      <c r="BZ19" s="219">
        <v>0.33428390363696681</v>
      </c>
      <c r="CA19" s="219">
        <v>0.33401882632561952</v>
      </c>
      <c r="CB19" s="219">
        <v>0.33375721398646307</v>
      </c>
      <c r="CC19" s="33">
        <v>18.876969023220891</v>
      </c>
      <c r="CD19" s="219">
        <v>18.872950621715589</v>
      </c>
      <c r="CE19" s="219">
        <v>18.868991076617021</v>
      </c>
      <c r="CF19" s="219">
        <v>18.790060594956781</v>
      </c>
      <c r="CG19" s="219">
        <v>18.786356841979291</v>
      </c>
      <c r="CH19" s="219">
        <v>18.782692712425671</v>
      </c>
      <c r="CI19" s="219">
        <v>18.781490341749429</v>
      </c>
      <c r="CJ19" s="219">
        <v>18.780453798438948</v>
      </c>
      <c r="CK19" s="219">
        <v>18.7278693113694</v>
      </c>
      <c r="CL19" s="219">
        <v>18.72769591026854</v>
      </c>
      <c r="CM19" s="219">
        <v>18.727644223338942</v>
      </c>
      <c r="CN19" s="219">
        <v>18.729401389263661</v>
      </c>
      <c r="CO19" s="219">
        <v>18.731325300084588</v>
      </c>
      <c r="CP19" s="219">
        <v>18.71969426063065</v>
      </c>
      <c r="CQ19" s="219">
        <v>18.72236749968479</v>
      </c>
      <c r="CR19" s="219">
        <v>18.7252169155276</v>
      </c>
      <c r="CS19" s="219">
        <v>18.717960816362549</v>
      </c>
      <c r="CT19" s="219">
        <v>18.710788234734171</v>
      </c>
      <c r="CU19" s="219">
        <v>18.690298859708111</v>
      </c>
      <c r="CV19" s="219">
        <v>18.68341339296753</v>
      </c>
      <c r="CW19" s="219">
        <v>18.67659578451001</v>
      </c>
      <c r="CX19" s="219">
        <v>18.671895814074261</v>
      </c>
      <c r="CY19" s="219">
        <v>18.661172644017181</v>
      </c>
      <c r="CZ19" s="219">
        <v>18.650442683210532</v>
      </c>
      <c r="DA19" s="219">
        <v>18.639704862851399</v>
      </c>
      <c r="DB19" s="219">
        <v>18.628958760003119</v>
      </c>
    </row>
    <row r="20" spans="1:106" x14ac:dyDescent="0.35">
      <c r="A20" s="137" t="s">
        <v>549</v>
      </c>
      <c r="B20" s="130" t="s">
        <v>545</v>
      </c>
      <c r="C20" s="219">
        <v>1.6713496923936271E-6</v>
      </c>
      <c r="D20" s="219">
        <v>1.6703839744041139E-6</v>
      </c>
      <c r="E20" s="219">
        <v>1.669383953198571E-6</v>
      </c>
      <c r="F20" s="219">
        <v>1.648851834721027E-6</v>
      </c>
      <c r="G20" s="219">
        <v>1.647749454049775E-6</v>
      </c>
      <c r="H20" s="219">
        <v>1.646665443432413E-6</v>
      </c>
      <c r="I20" s="219">
        <v>1.6460616923481011E-6</v>
      </c>
      <c r="J20" s="219">
        <v>1.6455092016035421E-6</v>
      </c>
      <c r="K20" s="219">
        <v>1.6378178197775529E-6</v>
      </c>
      <c r="L20" s="219">
        <v>1.637398203139275E-6</v>
      </c>
      <c r="M20" s="219">
        <v>1.63701726470751E-6</v>
      </c>
      <c r="N20" s="219">
        <v>1.6369818361367801E-6</v>
      </c>
      <c r="O20" s="219">
        <v>1.6369850036644771E-6</v>
      </c>
      <c r="P20" s="219">
        <v>1.6342948154835431E-6</v>
      </c>
      <c r="Q20" s="219">
        <v>1.6344104385035739E-6</v>
      </c>
      <c r="R20" s="219">
        <v>1.634570677983185E-6</v>
      </c>
      <c r="S20" s="219">
        <v>1.6330528894982231E-6</v>
      </c>
      <c r="T20" s="219">
        <v>1.6315322976977571E-6</v>
      </c>
      <c r="U20" s="219">
        <v>1.627682494577065E-6</v>
      </c>
      <c r="V20" s="219">
        <v>1.6261741247350611E-6</v>
      </c>
      <c r="W20" s="219">
        <v>1.624665616941366E-6</v>
      </c>
      <c r="X20" s="219">
        <v>1.640084903746935E-6</v>
      </c>
      <c r="Y20" s="219">
        <v>1.637893638071756E-6</v>
      </c>
      <c r="Z20" s="219">
        <v>1.6356928615871019E-6</v>
      </c>
      <c r="AA20" s="219">
        <v>1.6334825227852129E-6</v>
      </c>
      <c r="AB20" s="219">
        <v>1.6312626139472001E-6</v>
      </c>
      <c r="AC20" s="33">
        <v>1.251065325191738E-8</v>
      </c>
      <c r="AD20" s="219">
        <v>1.2519156383728359E-8</v>
      </c>
      <c r="AE20" s="219">
        <v>1.252743833105841E-8</v>
      </c>
      <c r="AF20" s="219">
        <v>1.2417416523039749E-8</v>
      </c>
      <c r="AG20" s="219">
        <v>1.2424497777979159E-8</v>
      </c>
      <c r="AH20" s="219">
        <v>1.2431382415584811E-8</v>
      </c>
      <c r="AI20" s="219">
        <v>1.245593327607277E-8</v>
      </c>
      <c r="AJ20" s="219">
        <v>1.247993236441066E-8</v>
      </c>
      <c r="AK20" s="219">
        <v>1.242323508798295E-8</v>
      </c>
      <c r="AL20" s="219">
        <v>1.244537151729965E-8</v>
      </c>
      <c r="AM20" s="219">
        <v>1.246695396918879E-8</v>
      </c>
      <c r="AN20" s="219">
        <v>1.250676263810067E-8</v>
      </c>
      <c r="AO20" s="219">
        <v>1.254592076003885E-8</v>
      </c>
      <c r="AP20" s="219">
        <v>1.25564467329864E-8</v>
      </c>
      <c r="AQ20" s="219">
        <v>1.2594549309881529E-8</v>
      </c>
      <c r="AR20" s="219">
        <v>1.263214217829141E-8</v>
      </c>
      <c r="AS20" s="219">
        <v>1.2649884174595011E-8</v>
      </c>
      <c r="AT20" s="219">
        <v>1.266667337254088E-8</v>
      </c>
      <c r="AU20" s="219">
        <v>1.2649611684111069E-8</v>
      </c>
      <c r="AV20" s="219">
        <v>1.266407737917752E-8</v>
      </c>
      <c r="AW20" s="219">
        <v>1.267769556960129E-8</v>
      </c>
      <c r="AX20" s="219">
        <v>1.275658783798513E-8</v>
      </c>
      <c r="AY20" s="219">
        <v>1.2749558529973559E-8</v>
      </c>
      <c r="AZ20" s="219">
        <v>1.2742172706402149E-8</v>
      </c>
      <c r="BA20" s="219">
        <v>1.273443268903795E-8</v>
      </c>
      <c r="BB20" s="219">
        <v>1.272634016069969E-8</v>
      </c>
      <c r="BC20" s="33">
        <v>0.40492980688601021</v>
      </c>
      <c r="BD20" s="219">
        <v>0.4046054594500284</v>
      </c>
      <c r="BE20" s="219">
        <v>0.40428388014876299</v>
      </c>
      <c r="BF20" s="219">
        <v>0.39404220936254652</v>
      </c>
      <c r="BG20" s="219">
        <v>0.39375009082492918</v>
      </c>
      <c r="BH20" s="219">
        <v>0.39346038827841828</v>
      </c>
      <c r="BI20" s="219">
        <v>0.39291424588170237</v>
      </c>
      <c r="BJ20" s="219">
        <v>0.39237813088241408</v>
      </c>
      <c r="BK20" s="219">
        <v>0.3844332935394042</v>
      </c>
      <c r="BL20" s="219">
        <v>0.38396305695347049</v>
      </c>
      <c r="BM20" s="219">
        <v>0.38350240418974302</v>
      </c>
      <c r="BN20" s="219">
        <v>0.3828231519022029</v>
      </c>
      <c r="BO20" s="219">
        <v>0.38215507419378358</v>
      </c>
      <c r="BP20" s="219">
        <v>0.37915051063780009</v>
      </c>
      <c r="BQ20" s="219">
        <v>0.37852493086561367</v>
      </c>
      <c r="BR20" s="219">
        <v>0.3779109708979127</v>
      </c>
      <c r="BS20" s="219">
        <v>0.37733708030146712</v>
      </c>
      <c r="BT20" s="219">
        <v>0.37677518758651102</v>
      </c>
      <c r="BU20" s="219">
        <v>0.3739708535670348</v>
      </c>
      <c r="BV20" s="219">
        <v>0.37345401635794279</v>
      </c>
      <c r="BW20" s="219">
        <v>0.37294916561470309</v>
      </c>
      <c r="BX20" s="219">
        <v>0.37264212329188351</v>
      </c>
      <c r="BY20" s="219">
        <v>0.37233931084432648</v>
      </c>
      <c r="BZ20" s="219">
        <v>0.37204049725723021</v>
      </c>
      <c r="CA20" s="219">
        <v>0.37174567535029729</v>
      </c>
      <c r="CB20" s="219">
        <v>0.37145485358551272</v>
      </c>
      <c r="CC20" s="33">
        <v>7.5936031454029322</v>
      </c>
      <c r="CD20" s="219">
        <v>7.5894030992739268</v>
      </c>
      <c r="CE20" s="219">
        <v>7.5852636553516488</v>
      </c>
      <c r="CF20" s="219">
        <v>7.4995797315379873</v>
      </c>
      <c r="CG20" s="219">
        <v>7.4957143159322328</v>
      </c>
      <c r="CH20" s="219">
        <v>7.4918913168544847</v>
      </c>
      <c r="CI20" s="219">
        <v>7.490637526616899</v>
      </c>
      <c r="CJ20" s="219">
        <v>7.4895624958803033</v>
      </c>
      <c r="CK20" s="219">
        <v>7.4324729596851959</v>
      </c>
      <c r="CL20" s="219">
        <v>7.4323338208278802</v>
      </c>
      <c r="CM20" s="219">
        <v>7.4323277132538674</v>
      </c>
      <c r="CN20" s="219">
        <v>7.4342463365359501</v>
      </c>
      <c r="CO20" s="219">
        <v>7.43634841930424</v>
      </c>
      <c r="CP20" s="219">
        <v>7.4237407928227928</v>
      </c>
      <c r="CQ20" s="219">
        <v>7.4266641025470639</v>
      </c>
      <c r="CR20" s="219">
        <v>7.4297784832937994</v>
      </c>
      <c r="CS20" s="219">
        <v>7.4222584086899239</v>
      </c>
      <c r="CT20" s="219">
        <v>7.4148368631219528</v>
      </c>
      <c r="CU20" s="219">
        <v>7.3929669006489966</v>
      </c>
      <c r="CV20" s="219">
        <v>7.3858748431297832</v>
      </c>
      <c r="CW20" s="219">
        <v>7.3788654526599906</v>
      </c>
      <c r="CX20" s="219">
        <v>7.3741604246352734</v>
      </c>
      <c r="CY20" s="219">
        <v>7.3630055085722157</v>
      </c>
      <c r="CZ20" s="219">
        <v>7.3518458090169414</v>
      </c>
      <c r="DA20" s="219">
        <v>7.340680538911645</v>
      </c>
      <c r="DB20" s="219">
        <v>7.3295093013162793</v>
      </c>
    </row>
    <row r="21" spans="1:106" x14ac:dyDescent="0.35">
      <c r="A21" s="137" t="s">
        <v>550</v>
      </c>
      <c r="B21" s="130" t="s">
        <v>545</v>
      </c>
      <c r="C21" s="219">
        <v>6.7940513349590121E-6</v>
      </c>
      <c r="D21" s="219">
        <v>6.7853796476422431E-6</v>
      </c>
      <c r="E21" s="219">
        <v>6.776449293542118E-6</v>
      </c>
      <c r="F21" s="219">
        <v>6.6793032412531942E-6</v>
      </c>
      <c r="G21" s="219">
        <v>6.6689383841336594E-6</v>
      </c>
      <c r="H21" s="219">
        <v>6.6587882791100008E-6</v>
      </c>
      <c r="I21" s="219">
        <v>6.6563495343211657E-6</v>
      </c>
      <c r="J21" s="219">
        <v>6.6543539536431931E-6</v>
      </c>
      <c r="K21" s="219">
        <v>6.6209434943620507E-6</v>
      </c>
      <c r="L21" s="219">
        <v>6.6198290270174744E-6</v>
      </c>
      <c r="M21" s="219">
        <v>6.6191003771047041E-6</v>
      </c>
      <c r="N21" s="219">
        <v>6.6206456465872534E-6</v>
      </c>
      <c r="O21" s="219">
        <v>6.6224904306913237E-6</v>
      </c>
      <c r="P21" s="219">
        <v>6.6126022148182929E-6</v>
      </c>
      <c r="Q21" s="219">
        <v>6.6151992746672107E-6</v>
      </c>
      <c r="R21" s="219">
        <v>6.6181239003549721E-6</v>
      </c>
      <c r="S21" s="219">
        <v>6.6024694497763704E-6</v>
      </c>
      <c r="T21" s="219">
        <v>6.5867937381358761E-6</v>
      </c>
      <c r="U21" s="219">
        <v>6.560821179296103E-6</v>
      </c>
      <c r="V21" s="219">
        <v>6.5451767533833496E-6</v>
      </c>
      <c r="W21" s="219">
        <v>6.5295183044863589E-6</v>
      </c>
      <c r="X21" s="219">
        <v>6.6799260534078122E-6</v>
      </c>
      <c r="Y21" s="219">
        <v>6.6565821012324751E-6</v>
      </c>
      <c r="Z21" s="219">
        <v>6.6331246896287256E-6</v>
      </c>
      <c r="AA21" s="219">
        <v>6.6095528098662483E-6</v>
      </c>
      <c r="AB21" s="219">
        <v>6.5858659674479854E-6</v>
      </c>
      <c r="AC21" s="33">
        <v>6.6818706126341969E-8</v>
      </c>
      <c r="AD21" s="219">
        <v>6.6848830465985446E-8</v>
      </c>
      <c r="AE21" s="219">
        <v>6.6877188139698541E-8</v>
      </c>
      <c r="AF21" s="219">
        <v>6.6377874444012812E-8</v>
      </c>
      <c r="AG21" s="219">
        <v>6.6399513884234071E-8</v>
      </c>
      <c r="AH21" s="219">
        <v>6.6419667057072966E-8</v>
      </c>
      <c r="AI21" s="219">
        <v>6.6544346261213964E-8</v>
      </c>
      <c r="AJ21" s="219">
        <v>6.666601605790901E-8</v>
      </c>
      <c r="AK21" s="219">
        <v>6.6430728156196542E-8</v>
      </c>
      <c r="AL21" s="219">
        <v>6.6543189825837417E-8</v>
      </c>
      <c r="AM21" s="219">
        <v>6.6652721635543089E-8</v>
      </c>
      <c r="AN21" s="219">
        <v>6.6858248130251726E-8</v>
      </c>
      <c r="AO21" s="219">
        <v>6.7059879638249653E-8</v>
      </c>
      <c r="AP21" s="219">
        <v>6.7135355942622749E-8</v>
      </c>
      <c r="AQ21" s="219">
        <v>6.733135923721936E-8</v>
      </c>
      <c r="AR21" s="219">
        <v>6.75246145175959E-8</v>
      </c>
      <c r="AS21" s="219">
        <v>6.753446005027023E-8</v>
      </c>
      <c r="AT21" s="219">
        <v>6.7537639081461349E-8</v>
      </c>
      <c r="AU21" s="219">
        <v>6.7390008323941477E-8</v>
      </c>
      <c r="AV21" s="219">
        <v>6.737930543616096E-8</v>
      </c>
      <c r="AW21" s="219">
        <v>6.7363210256054963E-8</v>
      </c>
      <c r="AX21" s="219">
        <v>6.7547127579398038E-8</v>
      </c>
      <c r="AY21" s="219">
        <v>6.7403420755396489E-8</v>
      </c>
      <c r="AZ21" s="219">
        <v>6.7255875037003653E-8</v>
      </c>
      <c r="BA21" s="219">
        <v>6.7104539945526216E-8</v>
      </c>
      <c r="BB21" s="219">
        <v>6.6949439067277422E-8</v>
      </c>
      <c r="BC21" s="33">
        <v>1.8688041088919101</v>
      </c>
      <c r="BD21" s="219">
        <v>1.8669911843067339</v>
      </c>
      <c r="BE21" s="219">
        <v>1.8651537630027151</v>
      </c>
      <c r="BF21" s="219">
        <v>1.8192478085056181</v>
      </c>
      <c r="BG21" s="219">
        <v>1.817464551894586</v>
      </c>
      <c r="BH21" s="219">
        <v>1.815652938006473</v>
      </c>
      <c r="BI21" s="219">
        <v>1.812626561381165</v>
      </c>
      <c r="BJ21" s="219">
        <v>1.8096206859823709</v>
      </c>
      <c r="BK21" s="219">
        <v>1.773835786416732</v>
      </c>
      <c r="BL21" s="219">
        <v>1.771075691542229</v>
      </c>
      <c r="BM21" s="219">
        <v>1.768334633193583</v>
      </c>
      <c r="BN21" s="219">
        <v>1.765320879850347</v>
      </c>
      <c r="BO21" s="219">
        <v>1.7623472497539809</v>
      </c>
      <c r="BP21" s="219">
        <v>1.749042390820996</v>
      </c>
      <c r="BQ21" s="219">
        <v>1.746237846728584</v>
      </c>
      <c r="BR21" s="219">
        <v>1.7434754808219759</v>
      </c>
      <c r="BS21" s="219">
        <v>1.740754804111726</v>
      </c>
      <c r="BT21" s="219">
        <v>1.7380679016385689</v>
      </c>
      <c r="BU21" s="219">
        <v>1.725451760157156</v>
      </c>
      <c r="BV21" s="219">
        <v>1.722926612968781</v>
      </c>
      <c r="BW21" s="219">
        <v>1.720435521365564</v>
      </c>
      <c r="BX21" s="219">
        <v>1.7191964341168511</v>
      </c>
      <c r="BY21" s="219">
        <v>1.7179892810868229</v>
      </c>
      <c r="BZ21" s="219">
        <v>1.716812291743822</v>
      </c>
      <c r="CA21" s="219">
        <v>1.7156655158669361</v>
      </c>
      <c r="CB21" s="219">
        <v>1.714549260559368</v>
      </c>
      <c r="CC21" s="33">
        <v>28.257491515312459</v>
      </c>
      <c r="CD21" s="219">
        <v>28.222487060440859</v>
      </c>
      <c r="CE21" s="219">
        <v>28.18761969652352</v>
      </c>
      <c r="CF21" s="219">
        <v>27.790106687803451</v>
      </c>
      <c r="CG21" s="219">
        <v>27.756132417901121</v>
      </c>
      <c r="CH21" s="219">
        <v>27.722171365711461</v>
      </c>
      <c r="CI21" s="219">
        <v>27.71214733260646</v>
      </c>
      <c r="CJ21" s="219">
        <v>27.702783848095748</v>
      </c>
      <c r="CK21" s="219">
        <v>27.445844827972131</v>
      </c>
      <c r="CL21" s="219">
        <v>27.440411423973941</v>
      </c>
      <c r="CM21" s="219">
        <v>27.435411049429419</v>
      </c>
      <c r="CN21" s="219">
        <v>27.445684529109769</v>
      </c>
      <c r="CO21" s="219">
        <v>27.456676292425179</v>
      </c>
      <c r="CP21" s="219">
        <v>27.40290703357876</v>
      </c>
      <c r="CQ21" s="219">
        <v>27.41733018662736</v>
      </c>
      <c r="CR21" s="219">
        <v>27.432505478922131</v>
      </c>
      <c r="CS21" s="219">
        <v>27.35682609111867</v>
      </c>
      <c r="CT21" s="219">
        <v>27.281550822934861</v>
      </c>
      <c r="CU21" s="219">
        <v>27.14261394018763</v>
      </c>
      <c r="CV21" s="219">
        <v>27.06859111643616</v>
      </c>
      <c r="CW21" s="219">
        <v>26.994804959776289</v>
      </c>
      <c r="CX21" s="219">
        <v>26.92716369449542</v>
      </c>
      <c r="CY21" s="219">
        <v>26.82367435373861</v>
      </c>
      <c r="CZ21" s="219">
        <v>26.720387156498951</v>
      </c>
      <c r="DA21" s="219">
        <v>26.617285771445509</v>
      </c>
      <c r="DB21" s="219">
        <v>26.51436144252861</v>
      </c>
    </row>
    <row r="22" spans="1:106" x14ac:dyDescent="0.35">
      <c r="A22" s="137" t="s">
        <v>551</v>
      </c>
      <c r="B22" s="130" t="s">
        <v>545</v>
      </c>
      <c r="C22" s="219">
        <v>3.2367620000876148E-6</v>
      </c>
      <c r="D22" s="219">
        <v>3.234556912953662E-6</v>
      </c>
      <c r="E22" s="219">
        <v>3.232259072018404E-6</v>
      </c>
      <c r="F22" s="219">
        <v>3.1754389513065172E-6</v>
      </c>
      <c r="G22" s="219">
        <v>3.1728856279460001E-6</v>
      </c>
      <c r="H22" s="219">
        <v>3.1703743514220879E-6</v>
      </c>
      <c r="I22" s="219">
        <v>3.168738608204365E-6</v>
      </c>
      <c r="J22" s="219">
        <v>3.167230742751745E-6</v>
      </c>
      <c r="K22" s="219">
        <v>3.1457422991102672E-6</v>
      </c>
      <c r="L22" s="219">
        <v>3.1445849508309399E-6</v>
      </c>
      <c r="M22" s="219">
        <v>3.1435209447524348E-6</v>
      </c>
      <c r="N22" s="219">
        <v>3.1433523169207512E-6</v>
      </c>
      <c r="O22" s="219">
        <v>3.1432830589416921E-6</v>
      </c>
      <c r="P22" s="219">
        <v>3.135667137761832E-6</v>
      </c>
      <c r="Q22" s="219">
        <v>3.1358959933335608E-6</v>
      </c>
      <c r="R22" s="219">
        <v>3.1362403918358968E-6</v>
      </c>
      <c r="S22" s="219">
        <v>3.1328205975596101E-6</v>
      </c>
      <c r="T22" s="219">
        <v>3.1293969341488781E-6</v>
      </c>
      <c r="U22" s="219">
        <v>3.1194594609524308E-6</v>
      </c>
      <c r="V22" s="219">
        <v>3.1160754556222572E-6</v>
      </c>
      <c r="W22" s="219">
        <v>3.112693955585667E-6</v>
      </c>
      <c r="X22" s="219">
        <v>3.149231195302772E-6</v>
      </c>
      <c r="Y22" s="219">
        <v>3.1443503958952779E-6</v>
      </c>
      <c r="Z22" s="219">
        <v>3.1394498134731671E-6</v>
      </c>
      <c r="AA22" s="219">
        <v>3.134529379639164E-6</v>
      </c>
      <c r="AB22" s="219">
        <v>3.1295891264270929E-6</v>
      </c>
      <c r="AC22" s="33">
        <v>2.579700288197078E-8</v>
      </c>
      <c r="AD22" s="219">
        <v>2.5822921246145809E-8</v>
      </c>
      <c r="AE22" s="219">
        <v>2.5848268151365261E-8</v>
      </c>
      <c r="AF22" s="219">
        <v>2.554308251666725E-8</v>
      </c>
      <c r="AG22" s="219">
        <v>2.5565146519210141E-8</v>
      </c>
      <c r="AH22" s="219">
        <v>2.5586691644410249E-8</v>
      </c>
      <c r="AI22" s="219">
        <v>2.5654776121634132E-8</v>
      </c>
      <c r="AJ22" s="219">
        <v>2.5721335663676811E-8</v>
      </c>
      <c r="AK22" s="219">
        <v>2.5562141948902049E-8</v>
      </c>
      <c r="AL22" s="219">
        <v>2.562351748664708E-8</v>
      </c>
      <c r="AM22" s="219">
        <v>2.5683361721777909E-8</v>
      </c>
      <c r="AN22" s="219">
        <v>2.5793099796314312E-8</v>
      </c>
      <c r="AO22" s="219">
        <v>2.590108126972688E-8</v>
      </c>
      <c r="AP22" s="219">
        <v>2.5928895692483289E-8</v>
      </c>
      <c r="AQ22" s="219">
        <v>2.603394318053756E-8</v>
      </c>
      <c r="AR22" s="219">
        <v>2.6137569140142101E-8</v>
      </c>
      <c r="AS22" s="219">
        <v>2.6193004296752239E-8</v>
      </c>
      <c r="AT22" s="219">
        <v>2.6245941382315309E-8</v>
      </c>
      <c r="AU22" s="219">
        <v>2.6204234164077378E-8</v>
      </c>
      <c r="AV22" s="219">
        <v>2.6250889105232851E-8</v>
      </c>
      <c r="AW22" s="219">
        <v>2.629526792260845E-8</v>
      </c>
      <c r="AX22" s="219">
        <v>2.6504089797308181E-8</v>
      </c>
      <c r="AY22" s="219">
        <v>2.6493891137090208E-8</v>
      </c>
      <c r="AZ22" s="219">
        <v>2.6482843315144718E-8</v>
      </c>
      <c r="BA22" s="219">
        <v>2.6470950284197709E-8</v>
      </c>
      <c r="BB22" s="219">
        <v>2.645821569448408E-8</v>
      </c>
      <c r="BC22" s="33">
        <v>1.125685439318421</v>
      </c>
      <c r="BD22" s="219">
        <v>1.1248032393313081</v>
      </c>
      <c r="BE22" s="219">
        <v>1.1239308481375949</v>
      </c>
      <c r="BF22" s="219">
        <v>1.095326646027035</v>
      </c>
      <c r="BG22" s="219">
        <v>1.094540922478729</v>
      </c>
      <c r="BH22" s="219">
        <v>1.0937641811523899</v>
      </c>
      <c r="BI22" s="219">
        <v>1.0922674055473309</v>
      </c>
      <c r="BJ22" s="219">
        <v>1.090800245624715</v>
      </c>
      <c r="BK22" s="219">
        <v>1.068609708394096</v>
      </c>
      <c r="BL22" s="219">
        <v>1.0673298086112</v>
      </c>
      <c r="BM22" s="219">
        <v>1.0660782751122531</v>
      </c>
      <c r="BN22" s="219">
        <v>1.0641653286178221</v>
      </c>
      <c r="BO22" s="219">
        <v>1.062284569478207</v>
      </c>
      <c r="BP22" s="219">
        <v>1.053868065394685</v>
      </c>
      <c r="BQ22" s="219">
        <v>1.052108096060149</v>
      </c>
      <c r="BR22" s="219">
        <v>1.05038154250307</v>
      </c>
      <c r="BS22" s="219">
        <v>1.0487864048491251</v>
      </c>
      <c r="BT22" s="219">
        <v>1.047226412793937</v>
      </c>
      <c r="BU22" s="219">
        <v>1.0393947334751941</v>
      </c>
      <c r="BV22" s="219">
        <v>1.037963847197924</v>
      </c>
      <c r="BW22" s="219">
        <v>1.036568047186994</v>
      </c>
      <c r="BX22" s="219">
        <v>1.035702066861997</v>
      </c>
      <c r="BY22" s="219">
        <v>1.0348471475676591</v>
      </c>
      <c r="BZ22" s="219">
        <v>1.0340027176420421</v>
      </c>
      <c r="CA22" s="219">
        <v>1.0331687521724979</v>
      </c>
      <c r="CB22" s="219">
        <v>1.0323452583325869</v>
      </c>
      <c r="CC22" s="33">
        <v>9.2965422838907887</v>
      </c>
      <c r="CD22" s="219">
        <v>9.2862417945072941</v>
      </c>
      <c r="CE22" s="219">
        <v>9.2761149275595951</v>
      </c>
      <c r="CF22" s="219">
        <v>9.0380688859509792</v>
      </c>
      <c r="CG22" s="219">
        <v>9.0287204672277799</v>
      </c>
      <c r="CH22" s="219">
        <v>9.0194991312980228</v>
      </c>
      <c r="CI22" s="219">
        <v>9.0160338322283025</v>
      </c>
      <c r="CJ22" s="219">
        <v>9.0130733852058373</v>
      </c>
      <c r="CK22" s="219">
        <v>8.8534059539331267</v>
      </c>
      <c r="CL22" s="219">
        <v>8.8530695234833061</v>
      </c>
      <c r="CM22" s="219">
        <v>8.8531132007525652</v>
      </c>
      <c r="CN22" s="219">
        <v>8.8579002528998085</v>
      </c>
      <c r="CO22" s="219">
        <v>8.8632068806502158</v>
      </c>
      <c r="CP22" s="219">
        <v>8.8273389595236988</v>
      </c>
      <c r="CQ22" s="219">
        <v>8.8349584774093621</v>
      </c>
      <c r="CR22" s="219">
        <v>8.8431181198332265</v>
      </c>
      <c r="CS22" s="219">
        <v>8.8256920555967753</v>
      </c>
      <c r="CT22" s="219">
        <v>8.8085506250540888</v>
      </c>
      <c r="CU22" s="219">
        <v>8.7509781964856526</v>
      </c>
      <c r="CV22" s="219">
        <v>8.7347894184025225</v>
      </c>
      <c r="CW22" s="219">
        <v>8.7188497502098716</v>
      </c>
      <c r="CX22" s="219">
        <v>8.7095035381270698</v>
      </c>
      <c r="CY22" s="219">
        <v>8.6832606479586847</v>
      </c>
      <c r="CZ22" s="219">
        <v>8.6570001746256953</v>
      </c>
      <c r="DA22" s="219">
        <v>8.6307208439382688</v>
      </c>
      <c r="DB22" s="219">
        <v>8.6044221033529826</v>
      </c>
    </row>
    <row r="23" spans="1:106" x14ac:dyDescent="0.35">
      <c r="A23" s="137" t="s">
        <v>552</v>
      </c>
      <c r="B23" s="130" t="s">
        <v>545</v>
      </c>
      <c r="C23" s="219">
        <v>3.380929099940458E-6</v>
      </c>
      <c r="D23" s="219">
        <v>3.3796162743772678E-6</v>
      </c>
      <c r="E23" s="219">
        <v>3.3782654237385381E-6</v>
      </c>
      <c r="F23" s="219">
        <v>3.3552291199422131E-6</v>
      </c>
      <c r="G23" s="219">
        <v>3.3537551844193758E-6</v>
      </c>
      <c r="H23" s="219">
        <v>3.3523059567033212E-6</v>
      </c>
      <c r="I23" s="219">
        <v>3.3515631044124392E-6</v>
      </c>
      <c r="J23" s="219">
        <v>3.3508855912061271E-6</v>
      </c>
      <c r="K23" s="219">
        <v>3.3422914575152569E-6</v>
      </c>
      <c r="L23" s="219">
        <v>3.3417718580532751E-6</v>
      </c>
      <c r="M23" s="219">
        <v>3.341302453831254E-6</v>
      </c>
      <c r="N23" s="219">
        <v>3.341252615757066E-6</v>
      </c>
      <c r="O23" s="219">
        <v>3.3412504631166729E-6</v>
      </c>
      <c r="P23" s="219">
        <v>3.33826189632727E-6</v>
      </c>
      <c r="Q23" s="219">
        <v>3.338393136080952E-6</v>
      </c>
      <c r="R23" s="219">
        <v>3.338580088440562E-6</v>
      </c>
      <c r="S23" s="219">
        <v>3.336559264460896E-6</v>
      </c>
      <c r="T23" s="219">
        <v>3.3345325888160092E-6</v>
      </c>
      <c r="U23" s="219">
        <v>3.329918119024045E-6</v>
      </c>
      <c r="V23" s="219">
        <v>3.3279012608686088E-6</v>
      </c>
      <c r="W23" s="219">
        <v>3.3258821304178689E-6</v>
      </c>
      <c r="X23" s="219">
        <v>3.3457634886713171E-6</v>
      </c>
      <c r="Y23" s="219">
        <v>3.3428228906254422E-6</v>
      </c>
      <c r="Z23" s="219">
        <v>3.3398688647563701E-6</v>
      </c>
      <c r="AA23" s="219">
        <v>3.336901303527635E-6</v>
      </c>
      <c r="AB23" s="219">
        <v>3.3339201813784461E-6</v>
      </c>
      <c r="AC23" s="33">
        <v>2.4221410901906651E-8</v>
      </c>
      <c r="AD23" s="219">
        <v>2.4229072022778679E-8</v>
      </c>
      <c r="AE23" s="219">
        <v>2.4236489240116761E-8</v>
      </c>
      <c r="AF23" s="219">
        <v>2.411263590976813E-8</v>
      </c>
      <c r="AG23" s="219">
        <v>2.411872994906277E-8</v>
      </c>
      <c r="AH23" s="219">
        <v>2.4124611524580581E-8</v>
      </c>
      <c r="AI23" s="219">
        <v>2.4151089371863439E-8</v>
      </c>
      <c r="AJ23" s="219">
        <v>2.4176997798678779E-8</v>
      </c>
      <c r="AK23" s="219">
        <v>2.4113390170378491E-8</v>
      </c>
      <c r="AL23" s="219">
        <v>2.413731738093151E-8</v>
      </c>
      <c r="AM23" s="219">
        <v>2.4160667151174341E-8</v>
      </c>
      <c r="AN23" s="219">
        <v>2.4204140848077099E-8</v>
      </c>
      <c r="AO23" s="219">
        <v>2.4246921349091149E-8</v>
      </c>
      <c r="AP23" s="219">
        <v>2.425795989502117E-8</v>
      </c>
      <c r="AQ23" s="219">
        <v>2.4299661183752621E-8</v>
      </c>
      <c r="AR23" s="219">
        <v>2.4340847850318161E-8</v>
      </c>
      <c r="AS23" s="219">
        <v>2.4357525714315762E-8</v>
      </c>
      <c r="AT23" s="219">
        <v>2.4373138790835891E-8</v>
      </c>
      <c r="AU23" s="219">
        <v>2.4351185342773081E-8</v>
      </c>
      <c r="AV23" s="219">
        <v>2.4364249602082469E-8</v>
      </c>
      <c r="AW23" s="219">
        <v>2.437639192599108E-8</v>
      </c>
      <c r="AX23" s="219">
        <v>2.4478020778859539E-8</v>
      </c>
      <c r="AY23" s="219">
        <v>2.4466235952253829E-8</v>
      </c>
      <c r="AZ23" s="219">
        <v>2.4454021504038961E-8</v>
      </c>
      <c r="BA23" s="219">
        <v>2.4441380210246229E-8</v>
      </c>
      <c r="BB23" s="219">
        <v>2.442831391410617E-8</v>
      </c>
      <c r="BC23" s="33">
        <v>0.44688845368653152</v>
      </c>
      <c r="BD23" s="219">
        <v>0.4465258002803289</v>
      </c>
      <c r="BE23" s="219">
        <v>0.44616560920922083</v>
      </c>
      <c r="BF23" s="219">
        <v>0.43479626893160389</v>
      </c>
      <c r="BG23" s="219">
        <v>0.43446741883949658</v>
      </c>
      <c r="BH23" s="219">
        <v>0.43414051374920171</v>
      </c>
      <c r="BI23" s="219">
        <v>0.43353614657703288</v>
      </c>
      <c r="BJ23" s="219">
        <v>0.43294194312011092</v>
      </c>
      <c r="BK23" s="219">
        <v>0.42412452006474721</v>
      </c>
      <c r="BL23" s="219">
        <v>0.42360155649135639</v>
      </c>
      <c r="BM23" s="219">
        <v>0.42308821192763879</v>
      </c>
      <c r="BN23" s="219">
        <v>0.42235630121907958</v>
      </c>
      <c r="BO23" s="219">
        <v>0.42163577603609143</v>
      </c>
      <c r="BP23" s="219">
        <v>0.41832056869268358</v>
      </c>
      <c r="BQ23" s="219">
        <v>0.4176451206572927</v>
      </c>
      <c r="BR23" s="219">
        <v>0.41698159908380172</v>
      </c>
      <c r="BS23" s="219">
        <v>0.41635396499617339</v>
      </c>
      <c r="BT23" s="219">
        <v>0.41573820292160102</v>
      </c>
      <c r="BU23" s="219">
        <v>0.41263180828747359</v>
      </c>
      <c r="BV23" s="219">
        <v>0.412063170547179</v>
      </c>
      <c r="BW23" s="219">
        <v>0.41150639901160613</v>
      </c>
      <c r="BX23" s="219">
        <v>0.41117451743001748</v>
      </c>
      <c r="BY23" s="219">
        <v>0.41084736177743347</v>
      </c>
      <c r="BZ23" s="219">
        <v>0.41052464612783202</v>
      </c>
      <c r="CA23" s="219">
        <v>0.41020634885926188</v>
      </c>
      <c r="CB23" s="219">
        <v>0.40989248452758542</v>
      </c>
      <c r="CC23" s="33">
        <v>24.563479659963441</v>
      </c>
      <c r="CD23" s="219">
        <v>24.558231057704809</v>
      </c>
      <c r="CE23" s="219">
        <v>24.553052030931791</v>
      </c>
      <c r="CF23" s="219">
        <v>24.457385406924889</v>
      </c>
      <c r="CG23" s="219">
        <v>24.452511493258001</v>
      </c>
      <c r="CH23" s="219">
        <v>24.447682810663519</v>
      </c>
      <c r="CI23" s="219">
        <v>24.446256777125789</v>
      </c>
      <c r="CJ23" s="219">
        <v>24.44502996164497</v>
      </c>
      <c r="CK23" s="219">
        <v>24.381640013118329</v>
      </c>
      <c r="CL23" s="219">
        <v>24.381453400481401</v>
      </c>
      <c r="CM23" s="219">
        <v>24.3814119100707</v>
      </c>
      <c r="CN23" s="219">
        <v>24.383759038527351</v>
      </c>
      <c r="CO23" s="219">
        <v>24.386306345865691</v>
      </c>
      <c r="CP23" s="219">
        <v>24.37251812197189</v>
      </c>
      <c r="CQ23" s="219">
        <v>24.37596666234224</v>
      </c>
      <c r="CR23" s="219">
        <v>24.37962675809073</v>
      </c>
      <c r="CS23" s="219">
        <v>24.369885342791971</v>
      </c>
      <c r="CT23" s="219">
        <v>24.360243432403092</v>
      </c>
      <c r="CU23" s="219">
        <v>24.334549438855881</v>
      </c>
      <c r="CV23" s="219">
        <v>24.32524783892913</v>
      </c>
      <c r="CW23" s="219">
        <v>24.316024423960592</v>
      </c>
      <c r="CX23" s="219">
        <v>24.309371266645019</v>
      </c>
      <c r="CY23" s="219">
        <v>24.295035495178819</v>
      </c>
      <c r="CZ23" s="219">
        <v>24.28069301865623</v>
      </c>
      <c r="DA23" s="219">
        <v>24.266342345257758</v>
      </c>
      <c r="DB23" s="219">
        <v>24.251982811681899</v>
      </c>
    </row>
    <row r="24" spans="1:106" x14ac:dyDescent="0.35">
      <c r="A24" s="137" t="s">
        <v>553</v>
      </c>
      <c r="B24" s="130" t="s">
        <v>545</v>
      </c>
      <c r="C24" s="219">
        <v>7.8631590189502877E-7</v>
      </c>
      <c r="D24" s="219">
        <v>7.8732748425489194E-7</v>
      </c>
      <c r="E24" s="219">
        <v>7.8805936530778637E-7</v>
      </c>
      <c r="F24" s="219">
        <v>7.7451001651006098E-7</v>
      </c>
      <c r="G24" s="219">
        <v>7.7358697040438385E-7</v>
      </c>
      <c r="H24" s="219">
        <v>7.726780928268028E-7</v>
      </c>
      <c r="I24" s="219">
        <v>7.7191886807374376E-7</v>
      </c>
      <c r="J24" s="219">
        <v>7.712089049815741E-7</v>
      </c>
      <c r="K24" s="219">
        <v>7.6581480825126689E-7</v>
      </c>
      <c r="L24" s="219">
        <v>7.6521784803027301E-7</v>
      </c>
      <c r="M24" s="219">
        <v>7.6465622399526517E-7</v>
      </c>
      <c r="N24" s="219">
        <v>7.6425567422785765E-7</v>
      </c>
      <c r="O24" s="219">
        <v>7.638928156362292E-7</v>
      </c>
      <c r="P24" s="219">
        <v>7.6175528669188972E-7</v>
      </c>
      <c r="Q24" s="219">
        <v>7.6148591956238349E-7</v>
      </c>
      <c r="R24" s="219">
        <v>7.6126527672447803E-7</v>
      </c>
      <c r="S24" s="219">
        <v>7.6045753913356692E-7</v>
      </c>
      <c r="T24" s="219">
        <v>7.5964956404489858E-7</v>
      </c>
      <c r="U24" s="219">
        <v>7.573040990796306E-7</v>
      </c>
      <c r="V24" s="219">
        <v>7.5650407305001691E-7</v>
      </c>
      <c r="W24" s="219">
        <v>7.5570357727486831E-7</v>
      </c>
      <c r="X24" s="219">
        <v>7.7204759498509089E-7</v>
      </c>
      <c r="Y24" s="219">
        <v>7.709666359319912E-7</v>
      </c>
      <c r="Z24" s="219">
        <v>7.6988089333413403E-7</v>
      </c>
      <c r="AA24" s="219">
        <v>7.6879032170706784E-7</v>
      </c>
      <c r="AB24" s="219">
        <v>7.6769492507518083E-7</v>
      </c>
      <c r="AC24" s="33">
        <v>4.2960068466937167E-9</v>
      </c>
      <c r="AD24" s="219">
        <v>4.3043496646785547E-9</v>
      </c>
      <c r="AE24" s="219">
        <v>4.3126243325698384E-9</v>
      </c>
      <c r="AF24" s="219">
        <v>4.2438463472043657E-9</v>
      </c>
      <c r="AG24" s="219">
        <v>4.2514827610580221E-9</v>
      </c>
      <c r="AH24" s="219">
        <v>4.2590541083421646E-9</v>
      </c>
      <c r="AI24" s="219">
        <v>4.2723031922331289E-9</v>
      </c>
      <c r="AJ24" s="219">
        <v>4.285407752072042E-9</v>
      </c>
      <c r="AK24" s="219">
        <v>4.2455107793764319E-9</v>
      </c>
      <c r="AL24" s="219">
        <v>4.2578029268386418E-9</v>
      </c>
      <c r="AM24" s="219">
        <v>4.269931158500136E-9</v>
      </c>
      <c r="AN24" s="219">
        <v>4.2968062259234804E-9</v>
      </c>
      <c r="AO24" s="219">
        <v>4.3235033359571914E-9</v>
      </c>
      <c r="AP24" s="219">
        <v>4.3313766867534686E-9</v>
      </c>
      <c r="AQ24" s="219">
        <v>4.3578212371433337E-9</v>
      </c>
      <c r="AR24" s="219">
        <v>4.384172379481316E-9</v>
      </c>
      <c r="AS24" s="219">
        <v>4.3958338590645869E-9</v>
      </c>
      <c r="AT24" s="219">
        <v>4.4071138844442193E-9</v>
      </c>
      <c r="AU24" s="219">
        <v>4.3961699675477943E-9</v>
      </c>
      <c r="AV24" s="219">
        <v>4.4063715143686972E-9</v>
      </c>
      <c r="AW24" s="219">
        <v>4.4162319887855518E-9</v>
      </c>
      <c r="AX24" s="219">
        <v>4.4631870090412016E-9</v>
      </c>
      <c r="AY24" s="219">
        <v>4.4612891093720512E-9</v>
      </c>
      <c r="AZ24" s="219">
        <v>4.4592513967089961E-9</v>
      </c>
      <c r="BA24" s="219">
        <v>4.4570741064049689E-9</v>
      </c>
      <c r="BB24" s="219">
        <v>4.4547576575117534E-9</v>
      </c>
      <c r="BC24" s="33">
        <v>0.20615934123859811</v>
      </c>
      <c r="BD24" s="219">
        <v>0.20595847696696121</v>
      </c>
      <c r="BE24" s="219">
        <v>0.20575993932593439</v>
      </c>
      <c r="BF24" s="219">
        <v>0.19906371624941749</v>
      </c>
      <c r="BG24" s="219">
        <v>0.19888555760102389</v>
      </c>
      <c r="BH24" s="219">
        <v>0.19870931790627699</v>
      </c>
      <c r="BI24" s="219">
        <v>0.19835742590741201</v>
      </c>
      <c r="BJ24" s="219">
        <v>0.1980107195406004</v>
      </c>
      <c r="BK24" s="219">
        <v>0.1927832539295341</v>
      </c>
      <c r="BL24" s="219">
        <v>0.19247680970004449</v>
      </c>
      <c r="BM24" s="219">
        <v>0.19217497961202279</v>
      </c>
      <c r="BN24" s="219">
        <v>0.19171820768003031</v>
      </c>
      <c r="BO24" s="219">
        <v>0.19126627438600369</v>
      </c>
      <c r="BP24" s="219">
        <v>0.18927050127337819</v>
      </c>
      <c r="BQ24" s="219">
        <v>0.18884127404306481</v>
      </c>
      <c r="BR24" s="219">
        <v>0.1884174588735861</v>
      </c>
      <c r="BS24" s="219">
        <v>0.1880134616142603</v>
      </c>
      <c r="BT24" s="219">
        <v>0.18761401486942189</v>
      </c>
      <c r="BU24" s="219">
        <v>0.1857326729138335</v>
      </c>
      <c r="BV24" s="219">
        <v>0.18535595257202031</v>
      </c>
      <c r="BW24" s="219">
        <v>0.1849837132572055</v>
      </c>
      <c r="BX24" s="219">
        <v>0.18476728944650889</v>
      </c>
      <c r="BY24" s="219">
        <v>0.18455241614892251</v>
      </c>
      <c r="BZ24" s="219">
        <v>0.18433896558168419</v>
      </c>
      <c r="CA24" s="219">
        <v>0.18412691445675031</v>
      </c>
      <c r="CB24" s="219">
        <v>0.18391626224164209</v>
      </c>
      <c r="CC24" s="33">
        <v>1.335819574357576</v>
      </c>
      <c r="CD24" s="219">
        <v>1.3333665161554711</v>
      </c>
      <c r="CE24" s="219">
        <v>1.330965977428241</v>
      </c>
      <c r="CF24" s="219">
        <v>1.275268904615994</v>
      </c>
      <c r="CG24" s="219">
        <v>1.2730756726986521</v>
      </c>
      <c r="CH24" s="219">
        <v>1.270917094985941</v>
      </c>
      <c r="CI24" s="219">
        <v>1.269447024457097</v>
      </c>
      <c r="CJ24" s="219">
        <v>1.268120413939418</v>
      </c>
      <c r="CK24" s="219">
        <v>1.229894704497329</v>
      </c>
      <c r="CL24" s="219">
        <v>1.229223230921491</v>
      </c>
      <c r="CM24" s="219">
        <v>1.2286545218942819</v>
      </c>
      <c r="CN24" s="219">
        <v>1.229035324320054</v>
      </c>
      <c r="CO24" s="219">
        <v>1.2295525525888931</v>
      </c>
      <c r="CP24" s="219">
        <v>1.220313843689931</v>
      </c>
      <c r="CQ24" s="219">
        <v>1.221390858744934</v>
      </c>
      <c r="CR24" s="219">
        <v>1.222625321268878</v>
      </c>
      <c r="CS24" s="219">
        <v>1.2183511218885159</v>
      </c>
      <c r="CT24" s="219">
        <v>1.21412386155393</v>
      </c>
      <c r="CU24" s="219">
        <v>1.2002969672349919</v>
      </c>
      <c r="CV24" s="219">
        <v>1.196251869578884</v>
      </c>
      <c r="CW24" s="219">
        <v>1.192244599907943</v>
      </c>
      <c r="CX24" s="219">
        <v>1.190664728272639</v>
      </c>
      <c r="CY24" s="219">
        <v>1.184726614791904</v>
      </c>
      <c r="CZ24" s="219">
        <v>1.178779544041086</v>
      </c>
      <c r="DA24" s="219">
        <v>1.1728228925437281</v>
      </c>
      <c r="DB24" s="219">
        <v>1.166856481209384</v>
      </c>
    </row>
    <row r="25" spans="1:106" x14ac:dyDescent="0.35">
      <c r="A25" s="137" t="s">
        <v>554</v>
      </c>
      <c r="B25" s="130" t="s">
        <v>545</v>
      </c>
      <c r="C25" s="219">
        <v>8.9431034506078467E-7</v>
      </c>
      <c r="D25" s="219">
        <v>8.939134338441586E-7</v>
      </c>
      <c r="E25" s="219">
        <v>8.9350576382498494E-7</v>
      </c>
      <c r="F25" s="219">
        <v>8.8775020168827407E-7</v>
      </c>
      <c r="G25" s="219">
        <v>8.8730409090862365E-7</v>
      </c>
      <c r="H25" s="219">
        <v>8.8686544427494831E-7</v>
      </c>
      <c r="I25" s="219">
        <v>8.8668343532043464E-7</v>
      </c>
      <c r="J25" s="219">
        <v>8.865197949298028E-7</v>
      </c>
      <c r="K25" s="219">
        <v>8.8441676356743689E-7</v>
      </c>
      <c r="L25" s="219">
        <v>8.8429524320706615E-7</v>
      </c>
      <c r="M25" s="219">
        <v>8.8418835071425389E-7</v>
      </c>
      <c r="N25" s="219">
        <v>8.8419679738454901E-7</v>
      </c>
      <c r="O25" s="219">
        <v>8.8421824781669155E-7</v>
      </c>
      <c r="P25" s="219">
        <v>8.8351035893591146E-7</v>
      </c>
      <c r="Q25" s="219">
        <v>8.8356711977501815E-7</v>
      </c>
      <c r="R25" s="219">
        <v>8.8363881090947861E-7</v>
      </c>
      <c r="S25" s="219">
        <v>8.8300444438293267E-7</v>
      </c>
      <c r="T25" s="219">
        <v>8.8236767289670153E-7</v>
      </c>
      <c r="U25" s="219">
        <v>8.8109665605825984E-7</v>
      </c>
      <c r="V25" s="219">
        <v>8.804617247403331E-7</v>
      </c>
      <c r="W25" s="219">
        <v>8.7982596942034148E-7</v>
      </c>
      <c r="X25" s="219">
        <v>8.8587101313377917E-7</v>
      </c>
      <c r="Y25" s="219">
        <v>8.8493836471993611E-7</v>
      </c>
      <c r="Z25" s="219">
        <v>8.8400129672832823E-7</v>
      </c>
      <c r="AA25" s="219">
        <v>8.8305977484162056E-7</v>
      </c>
      <c r="AB25" s="219">
        <v>8.8211378261259203E-7</v>
      </c>
      <c r="AC25" s="33">
        <v>6.3505604708668434E-9</v>
      </c>
      <c r="AD25" s="219">
        <v>6.3519662091165879E-9</v>
      </c>
      <c r="AE25" s="219">
        <v>6.3532993774623494E-9</v>
      </c>
      <c r="AF25" s="219">
        <v>6.3223351798806221E-9</v>
      </c>
      <c r="AG25" s="219">
        <v>6.3233223900273699E-9</v>
      </c>
      <c r="AH25" s="219">
        <v>6.3242480809302003E-9</v>
      </c>
      <c r="AI25" s="219">
        <v>6.3308468213881954E-9</v>
      </c>
      <c r="AJ25" s="219">
        <v>6.3372914173169031E-9</v>
      </c>
      <c r="AK25" s="219">
        <v>6.3217843057387468E-9</v>
      </c>
      <c r="AL25" s="219">
        <v>6.3277159081311532E-9</v>
      </c>
      <c r="AM25" s="219">
        <v>6.3334904302143281E-9</v>
      </c>
      <c r="AN25" s="219">
        <v>6.3444884955257799E-9</v>
      </c>
      <c r="AO25" s="219">
        <v>6.355293843790575E-9</v>
      </c>
      <c r="AP25" s="219">
        <v>6.3583292908803268E-9</v>
      </c>
      <c r="AQ25" s="219">
        <v>6.3688446887606561E-9</v>
      </c>
      <c r="AR25" s="219">
        <v>6.3792219542596286E-9</v>
      </c>
      <c r="AS25" s="219">
        <v>6.3824298775177118E-9</v>
      </c>
      <c r="AT25" s="219">
        <v>6.385335056456219E-9</v>
      </c>
      <c r="AU25" s="219">
        <v>6.3790178167900371E-9</v>
      </c>
      <c r="AV25" s="219">
        <v>6.3812347051654052E-9</v>
      </c>
      <c r="AW25" s="219">
        <v>6.3831966197376136E-9</v>
      </c>
      <c r="AX25" s="219">
        <v>6.418932088155347E-9</v>
      </c>
      <c r="AY25" s="219">
        <v>6.4144534724923041E-9</v>
      </c>
      <c r="AZ25" s="219">
        <v>6.409838914505947E-9</v>
      </c>
      <c r="BA25" s="219">
        <v>6.4050897028475748E-9</v>
      </c>
      <c r="BB25" s="219">
        <v>6.400206566035696E-9</v>
      </c>
      <c r="BC25" s="33">
        <v>0.1153825585633077</v>
      </c>
      <c r="BD25" s="219">
        <v>0.1152874464542666</v>
      </c>
      <c r="BE25" s="219">
        <v>0.11519256511651579</v>
      </c>
      <c r="BF25" s="219">
        <v>0.1123936630650056</v>
      </c>
      <c r="BG25" s="219">
        <v>0.112305721851711</v>
      </c>
      <c r="BH25" s="219">
        <v>0.1122178711575724</v>
      </c>
      <c r="BI25" s="219">
        <v>0.11206125348999819</v>
      </c>
      <c r="BJ25" s="219">
        <v>0.1119069731723059</v>
      </c>
      <c r="BK25" s="219">
        <v>0.1097364629943931</v>
      </c>
      <c r="BL25" s="219">
        <v>0.1095993633449547</v>
      </c>
      <c r="BM25" s="219">
        <v>0.1094644782365405</v>
      </c>
      <c r="BN25" s="219">
        <v>0.1092828764370662</v>
      </c>
      <c r="BO25" s="219">
        <v>0.10910408071863591</v>
      </c>
      <c r="BP25" s="219">
        <v>0.1082894984738761</v>
      </c>
      <c r="BQ25" s="219">
        <v>0.10812177902311711</v>
      </c>
      <c r="BR25" s="219">
        <v>0.1079569961593534</v>
      </c>
      <c r="BS25" s="219">
        <v>0.1077989074927921</v>
      </c>
      <c r="BT25" s="219">
        <v>0.10764366770153</v>
      </c>
      <c r="BU25" s="219">
        <v>0.1068779636060795</v>
      </c>
      <c r="BV25" s="219">
        <v>0.10673417714090359</v>
      </c>
      <c r="BW25" s="219">
        <v>0.1065932435054353</v>
      </c>
      <c r="BX25" s="219">
        <v>0.1065115340380639</v>
      </c>
      <c r="BY25" s="219">
        <v>0.10643117899058289</v>
      </c>
      <c r="BZ25" s="219">
        <v>0.106352094772471</v>
      </c>
      <c r="CA25" s="219">
        <v>0.1062742806047989</v>
      </c>
      <c r="CB25" s="219">
        <v>0.1061977430665987</v>
      </c>
      <c r="CC25" s="33">
        <v>5.8806458022947581</v>
      </c>
      <c r="CD25" s="219">
        <v>5.8791132819523071</v>
      </c>
      <c r="CE25" s="219">
        <v>5.877596558611879</v>
      </c>
      <c r="CF25" s="219">
        <v>5.8538417798285352</v>
      </c>
      <c r="CG25" s="219">
        <v>5.8523972518721248</v>
      </c>
      <c r="CH25" s="219">
        <v>5.8509620785760141</v>
      </c>
      <c r="CI25" s="219">
        <v>5.8506335524487429</v>
      </c>
      <c r="CJ25" s="219">
        <v>5.8503532150351711</v>
      </c>
      <c r="CK25" s="219">
        <v>5.8348362010598258</v>
      </c>
      <c r="CL25" s="219">
        <v>5.8348101705748574</v>
      </c>
      <c r="CM25" s="219">
        <v>5.8348187073956401</v>
      </c>
      <c r="CN25" s="219">
        <v>5.8355439228182924</v>
      </c>
      <c r="CO25" s="219">
        <v>5.8363178442834354</v>
      </c>
      <c r="CP25" s="219">
        <v>5.8330968423901588</v>
      </c>
      <c r="CQ25" s="219">
        <v>5.8340908032450134</v>
      </c>
      <c r="CR25" s="219">
        <v>5.8351359916194898</v>
      </c>
      <c r="CS25" s="219">
        <v>5.8321381551625029</v>
      </c>
      <c r="CT25" s="219">
        <v>5.8291647085233889</v>
      </c>
      <c r="CU25" s="219">
        <v>5.822263617863487</v>
      </c>
      <c r="CV25" s="219">
        <v>5.8193714923798741</v>
      </c>
      <c r="CW25" s="219">
        <v>5.8164970575617154</v>
      </c>
      <c r="CX25" s="219">
        <v>5.8142637431401401</v>
      </c>
      <c r="CY25" s="219">
        <v>5.8098833611974463</v>
      </c>
      <c r="CZ25" s="219">
        <v>5.805502569282293</v>
      </c>
      <c r="DA25" s="219">
        <v>5.8011209073200991</v>
      </c>
      <c r="DB25" s="219">
        <v>5.796738119007161</v>
      </c>
    </row>
    <row r="26" spans="1:106" x14ac:dyDescent="0.35">
      <c r="A26" s="137" t="s">
        <v>555</v>
      </c>
      <c r="B26" s="130" t="s">
        <v>545</v>
      </c>
      <c r="C26" s="219">
        <v>1.7886206901215689E-6</v>
      </c>
      <c r="D26" s="219">
        <v>1.787826867688317E-6</v>
      </c>
      <c r="E26" s="219">
        <v>1.7870115276499701E-6</v>
      </c>
      <c r="F26" s="219">
        <v>1.7755004033765479E-6</v>
      </c>
      <c r="G26" s="219">
        <v>1.7746081818172471E-6</v>
      </c>
      <c r="H26" s="219">
        <v>1.7737308885498971E-6</v>
      </c>
      <c r="I26" s="219">
        <v>1.7733668706408691E-6</v>
      </c>
      <c r="J26" s="219">
        <v>1.773039589859606E-6</v>
      </c>
      <c r="K26" s="219">
        <v>1.768833527134874E-6</v>
      </c>
      <c r="L26" s="219">
        <v>1.7685904864141321E-6</v>
      </c>
      <c r="M26" s="219">
        <v>1.768376701428508E-6</v>
      </c>
      <c r="N26" s="219">
        <v>1.768393594769098E-6</v>
      </c>
      <c r="O26" s="219">
        <v>1.7684364956333831E-6</v>
      </c>
      <c r="P26" s="219">
        <v>1.7670207178718229E-6</v>
      </c>
      <c r="Q26" s="219">
        <v>1.7671342395500361E-6</v>
      </c>
      <c r="R26" s="219">
        <v>1.767277621818957E-6</v>
      </c>
      <c r="S26" s="219">
        <v>1.7660088887658649E-6</v>
      </c>
      <c r="T26" s="219">
        <v>1.7647353457934031E-6</v>
      </c>
      <c r="U26" s="219">
        <v>1.7621933121165201E-6</v>
      </c>
      <c r="V26" s="219">
        <v>1.760923449480666E-6</v>
      </c>
      <c r="W26" s="219">
        <v>1.759651938840683E-6</v>
      </c>
      <c r="X26" s="219">
        <v>1.7717420262675579E-6</v>
      </c>
      <c r="Y26" s="219">
        <v>1.769876729439872E-6</v>
      </c>
      <c r="Z26" s="219">
        <v>1.768002593456656E-6</v>
      </c>
      <c r="AA26" s="219">
        <v>1.7661195496832409E-6</v>
      </c>
      <c r="AB26" s="219">
        <v>1.7642275652251841E-6</v>
      </c>
      <c r="AC26" s="33">
        <v>1.270112094173369E-8</v>
      </c>
      <c r="AD26" s="219">
        <v>1.2703932418233181E-8</v>
      </c>
      <c r="AE26" s="219">
        <v>1.27065987549247E-8</v>
      </c>
      <c r="AF26" s="219">
        <v>1.2644670359761241E-8</v>
      </c>
      <c r="AG26" s="219">
        <v>1.264664478005474E-8</v>
      </c>
      <c r="AH26" s="219">
        <v>1.2648496161860401E-8</v>
      </c>
      <c r="AI26" s="219">
        <v>1.2661693642776391E-8</v>
      </c>
      <c r="AJ26" s="219">
        <v>1.2674582834633809E-8</v>
      </c>
      <c r="AK26" s="219">
        <v>1.264356861147749E-8</v>
      </c>
      <c r="AL26" s="219">
        <v>1.265543181626231E-8</v>
      </c>
      <c r="AM26" s="219">
        <v>1.266698086042866E-8</v>
      </c>
      <c r="AN26" s="219">
        <v>1.268897699105156E-8</v>
      </c>
      <c r="AO26" s="219">
        <v>1.271058768758115E-8</v>
      </c>
      <c r="AP26" s="219">
        <v>1.271665858176065E-8</v>
      </c>
      <c r="AQ26" s="219">
        <v>1.2737689377521311E-8</v>
      </c>
      <c r="AR26" s="219">
        <v>1.2758443908519261E-8</v>
      </c>
      <c r="AS26" s="219">
        <v>1.276485975503542E-8</v>
      </c>
      <c r="AT26" s="219">
        <v>1.277067011291244E-8</v>
      </c>
      <c r="AU26" s="219">
        <v>1.2758035633580069E-8</v>
      </c>
      <c r="AV26" s="219">
        <v>1.276246941033081E-8</v>
      </c>
      <c r="AW26" s="219">
        <v>1.2766393239475231E-8</v>
      </c>
      <c r="AX26" s="219">
        <v>1.2837864176310691E-8</v>
      </c>
      <c r="AY26" s="219">
        <v>1.282890694498461E-8</v>
      </c>
      <c r="AZ26" s="219">
        <v>1.2819677829011891E-8</v>
      </c>
      <c r="BA26" s="219">
        <v>1.281017940569515E-8</v>
      </c>
      <c r="BB26" s="219">
        <v>1.280041313207139E-8</v>
      </c>
      <c r="BC26" s="33">
        <v>0.2307651171266154</v>
      </c>
      <c r="BD26" s="219">
        <v>0.2305748929085332</v>
      </c>
      <c r="BE26" s="219">
        <v>0.2303851302330315</v>
      </c>
      <c r="BF26" s="219">
        <v>0.22478732613001121</v>
      </c>
      <c r="BG26" s="219">
        <v>0.22461144370342201</v>
      </c>
      <c r="BH26" s="219">
        <v>0.22443574231514471</v>
      </c>
      <c r="BI26" s="219">
        <v>0.2241225069799965</v>
      </c>
      <c r="BJ26" s="219">
        <v>0.22381394634461191</v>
      </c>
      <c r="BK26" s="219">
        <v>0.21947292598878629</v>
      </c>
      <c r="BL26" s="219">
        <v>0.21919872668990939</v>
      </c>
      <c r="BM26" s="219">
        <v>0.218928956473081</v>
      </c>
      <c r="BN26" s="219">
        <v>0.21856575287413241</v>
      </c>
      <c r="BO26" s="219">
        <v>0.2182081614372719</v>
      </c>
      <c r="BP26" s="219">
        <v>0.21657899694775221</v>
      </c>
      <c r="BQ26" s="219">
        <v>0.2162435580462341</v>
      </c>
      <c r="BR26" s="219">
        <v>0.21591399231870689</v>
      </c>
      <c r="BS26" s="219">
        <v>0.21559781498558431</v>
      </c>
      <c r="BT26" s="219">
        <v>0.21528733540306</v>
      </c>
      <c r="BU26" s="219">
        <v>0.213755927212159</v>
      </c>
      <c r="BV26" s="219">
        <v>0.21346835428180719</v>
      </c>
      <c r="BW26" s="219">
        <v>0.21318648701087059</v>
      </c>
      <c r="BX26" s="219">
        <v>0.21302306807612789</v>
      </c>
      <c r="BY26" s="219">
        <v>0.21286235798116571</v>
      </c>
      <c r="BZ26" s="219">
        <v>0.21270418954494211</v>
      </c>
      <c r="CA26" s="219">
        <v>0.21254856120959789</v>
      </c>
      <c r="CB26" s="219">
        <v>0.21239548613319739</v>
      </c>
      <c r="CC26" s="33">
        <v>11.76129160458952</v>
      </c>
      <c r="CD26" s="219">
        <v>11.758226563904611</v>
      </c>
      <c r="CE26" s="219">
        <v>11.75519311722376</v>
      </c>
      <c r="CF26" s="219">
        <v>11.70768355965707</v>
      </c>
      <c r="CG26" s="219">
        <v>11.70479450374425</v>
      </c>
      <c r="CH26" s="219">
        <v>11.70192415715203</v>
      </c>
      <c r="CI26" s="219">
        <v>11.701267104897489</v>
      </c>
      <c r="CJ26" s="219">
        <v>11.700706430070341</v>
      </c>
      <c r="CK26" s="219">
        <v>11.66967240211965</v>
      </c>
      <c r="CL26" s="219">
        <v>11.669620341149709</v>
      </c>
      <c r="CM26" s="219">
        <v>11.66963741479128</v>
      </c>
      <c r="CN26" s="219">
        <v>11.671087845636579</v>
      </c>
      <c r="CO26" s="219">
        <v>11.672635688566871</v>
      </c>
      <c r="CP26" s="219">
        <v>11.666193684780319</v>
      </c>
      <c r="CQ26" s="219">
        <v>11.66818160649003</v>
      </c>
      <c r="CR26" s="219">
        <v>11.67027198323898</v>
      </c>
      <c r="CS26" s="219">
        <v>11.664276310325009</v>
      </c>
      <c r="CT26" s="219">
        <v>11.658329417046779</v>
      </c>
      <c r="CU26" s="219">
        <v>11.64452723572697</v>
      </c>
      <c r="CV26" s="219">
        <v>11.63874298475975</v>
      </c>
      <c r="CW26" s="219">
        <v>11.632994115123431</v>
      </c>
      <c r="CX26" s="219">
        <v>11.62852748628028</v>
      </c>
      <c r="CY26" s="219">
        <v>11.619766722394891</v>
      </c>
      <c r="CZ26" s="219">
        <v>11.61100513856459</v>
      </c>
      <c r="DA26" s="219">
        <v>11.6022418146402</v>
      </c>
      <c r="DB26" s="219">
        <v>11.59347623801432</v>
      </c>
    </row>
    <row r="27" spans="1:106" x14ac:dyDescent="0.35">
      <c r="A27" s="137" t="s">
        <v>556</v>
      </c>
      <c r="B27" s="130" t="s">
        <v>545</v>
      </c>
      <c r="C27" s="219">
        <v>9.1690642985275329E-6</v>
      </c>
      <c r="D27" s="219">
        <v>9.1623523786074484E-6</v>
      </c>
      <c r="E27" s="219">
        <v>9.1553626346082969E-6</v>
      </c>
      <c r="F27" s="219">
        <v>8.9809992697864649E-6</v>
      </c>
      <c r="G27" s="219">
        <v>8.9732552850655888E-6</v>
      </c>
      <c r="H27" s="219">
        <v>8.9656399900580613E-6</v>
      </c>
      <c r="I27" s="219">
        <v>8.9606634329264482E-6</v>
      </c>
      <c r="J27" s="219">
        <v>8.9560749987501119E-6</v>
      </c>
      <c r="K27" s="219">
        <v>8.8901324632793908E-6</v>
      </c>
      <c r="L27" s="219">
        <v>8.8866149272000711E-6</v>
      </c>
      <c r="M27" s="219">
        <v>8.8833811851204195E-6</v>
      </c>
      <c r="N27" s="219">
        <v>8.8828634572763318E-6</v>
      </c>
      <c r="O27" s="219">
        <v>8.8826477190038619E-6</v>
      </c>
      <c r="P27" s="219">
        <v>8.8592565872620553E-6</v>
      </c>
      <c r="Q27" s="219">
        <v>8.8599511609969541E-6</v>
      </c>
      <c r="R27" s="219">
        <v>8.8609960314697654E-6</v>
      </c>
      <c r="S27" s="219">
        <v>8.850571652360419E-6</v>
      </c>
      <c r="T27" s="219">
        <v>8.8401425726524467E-6</v>
      </c>
      <c r="U27" s="219">
        <v>8.8097128945219011E-6</v>
      </c>
      <c r="V27" s="219">
        <v>8.7994063199377736E-6</v>
      </c>
      <c r="W27" s="219">
        <v>8.7891078407481096E-6</v>
      </c>
      <c r="X27" s="219">
        <v>8.8997239092352506E-6</v>
      </c>
      <c r="Y27" s="219">
        <v>8.8848722255514826E-6</v>
      </c>
      <c r="Z27" s="219">
        <v>8.8699604653335097E-6</v>
      </c>
      <c r="AA27" s="219">
        <v>8.8549884257343697E-6</v>
      </c>
      <c r="AB27" s="219">
        <v>8.8399562097483476E-6</v>
      </c>
      <c r="AC27" s="33">
        <v>7.2689094816396315E-8</v>
      </c>
      <c r="AD27" s="219">
        <v>7.2772844060418955E-8</v>
      </c>
      <c r="AE27" s="219">
        <v>7.2854839652433505E-8</v>
      </c>
      <c r="AF27" s="219">
        <v>7.1921959849277674E-8</v>
      </c>
      <c r="AG27" s="219">
        <v>7.1993869577831203E-8</v>
      </c>
      <c r="AH27" s="219">
        <v>7.2064185148924432E-8</v>
      </c>
      <c r="AI27" s="219">
        <v>7.2276020165277963E-8</v>
      </c>
      <c r="AJ27" s="219">
        <v>7.2483163175706354E-8</v>
      </c>
      <c r="AK27" s="219">
        <v>7.199711923048165E-8</v>
      </c>
      <c r="AL27" s="219">
        <v>7.218833618818822E-8</v>
      </c>
      <c r="AM27" s="219">
        <v>7.2374869759898522E-8</v>
      </c>
      <c r="AN27" s="219">
        <v>7.2714834882383807E-8</v>
      </c>
      <c r="AO27" s="219">
        <v>7.3049397611729609E-8</v>
      </c>
      <c r="AP27" s="219">
        <v>7.3137785816851645E-8</v>
      </c>
      <c r="AQ27" s="219">
        <v>7.3463314529226028E-8</v>
      </c>
      <c r="AR27" s="219">
        <v>7.3784458643574986E-8</v>
      </c>
      <c r="AS27" s="219">
        <v>7.3955960705512024E-8</v>
      </c>
      <c r="AT27" s="219">
        <v>7.4119792129798989E-8</v>
      </c>
      <c r="AU27" s="219">
        <v>7.3993007634388229E-8</v>
      </c>
      <c r="AV27" s="219">
        <v>7.4137543553342982E-8</v>
      </c>
      <c r="AW27" s="219">
        <v>7.4275087608391307E-8</v>
      </c>
      <c r="AX27" s="219">
        <v>7.4784337847991519E-8</v>
      </c>
      <c r="AY27" s="219">
        <v>7.4754239678278761E-8</v>
      </c>
      <c r="AZ27" s="219">
        <v>7.4721538744375298E-8</v>
      </c>
      <c r="BA27" s="219">
        <v>7.4686247237046399E-8</v>
      </c>
      <c r="BB27" s="219">
        <v>7.4648376417035092E-8</v>
      </c>
      <c r="BC27" s="33">
        <v>3.4166575302078899</v>
      </c>
      <c r="BD27" s="219">
        <v>3.4139525533499882</v>
      </c>
      <c r="BE27" s="219">
        <v>3.4112775173805159</v>
      </c>
      <c r="BF27" s="219">
        <v>3.3234528463109809</v>
      </c>
      <c r="BG27" s="219">
        <v>3.3210435538839751</v>
      </c>
      <c r="BH27" s="219">
        <v>3.3186617020259801</v>
      </c>
      <c r="BI27" s="219">
        <v>3.3140653102221029</v>
      </c>
      <c r="BJ27" s="219">
        <v>3.309559660979275</v>
      </c>
      <c r="BK27" s="219">
        <v>3.2414226004311342</v>
      </c>
      <c r="BL27" s="219">
        <v>3.2374915845804888</v>
      </c>
      <c r="BM27" s="219">
        <v>3.233647526247788</v>
      </c>
      <c r="BN27" s="219">
        <v>3.2277752504886141</v>
      </c>
      <c r="BO27" s="219">
        <v>3.2220017230067448</v>
      </c>
      <c r="BP27" s="219">
        <v>3.1961599435343091</v>
      </c>
      <c r="BQ27" s="219">
        <v>3.1907571917414601</v>
      </c>
      <c r="BR27" s="219">
        <v>3.185456901915003</v>
      </c>
      <c r="BS27" s="219">
        <v>3.180550439142364</v>
      </c>
      <c r="BT27" s="219">
        <v>3.1757519346427729</v>
      </c>
      <c r="BU27" s="219">
        <v>3.151696101539271</v>
      </c>
      <c r="BV27" s="219">
        <v>3.1472941027610659</v>
      </c>
      <c r="BW27" s="219">
        <v>3.142999880889358</v>
      </c>
      <c r="BX27" s="219">
        <v>3.1403409531950768</v>
      </c>
      <c r="BY27" s="219">
        <v>3.1377159558741772</v>
      </c>
      <c r="BZ27" s="219">
        <v>3.135123149320159</v>
      </c>
      <c r="CA27" s="219">
        <v>3.132562457996884</v>
      </c>
      <c r="CB27" s="219">
        <v>3.1300339041231839</v>
      </c>
      <c r="CC27" s="33">
        <v>20.21289664867615</v>
      </c>
      <c r="CD27" s="219">
        <v>20.181419844395009</v>
      </c>
      <c r="CE27" s="219">
        <v>20.150471741529021</v>
      </c>
      <c r="CF27" s="219">
        <v>19.419707830171522</v>
      </c>
      <c r="CG27" s="219">
        <v>19.3911413559089</v>
      </c>
      <c r="CH27" s="219">
        <v>19.362965011685599</v>
      </c>
      <c r="CI27" s="219">
        <v>19.352046895184081</v>
      </c>
      <c r="CJ27" s="219">
        <v>19.34266951397294</v>
      </c>
      <c r="CK27" s="219">
        <v>18.852113751779552</v>
      </c>
      <c r="CL27" s="219">
        <v>18.850779072985372</v>
      </c>
      <c r="CM27" s="219">
        <v>18.85060626912723</v>
      </c>
      <c r="CN27" s="219">
        <v>18.864688481868299</v>
      </c>
      <c r="CO27" s="219">
        <v>18.88036078524571</v>
      </c>
      <c r="CP27" s="219">
        <v>18.76959861510494</v>
      </c>
      <c r="CQ27" s="219">
        <v>18.792364931764268</v>
      </c>
      <c r="CR27" s="219">
        <v>18.816781401756831</v>
      </c>
      <c r="CS27" s="219">
        <v>18.763418991623571</v>
      </c>
      <c r="CT27" s="219">
        <v>18.710931424263109</v>
      </c>
      <c r="CU27" s="219">
        <v>18.534298736869051</v>
      </c>
      <c r="CV27" s="219">
        <v>18.48473953884902</v>
      </c>
      <c r="CW27" s="219">
        <v>18.435947062159791</v>
      </c>
      <c r="CX27" s="219">
        <v>18.4067808416427</v>
      </c>
      <c r="CY27" s="219">
        <v>18.326841339022241</v>
      </c>
      <c r="CZ27" s="219">
        <v>18.24685022886894</v>
      </c>
      <c r="DA27" s="219">
        <v>18.16680365278004</v>
      </c>
      <c r="DB27" s="219">
        <v>18.086699951247589</v>
      </c>
    </row>
    <row r="28" spans="1:106" x14ac:dyDescent="0.35">
      <c r="A28" s="137" t="s">
        <v>557</v>
      </c>
      <c r="B28" s="130" t="s">
        <v>545</v>
      </c>
      <c r="C28" s="219">
        <v>4.6079728376311119E-5</v>
      </c>
      <c r="D28" s="219">
        <v>4.6066333019965502E-5</v>
      </c>
      <c r="E28" s="219">
        <v>4.6052322310814518E-5</v>
      </c>
      <c r="F28" s="219">
        <v>4.5941792180792277E-5</v>
      </c>
      <c r="G28" s="219">
        <v>4.5923970912668047E-5</v>
      </c>
      <c r="H28" s="219">
        <v>4.5906495470015958E-5</v>
      </c>
      <c r="I28" s="219">
        <v>4.5902672334286947E-5</v>
      </c>
      <c r="J28" s="219">
        <v>4.5899526445241623E-5</v>
      </c>
      <c r="K28" s="219">
        <v>4.5862210965073958E-5</v>
      </c>
      <c r="L28" s="219">
        <v>4.5860273666996492E-5</v>
      </c>
      <c r="M28" s="219">
        <v>4.5858933764402043E-5</v>
      </c>
      <c r="N28" s="219">
        <v>4.5860735432978403E-5</v>
      </c>
      <c r="O28" s="219">
        <v>4.5862972959526493E-5</v>
      </c>
      <c r="P28" s="219">
        <v>4.5852388747525281E-5</v>
      </c>
      <c r="Q28" s="219">
        <v>4.5855643183790103E-5</v>
      </c>
      <c r="R28" s="219">
        <v>4.5859386542707201E-5</v>
      </c>
      <c r="S28" s="219">
        <v>4.5833385634247327E-5</v>
      </c>
      <c r="T28" s="219">
        <v>4.580730093423912E-5</v>
      </c>
      <c r="U28" s="219">
        <v>4.5769872726876418E-5</v>
      </c>
      <c r="V28" s="219">
        <v>4.574376283147591E-5</v>
      </c>
      <c r="W28" s="219">
        <v>4.5717605670459373E-5</v>
      </c>
      <c r="X28" s="219">
        <v>4.5963518431955081E-5</v>
      </c>
      <c r="Y28" s="219">
        <v>4.5924566460313643E-5</v>
      </c>
      <c r="Z28" s="219">
        <v>4.5885425216478211E-5</v>
      </c>
      <c r="AA28" s="219">
        <v>4.5846092685782783E-5</v>
      </c>
      <c r="AB28" s="219">
        <v>4.5806567780318619E-5</v>
      </c>
      <c r="AC28" s="33">
        <v>3.2836216041330571E-7</v>
      </c>
      <c r="AD28" s="219">
        <v>3.283485228972137E-7</v>
      </c>
      <c r="AE28" s="219">
        <v>3.2833278044650611E-7</v>
      </c>
      <c r="AF28" s="219">
        <v>3.2774637689538782E-7</v>
      </c>
      <c r="AG28" s="219">
        <v>3.2772316811952368E-7</v>
      </c>
      <c r="AH28" s="219">
        <v>3.2769831704287282E-7</v>
      </c>
      <c r="AI28" s="219">
        <v>3.2781109091633449E-7</v>
      </c>
      <c r="AJ28" s="219">
        <v>3.2792150086593642E-7</v>
      </c>
      <c r="AK28" s="219">
        <v>3.2763915696342252E-7</v>
      </c>
      <c r="AL28" s="219">
        <v>3.2774133377337021E-7</v>
      </c>
      <c r="AM28" s="219">
        <v>3.2784111599107442E-7</v>
      </c>
      <c r="AN28" s="219">
        <v>3.2804781825773312E-7</v>
      </c>
      <c r="AO28" s="219">
        <v>3.2825089680301271E-7</v>
      </c>
      <c r="AP28" s="219">
        <v>3.2831421239041309E-7</v>
      </c>
      <c r="AQ28" s="219">
        <v>3.2851329620475811E-7</v>
      </c>
      <c r="AR28" s="219">
        <v>3.2871061818668569E-7</v>
      </c>
      <c r="AS28" s="219">
        <v>3.286345418231434E-7</v>
      </c>
      <c r="AT28" s="219">
        <v>3.2855079880148719E-7</v>
      </c>
      <c r="AU28" s="219">
        <v>3.283001033006526E-7</v>
      </c>
      <c r="AV28" s="219">
        <v>3.2820167840816722E-7</v>
      </c>
      <c r="AW28" s="219">
        <v>3.280977163175291E-7</v>
      </c>
      <c r="AX28" s="219">
        <v>3.2875439618555118E-7</v>
      </c>
      <c r="AY28" s="219">
        <v>3.2848637665467619E-7</v>
      </c>
      <c r="AZ28" s="219">
        <v>3.2821296128219183E-7</v>
      </c>
      <c r="BA28" s="219">
        <v>3.2793422863421839E-7</v>
      </c>
      <c r="BB28" s="219">
        <v>3.2765021321046538E-7</v>
      </c>
      <c r="BC28" s="33">
        <v>1.6555114098448249</v>
      </c>
      <c r="BD28" s="219">
        <v>1.6534703290115811</v>
      </c>
      <c r="BE28" s="219">
        <v>1.65137531670729</v>
      </c>
      <c r="BF28" s="219">
        <v>1.601336655639465</v>
      </c>
      <c r="BG28" s="219">
        <v>1.5992440568191499</v>
      </c>
      <c r="BH28" s="219">
        <v>1.597090847196792</v>
      </c>
      <c r="BI28" s="219">
        <v>1.593781820476734</v>
      </c>
      <c r="BJ28" s="219">
        <v>1.5904604306423289</v>
      </c>
      <c r="BK28" s="219">
        <v>1.5511516896914901</v>
      </c>
      <c r="BL28" s="219">
        <v>1.548031306908886</v>
      </c>
      <c r="BM28" s="219">
        <v>1.54489659434291</v>
      </c>
      <c r="BN28" s="219">
        <v>1.5421660257314</v>
      </c>
      <c r="BO28" s="219">
        <v>1.5394480729466671</v>
      </c>
      <c r="BP28" s="219">
        <v>1.5253707036681681</v>
      </c>
      <c r="BQ28" s="219">
        <v>1.522773778764074</v>
      </c>
      <c r="BR28" s="219">
        <v>1.520192341372919</v>
      </c>
      <c r="BS28" s="219">
        <v>1.5174380988077829</v>
      </c>
      <c r="BT28" s="219">
        <v>1.514678185223157</v>
      </c>
      <c r="BU28" s="219">
        <v>1.5009712937962609</v>
      </c>
      <c r="BV28" s="219">
        <v>1.498301726317613</v>
      </c>
      <c r="BW28" s="219">
        <v>1.4956270196687389</v>
      </c>
      <c r="BX28" s="219">
        <v>1.494520406358347</v>
      </c>
      <c r="BY28" s="219">
        <v>1.4934506094757241</v>
      </c>
      <c r="BZ28" s="219">
        <v>1.492414774778686</v>
      </c>
      <c r="CA28" s="219">
        <v>1.49141294639072</v>
      </c>
      <c r="CB28" s="219">
        <v>1.4904456418699541</v>
      </c>
      <c r="CC28" s="33">
        <v>392.65360103772429</v>
      </c>
      <c r="CD28" s="219">
        <v>392.60042476920978</v>
      </c>
      <c r="CE28" s="219">
        <v>392.54734575825512</v>
      </c>
      <c r="CF28" s="219">
        <v>392.10086401116672</v>
      </c>
      <c r="CG28" s="219">
        <v>392.04858741648809</v>
      </c>
      <c r="CH28" s="219">
        <v>391.99619596003947</v>
      </c>
      <c r="CI28" s="219">
        <v>391.98469154895332</v>
      </c>
      <c r="CJ28" s="219">
        <v>391.97374711562207</v>
      </c>
      <c r="CK28" s="219">
        <v>391.6903582572304</v>
      </c>
      <c r="CL28" s="219">
        <v>391.68339838013708</v>
      </c>
      <c r="CM28" s="219">
        <v>391.67670698875361</v>
      </c>
      <c r="CN28" s="219">
        <v>391.69399288631371</v>
      </c>
      <c r="CO28" s="219">
        <v>391.71185098495852</v>
      </c>
      <c r="CP28" s="219">
        <v>391.65747733823213</v>
      </c>
      <c r="CQ28" s="219">
        <v>391.6785325474977</v>
      </c>
      <c r="CR28" s="219">
        <v>391.70024076078693</v>
      </c>
      <c r="CS28" s="219">
        <v>391.57871343522459</v>
      </c>
      <c r="CT28" s="219">
        <v>391.45739993457272</v>
      </c>
      <c r="CU28" s="219">
        <v>391.2652283292349</v>
      </c>
      <c r="CV28" s="219">
        <v>391.14467272157151</v>
      </c>
      <c r="CW28" s="219">
        <v>391.02405297992652</v>
      </c>
      <c r="CX28" s="219">
        <v>390.91481766706482</v>
      </c>
      <c r="CY28" s="219">
        <v>390.74872972619232</v>
      </c>
      <c r="CZ28" s="219">
        <v>390.58293040425627</v>
      </c>
      <c r="DA28" s="219">
        <v>390.41739046178918</v>
      </c>
      <c r="DB28" s="219">
        <v>390.25209422323269</v>
      </c>
    </row>
    <row r="29" spans="1:106" x14ac:dyDescent="0.35">
      <c r="A29" s="137" t="s">
        <v>558</v>
      </c>
      <c r="B29" s="130" t="s">
        <v>545</v>
      </c>
      <c r="C29" s="219">
        <v>1.3287642142804991E-5</v>
      </c>
      <c r="D29" s="219">
        <v>1.346420675047575E-5</v>
      </c>
      <c r="E29" s="219">
        <v>1.361429566800836E-5</v>
      </c>
      <c r="F29" s="219">
        <v>1.342443590001235E-5</v>
      </c>
      <c r="G29" s="219">
        <v>1.3415742699346691E-5</v>
      </c>
      <c r="H29" s="219">
        <v>1.3405650650113739E-5</v>
      </c>
      <c r="I29" s="219">
        <v>1.3400068641741149E-5</v>
      </c>
      <c r="J29" s="219">
        <v>1.339499443156116E-5</v>
      </c>
      <c r="K29" s="219">
        <v>1.332012773095861E-5</v>
      </c>
      <c r="L29" s="219">
        <v>1.3316352103328071E-5</v>
      </c>
      <c r="M29" s="219">
        <v>1.3312929799288511E-5</v>
      </c>
      <c r="N29" s="219">
        <v>1.3318509879671591E-5</v>
      </c>
      <c r="O29" s="219">
        <v>1.3324511672736959E-5</v>
      </c>
      <c r="P29" s="219">
        <v>1.330370442831547E-5</v>
      </c>
      <c r="Q29" s="219">
        <v>1.331085987045738E-5</v>
      </c>
      <c r="R29" s="219">
        <v>1.331852437115761E-5</v>
      </c>
      <c r="S29" s="219">
        <v>1.330407655575502E-5</v>
      </c>
      <c r="T29" s="219">
        <v>1.3289579976549509E-5</v>
      </c>
      <c r="U29" s="219">
        <v>1.32520955826254E-5</v>
      </c>
      <c r="V29" s="219">
        <v>1.32376947788243E-5</v>
      </c>
      <c r="W29" s="219">
        <v>1.3223282306780721E-5</v>
      </c>
      <c r="X29" s="219">
        <v>1.3420219810202829E-5</v>
      </c>
      <c r="Y29" s="219">
        <v>1.3399022317898811E-5</v>
      </c>
      <c r="Z29" s="219">
        <v>1.3377727351718881E-5</v>
      </c>
      <c r="AA29" s="219">
        <v>1.3356334419104131E-5</v>
      </c>
      <c r="AB29" s="219">
        <v>1.3334843490477749E-5</v>
      </c>
      <c r="AC29" s="33">
        <v>1.002056483069904E-7</v>
      </c>
      <c r="AD29" s="219">
        <v>1.006314450933391E-7</v>
      </c>
      <c r="AE29" s="219">
        <v>1.0105361348873481E-7</v>
      </c>
      <c r="AF29" s="219">
        <v>1.003511395852169E-7</v>
      </c>
      <c r="AG29" s="219">
        <v>1.007625266320538E-7</v>
      </c>
      <c r="AH29" s="219">
        <v>1.0117252106475231E-7</v>
      </c>
      <c r="AI29" s="219">
        <v>1.0146367923794011E-7</v>
      </c>
      <c r="AJ29" s="219">
        <v>1.01752376240831E-7</v>
      </c>
      <c r="AK29" s="219">
        <v>1.012490745364824E-7</v>
      </c>
      <c r="AL29" s="219">
        <v>1.015251525682287E-7</v>
      </c>
      <c r="AM29" s="219">
        <v>1.0179852595230551E-7</v>
      </c>
      <c r="AN29" s="219">
        <v>1.0277180424255989E-7</v>
      </c>
      <c r="AO29" s="219">
        <v>1.0374362279283829E-7</v>
      </c>
      <c r="AP29" s="219">
        <v>1.044307085896492E-7</v>
      </c>
      <c r="AQ29" s="219">
        <v>1.054009787105905E-7</v>
      </c>
      <c r="AR29" s="219">
        <v>1.063708208657683E-7</v>
      </c>
      <c r="AS29" s="219">
        <v>1.066232225070231E-7</v>
      </c>
      <c r="AT29" s="219">
        <v>1.068708616502558E-7</v>
      </c>
      <c r="AU29" s="219">
        <v>1.0678355961486711E-7</v>
      </c>
      <c r="AV29" s="219">
        <v>1.0701662850838661E-7</v>
      </c>
      <c r="AW29" s="219">
        <v>1.072452392847678E-7</v>
      </c>
      <c r="AX29" s="219">
        <v>1.098520498389112E-7</v>
      </c>
      <c r="AY29" s="219">
        <v>1.098306958487818E-7</v>
      </c>
      <c r="AZ29" s="219">
        <v>1.098068761038679E-7</v>
      </c>
      <c r="BA29" s="219">
        <v>1.0978059676676949E-7</v>
      </c>
      <c r="BB29" s="219">
        <v>1.097518624246537E-7</v>
      </c>
      <c r="BC29" s="33">
        <v>4.3245319132453606</v>
      </c>
      <c r="BD29" s="219">
        <v>4.3207323899820587</v>
      </c>
      <c r="BE29" s="219">
        <v>4.3169542013040072</v>
      </c>
      <c r="BF29" s="219">
        <v>4.2174266204053117</v>
      </c>
      <c r="BG29" s="219">
        <v>4.2139166047472107</v>
      </c>
      <c r="BH29" s="219">
        <v>4.210421728937523</v>
      </c>
      <c r="BI29" s="219">
        <v>4.2025612860139647</v>
      </c>
      <c r="BJ29" s="219">
        <v>4.1947408500001293</v>
      </c>
      <c r="BK29" s="219">
        <v>4.1141602672128563</v>
      </c>
      <c r="BL29" s="219">
        <v>4.1068632454065517</v>
      </c>
      <c r="BM29" s="219">
        <v>4.0996010714621978</v>
      </c>
      <c r="BN29" s="219">
        <v>4.0875768736618037</v>
      </c>
      <c r="BO29" s="219">
        <v>4.0755784640031658</v>
      </c>
      <c r="BP29" s="219">
        <v>4.0404847662375118</v>
      </c>
      <c r="BQ29" s="219">
        <v>4.0287312375935622</v>
      </c>
      <c r="BR29" s="219">
        <v>4.0170086280200437</v>
      </c>
      <c r="BS29" s="219">
        <v>4.0062811986344213</v>
      </c>
      <c r="BT29" s="219">
        <v>3.9955897626013992</v>
      </c>
      <c r="BU29" s="219">
        <v>3.9627485815931229</v>
      </c>
      <c r="BV29" s="219">
        <v>3.9523262953197058</v>
      </c>
      <c r="BW29" s="219">
        <v>3.9419403094488041</v>
      </c>
      <c r="BX29" s="219">
        <v>3.9360012386839149</v>
      </c>
      <c r="BY29" s="219">
        <v>3.9300788754302509</v>
      </c>
      <c r="BZ29" s="219">
        <v>3.9241703487061308</v>
      </c>
      <c r="CA29" s="219">
        <v>3.9182755663625111</v>
      </c>
      <c r="CB29" s="219">
        <v>3.912394565035445</v>
      </c>
      <c r="CC29" s="33">
        <v>47.976598781780453</v>
      </c>
      <c r="CD29" s="219">
        <v>47.90941027746544</v>
      </c>
      <c r="CE29" s="219">
        <v>47.842968507785052</v>
      </c>
      <c r="CF29" s="219">
        <v>46.994427399250299</v>
      </c>
      <c r="CG29" s="219">
        <v>46.930607843115652</v>
      </c>
      <c r="CH29" s="219">
        <v>46.867190822021342</v>
      </c>
      <c r="CI29" s="219">
        <v>46.853519108379579</v>
      </c>
      <c r="CJ29" s="219">
        <v>46.841497890573557</v>
      </c>
      <c r="CK29" s="219">
        <v>46.278316736265587</v>
      </c>
      <c r="CL29" s="219">
        <v>46.2752536486502</v>
      </c>
      <c r="CM29" s="219">
        <v>46.273333441097712</v>
      </c>
      <c r="CN29" s="219">
        <v>46.319392360012287</v>
      </c>
      <c r="CO29" s="219">
        <v>46.367423317863278</v>
      </c>
      <c r="CP29" s="219">
        <v>46.267857418572213</v>
      </c>
      <c r="CQ29" s="219">
        <v>46.32407274305897</v>
      </c>
      <c r="CR29" s="219">
        <v>46.382332399981763</v>
      </c>
      <c r="CS29" s="219">
        <v>46.290597895596697</v>
      </c>
      <c r="CT29" s="219">
        <v>46.19962481822359</v>
      </c>
      <c r="CU29" s="219">
        <v>45.963758826925897</v>
      </c>
      <c r="CV29" s="219">
        <v>45.875588121878522</v>
      </c>
      <c r="CW29" s="219">
        <v>45.788056707726412</v>
      </c>
      <c r="CX29" s="219">
        <v>47.074649347471428</v>
      </c>
      <c r="CY29" s="219">
        <v>46.933121085646746</v>
      </c>
      <c r="CZ29" s="219">
        <v>46.791247424477312</v>
      </c>
      <c r="DA29" s="219">
        <v>46.649022568589473</v>
      </c>
      <c r="DB29" s="219">
        <v>46.506443675733479</v>
      </c>
    </row>
    <row r="30" spans="1:106" x14ac:dyDescent="0.35">
      <c r="A30" s="137" t="s">
        <v>559</v>
      </c>
      <c r="B30" s="130" t="s">
        <v>545</v>
      </c>
      <c r="C30" s="219">
        <v>6.3805902995780122E-5</v>
      </c>
      <c r="D30" s="219">
        <v>6.3722347971679775E-5</v>
      </c>
      <c r="E30" s="219">
        <v>6.36302656515163E-5</v>
      </c>
      <c r="F30" s="219">
        <v>6.3424847721095585E-5</v>
      </c>
      <c r="G30" s="219">
        <v>6.3319539639562062E-5</v>
      </c>
      <c r="H30" s="219">
        <v>6.3215289250486407E-5</v>
      </c>
      <c r="I30" s="219">
        <v>6.3152874021412219E-5</v>
      </c>
      <c r="J30" s="219">
        <v>6.309503102128117E-5</v>
      </c>
      <c r="K30" s="219">
        <v>6.3008408877618196E-5</v>
      </c>
      <c r="L30" s="219">
        <v>6.29562663428264E-5</v>
      </c>
      <c r="M30" s="219">
        <v>6.2907207666245188E-5</v>
      </c>
      <c r="N30" s="219">
        <v>6.2908291332171117E-5</v>
      </c>
      <c r="O30" s="219">
        <v>6.2914392921561459E-5</v>
      </c>
      <c r="P30" s="219">
        <v>6.2914718814678435E-5</v>
      </c>
      <c r="Q30" s="219">
        <v>6.2929767489796685E-5</v>
      </c>
      <c r="R30" s="219">
        <v>6.2950610292020179E-5</v>
      </c>
      <c r="S30" s="219">
        <v>6.2748164045180437E-5</v>
      </c>
      <c r="T30" s="219">
        <v>6.2545260576446507E-5</v>
      </c>
      <c r="U30" s="219">
        <v>6.233200614966949E-5</v>
      </c>
      <c r="V30" s="219">
        <v>6.2129112619733351E-5</v>
      </c>
      <c r="W30" s="219">
        <v>6.1926242188225871E-5</v>
      </c>
      <c r="X30" s="219">
        <v>6.2865610104796574E-5</v>
      </c>
      <c r="Y30" s="219">
        <v>6.2618564870330106E-5</v>
      </c>
      <c r="Z30" s="219">
        <v>6.2370197448898026E-5</v>
      </c>
      <c r="AA30" s="219">
        <v>6.2120502985044574E-5</v>
      </c>
      <c r="AB30" s="219">
        <v>6.1869481290343042E-5</v>
      </c>
      <c r="AC30" s="33">
        <v>3.9288310400652792E-7</v>
      </c>
      <c r="AD30" s="219">
        <v>3.9437743409982238E-7</v>
      </c>
      <c r="AE30" s="219">
        <v>3.9584876509226958E-7</v>
      </c>
      <c r="AF30" s="219">
        <v>3.9670515318109072E-7</v>
      </c>
      <c r="AG30" s="219">
        <v>3.9812686998156021E-7</v>
      </c>
      <c r="AH30" s="219">
        <v>3.9952699132447849E-7</v>
      </c>
      <c r="AI30" s="219">
        <v>4.0647314043472809E-7</v>
      </c>
      <c r="AJ30" s="219">
        <v>4.1338516234141648E-7</v>
      </c>
      <c r="AK30" s="219">
        <v>4.199043656644587E-7</v>
      </c>
      <c r="AL30" s="219">
        <v>4.2674235113836281E-7</v>
      </c>
      <c r="AM30" s="219">
        <v>4.3354589693703121E-7</v>
      </c>
      <c r="AN30" s="219">
        <v>4.4509366615036109E-7</v>
      </c>
      <c r="AO30" s="219">
        <v>4.5663068962801182E-7</v>
      </c>
      <c r="AP30" s="219">
        <v>4.6805439149520109E-7</v>
      </c>
      <c r="AQ30" s="219">
        <v>4.7957671321659347E-7</v>
      </c>
      <c r="AR30" s="219">
        <v>4.9109983646453456E-7</v>
      </c>
      <c r="AS30" s="219">
        <v>4.9988100741407428E-7</v>
      </c>
      <c r="AT30" s="219">
        <v>5.0858613658259592E-7</v>
      </c>
      <c r="AU30" s="219">
        <v>5.1707368171677571E-7</v>
      </c>
      <c r="AV30" s="219">
        <v>5.2562569794438259E-7</v>
      </c>
      <c r="AW30" s="219">
        <v>5.3410409251554758E-7</v>
      </c>
      <c r="AX30" s="219">
        <v>5.476915743011147E-7</v>
      </c>
      <c r="AY30" s="219">
        <v>5.4957346015574106E-7</v>
      </c>
      <c r="AZ30" s="219">
        <v>5.5142086246540321E-7</v>
      </c>
      <c r="BA30" s="219">
        <v>5.532338521000648E-7</v>
      </c>
      <c r="BB30" s="219">
        <v>5.5501250337333307E-7</v>
      </c>
      <c r="BC30" s="33">
        <v>37.007383161366739</v>
      </c>
      <c r="BD30" s="219">
        <v>36.943683121874457</v>
      </c>
      <c r="BE30" s="219">
        <v>36.880100097579543</v>
      </c>
      <c r="BF30" s="219">
        <v>36.769748299094147</v>
      </c>
      <c r="BG30" s="219">
        <v>36.706411723273789</v>
      </c>
      <c r="BH30" s="219">
        <v>36.643175833557322</v>
      </c>
      <c r="BI30" s="219">
        <v>36.48566055729966</v>
      </c>
      <c r="BJ30" s="219">
        <v>36.328399747162301</v>
      </c>
      <c r="BK30" s="219">
        <v>36.137552769477793</v>
      </c>
      <c r="BL30" s="219">
        <v>35.980719303846577</v>
      </c>
      <c r="BM30" s="219">
        <v>35.824108384837032</v>
      </c>
      <c r="BN30" s="219">
        <v>35.57517739156566</v>
      </c>
      <c r="BO30" s="219">
        <v>35.326194626102783</v>
      </c>
      <c r="BP30" s="219">
        <v>35.066607842521812</v>
      </c>
      <c r="BQ30" s="219">
        <v>34.817451778496277</v>
      </c>
      <c r="BR30" s="219">
        <v>34.568295220552763</v>
      </c>
      <c r="BS30" s="219">
        <v>34.313294082896668</v>
      </c>
      <c r="BT30" s="219">
        <v>34.058629768044042</v>
      </c>
      <c r="BU30" s="219">
        <v>33.793459296542601</v>
      </c>
      <c r="BV30" s="219">
        <v>33.539458523741281</v>
      </c>
      <c r="BW30" s="219">
        <v>33.285796486987188</v>
      </c>
      <c r="BX30" s="219">
        <v>33.153508548089299</v>
      </c>
      <c r="BY30" s="219">
        <v>33.021327306051361</v>
      </c>
      <c r="BZ30" s="219">
        <v>32.889224926425413</v>
      </c>
      <c r="CA30" s="219">
        <v>32.757200539571741</v>
      </c>
      <c r="CB30" s="219">
        <v>32.625254507299019</v>
      </c>
      <c r="CC30" s="33">
        <v>319.49922714441311</v>
      </c>
      <c r="CD30" s="219">
        <v>318.87955935076411</v>
      </c>
      <c r="CE30" s="219">
        <v>318.26561844511718</v>
      </c>
      <c r="CF30" s="219">
        <v>317.25959576692782</v>
      </c>
      <c r="CG30" s="219">
        <v>316.65755080861408</v>
      </c>
      <c r="CH30" s="219">
        <v>316.06011822068962</v>
      </c>
      <c r="CI30" s="219">
        <v>315.63197853844389</v>
      </c>
      <c r="CJ30" s="219">
        <v>315.22636791114269</v>
      </c>
      <c r="CK30" s="219">
        <v>314.58826877499399</v>
      </c>
      <c r="CL30" s="219">
        <v>314.22466265130879</v>
      </c>
      <c r="CM30" s="219">
        <v>313.87890733066428</v>
      </c>
      <c r="CN30" s="219">
        <v>313.68342996199942</v>
      </c>
      <c r="CO30" s="219">
        <v>313.52303896341408</v>
      </c>
      <c r="CP30" s="219">
        <v>313.33742238816649</v>
      </c>
      <c r="CQ30" s="219">
        <v>313.24469492919519</v>
      </c>
      <c r="CR30" s="219">
        <v>313.18762492232833</v>
      </c>
      <c r="CS30" s="219">
        <v>311.30064855165358</v>
      </c>
      <c r="CT30" s="219">
        <v>309.42770331896668</v>
      </c>
      <c r="CU30" s="219">
        <v>307.50470654310561</v>
      </c>
      <c r="CV30" s="219">
        <v>305.65799409636469</v>
      </c>
      <c r="CW30" s="219">
        <v>303.82405012278139</v>
      </c>
      <c r="CX30" s="219">
        <v>303.30647689332147</v>
      </c>
      <c r="CY30" s="219">
        <v>301.33833589876588</v>
      </c>
      <c r="CZ30" s="219">
        <v>299.36339220788312</v>
      </c>
      <c r="DA30" s="219">
        <v>297.38160458434419</v>
      </c>
      <c r="DB30" s="219">
        <v>295.39295814787027</v>
      </c>
    </row>
    <row r="31" spans="1:106" x14ac:dyDescent="0.35">
      <c r="A31" s="137" t="s">
        <v>560</v>
      </c>
      <c r="B31" s="130" t="s">
        <v>547</v>
      </c>
      <c r="C31" s="219">
        <v>2.1223681368797291E-9</v>
      </c>
      <c r="D31" s="219">
        <v>2.1211452880225451E-9</v>
      </c>
      <c r="E31" s="219">
        <v>2.1198795747821382E-9</v>
      </c>
      <c r="F31" s="219">
        <v>2.0897607098958961E-9</v>
      </c>
      <c r="G31" s="219">
        <v>2.0883922574281741E-9</v>
      </c>
      <c r="H31" s="219">
        <v>2.0870466358023509E-9</v>
      </c>
      <c r="I31" s="219">
        <v>2.0861682818893808E-9</v>
      </c>
      <c r="J31" s="219">
        <v>2.085358124079818E-9</v>
      </c>
      <c r="K31" s="219">
        <v>2.0739572386153938E-9</v>
      </c>
      <c r="L31" s="219">
        <v>2.07333290779194E-9</v>
      </c>
      <c r="M31" s="219">
        <v>2.0727584711767052E-9</v>
      </c>
      <c r="N31" s="219">
        <v>2.0726595574074239E-9</v>
      </c>
      <c r="O31" s="219">
        <v>2.072613399618196E-9</v>
      </c>
      <c r="P31" s="219">
        <v>2.068565438743087E-9</v>
      </c>
      <c r="Q31" s="219">
        <v>2.068677388329726E-9</v>
      </c>
      <c r="R31" s="219">
        <v>2.0688508050441079E-9</v>
      </c>
      <c r="S31" s="219">
        <v>2.0670149021256339E-9</v>
      </c>
      <c r="T31" s="219">
        <v>2.065177768967695E-9</v>
      </c>
      <c r="U31" s="219">
        <v>2.0598867457367481E-9</v>
      </c>
      <c r="V31" s="219">
        <v>2.0580697031416961E-9</v>
      </c>
      <c r="W31" s="219">
        <v>2.0562534305827839E-9</v>
      </c>
      <c r="X31" s="219">
        <v>2.0754280388421801E-9</v>
      </c>
      <c r="Y31" s="219">
        <v>2.072808913143754E-9</v>
      </c>
      <c r="Z31" s="219">
        <v>2.0701790671622541E-9</v>
      </c>
      <c r="AA31" s="219">
        <v>2.0675384522667239E-9</v>
      </c>
      <c r="AB31" s="219">
        <v>2.0648870865879242E-9</v>
      </c>
      <c r="AC31" s="33">
        <v>1.526508608880053E-11</v>
      </c>
      <c r="AD31" s="219">
        <v>1.527914793309643E-11</v>
      </c>
      <c r="AE31" s="219">
        <v>1.5292914994679198E-11</v>
      </c>
      <c r="AF31" s="219">
        <v>1.5131555514061221E-11</v>
      </c>
      <c r="AG31" s="219">
        <v>1.514359696817224E-11</v>
      </c>
      <c r="AH31" s="219">
        <v>1.515537073953676E-11</v>
      </c>
      <c r="AI31" s="219">
        <v>1.519162464416978E-11</v>
      </c>
      <c r="AJ31" s="219">
        <v>1.5227090869378659E-11</v>
      </c>
      <c r="AK31" s="219">
        <v>1.5142908367438579E-11</v>
      </c>
      <c r="AL31" s="219">
        <v>1.517566918273931E-11</v>
      </c>
      <c r="AM31" s="219">
        <v>1.5207642760372101E-11</v>
      </c>
      <c r="AN31" s="219">
        <v>1.5265819047347172E-11</v>
      </c>
      <c r="AO31" s="219">
        <v>1.5323084765735541E-11</v>
      </c>
      <c r="AP31" s="219">
        <v>1.533785704657283E-11</v>
      </c>
      <c r="AQ31" s="219">
        <v>1.539360778946778E-11</v>
      </c>
      <c r="AR31" s="219">
        <v>1.5448624756993381E-11</v>
      </c>
      <c r="AS31" s="219">
        <v>1.5477685415680361E-11</v>
      </c>
      <c r="AT31" s="219">
        <v>1.5505443502344478E-11</v>
      </c>
      <c r="AU31" s="219">
        <v>1.5483040165299629E-11</v>
      </c>
      <c r="AV31" s="219">
        <v>1.5507514516973481E-11</v>
      </c>
      <c r="AW31" s="219">
        <v>1.553080517208184E-11</v>
      </c>
      <c r="AX31" s="219">
        <v>1.56166927709683E-11</v>
      </c>
      <c r="AY31" s="219">
        <v>1.5611022210298199E-11</v>
      </c>
      <c r="AZ31" s="219">
        <v>1.5604908842134929E-11</v>
      </c>
      <c r="BA31" s="219">
        <v>1.5598354448040979E-11</v>
      </c>
      <c r="BB31" s="219">
        <v>1.5591360782187329E-11</v>
      </c>
      <c r="BC31" s="33">
        <v>5.8598281377129078E-4</v>
      </c>
      <c r="BD31" s="219">
        <v>5.8551896365229472E-4</v>
      </c>
      <c r="BE31" s="219">
        <v>5.8506029356720048E-4</v>
      </c>
      <c r="BF31" s="219">
        <v>5.6990502328119956E-4</v>
      </c>
      <c r="BG31" s="219">
        <v>5.6949219789571544E-4</v>
      </c>
      <c r="BH31" s="219">
        <v>5.6908408584212971E-4</v>
      </c>
      <c r="BI31" s="219">
        <v>5.6829700993423177E-4</v>
      </c>
      <c r="BJ31" s="219">
        <v>5.675253543881867E-4</v>
      </c>
      <c r="BK31" s="219">
        <v>5.5576872033850997E-4</v>
      </c>
      <c r="BL31" s="219">
        <v>5.5509578721365865E-4</v>
      </c>
      <c r="BM31" s="219">
        <v>5.5443760018311725E-4</v>
      </c>
      <c r="BN31" s="219">
        <v>5.5343393858891632E-4</v>
      </c>
      <c r="BO31" s="219">
        <v>5.5244696287847634E-4</v>
      </c>
      <c r="BP31" s="219">
        <v>5.4799480512856885E-4</v>
      </c>
      <c r="BQ31" s="219">
        <v>5.4707110241268575E-4</v>
      </c>
      <c r="BR31" s="219">
        <v>5.4616473904030478E-4</v>
      </c>
      <c r="BS31" s="219">
        <v>5.4532455886665025E-4</v>
      </c>
      <c r="BT31" s="219">
        <v>5.4450256328275235E-4</v>
      </c>
      <c r="BU31" s="219">
        <v>5.4035538615734467E-4</v>
      </c>
      <c r="BV31" s="219">
        <v>5.3960092669287434E-4</v>
      </c>
      <c r="BW31" s="219">
        <v>5.3886462083875043E-4</v>
      </c>
      <c r="BX31" s="219">
        <v>5.3840947567724195E-4</v>
      </c>
      <c r="BY31" s="219">
        <v>5.3796008597142755E-4</v>
      </c>
      <c r="BZ31" s="219">
        <v>5.37516148992317E-4</v>
      </c>
      <c r="CA31" s="219">
        <v>5.3707764367879154E-4</v>
      </c>
      <c r="CB31" s="219">
        <v>5.3664457388103261E-4</v>
      </c>
      <c r="CC31" s="33">
        <v>9.9171825582752577E-3</v>
      </c>
      <c r="CD31" s="219">
        <v>9.9116886682617845E-3</v>
      </c>
      <c r="CE31" s="219">
        <v>9.906287487169969E-3</v>
      </c>
      <c r="CF31" s="219">
        <v>9.7801102110114078E-3</v>
      </c>
      <c r="CG31" s="219">
        <v>9.7751216487688749E-3</v>
      </c>
      <c r="CH31" s="219">
        <v>9.7702007465005486E-3</v>
      </c>
      <c r="CI31" s="219">
        <v>9.7683011816950237E-3</v>
      </c>
      <c r="CJ31" s="219">
        <v>9.7666676121499294E-3</v>
      </c>
      <c r="CK31" s="219">
        <v>9.6819660204734009E-3</v>
      </c>
      <c r="CL31" s="219">
        <v>9.681720776765804E-3</v>
      </c>
      <c r="CM31" s="219">
        <v>9.6816753665027525E-3</v>
      </c>
      <c r="CN31" s="219">
        <v>9.6841014451678614E-3</v>
      </c>
      <c r="CO31" s="219">
        <v>9.6868004627199897E-3</v>
      </c>
      <c r="CP31" s="219">
        <v>9.667663024548221E-3</v>
      </c>
      <c r="CQ31" s="219">
        <v>9.6715827103268266E-3</v>
      </c>
      <c r="CR31" s="219">
        <v>9.6757866188429548E-3</v>
      </c>
      <c r="CS31" s="219">
        <v>9.6664473085514135E-3</v>
      </c>
      <c r="CT31" s="219">
        <v>9.6572555447850799E-3</v>
      </c>
      <c r="CU31" s="219">
        <v>9.6266220164613284E-3</v>
      </c>
      <c r="CV31" s="219">
        <v>9.617928098881165E-3</v>
      </c>
      <c r="CW31" s="219">
        <v>9.6093626425529273E-3</v>
      </c>
      <c r="CX31" s="219">
        <v>9.6041627095681016E-3</v>
      </c>
      <c r="CY31" s="219">
        <v>9.5901858178358678E-3</v>
      </c>
      <c r="CZ31" s="219">
        <v>9.5761987138338577E-3</v>
      </c>
      <c r="DA31" s="219">
        <v>9.5622005617439533E-3</v>
      </c>
      <c r="DB31" s="219">
        <v>9.5481910531451369E-3</v>
      </c>
    </row>
    <row r="32" spans="1:106" x14ac:dyDescent="0.35">
      <c r="A32" s="137" t="s">
        <v>561</v>
      </c>
      <c r="B32" s="130" t="s">
        <v>705</v>
      </c>
      <c r="C32" s="219">
        <v>3.0950823392567891E-4</v>
      </c>
      <c r="D32" s="219">
        <v>3.0842646343384332E-4</v>
      </c>
      <c r="E32" s="219">
        <v>3.0733816132392128E-4</v>
      </c>
      <c r="F32" s="219">
        <v>3.0470171244799881E-4</v>
      </c>
      <c r="G32" s="219">
        <v>3.0359916895327102E-4</v>
      </c>
      <c r="H32" s="219">
        <v>3.0250842900321592E-4</v>
      </c>
      <c r="I32" s="219">
        <v>3.0220482749963639E-4</v>
      </c>
      <c r="J32" s="219">
        <v>3.0191161897902242E-4</v>
      </c>
      <c r="K32" s="219">
        <v>3.0116098244104819E-4</v>
      </c>
      <c r="L32" s="219">
        <v>3.0088082558559647E-4</v>
      </c>
      <c r="M32" s="219">
        <v>3.0061050207937578E-4</v>
      </c>
      <c r="N32" s="219">
        <v>3.0046472362970207E-4</v>
      </c>
      <c r="O32" s="219">
        <v>3.0032218865651928E-4</v>
      </c>
      <c r="P32" s="219">
        <v>3.0002363913981872E-4</v>
      </c>
      <c r="Q32" s="219">
        <v>2.9988909134041908E-4</v>
      </c>
      <c r="R32" s="219">
        <v>2.9975776117043001E-4</v>
      </c>
      <c r="S32" s="219">
        <v>2.9819326867828652E-4</v>
      </c>
      <c r="T32" s="219">
        <v>2.966174560763587E-4</v>
      </c>
      <c r="U32" s="219">
        <v>2.9488735419779449E-4</v>
      </c>
      <c r="V32" s="219">
        <v>2.9329321073249501E-4</v>
      </c>
      <c r="W32" s="219">
        <v>2.9168945793858249E-4</v>
      </c>
      <c r="X32" s="219">
        <v>3.0452007285205519E-4</v>
      </c>
      <c r="Y32" s="219">
        <v>3.0226784476485138E-4</v>
      </c>
      <c r="Z32" s="219">
        <v>3.0000241858584692E-4</v>
      </c>
      <c r="AA32" s="219">
        <v>2.9772367667854253E-4</v>
      </c>
      <c r="AB32" s="219">
        <v>2.9543151717814072E-4</v>
      </c>
      <c r="AC32" s="33">
        <v>1.8923827854892541E-6</v>
      </c>
      <c r="AD32" s="219">
        <v>1.889714786409623E-6</v>
      </c>
      <c r="AE32" s="219">
        <v>1.887023929732714E-6</v>
      </c>
      <c r="AF32" s="219">
        <v>1.875504080673279E-6</v>
      </c>
      <c r="AG32" s="219">
        <v>1.872717594275976E-6</v>
      </c>
      <c r="AH32" s="219">
        <v>1.869923624609793E-6</v>
      </c>
      <c r="AI32" s="219">
        <v>1.8735069041771709E-6</v>
      </c>
      <c r="AJ32" s="219">
        <v>1.8770594642955549E-6</v>
      </c>
      <c r="AK32" s="219">
        <v>1.8755470965960859E-6</v>
      </c>
      <c r="AL32" s="219">
        <v>1.879003812114612E-6</v>
      </c>
      <c r="AM32" s="219">
        <v>1.882430263545709E-6</v>
      </c>
      <c r="AN32" s="219">
        <v>1.8889461237107309E-6</v>
      </c>
      <c r="AO32" s="219">
        <v>1.8953729876566431E-6</v>
      </c>
      <c r="AP32" s="219">
        <v>1.900244904468718E-6</v>
      </c>
      <c r="AQ32" s="219">
        <v>1.906594363435936E-6</v>
      </c>
      <c r="AR32" s="219">
        <v>1.91292243317761E-6</v>
      </c>
      <c r="AS32" s="219">
        <v>1.906724039036221E-6</v>
      </c>
      <c r="AT32" s="219">
        <v>1.9003382557709781E-6</v>
      </c>
      <c r="AU32" s="219">
        <v>1.8919742403575121E-6</v>
      </c>
      <c r="AV32" s="219">
        <v>1.885363499118904E-6</v>
      </c>
      <c r="AW32" s="219">
        <v>1.878677559524333E-6</v>
      </c>
      <c r="AX32" s="219">
        <v>1.884095534967196E-6</v>
      </c>
      <c r="AY32" s="219">
        <v>1.8706822453158649E-6</v>
      </c>
      <c r="AZ32" s="219">
        <v>1.8571783832156639E-6</v>
      </c>
      <c r="BA32" s="219">
        <v>1.8435821555876251E-6</v>
      </c>
      <c r="BB32" s="219">
        <v>1.829891483480671E-6</v>
      </c>
      <c r="BC32" s="33">
        <v>118.02764904622801</v>
      </c>
      <c r="BD32" s="219">
        <v>117.98373872622631</v>
      </c>
      <c r="BE32" s="219">
        <v>117.94039073957509</v>
      </c>
      <c r="BF32" s="219">
        <v>117.2066454136766</v>
      </c>
      <c r="BG32" s="219">
        <v>117.1656896823397</v>
      </c>
      <c r="BH32" s="219">
        <v>117.1250551001704</v>
      </c>
      <c r="BI32" s="219">
        <v>117.0826402904443</v>
      </c>
      <c r="BJ32" s="219">
        <v>117.0403377490028</v>
      </c>
      <c r="BK32" s="219">
        <v>116.5223451401131</v>
      </c>
      <c r="BL32" s="219">
        <v>116.48331346148591</v>
      </c>
      <c r="BM32" s="219">
        <v>116.44433520141639</v>
      </c>
      <c r="BN32" s="219">
        <v>116.42301971193</v>
      </c>
      <c r="BO32" s="219">
        <v>116.4010822157788</v>
      </c>
      <c r="BP32" s="219">
        <v>116.2311850172577</v>
      </c>
      <c r="BQ32" s="219">
        <v>116.2091861190398</v>
      </c>
      <c r="BR32" s="219">
        <v>116.1865333353054</v>
      </c>
      <c r="BS32" s="219">
        <v>116.1354305145795</v>
      </c>
      <c r="BT32" s="219">
        <v>116.0838942184931</v>
      </c>
      <c r="BU32" s="219">
        <v>115.889418436463</v>
      </c>
      <c r="BV32" s="219">
        <v>115.83864558274711</v>
      </c>
      <c r="BW32" s="219">
        <v>115.78749641573989</v>
      </c>
      <c r="BX32" s="219">
        <v>115.765483779476</v>
      </c>
      <c r="BY32" s="219">
        <v>115.7440081863779</v>
      </c>
      <c r="BZ32" s="219">
        <v>115.722919994202</v>
      </c>
      <c r="CA32" s="219">
        <v>115.702219044955</v>
      </c>
      <c r="CB32" s="219">
        <v>115.6819102486667</v>
      </c>
      <c r="CC32" s="33">
        <v>1412.262440014819</v>
      </c>
      <c r="CD32" s="219">
        <v>1409.7537543248011</v>
      </c>
      <c r="CE32" s="219">
        <v>1407.270973602039</v>
      </c>
      <c r="CF32" s="219">
        <v>1398.947377491419</v>
      </c>
      <c r="CG32" s="219">
        <v>1396.503154004482</v>
      </c>
      <c r="CH32" s="219">
        <v>1394.0699687116521</v>
      </c>
      <c r="CI32" s="219">
        <v>1394.6883638131801</v>
      </c>
      <c r="CJ32" s="219">
        <v>1395.3251464654811</v>
      </c>
      <c r="CK32" s="219">
        <v>1392.429080046333</v>
      </c>
      <c r="CL32" s="219">
        <v>1393.1438101355629</v>
      </c>
      <c r="CM32" s="219">
        <v>1393.8696800420209</v>
      </c>
      <c r="CN32" s="219">
        <v>1395.423573271461</v>
      </c>
      <c r="CO32" s="219">
        <v>1396.982775239785</v>
      </c>
      <c r="CP32" s="219">
        <v>1397.710564548009</v>
      </c>
      <c r="CQ32" s="219">
        <v>1399.3055922191111</v>
      </c>
      <c r="CR32" s="219">
        <v>1400.903339877279</v>
      </c>
      <c r="CS32" s="219">
        <v>1394.961644306168</v>
      </c>
      <c r="CT32" s="219">
        <v>1388.9989568984579</v>
      </c>
      <c r="CU32" s="219">
        <v>1382.1741284587449</v>
      </c>
      <c r="CV32" s="219">
        <v>1376.158478571163</v>
      </c>
      <c r="CW32" s="219">
        <v>1370.107237608559</v>
      </c>
      <c r="CX32" s="219">
        <v>1363.5449444910939</v>
      </c>
      <c r="CY32" s="219">
        <v>1354.6024742797381</v>
      </c>
      <c r="CZ32" s="219">
        <v>1345.620807514438</v>
      </c>
      <c r="DA32" s="219">
        <v>1336.5991252427</v>
      </c>
      <c r="DB32" s="219">
        <v>1327.536779666146</v>
      </c>
    </row>
    <row r="33" spans="1:106" x14ac:dyDescent="0.35">
      <c r="A33" s="137" t="s">
        <v>562</v>
      </c>
      <c r="B33" s="130" t="s">
        <v>547</v>
      </c>
      <c r="C33" s="219">
        <v>6.9626821690351191E-6</v>
      </c>
      <c r="D33" s="219">
        <v>6.951855626445132E-6</v>
      </c>
      <c r="E33" s="219">
        <v>6.9249428319766523E-6</v>
      </c>
      <c r="F33" s="219">
        <v>6.8869480005077384E-6</v>
      </c>
      <c r="G33" s="219">
        <v>6.8550999698434432E-6</v>
      </c>
      <c r="H33" s="219">
        <v>6.8233401918268924E-6</v>
      </c>
      <c r="I33" s="219">
        <v>7.0021464825593942E-6</v>
      </c>
      <c r="J33" s="219">
        <v>7.1796014035621444E-6</v>
      </c>
      <c r="K33" s="219">
        <v>7.3535192485880038E-6</v>
      </c>
      <c r="L33" s="219">
        <v>7.5279176882448621E-6</v>
      </c>
      <c r="M33" s="219">
        <v>7.7007179536655443E-6</v>
      </c>
      <c r="N33" s="219">
        <v>8.0501827637082736E-6</v>
      </c>
      <c r="O33" s="219">
        <v>8.3980997825860227E-6</v>
      </c>
      <c r="P33" s="219">
        <v>8.7439825065709073E-6</v>
      </c>
      <c r="Q33" s="219">
        <v>9.0886900906079996E-6</v>
      </c>
      <c r="R33" s="219">
        <v>9.4318429539489237E-6</v>
      </c>
      <c r="S33" s="219">
        <v>9.4256312298396372E-6</v>
      </c>
      <c r="T33" s="219">
        <v>9.4180553465094531E-6</v>
      </c>
      <c r="U33" s="219">
        <v>9.4097339760617211E-6</v>
      </c>
      <c r="V33" s="219">
        <v>9.4016658207743764E-6</v>
      </c>
      <c r="W33" s="219">
        <v>9.3933858786915181E-6</v>
      </c>
      <c r="X33" s="219">
        <v>9.4924314679693884E-6</v>
      </c>
      <c r="Y33" s="219">
        <v>9.2724763069335277E-6</v>
      </c>
      <c r="Z33" s="219">
        <v>9.0525989122955686E-6</v>
      </c>
      <c r="AA33" s="219">
        <v>8.832787616199834E-6</v>
      </c>
      <c r="AB33" s="219">
        <v>8.6130427144733839E-6</v>
      </c>
      <c r="AC33" s="33">
        <v>7.0419649962855692E-8</v>
      </c>
      <c r="AD33" s="219">
        <v>6.9922773302680097E-8</v>
      </c>
      <c r="AE33" s="219">
        <v>6.942555743258368E-8</v>
      </c>
      <c r="AF33" s="219">
        <v>6.8884067334598477E-8</v>
      </c>
      <c r="AG33" s="219">
        <v>6.8384515474365874E-8</v>
      </c>
      <c r="AH33" s="219">
        <v>6.7884549167404595E-8</v>
      </c>
      <c r="AI33" s="219">
        <v>7.1675062610933761E-8</v>
      </c>
      <c r="AJ33" s="219">
        <v>7.5451477365387608E-8</v>
      </c>
      <c r="AK33" s="219">
        <v>7.9185473149029623E-8</v>
      </c>
      <c r="AL33" s="219">
        <v>8.293851101250419E-8</v>
      </c>
      <c r="AM33" s="219">
        <v>8.6678144148116413E-8</v>
      </c>
      <c r="AN33" s="219">
        <v>9.4320315276518847E-8</v>
      </c>
      <c r="AO33" s="219">
        <v>1.019786593490673E-7</v>
      </c>
      <c r="AP33" s="219">
        <v>1.0964878628243569E-7</v>
      </c>
      <c r="AQ33" s="219">
        <v>1.173471194016388E-7</v>
      </c>
      <c r="AR33" s="219">
        <v>1.2506910514695919E-7</v>
      </c>
      <c r="AS33" s="219">
        <v>1.2527961387115901E-7</v>
      </c>
      <c r="AT33" s="219">
        <v>1.2550878920619219E-7</v>
      </c>
      <c r="AU33" s="219">
        <v>1.2574638084395509E-7</v>
      </c>
      <c r="AV33" s="219">
        <v>1.2600671716551781E-7</v>
      </c>
      <c r="AW33" s="219">
        <v>1.2627988105891171E-7</v>
      </c>
      <c r="AX33" s="219">
        <v>1.2452091603518939E-7</v>
      </c>
      <c r="AY33" s="219">
        <v>1.2065345971979151E-7</v>
      </c>
      <c r="AZ33" s="219">
        <v>1.167869350993488E-7</v>
      </c>
      <c r="BA33" s="219">
        <v>1.12921287333119E-7</v>
      </c>
      <c r="BB33" s="219">
        <v>1.090565308122389E-7</v>
      </c>
      <c r="BC33" s="33">
        <v>1.850458730795367</v>
      </c>
      <c r="BD33" s="219">
        <v>1.8558700617534081</v>
      </c>
      <c r="BE33" s="219">
        <v>1.8613175594083351</v>
      </c>
      <c r="BF33" s="219">
        <v>1.863049753122952</v>
      </c>
      <c r="BG33" s="219">
        <v>1.8686159401414999</v>
      </c>
      <c r="BH33" s="219">
        <v>1.874213989498849</v>
      </c>
      <c r="BI33" s="219">
        <v>1.903374907094405</v>
      </c>
      <c r="BJ33" s="219">
        <v>1.9324039260737891</v>
      </c>
      <c r="BK33" s="219">
        <v>1.958526549384924</v>
      </c>
      <c r="BL33" s="219">
        <v>1.987409213219449</v>
      </c>
      <c r="BM33" s="219">
        <v>2.0161781944255561</v>
      </c>
      <c r="BN33" s="219">
        <v>2.0178886899700239</v>
      </c>
      <c r="BO33" s="219">
        <v>2.0195003479118081</v>
      </c>
      <c r="BP33" s="219">
        <v>2.020350403439207</v>
      </c>
      <c r="BQ33" s="219">
        <v>2.0217597488637722</v>
      </c>
      <c r="BR33" s="219">
        <v>2.0230575738198948</v>
      </c>
      <c r="BS33" s="219">
        <v>2.0923970997685459</v>
      </c>
      <c r="BT33" s="219">
        <v>2.1616324456249361</v>
      </c>
      <c r="BU33" s="219">
        <v>2.2301863752602169</v>
      </c>
      <c r="BV33" s="219">
        <v>2.2992604856094361</v>
      </c>
      <c r="BW33" s="219">
        <v>2.3682589937845711</v>
      </c>
      <c r="BX33" s="219">
        <v>2.3786094040196262</v>
      </c>
      <c r="BY33" s="219">
        <v>2.3890809153153509</v>
      </c>
      <c r="BZ33" s="219">
        <v>2.3995899568543302</v>
      </c>
      <c r="CA33" s="219">
        <v>2.410134498082281</v>
      </c>
      <c r="CB33" s="219">
        <v>2.420714558831158</v>
      </c>
      <c r="CC33" s="33">
        <v>32.270642832009358</v>
      </c>
      <c r="CD33" s="219">
        <v>32.204820064807038</v>
      </c>
      <c r="CE33" s="219">
        <v>32.139266122107408</v>
      </c>
      <c r="CF33" s="219">
        <v>32.042755103925963</v>
      </c>
      <c r="CG33" s="219">
        <v>31.977810533311199</v>
      </c>
      <c r="CH33" s="219">
        <v>31.91293200538933</v>
      </c>
      <c r="CI33" s="219">
        <v>33.992495320576587</v>
      </c>
      <c r="CJ33" s="219">
        <v>36.05922435080268</v>
      </c>
      <c r="CK33" s="219">
        <v>38.092824940686</v>
      </c>
      <c r="CL33" s="219">
        <v>40.136674699518252</v>
      </c>
      <c r="CM33" s="219">
        <v>42.16610987362121</v>
      </c>
      <c r="CN33" s="219">
        <v>45.73182116502047</v>
      </c>
      <c r="CO33" s="219">
        <v>49.281398139239073</v>
      </c>
      <c r="CP33" s="219">
        <v>52.810862802050103</v>
      </c>
      <c r="CQ33" s="219">
        <v>56.327886890896629</v>
      </c>
      <c r="CR33" s="219">
        <v>59.828683766559763</v>
      </c>
      <c r="CS33" s="219">
        <v>60.443598827482312</v>
      </c>
      <c r="CT33" s="219">
        <v>61.056533151232763</v>
      </c>
      <c r="CU33" s="219">
        <v>61.663996216888513</v>
      </c>
      <c r="CV33" s="219">
        <v>62.273279291410567</v>
      </c>
      <c r="CW33" s="219">
        <v>62.880783984268433</v>
      </c>
      <c r="CX33" s="219">
        <v>63.639457269299108</v>
      </c>
      <c r="CY33" s="219">
        <v>62.051709089355093</v>
      </c>
      <c r="CZ33" s="219">
        <v>60.465051383545656</v>
      </c>
      <c r="DA33" s="219">
        <v>58.879443547387567</v>
      </c>
      <c r="DB33" s="219">
        <v>57.294885146060558</v>
      </c>
    </row>
    <row r="34" spans="1:106" x14ac:dyDescent="0.35">
      <c r="A34" s="137" t="s">
        <v>755</v>
      </c>
      <c r="B34" s="130" t="s">
        <v>704</v>
      </c>
      <c r="C34" s="219">
        <v>0</v>
      </c>
      <c r="D34" s="219">
        <v>0</v>
      </c>
      <c r="E34" s="219">
        <v>0</v>
      </c>
      <c r="F34" s="219">
        <v>0</v>
      </c>
      <c r="G34" s="219">
        <v>0</v>
      </c>
      <c r="H34" s="219">
        <v>0</v>
      </c>
      <c r="I34" s="219">
        <v>0</v>
      </c>
      <c r="J34" s="219">
        <v>0</v>
      </c>
      <c r="K34" s="219">
        <v>0</v>
      </c>
      <c r="L34" s="219">
        <v>0</v>
      </c>
      <c r="M34" s="219">
        <v>0</v>
      </c>
      <c r="N34" s="219">
        <v>0</v>
      </c>
      <c r="O34" s="219">
        <v>0</v>
      </c>
      <c r="P34" s="219">
        <v>0</v>
      </c>
      <c r="Q34" s="219">
        <v>0</v>
      </c>
      <c r="R34" s="219">
        <v>0</v>
      </c>
      <c r="S34" s="219">
        <v>0</v>
      </c>
      <c r="T34" s="219">
        <v>0</v>
      </c>
      <c r="U34" s="219">
        <v>0</v>
      </c>
      <c r="V34" s="219">
        <v>0</v>
      </c>
      <c r="W34" s="219">
        <v>0</v>
      </c>
      <c r="X34" s="219">
        <v>0</v>
      </c>
      <c r="Y34" s="219">
        <v>0</v>
      </c>
      <c r="Z34" s="219">
        <v>0</v>
      </c>
      <c r="AA34" s="219">
        <v>0</v>
      </c>
      <c r="AB34" s="219">
        <v>0</v>
      </c>
      <c r="AC34" s="33">
        <v>2.0736000294618859E-7</v>
      </c>
      <c r="AD34" s="219">
        <v>2.0736000294618859E-7</v>
      </c>
      <c r="AE34" s="219">
        <v>2.0736000294618859E-7</v>
      </c>
      <c r="AF34" s="219">
        <v>2.0736000294618859E-7</v>
      </c>
      <c r="AG34" s="219">
        <v>2.0736000294618859E-7</v>
      </c>
      <c r="AH34" s="219">
        <v>2.0736000294618859E-7</v>
      </c>
      <c r="AI34" s="219">
        <v>2.0736000294618859E-7</v>
      </c>
      <c r="AJ34" s="219">
        <v>2.0736000294618859E-7</v>
      </c>
      <c r="AK34" s="219">
        <v>2.0736000294618859E-7</v>
      </c>
      <c r="AL34" s="219">
        <v>2.0736000294618859E-7</v>
      </c>
      <c r="AM34" s="219">
        <v>2.0736000294618859E-7</v>
      </c>
      <c r="AN34" s="219">
        <v>2.0736000294618859E-7</v>
      </c>
      <c r="AO34" s="219">
        <v>2.0736000294618859E-7</v>
      </c>
      <c r="AP34" s="219">
        <v>2.0736000294618859E-7</v>
      </c>
      <c r="AQ34" s="219">
        <v>2.0736000294618859E-7</v>
      </c>
      <c r="AR34" s="219">
        <v>2.0736000294618859E-7</v>
      </c>
      <c r="AS34" s="219">
        <v>2.0736000294618859E-7</v>
      </c>
      <c r="AT34" s="219">
        <v>2.0736000294618859E-7</v>
      </c>
      <c r="AU34" s="219">
        <v>2.0736000294618859E-7</v>
      </c>
      <c r="AV34" s="219">
        <v>2.0736000294618859E-7</v>
      </c>
      <c r="AW34" s="219">
        <v>2.0736000294618859E-7</v>
      </c>
      <c r="AX34" s="219">
        <v>2.0736000294618859E-7</v>
      </c>
      <c r="AY34" s="219">
        <v>2.0736000294618859E-7</v>
      </c>
      <c r="AZ34" s="219">
        <v>2.0736000294618859E-7</v>
      </c>
      <c r="BA34" s="219">
        <v>2.0736000294618859E-7</v>
      </c>
      <c r="BB34" s="219">
        <v>2.0736000294618859E-7</v>
      </c>
      <c r="BC34" s="33">
        <v>0</v>
      </c>
      <c r="BD34" s="219">
        <v>0</v>
      </c>
      <c r="BE34" s="219">
        <v>0</v>
      </c>
      <c r="BF34" s="219">
        <v>0</v>
      </c>
      <c r="BG34" s="219">
        <v>0</v>
      </c>
      <c r="BH34" s="219">
        <v>0</v>
      </c>
      <c r="BI34" s="219">
        <v>0</v>
      </c>
      <c r="BJ34" s="219">
        <v>0</v>
      </c>
      <c r="BK34" s="219">
        <v>0</v>
      </c>
      <c r="BL34" s="219">
        <v>0</v>
      </c>
      <c r="BM34" s="219">
        <v>0</v>
      </c>
      <c r="BN34" s="219">
        <v>0</v>
      </c>
      <c r="BO34" s="219">
        <v>0</v>
      </c>
      <c r="BP34" s="219">
        <v>0</v>
      </c>
      <c r="BQ34" s="219">
        <v>0</v>
      </c>
      <c r="BR34" s="219">
        <v>0</v>
      </c>
      <c r="BS34" s="219">
        <v>0</v>
      </c>
      <c r="BT34" s="219">
        <v>0</v>
      </c>
      <c r="BU34" s="219">
        <v>0</v>
      </c>
      <c r="BV34" s="219">
        <v>0</v>
      </c>
      <c r="BW34" s="219">
        <v>0</v>
      </c>
      <c r="BX34" s="219">
        <v>0</v>
      </c>
      <c r="BY34" s="219">
        <v>0</v>
      </c>
      <c r="BZ34" s="219">
        <v>0</v>
      </c>
      <c r="CA34" s="219">
        <v>0</v>
      </c>
      <c r="CB34" s="219">
        <v>0</v>
      </c>
      <c r="CC34" s="33">
        <v>0</v>
      </c>
      <c r="CD34" s="219">
        <v>0</v>
      </c>
      <c r="CE34" s="219">
        <v>0</v>
      </c>
      <c r="CF34" s="219">
        <v>0</v>
      </c>
      <c r="CG34" s="219">
        <v>0</v>
      </c>
      <c r="CH34" s="219">
        <v>0</v>
      </c>
      <c r="CI34" s="219">
        <v>0</v>
      </c>
      <c r="CJ34" s="219">
        <v>0</v>
      </c>
      <c r="CK34" s="219">
        <v>0</v>
      </c>
      <c r="CL34" s="219">
        <v>0</v>
      </c>
      <c r="CM34" s="219">
        <v>0</v>
      </c>
      <c r="CN34" s="219">
        <v>0</v>
      </c>
      <c r="CO34" s="219">
        <v>0</v>
      </c>
      <c r="CP34" s="219">
        <v>0</v>
      </c>
      <c r="CQ34" s="219">
        <v>0</v>
      </c>
      <c r="CR34" s="219">
        <v>0</v>
      </c>
      <c r="CS34" s="219">
        <v>0</v>
      </c>
      <c r="CT34" s="219">
        <v>0</v>
      </c>
      <c r="CU34" s="219">
        <v>0</v>
      </c>
      <c r="CV34" s="219">
        <v>0</v>
      </c>
      <c r="CW34" s="219">
        <v>0</v>
      </c>
      <c r="CX34" s="219">
        <v>0</v>
      </c>
      <c r="CY34" s="219">
        <v>0</v>
      </c>
      <c r="CZ34" s="219">
        <v>0</v>
      </c>
      <c r="DA34" s="219">
        <v>0</v>
      </c>
      <c r="DB34" s="219">
        <v>0</v>
      </c>
    </row>
    <row r="35" spans="1:106" x14ac:dyDescent="0.35">
      <c r="A35" s="137" t="s">
        <v>563</v>
      </c>
      <c r="B35" s="130" t="s">
        <v>704</v>
      </c>
      <c r="C35" s="219">
        <v>8.1843757451045343E-3</v>
      </c>
      <c r="D35" s="219">
        <v>8.183167088913439E-3</v>
      </c>
      <c r="E35" s="219">
        <v>8.1609008218352999E-3</v>
      </c>
      <c r="F35" s="219">
        <v>8.1257248633846927E-3</v>
      </c>
      <c r="G35" s="219">
        <v>8.0970341069473879E-3</v>
      </c>
      <c r="H35" s="219">
        <v>8.0683824953632285E-3</v>
      </c>
      <c r="I35" s="219">
        <v>8.3145443428219619E-3</v>
      </c>
      <c r="J35" s="219">
        <v>8.5595823774225789E-3</v>
      </c>
      <c r="K35" s="219">
        <v>8.8011401679052408E-3</v>
      </c>
      <c r="L35" s="219">
        <v>9.0435159591937039E-3</v>
      </c>
      <c r="M35" s="219">
        <v>9.2844277756689835E-3</v>
      </c>
      <c r="N35" s="219">
        <v>9.7584680957714613E-3</v>
      </c>
      <c r="O35" s="219">
        <v>1.023149638473928E-2</v>
      </c>
      <c r="P35" s="219">
        <v>1.070302603523589E-2</v>
      </c>
      <c r="Q35" s="219">
        <v>1.117386823033798E-2</v>
      </c>
      <c r="R35" s="219">
        <v>1.164367695656064E-2</v>
      </c>
      <c r="S35" s="219">
        <v>1.1648222122417231E-2</v>
      </c>
      <c r="T35" s="219">
        <v>1.1650966164193789E-2</v>
      </c>
      <c r="U35" s="219">
        <v>1.165288764507936E-2</v>
      </c>
      <c r="V35" s="219">
        <v>1.165501116578539E-2</v>
      </c>
      <c r="W35" s="219">
        <v>1.165687052050482E-2</v>
      </c>
      <c r="X35" s="219">
        <v>1.17821384509451E-2</v>
      </c>
      <c r="Y35" s="219">
        <v>1.1509816403075589E-2</v>
      </c>
      <c r="Z35" s="219">
        <v>1.123657085773243E-2</v>
      </c>
      <c r="AA35" s="219">
        <v>1.096238891410801E-2</v>
      </c>
      <c r="AB35" s="219">
        <v>1.068726513921755E-2</v>
      </c>
      <c r="AC35" s="33">
        <v>7.6552932982698268E-5</v>
      </c>
      <c r="AD35" s="219">
        <v>7.6010970519416757E-5</v>
      </c>
      <c r="AE35" s="219">
        <v>7.5466947552501224E-5</v>
      </c>
      <c r="AF35" s="219">
        <v>7.487264875440817E-5</v>
      </c>
      <c r="AG35" s="219">
        <v>7.432235537138668E-5</v>
      </c>
      <c r="AH35" s="219">
        <v>7.3769848237885291E-5</v>
      </c>
      <c r="AI35" s="219">
        <v>7.8856260973132771E-5</v>
      </c>
      <c r="AJ35" s="219">
        <v>8.3938355917066037E-5</v>
      </c>
      <c r="AK35" s="219">
        <v>8.8984844661439615E-5</v>
      </c>
      <c r="AL35" s="219">
        <v>9.4064665005526841E-5</v>
      </c>
      <c r="AM35" s="219">
        <v>9.9141091950890768E-5</v>
      </c>
      <c r="AN35" s="219">
        <v>1.093926101386867E-4</v>
      </c>
      <c r="AO35" s="219">
        <v>1.196891016593762E-4</v>
      </c>
      <c r="AP35" s="219">
        <v>1.3002657400259621E-4</v>
      </c>
      <c r="AQ35" s="219">
        <v>1.4042332286766851E-4</v>
      </c>
      <c r="AR35" s="219">
        <v>1.5087530225462191E-4</v>
      </c>
      <c r="AS35" s="219">
        <v>1.513031490702172E-4</v>
      </c>
      <c r="AT35" s="219">
        <v>1.5175727466188241E-4</v>
      </c>
      <c r="AU35" s="219">
        <v>1.522261791968526E-4</v>
      </c>
      <c r="AV35" s="219">
        <v>1.52724533929238E-4</v>
      </c>
      <c r="AW35" s="219">
        <v>1.5324136186619869E-4</v>
      </c>
      <c r="AX35" s="219">
        <v>1.510360796104459E-4</v>
      </c>
      <c r="AY35" s="219">
        <v>1.461215265710721E-4</v>
      </c>
      <c r="AZ35" s="219">
        <v>1.4118875029574729E-4</v>
      </c>
      <c r="BA35" s="219">
        <v>1.3623761980649439E-4</v>
      </c>
      <c r="BB35" s="219">
        <v>1.3126804622281499E-4</v>
      </c>
      <c r="BC35" s="33">
        <v>2320.2957126513638</v>
      </c>
      <c r="BD35" s="219">
        <v>2331.0218189238758</v>
      </c>
      <c r="BE35" s="219">
        <v>2341.8370283107788</v>
      </c>
      <c r="BF35" s="219">
        <v>2348.5919610114788</v>
      </c>
      <c r="BG35" s="219">
        <v>2359.6433244948312</v>
      </c>
      <c r="BH35" s="219">
        <v>2370.780781485762</v>
      </c>
      <c r="BI35" s="219">
        <v>2412.493818635865</v>
      </c>
      <c r="BJ35" s="219">
        <v>2454.1519216562142</v>
      </c>
      <c r="BK35" s="219">
        <v>2492.6634035677921</v>
      </c>
      <c r="BL35" s="219">
        <v>2534.3600755608791</v>
      </c>
      <c r="BM35" s="219">
        <v>2576.0259066095182</v>
      </c>
      <c r="BN35" s="219">
        <v>2580.9910172522009</v>
      </c>
      <c r="BO35" s="219">
        <v>2585.835724022978</v>
      </c>
      <c r="BP35" s="219">
        <v>2589.847069282258</v>
      </c>
      <c r="BQ35" s="219">
        <v>2594.4417078668812</v>
      </c>
      <c r="BR35" s="219">
        <v>2598.8976822769332</v>
      </c>
      <c r="BS35" s="219">
        <v>2694.096908539269</v>
      </c>
      <c r="BT35" s="219">
        <v>2789.3406357299609</v>
      </c>
      <c r="BU35" s="219">
        <v>2884.0214082249759</v>
      </c>
      <c r="BV35" s="219">
        <v>2979.415699161957</v>
      </c>
      <c r="BW35" s="219">
        <v>3074.893445952297</v>
      </c>
      <c r="BX35" s="219">
        <v>3094.610040836661</v>
      </c>
      <c r="BY35" s="219">
        <v>3114.509726791935</v>
      </c>
      <c r="BZ35" s="219">
        <v>3134.5413143898099</v>
      </c>
      <c r="CA35" s="219">
        <v>3154.7042012745792</v>
      </c>
      <c r="CB35" s="219">
        <v>3174.999098036069</v>
      </c>
      <c r="CC35" s="33">
        <v>40261.888598827769</v>
      </c>
      <c r="CD35" s="219">
        <v>40240.470842344803</v>
      </c>
      <c r="CE35" s="219">
        <v>40219.377189881066</v>
      </c>
      <c r="CF35" s="219">
        <v>40164.155443535681</v>
      </c>
      <c r="CG35" s="219">
        <v>40143.887253455367</v>
      </c>
      <c r="CH35" s="219">
        <v>40123.744730421568</v>
      </c>
      <c r="CI35" s="219">
        <v>42922.359912744832</v>
      </c>
      <c r="CJ35" s="219">
        <v>45711.814655240029</v>
      </c>
      <c r="CK35" s="219">
        <v>48469.600960247997</v>
      </c>
      <c r="CL35" s="219">
        <v>51244.26166467186</v>
      </c>
      <c r="CM35" s="219">
        <v>54007.57513731264</v>
      </c>
      <c r="CN35" s="219">
        <v>58805.998099304423</v>
      </c>
      <c r="CO35" s="219">
        <v>63593.729789985948</v>
      </c>
      <c r="CP35" s="219">
        <v>68366.45073817049</v>
      </c>
      <c r="CQ35" s="219">
        <v>73132.307582493653</v>
      </c>
      <c r="CR35" s="219">
        <v>77887.249691509773</v>
      </c>
      <c r="CS35" s="219">
        <v>78793.039772690652</v>
      </c>
      <c r="CT35" s="219">
        <v>79697.966450308653</v>
      </c>
      <c r="CU35" s="219">
        <v>80598.382412456966</v>
      </c>
      <c r="CV35" s="219">
        <v>81502.020586552564</v>
      </c>
      <c r="CW35" s="219">
        <v>82405.090800476421</v>
      </c>
      <c r="CX35" s="219">
        <v>83596.226869636375</v>
      </c>
      <c r="CY35" s="219">
        <v>81632.204246008099</v>
      </c>
      <c r="CZ35" s="219">
        <v>79661.867864493193</v>
      </c>
      <c r="DA35" s="219">
        <v>77685.151994211061</v>
      </c>
      <c r="DB35" s="219">
        <v>75702.016242801197</v>
      </c>
    </row>
    <row r="37" spans="1:106" s="11" customFormat="1" ht="21" x14ac:dyDescent="0.5">
      <c r="A37" s="11" t="s">
        <v>73</v>
      </c>
    </row>
    <row r="38" spans="1:106" x14ac:dyDescent="0.35">
      <c r="A38" s="29" t="s">
        <v>0</v>
      </c>
      <c r="B38" s="29"/>
      <c r="C38" s="332" t="s">
        <v>697</v>
      </c>
      <c r="D38" s="332"/>
      <c r="E38" s="332"/>
      <c r="F38" s="332"/>
      <c r="G38" s="332"/>
      <c r="H38" s="332"/>
      <c r="I38" s="332"/>
      <c r="J38" s="332"/>
      <c r="K38" s="332"/>
      <c r="L38" s="332"/>
      <c r="M38" s="332"/>
      <c r="N38" s="332"/>
      <c r="O38" s="332"/>
      <c r="P38" s="332"/>
      <c r="Q38" s="332"/>
      <c r="R38" s="332"/>
      <c r="S38" s="332"/>
      <c r="T38" s="332"/>
      <c r="U38" s="332"/>
      <c r="V38" s="332"/>
      <c r="W38" s="332"/>
      <c r="X38" s="332"/>
      <c r="Y38" s="332"/>
      <c r="Z38" s="332"/>
      <c r="AA38" s="332"/>
      <c r="AB38" s="332"/>
      <c r="AC38" s="333" t="s">
        <v>698</v>
      </c>
      <c r="AD38" s="333"/>
      <c r="AE38" s="333"/>
      <c r="AF38" s="333"/>
      <c r="AG38" s="333"/>
      <c r="AH38" s="333"/>
      <c r="AI38" s="333"/>
      <c r="AJ38" s="333"/>
      <c r="AK38" s="333"/>
      <c r="AL38" s="333"/>
      <c r="AM38" s="333"/>
      <c r="AN38" s="333"/>
      <c r="AO38" s="333"/>
      <c r="AP38" s="333"/>
      <c r="AQ38" s="333"/>
      <c r="AR38" s="333"/>
      <c r="AS38" s="333"/>
      <c r="AT38" s="333"/>
      <c r="AU38" s="333"/>
      <c r="AV38" s="333"/>
      <c r="AW38" s="333"/>
      <c r="AX38" s="333"/>
      <c r="AY38" s="333"/>
      <c r="AZ38" s="333"/>
      <c r="BA38" s="333"/>
      <c r="BB38" s="333"/>
      <c r="BC38" s="334" t="s">
        <v>756</v>
      </c>
      <c r="BD38" s="335"/>
      <c r="BE38" s="335"/>
      <c r="BF38" s="335"/>
      <c r="BG38" s="335"/>
      <c r="BH38" s="335"/>
      <c r="BI38" s="335"/>
      <c r="BJ38" s="335"/>
      <c r="BK38" s="335"/>
      <c r="BL38" s="335"/>
      <c r="BM38" s="335"/>
      <c r="BN38" s="335"/>
      <c r="BO38" s="335"/>
      <c r="BP38" s="335"/>
      <c r="BQ38" s="335"/>
      <c r="BR38" s="335"/>
      <c r="BS38" s="335"/>
      <c r="BT38" s="335"/>
      <c r="BU38" s="335"/>
      <c r="BV38" s="335"/>
      <c r="BW38" s="335"/>
      <c r="BX38" s="335"/>
      <c r="BY38" s="335"/>
      <c r="BZ38" s="335"/>
      <c r="CA38" s="335"/>
      <c r="CB38" s="336"/>
      <c r="CC38" s="337" t="s">
        <v>699</v>
      </c>
      <c r="CD38" s="337"/>
      <c r="CE38" s="337"/>
      <c r="CF38" s="337"/>
      <c r="CG38" s="337"/>
      <c r="CH38" s="337"/>
      <c r="CI38" s="337"/>
      <c r="CJ38" s="337"/>
      <c r="CK38" s="337"/>
      <c r="CL38" s="337"/>
      <c r="CM38" s="337"/>
      <c r="CN38" s="337"/>
      <c r="CO38" s="337"/>
      <c r="CP38" s="337"/>
      <c r="CQ38" s="337"/>
      <c r="CR38" s="337"/>
      <c r="CS38" s="337"/>
      <c r="CT38" s="337"/>
      <c r="CU38" s="337"/>
      <c r="CV38" s="337"/>
      <c r="CW38" s="337"/>
      <c r="CX38" s="337"/>
      <c r="CY38" s="337"/>
      <c r="CZ38" s="337"/>
      <c r="DA38" s="337"/>
      <c r="DB38" s="337"/>
    </row>
    <row r="39" spans="1:106" x14ac:dyDescent="0.35">
      <c r="A39" s="29" t="s">
        <v>1</v>
      </c>
      <c r="B39" s="29" t="s">
        <v>180</v>
      </c>
      <c r="C39" s="184" t="s">
        <v>8</v>
      </c>
      <c r="D39" s="184" t="s">
        <v>74</v>
      </c>
      <c r="E39" s="184" t="s">
        <v>75</v>
      </c>
      <c r="F39" s="184" t="s">
        <v>76</v>
      </c>
      <c r="G39" s="184" t="s">
        <v>77</v>
      </c>
      <c r="H39" s="184" t="s">
        <v>9</v>
      </c>
      <c r="I39" s="184" t="s">
        <v>78</v>
      </c>
      <c r="J39" s="184" t="s">
        <v>79</v>
      </c>
      <c r="K39" s="184" t="s">
        <v>80</v>
      </c>
      <c r="L39" s="184" t="s">
        <v>81</v>
      </c>
      <c r="M39" s="184" t="s">
        <v>10</v>
      </c>
      <c r="N39" s="184" t="s">
        <v>82</v>
      </c>
      <c r="O39" s="184" t="s">
        <v>83</v>
      </c>
      <c r="P39" s="184" t="s">
        <v>84</v>
      </c>
      <c r="Q39" s="184" t="s">
        <v>85</v>
      </c>
      <c r="R39" s="184" t="s">
        <v>11</v>
      </c>
      <c r="S39" s="184" t="s">
        <v>86</v>
      </c>
      <c r="T39" s="184" t="s">
        <v>87</v>
      </c>
      <c r="U39" s="184" t="s">
        <v>88</v>
      </c>
      <c r="V39" s="184" t="s">
        <v>89</v>
      </c>
      <c r="W39" s="184" t="s">
        <v>12</v>
      </c>
      <c r="X39" s="184" t="s">
        <v>90</v>
      </c>
      <c r="Y39" s="184" t="s">
        <v>91</v>
      </c>
      <c r="Z39" s="184" t="s">
        <v>92</v>
      </c>
      <c r="AA39" s="184" t="s">
        <v>93</v>
      </c>
      <c r="AB39" s="184" t="s">
        <v>13</v>
      </c>
      <c r="AC39" s="185" t="s">
        <v>8</v>
      </c>
      <c r="AD39" s="185" t="s">
        <v>74</v>
      </c>
      <c r="AE39" s="185" t="s">
        <v>75</v>
      </c>
      <c r="AF39" s="185" t="s">
        <v>76</v>
      </c>
      <c r="AG39" s="185" t="s">
        <v>77</v>
      </c>
      <c r="AH39" s="185" t="s">
        <v>9</v>
      </c>
      <c r="AI39" s="185" t="s">
        <v>78</v>
      </c>
      <c r="AJ39" s="185" t="s">
        <v>79</v>
      </c>
      <c r="AK39" s="185" t="s">
        <v>80</v>
      </c>
      <c r="AL39" s="185" t="s">
        <v>81</v>
      </c>
      <c r="AM39" s="185" t="s">
        <v>10</v>
      </c>
      <c r="AN39" s="185" t="s">
        <v>82</v>
      </c>
      <c r="AO39" s="185" t="s">
        <v>83</v>
      </c>
      <c r="AP39" s="185" t="s">
        <v>84</v>
      </c>
      <c r="AQ39" s="185" t="s">
        <v>85</v>
      </c>
      <c r="AR39" s="185" t="s">
        <v>11</v>
      </c>
      <c r="AS39" s="185" t="s">
        <v>86</v>
      </c>
      <c r="AT39" s="185" t="s">
        <v>87</v>
      </c>
      <c r="AU39" s="185" t="s">
        <v>88</v>
      </c>
      <c r="AV39" s="185" t="s">
        <v>89</v>
      </c>
      <c r="AW39" s="185" t="s">
        <v>12</v>
      </c>
      <c r="AX39" s="185" t="s">
        <v>90</v>
      </c>
      <c r="AY39" s="185" t="s">
        <v>91</v>
      </c>
      <c r="AZ39" s="185" t="s">
        <v>92</v>
      </c>
      <c r="BA39" s="185" t="s">
        <v>93</v>
      </c>
      <c r="BB39" s="185" t="s">
        <v>13</v>
      </c>
      <c r="BC39" s="225" t="s">
        <v>8</v>
      </c>
      <c r="BD39" s="225" t="s">
        <v>74</v>
      </c>
      <c r="BE39" s="225" t="s">
        <v>75</v>
      </c>
      <c r="BF39" s="225" t="s">
        <v>76</v>
      </c>
      <c r="BG39" s="225" t="s">
        <v>77</v>
      </c>
      <c r="BH39" s="225" t="s">
        <v>9</v>
      </c>
      <c r="BI39" s="225" t="s">
        <v>78</v>
      </c>
      <c r="BJ39" s="225" t="s">
        <v>79</v>
      </c>
      <c r="BK39" s="225" t="s">
        <v>80</v>
      </c>
      <c r="BL39" s="225" t="s">
        <v>81</v>
      </c>
      <c r="BM39" s="225" t="s">
        <v>10</v>
      </c>
      <c r="BN39" s="225" t="s">
        <v>82</v>
      </c>
      <c r="BO39" s="225" t="s">
        <v>83</v>
      </c>
      <c r="BP39" s="225" t="s">
        <v>84</v>
      </c>
      <c r="BQ39" s="225" t="s">
        <v>85</v>
      </c>
      <c r="BR39" s="225" t="s">
        <v>11</v>
      </c>
      <c r="BS39" s="225" t="s">
        <v>86</v>
      </c>
      <c r="BT39" s="225" t="s">
        <v>87</v>
      </c>
      <c r="BU39" s="225" t="s">
        <v>88</v>
      </c>
      <c r="BV39" s="225" t="s">
        <v>89</v>
      </c>
      <c r="BW39" s="225" t="s">
        <v>12</v>
      </c>
      <c r="BX39" s="225" t="s">
        <v>90</v>
      </c>
      <c r="BY39" s="225" t="s">
        <v>91</v>
      </c>
      <c r="BZ39" s="225" t="s">
        <v>92</v>
      </c>
      <c r="CA39" s="225" t="s">
        <v>93</v>
      </c>
      <c r="CB39" s="225" t="s">
        <v>13</v>
      </c>
      <c r="CC39" s="224" t="s">
        <v>8</v>
      </c>
      <c r="CD39" s="224" t="s">
        <v>74</v>
      </c>
      <c r="CE39" s="224" t="s">
        <v>75</v>
      </c>
      <c r="CF39" s="224" t="s">
        <v>76</v>
      </c>
      <c r="CG39" s="224" t="s">
        <v>77</v>
      </c>
      <c r="CH39" s="224" t="s">
        <v>9</v>
      </c>
      <c r="CI39" s="224" t="s">
        <v>78</v>
      </c>
      <c r="CJ39" s="224" t="s">
        <v>79</v>
      </c>
      <c r="CK39" s="224" t="s">
        <v>80</v>
      </c>
      <c r="CL39" s="224" t="s">
        <v>81</v>
      </c>
      <c r="CM39" s="224" t="s">
        <v>10</v>
      </c>
      <c r="CN39" s="224" t="s">
        <v>82</v>
      </c>
      <c r="CO39" s="224" t="s">
        <v>83</v>
      </c>
      <c r="CP39" s="224" t="s">
        <v>84</v>
      </c>
      <c r="CQ39" s="224" t="s">
        <v>85</v>
      </c>
      <c r="CR39" s="224" t="s">
        <v>11</v>
      </c>
      <c r="CS39" s="224" t="s">
        <v>86</v>
      </c>
      <c r="CT39" s="224" t="s">
        <v>87</v>
      </c>
      <c r="CU39" s="224" t="s">
        <v>88</v>
      </c>
      <c r="CV39" s="224" t="s">
        <v>89</v>
      </c>
      <c r="CW39" s="224" t="s">
        <v>12</v>
      </c>
      <c r="CX39" s="224" t="s">
        <v>90</v>
      </c>
      <c r="CY39" s="224" t="s">
        <v>91</v>
      </c>
      <c r="CZ39" s="224" t="s">
        <v>92</v>
      </c>
      <c r="DA39" s="224" t="s">
        <v>93</v>
      </c>
      <c r="DB39" s="224" t="s">
        <v>13</v>
      </c>
    </row>
    <row r="41" spans="1:106" x14ac:dyDescent="0.35">
      <c r="A41" s="137" t="s">
        <v>538</v>
      </c>
      <c r="B41" s="130" t="s">
        <v>545</v>
      </c>
      <c r="C41" s="33">
        <v>3.1821965122054842E-4</v>
      </c>
      <c r="D41" s="219">
        <v>3.1579009451324942E-4</v>
      </c>
      <c r="E41" s="219">
        <v>3.1336317572121881E-4</v>
      </c>
      <c r="F41" s="219">
        <v>3.1035277513751669E-4</v>
      </c>
      <c r="G41" s="219">
        <v>3.0803927931452E-4</v>
      </c>
      <c r="H41" s="219">
        <v>3.0576056009063698E-4</v>
      </c>
      <c r="I41" s="219">
        <v>3.0137333762237452E-4</v>
      </c>
      <c r="J41" s="219">
        <v>2.9852742451516552E-4</v>
      </c>
      <c r="K41" s="219">
        <v>2.9627743617418998E-4</v>
      </c>
      <c r="L41" s="219">
        <v>2.9422709518612232E-4</v>
      </c>
      <c r="M41" s="219">
        <v>2.9218883927943743E-4</v>
      </c>
      <c r="N41" s="219">
        <v>2.8965377448777281E-4</v>
      </c>
      <c r="O41" s="219">
        <v>2.8717011157634327E-4</v>
      </c>
      <c r="P41" s="219">
        <v>2.846426570813309E-4</v>
      </c>
      <c r="Q41" s="219">
        <v>2.8223902364450518E-4</v>
      </c>
      <c r="R41" s="219">
        <v>2.7986413634201331E-4</v>
      </c>
      <c r="S41" s="219">
        <v>2.7839129766970048E-4</v>
      </c>
      <c r="T41" s="219">
        <v>2.7698935162602609E-4</v>
      </c>
      <c r="U41" s="219">
        <v>2.7552944402994958E-4</v>
      </c>
      <c r="V41" s="219">
        <v>2.7414905990724611E-4</v>
      </c>
      <c r="W41" s="219">
        <v>2.7277448051093517E-4</v>
      </c>
      <c r="X41" s="219">
        <v>2.7948700502879138E-4</v>
      </c>
      <c r="Y41" s="219">
        <v>2.7924135782814651E-4</v>
      </c>
      <c r="Z41" s="219">
        <v>2.7899453279563429E-4</v>
      </c>
      <c r="AA41" s="219">
        <v>2.7874664906185338E-4</v>
      </c>
      <c r="AB41" s="219">
        <v>2.7849863188425539E-4</v>
      </c>
      <c r="AC41" s="33">
        <v>1.609797474401893E-6</v>
      </c>
      <c r="AD41" s="219">
        <v>1.5878754554790459E-6</v>
      </c>
      <c r="AE41" s="219">
        <v>1.5654444672710189E-6</v>
      </c>
      <c r="AF41" s="219">
        <v>1.538509101462753E-6</v>
      </c>
      <c r="AG41" s="219">
        <v>1.515303973454746E-6</v>
      </c>
      <c r="AH41" s="219">
        <v>1.4916416810473069E-6</v>
      </c>
      <c r="AI41" s="219">
        <v>1.469467536091977E-6</v>
      </c>
      <c r="AJ41" s="219">
        <v>1.450833442099247E-6</v>
      </c>
      <c r="AK41" s="219">
        <v>1.4310027430037009E-6</v>
      </c>
      <c r="AL41" s="219">
        <v>1.413675481987021E-6</v>
      </c>
      <c r="AM41" s="219">
        <v>1.3959855080049681E-6</v>
      </c>
      <c r="AN41" s="219">
        <v>1.383571503486586E-6</v>
      </c>
      <c r="AO41" s="219">
        <v>1.3712152896598909E-6</v>
      </c>
      <c r="AP41" s="219">
        <v>1.357667658634143E-6</v>
      </c>
      <c r="AQ41" s="219">
        <v>1.3453080101729839E-6</v>
      </c>
      <c r="AR41" s="219">
        <v>1.3329486312686671E-6</v>
      </c>
      <c r="AS41" s="219">
        <v>1.327175741072453E-6</v>
      </c>
      <c r="AT41" s="219">
        <v>1.3215985405768161E-6</v>
      </c>
      <c r="AU41" s="219">
        <v>1.314778686389425E-6</v>
      </c>
      <c r="AV41" s="219">
        <v>1.3093080174290769E-6</v>
      </c>
      <c r="AW41" s="219">
        <v>1.303980846826123E-6</v>
      </c>
      <c r="AX41" s="219">
        <v>1.3147062392609901E-6</v>
      </c>
      <c r="AY41" s="219">
        <v>1.313952450352884E-6</v>
      </c>
      <c r="AZ41" s="219">
        <v>1.3131960349755391E-6</v>
      </c>
      <c r="BA41" s="219">
        <v>1.312437394970571E-6</v>
      </c>
      <c r="BB41" s="219">
        <v>1.3116795085208951E-6</v>
      </c>
      <c r="BC41" s="33">
        <v>75.449016980629139</v>
      </c>
      <c r="BD41" s="219">
        <v>75.132823370570947</v>
      </c>
      <c r="BE41" s="219">
        <v>74.817609130714843</v>
      </c>
      <c r="BF41" s="219">
        <v>74.181466553332825</v>
      </c>
      <c r="BG41" s="219">
        <v>73.873356205963688</v>
      </c>
      <c r="BH41" s="219">
        <v>73.565736039785904</v>
      </c>
      <c r="BI41" s="219">
        <v>73.382951531221309</v>
      </c>
      <c r="BJ41" s="219">
        <v>73.266820747844534</v>
      </c>
      <c r="BK41" s="219">
        <v>72.957073055051552</v>
      </c>
      <c r="BL41" s="219">
        <v>72.878950868089362</v>
      </c>
      <c r="BM41" s="219">
        <v>72.800329668177525</v>
      </c>
      <c r="BN41" s="219">
        <v>72.571305223099245</v>
      </c>
      <c r="BO41" s="219">
        <v>72.345616152874513</v>
      </c>
      <c r="BP41" s="219">
        <v>72.054530503618693</v>
      </c>
      <c r="BQ41" s="219">
        <v>71.835682655402209</v>
      </c>
      <c r="BR41" s="219">
        <v>71.619113957549416</v>
      </c>
      <c r="BS41" s="219">
        <v>71.483986321841755</v>
      </c>
      <c r="BT41" s="219">
        <v>71.353311597093736</v>
      </c>
      <c r="BU41" s="219">
        <v>71.159753467152768</v>
      </c>
      <c r="BV41" s="219">
        <v>71.032400382428349</v>
      </c>
      <c r="BW41" s="219">
        <v>70.905788985548384</v>
      </c>
      <c r="BX41" s="219">
        <v>70.826663994042448</v>
      </c>
      <c r="BY41" s="219">
        <v>70.74851087963799</v>
      </c>
      <c r="BZ41" s="219">
        <v>70.670992952033629</v>
      </c>
      <c r="CA41" s="219">
        <v>70.594085312841244</v>
      </c>
      <c r="CB41" s="219">
        <v>70.517814213289455</v>
      </c>
      <c r="CC41" s="33">
        <v>783.40535284478449</v>
      </c>
      <c r="CD41" s="219">
        <v>770.48624606288251</v>
      </c>
      <c r="CE41" s="219">
        <v>757.56991474703386</v>
      </c>
      <c r="CF41" s="219">
        <v>742.10329331147238</v>
      </c>
      <c r="CG41" s="219">
        <v>729.34051071739327</v>
      </c>
      <c r="CH41" s="219">
        <v>716.5622592196537</v>
      </c>
      <c r="CI41" s="219">
        <v>699.35822622700096</v>
      </c>
      <c r="CJ41" s="219">
        <v>685.5448383392735</v>
      </c>
      <c r="CK41" s="219">
        <v>671.79413969979771</v>
      </c>
      <c r="CL41" s="219">
        <v>659.83351246050438</v>
      </c>
      <c r="CM41" s="219">
        <v>647.87886219804363</v>
      </c>
      <c r="CN41" s="219">
        <v>634.22257270522823</v>
      </c>
      <c r="CO41" s="219">
        <v>620.74988421072123</v>
      </c>
      <c r="CP41" s="219">
        <v>606.93966585284772</v>
      </c>
      <c r="CQ41" s="219">
        <v>593.77931522490735</v>
      </c>
      <c r="CR41" s="219">
        <v>580.75025030829227</v>
      </c>
      <c r="CS41" s="219">
        <v>571.9580503382432</v>
      </c>
      <c r="CT41" s="219">
        <v>563.37892410483016</v>
      </c>
      <c r="CU41" s="219">
        <v>554.48035075643702</v>
      </c>
      <c r="CV41" s="219">
        <v>546.07153014757318</v>
      </c>
      <c r="CW41" s="219">
        <v>537.75041143128988</v>
      </c>
      <c r="CX41" s="219">
        <v>536.57543638451489</v>
      </c>
      <c r="CY41" s="219">
        <v>534.46532909292262</v>
      </c>
      <c r="CZ41" s="219">
        <v>532.36268168013089</v>
      </c>
      <c r="DA41" s="219">
        <v>530.26783389008642</v>
      </c>
      <c r="DB41" s="219">
        <v>528.1828626865555</v>
      </c>
    </row>
    <row r="42" spans="1:106" x14ac:dyDescent="0.35">
      <c r="A42" s="137" t="s">
        <v>533</v>
      </c>
      <c r="B42" s="130" t="s">
        <v>545</v>
      </c>
      <c r="C42" s="33">
        <v>4.5108434667840948E-4</v>
      </c>
      <c r="D42" s="219">
        <v>4.4730450220968712E-4</v>
      </c>
      <c r="E42" s="219">
        <v>4.4350859644200203E-4</v>
      </c>
      <c r="F42" s="219">
        <v>4.388785540587112E-4</v>
      </c>
      <c r="G42" s="219">
        <v>4.3511467845344621E-4</v>
      </c>
      <c r="H42" s="219">
        <v>4.3137328314223582E-4</v>
      </c>
      <c r="I42" s="219">
        <v>4.2663820222797961E-4</v>
      </c>
      <c r="J42" s="219">
        <v>4.2302173171931252E-4</v>
      </c>
      <c r="K42" s="219">
        <v>4.1970727300634389E-4</v>
      </c>
      <c r="L42" s="219">
        <v>4.1665646143133547E-4</v>
      </c>
      <c r="M42" s="219">
        <v>4.1362545265578063E-4</v>
      </c>
      <c r="N42" s="219">
        <v>4.1001045963310289E-4</v>
      </c>
      <c r="O42" s="219">
        <v>4.0646219251936141E-4</v>
      </c>
      <c r="P42" s="219">
        <v>4.0286187468342542E-4</v>
      </c>
      <c r="Q42" s="219">
        <v>3.9941916114606961E-4</v>
      </c>
      <c r="R42" s="219">
        <v>3.960114009824735E-4</v>
      </c>
      <c r="S42" s="219">
        <v>3.9380548250500091E-4</v>
      </c>
      <c r="T42" s="219">
        <v>3.9165902202261722E-4</v>
      </c>
      <c r="U42" s="219">
        <v>3.8944682079117461E-4</v>
      </c>
      <c r="V42" s="219">
        <v>3.8734045170117111E-4</v>
      </c>
      <c r="W42" s="219">
        <v>3.8524787434739447E-4</v>
      </c>
      <c r="X42" s="219">
        <v>3.9430363031230548E-4</v>
      </c>
      <c r="Y42" s="219">
        <v>3.9380087373525188E-4</v>
      </c>
      <c r="Z42" s="219">
        <v>3.9329944811253412E-4</v>
      </c>
      <c r="AA42" s="219">
        <v>3.9279935456044718E-4</v>
      </c>
      <c r="AB42" s="219">
        <v>3.9230102309583819E-4</v>
      </c>
      <c r="AC42" s="33">
        <v>3.5467374336619431E-6</v>
      </c>
      <c r="AD42" s="219">
        <v>3.5152142082782979E-6</v>
      </c>
      <c r="AE42" s="219">
        <v>3.4828086901503279E-6</v>
      </c>
      <c r="AF42" s="219">
        <v>3.444344995049781E-6</v>
      </c>
      <c r="AG42" s="219">
        <v>3.4103933543968068E-6</v>
      </c>
      <c r="AH42" s="219">
        <v>3.37564429803128E-6</v>
      </c>
      <c r="AI42" s="219">
        <v>3.348138326588882E-6</v>
      </c>
      <c r="AJ42" s="219">
        <v>3.322804002831761E-6</v>
      </c>
      <c r="AK42" s="219">
        <v>3.294644999285191E-6</v>
      </c>
      <c r="AL42" s="219">
        <v>3.2695237034740029E-6</v>
      </c>
      <c r="AM42" s="219">
        <v>3.243834671014366E-6</v>
      </c>
      <c r="AN42" s="219">
        <v>3.226520978984138E-6</v>
      </c>
      <c r="AO42" s="219">
        <v>3.20921718370156E-6</v>
      </c>
      <c r="AP42" s="219">
        <v>3.190359740318069E-6</v>
      </c>
      <c r="AQ42" s="219">
        <v>3.172940121665866E-6</v>
      </c>
      <c r="AR42" s="219">
        <v>3.155468325734945E-6</v>
      </c>
      <c r="AS42" s="219">
        <v>3.1470899727779311E-6</v>
      </c>
      <c r="AT42" s="219">
        <v>3.1388618701410671E-6</v>
      </c>
      <c r="AU42" s="219">
        <v>3.1290993241471219E-6</v>
      </c>
      <c r="AV42" s="219">
        <v>3.1210506179460841E-6</v>
      </c>
      <c r="AW42" s="219">
        <v>3.1132221077514351E-6</v>
      </c>
      <c r="AX42" s="219">
        <v>3.1321734861913901E-6</v>
      </c>
      <c r="AY42" s="219">
        <v>3.1307041708321409E-6</v>
      </c>
      <c r="AZ42" s="219">
        <v>3.1292398612143528E-6</v>
      </c>
      <c r="BA42" s="219">
        <v>3.1277806278508032E-6</v>
      </c>
      <c r="BB42" s="219">
        <v>3.126328232618115E-6</v>
      </c>
      <c r="BC42" s="33">
        <v>336.51251463631371</v>
      </c>
      <c r="BD42" s="219">
        <v>335.92732374556931</v>
      </c>
      <c r="BE42" s="219">
        <v>335.344797142902</v>
      </c>
      <c r="BF42" s="219">
        <v>334.35645245283843</v>
      </c>
      <c r="BG42" s="219">
        <v>333.78295512328998</v>
      </c>
      <c r="BH42" s="219">
        <v>333.21044538808172</v>
      </c>
      <c r="BI42" s="219">
        <v>332.9825090743891</v>
      </c>
      <c r="BJ42" s="219">
        <v>332.80273286514648</v>
      </c>
      <c r="BK42" s="219">
        <v>332.35947850329711</v>
      </c>
      <c r="BL42" s="219">
        <v>332.20885759987891</v>
      </c>
      <c r="BM42" s="219">
        <v>332.05822386367288</v>
      </c>
      <c r="BN42" s="219">
        <v>331.69966873255822</v>
      </c>
      <c r="BO42" s="219">
        <v>331.34563929743808</v>
      </c>
      <c r="BP42" s="219">
        <v>330.90994130769451</v>
      </c>
      <c r="BQ42" s="219">
        <v>330.56534855898741</v>
      </c>
      <c r="BR42" s="219">
        <v>330.22407786579561</v>
      </c>
      <c r="BS42" s="219">
        <v>329.98103182151351</v>
      </c>
      <c r="BT42" s="219">
        <v>329.74258098600018</v>
      </c>
      <c r="BU42" s="219">
        <v>329.42614725287751</v>
      </c>
      <c r="BV42" s="219">
        <v>329.19366756136878</v>
      </c>
      <c r="BW42" s="219">
        <v>328.96298647277109</v>
      </c>
      <c r="BX42" s="219">
        <v>328.82901341243291</v>
      </c>
      <c r="BY42" s="219">
        <v>328.6966078994264</v>
      </c>
      <c r="BZ42" s="219">
        <v>328.56534753688112</v>
      </c>
      <c r="CA42" s="219">
        <v>328.4351678986298</v>
      </c>
      <c r="CB42" s="219">
        <v>328.30605301757021</v>
      </c>
      <c r="CC42" s="33">
        <v>1025.57883289906</v>
      </c>
      <c r="CD42" s="219">
        <v>1007.714622194567</v>
      </c>
      <c r="CE42" s="219">
        <v>989.75714075985286</v>
      </c>
      <c r="CF42" s="219">
        <v>968.3426670417573</v>
      </c>
      <c r="CG42" s="219">
        <v>950.25297833869558</v>
      </c>
      <c r="CH42" s="219">
        <v>932.03295575858112</v>
      </c>
      <c r="CI42" s="219">
        <v>911.91617296083143</v>
      </c>
      <c r="CJ42" s="219">
        <v>894.18556138326824</v>
      </c>
      <c r="CK42" s="219">
        <v>875.48140025476187</v>
      </c>
      <c r="CL42" s="219">
        <v>858.99071722123188</v>
      </c>
      <c r="CM42" s="219">
        <v>842.4666208333274</v>
      </c>
      <c r="CN42" s="219">
        <v>824.0104225337418</v>
      </c>
      <c r="CO42" s="219">
        <v>805.74873031049412</v>
      </c>
      <c r="CP42" s="219">
        <v>787.03841701997715</v>
      </c>
      <c r="CQ42" s="219">
        <v>769.12347698547342</v>
      </c>
      <c r="CR42" s="219">
        <v>751.35941105596703</v>
      </c>
      <c r="CS42" s="219">
        <v>739.28383400869154</v>
      </c>
      <c r="CT42" s="219">
        <v>727.41393730771961</v>
      </c>
      <c r="CU42" s="219">
        <v>715.16263138592103</v>
      </c>
      <c r="CV42" s="219">
        <v>703.54304111551482</v>
      </c>
      <c r="CW42" s="219">
        <v>692.05655123366898</v>
      </c>
      <c r="CX42" s="219">
        <v>691.46132525822361</v>
      </c>
      <c r="CY42" s="219">
        <v>688.41132362573649</v>
      </c>
      <c r="CZ42" s="219">
        <v>685.37916178502519</v>
      </c>
      <c r="DA42" s="219">
        <v>682.36487691423179</v>
      </c>
      <c r="DB42" s="219">
        <v>679.36953703311929</v>
      </c>
    </row>
    <row r="43" spans="1:106" x14ac:dyDescent="0.35">
      <c r="A43" s="137" t="s">
        <v>534</v>
      </c>
      <c r="B43" s="130" t="s">
        <v>545</v>
      </c>
      <c r="C43" s="33">
        <v>1.454293812173775E-3</v>
      </c>
      <c r="D43" s="219">
        <v>1.445967813401994E-3</v>
      </c>
      <c r="E43" s="219">
        <v>1.4377374814118619E-3</v>
      </c>
      <c r="F43" s="219">
        <v>1.426828188712105E-3</v>
      </c>
      <c r="G43" s="219">
        <v>1.419319144651186E-3</v>
      </c>
      <c r="H43" s="219">
        <v>1.4120479640080241E-3</v>
      </c>
      <c r="I43" s="219">
        <v>1.395168866492364E-3</v>
      </c>
      <c r="J43" s="219">
        <v>1.385757344699259E-3</v>
      </c>
      <c r="K43" s="219">
        <v>1.379277248622895E-3</v>
      </c>
      <c r="L43" s="219">
        <v>1.3739281372412029E-3</v>
      </c>
      <c r="M43" s="219">
        <v>1.3686503357767769E-3</v>
      </c>
      <c r="N43" s="219">
        <v>1.361946612863001E-3</v>
      </c>
      <c r="O43" s="219">
        <v>1.355428226477631E-3</v>
      </c>
      <c r="P43" s="219">
        <v>1.348641927996518E-3</v>
      </c>
      <c r="Q43" s="219">
        <v>1.342392994075981E-3</v>
      </c>
      <c r="R43" s="219">
        <v>1.336229343575286E-3</v>
      </c>
      <c r="S43" s="219">
        <v>1.3324376848503909E-3</v>
      </c>
      <c r="T43" s="219">
        <v>1.3289533949017559E-3</v>
      </c>
      <c r="U43" s="219">
        <v>1.3251529025553E-3</v>
      </c>
      <c r="V43" s="219">
        <v>1.3216962291518061E-3</v>
      </c>
      <c r="W43" s="219">
        <v>1.318230985077313E-3</v>
      </c>
      <c r="X43" s="219">
        <v>1.352267590502084E-3</v>
      </c>
      <c r="Y43" s="219">
        <v>1.351438252162556E-3</v>
      </c>
      <c r="Z43" s="219">
        <v>1.3505990592125601E-3</v>
      </c>
      <c r="AA43" s="219">
        <v>1.34975064867871E-3</v>
      </c>
      <c r="AB43" s="219">
        <v>1.3488975124023161E-3</v>
      </c>
      <c r="AC43" s="33">
        <v>7.6861903308191347E-6</v>
      </c>
      <c r="AD43" s="219">
        <v>7.6197817061629511E-6</v>
      </c>
      <c r="AE43" s="219">
        <v>7.5530679762728687E-6</v>
      </c>
      <c r="AF43" s="219">
        <v>7.4670620391876594E-6</v>
      </c>
      <c r="AG43" s="219">
        <v>7.4007568198537547E-6</v>
      </c>
      <c r="AH43" s="219">
        <v>7.3343240397519144E-6</v>
      </c>
      <c r="AI43" s="219">
        <v>7.2670042169753111E-6</v>
      </c>
      <c r="AJ43" s="219">
        <v>7.218154858841208E-6</v>
      </c>
      <c r="AK43" s="219">
        <v>7.1651714686032847E-6</v>
      </c>
      <c r="AL43" s="219">
        <v>7.12518659724425E-6</v>
      </c>
      <c r="AM43" s="219">
        <v>7.084799907199755E-6</v>
      </c>
      <c r="AN43" s="219">
        <v>7.059028265901797E-6</v>
      </c>
      <c r="AO43" s="219">
        <v>7.0335569897028989E-6</v>
      </c>
      <c r="AP43" s="219">
        <v>7.0024647495024229E-6</v>
      </c>
      <c r="AQ43" s="219">
        <v>6.9770774879891056E-6</v>
      </c>
      <c r="AR43" s="219">
        <v>6.9518002881692891E-6</v>
      </c>
      <c r="AS43" s="219">
        <v>6.941718422049244E-6</v>
      </c>
      <c r="AT43" s="219">
        <v>6.9325417507468664E-6</v>
      </c>
      <c r="AU43" s="219">
        <v>6.9173591413076093E-6</v>
      </c>
      <c r="AV43" s="219">
        <v>6.9084834103219722E-6</v>
      </c>
      <c r="AW43" s="219">
        <v>6.9001332148732772E-6</v>
      </c>
      <c r="AX43" s="219">
        <v>6.970164345372932E-6</v>
      </c>
      <c r="AY43" s="219">
        <v>6.9685001338904229E-6</v>
      </c>
      <c r="AZ43" s="219">
        <v>6.966792666269787E-6</v>
      </c>
      <c r="BA43" s="219">
        <v>6.965044926690004E-6</v>
      </c>
      <c r="BB43" s="219">
        <v>6.9632720015215634E-6</v>
      </c>
      <c r="BC43" s="33">
        <v>318.42348502452592</v>
      </c>
      <c r="BD43" s="219">
        <v>317.27965403269502</v>
      </c>
      <c r="BE43" s="219">
        <v>316.15652092766271</v>
      </c>
      <c r="BF43" s="219">
        <v>313.53172634985242</v>
      </c>
      <c r="BG43" s="219">
        <v>312.47546232813818</v>
      </c>
      <c r="BH43" s="219">
        <v>311.43803752440988</v>
      </c>
      <c r="BI43" s="219">
        <v>310.51078370457441</v>
      </c>
      <c r="BJ43" s="219">
        <v>309.91350211985088</v>
      </c>
      <c r="BK43" s="219">
        <v>308.41395529506349</v>
      </c>
      <c r="BL43" s="219">
        <v>308.01496025460148</v>
      </c>
      <c r="BM43" s="219">
        <v>307.62101920081273</v>
      </c>
      <c r="BN43" s="219">
        <v>306.83889529241162</v>
      </c>
      <c r="BO43" s="219">
        <v>306.06958731917427</v>
      </c>
      <c r="BP43" s="219">
        <v>304.98632605681451</v>
      </c>
      <c r="BQ43" s="219">
        <v>304.2433687634765</v>
      </c>
      <c r="BR43" s="219">
        <v>303.50829332575859</v>
      </c>
      <c r="BS43" s="219">
        <v>303.13270328502551</v>
      </c>
      <c r="BT43" s="219">
        <v>302.77676905988619</v>
      </c>
      <c r="BU43" s="219">
        <v>302.11961932201001</v>
      </c>
      <c r="BV43" s="219">
        <v>301.7756635303279</v>
      </c>
      <c r="BW43" s="219">
        <v>301.4334411130863</v>
      </c>
      <c r="BX43" s="219">
        <v>301.12949929608982</v>
      </c>
      <c r="BY43" s="219">
        <v>300.82881350346253</v>
      </c>
      <c r="BZ43" s="219">
        <v>300.53013391876198</v>
      </c>
      <c r="CA43" s="219">
        <v>300.23336453259549</v>
      </c>
      <c r="CB43" s="219">
        <v>299.93865137616001</v>
      </c>
      <c r="CC43" s="33">
        <v>3221.4583525363928</v>
      </c>
      <c r="CD43" s="219">
        <v>3180.2438863665611</v>
      </c>
      <c r="CE43" s="219">
        <v>3139.5066341783931</v>
      </c>
      <c r="CF43" s="219">
        <v>3087.2344501700932</v>
      </c>
      <c r="CG43" s="219">
        <v>3048.282010986225</v>
      </c>
      <c r="CH43" s="219">
        <v>3009.7934923495318</v>
      </c>
      <c r="CI43" s="219">
        <v>2949.9119307578708</v>
      </c>
      <c r="CJ43" s="219">
        <v>2906.5569579179369</v>
      </c>
      <c r="CK43" s="219">
        <v>2863.848715592615</v>
      </c>
      <c r="CL43" s="219">
        <v>2829.7272459474439</v>
      </c>
      <c r="CM43" s="219">
        <v>2795.7772754370162</v>
      </c>
      <c r="CN43" s="219">
        <v>2758.0989219965491</v>
      </c>
      <c r="CO43" s="219">
        <v>2720.969910398569</v>
      </c>
      <c r="CP43" s="219">
        <v>2681.934229038754</v>
      </c>
      <c r="CQ43" s="219">
        <v>2645.693710909833</v>
      </c>
      <c r="CR43" s="219">
        <v>2609.784684965934</v>
      </c>
      <c r="CS43" s="219">
        <v>2585.3955181698288</v>
      </c>
      <c r="CT43" s="219">
        <v>2561.8097238074211</v>
      </c>
      <c r="CU43" s="219">
        <v>2536.48233093522</v>
      </c>
      <c r="CV43" s="219">
        <v>2513.2696817064029</v>
      </c>
      <c r="CW43" s="219">
        <v>2490.2541652958048</v>
      </c>
      <c r="CX43" s="219">
        <v>2487.6737089414328</v>
      </c>
      <c r="CY43" s="219">
        <v>2480.734727007291</v>
      </c>
      <c r="CZ43" s="219">
        <v>2473.7882934695231</v>
      </c>
      <c r="DA43" s="219">
        <v>2466.836482177674</v>
      </c>
      <c r="DB43" s="219">
        <v>2459.8896587784861</v>
      </c>
    </row>
    <row r="44" spans="1:106" x14ac:dyDescent="0.35">
      <c r="A44" s="137" t="s">
        <v>535</v>
      </c>
      <c r="B44" s="130" t="s">
        <v>545</v>
      </c>
      <c r="C44" s="33">
        <v>2.5638112267395499E-3</v>
      </c>
      <c r="D44" s="219">
        <v>2.5519362484893709E-3</v>
      </c>
      <c r="E44" s="219">
        <v>2.540017299252917E-3</v>
      </c>
      <c r="F44" s="219">
        <v>2.525812625527609E-3</v>
      </c>
      <c r="G44" s="219">
        <v>2.5140786663716769E-3</v>
      </c>
      <c r="H44" s="219">
        <v>2.5023915552306549E-3</v>
      </c>
      <c r="I44" s="219">
        <v>2.4866416726638369E-3</v>
      </c>
      <c r="J44" s="219">
        <v>2.4742333028055239E-3</v>
      </c>
      <c r="K44" s="219">
        <v>2.4628263120549982E-3</v>
      </c>
      <c r="L44" s="219">
        <v>2.4522193536376398E-3</v>
      </c>
      <c r="M44" s="219">
        <v>2.4416358598889371E-3</v>
      </c>
      <c r="N44" s="219">
        <v>2.431157996547239E-3</v>
      </c>
      <c r="O44" s="219">
        <v>2.420842188777709E-3</v>
      </c>
      <c r="P44" s="219">
        <v>2.4103637885489332E-3</v>
      </c>
      <c r="Q44" s="219">
        <v>2.4003196568431382E-3</v>
      </c>
      <c r="R44" s="219">
        <v>2.390379201541937E-3</v>
      </c>
      <c r="S44" s="219">
        <v>2.3851071505131241E-3</v>
      </c>
      <c r="T44" s="219">
        <v>2.380012808669753E-3</v>
      </c>
      <c r="U44" s="219">
        <v>2.3747233510410348E-3</v>
      </c>
      <c r="V44" s="219">
        <v>2.369729962342909E-3</v>
      </c>
      <c r="W44" s="219">
        <v>2.3647703058788882E-3</v>
      </c>
      <c r="X44" s="219">
        <v>2.3887445719876178E-3</v>
      </c>
      <c r="Y44" s="219">
        <v>2.387831414568727E-3</v>
      </c>
      <c r="Z44" s="219">
        <v>2.3869211209841049E-3</v>
      </c>
      <c r="AA44" s="219">
        <v>2.386011607593796E-3</v>
      </c>
      <c r="AB44" s="219">
        <v>2.3851048952847512E-3</v>
      </c>
      <c r="AC44" s="33">
        <v>5.5754416848237463E-6</v>
      </c>
      <c r="AD44" s="219">
        <v>5.484438287916272E-6</v>
      </c>
      <c r="AE44" s="219">
        <v>5.3923043654912534E-6</v>
      </c>
      <c r="AF44" s="219">
        <v>5.2844379234025467E-6</v>
      </c>
      <c r="AG44" s="219">
        <v>5.1901366815496448E-6</v>
      </c>
      <c r="AH44" s="219">
        <v>5.0942093447568996E-6</v>
      </c>
      <c r="AI44" s="219">
        <v>5.01269315186423E-6</v>
      </c>
      <c r="AJ44" s="219">
        <v>4.9384515078117826E-6</v>
      </c>
      <c r="AK44" s="219">
        <v>4.8574534897691134E-6</v>
      </c>
      <c r="AL44" s="219">
        <v>4.7852782492611427E-6</v>
      </c>
      <c r="AM44" s="219">
        <v>4.7120087970727063E-6</v>
      </c>
      <c r="AN44" s="219">
        <v>4.6688804873451231E-6</v>
      </c>
      <c r="AO44" s="219">
        <v>4.6259758156612434E-6</v>
      </c>
      <c r="AP44" s="219">
        <v>4.5789759879093288E-6</v>
      </c>
      <c r="AQ44" s="219">
        <v>4.5362231604934069E-6</v>
      </c>
      <c r="AR44" s="219">
        <v>4.4935989509342827E-6</v>
      </c>
      <c r="AS44" s="219">
        <v>4.4735453116155568E-6</v>
      </c>
      <c r="AT44" s="219">
        <v>4.4540421128693052E-6</v>
      </c>
      <c r="AU44" s="219">
        <v>4.4302690129511811E-6</v>
      </c>
      <c r="AV44" s="219">
        <v>4.4113500962812599E-6</v>
      </c>
      <c r="AW44" s="219">
        <v>4.3930637424277968E-6</v>
      </c>
      <c r="AX44" s="219">
        <v>4.4262857517797429E-6</v>
      </c>
      <c r="AY44" s="219">
        <v>4.4233491626232408E-6</v>
      </c>
      <c r="AZ44" s="219">
        <v>4.4204166539266077E-6</v>
      </c>
      <c r="BA44" s="219">
        <v>4.4174709151358464E-6</v>
      </c>
      <c r="BB44" s="219">
        <v>4.4145195579857214E-6</v>
      </c>
      <c r="BC44" s="33">
        <v>229.02021178830259</v>
      </c>
      <c r="BD44" s="219">
        <v>227.96503067458991</v>
      </c>
      <c r="BE44" s="219">
        <v>226.91136860099931</v>
      </c>
      <c r="BF44" s="219">
        <v>224.72278846182269</v>
      </c>
      <c r="BG44" s="219">
        <v>223.69198017657399</v>
      </c>
      <c r="BH44" s="219">
        <v>222.65337547373051</v>
      </c>
      <c r="BI44" s="219">
        <v>222.23380588824389</v>
      </c>
      <c r="BJ44" s="219">
        <v>221.9502610979433</v>
      </c>
      <c r="BK44" s="219">
        <v>220.93725959817789</v>
      </c>
      <c r="BL44" s="219">
        <v>220.7265729312889</v>
      </c>
      <c r="BM44" s="219">
        <v>220.50671847588441</v>
      </c>
      <c r="BN44" s="219">
        <v>219.97454203864419</v>
      </c>
      <c r="BO44" s="219">
        <v>219.45128791953019</v>
      </c>
      <c r="BP44" s="219">
        <v>218.69662249253301</v>
      </c>
      <c r="BQ44" s="219">
        <v>218.1932971469264</v>
      </c>
      <c r="BR44" s="219">
        <v>217.69616545231119</v>
      </c>
      <c r="BS44" s="219">
        <v>217.42557216604561</v>
      </c>
      <c r="BT44" s="219">
        <v>217.1656833133855</v>
      </c>
      <c r="BU44" s="219">
        <v>216.6843903591012</v>
      </c>
      <c r="BV44" s="219">
        <v>216.43541300134109</v>
      </c>
      <c r="BW44" s="219">
        <v>216.18878121346299</v>
      </c>
      <c r="BX44" s="219">
        <v>215.84433897827131</v>
      </c>
      <c r="BY44" s="219">
        <v>215.50337062868729</v>
      </c>
      <c r="BZ44" s="219">
        <v>215.16669734958751</v>
      </c>
      <c r="CA44" s="219">
        <v>214.83193271628741</v>
      </c>
      <c r="CB44" s="219">
        <v>214.49911731551279</v>
      </c>
      <c r="CC44" s="33">
        <v>2960.5265782802999</v>
      </c>
      <c r="CD44" s="219">
        <v>2912.3406111554932</v>
      </c>
      <c r="CE44" s="219">
        <v>2864.109224000289</v>
      </c>
      <c r="CF44" s="219">
        <v>2806.616491882658</v>
      </c>
      <c r="CG44" s="219">
        <v>2758.671320678081</v>
      </c>
      <c r="CH44" s="219">
        <v>2710.4895508981558</v>
      </c>
      <c r="CI44" s="219">
        <v>2654.0562768124441</v>
      </c>
      <c r="CJ44" s="219">
        <v>2605.0161644975942</v>
      </c>
      <c r="CK44" s="219">
        <v>2553.895897984301</v>
      </c>
      <c r="CL44" s="219">
        <v>2509.030038248934</v>
      </c>
      <c r="CM44" s="219">
        <v>2464.183837590349</v>
      </c>
      <c r="CN44" s="219">
        <v>2416.6520015361589</v>
      </c>
      <c r="CO44" s="219">
        <v>2369.7784043451652</v>
      </c>
      <c r="CP44" s="219">
        <v>2321.7771719356192</v>
      </c>
      <c r="CQ44" s="219">
        <v>2276.1176580526399</v>
      </c>
      <c r="CR44" s="219">
        <v>2230.9899704471809</v>
      </c>
      <c r="CS44" s="219">
        <v>2201.4925765811272</v>
      </c>
      <c r="CT44" s="219">
        <v>2172.6447344779581</v>
      </c>
      <c r="CU44" s="219">
        <v>2142.752109172874</v>
      </c>
      <c r="CV44" s="219">
        <v>2114.6687199094899</v>
      </c>
      <c r="CW44" s="219">
        <v>2086.981842998759</v>
      </c>
      <c r="CX44" s="219">
        <v>2082.1928068275329</v>
      </c>
      <c r="CY44" s="219">
        <v>2074.6957878571088</v>
      </c>
      <c r="CZ44" s="219">
        <v>2067.2553385402762</v>
      </c>
      <c r="DA44" s="219">
        <v>2059.860392373771</v>
      </c>
      <c r="DB44" s="219">
        <v>2052.5154059472179</v>
      </c>
    </row>
    <row r="45" spans="1:106" x14ac:dyDescent="0.35">
      <c r="A45" s="137" t="s">
        <v>536</v>
      </c>
      <c r="B45" s="130" t="s">
        <v>545</v>
      </c>
      <c r="C45" s="33">
        <v>1.670041951681804E-3</v>
      </c>
      <c r="D45" s="219">
        <v>1.6614212398621321E-3</v>
      </c>
      <c r="E45" s="219">
        <v>1.6526969176339111E-3</v>
      </c>
      <c r="F45" s="219">
        <v>1.6427561290834991E-3</v>
      </c>
      <c r="G45" s="219">
        <v>1.633854418956141E-3</v>
      </c>
      <c r="H45" s="219">
        <v>1.624879191112968E-3</v>
      </c>
      <c r="I45" s="219">
        <v>1.615538740081074E-3</v>
      </c>
      <c r="J45" s="219">
        <v>1.6063673484011101E-3</v>
      </c>
      <c r="K45" s="219">
        <v>1.5969287827947501E-3</v>
      </c>
      <c r="L45" s="219">
        <v>1.587737245183202E-3</v>
      </c>
      <c r="M45" s="219">
        <v>1.5785352634509241E-3</v>
      </c>
      <c r="N45" s="219">
        <v>1.5693106059740569E-3</v>
      </c>
      <c r="O45" s="219">
        <v>1.560185976788636E-3</v>
      </c>
      <c r="P45" s="219">
        <v>1.551027387201289E-3</v>
      </c>
      <c r="Q45" s="219">
        <v>1.5420898737871229E-3</v>
      </c>
      <c r="R45" s="219">
        <v>1.5332332320891081E-3</v>
      </c>
      <c r="S45" s="219">
        <v>1.5283498526477721E-3</v>
      </c>
      <c r="T45" s="219">
        <v>1.523525776757692E-3</v>
      </c>
      <c r="U45" s="219">
        <v>1.518650375181357E-3</v>
      </c>
      <c r="V45" s="219">
        <v>1.51393625100885E-3</v>
      </c>
      <c r="W45" s="219">
        <v>1.5092702482431891E-3</v>
      </c>
      <c r="X45" s="219">
        <v>1.522803985256184E-3</v>
      </c>
      <c r="Y45" s="219">
        <v>1.5221358032931371E-3</v>
      </c>
      <c r="Z45" s="219">
        <v>1.521475258230022E-3</v>
      </c>
      <c r="AA45" s="219">
        <v>1.520820631302976E-3</v>
      </c>
      <c r="AB45" s="219">
        <v>1.5201720160872799E-3</v>
      </c>
      <c r="AC45" s="33">
        <v>5.3267061677277006E-6</v>
      </c>
      <c r="AD45" s="219">
        <v>5.2551733200662192E-6</v>
      </c>
      <c r="AE45" s="219">
        <v>5.1816457797274359E-6</v>
      </c>
      <c r="AF45" s="219">
        <v>5.0993782034221499E-6</v>
      </c>
      <c r="AG45" s="219">
        <v>5.0217716119277666E-6</v>
      </c>
      <c r="AH45" s="219">
        <v>4.9418503303345976E-6</v>
      </c>
      <c r="AI45" s="219">
        <v>4.8779707316489809E-6</v>
      </c>
      <c r="AJ45" s="219">
        <v>4.8130164158104194E-6</v>
      </c>
      <c r="AK45" s="219">
        <v>4.7423908938088254E-6</v>
      </c>
      <c r="AL45" s="219">
        <v>4.674760888767174E-6</v>
      </c>
      <c r="AM45" s="219">
        <v>4.6057011899613076E-6</v>
      </c>
      <c r="AN45" s="219">
        <v>4.5611266591667533E-6</v>
      </c>
      <c r="AO45" s="219">
        <v>4.5165983659034589E-6</v>
      </c>
      <c r="AP45" s="219">
        <v>4.4702738421829981E-6</v>
      </c>
      <c r="AQ45" s="219">
        <v>4.4257342961287284E-6</v>
      </c>
      <c r="AR45" s="219">
        <v>4.3811814349474342E-6</v>
      </c>
      <c r="AS45" s="219">
        <v>4.3583357391305883E-6</v>
      </c>
      <c r="AT45" s="219">
        <v>4.3356239896625434E-6</v>
      </c>
      <c r="AU45" s="219">
        <v>4.311144080718211E-6</v>
      </c>
      <c r="AV45" s="219">
        <v>4.2888661940216448E-6</v>
      </c>
      <c r="AW45" s="219">
        <v>4.2669899882192059E-6</v>
      </c>
      <c r="AX45" s="219">
        <v>4.2951153001193128E-6</v>
      </c>
      <c r="AY45" s="219">
        <v>4.2923874315030974E-6</v>
      </c>
      <c r="AZ45" s="219">
        <v>4.2896920947436874E-6</v>
      </c>
      <c r="BA45" s="219">
        <v>4.287015499287584E-6</v>
      </c>
      <c r="BB45" s="219">
        <v>4.28435832019659E-6</v>
      </c>
      <c r="BC45" s="33">
        <v>106.4688062127529</v>
      </c>
      <c r="BD45" s="219">
        <v>105.7633176286034</v>
      </c>
      <c r="BE45" s="219">
        <v>105.0440234161792</v>
      </c>
      <c r="BF45" s="219">
        <v>103.79896560497249</v>
      </c>
      <c r="BG45" s="219">
        <v>103.05877996201519</v>
      </c>
      <c r="BH45" s="219">
        <v>102.2981946663208</v>
      </c>
      <c r="BI45" s="219">
        <v>102.27775738555459</v>
      </c>
      <c r="BJ45" s="219">
        <v>102.25256492762129</v>
      </c>
      <c r="BK45" s="219">
        <v>101.8668712927872</v>
      </c>
      <c r="BL45" s="219">
        <v>101.8280957659361</v>
      </c>
      <c r="BM45" s="219">
        <v>101.7771380533149</v>
      </c>
      <c r="BN45" s="219">
        <v>101.4064480239789</v>
      </c>
      <c r="BO45" s="219">
        <v>101.04043298222589</v>
      </c>
      <c r="BP45" s="219">
        <v>100.5753439681889</v>
      </c>
      <c r="BQ45" s="219">
        <v>100.22043952422371</v>
      </c>
      <c r="BR45" s="219">
        <v>99.869569369772734</v>
      </c>
      <c r="BS45" s="219">
        <v>99.587876053391454</v>
      </c>
      <c r="BT45" s="219">
        <v>99.30927073779722</v>
      </c>
      <c r="BU45" s="219">
        <v>98.936114705416784</v>
      </c>
      <c r="BV45" s="219">
        <v>98.664896423293243</v>
      </c>
      <c r="BW45" s="219">
        <v>98.396067106977938</v>
      </c>
      <c r="BX45" s="219">
        <v>98.190760257693739</v>
      </c>
      <c r="BY45" s="219">
        <v>97.987896765405324</v>
      </c>
      <c r="BZ45" s="219">
        <v>97.788221017549986</v>
      </c>
      <c r="CA45" s="219">
        <v>97.590033996027643</v>
      </c>
      <c r="CB45" s="219">
        <v>97.393308626276678</v>
      </c>
      <c r="CC45" s="33">
        <v>1754.810343624591</v>
      </c>
      <c r="CD45" s="219">
        <v>1718.388634760292</v>
      </c>
      <c r="CE45" s="219">
        <v>1681.542997401539</v>
      </c>
      <c r="CF45" s="219">
        <v>1639.9353268122879</v>
      </c>
      <c r="CG45" s="219">
        <v>1602.1947034884111</v>
      </c>
      <c r="CH45" s="219">
        <v>1563.8483055597651</v>
      </c>
      <c r="CI45" s="219">
        <v>1525.826630320669</v>
      </c>
      <c r="CJ45" s="219">
        <v>1488.122926805207</v>
      </c>
      <c r="CK45" s="219">
        <v>1447.8896883207069</v>
      </c>
      <c r="CL45" s="219">
        <v>1410.292896262838</v>
      </c>
      <c r="CM45" s="219">
        <v>1372.5796382533069</v>
      </c>
      <c r="CN45" s="219">
        <v>1331.267027122643</v>
      </c>
      <c r="CO45" s="219">
        <v>1290.463502513715</v>
      </c>
      <c r="CP45" s="219">
        <v>1249.40348617219</v>
      </c>
      <c r="CQ45" s="219">
        <v>1209.5839233969079</v>
      </c>
      <c r="CR45" s="219">
        <v>1170.2295651217701</v>
      </c>
      <c r="CS45" s="219">
        <v>1144.25357932818</v>
      </c>
      <c r="CT45" s="219">
        <v>1118.6407449411331</v>
      </c>
      <c r="CU45" s="219">
        <v>1092.76621049748</v>
      </c>
      <c r="CV45" s="219">
        <v>1067.866872676447</v>
      </c>
      <c r="CW45" s="219">
        <v>1043.331891086222</v>
      </c>
      <c r="CX45" s="219">
        <v>1038.62892132566</v>
      </c>
      <c r="CY45" s="219">
        <v>1033.0816028200061</v>
      </c>
      <c r="CZ45" s="219">
        <v>1027.6040659561329</v>
      </c>
      <c r="DA45" s="219">
        <v>1022.187510729458</v>
      </c>
      <c r="DB45" s="219">
        <v>1016.831857697018</v>
      </c>
    </row>
    <row r="46" spans="1:106" x14ac:dyDescent="0.35">
      <c r="A46" s="137" t="s">
        <v>537</v>
      </c>
      <c r="B46" s="130" t="s">
        <v>545</v>
      </c>
      <c r="C46" s="33">
        <v>9.0181183666199584E-4</v>
      </c>
      <c r="D46" s="219">
        <v>8.9777801944183997E-4</v>
      </c>
      <c r="E46" s="219">
        <v>8.9370356283479096E-4</v>
      </c>
      <c r="F46" s="219">
        <v>8.8868439182384132E-4</v>
      </c>
      <c r="G46" s="219">
        <v>8.8451195707702347E-4</v>
      </c>
      <c r="H46" s="219">
        <v>8.8025650429365051E-4</v>
      </c>
      <c r="I46" s="219">
        <v>8.7560061519689628E-4</v>
      </c>
      <c r="J46" s="219">
        <v>8.7132272580417501E-4</v>
      </c>
      <c r="K46" s="219">
        <v>8.6695637625887919E-4</v>
      </c>
      <c r="L46" s="219">
        <v>8.6286085300788331E-4</v>
      </c>
      <c r="M46" s="219">
        <v>8.5876541054904186E-4</v>
      </c>
      <c r="N46" s="219">
        <v>8.5469537811258274E-4</v>
      </c>
      <c r="O46" s="219">
        <v>8.5066928252321996E-4</v>
      </c>
      <c r="P46" s="219">
        <v>8.4657507503452017E-4</v>
      </c>
      <c r="Q46" s="219">
        <v>8.426279252019992E-4</v>
      </c>
      <c r="R46" s="219">
        <v>8.3871193065976238E-4</v>
      </c>
      <c r="S46" s="219">
        <v>8.36518558042463E-4</v>
      </c>
      <c r="T46" s="219">
        <v>8.3435815733280108E-4</v>
      </c>
      <c r="U46" s="219">
        <v>8.3212862908223326E-4</v>
      </c>
      <c r="V46" s="219">
        <v>8.3000828537541029E-4</v>
      </c>
      <c r="W46" s="219">
        <v>8.2790356845412855E-4</v>
      </c>
      <c r="X46" s="219">
        <v>8.4542555110258904E-4</v>
      </c>
      <c r="Y46" s="219">
        <v>8.450584962027952E-4</v>
      </c>
      <c r="Z46" s="219">
        <v>8.4469374597077396E-4</v>
      </c>
      <c r="AA46" s="219">
        <v>8.4433065658921324E-4</v>
      </c>
      <c r="AB46" s="219">
        <v>8.4396945385496096E-4</v>
      </c>
      <c r="AC46" s="33">
        <v>4.3911713978771618E-6</v>
      </c>
      <c r="AD46" s="219">
        <v>4.3597654515032582E-6</v>
      </c>
      <c r="AE46" s="219">
        <v>4.3276856142877784E-6</v>
      </c>
      <c r="AF46" s="219">
        <v>4.2893872096377909E-6</v>
      </c>
      <c r="AG46" s="219">
        <v>4.2559637061150752E-6</v>
      </c>
      <c r="AH46" s="219">
        <v>4.2217649419311304E-6</v>
      </c>
      <c r="AI46" s="219">
        <v>4.1950590359083696E-6</v>
      </c>
      <c r="AJ46" s="219">
        <v>4.168763722448842E-6</v>
      </c>
      <c r="AK46" s="219">
        <v>4.1387626670986534E-6</v>
      </c>
      <c r="AL46" s="219">
        <v>4.1118717109642882E-6</v>
      </c>
      <c r="AM46" s="219">
        <v>4.0844840469170804E-6</v>
      </c>
      <c r="AN46" s="219">
        <v>4.0674626821860063E-6</v>
      </c>
      <c r="AO46" s="219">
        <v>4.0504469679781477E-6</v>
      </c>
      <c r="AP46" s="219">
        <v>4.0319013276035446E-6</v>
      </c>
      <c r="AQ46" s="219">
        <v>4.014820860130615E-6</v>
      </c>
      <c r="AR46" s="219">
        <v>3.997727352187351E-6</v>
      </c>
      <c r="AS46" s="219">
        <v>3.9889168952903384E-6</v>
      </c>
      <c r="AT46" s="219">
        <v>3.9801866022946403E-6</v>
      </c>
      <c r="AU46" s="219">
        <v>3.9698947966056752E-6</v>
      </c>
      <c r="AV46" s="219">
        <v>3.9613309195837341E-6</v>
      </c>
      <c r="AW46" s="219">
        <v>3.9529613825422679E-6</v>
      </c>
      <c r="AX46" s="219">
        <v>3.9850826447969101E-6</v>
      </c>
      <c r="AY46" s="219">
        <v>3.9836839483675126E-6</v>
      </c>
      <c r="AZ46" s="219">
        <v>3.9822914604402512E-6</v>
      </c>
      <c r="BA46" s="219">
        <v>3.9808999570426287E-6</v>
      </c>
      <c r="BB46" s="219">
        <v>3.9795104296302969E-6</v>
      </c>
      <c r="BC46" s="33">
        <v>78.737095426987352</v>
      </c>
      <c r="BD46" s="219">
        <v>78.387278750016392</v>
      </c>
      <c r="BE46" s="219">
        <v>78.03418623536146</v>
      </c>
      <c r="BF46" s="219">
        <v>77.255140280974132</v>
      </c>
      <c r="BG46" s="219">
        <v>76.899744261077316</v>
      </c>
      <c r="BH46" s="219">
        <v>76.538255708761199</v>
      </c>
      <c r="BI46" s="219">
        <v>76.462882085799535</v>
      </c>
      <c r="BJ46" s="219">
        <v>76.399819739250717</v>
      </c>
      <c r="BK46" s="219">
        <v>76.049906586517949</v>
      </c>
      <c r="BL46" s="219">
        <v>75.991819040512326</v>
      </c>
      <c r="BM46" s="219">
        <v>75.929587805134801</v>
      </c>
      <c r="BN46" s="219">
        <v>75.713655476282696</v>
      </c>
      <c r="BO46" s="219">
        <v>75.499866551703846</v>
      </c>
      <c r="BP46" s="219">
        <v>75.20170191913877</v>
      </c>
      <c r="BQ46" s="219">
        <v>74.993452949513269</v>
      </c>
      <c r="BR46" s="219">
        <v>74.786858474785546</v>
      </c>
      <c r="BS46" s="219">
        <v>74.635414906095292</v>
      </c>
      <c r="BT46" s="219">
        <v>74.485839119526091</v>
      </c>
      <c r="BU46" s="219">
        <v>74.256069392881471</v>
      </c>
      <c r="BV46" s="219">
        <v>74.110099081240548</v>
      </c>
      <c r="BW46" s="219">
        <v>73.964962510454768</v>
      </c>
      <c r="BX46" s="219">
        <v>73.860002042567203</v>
      </c>
      <c r="BY46" s="219">
        <v>73.756034530468497</v>
      </c>
      <c r="BZ46" s="219">
        <v>73.653278642965361</v>
      </c>
      <c r="CA46" s="219">
        <v>73.55106163029069</v>
      </c>
      <c r="CB46" s="219">
        <v>73.449378169418978</v>
      </c>
      <c r="CC46" s="33">
        <v>1257.0760627810021</v>
      </c>
      <c r="CD46" s="219">
        <v>1239.961198479195</v>
      </c>
      <c r="CE46" s="219">
        <v>1222.743547507735</v>
      </c>
      <c r="CF46" s="219">
        <v>1201.8822768301779</v>
      </c>
      <c r="CG46" s="219">
        <v>1184.4802903094601</v>
      </c>
      <c r="CH46" s="219">
        <v>1166.904084718662</v>
      </c>
      <c r="CI46" s="219">
        <v>1148.390461483486</v>
      </c>
      <c r="CJ46" s="219">
        <v>1130.7000786850281</v>
      </c>
      <c r="CK46" s="219">
        <v>1111.2335535891671</v>
      </c>
      <c r="CL46" s="219">
        <v>1094.0011799346771</v>
      </c>
      <c r="CM46" s="219">
        <v>1076.739814844713</v>
      </c>
      <c r="CN46" s="219">
        <v>1057.994940411005</v>
      </c>
      <c r="CO46" s="219">
        <v>1039.452204838798</v>
      </c>
      <c r="CP46" s="219">
        <v>1020.480450992511</v>
      </c>
      <c r="CQ46" s="219">
        <v>1002.3312189951509</v>
      </c>
      <c r="CR46" s="219">
        <v>984.36213311293727</v>
      </c>
      <c r="CS46" s="219">
        <v>972.24859813166188</v>
      </c>
      <c r="CT46" s="219">
        <v>960.30358689994853</v>
      </c>
      <c r="CU46" s="219">
        <v>947.98815508511871</v>
      </c>
      <c r="CV46" s="219">
        <v>936.33289830250408</v>
      </c>
      <c r="CW46" s="219">
        <v>924.82688629894335</v>
      </c>
      <c r="CX46" s="219">
        <v>923.30310286712813</v>
      </c>
      <c r="CY46" s="219">
        <v>920.49541417973956</v>
      </c>
      <c r="CZ46" s="219">
        <v>917.71216924139469</v>
      </c>
      <c r="DA46" s="219">
        <v>914.95006419941603</v>
      </c>
      <c r="DB46" s="219">
        <v>912.20957593135518</v>
      </c>
    </row>
    <row r="47" spans="1:106" x14ac:dyDescent="0.35">
      <c r="A47" s="137" t="s">
        <v>539</v>
      </c>
      <c r="B47" s="130" t="s">
        <v>545</v>
      </c>
      <c r="C47" s="33">
        <v>6.9644183426684127E-4</v>
      </c>
      <c r="D47" s="219">
        <v>6.9263571769745337E-4</v>
      </c>
      <c r="E47" s="219">
        <v>6.8878416628678416E-4</v>
      </c>
      <c r="F47" s="219">
        <v>6.8435884823704E-4</v>
      </c>
      <c r="G47" s="219">
        <v>6.8042940898337535E-4</v>
      </c>
      <c r="H47" s="219">
        <v>6.7646848250731465E-4</v>
      </c>
      <c r="I47" s="219">
        <v>6.7221790251208743E-4</v>
      </c>
      <c r="J47" s="219">
        <v>6.6808979174510759E-4</v>
      </c>
      <c r="K47" s="219">
        <v>6.6385586109047885E-4</v>
      </c>
      <c r="L47" s="219">
        <v>6.5973395074960797E-4</v>
      </c>
      <c r="M47" s="219">
        <v>6.5560782856607686E-4</v>
      </c>
      <c r="N47" s="219">
        <v>6.5132253909002563E-4</v>
      </c>
      <c r="O47" s="219">
        <v>6.4708395936285154E-4</v>
      </c>
      <c r="P47" s="219">
        <v>6.4282845991120538E-4</v>
      </c>
      <c r="Q47" s="219">
        <v>6.38676359363519E-4</v>
      </c>
      <c r="R47" s="219">
        <v>6.3456130776865839E-4</v>
      </c>
      <c r="S47" s="219">
        <v>6.3221591855347362E-4</v>
      </c>
      <c r="T47" s="219">
        <v>6.2989950825946897E-4</v>
      </c>
      <c r="U47" s="219">
        <v>6.2755794126614732E-4</v>
      </c>
      <c r="V47" s="219">
        <v>6.252916766585077E-4</v>
      </c>
      <c r="W47" s="219">
        <v>6.2304741096771477E-4</v>
      </c>
      <c r="X47" s="219">
        <v>6.3048006923018235E-4</v>
      </c>
      <c r="Y47" s="219">
        <v>6.301625077981324E-4</v>
      </c>
      <c r="Z47" s="219">
        <v>6.2984822176607677E-4</v>
      </c>
      <c r="AA47" s="219">
        <v>6.2953659750685355E-4</v>
      </c>
      <c r="AB47" s="219">
        <v>6.2922769643128525E-4</v>
      </c>
      <c r="AC47" s="33">
        <v>3.1665482978630201E-6</v>
      </c>
      <c r="AD47" s="219">
        <v>3.134227456582616E-6</v>
      </c>
      <c r="AE47" s="219">
        <v>3.100907950809274E-6</v>
      </c>
      <c r="AF47" s="219">
        <v>3.0633934709587718E-6</v>
      </c>
      <c r="AG47" s="219">
        <v>3.0280861223238221E-6</v>
      </c>
      <c r="AH47" s="219">
        <v>2.991688995704734E-6</v>
      </c>
      <c r="AI47" s="219">
        <v>2.962312492430759E-6</v>
      </c>
      <c r="AJ47" s="219">
        <v>2.9325270692141771E-6</v>
      </c>
      <c r="AK47" s="219">
        <v>2.9000925155368E-6</v>
      </c>
      <c r="AL47" s="219">
        <v>2.8690771902805541E-6</v>
      </c>
      <c r="AM47" s="219">
        <v>2.83737646220609E-6</v>
      </c>
      <c r="AN47" s="219">
        <v>2.8161391068032699E-6</v>
      </c>
      <c r="AO47" s="219">
        <v>2.7949144240026308E-6</v>
      </c>
      <c r="AP47" s="219">
        <v>2.772829290010383E-6</v>
      </c>
      <c r="AQ47" s="219">
        <v>2.7515775519075378E-6</v>
      </c>
      <c r="AR47" s="219">
        <v>2.73030587826157E-6</v>
      </c>
      <c r="AS47" s="219">
        <v>2.7192462365031449E-6</v>
      </c>
      <c r="AT47" s="219">
        <v>2.7082409710957268E-6</v>
      </c>
      <c r="AU47" s="219">
        <v>2.6963855999874478E-6</v>
      </c>
      <c r="AV47" s="219">
        <v>2.6855585490506221E-6</v>
      </c>
      <c r="AW47" s="219">
        <v>2.6749046146713609E-6</v>
      </c>
      <c r="AX47" s="219">
        <v>2.695057978050141E-6</v>
      </c>
      <c r="AY47" s="219">
        <v>2.693797891509343E-6</v>
      </c>
      <c r="AZ47" s="219">
        <v>2.6925528493783199E-6</v>
      </c>
      <c r="BA47" s="219">
        <v>2.6913178738846119E-6</v>
      </c>
      <c r="BB47" s="219">
        <v>2.6900932621481149E-6</v>
      </c>
      <c r="BC47" s="33">
        <v>51.732502787849143</v>
      </c>
      <c r="BD47" s="219">
        <v>51.396410080377429</v>
      </c>
      <c r="BE47" s="219">
        <v>51.053831300399679</v>
      </c>
      <c r="BF47" s="219">
        <v>50.46083494781972</v>
      </c>
      <c r="BG47" s="219">
        <v>50.107950975119657</v>
      </c>
      <c r="BH47" s="219">
        <v>49.74607062177035</v>
      </c>
      <c r="BI47" s="219">
        <v>49.731682159979172</v>
      </c>
      <c r="BJ47" s="219">
        <v>49.71752504333169</v>
      </c>
      <c r="BK47" s="219">
        <v>49.533466258930403</v>
      </c>
      <c r="BL47" s="219">
        <v>49.514836688001317</v>
      </c>
      <c r="BM47" s="219">
        <v>49.491045051031783</v>
      </c>
      <c r="BN47" s="219">
        <v>49.295267738584123</v>
      </c>
      <c r="BO47" s="219">
        <v>49.10179167783609</v>
      </c>
      <c r="BP47" s="219">
        <v>48.861438046704613</v>
      </c>
      <c r="BQ47" s="219">
        <v>48.673347723635771</v>
      </c>
      <c r="BR47" s="219">
        <v>48.487241493453148</v>
      </c>
      <c r="BS47" s="219">
        <v>48.330978426939083</v>
      </c>
      <c r="BT47" s="219">
        <v>48.176288948811958</v>
      </c>
      <c r="BU47" s="219">
        <v>47.976842811787328</v>
      </c>
      <c r="BV47" s="219">
        <v>47.825689043489717</v>
      </c>
      <c r="BW47" s="219">
        <v>47.675695576589447</v>
      </c>
      <c r="BX47" s="219">
        <v>47.586621475104209</v>
      </c>
      <c r="BY47" s="219">
        <v>47.498667005164549</v>
      </c>
      <c r="BZ47" s="219">
        <v>47.412036179647629</v>
      </c>
      <c r="CA47" s="219">
        <v>47.326120633869948</v>
      </c>
      <c r="CB47" s="219">
        <v>47.240908239155509</v>
      </c>
      <c r="CC47" s="33">
        <v>834.04174256004239</v>
      </c>
      <c r="CD47" s="219">
        <v>817.27202812060682</v>
      </c>
      <c r="CE47" s="219">
        <v>800.30093506475066</v>
      </c>
      <c r="CF47" s="219">
        <v>781.06101113978616</v>
      </c>
      <c r="CG47" s="219">
        <v>763.66100437339003</v>
      </c>
      <c r="CH47" s="219">
        <v>745.98335930339852</v>
      </c>
      <c r="CI47" s="219">
        <v>728.12015861356713</v>
      </c>
      <c r="CJ47" s="219">
        <v>710.4943797608762</v>
      </c>
      <c r="CK47" s="219">
        <v>691.70517888347251</v>
      </c>
      <c r="CL47" s="219">
        <v>674.16360488191503</v>
      </c>
      <c r="CM47" s="219">
        <v>656.56348696947782</v>
      </c>
      <c r="CN47" s="219">
        <v>636.88699053301877</v>
      </c>
      <c r="CO47" s="219">
        <v>617.44260950994737</v>
      </c>
      <c r="CP47" s="219">
        <v>597.86687883467653</v>
      </c>
      <c r="CQ47" s="219">
        <v>578.86840211987874</v>
      </c>
      <c r="CR47" s="219">
        <v>560.08071210772755</v>
      </c>
      <c r="CS47" s="219">
        <v>547.52467865812957</v>
      </c>
      <c r="CT47" s="219">
        <v>535.13663261081831</v>
      </c>
      <c r="CU47" s="219">
        <v>522.61736193841068</v>
      </c>
      <c r="CV47" s="219">
        <v>510.55207719993439</v>
      </c>
      <c r="CW47" s="219">
        <v>498.65121020471503</v>
      </c>
      <c r="CX47" s="219">
        <v>496.45539912896618</v>
      </c>
      <c r="CY47" s="219">
        <v>493.83755230311237</v>
      </c>
      <c r="CZ47" s="219">
        <v>491.25087151905882</v>
      </c>
      <c r="DA47" s="219">
        <v>488.69219435262852</v>
      </c>
      <c r="DB47" s="219">
        <v>486.16152983151801</v>
      </c>
    </row>
    <row r="48" spans="1:106" x14ac:dyDescent="0.35">
      <c r="A48" s="137" t="s">
        <v>540</v>
      </c>
      <c r="B48" s="130" t="s">
        <v>545</v>
      </c>
      <c r="C48" s="33">
        <v>2.7577646249853999E-4</v>
      </c>
      <c r="D48" s="219">
        <v>2.7330819070515853E-4</v>
      </c>
      <c r="E48" s="219">
        <v>2.7079183571735073E-4</v>
      </c>
      <c r="F48" s="219">
        <v>2.6772948047245942E-4</v>
      </c>
      <c r="G48" s="219">
        <v>2.651516965038382E-4</v>
      </c>
      <c r="H48" s="219">
        <v>2.6255233597451513E-4</v>
      </c>
      <c r="I48" s="219">
        <v>2.5914984458671558E-4</v>
      </c>
      <c r="J48" s="219">
        <v>2.5625571639066922E-4</v>
      </c>
      <c r="K48" s="219">
        <v>2.5344798357542089E-4</v>
      </c>
      <c r="L48" s="219">
        <v>2.5073382812297628E-4</v>
      </c>
      <c r="M48" s="219">
        <v>2.4801536206773092E-4</v>
      </c>
      <c r="N48" s="219">
        <v>2.4475593443842891E-4</v>
      </c>
      <c r="O48" s="219">
        <v>2.4153659653589681E-4</v>
      </c>
      <c r="P48" s="219">
        <v>2.3828801145228949E-4</v>
      </c>
      <c r="Q48" s="219">
        <v>2.351376703380471E-4</v>
      </c>
      <c r="R48" s="219">
        <v>2.3201509028982059E-4</v>
      </c>
      <c r="S48" s="219">
        <v>2.300651649886967E-4</v>
      </c>
      <c r="T48" s="219">
        <v>2.281515584578553E-4</v>
      </c>
      <c r="U48" s="219">
        <v>2.2620446560586921E-4</v>
      </c>
      <c r="V48" s="219">
        <v>2.2432699032030439E-4</v>
      </c>
      <c r="W48" s="219">
        <v>2.2246430103593491E-4</v>
      </c>
      <c r="X48" s="219">
        <v>2.2769679192934209E-4</v>
      </c>
      <c r="Y48" s="219">
        <v>2.273476287892796E-4</v>
      </c>
      <c r="Z48" s="219">
        <v>2.2699908750292781E-4</v>
      </c>
      <c r="AA48" s="219">
        <v>2.266511764980277E-4</v>
      </c>
      <c r="AB48" s="219">
        <v>2.2630420518540101E-4</v>
      </c>
      <c r="AC48" s="33">
        <v>2.8586045900839591E-6</v>
      </c>
      <c r="AD48" s="219">
        <v>2.8315852139792448E-6</v>
      </c>
      <c r="AE48" s="219">
        <v>2.8034554636270499E-6</v>
      </c>
      <c r="AF48" s="219">
        <v>2.7711016670314032E-6</v>
      </c>
      <c r="AG48" s="219">
        <v>2.740988725338619E-6</v>
      </c>
      <c r="AH48" s="219">
        <v>2.709887115244544E-6</v>
      </c>
      <c r="AI48" s="219">
        <v>2.6850906487598778E-6</v>
      </c>
      <c r="AJ48" s="219">
        <v>2.6609002909596589E-6</v>
      </c>
      <c r="AK48" s="219">
        <v>2.6344556968061049E-6</v>
      </c>
      <c r="AL48" s="219">
        <v>2.6095979669239529E-6</v>
      </c>
      <c r="AM48" s="219">
        <v>2.5840681523096668E-6</v>
      </c>
      <c r="AN48" s="219">
        <v>2.56579865284065E-6</v>
      </c>
      <c r="AO48" s="219">
        <v>2.5475040224157341E-6</v>
      </c>
      <c r="AP48" s="219">
        <v>2.5282287274873022E-6</v>
      </c>
      <c r="AQ48" s="219">
        <v>2.509795194270543E-6</v>
      </c>
      <c r="AR48" s="219">
        <v>2.4912796342569621E-6</v>
      </c>
      <c r="AS48" s="219">
        <v>2.4824432834831799E-6</v>
      </c>
      <c r="AT48" s="219">
        <v>2.4736876550382541E-6</v>
      </c>
      <c r="AU48" s="219">
        <v>2.4640066708665849E-6</v>
      </c>
      <c r="AV48" s="219">
        <v>2.4553801891027259E-6</v>
      </c>
      <c r="AW48" s="219">
        <v>2.446903175457372E-6</v>
      </c>
      <c r="AX48" s="219">
        <v>2.4582278342013888E-6</v>
      </c>
      <c r="AY48" s="219">
        <v>2.4569997852249719E-6</v>
      </c>
      <c r="AZ48" s="219">
        <v>2.4557792527378771E-6</v>
      </c>
      <c r="BA48" s="219">
        <v>2.4545661495239582E-6</v>
      </c>
      <c r="BB48" s="219">
        <v>2.4533615049382709E-6</v>
      </c>
      <c r="BC48" s="33">
        <v>60.007332536569692</v>
      </c>
      <c r="BD48" s="219">
        <v>59.732977737073178</v>
      </c>
      <c r="BE48" s="219">
        <v>59.451057806683728</v>
      </c>
      <c r="BF48" s="219">
        <v>58.911163755239123</v>
      </c>
      <c r="BG48" s="219">
        <v>58.615975633479749</v>
      </c>
      <c r="BH48" s="219">
        <v>58.312750654025223</v>
      </c>
      <c r="BI48" s="219">
        <v>58.251871947461353</v>
      </c>
      <c r="BJ48" s="219">
        <v>58.209748818138223</v>
      </c>
      <c r="BK48" s="219">
        <v>57.997886933933103</v>
      </c>
      <c r="BL48" s="219">
        <v>57.962674942526718</v>
      </c>
      <c r="BM48" s="219">
        <v>57.923778338410003</v>
      </c>
      <c r="BN48" s="219">
        <v>57.673482924393298</v>
      </c>
      <c r="BO48" s="219">
        <v>57.425132486191863</v>
      </c>
      <c r="BP48" s="219">
        <v>57.12626904803728</v>
      </c>
      <c r="BQ48" s="219">
        <v>56.882342085214383</v>
      </c>
      <c r="BR48" s="219">
        <v>56.639875918659513</v>
      </c>
      <c r="BS48" s="219">
        <v>56.465709188580632</v>
      </c>
      <c r="BT48" s="219">
        <v>56.293634907425343</v>
      </c>
      <c r="BU48" s="219">
        <v>56.073653738264021</v>
      </c>
      <c r="BV48" s="219">
        <v>55.904487496616227</v>
      </c>
      <c r="BW48" s="219">
        <v>55.736127325555429</v>
      </c>
      <c r="BX48" s="219">
        <v>55.659537197108961</v>
      </c>
      <c r="BY48" s="219">
        <v>55.583740409644243</v>
      </c>
      <c r="BZ48" s="219">
        <v>55.508413602575743</v>
      </c>
      <c r="CA48" s="219">
        <v>55.433530522739453</v>
      </c>
      <c r="CB48" s="219">
        <v>55.359089789908367</v>
      </c>
      <c r="CC48" s="33">
        <v>697.10387954951784</v>
      </c>
      <c r="CD48" s="219">
        <v>681.88599202111823</v>
      </c>
      <c r="CE48" s="219">
        <v>666.49273384724574</v>
      </c>
      <c r="CF48" s="219">
        <v>648.84787355962442</v>
      </c>
      <c r="CG48" s="219">
        <v>633.09672657134979</v>
      </c>
      <c r="CH48" s="219">
        <v>617.12611727085721</v>
      </c>
      <c r="CI48" s="219">
        <v>600.29265368355391</v>
      </c>
      <c r="CJ48" s="219">
        <v>584.5472103796867</v>
      </c>
      <c r="CK48" s="219">
        <v>567.99533793133844</v>
      </c>
      <c r="CL48" s="219">
        <v>552.77280626080449</v>
      </c>
      <c r="CM48" s="219">
        <v>537.49409513969795</v>
      </c>
      <c r="CN48" s="219">
        <v>520.07092437487961</v>
      </c>
      <c r="CO48" s="219">
        <v>502.83511362925879</v>
      </c>
      <c r="CP48" s="219">
        <v>485.39118656471982</v>
      </c>
      <c r="CQ48" s="219">
        <v>468.49711821436989</v>
      </c>
      <c r="CR48" s="219">
        <v>451.76116443898047</v>
      </c>
      <c r="CS48" s="219">
        <v>440.59071849943177</v>
      </c>
      <c r="CT48" s="219">
        <v>429.58242245322401</v>
      </c>
      <c r="CU48" s="219">
        <v>418.3899734886806</v>
      </c>
      <c r="CV48" s="219">
        <v>407.62796376922063</v>
      </c>
      <c r="CW48" s="219">
        <v>396.99332326629121</v>
      </c>
      <c r="CX48" s="219">
        <v>396.42350477597472</v>
      </c>
      <c r="CY48" s="219">
        <v>393.81637048392861</v>
      </c>
      <c r="CZ48" s="219">
        <v>391.22833126190602</v>
      </c>
      <c r="DA48" s="219">
        <v>388.65934913912849</v>
      </c>
      <c r="DB48" s="219">
        <v>386.11007218657329</v>
      </c>
    </row>
    <row r="49" spans="1:106" x14ac:dyDescent="0.35">
      <c r="A49" s="137" t="s">
        <v>541</v>
      </c>
      <c r="B49" s="130" t="s">
        <v>545</v>
      </c>
      <c r="C49" s="33">
        <v>2.7883510110522408E-3</v>
      </c>
      <c r="D49" s="219">
        <v>2.771981197820652E-3</v>
      </c>
      <c r="E49" s="219">
        <v>2.7558307175506889E-3</v>
      </c>
      <c r="F49" s="219">
        <v>2.734411431766831E-3</v>
      </c>
      <c r="G49" s="219">
        <v>2.7198512944177841E-3</v>
      </c>
      <c r="H49" s="219">
        <v>2.7058151838026661E-3</v>
      </c>
      <c r="I49" s="219">
        <v>2.6709697403844981E-3</v>
      </c>
      <c r="J49" s="219">
        <v>2.6522796235828438E-3</v>
      </c>
      <c r="K49" s="219">
        <v>2.640085347908811E-3</v>
      </c>
      <c r="L49" s="219">
        <v>2.63019119362971E-3</v>
      </c>
      <c r="M49" s="219">
        <v>2.6204523769550632E-3</v>
      </c>
      <c r="N49" s="219">
        <v>2.607614776867211E-3</v>
      </c>
      <c r="O49" s="219">
        <v>2.5951646004841651E-3</v>
      </c>
      <c r="P49" s="219">
        <v>2.5821759651194448E-3</v>
      </c>
      <c r="Q49" s="219">
        <v>2.570282728710412E-3</v>
      </c>
      <c r="R49" s="219">
        <v>2.5585636982113432E-3</v>
      </c>
      <c r="S49" s="219">
        <v>2.5513430348112912E-3</v>
      </c>
      <c r="T49" s="219">
        <v>2.5447752735680371E-3</v>
      </c>
      <c r="U49" s="219">
        <v>2.537561708315479E-3</v>
      </c>
      <c r="V49" s="219">
        <v>2.5310378877612628E-3</v>
      </c>
      <c r="W49" s="219">
        <v>2.5244886414739608E-3</v>
      </c>
      <c r="X49" s="219">
        <v>2.5864738136794269E-3</v>
      </c>
      <c r="Y49" s="219">
        <v>2.58480545143823E-3</v>
      </c>
      <c r="Z49" s="219">
        <v>2.583114645369916E-3</v>
      </c>
      <c r="AA49" s="219">
        <v>2.5814028035727739E-3</v>
      </c>
      <c r="AB49" s="219">
        <v>2.5796796383305491E-3</v>
      </c>
      <c r="AC49" s="33">
        <v>1.067192873941967E-5</v>
      </c>
      <c r="AD49" s="219">
        <v>1.0541698169265551E-5</v>
      </c>
      <c r="AE49" s="219">
        <v>1.04112918653206E-5</v>
      </c>
      <c r="AF49" s="219">
        <v>1.0242645648493311E-5</v>
      </c>
      <c r="AG49" s="219">
        <v>1.0113945229447369E-5</v>
      </c>
      <c r="AH49" s="219">
        <v>9.9853469328873292E-6</v>
      </c>
      <c r="AI49" s="219">
        <v>9.8514670147248379E-6</v>
      </c>
      <c r="AJ49" s="219">
        <v>9.7578305018013952E-6</v>
      </c>
      <c r="AK49" s="219">
        <v>9.6574409756521317E-6</v>
      </c>
      <c r="AL49" s="219">
        <v>9.5835432223356843E-6</v>
      </c>
      <c r="AM49" s="219">
        <v>9.5089999518170593E-6</v>
      </c>
      <c r="AN49" s="219">
        <v>9.4616179971680642E-6</v>
      </c>
      <c r="AO49" s="219">
        <v>9.4149160641654536E-6</v>
      </c>
      <c r="AP49" s="219">
        <v>9.3568509051592365E-6</v>
      </c>
      <c r="AQ49" s="219">
        <v>9.3104273415498224E-6</v>
      </c>
      <c r="AR49" s="219">
        <v>9.2642878787815817E-6</v>
      </c>
      <c r="AS49" s="219">
        <v>9.2471589164959376E-6</v>
      </c>
      <c r="AT49" s="219">
        <v>9.2319978966816945E-6</v>
      </c>
      <c r="AU49" s="219">
        <v>9.2046749291459329E-6</v>
      </c>
      <c r="AV49" s="219">
        <v>9.1901521621308145E-6</v>
      </c>
      <c r="AW49" s="219">
        <v>9.1767262025522974E-6</v>
      </c>
      <c r="AX49" s="219">
        <v>9.2722642612382551E-6</v>
      </c>
      <c r="AY49" s="219">
        <v>9.2689043926963138E-6</v>
      </c>
      <c r="AZ49" s="219">
        <v>9.2654477298816191E-6</v>
      </c>
      <c r="BA49" s="219">
        <v>9.2619008688482065E-6</v>
      </c>
      <c r="BB49" s="219">
        <v>9.2582963170095918E-6</v>
      </c>
      <c r="BC49" s="33">
        <v>665.92266488225209</v>
      </c>
      <c r="BD49" s="219">
        <v>663.62262959302711</v>
      </c>
      <c r="BE49" s="219">
        <v>661.37051537269065</v>
      </c>
      <c r="BF49" s="219">
        <v>656.10194907130722</v>
      </c>
      <c r="BG49" s="219">
        <v>654.00007004550594</v>
      </c>
      <c r="BH49" s="219">
        <v>651.94240084440094</v>
      </c>
      <c r="BI49" s="219">
        <v>649.97426580232411</v>
      </c>
      <c r="BJ49" s="219">
        <v>648.72128198158725</v>
      </c>
      <c r="BK49" s="219">
        <v>645.67035058293584</v>
      </c>
      <c r="BL49" s="219">
        <v>644.84699717603462</v>
      </c>
      <c r="BM49" s="219">
        <v>644.03592179549435</v>
      </c>
      <c r="BN49" s="219">
        <v>642.44932697331706</v>
      </c>
      <c r="BO49" s="219">
        <v>640.88979071989718</v>
      </c>
      <c r="BP49" s="219">
        <v>638.69456361523282</v>
      </c>
      <c r="BQ49" s="219">
        <v>637.18992387368394</v>
      </c>
      <c r="BR49" s="219">
        <v>635.70174883819516</v>
      </c>
      <c r="BS49" s="219">
        <v>634.98722867878234</v>
      </c>
      <c r="BT49" s="219">
        <v>634.31466478840105</v>
      </c>
      <c r="BU49" s="219">
        <v>633.03142406383961</v>
      </c>
      <c r="BV49" s="219">
        <v>632.38287668789633</v>
      </c>
      <c r="BW49" s="219">
        <v>631.73754092705599</v>
      </c>
      <c r="BX49" s="219">
        <v>631.09484886060886</v>
      </c>
      <c r="BY49" s="219">
        <v>630.45880049152447</v>
      </c>
      <c r="BZ49" s="219">
        <v>629.8267603548494</v>
      </c>
      <c r="CA49" s="219">
        <v>629.19854865822447</v>
      </c>
      <c r="CB49" s="219">
        <v>628.57448454293126</v>
      </c>
      <c r="CC49" s="33">
        <v>6478.0424981536307</v>
      </c>
      <c r="CD49" s="219">
        <v>6396.1908770999389</v>
      </c>
      <c r="CE49" s="219">
        <v>6315.4274620555534</v>
      </c>
      <c r="CF49" s="219">
        <v>6211.7271588461626</v>
      </c>
      <c r="CG49" s="219">
        <v>6134.9652258865317</v>
      </c>
      <c r="CH49" s="219">
        <v>6059.2880912506726</v>
      </c>
      <c r="CI49" s="219">
        <v>5937.024921922387</v>
      </c>
      <c r="CJ49" s="219">
        <v>5850.5212373323329</v>
      </c>
      <c r="CK49" s="219">
        <v>5766.5793178249014</v>
      </c>
      <c r="CL49" s="219">
        <v>5700.0584026612178</v>
      </c>
      <c r="CM49" s="219">
        <v>5633.9260662782099</v>
      </c>
      <c r="CN49" s="219">
        <v>5560.2453930815336</v>
      </c>
      <c r="CO49" s="219">
        <v>5487.6826534221555</v>
      </c>
      <c r="CP49" s="219">
        <v>5411.2393504815218</v>
      </c>
      <c r="CQ49" s="219">
        <v>5340.4535169994369</v>
      </c>
      <c r="CR49" s="219">
        <v>5270.3170668718603</v>
      </c>
      <c r="CS49" s="219">
        <v>5222.8606810395668</v>
      </c>
      <c r="CT49" s="219">
        <v>5177.0926014103215</v>
      </c>
      <c r="CU49" s="219">
        <v>5127.7676097629283</v>
      </c>
      <c r="CV49" s="219">
        <v>5082.6997127327922</v>
      </c>
      <c r="CW49" s="219">
        <v>5038.0061231790414</v>
      </c>
      <c r="CX49" s="219">
        <v>5033.3554210483571</v>
      </c>
      <c r="CY49" s="219">
        <v>5019.4077548818404</v>
      </c>
      <c r="CZ49" s="219">
        <v>5005.4330671871539</v>
      </c>
      <c r="DA49" s="219">
        <v>4991.4360358913591</v>
      </c>
      <c r="DB49" s="219">
        <v>4977.4391215068981</v>
      </c>
    </row>
    <row r="50" spans="1:106" x14ac:dyDescent="0.35">
      <c r="A50" s="137" t="s">
        <v>542</v>
      </c>
      <c r="B50" s="130" t="s">
        <v>545</v>
      </c>
      <c r="C50" s="33">
        <v>3.790802282108608E-3</v>
      </c>
      <c r="D50" s="219">
        <v>3.72690424947095E-3</v>
      </c>
      <c r="E50" s="219">
        <v>3.6616800512682098E-3</v>
      </c>
      <c r="F50" s="219">
        <v>3.5916139750760889E-3</v>
      </c>
      <c r="G50" s="219">
        <v>3.5237262570904839E-3</v>
      </c>
      <c r="H50" s="219">
        <v>3.4547507413217769E-3</v>
      </c>
      <c r="I50" s="219">
        <v>3.3755315884676138E-3</v>
      </c>
      <c r="J50" s="219">
        <v>3.296696952094968E-3</v>
      </c>
      <c r="K50" s="219">
        <v>3.2166106551715311E-3</v>
      </c>
      <c r="L50" s="219">
        <v>3.1343864573968052E-3</v>
      </c>
      <c r="M50" s="219">
        <v>3.0519629216075048E-3</v>
      </c>
      <c r="N50" s="219">
        <v>2.9546072662255249E-3</v>
      </c>
      <c r="O50" s="219">
        <v>2.8583075892900842E-3</v>
      </c>
      <c r="P50" s="219">
        <v>2.762631201552694E-3</v>
      </c>
      <c r="Q50" s="219">
        <v>2.66829330496049E-3</v>
      </c>
      <c r="R50" s="219">
        <v>2.5748407475481841E-3</v>
      </c>
      <c r="S50" s="219">
        <v>2.5167381527549902E-3</v>
      </c>
      <c r="T50" s="219">
        <v>2.459281193917633E-3</v>
      </c>
      <c r="U50" s="219">
        <v>2.4021630359682051E-3</v>
      </c>
      <c r="V50" s="219">
        <v>2.3459857236932048E-3</v>
      </c>
      <c r="W50" s="219">
        <v>2.290425730616098E-3</v>
      </c>
      <c r="X50" s="219">
        <v>2.3559863791022331E-3</v>
      </c>
      <c r="Y50" s="219">
        <v>2.349629923908293E-3</v>
      </c>
      <c r="Z50" s="219">
        <v>2.3433428394266992E-3</v>
      </c>
      <c r="AA50" s="219">
        <v>2.3371239487715782E-3</v>
      </c>
      <c r="AB50" s="219">
        <v>2.3309733664336448E-3</v>
      </c>
      <c r="AC50" s="33">
        <v>4.322521895367326E-5</v>
      </c>
      <c r="AD50" s="219">
        <v>4.2519254290757719E-5</v>
      </c>
      <c r="AE50" s="219">
        <v>4.1777340751515163E-5</v>
      </c>
      <c r="AF50" s="219">
        <v>4.097918332241625E-5</v>
      </c>
      <c r="AG50" s="219">
        <v>4.0169066339679038E-5</v>
      </c>
      <c r="AH50" s="219">
        <v>3.9324904832102329E-5</v>
      </c>
      <c r="AI50" s="219">
        <v>3.8626762639059088E-5</v>
      </c>
      <c r="AJ50" s="219">
        <v>3.7907764256048937E-5</v>
      </c>
      <c r="AK50" s="219">
        <v>3.7152983507881228E-5</v>
      </c>
      <c r="AL50" s="219">
        <v>3.6392532862269527E-5</v>
      </c>
      <c r="AM50" s="219">
        <v>3.5609738535604828E-5</v>
      </c>
      <c r="AN50" s="219">
        <v>3.5015678404199708E-5</v>
      </c>
      <c r="AO50" s="219">
        <v>3.4420980428941042E-5</v>
      </c>
      <c r="AP50" s="219">
        <v>3.3819604166891547E-5</v>
      </c>
      <c r="AQ50" s="219">
        <v>3.3222388083987013E-5</v>
      </c>
      <c r="AR50" s="219">
        <v>3.2622858253246338E-5</v>
      </c>
      <c r="AS50" s="219">
        <v>3.2313393902750241E-5</v>
      </c>
      <c r="AT50" s="219">
        <v>3.2004412226714841E-5</v>
      </c>
      <c r="AU50" s="219">
        <v>3.1690737225414901E-5</v>
      </c>
      <c r="AV50" s="219">
        <v>3.1384596508587679E-5</v>
      </c>
      <c r="AW50" s="219">
        <v>3.108072050783383E-5</v>
      </c>
      <c r="AX50" s="219">
        <v>3.1182921992063412E-5</v>
      </c>
      <c r="AY50" s="219">
        <v>3.1151184116920271E-5</v>
      </c>
      <c r="AZ50" s="219">
        <v>3.1119936200689649E-5</v>
      </c>
      <c r="BA50" s="219">
        <v>3.1089158789650028E-5</v>
      </c>
      <c r="BB50" s="219">
        <v>3.1058840349718278E-5</v>
      </c>
      <c r="BC50" s="33">
        <v>681.17766622519434</v>
      </c>
      <c r="BD50" s="219">
        <v>674.10209691990076</v>
      </c>
      <c r="BE50" s="219">
        <v>666.76577608990453</v>
      </c>
      <c r="BF50" s="219">
        <v>657.47982136268263</v>
      </c>
      <c r="BG50" s="219">
        <v>649.61913715443131</v>
      </c>
      <c r="BH50" s="219">
        <v>641.48967692779343</v>
      </c>
      <c r="BI50" s="219">
        <v>641.96782944424081</v>
      </c>
      <c r="BJ50" s="219">
        <v>642.34718984629603</v>
      </c>
      <c r="BK50" s="219">
        <v>641.4437981097517</v>
      </c>
      <c r="BL50" s="219">
        <v>641.60990727391822</v>
      </c>
      <c r="BM50" s="219">
        <v>641.65373819856461</v>
      </c>
      <c r="BN50" s="219">
        <v>635.8977145421959</v>
      </c>
      <c r="BO50" s="219">
        <v>630.19521424566847</v>
      </c>
      <c r="BP50" s="219">
        <v>624.22435852089325</v>
      </c>
      <c r="BQ50" s="219">
        <v>618.63480266090653</v>
      </c>
      <c r="BR50" s="219">
        <v>613.09571423616194</v>
      </c>
      <c r="BS50" s="219">
        <v>608.20517263485806</v>
      </c>
      <c r="BT50" s="219">
        <v>603.34761330383196</v>
      </c>
      <c r="BU50" s="219">
        <v>598.22770873583283</v>
      </c>
      <c r="BV50" s="219">
        <v>593.44088297913083</v>
      </c>
      <c r="BW50" s="219">
        <v>588.68554948524036</v>
      </c>
      <c r="BX50" s="219">
        <v>587.39734944277575</v>
      </c>
      <c r="BY50" s="219">
        <v>586.13425238884804</v>
      </c>
      <c r="BZ50" s="219">
        <v>584.88971970737862</v>
      </c>
      <c r="CA50" s="219">
        <v>583.66323707547042</v>
      </c>
      <c r="CB50" s="219">
        <v>582.45453417632439</v>
      </c>
      <c r="CC50" s="33">
        <v>11863.13931563111</v>
      </c>
      <c r="CD50" s="219">
        <v>11486.387245991309</v>
      </c>
      <c r="CE50" s="219">
        <v>11102.34858306869</v>
      </c>
      <c r="CF50" s="219">
        <v>10695.983266018529</v>
      </c>
      <c r="CG50" s="219">
        <v>10295.462983004711</v>
      </c>
      <c r="CH50" s="219">
        <v>9886.3188995379896</v>
      </c>
      <c r="CI50" s="219">
        <v>9474.491505698923</v>
      </c>
      <c r="CJ50" s="219">
        <v>9062.0299356339492</v>
      </c>
      <c r="CK50" s="219">
        <v>8639.2316443985019</v>
      </c>
      <c r="CL50" s="219">
        <v>8223.3418244957575</v>
      </c>
      <c r="CM50" s="219">
        <v>7805.2178677227284</v>
      </c>
      <c r="CN50" s="219">
        <v>7310.7984230861921</v>
      </c>
      <c r="CO50" s="219">
        <v>6822.0517846278344</v>
      </c>
      <c r="CP50" s="219">
        <v>6336.2366284191648</v>
      </c>
      <c r="CQ50" s="219">
        <v>5857.9005901231558</v>
      </c>
      <c r="CR50" s="219">
        <v>5384.6085037158628</v>
      </c>
      <c r="CS50" s="219">
        <v>5067.8230781781149</v>
      </c>
      <c r="CT50" s="219">
        <v>4754.8564036025437</v>
      </c>
      <c r="CU50" s="219">
        <v>4443.7784068219071</v>
      </c>
      <c r="CV50" s="219">
        <v>4138.2571032319074</v>
      </c>
      <c r="CW50" s="219">
        <v>3836.4177752059591</v>
      </c>
      <c r="CX50" s="219">
        <v>3785.0786465830811</v>
      </c>
      <c r="CY50" s="219">
        <v>3726.8071582691559</v>
      </c>
      <c r="CZ50" s="219">
        <v>3669.2670088004938</v>
      </c>
      <c r="DA50" s="219">
        <v>3612.449931542415</v>
      </c>
      <c r="DB50" s="219">
        <v>3556.3508085699091</v>
      </c>
    </row>
    <row r="51" spans="1:106" x14ac:dyDescent="0.35">
      <c r="A51" s="137" t="s">
        <v>543</v>
      </c>
      <c r="B51" s="130" t="s">
        <v>545</v>
      </c>
      <c r="C51" s="33">
        <v>1.535713505087794E-5</v>
      </c>
      <c r="D51" s="219">
        <v>1.5187588479394199E-5</v>
      </c>
      <c r="E51" s="219">
        <v>1.502618899650149E-5</v>
      </c>
      <c r="F51" s="219">
        <v>1.498687278307136E-5</v>
      </c>
      <c r="G51" s="219">
        <v>1.48848715828358E-5</v>
      </c>
      <c r="H51" s="219">
        <v>1.4780935106583189E-5</v>
      </c>
      <c r="I51" s="219">
        <v>1.457134565921285E-5</v>
      </c>
      <c r="J51" s="219">
        <v>1.444099298547728E-5</v>
      </c>
      <c r="K51" s="219">
        <v>1.4376081014315351E-5</v>
      </c>
      <c r="L51" s="219">
        <v>1.4287546002256231E-5</v>
      </c>
      <c r="M51" s="219">
        <v>1.419914504768072E-5</v>
      </c>
      <c r="N51" s="219">
        <v>1.41211632259532E-5</v>
      </c>
      <c r="O51" s="219">
        <v>1.404495774692486E-5</v>
      </c>
      <c r="P51" s="219">
        <v>1.3983307319662739E-5</v>
      </c>
      <c r="Q51" s="219">
        <v>1.3909138380305721E-5</v>
      </c>
      <c r="R51" s="219">
        <v>1.3835525322859661E-5</v>
      </c>
      <c r="S51" s="219">
        <v>1.3748576928423461E-5</v>
      </c>
      <c r="T51" s="219">
        <v>1.366418081860894E-5</v>
      </c>
      <c r="U51" s="219">
        <v>1.358791979072097E-5</v>
      </c>
      <c r="V51" s="219">
        <v>1.35022945319887E-5</v>
      </c>
      <c r="W51" s="219">
        <v>1.341589856471419E-5</v>
      </c>
      <c r="X51" s="219">
        <v>1.1860960615836479E-5</v>
      </c>
      <c r="Y51" s="219">
        <v>1.1851419645926629E-5</v>
      </c>
      <c r="Z51" s="219">
        <v>1.184175269118819E-5</v>
      </c>
      <c r="AA51" s="219">
        <v>1.1831966122004471E-5</v>
      </c>
      <c r="AB51" s="219">
        <v>1.182210939780544E-5</v>
      </c>
      <c r="AC51" s="33">
        <v>4.0818998483130582E-7</v>
      </c>
      <c r="AD51" s="219">
        <v>4.064657122681382E-7</v>
      </c>
      <c r="AE51" s="219">
        <v>4.0464127098555079E-7</v>
      </c>
      <c r="AF51" s="219">
        <v>4.0314747049728382E-7</v>
      </c>
      <c r="AG51" s="219">
        <v>4.0129543155266398E-7</v>
      </c>
      <c r="AH51" s="219">
        <v>3.9942184851507898E-7</v>
      </c>
      <c r="AI51" s="219">
        <v>3.978132452933416E-7</v>
      </c>
      <c r="AJ51" s="219">
        <v>3.9639809553004468E-7</v>
      </c>
      <c r="AK51" s="219">
        <v>3.9533499771591442E-7</v>
      </c>
      <c r="AL51" s="219">
        <v>3.9401886082391951E-7</v>
      </c>
      <c r="AM51" s="219">
        <v>3.926939811868229E-7</v>
      </c>
      <c r="AN51" s="219">
        <v>3.9154274910729201E-7</v>
      </c>
      <c r="AO51" s="219">
        <v>3.9039681719976838E-7</v>
      </c>
      <c r="AP51" s="219">
        <v>3.8939859178927478E-7</v>
      </c>
      <c r="AQ51" s="219">
        <v>3.8826014257425329E-7</v>
      </c>
      <c r="AR51" s="219">
        <v>3.8712323049157849E-7</v>
      </c>
      <c r="AS51" s="219">
        <v>3.8639689587128311E-7</v>
      </c>
      <c r="AT51" s="219">
        <v>3.8567819310289947E-7</v>
      </c>
      <c r="AU51" s="219">
        <v>3.8509668103456933E-7</v>
      </c>
      <c r="AV51" s="219">
        <v>3.8438089492592678E-7</v>
      </c>
      <c r="AW51" s="219">
        <v>3.836685139399019E-7</v>
      </c>
      <c r="AX51" s="219">
        <v>3.8578146316478392E-7</v>
      </c>
      <c r="AY51" s="219">
        <v>3.8575732443595501E-7</v>
      </c>
      <c r="AZ51" s="219">
        <v>3.8573257181770698E-7</v>
      </c>
      <c r="BA51" s="219">
        <v>3.8570725241667908E-7</v>
      </c>
      <c r="BB51" s="219">
        <v>3.8568154636102608E-7</v>
      </c>
      <c r="BC51" s="33">
        <v>53.558479659252633</v>
      </c>
      <c r="BD51" s="219">
        <v>53.567880177444103</v>
      </c>
      <c r="BE51" s="219">
        <v>53.576839783464919</v>
      </c>
      <c r="BF51" s="219">
        <v>53.611666803684187</v>
      </c>
      <c r="BG51" s="219">
        <v>53.619836759322332</v>
      </c>
      <c r="BH51" s="219">
        <v>53.627549786210118</v>
      </c>
      <c r="BI51" s="219">
        <v>53.629935867960882</v>
      </c>
      <c r="BJ51" s="219">
        <v>53.635599160909607</v>
      </c>
      <c r="BK51" s="219">
        <v>53.661503046032081</v>
      </c>
      <c r="BL51" s="219">
        <v>53.668424704247407</v>
      </c>
      <c r="BM51" s="219">
        <v>53.675151787493753</v>
      </c>
      <c r="BN51" s="219">
        <v>53.686848187271643</v>
      </c>
      <c r="BO51" s="219">
        <v>53.698382092348872</v>
      </c>
      <c r="BP51" s="219">
        <v>53.71726209151462</v>
      </c>
      <c r="BQ51" s="219">
        <v>53.728285988519211</v>
      </c>
      <c r="BR51" s="219">
        <v>53.739095962620702</v>
      </c>
      <c r="BS51" s="219">
        <v>53.764008919511518</v>
      </c>
      <c r="BT51" s="219">
        <v>53.788531415061392</v>
      </c>
      <c r="BU51" s="219">
        <v>53.819616382777639</v>
      </c>
      <c r="BV51" s="219">
        <v>53.842921016964283</v>
      </c>
      <c r="BW51" s="219">
        <v>53.865648942311957</v>
      </c>
      <c r="BX51" s="219">
        <v>53.861668738790918</v>
      </c>
      <c r="BY51" s="219">
        <v>53.857711718151407</v>
      </c>
      <c r="BZ51" s="219">
        <v>53.853765927011636</v>
      </c>
      <c r="CA51" s="219">
        <v>53.849829821253557</v>
      </c>
      <c r="CB51" s="219">
        <v>53.845905024781587</v>
      </c>
      <c r="CC51" s="33">
        <v>248.08396652691221</v>
      </c>
      <c r="CD51" s="219">
        <v>246.8912945244428</v>
      </c>
      <c r="CE51" s="219">
        <v>245.69433256435349</v>
      </c>
      <c r="CF51" s="219">
        <v>244.71708744068951</v>
      </c>
      <c r="CG51" s="219">
        <v>243.51824222786649</v>
      </c>
      <c r="CH51" s="219">
        <v>242.31384364309781</v>
      </c>
      <c r="CI51" s="219">
        <v>241.35725141318849</v>
      </c>
      <c r="CJ51" s="219">
        <v>240.57519783476221</v>
      </c>
      <c r="CK51" s="219">
        <v>240.0297788632684</v>
      </c>
      <c r="CL51" s="219">
        <v>239.3363749259224</v>
      </c>
      <c r="CM51" s="219">
        <v>238.64127644937409</v>
      </c>
      <c r="CN51" s="219">
        <v>237.85758519676961</v>
      </c>
      <c r="CO51" s="219">
        <v>237.0792430490975</v>
      </c>
      <c r="CP51" s="219">
        <v>236.36159359888489</v>
      </c>
      <c r="CQ51" s="219">
        <v>235.5852952347411</v>
      </c>
      <c r="CR51" s="219">
        <v>234.80978798756661</v>
      </c>
      <c r="CS51" s="219">
        <v>233.9186063726242</v>
      </c>
      <c r="CT51" s="219">
        <v>233.0302418749983</v>
      </c>
      <c r="CU51" s="219">
        <v>232.17988254107169</v>
      </c>
      <c r="CV51" s="219">
        <v>231.28202704549409</v>
      </c>
      <c r="CW51" s="219">
        <v>230.38045564357699</v>
      </c>
      <c r="CX51" s="219">
        <v>230.71003687457031</v>
      </c>
      <c r="CY51" s="219">
        <v>230.62053558173801</v>
      </c>
      <c r="CZ51" s="219">
        <v>230.53098847807831</v>
      </c>
      <c r="DA51" s="219">
        <v>230.4414086330458</v>
      </c>
      <c r="DB51" s="219">
        <v>230.35190373213581</v>
      </c>
    </row>
    <row r="52" spans="1:106" x14ac:dyDescent="0.35">
      <c r="A52" s="137" t="s">
        <v>544</v>
      </c>
      <c r="B52" s="130" t="s">
        <v>545</v>
      </c>
      <c r="C52" s="33">
        <v>1.2419452311635511E-4</v>
      </c>
      <c r="D52" s="219">
        <v>1.237073153266517E-4</v>
      </c>
      <c r="E52" s="219">
        <v>1.2320670928509461E-4</v>
      </c>
      <c r="F52" s="219">
        <v>1.2247955460784919E-4</v>
      </c>
      <c r="G52" s="219">
        <v>1.21947582128834E-4</v>
      </c>
      <c r="H52" s="219">
        <v>1.2141530268078501E-4</v>
      </c>
      <c r="I52" s="219">
        <v>1.2042587255114141E-4</v>
      </c>
      <c r="J52" s="219">
        <v>1.19478904270069E-4</v>
      </c>
      <c r="K52" s="219">
        <v>1.1848572160754411E-4</v>
      </c>
      <c r="L52" s="219">
        <v>1.1755641087928291E-4</v>
      </c>
      <c r="M52" s="219">
        <v>1.166261254289233E-4</v>
      </c>
      <c r="N52" s="219">
        <v>1.1536040165499029E-4</v>
      </c>
      <c r="O52" s="219">
        <v>1.140959426870477E-4</v>
      </c>
      <c r="P52" s="219">
        <v>1.1280610361537131E-4</v>
      </c>
      <c r="Q52" s="219">
        <v>1.115426901918165E-4</v>
      </c>
      <c r="R52" s="219">
        <v>1.1027916950832881E-4</v>
      </c>
      <c r="S52" s="219">
        <v>1.0919870509253479E-4</v>
      </c>
      <c r="T52" s="219">
        <v>1.081210940128322E-4</v>
      </c>
      <c r="U52" s="219">
        <v>1.070220072079015E-4</v>
      </c>
      <c r="V52" s="219">
        <v>1.0594863526896309E-4</v>
      </c>
      <c r="W52" s="219">
        <v>1.04876868372366E-4</v>
      </c>
      <c r="X52" s="219">
        <v>1.0625876292395629E-4</v>
      </c>
      <c r="Y52" s="219">
        <v>1.060924970953668E-4</v>
      </c>
      <c r="Z52" s="219">
        <v>1.059264273304935E-4</v>
      </c>
      <c r="AA52" s="219">
        <v>1.0576055104701039E-4</v>
      </c>
      <c r="AB52" s="219">
        <v>1.055948974793902E-4</v>
      </c>
      <c r="AC52" s="33">
        <v>7.6985782370224699E-7</v>
      </c>
      <c r="AD52" s="219">
        <v>7.7349958362925343E-7</v>
      </c>
      <c r="AE52" s="219">
        <v>7.7699817199002266E-7</v>
      </c>
      <c r="AF52" s="219">
        <v>7.7912002986447548E-7</v>
      </c>
      <c r="AG52" s="219">
        <v>7.8233049948083668E-7</v>
      </c>
      <c r="AH52" s="219">
        <v>7.8541262879674227E-7</v>
      </c>
      <c r="AI52" s="219">
        <v>8.0477226090720486E-7</v>
      </c>
      <c r="AJ52" s="219">
        <v>8.2396484573212279E-7</v>
      </c>
      <c r="AK52" s="219">
        <v>8.4205895134419778E-7</v>
      </c>
      <c r="AL52" s="219">
        <v>8.6072790686420917E-7</v>
      </c>
      <c r="AM52" s="219">
        <v>8.791357547233839E-7</v>
      </c>
      <c r="AN52" s="219">
        <v>9.0570712908343634E-7</v>
      </c>
      <c r="AO52" s="219">
        <v>9.319961976456604E-7</v>
      </c>
      <c r="AP52" s="219">
        <v>9.5761056458172184E-7</v>
      </c>
      <c r="AQ52" s="219">
        <v>9.8331190316400469E-7</v>
      </c>
      <c r="AR52" s="219">
        <v>1.008739739493481E-6</v>
      </c>
      <c r="AS52" s="219">
        <v>1.0308061493601831E-6</v>
      </c>
      <c r="AT52" s="219">
        <v>1.052673645963881E-6</v>
      </c>
      <c r="AU52" s="219">
        <v>1.0738845832623359E-6</v>
      </c>
      <c r="AV52" s="219">
        <v>1.095349835648535E-6</v>
      </c>
      <c r="AW52" s="219">
        <v>1.116640715552368E-6</v>
      </c>
      <c r="AX52" s="219">
        <v>1.1375199140554531E-6</v>
      </c>
      <c r="AY52" s="219">
        <v>1.136702915874586E-6</v>
      </c>
      <c r="AZ52" s="219">
        <v>1.135886112389924E-6</v>
      </c>
      <c r="BA52" s="219">
        <v>1.135069520521344E-6</v>
      </c>
      <c r="BB52" s="219">
        <v>1.134253311007524E-6</v>
      </c>
      <c r="BC52" s="33">
        <v>73.237308146846516</v>
      </c>
      <c r="BD52" s="219">
        <v>72.962371360529261</v>
      </c>
      <c r="BE52" s="219">
        <v>72.687154174364835</v>
      </c>
      <c r="BF52" s="219">
        <v>72.317687817262353</v>
      </c>
      <c r="BG52" s="219">
        <v>72.041790052370544</v>
      </c>
      <c r="BH52" s="219">
        <v>71.765568573245815</v>
      </c>
      <c r="BI52" s="219">
        <v>71.045183151051347</v>
      </c>
      <c r="BJ52" s="219">
        <v>70.325617912807388</v>
      </c>
      <c r="BK52" s="219">
        <v>69.53637975162583</v>
      </c>
      <c r="BL52" s="219">
        <v>68.815249183170778</v>
      </c>
      <c r="BM52" s="219">
        <v>68.093107688717566</v>
      </c>
      <c r="BN52" s="219">
        <v>67.094186168936844</v>
      </c>
      <c r="BO52" s="219">
        <v>66.093688692537441</v>
      </c>
      <c r="BP52" s="219">
        <v>65.069531420934013</v>
      </c>
      <c r="BQ52" s="219">
        <v>64.065818881902629</v>
      </c>
      <c r="BR52" s="219">
        <v>63.060546982873419</v>
      </c>
      <c r="BS52" s="219">
        <v>62.199792677186352</v>
      </c>
      <c r="BT52" s="219">
        <v>61.33838446153834</v>
      </c>
      <c r="BU52" s="219">
        <v>60.453396195127219</v>
      </c>
      <c r="BV52" s="219">
        <v>59.590579689147319</v>
      </c>
      <c r="BW52" s="219">
        <v>58.727028771302521</v>
      </c>
      <c r="BX52" s="219">
        <v>58.689525764522188</v>
      </c>
      <c r="BY52" s="219">
        <v>58.652095574484846</v>
      </c>
      <c r="BZ52" s="219">
        <v>58.614654468031873</v>
      </c>
      <c r="CA52" s="219">
        <v>58.577197504344959</v>
      </c>
      <c r="CB52" s="219">
        <v>58.539724209454498</v>
      </c>
      <c r="CC52" s="33">
        <v>619.51156124386785</v>
      </c>
      <c r="CD52" s="219">
        <v>614.91168933254335</v>
      </c>
      <c r="CE52" s="219">
        <v>610.31808635435209</v>
      </c>
      <c r="CF52" s="219">
        <v>604.93879688794948</v>
      </c>
      <c r="CG52" s="219">
        <v>600.35370094496966</v>
      </c>
      <c r="CH52" s="219">
        <v>595.77147217407651</v>
      </c>
      <c r="CI52" s="219">
        <v>585.36494843793821</v>
      </c>
      <c r="CJ52" s="219">
        <v>575.0766691238282</v>
      </c>
      <c r="CK52" s="219">
        <v>564.33205956266534</v>
      </c>
      <c r="CL52" s="219">
        <v>554.13665596665987</v>
      </c>
      <c r="CM52" s="219">
        <v>543.96283972157096</v>
      </c>
      <c r="CN52" s="219">
        <v>530.04625825474955</v>
      </c>
      <c r="CO52" s="219">
        <v>516.17602957101269</v>
      </c>
      <c r="CP52" s="219">
        <v>502.19190589679812</v>
      </c>
      <c r="CQ52" s="219">
        <v>488.41024647845478</v>
      </c>
      <c r="CR52" s="219">
        <v>474.67208658309602</v>
      </c>
      <c r="CS52" s="219">
        <v>462.26167947494031</v>
      </c>
      <c r="CT52" s="219">
        <v>449.91291622151863</v>
      </c>
      <c r="CU52" s="219">
        <v>437.48111744361012</v>
      </c>
      <c r="CV52" s="219">
        <v>425.25089302047792</v>
      </c>
      <c r="CW52" s="219">
        <v>413.08100733200752</v>
      </c>
      <c r="CX52" s="219">
        <v>411.72612213443779</v>
      </c>
      <c r="CY52" s="219">
        <v>409.93548880378069</v>
      </c>
      <c r="CZ52" s="219">
        <v>408.14877551409228</v>
      </c>
      <c r="DA52" s="219">
        <v>406.36597962600513</v>
      </c>
      <c r="DB52" s="219">
        <v>404.58718055910379</v>
      </c>
    </row>
    <row r="53" spans="1:106" x14ac:dyDescent="0.35">
      <c r="A53" s="137" t="s">
        <v>546</v>
      </c>
      <c r="B53" s="130" t="s">
        <v>547</v>
      </c>
      <c r="C53" s="33">
        <v>3.9908445143758251E-7</v>
      </c>
      <c r="D53" s="219">
        <v>3.9724738081549941E-7</v>
      </c>
      <c r="E53" s="219">
        <v>3.953806847027065E-7</v>
      </c>
      <c r="F53" s="219">
        <v>3.9217825716737449E-7</v>
      </c>
      <c r="G53" s="219">
        <v>3.9017647111296828E-7</v>
      </c>
      <c r="H53" s="219">
        <v>3.8820393756058428E-7</v>
      </c>
      <c r="I53" s="219">
        <v>3.8469189636014611E-7</v>
      </c>
      <c r="J53" s="219">
        <v>3.8239895930868159E-7</v>
      </c>
      <c r="K53" s="219">
        <v>3.8031400746162552E-7</v>
      </c>
      <c r="L53" s="219">
        <v>3.786438632104934E-7</v>
      </c>
      <c r="M53" s="219">
        <v>3.7698089293044598E-7</v>
      </c>
      <c r="N53" s="219">
        <v>3.7476701858882083E-7</v>
      </c>
      <c r="O53" s="219">
        <v>3.7259399252838742E-7</v>
      </c>
      <c r="P53" s="219">
        <v>3.7028771852384202E-7</v>
      </c>
      <c r="Q53" s="219">
        <v>3.6817367616652322E-7</v>
      </c>
      <c r="R53" s="219">
        <v>3.6607798974420518E-7</v>
      </c>
      <c r="S53" s="219">
        <v>3.6456841666830631E-7</v>
      </c>
      <c r="T53" s="219">
        <v>3.6311146022815402E-7</v>
      </c>
      <c r="U53" s="219">
        <v>3.6153098739387028E-7</v>
      </c>
      <c r="V53" s="219">
        <v>3.6008726583485401E-7</v>
      </c>
      <c r="W53" s="219">
        <v>3.5864473041374361E-7</v>
      </c>
      <c r="X53" s="219">
        <v>3.6604792189385269E-7</v>
      </c>
      <c r="Y53" s="219">
        <v>3.6570346952399548E-7</v>
      </c>
      <c r="Z53" s="219">
        <v>3.6535823668969318E-7</v>
      </c>
      <c r="AA53" s="219">
        <v>3.6501230041469589E-7</v>
      </c>
      <c r="AB53" s="219">
        <v>3.6466628788121128E-7</v>
      </c>
      <c r="AC53" s="33">
        <v>2.134640684270519E-9</v>
      </c>
      <c r="AD53" s="219">
        <v>2.1233456197460759E-9</v>
      </c>
      <c r="AE53" s="219">
        <v>2.1118350820167462E-9</v>
      </c>
      <c r="AF53" s="219">
        <v>2.092438674815824E-9</v>
      </c>
      <c r="AG53" s="219">
        <v>2.080501977270886E-9</v>
      </c>
      <c r="AH53" s="219">
        <v>2.0683784317680019E-9</v>
      </c>
      <c r="AI53" s="219">
        <v>2.0639836555332808E-9</v>
      </c>
      <c r="AJ53" s="219">
        <v>2.062342225440281E-9</v>
      </c>
      <c r="AK53" s="219">
        <v>2.0564052036919139E-9</v>
      </c>
      <c r="AL53" s="219">
        <v>2.0556307622217719E-9</v>
      </c>
      <c r="AM53" s="219">
        <v>2.054619201816237E-9</v>
      </c>
      <c r="AN53" s="219">
        <v>2.0624930588750422E-9</v>
      </c>
      <c r="AO53" s="219">
        <v>2.0702735017058921E-9</v>
      </c>
      <c r="AP53" s="219">
        <v>2.0755467822771658E-9</v>
      </c>
      <c r="AQ53" s="219">
        <v>2.082917128490064E-9</v>
      </c>
      <c r="AR53" s="219">
        <v>2.0901651698300589E-9</v>
      </c>
      <c r="AS53" s="219">
        <v>2.0980934334589202E-9</v>
      </c>
      <c r="AT53" s="219">
        <v>2.1061434736947001E-9</v>
      </c>
      <c r="AU53" s="219">
        <v>2.111719672589808E-9</v>
      </c>
      <c r="AV53" s="219">
        <v>2.119738562574484E-9</v>
      </c>
      <c r="AW53" s="219">
        <v>2.127843431543288E-9</v>
      </c>
      <c r="AX53" s="219">
        <v>2.1675586944852409E-9</v>
      </c>
      <c r="AY53" s="219">
        <v>2.1666057786891351E-9</v>
      </c>
      <c r="AZ53" s="219">
        <v>2.1656466397311218E-9</v>
      </c>
      <c r="BA53" s="219">
        <v>2.164681893609544E-9</v>
      </c>
      <c r="BB53" s="219">
        <v>2.1637139930929631E-9</v>
      </c>
      <c r="BC53" s="33">
        <v>0.1071396242643588</v>
      </c>
      <c r="BD53" s="219">
        <v>0.1067142090908325</v>
      </c>
      <c r="BE53" s="219">
        <v>0.10629379781915831</v>
      </c>
      <c r="BF53" s="219">
        <v>0.1052785490679625</v>
      </c>
      <c r="BG53" s="219">
        <v>0.1048730452456882</v>
      </c>
      <c r="BH53" s="219">
        <v>0.10447172722068</v>
      </c>
      <c r="BI53" s="219">
        <v>0.1039431069815499</v>
      </c>
      <c r="BJ53" s="219">
        <v>0.1034680350056769</v>
      </c>
      <c r="BK53" s="219">
        <v>0.102587685497796</v>
      </c>
      <c r="BL53" s="219">
        <v>0.10214683042632</v>
      </c>
      <c r="BM53" s="219">
        <v>0.1017066521847874</v>
      </c>
      <c r="BN53" s="219">
        <v>0.10103117829853921</v>
      </c>
      <c r="BO53" s="219">
        <v>0.10035782620536531</v>
      </c>
      <c r="BP53" s="219">
        <v>9.9555461407299706E-2</v>
      </c>
      <c r="BQ53" s="219">
        <v>9.8887456239427685E-2</v>
      </c>
      <c r="BR53" s="219">
        <v>9.8220597244761135E-2</v>
      </c>
      <c r="BS53" s="219">
        <v>9.7681594190167406E-2</v>
      </c>
      <c r="BT53" s="219">
        <v>9.7145739193817748E-2</v>
      </c>
      <c r="BU53" s="219">
        <v>9.6486833989151519E-2</v>
      </c>
      <c r="BV53" s="219">
        <v>9.595390775067747E-2</v>
      </c>
      <c r="BW53" s="219">
        <v>9.5421173159206507E-2</v>
      </c>
      <c r="BX53" s="219">
        <v>9.532374174729269E-2</v>
      </c>
      <c r="BY53" s="219">
        <v>9.5227149104436859E-2</v>
      </c>
      <c r="BZ53" s="219">
        <v>9.5131112104109461E-2</v>
      </c>
      <c r="CA53" s="219">
        <v>9.5035601082511023E-2</v>
      </c>
      <c r="CB53" s="219">
        <v>9.494062376444902E-2</v>
      </c>
      <c r="CC53" s="33">
        <v>1.07578436114747</v>
      </c>
      <c r="CD53" s="219">
        <v>1.065041218869506</v>
      </c>
      <c r="CE53" s="219">
        <v>1.054354521530352</v>
      </c>
      <c r="CF53" s="219">
        <v>1.0388251584664121</v>
      </c>
      <c r="CG53" s="219">
        <v>1.028370415080555</v>
      </c>
      <c r="CH53" s="219">
        <v>1.0179653833247699</v>
      </c>
      <c r="CI53" s="219">
        <v>1.001425543916056</v>
      </c>
      <c r="CJ53" s="219">
        <v>0.98756762812740717</v>
      </c>
      <c r="CK53" s="219">
        <v>0.97181433767637093</v>
      </c>
      <c r="CL53" s="219">
        <v>0.95946052175238017</v>
      </c>
      <c r="CM53" s="219">
        <v>0.94712918839740445</v>
      </c>
      <c r="CN53" s="219">
        <v>0.93174352088822243</v>
      </c>
      <c r="CO53" s="219">
        <v>0.91647942786663894</v>
      </c>
      <c r="CP53" s="219">
        <v>0.90036752410941245</v>
      </c>
      <c r="CQ53" s="219">
        <v>0.88532072262931272</v>
      </c>
      <c r="CR53" s="219">
        <v>0.87035799616284792</v>
      </c>
      <c r="CS53" s="219">
        <v>0.8584120498842559</v>
      </c>
      <c r="CT53" s="219">
        <v>0.84662923518616096</v>
      </c>
      <c r="CU53" s="219">
        <v>0.83415219763837689</v>
      </c>
      <c r="CV53" s="219">
        <v>0.8225195735884504</v>
      </c>
      <c r="CW53" s="219">
        <v>0.81096492019331357</v>
      </c>
      <c r="CX53" s="219">
        <v>0.8138919484976177</v>
      </c>
      <c r="CY53" s="219">
        <v>0.81141414307707982</v>
      </c>
      <c r="CZ53" s="219">
        <v>0.80894060507563359</v>
      </c>
      <c r="DA53" s="219">
        <v>0.80647164532696214</v>
      </c>
      <c r="DB53" s="219">
        <v>0.8040087963211664</v>
      </c>
    </row>
    <row r="54" spans="1:106" s="219" customFormat="1" x14ac:dyDescent="0.35">
      <c r="A54" s="137" t="s">
        <v>754</v>
      </c>
      <c r="B54" s="130" t="s">
        <v>547</v>
      </c>
      <c r="C54" s="33">
        <v>7.78066898721813E-7</v>
      </c>
      <c r="D54" s="219">
        <v>7.7712542409227635E-7</v>
      </c>
      <c r="E54" s="219">
        <v>7.7618331634048767E-7</v>
      </c>
      <c r="F54" s="219">
        <v>7.7495495736180078E-7</v>
      </c>
      <c r="G54" s="219">
        <v>7.7402356283201775E-7</v>
      </c>
      <c r="H54" s="219">
        <v>7.7309696099982725E-7</v>
      </c>
      <c r="I54" s="219">
        <v>7.7160771562726928E-7</v>
      </c>
      <c r="J54" s="219">
        <v>7.703524974515734E-7</v>
      </c>
      <c r="K54" s="219">
        <v>7.6912730958012401E-7</v>
      </c>
      <c r="L54" s="219">
        <v>7.679953265369942E-7</v>
      </c>
      <c r="M54" s="219">
        <v>7.668638370050278E-7</v>
      </c>
      <c r="N54" s="219">
        <v>7.6533951445624305E-7</v>
      </c>
      <c r="O54" s="219">
        <v>7.6383073498163611E-7</v>
      </c>
      <c r="P54" s="219">
        <v>7.6230111075623662E-7</v>
      </c>
      <c r="Q54" s="219">
        <v>7.608186763808714E-7</v>
      </c>
      <c r="R54" s="219">
        <v>7.5934612021267302E-7</v>
      </c>
      <c r="S54" s="219">
        <v>7.5839345717251149E-7</v>
      </c>
      <c r="T54" s="219">
        <v>7.5745542450726869E-7</v>
      </c>
      <c r="U54" s="219">
        <v>7.5649469453837488E-7</v>
      </c>
      <c r="V54" s="219">
        <v>7.5556774280327628E-7</v>
      </c>
      <c r="W54" s="219">
        <v>7.5464509479726567E-7</v>
      </c>
      <c r="X54" s="219">
        <v>7.5632368309799261E-7</v>
      </c>
      <c r="Y54" s="219">
        <v>7.5619415720833245E-7</v>
      </c>
      <c r="Z54" s="219">
        <v>7.5606495274490012E-7</v>
      </c>
      <c r="AA54" s="219">
        <v>7.5593607099092671E-7</v>
      </c>
      <c r="AB54" s="219">
        <v>7.5580763354294715E-7</v>
      </c>
      <c r="AC54" s="33">
        <v>6.0796784728393052E-9</v>
      </c>
      <c r="AD54" s="219">
        <v>6.0716385964140516E-9</v>
      </c>
      <c r="AE54" s="219">
        <v>6.0633762375813897E-9</v>
      </c>
      <c r="AF54" s="219">
        <v>6.0531357391038119E-9</v>
      </c>
      <c r="AG54" s="219">
        <v>6.0445165244856474E-9</v>
      </c>
      <c r="AH54" s="219">
        <v>6.0357234437158466E-9</v>
      </c>
      <c r="AI54" s="219">
        <v>6.0277700450008734E-9</v>
      </c>
      <c r="AJ54" s="219">
        <v>6.0202453104887816E-9</v>
      </c>
      <c r="AK54" s="219">
        <v>6.0116751544977857E-9</v>
      </c>
      <c r="AL54" s="219">
        <v>6.0041273760493828E-9</v>
      </c>
      <c r="AM54" s="219">
        <v>5.9964380865545343E-9</v>
      </c>
      <c r="AN54" s="219">
        <v>5.9893787559823942E-9</v>
      </c>
      <c r="AO54" s="219">
        <v>5.9823216224351443E-9</v>
      </c>
      <c r="AP54" s="219">
        <v>5.974773534271319E-9</v>
      </c>
      <c r="AQ54" s="219">
        <v>5.9676934003747541E-9</v>
      </c>
      <c r="AR54" s="219">
        <v>5.9606055702871351E-9</v>
      </c>
      <c r="AS54" s="219">
        <v>5.9564108418658251E-9</v>
      </c>
      <c r="AT54" s="219">
        <v>5.9522245816153382E-9</v>
      </c>
      <c r="AU54" s="219">
        <v>5.9475117778524943E-9</v>
      </c>
      <c r="AV54" s="219">
        <v>5.9433258564935542E-9</v>
      </c>
      <c r="AW54" s="219">
        <v>5.939172365407635E-9</v>
      </c>
      <c r="AX54" s="219">
        <v>5.9597513026329112E-9</v>
      </c>
      <c r="AY54" s="219">
        <v>5.9594497797813741E-9</v>
      </c>
      <c r="AZ54" s="219">
        <v>5.9591512338645319E-9</v>
      </c>
      <c r="BA54" s="219">
        <v>5.9588555354525889E-9</v>
      </c>
      <c r="BB54" s="219">
        <v>5.958563019476508E-9</v>
      </c>
      <c r="BC54" s="33">
        <v>3.7295418856401648E-2</v>
      </c>
      <c r="BD54" s="219">
        <v>3.7173571613096562E-2</v>
      </c>
      <c r="BE54" s="219">
        <v>3.7051645224888838E-2</v>
      </c>
      <c r="BF54" s="219">
        <v>3.6792694686971397E-2</v>
      </c>
      <c r="BG54" s="219">
        <v>3.6671625562749922E-2</v>
      </c>
      <c r="BH54" s="219">
        <v>3.6550260869884853E-2</v>
      </c>
      <c r="BI54" s="219">
        <v>3.6541137262420711E-2</v>
      </c>
      <c r="BJ54" s="219">
        <v>3.6541853339355397E-2</v>
      </c>
      <c r="BK54" s="219">
        <v>3.6452999382875988E-2</v>
      </c>
      <c r="BL54" s="219">
        <v>3.645956547963447E-2</v>
      </c>
      <c r="BM54" s="219">
        <v>3.6465724075211037E-2</v>
      </c>
      <c r="BN54" s="219">
        <v>3.6367693018880758E-2</v>
      </c>
      <c r="BO54" s="219">
        <v>3.627063376179953E-2</v>
      </c>
      <c r="BP54" s="219">
        <v>3.6146710157316048E-2</v>
      </c>
      <c r="BQ54" s="219">
        <v>3.6051892128587393E-2</v>
      </c>
      <c r="BR54" s="219">
        <v>3.5957822926364652E-2</v>
      </c>
      <c r="BS54" s="219">
        <v>3.5867745971996323E-2</v>
      </c>
      <c r="BT54" s="219">
        <v>3.5778583150684183E-2</v>
      </c>
      <c r="BU54" s="219">
        <v>3.5663775093814798E-2</v>
      </c>
      <c r="BV54" s="219">
        <v>3.5575895672537917E-2</v>
      </c>
      <c r="BW54" s="219">
        <v>3.5488353729929367E-2</v>
      </c>
      <c r="BX54" s="219">
        <v>3.5457996423077558E-2</v>
      </c>
      <c r="BY54" s="219">
        <v>3.5427973965903872E-2</v>
      </c>
      <c r="BZ54" s="219">
        <v>3.5398211309297711E-2</v>
      </c>
      <c r="CA54" s="219">
        <v>3.5368692127096188E-2</v>
      </c>
      <c r="CB54" s="219">
        <v>3.5339416107999698E-2</v>
      </c>
      <c r="CC54" s="33">
        <v>7.7000473886850216</v>
      </c>
      <c r="CD54" s="219">
        <v>7.6951096808431139</v>
      </c>
      <c r="CE54" s="219">
        <v>7.6901584235442124</v>
      </c>
      <c r="CF54" s="219">
        <v>7.6840540355392601</v>
      </c>
      <c r="CG54" s="219">
        <v>7.6790871595899501</v>
      </c>
      <c r="CH54" s="219">
        <v>7.674095552129315</v>
      </c>
      <c r="CI54" s="219">
        <v>7.6676721601561981</v>
      </c>
      <c r="CJ54" s="219">
        <v>7.6617561427945473</v>
      </c>
      <c r="CK54" s="219">
        <v>7.6553849863618719</v>
      </c>
      <c r="CL54" s="219">
        <v>7.6497345988316727</v>
      </c>
      <c r="CM54" s="219">
        <v>7.644072545932322</v>
      </c>
      <c r="CN54" s="219">
        <v>7.6365058693769088</v>
      </c>
      <c r="CO54" s="219">
        <v>7.6289983797974363</v>
      </c>
      <c r="CP54" s="219">
        <v>7.6213465815403261</v>
      </c>
      <c r="CQ54" s="219">
        <v>7.6139513382005504</v>
      </c>
      <c r="CR54" s="219">
        <v>7.6066062949536661</v>
      </c>
      <c r="CS54" s="219">
        <v>7.6013703613470316</v>
      </c>
      <c r="CT54" s="219">
        <v>7.5961904004490188</v>
      </c>
      <c r="CU54" s="219">
        <v>7.590883989813566</v>
      </c>
      <c r="CV54" s="219">
        <v>7.5857800585020074</v>
      </c>
      <c r="CW54" s="219">
        <v>7.580714071003146</v>
      </c>
      <c r="CX54" s="219">
        <v>7.5800933464410418</v>
      </c>
      <c r="CY54" s="219">
        <v>7.5790750484751541</v>
      </c>
      <c r="CZ54" s="219">
        <v>7.5780630792457053</v>
      </c>
      <c r="DA54" s="219">
        <v>7.577057402454944</v>
      </c>
      <c r="DB54" s="219">
        <v>7.5760582742945628</v>
      </c>
    </row>
    <row r="55" spans="1:106" x14ac:dyDescent="0.35">
      <c r="A55" s="137" t="s">
        <v>548</v>
      </c>
      <c r="B55" s="130" t="s">
        <v>545</v>
      </c>
      <c r="C55" s="33">
        <v>2.5640303467162219E-6</v>
      </c>
      <c r="D55" s="219">
        <v>2.5616188695053821E-6</v>
      </c>
      <c r="E55" s="219">
        <v>2.5591545402571341E-6</v>
      </c>
      <c r="F55" s="219">
        <v>2.5388018490157472E-6</v>
      </c>
      <c r="G55" s="219">
        <v>2.5361716521378462E-6</v>
      </c>
      <c r="H55" s="219">
        <v>2.5335312267469551E-6</v>
      </c>
      <c r="I55" s="219">
        <v>2.529655815159922E-6</v>
      </c>
      <c r="J55" s="219">
        <v>2.5259941091236581E-6</v>
      </c>
      <c r="K55" s="219">
        <v>2.5158930727312861E-6</v>
      </c>
      <c r="L55" s="219">
        <v>2.512380889340007E-6</v>
      </c>
      <c r="M55" s="219">
        <v>2.5088605089206E-6</v>
      </c>
      <c r="N55" s="219">
        <v>2.5042971664542688E-6</v>
      </c>
      <c r="O55" s="219">
        <v>2.4997610738244611E-6</v>
      </c>
      <c r="P55" s="219">
        <v>2.492579290557679E-6</v>
      </c>
      <c r="Q55" s="219">
        <v>2.4881115551442951E-6</v>
      </c>
      <c r="R55" s="219">
        <v>2.4836585793812718E-6</v>
      </c>
      <c r="S55" s="219">
        <v>2.4804836036022901E-6</v>
      </c>
      <c r="T55" s="219">
        <v>2.4773286399869329E-6</v>
      </c>
      <c r="U55" s="219">
        <v>2.47220849000673E-6</v>
      </c>
      <c r="V55" s="219">
        <v>2.469103797539551E-6</v>
      </c>
      <c r="W55" s="219">
        <v>2.4660004922107378E-6</v>
      </c>
      <c r="X55" s="219">
        <v>2.4747134344139628E-6</v>
      </c>
      <c r="Y55" s="219">
        <v>2.474184320548881E-6</v>
      </c>
      <c r="Z55" s="219">
        <v>2.4736580624429671E-6</v>
      </c>
      <c r="AA55" s="219">
        <v>2.4731348142252328E-6</v>
      </c>
      <c r="AB55" s="219">
        <v>2.4726149305702738E-6</v>
      </c>
      <c r="AC55" s="33">
        <v>1.8523966650116911E-8</v>
      </c>
      <c r="AD55" s="219">
        <v>1.8521668798043058E-8</v>
      </c>
      <c r="AE55" s="219">
        <v>1.851837583231717E-8</v>
      </c>
      <c r="AF55" s="219">
        <v>1.8399295572812562E-8</v>
      </c>
      <c r="AG55" s="219">
        <v>1.8392430995572309E-8</v>
      </c>
      <c r="AH55" s="219">
        <v>1.8384691894531941E-8</v>
      </c>
      <c r="AI55" s="219">
        <v>1.8403677285925309E-8</v>
      </c>
      <c r="AJ55" s="219">
        <v>1.8422012196103481E-8</v>
      </c>
      <c r="AK55" s="219">
        <v>1.835343409218089E-8</v>
      </c>
      <c r="AL55" s="219">
        <v>1.836709724383771E-8</v>
      </c>
      <c r="AM55" s="219">
        <v>1.8379665973595041E-8</v>
      </c>
      <c r="AN55" s="219">
        <v>1.84042280092433E-8</v>
      </c>
      <c r="AO55" s="219">
        <v>1.8427934664998351E-8</v>
      </c>
      <c r="AP55" s="219">
        <v>1.8413608295090152E-8</v>
      </c>
      <c r="AQ55" s="219">
        <v>1.8434544664584498E-8</v>
      </c>
      <c r="AR55" s="219">
        <v>1.845472080973888E-8</v>
      </c>
      <c r="AS55" s="219">
        <v>1.8475856174503911E-8</v>
      </c>
      <c r="AT55" s="219">
        <v>1.849656171774686E-8</v>
      </c>
      <c r="AU55" s="219">
        <v>1.8479325621451659E-8</v>
      </c>
      <c r="AV55" s="219">
        <v>1.849877474695845E-8</v>
      </c>
      <c r="AW55" s="219">
        <v>1.8518291578200159E-8</v>
      </c>
      <c r="AX55" s="219">
        <v>1.859524502782724E-8</v>
      </c>
      <c r="AY55" s="219">
        <v>1.859871628938911E-8</v>
      </c>
      <c r="AZ55" s="219">
        <v>1.860215035105329E-8</v>
      </c>
      <c r="BA55" s="219">
        <v>1.860554909281469E-8</v>
      </c>
      <c r="BB55" s="219">
        <v>1.8608915789086501E-8</v>
      </c>
      <c r="BC55" s="33">
        <v>0.36315657741329288</v>
      </c>
      <c r="BD55" s="219">
        <v>0.36253067571846892</v>
      </c>
      <c r="BE55" s="219">
        <v>0.36190284856729249</v>
      </c>
      <c r="BF55" s="219">
        <v>0.3522514440858015</v>
      </c>
      <c r="BG55" s="219">
        <v>0.35165546014299931</v>
      </c>
      <c r="BH55" s="219">
        <v>0.35105638796400018</v>
      </c>
      <c r="BI55" s="219">
        <v>0.35004551353310692</v>
      </c>
      <c r="BJ55" s="219">
        <v>0.3490482855766131</v>
      </c>
      <c r="BK55" s="219">
        <v>0.34144131162845082</v>
      </c>
      <c r="BL55" s="219">
        <v>0.34053759064939071</v>
      </c>
      <c r="BM55" s="219">
        <v>0.33963769624713652</v>
      </c>
      <c r="BN55" s="219">
        <v>0.33821173268576948</v>
      </c>
      <c r="BO55" s="219">
        <v>0.33679411814443999</v>
      </c>
      <c r="BP55" s="219">
        <v>0.33335616318315631</v>
      </c>
      <c r="BQ55" s="219">
        <v>0.33199048616483118</v>
      </c>
      <c r="BR55" s="219">
        <v>0.33063267436694449</v>
      </c>
      <c r="BS55" s="219">
        <v>0.32950012650307281</v>
      </c>
      <c r="BT55" s="219">
        <v>0.32837326551451729</v>
      </c>
      <c r="BU55" s="219">
        <v>0.32534862059616571</v>
      </c>
      <c r="BV55" s="219">
        <v>0.324260172926706</v>
      </c>
      <c r="BW55" s="219">
        <v>0.32317648212811312</v>
      </c>
      <c r="BX55" s="219">
        <v>0.3229761694385142</v>
      </c>
      <c r="BY55" s="219">
        <v>0.32277722242907059</v>
      </c>
      <c r="BZ55" s="219">
        <v>0.32257930799578888</v>
      </c>
      <c r="CA55" s="219">
        <v>0.32238240937958129</v>
      </c>
      <c r="CB55" s="219">
        <v>0.32218653068580372</v>
      </c>
      <c r="CC55" s="33">
        <v>18.809297458245631</v>
      </c>
      <c r="CD55" s="219">
        <v>18.791081138094249</v>
      </c>
      <c r="CE55" s="219">
        <v>18.772822857354761</v>
      </c>
      <c r="CF55" s="219">
        <v>18.679825080582209</v>
      </c>
      <c r="CG55" s="219">
        <v>18.6615848921662</v>
      </c>
      <c r="CH55" s="219">
        <v>18.643284158273651</v>
      </c>
      <c r="CI55" s="219">
        <v>18.616837560511229</v>
      </c>
      <c r="CJ55" s="219">
        <v>18.590940936575549</v>
      </c>
      <c r="CK55" s="219">
        <v>18.514379234396621</v>
      </c>
      <c r="CL55" s="219">
        <v>18.489617875197158</v>
      </c>
      <c r="CM55" s="219">
        <v>18.46489777774633</v>
      </c>
      <c r="CN55" s="219">
        <v>18.43281358126616</v>
      </c>
      <c r="CO55" s="219">
        <v>18.400989864863291</v>
      </c>
      <c r="CP55" s="219">
        <v>18.354491143450389</v>
      </c>
      <c r="CQ55" s="219">
        <v>18.323532126097209</v>
      </c>
      <c r="CR55" s="219">
        <v>18.292831619217559</v>
      </c>
      <c r="CS55" s="219">
        <v>18.268175367626881</v>
      </c>
      <c r="CT55" s="219">
        <v>18.243768853762901</v>
      </c>
      <c r="CU55" s="219">
        <v>18.208168050237301</v>
      </c>
      <c r="CV55" s="219">
        <v>18.18460777138554</v>
      </c>
      <c r="CW55" s="219">
        <v>18.161360991619631</v>
      </c>
      <c r="CX55" s="219">
        <v>18.156763298710981</v>
      </c>
      <c r="CY55" s="219">
        <v>18.151396895397909</v>
      </c>
      <c r="CZ55" s="219">
        <v>18.14606576658203</v>
      </c>
      <c r="DA55" s="219">
        <v>18.14077077211557</v>
      </c>
      <c r="DB55" s="219">
        <v>18.135513462881409</v>
      </c>
    </row>
    <row r="56" spans="1:106" x14ac:dyDescent="0.35">
      <c r="A56" s="137" t="s">
        <v>549</v>
      </c>
      <c r="B56" s="130" t="s">
        <v>545</v>
      </c>
      <c r="C56" s="33">
        <v>1.660677890364083E-6</v>
      </c>
      <c r="D56" s="219">
        <v>1.658263672253403E-6</v>
      </c>
      <c r="E56" s="219">
        <v>1.655795863478786E-6</v>
      </c>
      <c r="F56" s="219">
        <v>1.633862883325428E-6</v>
      </c>
      <c r="G56" s="219">
        <v>1.631223315463357E-6</v>
      </c>
      <c r="H56" s="219">
        <v>1.628576561936142E-6</v>
      </c>
      <c r="I56" s="219">
        <v>1.624624933767689E-6</v>
      </c>
      <c r="J56" s="219">
        <v>1.620887941220067E-6</v>
      </c>
      <c r="K56" s="219">
        <v>1.6101463300694319E-6</v>
      </c>
      <c r="L56" s="219">
        <v>1.606569995031115E-6</v>
      </c>
      <c r="M56" s="219">
        <v>1.602990074946871E-6</v>
      </c>
      <c r="N56" s="219">
        <v>1.598343358754222E-6</v>
      </c>
      <c r="O56" s="219">
        <v>1.593724999950698E-6</v>
      </c>
      <c r="P56" s="219">
        <v>1.5862332992197451E-6</v>
      </c>
      <c r="Q56" s="219">
        <v>1.581688931690789E-6</v>
      </c>
      <c r="R56" s="219">
        <v>1.577162743573169E-6</v>
      </c>
      <c r="S56" s="219">
        <v>1.5739032977695079E-6</v>
      </c>
      <c r="T56" s="219">
        <v>1.5706663378388199E-6</v>
      </c>
      <c r="U56" s="219">
        <v>1.565296555880849E-6</v>
      </c>
      <c r="V56" s="219">
        <v>1.562122002375195E-6</v>
      </c>
      <c r="W56" s="219">
        <v>1.558959652416495E-6</v>
      </c>
      <c r="X56" s="219">
        <v>1.5682948087133181E-6</v>
      </c>
      <c r="Y56" s="219">
        <v>1.5677238966394681E-6</v>
      </c>
      <c r="Z56" s="219">
        <v>1.567155584632168E-6</v>
      </c>
      <c r="AA56" s="219">
        <v>1.566589914225409E-6</v>
      </c>
      <c r="AB56" s="219">
        <v>1.566027081816955E-6</v>
      </c>
      <c r="AC56" s="33">
        <v>1.247029165602138E-8</v>
      </c>
      <c r="AD56" s="219">
        <v>1.247045965894911E-8</v>
      </c>
      <c r="AE56" s="219">
        <v>1.24695712809489E-8</v>
      </c>
      <c r="AF56" s="219">
        <v>1.234274566659628E-8</v>
      </c>
      <c r="AG56" s="219">
        <v>1.233801684512233E-8</v>
      </c>
      <c r="AH56" s="219">
        <v>1.233235729092661E-8</v>
      </c>
      <c r="AI56" s="219">
        <v>1.2356683117117509E-8</v>
      </c>
      <c r="AJ56" s="219">
        <v>1.238022939912002E-8</v>
      </c>
      <c r="AK56" s="219">
        <v>1.2309296494570911E-8</v>
      </c>
      <c r="AL56" s="219">
        <v>1.2327688882811551E-8</v>
      </c>
      <c r="AM56" s="219">
        <v>1.234486404606684E-8</v>
      </c>
      <c r="AN56" s="219">
        <v>1.237544857509421E-8</v>
      </c>
      <c r="AO56" s="219">
        <v>1.240501215337658E-8</v>
      </c>
      <c r="AP56" s="219">
        <v>1.2393172079037241E-8</v>
      </c>
      <c r="AQ56" s="219">
        <v>1.24195090789113E-8</v>
      </c>
      <c r="AR56" s="219">
        <v>1.2444877448380269E-8</v>
      </c>
      <c r="AS56" s="219">
        <v>1.247025691598852E-8</v>
      </c>
      <c r="AT56" s="219">
        <v>1.2495054083578951E-8</v>
      </c>
      <c r="AU56" s="219">
        <v>1.2478468580375659E-8</v>
      </c>
      <c r="AV56" s="219">
        <v>1.250149631932125E-8</v>
      </c>
      <c r="AW56" s="219">
        <v>1.2524180451267561E-8</v>
      </c>
      <c r="AX56" s="219">
        <v>1.260944432166658E-8</v>
      </c>
      <c r="AY56" s="219">
        <v>1.2613769200231829E-8</v>
      </c>
      <c r="AZ56" s="219">
        <v>1.26180418214084E-8</v>
      </c>
      <c r="BA56" s="219">
        <v>1.262226278974253E-8</v>
      </c>
      <c r="BB56" s="219">
        <v>1.262643358354287E-8</v>
      </c>
      <c r="BC56" s="33">
        <v>0.40341666385197827</v>
      </c>
      <c r="BD56" s="219">
        <v>0.402682494602979</v>
      </c>
      <c r="BE56" s="219">
        <v>0.40194839775022367</v>
      </c>
      <c r="BF56" s="219">
        <v>0.39140462880003168</v>
      </c>
      <c r="BG56" s="219">
        <v>0.39070996833368321</v>
      </c>
      <c r="BH56" s="219">
        <v>0.3900147804316898</v>
      </c>
      <c r="BI56" s="219">
        <v>0.38886402980619622</v>
      </c>
      <c r="BJ56" s="219">
        <v>0.38772843114764982</v>
      </c>
      <c r="BK56" s="219">
        <v>0.37941090667067578</v>
      </c>
      <c r="BL56" s="219">
        <v>0.37837899620651472</v>
      </c>
      <c r="BM56" s="219">
        <v>0.3773527669332869</v>
      </c>
      <c r="BN56" s="219">
        <v>0.37577618080405828</v>
      </c>
      <c r="BO56" s="219">
        <v>0.37420962297435301</v>
      </c>
      <c r="BP56" s="219">
        <v>0.3704493706232318</v>
      </c>
      <c r="BQ56" s="219">
        <v>0.36894141760395499</v>
      </c>
      <c r="BR56" s="219">
        <v>0.36744338379513808</v>
      </c>
      <c r="BS56" s="219">
        <v>0.36619789036471012</v>
      </c>
      <c r="BT56" s="219">
        <v>0.36495892162735039</v>
      </c>
      <c r="BU56" s="219">
        <v>0.36165854407314812</v>
      </c>
      <c r="BV56" s="219">
        <v>0.36046159632559888</v>
      </c>
      <c r="BW56" s="219">
        <v>0.35927063049293551</v>
      </c>
      <c r="BX56" s="219">
        <v>0.35904535446450397</v>
      </c>
      <c r="BY56" s="219">
        <v>0.3588215489854073</v>
      </c>
      <c r="BZ56" s="219">
        <v>0.35859886226588061</v>
      </c>
      <c r="CA56" s="219">
        <v>0.35837727434107558</v>
      </c>
      <c r="CB56" s="219">
        <v>0.35815678417045632</v>
      </c>
      <c r="CC56" s="33">
        <v>7.5290250639379979</v>
      </c>
      <c r="CD56" s="219">
        <v>7.5110202628437062</v>
      </c>
      <c r="CE56" s="219">
        <v>7.4929883742840486</v>
      </c>
      <c r="CF56" s="219">
        <v>7.3936874055396524</v>
      </c>
      <c r="CG56" s="219">
        <v>7.3757065483991662</v>
      </c>
      <c r="CH56" s="219">
        <v>7.3576703450442871</v>
      </c>
      <c r="CI56" s="219">
        <v>7.329958563347085</v>
      </c>
      <c r="CJ56" s="219">
        <v>7.3028190774123418</v>
      </c>
      <c r="CK56" s="219">
        <v>7.2206272261870623</v>
      </c>
      <c r="CL56" s="219">
        <v>7.1947431260111188</v>
      </c>
      <c r="CM56" s="219">
        <v>7.1689340962345796</v>
      </c>
      <c r="CN56" s="219">
        <v>7.1352966176567296</v>
      </c>
      <c r="CO56" s="219">
        <v>7.1019380444402209</v>
      </c>
      <c r="CP56" s="219">
        <v>7.0526360071082852</v>
      </c>
      <c r="CQ56" s="219">
        <v>7.0202036299651374</v>
      </c>
      <c r="CR56" s="219">
        <v>6.9880398845047056</v>
      </c>
      <c r="CS56" s="219">
        <v>6.961962776856951</v>
      </c>
      <c r="CT56" s="219">
        <v>6.9361403313712611</v>
      </c>
      <c r="CU56" s="219">
        <v>6.8981300598353279</v>
      </c>
      <c r="CV56" s="219">
        <v>6.8731593231587231</v>
      </c>
      <c r="CW56" s="219">
        <v>6.8484529294567231</v>
      </c>
      <c r="CX56" s="219">
        <v>6.8433689784680984</v>
      </c>
      <c r="CY56" s="219">
        <v>6.8375433167746138</v>
      </c>
      <c r="CZ56" s="219">
        <v>6.8317532896516218</v>
      </c>
      <c r="DA56" s="219">
        <v>6.8259991520238597</v>
      </c>
      <c r="DB56" s="219">
        <v>6.8202815992532519</v>
      </c>
    </row>
    <row r="57" spans="1:106" x14ac:dyDescent="0.35">
      <c r="A57" s="137" t="s">
        <v>550</v>
      </c>
      <c r="B57" s="130" t="s">
        <v>545</v>
      </c>
      <c r="C57" s="33">
        <v>6.6772258278644479E-6</v>
      </c>
      <c r="D57" s="219">
        <v>6.646581330440374E-6</v>
      </c>
      <c r="E57" s="219">
        <v>6.614948479834619E-6</v>
      </c>
      <c r="F57" s="219">
        <v>6.4946996533685493E-6</v>
      </c>
      <c r="G57" s="219">
        <v>6.4600704388295306E-6</v>
      </c>
      <c r="H57" s="219">
        <v>6.4248886164851994E-6</v>
      </c>
      <c r="I57" s="219">
        <v>6.3838477348498666E-6</v>
      </c>
      <c r="J57" s="219">
        <v>6.3437860759489494E-6</v>
      </c>
      <c r="K57" s="219">
        <v>6.2726681147083688E-6</v>
      </c>
      <c r="L57" s="219">
        <v>6.2331536880920738E-6</v>
      </c>
      <c r="M57" s="219">
        <v>6.193517207179656E-6</v>
      </c>
      <c r="N57" s="219">
        <v>6.1470737006013069E-6</v>
      </c>
      <c r="O57" s="219">
        <v>6.1011410745364806E-6</v>
      </c>
      <c r="P57" s="219">
        <v>6.0428865427976703E-6</v>
      </c>
      <c r="Q57" s="219">
        <v>5.9980044156144127E-6</v>
      </c>
      <c r="R57" s="219">
        <v>5.9535208757534191E-6</v>
      </c>
      <c r="S57" s="219">
        <v>5.9240020972009457E-6</v>
      </c>
      <c r="T57" s="219">
        <v>5.8948103700802174E-6</v>
      </c>
      <c r="U57" s="219">
        <v>5.8563607624180634E-6</v>
      </c>
      <c r="V57" s="219">
        <v>5.8278328291886316E-6</v>
      </c>
      <c r="W57" s="219">
        <v>5.7994798159739594E-6</v>
      </c>
      <c r="X57" s="219">
        <v>5.8496186557637394E-6</v>
      </c>
      <c r="Y57" s="219">
        <v>5.8454680648322374E-6</v>
      </c>
      <c r="Z57" s="219">
        <v>5.8413581520783594E-6</v>
      </c>
      <c r="AA57" s="219">
        <v>5.8372899867207733E-6</v>
      </c>
      <c r="AB57" s="219">
        <v>5.8332660980159058E-6</v>
      </c>
      <c r="AC57" s="33">
        <v>6.593078414802902E-8</v>
      </c>
      <c r="AD57" s="219">
        <v>6.5690590326768765E-8</v>
      </c>
      <c r="AE57" s="219">
        <v>6.5430927095186319E-8</v>
      </c>
      <c r="AF57" s="219">
        <v>6.459617574178388E-8</v>
      </c>
      <c r="AG57" s="219">
        <v>6.4291084490544709E-8</v>
      </c>
      <c r="AH57" s="219">
        <v>6.3967546447004884E-8</v>
      </c>
      <c r="AI57" s="219">
        <v>6.3824636220410937E-8</v>
      </c>
      <c r="AJ57" s="219">
        <v>6.3670177728448249E-8</v>
      </c>
      <c r="AK57" s="219">
        <v>6.3090120501360591E-8</v>
      </c>
      <c r="AL57" s="219">
        <v>6.2897281265633646E-8</v>
      </c>
      <c r="AM57" s="219">
        <v>6.2691584142988918E-8</v>
      </c>
      <c r="AN57" s="219">
        <v>6.2669385338823552E-8</v>
      </c>
      <c r="AO57" s="219">
        <v>6.2643383417253274E-8</v>
      </c>
      <c r="AP57" s="219">
        <v>6.2435386688526957E-8</v>
      </c>
      <c r="AQ57" s="219">
        <v>6.2396688053030648E-8</v>
      </c>
      <c r="AR57" s="219">
        <v>6.2354691013268515E-8</v>
      </c>
      <c r="AS57" s="219">
        <v>6.2383242070391271E-8</v>
      </c>
      <c r="AT57" s="219">
        <v>6.2410648602517705E-8</v>
      </c>
      <c r="AU57" s="219">
        <v>6.2256985496006584E-8</v>
      </c>
      <c r="AV57" s="219">
        <v>6.2281639440088093E-8</v>
      </c>
      <c r="AW57" s="219">
        <v>6.2309642741184565E-8</v>
      </c>
      <c r="AX57" s="219">
        <v>6.2601216263280268E-8</v>
      </c>
      <c r="AY57" s="219">
        <v>6.2605656216539203E-8</v>
      </c>
      <c r="AZ57" s="219">
        <v>6.2610116800044086E-8</v>
      </c>
      <c r="BA57" s="219">
        <v>6.2614608470302606E-8</v>
      </c>
      <c r="BB57" s="219">
        <v>6.2619153600384152E-8</v>
      </c>
      <c r="BC57" s="33">
        <v>1.8568102813980509</v>
      </c>
      <c r="BD57" s="219">
        <v>1.8516418408147179</v>
      </c>
      <c r="BE57" s="219">
        <v>1.8463456177402131</v>
      </c>
      <c r="BF57" s="219">
        <v>1.797345377627638</v>
      </c>
      <c r="BG57" s="219">
        <v>1.7919590450137171</v>
      </c>
      <c r="BH57" s="219">
        <v>1.7864329463065249</v>
      </c>
      <c r="BI57" s="219">
        <v>1.7812341632522239</v>
      </c>
      <c r="BJ57" s="219">
        <v>1.776050742120411</v>
      </c>
      <c r="BK57" s="219">
        <v>1.7390335000015249</v>
      </c>
      <c r="BL57" s="219">
        <v>1.7341983979931459</v>
      </c>
      <c r="BM57" s="219">
        <v>1.729329197687091</v>
      </c>
      <c r="BN57" s="219">
        <v>1.721085180440121</v>
      </c>
      <c r="BO57" s="219">
        <v>1.7129040351958791</v>
      </c>
      <c r="BP57" s="219">
        <v>1.6950434300839701</v>
      </c>
      <c r="BQ57" s="219">
        <v>1.6871561204839289</v>
      </c>
      <c r="BR57" s="219">
        <v>1.6793268008172531</v>
      </c>
      <c r="BS57" s="219">
        <v>1.6725155956238149</v>
      </c>
      <c r="BT57" s="219">
        <v>1.6657455706461921</v>
      </c>
      <c r="BU57" s="219">
        <v>1.649874665630799</v>
      </c>
      <c r="BV57" s="219">
        <v>1.6433206274211509</v>
      </c>
      <c r="BW57" s="219">
        <v>1.636800821290566</v>
      </c>
      <c r="BX57" s="219">
        <v>1.6355368162125721</v>
      </c>
      <c r="BY57" s="219">
        <v>1.634287522349603</v>
      </c>
      <c r="BZ57" s="219">
        <v>1.6330494005840841</v>
      </c>
      <c r="CA57" s="219">
        <v>1.6318222409314349</v>
      </c>
      <c r="CB57" s="219">
        <v>1.630605995441865</v>
      </c>
      <c r="CC57" s="33">
        <v>27.537999924631279</v>
      </c>
      <c r="CD57" s="219">
        <v>27.326890322648559</v>
      </c>
      <c r="CE57" s="219">
        <v>27.112220486466111</v>
      </c>
      <c r="CF57" s="219">
        <v>26.532618232104461</v>
      </c>
      <c r="CG57" s="219">
        <v>26.310999420151301</v>
      </c>
      <c r="CH57" s="219">
        <v>26.085472611889092</v>
      </c>
      <c r="CI57" s="219">
        <v>25.83588336489936</v>
      </c>
      <c r="CJ57" s="219">
        <v>25.588158005521269</v>
      </c>
      <c r="CK57" s="219">
        <v>25.0961950569232</v>
      </c>
      <c r="CL57" s="219">
        <v>24.852207136319048</v>
      </c>
      <c r="CM57" s="219">
        <v>24.60748025029773</v>
      </c>
      <c r="CN57" s="219">
        <v>24.331624031518349</v>
      </c>
      <c r="CO57" s="219">
        <v>24.05909358408184</v>
      </c>
      <c r="CP57" s="219">
        <v>23.718224790740219</v>
      </c>
      <c r="CQ57" s="219">
        <v>23.4539380827167</v>
      </c>
      <c r="CR57" s="219">
        <v>23.19293369090537</v>
      </c>
      <c r="CS57" s="219">
        <v>22.996476326044728</v>
      </c>
      <c r="CT57" s="219">
        <v>22.802698698139391</v>
      </c>
      <c r="CU57" s="219">
        <v>22.55656500382711</v>
      </c>
      <c r="CV57" s="219">
        <v>22.3699721114215</v>
      </c>
      <c r="CW57" s="219">
        <v>22.186670363739289</v>
      </c>
      <c r="CX57" s="219">
        <v>22.14863659594635</v>
      </c>
      <c r="CY57" s="219">
        <v>22.107252885191091</v>
      </c>
      <c r="CZ57" s="219">
        <v>22.066309032390031</v>
      </c>
      <c r="DA57" s="219">
        <v>22.025810344976279</v>
      </c>
      <c r="DB57" s="219">
        <v>21.985767520552969</v>
      </c>
    </row>
    <row r="58" spans="1:106" x14ac:dyDescent="0.35">
      <c r="A58" s="137" t="s">
        <v>551</v>
      </c>
      <c r="B58" s="130" t="s">
        <v>545</v>
      </c>
      <c r="C58" s="33">
        <v>3.2123724091131578E-6</v>
      </c>
      <c r="D58" s="219">
        <v>3.2072206883513239E-6</v>
      </c>
      <c r="E58" s="219">
        <v>3.2019620910606381E-6</v>
      </c>
      <c r="F58" s="219">
        <v>3.1424121803752931E-6</v>
      </c>
      <c r="G58" s="219">
        <v>3.1367832643912441E-6</v>
      </c>
      <c r="H58" s="219">
        <v>3.1311661809129248E-6</v>
      </c>
      <c r="I58" s="219">
        <v>3.122129845855454E-6</v>
      </c>
      <c r="J58" s="219">
        <v>3.113679791002381E-6</v>
      </c>
      <c r="K58" s="219">
        <v>3.0856359418045102E-6</v>
      </c>
      <c r="L58" s="219">
        <v>3.07764108013801E-6</v>
      </c>
      <c r="M58" s="219">
        <v>3.0696439257571981E-6</v>
      </c>
      <c r="N58" s="219">
        <v>3.05912088238624E-6</v>
      </c>
      <c r="O58" s="219">
        <v>3.048649165319997E-6</v>
      </c>
      <c r="P58" s="219">
        <v>3.030112036081336E-6</v>
      </c>
      <c r="Q58" s="219">
        <v>3.0197948642403878E-6</v>
      </c>
      <c r="R58" s="219">
        <v>3.009505606647239E-6</v>
      </c>
      <c r="S58" s="219">
        <v>3.00189598743152E-6</v>
      </c>
      <c r="T58" s="219">
        <v>2.994334564689934E-6</v>
      </c>
      <c r="U58" s="219">
        <v>2.980795843875313E-6</v>
      </c>
      <c r="V58" s="219">
        <v>2.9733817388776881E-6</v>
      </c>
      <c r="W58" s="219">
        <v>2.9659924236563821E-6</v>
      </c>
      <c r="X58" s="219">
        <v>2.9914866469105228E-6</v>
      </c>
      <c r="Y58" s="219">
        <v>2.9900400682297711E-6</v>
      </c>
      <c r="Z58" s="219">
        <v>2.988598745626422E-6</v>
      </c>
      <c r="AA58" s="219">
        <v>2.9871627518195061E-6</v>
      </c>
      <c r="AB58" s="219">
        <v>2.9857325363419348E-6</v>
      </c>
      <c r="AC58" s="33">
        <v>2.574114748494353E-8</v>
      </c>
      <c r="AD58" s="219">
        <v>2.5760213664718329E-8</v>
      </c>
      <c r="AE58" s="219">
        <v>2.5777285040859378E-8</v>
      </c>
      <c r="AF58" s="219">
        <v>2.544334142898973E-8</v>
      </c>
      <c r="AG58" s="219">
        <v>2.5451465591791609E-8</v>
      </c>
      <c r="AH58" s="219">
        <v>2.5457883741309591E-8</v>
      </c>
      <c r="AI58" s="219">
        <v>2.554552467345701E-8</v>
      </c>
      <c r="AJ58" s="219">
        <v>2.5631482594619469E-8</v>
      </c>
      <c r="AK58" s="219">
        <v>2.5453639951867279E-8</v>
      </c>
      <c r="AL58" s="219">
        <v>2.5526176430200119E-8</v>
      </c>
      <c r="AM58" s="219">
        <v>2.5595795397953741E-8</v>
      </c>
      <c r="AN58" s="219">
        <v>2.5697173002296029E-8</v>
      </c>
      <c r="AO58" s="219">
        <v>2.5795627429330979E-8</v>
      </c>
      <c r="AP58" s="219">
        <v>2.5778165536555701E-8</v>
      </c>
      <c r="AQ58" s="219">
        <v>2.5867457009598021E-8</v>
      </c>
      <c r="AR58" s="219">
        <v>2.5953960639155719E-8</v>
      </c>
      <c r="AS58" s="219">
        <v>2.6033836753827689E-8</v>
      </c>
      <c r="AT58" s="219">
        <v>2.6111999932566581E-8</v>
      </c>
      <c r="AU58" s="219">
        <v>2.6074289617437611E-8</v>
      </c>
      <c r="AV58" s="219">
        <v>2.614719225297319E-8</v>
      </c>
      <c r="AW58" s="219">
        <v>2.6218838211399749E-8</v>
      </c>
      <c r="AX58" s="219">
        <v>2.643894111910975E-8</v>
      </c>
      <c r="AY58" s="219">
        <v>2.6452265273344969E-8</v>
      </c>
      <c r="AZ58" s="219">
        <v>2.6465422875634809E-8</v>
      </c>
      <c r="BA58" s="219">
        <v>2.6478415356855921E-8</v>
      </c>
      <c r="BB58" s="219">
        <v>2.6491246066441861E-8</v>
      </c>
      <c r="BC58" s="33">
        <v>1.121781625810689</v>
      </c>
      <c r="BD58" s="219">
        <v>1.119859181533869</v>
      </c>
      <c r="BE58" s="219">
        <v>1.117945109134288</v>
      </c>
      <c r="BF58" s="219">
        <v>1.088616759971399</v>
      </c>
      <c r="BG58" s="219">
        <v>1.086829799355258</v>
      </c>
      <c r="BH58" s="219">
        <v>1.0850500844037689</v>
      </c>
      <c r="BI58" s="219">
        <v>1.08178119411827</v>
      </c>
      <c r="BJ58" s="219">
        <v>1.07855776078291</v>
      </c>
      <c r="BK58" s="219">
        <v>1.0552496583584161</v>
      </c>
      <c r="BL58" s="219">
        <v>1.0523236954272419</v>
      </c>
      <c r="BM58" s="219">
        <v>1.049417741752801</v>
      </c>
      <c r="BN58" s="219">
        <v>1.045104174134432</v>
      </c>
      <c r="BO58" s="219">
        <v>1.040817818296454</v>
      </c>
      <c r="BP58" s="219">
        <v>1.03039400915241</v>
      </c>
      <c r="BQ58" s="219">
        <v>1.026270050718922</v>
      </c>
      <c r="BR58" s="219">
        <v>1.0221732894495079</v>
      </c>
      <c r="BS58" s="219">
        <v>1.0187897727643971</v>
      </c>
      <c r="BT58" s="219">
        <v>1.0154241524445931</v>
      </c>
      <c r="BU58" s="219">
        <v>1.006291630820267</v>
      </c>
      <c r="BV58" s="219">
        <v>1.003042547663384</v>
      </c>
      <c r="BW58" s="219">
        <v>0.99981013419165543</v>
      </c>
      <c r="BX58" s="219">
        <v>0.99920615004293889</v>
      </c>
      <c r="BY58" s="219">
        <v>0.99860567263953037</v>
      </c>
      <c r="BZ58" s="219">
        <v>0.99800787600461593</v>
      </c>
      <c r="CA58" s="219">
        <v>0.99741271479110116</v>
      </c>
      <c r="CB58" s="219">
        <v>0.99682018996925525</v>
      </c>
      <c r="CC58" s="33">
        <v>9.1532989319005047</v>
      </c>
      <c r="CD58" s="219">
        <v>9.1130543935815993</v>
      </c>
      <c r="CE58" s="219">
        <v>9.07294713648648</v>
      </c>
      <c r="CF58" s="219">
        <v>8.8059127220506124</v>
      </c>
      <c r="CG58" s="219">
        <v>8.7663972938287884</v>
      </c>
      <c r="CH58" s="219">
        <v>8.7269593639756149</v>
      </c>
      <c r="CI58" s="219">
        <v>8.659887188693645</v>
      </c>
      <c r="CJ58" s="219">
        <v>8.5944346157950839</v>
      </c>
      <c r="CK58" s="219">
        <v>8.3750235918498213</v>
      </c>
      <c r="CL58" s="219">
        <v>8.3131955884625501</v>
      </c>
      <c r="CM58" s="219">
        <v>8.251652878996957</v>
      </c>
      <c r="CN58" s="219">
        <v>8.1697258530183898</v>
      </c>
      <c r="CO58" s="219">
        <v>8.0884365484367198</v>
      </c>
      <c r="CP58" s="219">
        <v>7.9624003326945498</v>
      </c>
      <c r="CQ58" s="219">
        <v>7.8834212390626979</v>
      </c>
      <c r="CR58" s="219">
        <v>7.805052827996497</v>
      </c>
      <c r="CS58" s="219">
        <v>7.740332754723851</v>
      </c>
      <c r="CT58" s="219">
        <v>7.6762225712740779</v>
      </c>
      <c r="CU58" s="219">
        <v>7.5779222644782811</v>
      </c>
      <c r="CV58" s="219">
        <v>7.5159753906101407</v>
      </c>
      <c r="CW58" s="219">
        <v>7.4546348723914164</v>
      </c>
      <c r="CX58" s="219">
        <v>7.4414691997091609</v>
      </c>
      <c r="CY58" s="219">
        <v>7.4265326379241472</v>
      </c>
      <c r="CZ58" s="219">
        <v>7.4116762391019417</v>
      </c>
      <c r="DA58" s="219">
        <v>7.3969005273690289</v>
      </c>
      <c r="DB58" s="219">
        <v>7.3822070324334543</v>
      </c>
    </row>
    <row r="59" spans="1:106" x14ac:dyDescent="0.35">
      <c r="A59" s="137" t="s">
        <v>552</v>
      </c>
      <c r="B59" s="130" t="s">
        <v>545</v>
      </c>
      <c r="C59" s="33">
        <v>3.366585355398291E-6</v>
      </c>
      <c r="D59" s="219">
        <v>3.3632390011216972E-6</v>
      </c>
      <c r="E59" s="219">
        <v>3.359816477486105E-6</v>
      </c>
      <c r="F59" s="219">
        <v>3.334765296031697E-6</v>
      </c>
      <c r="G59" s="219">
        <v>3.331109383457834E-6</v>
      </c>
      <c r="H59" s="219">
        <v>3.327432581816179E-6</v>
      </c>
      <c r="I59" s="219">
        <v>3.322202397409265E-6</v>
      </c>
      <c r="J59" s="219">
        <v>3.3172331584406591E-6</v>
      </c>
      <c r="K59" s="219">
        <v>3.3044975931992911E-6</v>
      </c>
      <c r="L59" s="219">
        <v>3.299707759179229E-6</v>
      </c>
      <c r="M59" s="219">
        <v>3.294906747653807E-6</v>
      </c>
      <c r="N59" s="219">
        <v>3.2887205882971359E-6</v>
      </c>
      <c r="O59" s="219">
        <v>3.2825752982170769E-6</v>
      </c>
      <c r="P59" s="219">
        <v>3.2732476879307102E-6</v>
      </c>
      <c r="Q59" s="219">
        <v>3.2672001679972539E-6</v>
      </c>
      <c r="R59" s="219">
        <v>3.2611775620529259E-6</v>
      </c>
      <c r="S59" s="219">
        <v>3.256932060881497E-6</v>
      </c>
      <c r="T59" s="219">
        <v>3.2527145575051179E-6</v>
      </c>
      <c r="U59" s="219">
        <v>3.2461306928940561E-6</v>
      </c>
      <c r="V59" s="219">
        <v>3.2419832155055929E-6</v>
      </c>
      <c r="W59" s="219">
        <v>3.237842141394058E-6</v>
      </c>
      <c r="X59" s="219">
        <v>3.248619348325256E-6</v>
      </c>
      <c r="Y59" s="219">
        <v>3.2479363641485569E-6</v>
      </c>
      <c r="Z59" s="219">
        <v>3.2472573144250439E-6</v>
      </c>
      <c r="AA59" s="219">
        <v>3.246582373763257E-6</v>
      </c>
      <c r="AB59" s="219">
        <v>3.2459119645478079E-6</v>
      </c>
      <c r="AC59" s="33">
        <v>2.41515602008796E-8</v>
      </c>
      <c r="AD59" s="219">
        <v>2.4143400906995801E-8</v>
      </c>
      <c r="AE59" s="219">
        <v>2.4133766059902102E-8</v>
      </c>
      <c r="AF59" s="219">
        <v>2.3984093332925338E-8</v>
      </c>
      <c r="AG59" s="219">
        <v>2.396963636981454E-8</v>
      </c>
      <c r="AH59" s="219">
        <v>2.395386726779674E-8</v>
      </c>
      <c r="AI59" s="219">
        <v>2.397135481987765E-8</v>
      </c>
      <c r="AJ59" s="219">
        <v>2.3987904867366002E-8</v>
      </c>
      <c r="AK59" s="219">
        <v>2.3899488523564149E-8</v>
      </c>
      <c r="AL59" s="219">
        <v>2.3910101370027431E-8</v>
      </c>
      <c r="AM59" s="219">
        <v>2.39192443491496E-8</v>
      </c>
      <c r="AN59" s="219">
        <v>2.3944489083979012E-8</v>
      </c>
      <c r="AO59" s="219">
        <v>2.3968704619002519E-8</v>
      </c>
      <c r="AP59" s="219">
        <v>2.3947065168821488E-8</v>
      </c>
      <c r="AQ59" s="219">
        <v>2.3967938479865321E-8</v>
      </c>
      <c r="AR59" s="219">
        <v>2.398789076951558E-8</v>
      </c>
      <c r="AS59" s="219">
        <v>2.4011096318211428E-8</v>
      </c>
      <c r="AT59" s="219">
        <v>2.4033786251936881E-8</v>
      </c>
      <c r="AU59" s="219">
        <v>2.4010720913711559E-8</v>
      </c>
      <c r="AV59" s="219">
        <v>2.4031909609615529E-8</v>
      </c>
      <c r="AW59" s="219">
        <v>2.405318730221774E-8</v>
      </c>
      <c r="AX59" s="219">
        <v>2.4164162248145961E-8</v>
      </c>
      <c r="AY59" s="219">
        <v>2.4168089547132651E-8</v>
      </c>
      <c r="AZ59" s="219">
        <v>2.417197570299804E-8</v>
      </c>
      <c r="BA59" s="219">
        <v>2.4175822784893721E-8</v>
      </c>
      <c r="BB59" s="219">
        <v>2.4179634580949622E-8</v>
      </c>
      <c r="BC59" s="33">
        <v>0.44534745442441048</v>
      </c>
      <c r="BD59" s="219">
        <v>0.44454370901280083</v>
      </c>
      <c r="BE59" s="219">
        <v>0.44373567140886261</v>
      </c>
      <c r="BF59" s="219">
        <v>0.43203624682213743</v>
      </c>
      <c r="BG59" s="219">
        <v>0.43126264135965758</v>
      </c>
      <c r="BH59" s="219">
        <v>0.43048330484906649</v>
      </c>
      <c r="BI59" s="219">
        <v>0.4292691136396567</v>
      </c>
      <c r="BJ59" s="219">
        <v>0.42807064562930508</v>
      </c>
      <c r="BK59" s="219">
        <v>0.41889910924407331</v>
      </c>
      <c r="BL59" s="219">
        <v>0.41781168510562461</v>
      </c>
      <c r="BM59" s="219">
        <v>0.4167279566577346</v>
      </c>
      <c r="BN59" s="219">
        <v>0.41497405065065918</v>
      </c>
      <c r="BO59" s="219">
        <v>0.41323062918910147</v>
      </c>
      <c r="BP59" s="219">
        <v>0.4090512062174817</v>
      </c>
      <c r="BQ59" s="219">
        <v>0.40737125882358238</v>
      </c>
      <c r="BR59" s="219">
        <v>0.40570120460852133</v>
      </c>
      <c r="BS59" s="219">
        <v>0.4043029667096803</v>
      </c>
      <c r="BT59" s="219">
        <v>0.40291174040007022</v>
      </c>
      <c r="BU59" s="219">
        <v>0.39923199344099009</v>
      </c>
      <c r="BV59" s="219">
        <v>0.39788740068908868</v>
      </c>
      <c r="BW59" s="219">
        <v>0.39654869591728709</v>
      </c>
      <c r="BX59" s="219">
        <v>0.39629752787528549</v>
      </c>
      <c r="BY59" s="219">
        <v>0.39604818365045402</v>
      </c>
      <c r="BZ59" s="219">
        <v>0.39580021555805039</v>
      </c>
      <c r="CA59" s="219">
        <v>0.3955535997984968</v>
      </c>
      <c r="CB59" s="219">
        <v>0.39530833915437191</v>
      </c>
      <c r="CC59" s="33">
        <v>24.472170373352721</v>
      </c>
      <c r="CD59" s="219">
        <v>24.447512941936541</v>
      </c>
      <c r="CE59" s="219">
        <v>24.42274670807803</v>
      </c>
      <c r="CF59" s="219">
        <v>24.307712203763039</v>
      </c>
      <c r="CG59" s="219">
        <v>24.282843569066689</v>
      </c>
      <c r="CH59" s="219">
        <v>24.257836158600089</v>
      </c>
      <c r="CI59" s="219">
        <v>24.223010388594719</v>
      </c>
      <c r="CJ59" s="219">
        <v>24.188843008871281</v>
      </c>
      <c r="CK59" s="219">
        <v>24.093563048502801</v>
      </c>
      <c r="CL59" s="219">
        <v>24.06073881269646</v>
      </c>
      <c r="CM59" s="219">
        <v>24.02794804125169</v>
      </c>
      <c r="CN59" s="219">
        <v>23.985837469355712</v>
      </c>
      <c r="CO59" s="219">
        <v>23.94408196768816</v>
      </c>
      <c r="CP59" s="219">
        <v>23.88467172882314</v>
      </c>
      <c r="CQ59" s="219">
        <v>23.844038465449731</v>
      </c>
      <c r="CR59" s="219">
        <v>23.803755711408339</v>
      </c>
      <c r="CS59" s="219">
        <v>23.77167543221864</v>
      </c>
      <c r="CT59" s="219">
        <v>23.73992318692801</v>
      </c>
      <c r="CU59" s="219">
        <v>23.694693881892189</v>
      </c>
      <c r="CV59" s="219">
        <v>23.66401312678563</v>
      </c>
      <c r="CW59" s="219">
        <v>23.63373476423255</v>
      </c>
      <c r="CX59" s="219">
        <v>23.62791221189249</v>
      </c>
      <c r="CY59" s="219">
        <v>23.621032406378841</v>
      </c>
      <c r="CZ59" s="219">
        <v>23.614200334470869</v>
      </c>
      <c r="DA59" s="219">
        <v>23.607416959139901</v>
      </c>
      <c r="DB59" s="219">
        <v>23.60068408737235</v>
      </c>
    </row>
    <row r="60" spans="1:106" x14ac:dyDescent="0.35">
      <c r="A60" s="137" t="s">
        <v>553</v>
      </c>
      <c r="B60" s="130" t="s">
        <v>545</v>
      </c>
      <c r="C60" s="33">
        <v>7.7859618898951764E-7</v>
      </c>
      <c r="D60" s="219">
        <v>7.7897262970068291E-7</v>
      </c>
      <c r="E60" s="219">
        <v>7.7905945594150864E-7</v>
      </c>
      <c r="F60" s="219">
        <v>7.6492054554334375E-7</v>
      </c>
      <c r="G60" s="219">
        <v>7.633154594015037E-7</v>
      </c>
      <c r="H60" s="219">
        <v>7.6171324951094694E-7</v>
      </c>
      <c r="I60" s="219">
        <v>7.5934193533824678E-7</v>
      </c>
      <c r="J60" s="219">
        <v>7.5722565514578424E-7</v>
      </c>
      <c r="K60" s="219">
        <v>7.5056081404296649E-7</v>
      </c>
      <c r="L60" s="219">
        <v>7.4861047638091549E-7</v>
      </c>
      <c r="M60" s="219">
        <v>7.4665622894270258E-7</v>
      </c>
      <c r="N60" s="219">
        <v>7.440818233382765E-7</v>
      </c>
      <c r="O60" s="219">
        <v>7.4151975033570317E-7</v>
      </c>
      <c r="P60" s="219">
        <v>7.3705291095859531E-7</v>
      </c>
      <c r="Q60" s="219">
        <v>7.345245413908354E-7</v>
      </c>
      <c r="R60" s="219">
        <v>7.3199918680602464E-7</v>
      </c>
      <c r="S60" s="219">
        <v>7.3023577445656619E-7</v>
      </c>
      <c r="T60" s="219">
        <v>7.2848538335725585E-7</v>
      </c>
      <c r="U60" s="219">
        <v>7.2532714501889568E-7</v>
      </c>
      <c r="V60" s="219">
        <v>7.2359946540773393E-7</v>
      </c>
      <c r="W60" s="219">
        <v>7.2186515830071581E-7</v>
      </c>
      <c r="X60" s="219">
        <v>7.3572644581780576E-7</v>
      </c>
      <c r="Y60" s="219">
        <v>7.3542958582057698E-7</v>
      </c>
      <c r="Z60" s="219">
        <v>7.3513382133906277E-7</v>
      </c>
      <c r="AA60" s="219">
        <v>7.348392897368302E-7</v>
      </c>
      <c r="AB60" s="219">
        <v>7.3454632332186715E-7</v>
      </c>
      <c r="AC60" s="33">
        <v>4.2724311619834096E-9</v>
      </c>
      <c r="AD60" s="219">
        <v>4.2783657508766686E-9</v>
      </c>
      <c r="AE60" s="219">
        <v>4.283930070609323E-9</v>
      </c>
      <c r="AF60" s="219">
        <v>4.2076415502519396E-9</v>
      </c>
      <c r="AG60" s="219">
        <v>4.2112991510290051E-9</v>
      </c>
      <c r="AH60" s="219">
        <v>4.2146485684005761E-9</v>
      </c>
      <c r="AI60" s="219">
        <v>4.2300443150063001E-9</v>
      </c>
      <c r="AJ60" s="219">
        <v>4.2455444330010554E-9</v>
      </c>
      <c r="AK60" s="219">
        <v>4.1992246182481963E-9</v>
      </c>
      <c r="AL60" s="219">
        <v>4.2121174590384687E-9</v>
      </c>
      <c r="AM60" s="219">
        <v>4.2245187416505343E-9</v>
      </c>
      <c r="AN60" s="219">
        <v>4.2483245090620997E-9</v>
      </c>
      <c r="AO60" s="219">
        <v>4.2716901251922337E-9</v>
      </c>
      <c r="AP60" s="219">
        <v>4.2679308546464869E-9</v>
      </c>
      <c r="AQ60" s="219">
        <v>4.2896597644970373E-9</v>
      </c>
      <c r="AR60" s="219">
        <v>4.3110197556230698E-9</v>
      </c>
      <c r="AS60" s="219">
        <v>4.3267474670037507E-9</v>
      </c>
      <c r="AT60" s="219">
        <v>4.3422802662457901E-9</v>
      </c>
      <c r="AU60" s="219">
        <v>4.3307683014694448E-9</v>
      </c>
      <c r="AV60" s="219">
        <v>4.3456071419842776E-9</v>
      </c>
      <c r="AW60" s="219">
        <v>4.3606165559260447E-9</v>
      </c>
      <c r="AX60" s="219">
        <v>4.4076834732089084E-9</v>
      </c>
      <c r="AY60" s="219">
        <v>4.4087537246663721E-9</v>
      </c>
      <c r="AZ60" s="219">
        <v>4.4098100421087442E-9</v>
      </c>
      <c r="BA60" s="219">
        <v>4.4108540167183628E-9</v>
      </c>
      <c r="BB60" s="219">
        <v>4.4118884346166906E-9</v>
      </c>
      <c r="BC60" s="33">
        <v>0.2055343531254202</v>
      </c>
      <c r="BD60" s="219">
        <v>0.2051662883539544</v>
      </c>
      <c r="BE60" s="219">
        <v>0.20479787015297779</v>
      </c>
      <c r="BF60" s="219">
        <v>0.19800507357829761</v>
      </c>
      <c r="BG60" s="219">
        <v>0.19766172434154161</v>
      </c>
      <c r="BH60" s="219">
        <v>0.19731713068775089</v>
      </c>
      <c r="BI60" s="219">
        <v>0.19658721791725289</v>
      </c>
      <c r="BJ60" s="219">
        <v>0.19587004614076989</v>
      </c>
      <c r="BK60" s="219">
        <v>0.19042477936601451</v>
      </c>
      <c r="BL60" s="219">
        <v>0.18977407543759359</v>
      </c>
      <c r="BM60" s="219">
        <v>0.18912465300369871</v>
      </c>
      <c r="BN60" s="219">
        <v>0.18814277082836181</v>
      </c>
      <c r="BO60" s="219">
        <v>0.18716364182502171</v>
      </c>
      <c r="BP60" s="219">
        <v>0.18473401051387739</v>
      </c>
      <c r="BQ60" s="219">
        <v>0.1837854467686468</v>
      </c>
      <c r="BR60" s="219">
        <v>0.18283914655607439</v>
      </c>
      <c r="BS60" s="219">
        <v>0.18204694573842989</v>
      </c>
      <c r="BT60" s="219">
        <v>0.18125720765486261</v>
      </c>
      <c r="BU60" s="219">
        <v>0.17910655927859279</v>
      </c>
      <c r="BV60" s="219">
        <v>0.17834057011411261</v>
      </c>
      <c r="BW60" s="219">
        <v>0.17757605840903751</v>
      </c>
      <c r="BX60" s="219">
        <v>0.1774750436745183</v>
      </c>
      <c r="BY60" s="219">
        <v>0.17737462360396161</v>
      </c>
      <c r="BZ60" s="219">
        <v>0.17727461903900521</v>
      </c>
      <c r="CA60" s="219">
        <v>0.17717501669208749</v>
      </c>
      <c r="CB60" s="219">
        <v>0.17707582342341041</v>
      </c>
      <c r="CC60" s="33">
        <v>1.2952696161780941</v>
      </c>
      <c r="CD60" s="219">
        <v>1.285412457686772</v>
      </c>
      <c r="CE60" s="219">
        <v>1.2755726086445971</v>
      </c>
      <c r="CF60" s="219">
        <v>1.212646043419414</v>
      </c>
      <c r="CG60" s="219">
        <v>1.2029341336687931</v>
      </c>
      <c r="CH60" s="219">
        <v>1.193237396494115</v>
      </c>
      <c r="CI60" s="219">
        <v>1.177625009597276</v>
      </c>
      <c r="CJ60" s="219">
        <v>1.1626196328492779</v>
      </c>
      <c r="CK60" s="219">
        <v>1.111442578620786</v>
      </c>
      <c r="CL60" s="219">
        <v>1.0973564419589139</v>
      </c>
      <c r="CM60" s="219">
        <v>1.083294535617231</v>
      </c>
      <c r="CN60" s="219">
        <v>1.064677892968128</v>
      </c>
      <c r="CO60" s="219">
        <v>1.046181743700864</v>
      </c>
      <c r="CP60" s="219">
        <v>1.017095130413721</v>
      </c>
      <c r="CQ60" s="219">
        <v>0.99908667630922698</v>
      </c>
      <c r="CR60" s="219">
        <v>0.98119692420070548</v>
      </c>
      <c r="CS60" s="219">
        <v>0.96639341254387201</v>
      </c>
      <c r="CT60" s="219">
        <v>0.9517297934505623</v>
      </c>
      <c r="CU60" s="219">
        <v>0.92901919685477929</v>
      </c>
      <c r="CV60" s="219">
        <v>0.91487340963535435</v>
      </c>
      <c r="CW60" s="219">
        <v>0.90091403285410709</v>
      </c>
      <c r="CX60" s="219">
        <v>0.89900538782813899</v>
      </c>
      <c r="CY60" s="219">
        <v>0.89606785422132773</v>
      </c>
      <c r="CZ60" s="219">
        <v>0.89314539719331221</v>
      </c>
      <c r="DA60" s="219">
        <v>0.89023877747084434</v>
      </c>
      <c r="DB60" s="219">
        <v>0.88734939032796123</v>
      </c>
    </row>
    <row r="61" spans="1:106" x14ac:dyDescent="0.35">
      <c r="A61" s="137" t="s">
        <v>554</v>
      </c>
      <c r="B61" s="130" t="s">
        <v>545</v>
      </c>
      <c r="C61" s="33">
        <v>8.8990883496107409E-7</v>
      </c>
      <c r="D61" s="219">
        <v>8.8882336629194803E-7</v>
      </c>
      <c r="E61" s="219">
        <v>8.8771149858373507E-7</v>
      </c>
      <c r="F61" s="219">
        <v>8.8125859921511438E-7</v>
      </c>
      <c r="G61" s="219">
        <v>8.8006859916692221E-7</v>
      </c>
      <c r="H61" s="219">
        <v>8.7886829229519716E-7</v>
      </c>
      <c r="I61" s="219">
        <v>8.77249168930844E-7</v>
      </c>
      <c r="J61" s="219">
        <v>8.7569432573826946E-7</v>
      </c>
      <c r="K61" s="219">
        <v>8.7223452503820921E-7</v>
      </c>
      <c r="L61" s="219">
        <v>8.7072287659528042E-7</v>
      </c>
      <c r="M61" s="219">
        <v>8.6920818613220016E-7</v>
      </c>
      <c r="N61" s="219">
        <v>8.6727754715720033E-7</v>
      </c>
      <c r="O61" s="219">
        <v>8.6536202789253451E-7</v>
      </c>
      <c r="P61" s="219">
        <v>8.62672010135873E-7</v>
      </c>
      <c r="Q61" s="219">
        <v>8.6079044171669377E-7</v>
      </c>
      <c r="R61" s="219">
        <v>8.5891984455983153E-7</v>
      </c>
      <c r="S61" s="219">
        <v>8.576264949339124E-7</v>
      </c>
      <c r="T61" s="219">
        <v>8.5634260701190445E-7</v>
      </c>
      <c r="U61" s="219">
        <v>8.5448126876091083E-7</v>
      </c>
      <c r="V61" s="219">
        <v>8.5322147745679219E-7</v>
      </c>
      <c r="W61" s="219">
        <v>8.5196743394357742E-7</v>
      </c>
      <c r="X61" s="219">
        <v>8.5477184931029983E-7</v>
      </c>
      <c r="Y61" s="219">
        <v>8.5457552564564439E-7</v>
      </c>
      <c r="Z61" s="219">
        <v>8.5438043554525998E-7</v>
      </c>
      <c r="AA61" s="219">
        <v>8.5418660163194619E-7</v>
      </c>
      <c r="AB61" s="219">
        <v>8.5399410471568153E-7</v>
      </c>
      <c r="AC61" s="33">
        <v>6.3241556333339403E-9</v>
      </c>
      <c r="AD61" s="219">
        <v>6.3189079673356292E-9</v>
      </c>
      <c r="AE61" s="219">
        <v>6.3131212330171737E-9</v>
      </c>
      <c r="AF61" s="219">
        <v>6.27273257694039E-9</v>
      </c>
      <c r="AG61" s="219">
        <v>6.2654316916372293E-9</v>
      </c>
      <c r="AH61" s="219">
        <v>6.2576429936255684E-9</v>
      </c>
      <c r="AI61" s="219">
        <v>6.2587739106817363E-9</v>
      </c>
      <c r="AJ61" s="219">
        <v>6.2595676675114572E-9</v>
      </c>
      <c r="AK61" s="219">
        <v>6.2345281743424781E-9</v>
      </c>
      <c r="AL61" s="219">
        <v>6.2336606583009212E-9</v>
      </c>
      <c r="AM61" s="219">
        <v>6.2323320066845333E-9</v>
      </c>
      <c r="AN61" s="219">
        <v>6.2360586047123099E-9</v>
      </c>
      <c r="AO61" s="219">
        <v>6.23952514795223E-9</v>
      </c>
      <c r="AP61" s="219">
        <v>6.2317512359480842E-9</v>
      </c>
      <c r="AQ61" s="219">
        <v>6.2343756085845114E-9</v>
      </c>
      <c r="AR61" s="219">
        <v>6.2367569496345608E-9</v>
      </c>
      <c r="AS61" s="219">
        <v>6.2411999348977569E-9</v>
      </c>
      <c r="AT61" s="219">
        <v>6.2455065841278277E-9</v>
      </c>
      <c r="AU61" s="219">
        <v>6.2385823934453411E-9</v>
      </c>
      <c r="AV61" s="219">
        <v>6.2424890229162457E-9</v>
      </c>
      <c r="AW61" s="219">
        <v>6.2463797980490007E-9</v>
      </c>
      <c r="AX61" s="219">
        <v>6.2856175839289789E-9</v>
      </c>
      <c r="AY61" s="219">
        <v>6.2864674554818567E-9</v>
      </c>
      <c r="AZ61" s="219">
        <v>6.2873084656027127E-9</v>
      </c>
      <c r="BA61" s="219">
        <v>6.2881408457333817E-9</v>
      </c>
      <c r="BB61" s="219">
        <v>6.2889652077825931E-9</v>
      </c>
      <c r="BC61" s="33">
        <v>0.11489050800689329</v>
      </c>
      <c r="BD61" s="219">
        <v>0.1146560323497028</v>
      </c>
      <c r="BE61" s="219">
        <v>0.11441943825143321</v>
      </c>
      <c r="BF61" s="219">
        <v>0.1115065814374304</v>
      </c>
      <c r="BG61" s="219">
        <v>0.111276327210607</v>
      </c>
      <c r="BH61" s="219">
        <v>0.1110436455095731</v>
      </c>
      <c r="BI61" s="219">
        <v>0.1107438833693879</v>
      </c>
      <c r="BJ61" s="219">
        <v>0.1104475289665497</v>
      </c>
      <c r="BK61" s="219">
        <v>0.1081955392559568</v>
      </c>
      <c r="BL61" s="219">
        <v>0.10792549164039381</v>
      </c>
      <c r="BM61" s="219">
        <v>0.1076559047871591</v>
      </c>
      <c r="BN61" s="219">
        <v>0.1072008549006134</v>
      </c>
      <c r="BO61" s="219">
        <v>0.1067487439955878</v>
      </c>
      <c r="BP61" s="219">
        <v>0.1056999745852913</v>
      </c>
      <c r="BQ61" s="219">
        <v>0.1052641916052688</v>
      </c>
      <c r="BR61" s="219">
        <v>0.10483123988475369</v>
      </c>
      <c r="BS61" s="219">
        <v>0.10446580938437799</v>
      </c>
      <c r="BT61" s="219">
        <v>0.10410223293711281</v>
      </c>
      <c r="BU61" s="219">
        <v>0.10317785135309709</v>
      </c>
      <c r="BV61" s="219">
        <v>0.10282593593947641</v>
      </c>
      <c r="BW61" s="219">
        <v>0.1024756454296769</v>
      </c>
      <c r="BX61" s="219">
        <v>0.1024070346791153</v>
      </c>
      <c r="BY61" s="219">
        <v>0.1023389851255055</v>
      </c>
      <c r="BZ61" s="219">
        <v>0.102271358041073</v>
      </c>
      <c r="CA61" s="219">
        <v>0.10220414506967419</v>
      </c>
      <c r="CB61" s="219">
        <v>0.1021373449172631</v>
      </c>
      <c r="CC61" s="33">
        <v>5.8528404991198739</v>
      </c>
      <c r="CD61" s="219">
        <v>5.8452222457765703</v>
      </c>
      <c r="CE61" s="219">
        <v>5.8375411974330493</v>
      </c>
      <c r="CF61" s="219">
        <v>5.8076392477322747</v>
      </c>
      <c r="CG61" s="219">
        <v>5.7998551668135576</v>
      </c>
      <c r="CH61" s="219">
        <v>5.7919951851180498</v>
      </c>
      <c r="CI61" s="219">
        <v>5.7816480226911562</v>
      </c>
      <c r="CJ61" s="219">
        <v>5.7714564979662786</v>
      </c>
      <c r="CK61" s="219">
        <v>5.7462768560544824</v>
      </c>
      <c r="CL61" s="219">
        <v>5.7363998429166649</v>
      </c>
      <c r="CM61" s="219">
        <v>5.7265234680346513</v>
      </c>
      <c r="CN61" s="219">
        <v>5.7140935671472173</v>
      </c>
      <c r="CO61" s="219">
        <v>5.7017770190371397</v>
      </c>
      <c r="CP61" s="219">
        <v>5.6851610774056454</v>
      </c>
      <c r="CQ61" s="219">
        <v>5.6731701354029429</v>
      </c>
      <c r="CR61" s="219">
        <v>5.6612891728455264</v>
      </c>
      <c r="CS61" s="219">
        <v>5.6519663287144883</v>
      </c>
      <c r="CT61" s="219">
        <v>5.642739734180064</v>
      </c>
      <c r="CU61" s="219">
        <v>5.6302220704517314</v>
      </c>
      <c r="CV61" s="219">
        <v>5.6212845018186108</v>
      </c>
      <c r="CW61" s="219">
        <v>5.6124536867826498</v>
      </c>
      <c r="CX61" s="219">
        <v>5.6108359856957746</v>
      </c>
      <c r="CY61" s="219">
        <v>5.6088836109718354</v>
      </c>
      <c r="CZ61" s="219">
        <v>5.6069460545354106</v>
      </c>
      <c r="DA61" s="219">
        <v>5.605023434958313</v>
      </c>
      <c r="DB61" s="219">
        <v>5.6031160530595532</v>
      </c>
    </row>
    <row r="62" spans="1:106" x14ac:dyDescent="0.35">
      <c r="A62" s="137" t="s">
        <v>555</v>
      </c>
      <c r="B62" s="130" t="s">
        <v>545</v>
      </c>
      <c r="C62" s="33">
        <v>1.779817669922148E-6</v>
      </c>
      <c r="D62" s="219">
        <v>1.7776467325838961E-6</v>
      </c>
      <c r="E62" s="219">
        <v>1.7754229971674699E-6</v>
      </c>
      <c r="F62" s="219">
        <v>1.762517198430229E-6</v>
      </c>
      <c r="G62" s="219">
        <v>1.760137198333844E-6</v>
      </c>
      <c r="H62" s="219">
        <v>1.7577365845903941E-6</v>
      </c>
      <c r="I62" s="219">
        <v>1.754498337861688E-6</v>
      </c>
      <c r="J62" s="219">
        <v>1.7513886514765389E-6</v>
      </c>
      <c r="K62" s="219">
        <v>1.744469050076418E-6</v>
      </c>
      <c r="L62" s="219">
        <v>1.741445753190561E-6</v>
      </c>
      <c r="M62" s="219">
        <v>1.7384163722643999E-6</v>
      </c>
      <c r="N62" s="219">
        <v>1.7345550943144011E-6</v>
      </c>
      <c r="O62" s="219">
        <v>1.730724055785069E-6</v>
      </c>
      <c r="P62" s="219">
        <v>1.725344020271746E-6</v>
      </c>
      <c r="Q62" s="219">
        <v>1.721580883433388E-6</v>
      </c>
      <c r="R62" s="219">
        <v>1.7178396891196631E-6</v>
      </c>
      <c r="S62" s="219">
        <v>1.715252989867825E-6</v>
      </c>
      <c r="T62" s="219">
        <v>1.7126852140238089E-6</v>
      </c>
      <c r="U62" s="219">
        <v>1.7089625375218221E-6</v>
      </c>
      <c r="V62" s="219">
        <v>1.7064429549135839E-6</v>
      </c>
      <c r="W62" s="219">
        <v>1.7039348678871551E-6</v>
      </c>
      <c r="X62" s="219">
        <v>1.7095436986206001E-6</v>
      </c>
      <c r="Y62" s="219">
        <v>1.709151051291289E-6</v>
      </c>
      <c r="Z62" s="219">
        <v>1.70876087109052E-6</v>
      </c>
      <c r="AA62" s="219">
        <v>1.708373203263892E-6</v>
      </c>
      <c r="AB62" s="219">
        <v>1.7079882094313631E-6</v>
      </c>
      <c r="AC62" s="33">
        <v>1.2648311266667881E-8</v>
      </c>
      <c r="AD62" s="219">
        <v>1.263781593467126E-8</v>
      </c>
      <c r="AE62" s="219">
        <v>1.2626242466034351E-8</v>
      </c>
      <c r="AF62" s="219">
        <v>1.254546515388078E-8</v>
      </c>
      <c r="AG62" s="219">
        <v>1.253086338327446E-8</v>
      </c>
      <c r="AH62" s="219">
        <v>1.251528598725114E-8</v>
      </c>
      <c r="AI62" s="219">
        <v>1.2517547821363469E-8</v>
      </c>
      <c r="AJ62" s="219">
        <v>1.2519135335022909E-8</v>
      </c>
      <c r="AK62" s="219">
        <v>1.2469056348684959E-8</v>
      </c>
      <c r="AL62" s="219">
        <v>1.2467321316601841E-8</v>
      </c>
      <c r="AM62" s="219">
        <v>1.246466401336907E-8</v>
      </c>
      <c r="AN62" s="219">
        <v>1.247211720942462E-8</v>
      </c>
      <c r="AO62" s="219">
        <v>1.247905029590446E-8</v>
      </c>
      <c r="AP62" s="219">
        <v>1.246350247189617E-8</v>
      </c>
      <c r="AQ62" s="219">
        <v>1.2468751217169019E-8</v>
      </c>
      <c r="AR62" s="219">
        <v>1.247351389926912E-8</v>
      </c>
      <c r="AS62" s="219">
        <v>1.248239986979551E-8</v>
      </c>
      <c r="AT62" s="219">
        <v>1.249101316825566E-8</v>
      </c>
      <c r="AU62" s="219">
        <v>1.2477164786890681E-8</v>
      </c>
      <c r="AV62" s="219">
        <v>1.248497804583249E-8</v>
      </c>
      <c r="AW62" s="219">
        <v>1.2492759596098E-8</v>
      </c>
      <c r="AX62" s="219">
        <v>1.2571235167857959E-8</v>
      </c>
      <c r="AY62" s="219">
        <v>1.257293491096371E-8</v>
      </c>
      <c r="AZ62" s="219">
        <v>1.257461693120543E-8</v>
      </c>
      <c r="BA62" s="219">
        <v>1.257628169146676E-8</v>
      </c>
      <c r="BB62" s="219">
        <v>1.2577930415565189E-8</v>
      </c>
      <c r="BC62" s="33">
        <v>0.22978101601378659</v>
      </c>
      <c r="BD62" s="219">
        <v>0.22931206469940549</v>
      </c>
      <c r="BE62" s="219">
        <v>0.22883887650286641</v>
      </c>
      <c r="BF62" s="219">
        <v>0.22301316287486081</v>
      </c>
      <c r="BG62" s="219">
        <v>0.22255265442121391</v>
      </c>
      <c r="BH62" s="219">
        <v>0.22208729101914629</v>
      </c>
      <c r="BI62" s="219">
        <v>0.22148776673877579</v>
      </c>
      <c r="BJ62" s="219">
        <v>0.2208950579330993</v>
      </c>
      <c r="BK62" s="219">
        <v>0.21639107851191361</v>
      </c>
      <c r="BL62" s="219">
        <v>0.2158509832807875</v>
      </c>
      <c r="BM62" s="219">
        <v>0.21531180957431811</v>
      </c>
      <c r="BN62" s="219">
        <v>0.21440170980122669</v>
      </c>
      <c r="BO62" s="219">
        <v>0.2134974879911756</v>
      </c>
      <c r="BP62" s="219">
        <v>0.21139994917058269</v>
      </c>
      <c r="BQ62" s="219">
        <v>0.2105283832105376</v>
      </c>
      <c r="BR62" s="219">
        <v>0.2096624797695075</v>
      </c>
      <c r="BS62" s="219">
        <v>0.20893161876875599</v>
      </c>
      <c r="BT62" s="219">
        <v>0.20820446587422561</v>
      </c>
      <c r="BU62" s="219">
        <v>0.2063557027061943</v>
      </c>
      <c r="BV62" s="219">
        <v>0.20565187187895281</v>
      </c>
      <c r="BW62" s="219">
        <v>0.20495129085935371</v>
      </c>
      <c r="BX62" s="219">
        <v>0.2048140693582306</v>
      </c>
      <c r="BY62" s="219">
        <v>0.204677970251011</v>
      </c>
      <c r="BZ62" s="219">
        <v>0.20454271608214589</v>
      </c>
      <c r="CA62" s="219">
        <v>0.20440829013934839</v>
      </c>
      <c r="CB62" s="219">
        <v>0.20427468983452629</v>
      </c>
      <c r="CC62" s="33">
        <v>11.70568099823975</v>
      </c>
      <c r="CD62" s="219">
        <v>11.690444491553141</v>
      </c>
      <c r="CE62" s="219">
        <v>11.6750823948661</v>
      </c>
      <c r="CF62" s="219">
        <v>11.615278495464549</v>
      </c>
      <c r="CG62" s="219">
        <v>11.599710333627121</v>
      </c>
      <c r="CH62" s="219">
        <v>11.5839903702361</v>
      </c>
      <c r="CI62" s="219">
        <v>11.563296045382311</v>
      </c>
      <c r="CJ62" s="219">
        <v>11.542912995932561</v>
      </c>
      <c r="CK62" s="219">
        <v>11.492553712108959</v>
      </c>
      <c r="CL62" s="219">
        <v>11.47279968583333</v>
      </c>
      <c r="CM62" s="219">
        <v>11.453046936069301</v>
      </c>
      <c r="CN62" s="219">
        <v>11.428187134294429</v>
      </c>
      <c r="CO62" s="219">
        <v>11.403554038074279</v>
      </c>
      <c r="CP62" s="219">
        <v>11.370322154811291</v>
      </c>
      <c r="CQ62" s="219">
        <v>11.346340270805889</v>
      </c>
      <c r="CR62" s="219">
        <v>11.322578345691049</v>
      </c>
      <c r="CS62" s="219">
        <v>11.30393265742898</v>
      </c>
      <c r="CT62" s="219">
        <v>11.28547946836013</v>
      </c>
      <c r="CU62" s="219">
        <v>11.260444140903459</v>
      </c>
      <c r="CV62" s="219">
        <v>11.24256900363722</v>
      </c>
      <c r="CW62" s="219">
        <v>11.2249073735653</v>
      </c>
      <c r="CX62" s="219">
        <v>11.221671971391549</v>
      </c>
      <c r="CY62" s="219">
        <v>11.217767221943671</v>
      </c>
      <c r="CZ62" s="219">
        <v>11.213892109070819</v>
      </c>
      <c r="DA62" s="219">
        <v>11.21004686991663</v>
      </c>
      <c r="DB62" s="219">
        <v>11.20623210611911</v>
      </c>
    </row>
    <row r="63" spans="1:106" x14ac:dyDescent="0.35">
      <c r="A63" s="137" t="s">
        <v>556</v>
      </c>
      <c r="B63" s="130" t="s">
        <v>545</v>
      </c>
      <c r="C63" s="33">
        <v>9.0950748537555167E-6</v>
      </c>
      <c r="D63" s="219">
        <v>9.0793956103452123E-6</v>
      </c>
      <c r="E63" s="219">
        <v>9.0633955057615991E-6</v>
      </c>
      <c r="F63" s="219">
        <v>8.8807305525017106E-6</v>
      </c>
      <c r="G63" s="219">
        <v>8.8636256522979358E-6</v>
      </c>
      <c r="H63" s="219">
        <v>8.846557581763155E-6</v>
      </c>
      <c r="I63" s="219">
        <v>8.8190340250747598E-6</v>
      </c>
      <c r="J63" s="219">
        <v>8.7932846626852223E-6</v>
      </c>
      <c r="K63" s="219">
        <v>8.7073592993684285E-6</v>
      </c>
      <c r="L63" s="219">
        <v>8.682995997542846E-6</v>
      </c>
      <c r="M63" s="219">
        <v>8.6586262880131062E-6</v>
      </c>
      <c r="N63" s="219">
        <v>8.6265765768448623E-6</v>
      </c>
      <c r="O63" s="219">
        <v>8.5946830702863461E-6</v>
      </c>
      <c r="P63" s="219">
        <v>8.5380232111896997E-6</v>
      </c>
      <c r="Q63" s="219">
        <v>8.5066021816943436E-6</v>
      </c>
      <c r="R63" s="219">
        <v>8.4752662083573948E-6</v>
      </c>
      <c r="S63" s="219">
        <v>8.4520662734600404E-6</v>
      </c>
      <c r="T63" s="219">
        <v>8.4290200237576087E-6</v>
      </c>
      <c r="U63" s="219">
        <v>8.3876203880152515E-6</v>
      </c>
      <c r="V63" s="219">
        <v>8.3650261940371402E-6</v>
      </c>
      <c r="W63" s="219">
        <v>8.3425081779804183E-6</v>
      </c>
      <c r="X63" s="219">
        <v>8.4195709209555991E-6</v>
      </c>
      <c r="Y63" s="219">
        <v>8.4151507777271278E-6</v>
      </c>
      <c r="Z63" s="219">
        <v>8.4107467592254951E-6</v>
      </c>
      <c r="AA63" s="219">
        <v>8.406359088602854E-6</v>
      </c>
      <c r="AB63" s="219">
        <v>8.4019891297950362E-6</v>
      </c>
      <c r="AC63" s="33">
        <v>7.2524405067711848E-8</v>
      </c>
      <c r="AD63" s="219">
        <v>7.2588309961039026E-8</v>
      </c>
      <c r="AE63" s="219">
        <v>7.2646110565594501E-8</v>
      </c>
      <c r="AF63" s="219">
        <v>7.1626154457939772E-8</v>
      </c>
      <c r="AG63" s="219">
        <v>7.1656504811124168E-8</v>
      </c>
      <c r="AH63" s="219">
        <v>7.168162870815232E-8</v>
      </c>
      <c r="AI63" s="219">
        <v>7.195532863594209E-8</v>
      </c>
      <c r="AJ63" s="219">
        <v>7.2223808432980999E-8</v>
      </c>
      <c r="AK63" s="219">
        <v>7.1682266178695369E-8</v>
      </c>
      <c r="AL63" s="219">
        <v>7.1909533049225452E-8</v>
      </c>
      <c r="AM63" s="219">
        <v>7.2127878064711137E-8</v>
      </c>
      <c r="AN63" s="219">
        <v>7.2444801650506378E-8</v>
      </c>
      <c r="AO63" s="219">
        <v>7.2752746664007294E-8</v>
      </c>
      <c r="AP63" s="219">
        <v>7.2704765948452169E-8</v>
      </c>
      <c r="AQ63" s="219">
        <v>7.2984574949856174E-8</v>
      </c>
      <c r="AR63" s="219">
        <v>7.3255821885199474E-8</v>
      </c>
      <c r="AS63" s="219">
        <v>7.3502872376871089E-8</v>
      </c>
      <c r="AT63" s="219">
        <v>7.3744660493523231E-8</v>
      </c>
      <c r="AU63" s="219">
        <v>7.3630657005777657E-8</v>
      </c>
      <c r="AV63" s="219">
        <v>7.3856286097579137E-8</v>
      </c>
      <c r="AW63" s="219">
        <v>7.4078047707979011E-8</v>
      </c>
      <c r="AX63" s="219">
        <v>7.4621155505303642E-8</v>
      </c>
      <c r="AY63" s="219">
        <v>7.4662160588049654E-8</v>
      </c>
      <c r="AZ63" s="219">
        <v>7.4702653598507302E-8</v>
      </c>
      <c r="BA63" s="219">
        <v>7.4742638939308088E-8</v>
      </c>
      <c r="BB63" s="219">
        <v>7.4782126833971429E-8</v>
      </c>
      <c r="BC63" s="33">
        <v>3.4046086389720069</v>
      </c>
      <c r="BD63" s="219">
        <v>3.398712254588665</v>
      </c>
      <c r="BE63" s="219">
        <v>3.392841722085723</v>
      </c>
      <c r="BF63" s="219">
        <v>3.3027969588786981</v>
      </c>
      <c r="BG63" s="219">
        <v>3.297316965252306</v>
      </c>
      <c r="BH63" s="219">
        <v>3.291859392080982</v>
      </c>
      <c r="BI63" s="219">
        <v>3.281817727954333</v>
      </c>
      <c r="BJ63" s="219">
        <v>3.2719146457369881</v>
      </c>
      <c r="BK63" s="219">
        <v>3.2003413354936812</v>
      </c>
      <c r="BL63" s="219">
        <v>3.191351353880219</v>
      </c>
      <c r="BM63" s="219">
        <v>3.1824229733243068</v>
      </c>
      <c r="BN63" s="219">
        <v>3.1691888456606501</v>
      </c>
      <c r="BO63" s="219">
        <v>3.1560383719494292</v>
      </c>
      <c r="BP63" s="219">
        <v>3.1240428732477028</v>
      </c>
      <c r="BQ63" s="219">
        <v>3.1113912667845001</v>
      </c>
      <c r="BR63" s="219">
        <v>3.0988232981425412</v>
      </c>
      <c r="BS63" s="219">
        <v>3.088438555567925</v>
      </c>
      <c r="BT63" s="219">
        <v>3.0781089265448052</v>
      </c>
      <c r="BU63" s="219">
        <v>3.0500721740966079</v>
      </c>
      <c r="BV63" s="219">
        <v>3.04010079255624</v>
      </c>
      <c r="BW63" s="219">
        <v>3.0301808237464471</v>
      </c>
      <c r="BX63" s="219">
        <v>3.028332173467589</v>
      </c>
      <c r="BY63" s="219">
        <v>3.0264942535468369</v>
      </c>
      <c r="BZ63" s="219">
        <v>3.0246645498527291</v>
      </c>
      <c r="CA63" s="219">
        <v>3.022842925402534</v>
      </c>
      <c r="CB63" s="219">
        <v>3.0210293831876789</v>
      </c>
      <c r="CC63" s="33">
        <v>19.778977864853939</v>
      </c>
      <c r="CD63" s="219">
        <v>19.656416601392191</v>
      </c>
      <c r="CE63" s="219">
        <v>19.53427668684192</v>
      </c>
      <c r="CF63" s="219">
        <v>18.715368262127161</v>
      </c>
      <c r="CG63" s="219">
        <v>18.59504630271018</v>
      </c>
      <c r="CH63" s="219">
        <v>18.47496688712943</v>
      </c>
      <c r="CI63" s="219">
        <v>18.270064379739711</v>
      </c>
      <c r="CJ63" s="219">
        <v>18.07007843746338</v>
      </c>
      <c r="CK63" s="219">
        <v>17.397334367564781</v>
      </c>
      <c r="CL63" s="219">
        <v>17.208450740514721</v>
      </c>
      <c r="CM63" s="219">
        <v>17.02044541275912</v>
      </c>
      <c r="CN63" s="219">
        <v>16.77019599601228</v>
      </c>
      <c r="CO63" s="219">
        <v>16.52190009975622</v>
      </c>
      <c r="CP63" s="219">
        <v>16.136204170491059</v>
      </c>
      <c r="CQ63" s="219">
        <v>15.89499523583399</v>
      </c>
      <c r="CR63" s="219">
        <v>15.65565839757836</v>
      </c>
      <c r="CS63" s="219">
        <v>15.45795808808114</v>
      </c>
      <c r="CT63" s="219">
        <v>15.262127046856</v>
      </c>
      <c r="CU63" s="219">
        <v>14.961314274726449</v>
      </c>
      <c r="CV63" s="219">
        <v>14.77212289181327</v>
      </c>
      <c r="CW63" s="219">
        <v>14.584791063554009</v>
      </c>
      <c r="CX63" s="219">
        <v>14.543889314713489</v>
      </c>
      <c r="CY63" s="219">
        <v>14.498184528472629</v>
      </c>
      <c r="CZ63" s="219">
        <v>14.452725374371351</v>
      </c>
      <c r="DA63" s="219">
        <v>14.40751346137335</v>
      </c>
      <c r="DB63" s="219">
        <v>14.36255344508564</v>
      </c>
    </row>
    <row r="64" spans="1:106" x14ac:dyDescent="0.35">
      <c r="A64" s="137" t="s">
        <v>557</v>
      </c>
      <c r="B64" s="130" t="s">
        <v>545</v>
      </c>
      <c r="C64" s="33">
        <v>4.5881966240828258E-5</v>
      </c>
      <c r="D64" s="219">
        <v>4.5831733303755611E-5</v>
      </c>
      <c r="E64" s="219">
        <v>4.5779607894844783E-5</v>
      </c>
      <c r="F64" s="219">
        <v>4.5629990096138607E-5</v>
      </c>
      <c r="G64" s="219">
        <v>4.5571404606094357E-5</v>
      </c>
      <c r="H64" s="219">
        <v>4.5511838036372792E-5</v>
      </c>
      <c r="I64" s="219">
        <v>4.5444717726036E-5</v>
      </c>
      <c r="J64" s="219">
        <v>4.5378978651657087E-5</v>
      </c>
      <c r="K64" s="219">
        <v>4.5279459912058921E-5</v>
      </c>
      <c r="L64" s="219">
        <v>4.5214321522980709E-5</v>
      </c>
      <c r="M64" s="219">
        <v>4.5148949299878433E-5</v>
      </c>
      <c r="N64" s="219">
        <v>4.5071475727574571E-5</v>
      </c>
      <c r="O64" s="219">
        <v>4.4994854292746729E-5</v>
      </c>
      <c r="P64" s="219">
        <v>4.4905055651440133E-5</v>
      </c>
      <c r="Q64" s="219">
        <v>4.4830128545164472E-5</v>
      </c>
      <c r="R64" s="219">
        <v>4.4755866931625718E-5</v>
      </c>
      <c r="S64" s="219">
        <v>4.4707472153269028E-5</v>
      </c>
      <c r="T64" s="219">
        <v>4.4659551389078067E-5</v>
      </c>
      <c r="U64" s="219">
        <v>4.4601676929147097E-5</v>
      </c>
      <c r="V64" s="219">
        <v>4.4554698741442277E-5</v>
      </c>
      <c r="W64" s="219">
        <v>4.4507947507819437E-5</v>
      </c>
      <c r="X64" s="219">
        <v>4.4578203478037533E-5</v>
      </c>
      <c r="Y64" s="219">
        <v>4.4572406851859602E-5</v>
      </c>
      <c r="Z64" s="219">
        <v>4.4566675386551928E-5</v>
      </c>
      <c r="AA64" s="219">
        <v>4.4561011169940931E-5</v>
      </c>
      <c r="AB64" s="219">
        <v>4.4555418810461222E-5</v>
      </c>
      <c r="AC64" s="33">
        <v>3.2665897714726402E-7</v>
      </c>
      <c r="AD64" s="219">
        <v>3.2615036240697163E-7</v>
      </c>
      <c r="AE64" s="219">
        <v>3.2561020507716149E-7</v>
      </c>
      <c r="AF64" s="219">
        <v>3.2443760323080832E-7</v>
      </c>
      <c r="AG64" s="219">
        <v>3.2382860820017029E-7</v>
      </c>
      <c r="AH64" s="219">
        <v>3.2318984327538548E-7</v>
      </c>
      <c r="AI64" s="219">
        <v>3.2275445593676149E-7</v>
      </c>
      <c r="AJ64" s="219">
        <v>3.2230263222834429E-7</v>
      </c>
      <c r="AK64" s="219">
        <v>3.2137852015342839E-7</v>
      </c>
      <c r="AL64" s="219">
        <v>3.2087651400356083E-7</v>
      </c>
      <c r="AM64" s="219">
        <v>3.2035625760413917E-7</v>
      </c>
      <c r="AN64" s="219">
        <v>3.2009818906692509E-7</v>
      </c>
      <c r="AO64" s="219">
        <v>3.1983836925334602E-7</v>
      </c>
      <c r="AP64" s="219">
        <v>3.1938099390090561E-7</v>
      </c>
      <c r="AQ64" s="219">
        <v>3.1911225881258231E-7</v>
      </c>
      <c r="AR64" s="219">
        <v>3.1884259055402799E-7</v>
      </c>
      <c r="AS64" s="219">
        <v>3.1873599287419928E-7</v>
      </c>
      <c r="AT64" s="219">
        <v>3.1863026261473679E-7</v>
      </c>
      <c r="AU64" s="219">
        <v>3.1832890247126812E-7</v>
      </c>
      <c r="AV64" s="219">
        <v>3.1822656689823471E-7</v>
      </c>
      <c r="AW64" s="219">
        <v>3.1813338218968259E-7</v>
      </c>
      <c r="AX64" s="219">
        <v>3.1897578105021371E-7</v>
      </c>
      <c r="AY64" s="219">
        <v>3.1895432766549812E-7</v>
      </c>
      <c r="AZ64" s="219">
        <v>3.1893327053671911E-7</v>
      </c>
      <c r="BA64" s="219">
        <v>3.189126286043751E-7</v>
      </c>
      <c r="BB64" s="219">
        <v>3.1889244230071362E-7</v>
      </c>
      <c r="BC64" s="33">
        <v>1.644894459997704</v>
      </c>
      <c r="BD64" s="219">
        <v>1.638724542772485</v>
      </c>
      <c r="BE64" s="219">
        <v>1.6323017794918551</v>
      </c>
      <c r="BF64" s="219">
        <v>1.57821775424141</v>
      </c>
      <c r="BG64" s="219">
        <v>1.571462492304037</v>
      </c>
      <c r="BH64" s="219">
        <v>1.56443279284736</v>
      </c>
      <c r="BI64" s="219">
        <v>1.5602207311894329</v>
      </c>
      <c r="BJ64" s="219">
        <v>1.5559742255270299</v>
      </c>
      <c r="BK64" s="219">
        <v>1.516735444733091</v>
      </c>
      <c r="BL64" s="219">
        <v>1.512744792799094</v>
      </c>
      <c r="BM64" s="219">
        <v>1.508645933170585</v>
      </c>
      <c r="BN64" s="219">
        <v>1.499729345183463</v>
      </c>
      <c r="BO64" s="219">
        <v>1.490864758227439</v>
      </c>
      <c r="BP64" s="219">
        <v>1.4713675409859881</v>
      </c>
      <c r="BQ64" s="219">
        <v>1.4627874750611931</v>
      </c>
      <c r="BR64" s="219">
        <v>1.454249018663538</v>
      </c>
      <c r="BS64" s="219">
        <v>1.4466898018635701</v>
      </c>
      <c r="BT64" s="219">
        <v>1.439160105883563</v>
      </c>
      <c r="BU64" s="219">
        <v>1.421619857654923</v>
      </c>
      <c r="BV64" s="219">
        <v>1.414298370315791</v>
      </c>
      <c r="BW64" s="219">
        <v>1.4069934599925129</v>
      </c>
      <c r="BX64" s="219">
        <v>1.40562716033603</v>
      </c>
      <c r="BY64" s="219">
        <v>1.4042822103709789</v>
      </c>
      <c r="BZ64" s="219">
        <v>1.402952915946819</v>
      </c>
      <c r="CA64" s="219">
        <v>1.4016389183975979</v>
      </c>
      <c r="CB64" s="219">
        <v>1.4003401421976689</v>
      </c>
      <c r="CC64" s="33">
        <v>391.34013096118179</v>
      </c>
      <c r="CD64" s="219">
        <v>390.98907643669361</v>
      </c>
      <c r="CE64" s="219">
        <v>390.63154497862888</v>
      </c>
      <c r="CF64" s="219">
        <v>389.87519511413058</v>
      </c>
      <c r="CG64" s="219">
        <v>389.50465139326059</v>
      </c>
      <c r="CH64" s="219">
        <v>389.12707843593188</v>
      </c>
      <c r="CI64" s="219">
        <v>388.74438196566109</v>
      </c>
      <c r="CJ64" s="219">
        <v>388.36364861730578</v>
      </c>
      <c r="CK64" s="219">
        <v>387.71405904864332</v>
      </c>
      <c r="CL64" s="219">
        <v>387.33595631091669</v>
      </c>
      <c r="CM64" s="219">
        <v>386.95596590318598</v>
      </c>
      <c r="CN64" s="219">
        <v>386.52987416255581</v>
      </c>
      <c r="CO64" s="219">
        <v>386.10868404783952</v>
      </c>
      <c r="CP64" s="219">
        <v>385.61383789083169</v>
      </c>
      <c r="CQ64" s="219">
        <v>385.20419800886691</v>
      </c>
      <c r="CR64" s="219">
        <v>384.79942504786038</v>
      </c>
      <c r="CS64" s="219">
        <v>384.49753567125532</v>
      </c>
      <c r="CT64" s="219">
        <v>384.19946250377359</v>
      </c>
      <c r="CU64" s="219">
        <v>383.84505438737568</v>
      </c>
      <c r="CV64" s="219">
        <v>383.55689196733772</v>
      </c>
      <c r="CW64" s="219">
        <v>383.27377177130933</v>
      </c>
      <c r="CX64" s="219">
        <v>383.23183011220237</v>
      </c>
      <c r="CY64" s="219">
        <v>383.17630750737601</v>
      </c>
      <c r="CZ64" s="219">
        <v>383.12145178913579</v>
      </c>
      <c r="DA64" s="219">
        <v>383.06727323534011</v>
      </c>
      <c r="DB64" s="219">
        <v>383.01379184695622</v>
      </c>
    </row>
    <row r="65" spans="1:106" x14ac:dyDescent="0.35">
      <c r="A65" s="137" t="s">
        <v>558</v>
      </c>
      <c r="B65" s="130" t="s">
        <v>545</v>
      </c>
      <c r="C65" s="33">
        <v>1.3183492810439891E-5</v>
      </c>
      <c r="D65" s="219">
        <v>1.33445947605033E-5</v>
      </c>
      <c r="E65" s="219">
        <v>1.3479145458945671E-5</v>
      </c>
      <c r="F65" s="219">
        <v>1.3274324062990581E-5</v>
      </c>
      <c r="G65" s="219">
        <v>1.324951854708877E-5</v>
      </c>
      <c r="H65" s="219">
        <v>1.3223137199316039E-5</v>
      </c>
      <c r="I65" s="219">
        <v>1.3182256304237079E-5</v>
      </c>
      <c r="J65" s="219">
        <v>1.314381584348341E-5</v>
      </c>
      <c r="K65" s="219">
        <v>1.303702732551631E-5</v>
      </c>
      <c r="L65" s="219">
        <v>1.300034900400214E-5</v>
      </c>
      <c r="M65" s="219">
        <v>1.296364224297665E-5</v>
      </c>
      <c r="N65" s="219">
        <v>1.2919067142732369E-5</v>
      </c>
      <c r="O65" s="219">
        <v>1.287462797143191E-5</v>
      </c>
      <c r="P65" s="219">
        <v>1.280167634905679E-5</v>
      </c>
      <c r="Q65" s="219">
        <v>1.275767795725765E-5</v>
      </c>
      <c r="R65" s="219">
        <v>1.2713731363603749E-5</v>
      </c>
      <c r="S65" s="219">
        <v>1.2678132146373181E-5</v>
      </c>
      <c r="T65" s="219">
        <v>1.264266390887861E-5</v>
      </c>
      <c r="U65" s="219">
        <v>1.258642122420669E-5</v>
      </c>
      <c r="V65" s="219">
        <v>1.255141149757367E-5</v>
      </c>
      <c r="W65" s="219">
        <v>1.251646091495615E-5</v>
      </c>
      <c r="X65" s="219">
        <v>1.267915311729388E-5</v>
      </c>
      <c r="Y65" s="219">
        <v>1.267315791243201E-5</v>
      </c>
      <c r="Z65" s="219">
        <v>1.266717182692756E-5</v>
      </c>
      <c r="AA65" s="219">
        <v>1.26611946174033E-5</v>
      </c>
      <c r="AB65" s="219">
        <v>1.2655227871441731E-5</v>
      </c>
      <c r="AC65" s="33">
        <v>9.9689309843586591E-8</v>
      </c>
      <c r="AD65" s="219">
        <v>1.000325567327052E-7</v>
      </c>
      <c r="AE65" s="219">
        <v>1.0036692725025739E-7</v>
      </c>
      <c r="AF65" s="219">
        <v>9.9502395517140326E-8</v>
      </c>
      <c r="AG65" s="219">
        <v>9.9805389992301223E-8</v>
      </c>
      <c r="AH65" s="219">
        <v>1.001025451252918E-7</v>
      </c>
      <c r="AI65" s="219">
        <v>1.003969661374557E-7</v>
      </c>
      <c r="AJ65" s="219">
        <v>1.006881201486808E-7</v>
      </c>
      <c r="AK65" s="219">
        <v>1.00051734106631E-7</v>
      </c>
      <c r="AL65" s="219">
        <v>1.0029919327820001E-7</v>
      </c>
      <c r="AM65" s="219">
        <v>1.005379273332161E-7</v>
      </c>
      <c r="AN65" s="219">
        <v>1.013993865841173E-7</v>
      </c>
      <c r="AO65" s="219">
        <v>1.0225270108706639E-7</v>
      </c>
      <c r="AP65" s="219">
        <v>1.026971104341082E-7</v>
      </c>
      <c r="AQ65" s="219">
        <v>1.035221434562738E-7</v>
      </c>
      <c r="AR65" s="219">
        <v>1.043392844419625E-7</v>
      </c>
      <c r="AS65" s="219">
        <v>1.046898333735169E-7</v>
      </c>
      <c r="AT65" s="219">
        <v>1.050352354774987E-7</v>
      </c>
      <c r="AU65" s="219">
        <v>1.049745290672652E-7</v>
      </c>
      <c r="AV65" s="219">
        <v>1.053028989782089E-7</v>
      </c>
      <c r="AW65" s="219">
        <v>1.056274086304081E-7</v>
      </c>
      <c r="AX65" s="219">
        <v>1.081730516186614E-7</v>
      </c>
      <c r="AY65" s="219">
        <v>1.081602812317964E-7</v>
      </c>
      <c r="AZ65" s="219">
        <v>1.081473986087706E-7</v>
      </c>
      <c r="BA65" s="219">
        <v>1.081344037995507E-7</v>
      </c>
      <c r="BB65" s="219">
        <v>1.081213063524842E-7</v>
      </c>
      <c r="BC65" s="33">
        <v>4.3151431695506801</v>
      </c>
      <c r="BD65" s="219">
        <v>4.3067701681634851</v>
      </c>
      <c r="BE65" s="219">
        <v>4.2983835872278009</v>
      </c>
      <c r="BF65" s="219">
        <v>4.1953024474877241</v>
      </c>
      <c r="BG65" s="219">
        <v>4.1872656991044446</v>
      </c>
      <c r="BH65" s="219">
        <v>4.1792111215509413</v>
      </c>
      <c r="BI65" s="219">
        <v>4.1607766286558538</v>
      </c>
      <c r="BJ65" s="219">
        <v>4.1424296321603729</v>
      </c>
      <c r="BK65" s="219">
        <v>4.0535065785104738</v>
      </c>
      <c r="BL65" s="219">
        <v>4.0360221094365611</v>
      </c>
      <c r="BM65" s="219">
        <v>4.0185192269062169</v>
      </c>
      <c r="BN65" s="219">
        <v>3.9935801750307598</v>
      </c>
      <c r="BO65" s="219">
        <v>3.9686244556575079</v>
      </c>
      <c r="BP65" s="219">
        <v>3.9219337570256361</v>
      </c>
      <c r="BQ65" s="219">
        <v>3.8973175924232968</v>
      </c>
      <c r="BR65" s="219">
        <v>3.8726840092571559</v>
      </c>
      <c r="BS65" s="219">
        <v>3.8523039992097212</v>
      </c>
      <c r="BT65" s="219">
        <v>3.8319172465032452</v>
      </c>
      <c r="BU65" s="219">
        <v>3.791142449276137</v>
      </c>
      <c r="BV65" s="219">
        <v>3.7710144603045701</v>
      </c>
      <c r="BW65" s="219">
        <v>3.7508746617439299</v>
      </c>
      <c r="BX65" s="219">
        <v>3.7491243755621211</v>
      </c>
      <c r="BY65" s="219">
        <v>3.747380680074321</v>
      </c>
      <c r="BZ65" s="219">
        <v>3.7456391639894182</v>
      </c>
      <c r="CA65" s="219">
        <v>3.7438994184695842</v>
      </c>
      <c r="CB65" s="219">
        <v>3.742161420988996</v>
      </c>
      <c r="CC65" s="33">
        <v>47.317321639212352</v>
      </c>
      <c r="CD65" s="219">
        <v>47.097275211114763</v>
      </c>
      <c r="CE65" s="219">
        <v>46.877178045608083</v>
      </c>
      <c r="CF65" s="219">
        <v>45.876474719769007</v>
      </c>
      <c r="CG65" s="219">
        <v>45.657141305342947</v>
      </c>
      <c r="CH65" s="219">
        <v>45.437550210745492</v>
      </c>
      <c r="CI65" s="219">
        <v>45.082138170150962</v>
      </c>
      <c r="CJ65" s="219">
        <v>44.732844807316091</v>
      </c>
      <c r="CK65" s="219">
        <v>43.841540004211353</v>
      </c>
      <c r="CL65" s="219">
        <v>43.504407107634997</v>
      </c>
      <c r="CM65" s="219">
        <v>43.167818099602343</v>
      </c>
      <c r="CN65" s="219">
        <v>42.745456627693663</v>
      </c>
      <c r="CO65" s="219">
        <v>42.324852243165381</v>
      </c>
      <c r="CP65" s="219">
        <v>41.745497647878381</v>
      </c>
      <c r="CQ65" s="219">
        <v>41.331898762641302</v>
      </c>
      <c r="CR65" s="219">
        <v>40.919815848984499</v>
      </c>
      <c r="CS65" s="219">
        <v>40.569547302345562</v>
      </c>
      <c r="CT65" s="219">
        <v>40.221213701309253</v>
      </c>
      <c r="CU65" s="219">
        <v>39.752959375509093</v>
      </c>
      <c r="CV65" s="219">
        <v>39.411789713131611</v>
      </c>
      <c r="CW65" s="219">
        <v>39.072533037873093</v>
      </c>
      <c r="CX65" s="219">
        <v>40.338423374148007</v>
      </c>
      <c r="CY65" s="219">
        <v>40.280808049587137</v>
      </c>
      <c r="CZ65" s="219">
        <v>40.223363674608592</v>
      </c>
      <c r="DA65" s="219">
        <v>40.166089744463918</v>
      </c>
      <c r="DB65" s="219">
        <v>40.108990812826818</v>
      </c>
    </row>
    <row r="66" spans="1:106" x14ac:dyDescent="0.35">
      <c r="A66" s="137" t="s">
        <v>559</v>
      </c>
      <c r="B66" s="130" t="s">
        <v>545</v>
      </c>
      <c r="C66" s="33">
        <v>6.2709784110580677E-5</v>
      </c>
      <c r="D66" s="219">
        <v>6.2445413027136597E-5</v>
      </c>
      <c r="E66" s="219">
        <v>6.2173071448249853E-5</v>
      </c>
      <c r="F66" s="219">
        <v>6.1786377270343459E-5</v>
      </c>
      <c r="G66" s="219">
        <v>6.1497770034766986E-5</v>
      </c>
      <c r="H66" s="219">
        <v>6.120898095859372E-5</v>
      </c>
      <c r="I66" s="219">
        <v>6.0701839688525851E-5</v>
      </c>
      <c r="J66" s="219">
        <v>6.0216001286756428E-5</v>
      </c>
      <c r="K66" s="219">
        <v>5.9706843654882073E-5</v>
      </c>
      <c r="L66" s="219">
        <v>5.9229797644172343E-5</v>
      </c>
      <c r="M66" s="219">
        <v>5.8752220553956387E-5</v>
      </c>
      <c r="N66" s="219">
        <v>5.8104874179661992E-5</v>
      </c>
      <c r="O66" s="219">
        <v>5.7458070855690928E-5</v>
      </c>
      <c r="P66" s="219">
        <v>5.6798447524398088E-5</v>
      </c>
      <c r="Q66" s="219">
        <v>5.6151988752826357E-5</v>
      </c>
      <c r="R66" s="219">
        <v>5.5505389166720833E-5</v>
      </c>
      <c r="S66" s="219">
        <v>5.4956461335459838E-5</v>
      </c>
      <c r="T66" s="219">
        <v>5.4408824356723317E-5</v>
      </c>
      <c r="U66" s="219">
        <v>5.3850391994009187E-5</v>
      </c>
      <c r="V66" s="219">
        <v>5.3304856216619987E-5</v>
      </c>
      <c r="W66" s="219">
        <v>5.2760112835974162E-5</v>
      </c>
      <c r="X66" s="219">
        <v>5.3455001888755153E-5</v>
      </c>
      <c r="Y66" s="219">
        <v>5.3367516054905303E-5</v>
      </c>
      <c r="Z66" s="219">
        <v>5.328011355044203E-5</v>
      </c>
      <c r="AA66" s="219">
        <v>5.3192792206010883E-5</v>
      </c>
      <c r="AB66" s="219">
        <v>5.3105566548327682E-5</v>
      </c>
      <c r="AC66" s="33">
        <v>3.8991279720467758E-7</v>
      </c>
      <c r="AD66" s="219">
        <v>3.9137148387535008E-7</v>
      </c>
      <c r="AE66" s="219">
        <v>3.9275792119095739E-7</v>
      </c>
      <c r="AF66" s="219">
        <v>3.934510496209433E-7</v>
      </c>
      <c r="AG66" s="219">
        <v>3.946919992346097E-7</v>
      </c>
      <c r="AH66" s="219">
        <v>3.958681959110153E-7</v>
      </c>
      <c r="AI66" s="219">
        <v>4.053833577482526E-7</v>
      </c>
      <c r="AJ66" s="219">
        <v>4.1481427357218943E-7</v>
      </c>
      <c r="AK66" s="219">
        <v>4.2369118944507339E-7</v>
      </c>
      <c r="AL66" s="219">
        <v>4.3285836703474511E-7</v>
      </c>
      <c r="AM66" s="219">
        <v>4.4189411107300199E-7</v>
      </c>
      <c r="AN66" s="219">
        <v>4.5510650020105218E-7</v>
      </c>
      <c r="AO66" s="219">
        <v>4.6817711441976561E-7</v>
      </c>
      <c r="AP66" s="219">
        <v>4.8090801928727895E-7</v>
      </c>
      <c r="AQ66" s="219">
        <v>4.9368286314225095E-7</v>
      </c>
      <c r="AR66" s="219">
        <v>5.0632031159621359E-7</v>
      </c>
      <c r="AS66" s="219">
        <v>5.1734401605411843E-7</v>
      </c>
      <c r="AT66" s="219">
        <v>5.2826864454675898E-7</v>
      </c>
      <c r="AU66" s="219">
        <v>5.3886384400598933E-7</v>
      </c>
      <c r="AV66" s="219">
        <v>5.4958791619987203E-7</v>
      </c>
      <c r="AW66" s="219">
        <v>5.6022512108122264E-7</v>
      </c>
      <c r="AX66" s="219">
        <v>5.707157652811241E-7</v>
      </c>
      <c r="AY66" s="219">
        <v>5.7029173757931257E-7</v>
      </c>
      <c r="AZ66" s="219">
        <v>5.6986765676709509E-7</v>
      </c>
      <c r="BA66" s="219">
        <v>5.6944352794505851E-7</v>
      </c>
      <c r="BB66" s="219">
        <v>5.6901943800052905E-7</v>
      </c>
      <c r="BC66" s="33">
        <v>36.810276348394851</v>
      </c>
      <c r="BD66" s="219">
        <v>36.671406956169953</v>
      </c>
      <c r="BE66" s="219">
        <v>36.532399365688228</v>
      </c>
      <c r="BF66" s="219">
        <v>36.345910841225781</v>
      </c>
      <c r="BG66" s="219">
        <v>36.206568077140297</v>
      </c>
      <c r="BH66" s="219">
        <v>36.067065186717407</v>
      </c>
      <c r="BI66" s="219">
        <v>35.706482815700497</v>
      </c>
      <c r="BJ66" s="219">
        <v>35.346300378811939</v>
      </c>
      <c r="BK66" s="219">
        <v>34.950953368278377</v>
      </c>
      <c r="BL66" s="219">
        <v>34.589953619406117</v>
      </c>
      <c r="BM66" s="219">
        <v>34.228432982428153</v>
      </c>
      <c r="BN66" s="219">
        <v>33.727763538001248</v>
      </c>
      <c r="BO66" s="219">
        <v>33.226284454375786</v>
      </c>
      <c r="BP66" s="219">
        <v>32.712879725355172</v>
      </c>
      <c r="BQ66" s="219">
        <v>32.209750960638402</v>
      </c>
      <c r="BR66" s="219">
        <v>31.705821275206269</v>
      </c>
      <c r="BS66" s="219">
        <v>31.276516780212098</v>
      </c>
      <c r="BT66" s="219">
        <v>30.846864170433619</v>
      </c>
      <c r="BU66" s="219">
        <v>30.405327577135729</v>
      </c>
      <c r="BV66" s="219">
        <v>29.97492949349985</v>
      </c>
      <c r="BW66" s="219">
        <v>29.544143938858848</v>
      </c>
      <c r="BX66" s="219">
        <v>29.523672198799328</v>
      </c>
      <c r="BY66" s="219">
        <v>29.503237025175981</v>
      </c>
      <c r="BZ66" s="219">
        <v>29.48278924715888</v>
      </c>
      <c r="CA66" s="219">
        <v>29.462326130882719</v>
      </c>
      <c r="CB66" s="219">
        <v>29.441847363068941</v>
      </c>
      <c r="CC66" s="33">
        <v>312.56681362873638</v>
      </c>
      <c r="CD66" s="219">
        <v>310.092293357149</v>
      </c>
      <c r="CE66" s="219">
        <v>307.62097967644593</v>
      </c>
      <c r="CF66" s="219">
        <v>304.75393431489931</v>
      </c>
      <c r="CG66" s="219">
        <v>302.2869731694679</v>
      </c>
      <c r="CH66" s="219">
        <v>299.82147027511343</v>
      </c>
      <c r="CI66" s="219">
        <v>294.4822096389322</v>
      </c>
      <c r="CJ66" s="219">
        <v>289.20241354710458</v>
      </c>
      <c r="CK66" s="219">
        <v>283.69224843558152</v>
      </c>
      <c r="CL66" s="219">
        <v>278.45912936745111</v>
      </c>
      <c r="CM66" s="219">
        <v>273.23686051096468</v>
      </c>
      <c r="CN66" s="219">
        <v>266.16941393817808</v>
      </c>
      <c r="CO66" s="219">
        <v>259.12469647403731</v>
      </c>
      <c r="CP66" s="219">
        <v>252.02208820170941</v>
      </c>
      <c r="CQ66" s="219">
        <v>245.02078409093181</v>
      </c>
      <c r="CR66" s="219">
        <v>238.04080351481841</v>
      </c>
      <c r="CS66" s="219">
        <v>231.77777136049119</v>
      </c>
      <c r="CT66" s="219">
        <v>225.54551388794951</v>
      </c>
      <c r="CU66" s="219">
        <v>219.27125351592059</v>
      </c>
      <c r="CV66" s="219">
        <v>213.09818452362191</v>
      </c>
      <c r="CW66" s="219">
        <v>206.95526586453431</v>
      </c>
      <c r="CX66" s="219">
        <v>206.25676949003289</v>
      </c>
      <c r="CY66" s="219">
        <v>205.336316333083</v>
      </c>
      <c r="CZ66" s="219">
        <v>204.41773748701999</v>
      </c>
      <c r="DA66" s="219">
        <v>203.50102941255949</v>
      </c>
      <c r="DB66" s="219">
        <v>202.58623128271699</v>
      </c>
    </row>
    <row r="67" spans="1:106" x14ac:dyDescent="0.35">
      <c r="A67" s="137" t="s">
        <v>560</v>
      </c>
      <c r="B67" s="130" t="s">
        <v>547</v>
      </c>
      <c r="C67" s="33">
        <v>2.109276087667515E-9</v>
      </c>
      <c r="D67" s="219">
        <v>2.1064675134197821E-9</v>
      </c>
      <c r="E67" s="219">
        <v>2.1036065518113052E-9</v>
      </c>
      <c r="F67" s="219">
        <v>2.072012737510585E-9</v>
      </c>
      <c r="G67" s="219">
        <v>2.0689843910495259E-9</v>
      </c>
      <c r="H67" s="219">
        <v>2.0659608846514851E-9</v>
      </c>
      <c r="I67" s="219">
        <v>2.0611163971907148E-9</v>
      </c>
      <c r="J67" s="219">
        <v>2.05658384182898E-9</v>
      </c>
      <c r="K67" s="219">
        <v>2.0416649332274801E-9</v>
      </c>
      <c r="L67" s="219">
        <v>2.037371090813251E-9</v>
      </c>
      <c r="M67" s="219">
        <v>2.0330736059844141E-9</v>
      </c>
      <c r="N67" s="219">
        <v>2.0274246329645179E-9</v>
      </c>
      <c r="O67" s="219">
        <v>2.0218027931767392E-9</v>
      </c>
      <c r="P67" s="219">
        <v>2.0119042733397879E-9</v>
      </c>
      <c r="Q67" s="219">
        <v>2.0063633332679601E-9</v>
      </c>
      <c r="R67" s="219">
        <v>2.000835677984809E-9</v>
      </c>
      <c r="S67" s="219">
        <v>1.9967572819803158E-9</v>
      </c>
      <c r="T67" s="219">
        <v>1.9927047846673258E-9</v>
      </c>
      <c r="U67" s="219">
        <v>1.985482354105184E-9</v>
      </c>
      <c r="V67" s="219">
        <v>1.9815037225133679E-9</v>
      </c>
      <c r="W67" s="219">
        <v>1.9775328764350281E-9</v>
      </c>
      <c r="X67" s="219">
        <v>1.990683250477302E-9</v>
      </c>
      <c r="Y67" s="219">
        <v>1.9899198715733001E-9</v>
      </c>
      <c r="Z67" s="219">
        <v>1.9891595049710428E-9</v>
      </c>
      <c r="AA67" s="219">
        <v>1.9884022504237541E-9</v>
      </c>
      <c r="AB67" s="219">
        <v>1.9876484334331429E-9</v>
      </c>
      <c r="AC67" s="33">
        <v>1.5233455352473359E-11</v>
      </c>
      <c r="AD67" s="219">
        <v>1.5243439469262009E-11</v>
      </c>
      <c r="AE67" s="219">
        <v>1.525237057921417E-11</v>
      </c>
      <c r="AF67" s="219">
        <v>1.5075309841530611E-11</v>
      </c>
      <c r="AG67" s="219">
        <v>1.5079506235214259E-11</v>
      </c>
      <c r="AH67" s="219">
        <v>1.508280298477904E-11</v>
      </c>
      <c r="AI67" s="219">
        <v>1.512860648794404E-11</v>
      </c>
      <c r="AJ67" s="219">
        <v>1.517354225552119E-11</v>
      </c>
      <c r="AK67" s="219">
        <v>1.5078660218511359E-11</v>
      </c>
      <c r="AL67" s="219">
        <v>1.5116525220438999E-11</v>
      </c>
      <c r="AM67" s="219">
        <v>1.5152868639543039E-11</v>
      </c>
      <c r="AN67" s="219">
        <v>1.5205888240092769E-11</v>
      </c>
      <c r="AO67" s="219">
        <v>1.5257398828816079E-11</v>
      </c>
      <c r="AP67" s="219">
        <v>1.524749831199142E-11</v>
      </c>
      <c r="AQ67" s="219">
        <v>1.5294250212414188E-11</v>
      </c>
      <c r="AR67" s="219">
        <v>1.533959014983522E-11</v>
      </c>
      <c r="AS67" s="219">
        <v>1.5381214183621481E-11</v>
      </c>
      <c r="AT67" s="219">
        <v>1.5421983200275582E-11</v>
      </c>
      <c r="AU67" s="219">
        <v>1.5401402598731821E-11</v>
      </c>
      <c r="AV67" s="219">
        <v>1.54395729771007E-11</v>
      </c>
      <c r="AW67" s="219">
        <v>1.5477274943620589E-11</v>
      </c>
      <c r="AX67" s="219">
        <v>1.556911319364859E-11</v>
      </c>
      <c r="AY67" s="219">
        <v>1.5575967055925589E-11</v>
      </c>
      <c r="AZ67" s="219">
        <v>1.5582737778417549E-11</v>
      </c>
      <c r="BA67" s="219">
        <v>1.5589426826469951E-11</v>
      </c>
      <c r="BB67" s="219">
        <v>1.5596036973537319E-11</v>
      </c>
      <c r="BC67" s="33">
        <v>5.8402864695145671E-4</v>
      </c>
      <c r="BD67" s="219">
        <v>5.8303885730772267E-4</v>
      </c>
      <c r="BE67" s="219">
        <v>5.8205259707038771E-4</v>
      </c>
      <c r="BF67" s="219">
        <v>5.665370437770345E-4</v>
      </c>
      <c r="BG67" s="219">
        <v>5.6561608811750745E-4</v>
      </c>
      <c r="BH67" s="219">
        <v>5.6469775196813432E-4</v>
      </c>
      <c r="BI67" s="219">
        <v>5.6298935595505142E-4</v>
      </c>
      <c r="BJ67" s="219">
        <v>5.6130468772979227E-4</v>
      </c>
      <c r="BK67" s="219">
        <v>5.4897344089199296E-4</v>
      </c>
      <c r="BL67" s="219">
        <v>5.4744550258418935E-4</v>
      </c>
      <c r="BM67" s="219">
        <v>5.4592754902567213E-4</v>
      </c>
      <c r="BN67" s="219">
        <v>5.4365750199369977E-4</v>
      </c>
      <c r="BO67" s="219">
        <v>5.4140146018055507E-4</v>
      </c>
      <c r="BP67" s="219">
        <v>5.3589134361697291E-4</v>
      </c>
      <c r="BQ67" s="219">
        <v>5.3372043005994979E-4</v>
      </c>
      <c r="BR67" s="219">
        <v>5.3156332084185382E-4</v>
      </c>
      <c r="BS67" s="219">
        <v>5.2977948722317681E-4</v>
      </c>
      <c r="BT67" s="219">
        <v>5.2800501638346794E-4</v>
      </c>
      <c r="BU67" s="219">
        <v>5.2317333163578127E-4</v>
      </c>
      <c r="BV67" s="219">
        <v>5.214606150151167E-4</v>
      </c>
      <c r="BW67" s="219">
        <v>5.1975640360616294E-4</v>
      </c>
      <c r="BX67" s="219">
        <v>5.1944086369976256E-4</v>
      </c>
      <c r="BY67" s="219">
        <v>5.1912717732516375E-4</v>
      </c>
      <c r="BZ67" s="219">
        <v>5.18814907628328E-4</v>
      </c>
      <c r="CA67" s="219">
        <v>5.1850403211101907E-4</v>
      </c>
      <c r="CB67" s="219">
        <v>5.1819455402133112E-4</v>
      </c>
      <c r="CC67" s="33">
        <v>9.8384888254295436E-3</v>
      </c>
      <c r="CD67" s="219">
        <v>9.8165917060869835E-3</v>
      </c>
      <c r="CE67" s="219">
        <v>9.7947614947574979E-3</v>
      </c>
      <c r="CF67" s="219">
        <v>9.652672911565718E-3</v>
      </c>
      <c r="CG67" s="219">
        <v>9.6311476879283337E-3</v>
      </c>
      <c r="CH67" s="219">
        <v>9.6096627200818446E-3</v>
      </c>
      <c r="CI67" s="219">
        <v>9.5739345825922289E-3</v>
      </c>
      <c r="CJ67" s="219">
        <v>9.5390621882280365E-3</v>
      </c>
      <c r="CK67" s="219">
        <v>9.4225725844428402E-3</v>
      </c>
      <c r="CL67" s="219">
        <v>9.3896051688085441E-3</v>
      </c>
      <c r="CM67" s="219">
        <v>9.356775928218276E-3</v>
      </c>
      <c r="CN67" s="219">
        <v>9.3131313887694373E-3</v>
      </c>
      <c r="CO67" s="219">
        <v>9.2698244315803612E-3</v>
      </c>
      <c r="CP67" s="219">
        <v>9.2027946205755842E-3</v>
      </c>
      <c r="CQ67" s="219">
        <v>9.1607144592691803E-3</v>
      </c>
      <c r="CR67" s="219">
        <v>9.1189619399676229E-3</v>
      </c>
      <c r="CS67" s="219">
        <v>9.0845912209410237E-3</v>
      </c>
      <c r="CT67" s="219">
        <v>9.0505500775360289E-3</v>
      </c>
      <c r="CU67" s="219">
        <v>8.9983959569164967E-3</v>
      </c>
      <c r="CV67" s="219">
        <v>8.9655319748465443E-3</v>
      </c>
      <c r="CW67" s="219">
        <v>8.9330249778006403E-3</v>
      </c>
      <c r="CX67" s="219">
        <v>8.9259973333766628E-3</v>
      </c>
      <c r="CY67" s="219">
        <v>8.9181160534750979E-3</v>
      </c>
      <c r="CZ67" s="219">
        <v>8.9102783146036285E-3</v>
      </c>
      <c r="DA67" s="219">
        <v>8.9024847258240628E-3</v>
      </c>
      <c r="DB67" s="219">
        <v>8.8947365683462488E-3</v>
      </c>
    </row>
    <row r="68" spans="1:106" x14ac:dyDescent="0.35">
      <c r="A68" s="137" t="s">
        <v>561</v>
      </c>
      <c r="B68" s="130" t="s">
        <v>705</v>
      </c>
      <c r="C68" s="33">
        <v>3.0406400262598818E-4</v>
      </c>
      <c r="D68" s="219">
        <v>3.0204881893775942E-4</v>
      </c>
      <c r="E68" s="219">
        <v>3.0001269711187241E-4</v>
      </c>
      <c r="F68" s="219">
        <v>2.9641770904864699E-4</v>
      </c>
      <c r="G68" s="219">
        <v>2.9433463180056661E-4</v>
      </c>
      <c r="H68" s="219">
        <v>2.9224639064194259E-4</v>
      </c>
      <c r="I68" s="219">
        <v>2.8894461479738099E-4</v>
      </c>
      <c r="J68" s="219">
        <v>2.8566935364366113E-4</v>
      </c>
      <c r="K68" s="219">
        <v>2.8193850577612738E-4</v>
      </c>
      <c r="L68" s="219">
        <v>2.7865961728505771E-4</v>
      </c>
      <c r="M68" s="219">
        <v>2.7537146889793258E-4</v>
      </c>
      <c r="N68" s="219">
        <v>2.7060112447531122E-4</v>
      </c>
      <c r="O68" s="219">
        <v>2.6585850485750173E-4</v>
      </c>
      <c r="P68" s="219">
        <v>2.609627939446373E-4</v>
      </c>
      <c r="Q68" s="219">
        <v>2.5627312292223273E-4</v>
      </c>
      <c r="R68" s="219">
        <v>2.516049030100258E-4</v>
      </c>
      <c r="S68" s="219">
        <v>2.4858198954973008E-4</v>
      </c>
      <c r="T68" s="219">
        <v>2.4557348451335897E-4</v>
      </c>
      <c r="U68" s="219">
        <v>2.424330204216972E-4</v>
      </c>
      <c r="V68" s="219">
        <v>2.3945556552477679E-4</v>
      </c>
      <c r="W68" s="219">
        <v>2.364919560539444E-4</v>
      </c>
      <c r="X68" s="219">
        <v>2.4089817230596729E-4</v>
      </c>
      <c r="Y68" s="219">
        <v>2.4059301788226429E-4</v>
      </c>
      <c r="Z68" s="219">
        <v>2.402897932875388E-4</v>
      </c>
      <c r="AA68" s="219">
        <v>2.3998846110054729E-4</v>
      </c>
      <c r="AB68" s="219">
        <v>2.3968903260912689E-4</v>
      </c>
      <c r="AC68" s="33">
        <v>1.8258940739667011E-6</v>
      </c>
      <c r="AD68" s="219">
        <v>1.8097853889646081E-6</v>
      </c>
      <c r="AE68" s="219">
        <v>1.793249144672149E-6</v>
      </c>
      <c r="AF68" s="219">
        <v>1.767125439800878E-6</v>
      </c>
      <c r="AG68" s="219">
        <v>1.749722155215245E-6</v>
      </c>
      <c r="AH68" s="219">
        <v>1.731949971034127E-6</v>
      </c>
      <c r="AI68" s="219">
        <v>1.715497990639842E-6</v>
      </c>
      <c r="AJ68" s="219">
        <v>1.6986937001121861E-6</v>
      </c>
      <c r="AK68" s="219">
        <v>1.675613778626544E-6</v>
      </c>
      <c r="AL68" s="219">
        <v>1.657874882943543E-6</v>
      </c>
      <c r="AM68" s="219">
        <v>1.6397616759242281E-6</v>
      </c>
      <c r="AN68" s="219">
        <v>1.618071746058483E-6</v>
      </c>
      <c r="AO68" s="219">
        <v>1.5963755513726221E-6</v>
      </c>
      <c r="AP68" s="219">
        <v>1.572208258688587E-6</v>
      </c>
      <c r="AQ68" s="219">
        <v>1.5504021092391091E-6</v>
      </c>
      <c r="AR68" s="219">
        <v>1.5285765180628141E-6</v>
      </c>
      <c r="AS68" s="219">
        <v>1.51498233235843E-6</v>
      </c>
      <c r="AT68" s="219">
        <v>1.5013228590328331E-6</v>
      </c>
      <c r="AU68" s="219">
        <v>1.48499946196324E-6</v>
      </c>
      <c r="AV68" s="219">
        <v>1.4712632497413719E-6</v>
      </c>
      <c r="AW68" s="219">
        <v>1.457559175001213E-6</v>
      </c>
      <c r="AX68" s="219">
        <v>1.472270012135608E-6</v>
      </c>
      <c r="AY68" s="219">
        <v>1.4713669409346271E-6</v>
      </c>
      <c r="AZ68" s="219">
        <v>1.4704817520773229E-6</v>
      </c>
      <c r="BA68" s="219">
        <v>1.4696136355869061E-6</v>
      </c>
      <c r="BB68" s="219">
        <v>1.468762120210777E-6</v>
      </c>
      <c r="BC68" s="33">
        <v>117.2508960880117</v>
      </c>
      <c r="BD68" s="219">
        <v>117.05842109886321</v>
      </c>
      <c r="BE68" s="219">
        <v>116.8636437618317</v>
      </c>
      <c r="BF68" s="219">
        <v>115.97999477629099</v>
      </c>
      <c r="BG68" s="219">
        <v>115.7831833870675</v>
      </c>
      <c r="BH68" s="219">
        <v>115.58385485205029</v>
      </c>
      <c r="BI68" s="219">
        <v>115.68776613125171</v>
      </c>
      <c r="BJ68" s="219">
        <v>115.7914768762525</v>
      </c>
      <c r="BK68" s="219">
        <v>115.429473571918</v>
      </c>
      <c r="BL68" s="219">
        <v>115.5360727733087</v>
      </c>
      <c r="BM68" s="219">
        <v>115.6408906112827</v>
      </c>
      <c r="BN68" s="219">
        <v>115.3455752054013</v>
      </c>
      <c r="BO68" s="219">
        <v>115.051358787382</v>
      </c>
      <c r="BP68" s="219">
        <v>114.61897450534229</v>
      </c>
      <c r="BQ68" s="219">
        <v>114.3294075695038</v>
      </c>
      <c r="BR68" s="219">
        <v>114.04079735172429</v>
      </c>
      <c r="BS68" s="219">
        <v>113.80650405097479</v>
      </c>
      <c r="BT68" s="219">
        <v>113.5726812825028</v>
      </c>
      <c r="BU68" s="219">
        <v>113.2082579102948</v>
      </c>
      <c r="BV68" s="219">
        <v>112.9774404236322</v>
      </c>
      <c r="BW68" s="219">
        <v>112.74702549637411</v>
      </c>
      <c r="BX68" s="219">
        <v>112.6698309452093</v>
      </c>
      <c r="BY68" s="219">
        <v>112.5934051175214</v>
      </c>
      <c r="BZ68" s="219">
        <v>112.5175442583955</v>
      </c>
      <c r="CA68" s="219">
        <v>112.4422249103109</v>
      </c>
      <c r="CB68" s="219">
        <v>112.3674393999642</v>
      </c>
      <c r="CC68" s="33">
        <v>1369.6249485785811</v>
      </c>
      <c r="CD68" s="219">
        <v>1358.4953790177631</v>
      </c>
      <c r="CE68" s="219">
        <v>1347.293398121084</v>
      </c>
      <c r="CF68" s="219">
        <v>1330.201743386594</v>
      </c>
      <c r="CG68" s="219">
        <v>1318.843860122046</v>
      </c>
      <c r="CH68" s="219">
        <v>1307.3896262955329</v>
      </c>
      <c r="CI68" s="219">
        <v>1291.6658561466461</v>
      </c>
      <c r="CJ68" s="219">
        <v>1275.985771522767</v>
      </c>
      <c r="CK68" s="219">
        <v>1256.7870217475061</v>
      </c>
      <c r="CL68" s="219">
        <v>1241.1161458074589</v>
      </c>
      <c r="CM68" s="219">
        <v>1225.395562882027</v>
      </c>
      <c r="CN68" s="219">
        <v>1201.689004072412</v>
      </c>
      <c r="CO68" s="219">
        <v>1178.1152807241949</v>
      </c>
      <c r="CP68" s="219">
        <v>1153.6678966954639</v>
      </c>
      <c r="CQ68" s="219">
        <v>1130.3739100911839</v>
      </c>
      <c r="CR68" s="219">
        <v>1107.2050594847649</v>
      </c>
      <c r="CS68" s="219">
        <v>1090.707890935103</v>
      </c>
      <c r="CT68" s="219">
        <v>1074.307910020796</v>
      </c>
      <c r="CU68" s="219">
        <v>1057.185548264049</v>
      </c>
      <c r="CV68" s="219">
        <v>1040.9924904342349</v>
      </c>
      <c r="CW68" s="219">
        <v>1024.892072371603</v>
      </c>
      <c r="CX68" s="219">
        <v>1022.6160132821969</v>
      </c>
      <c r="CY68" s="219">
        <v>1019.941439388661</v>
      </c>
      <c r="CZ68" s="219">
        <v>1017.287065892946</v>
      </c>
      <c r="DA68" s="219">
        <v>1014.652642880409</v>
      </c>
      <c r="DB68" s="219">
        <v>1012.038069851794</v>
      </c>
    </row>
    <row r="69" spans="1:106" x14ac:dyDescent="0.35">
      <c r="A69" s="137" t="s">
        <v>562</v>
      </c>
      <c r="B69" s="130" t="s">
        <v>547</v>
      </c>
      <c r="C69" s="33">
        <v>6.5278503577573034E-6</v>
      </c>
      <c r="D69" s="219">
        <v>6.3163815054054589E-6</v>
      </c>
      <c r="E69" s="219">
        <v>6.0936914167752359E-6</v>
      </c>
      <c r="F69" s="219">
        <v>5.860401606363848E-6</v>
      </c>
      <c r="G69" s="219">
        <v>5.6339015607056548E-6</v>
      </c>
      <c r="H69" s="219">
        <v>5.4080641481356167E-6</v>
      </c>
      <c r="I69" s="219">
        <v>5.2822285660082836E-6</v>
      </c>
      <c r="J69" s="219">
        <v>5.1573646377868956E-6</v>
      </c>
      <c r="K69" s="219">
        <v>5.030368999140677E-6</v>
      </c>
      <c r="L69" s="219">
        <v>4.9056240315891179E-6</v>
      </c>
      <c r="M69" s="219">
        <v>4.7807044862994221E-6</v>
      </c>
      <c r="N69" s="219">
        <v>4.6383945730106921E-6</v>
      </c>
      <c r="O69" s="219">
        <v>4.4953674290099896E-6</v>
      </c>
      <c r="P69" s="219">
        <v>4.3510996225576834E-6</v>
      </c>
      <c r="Q69" s="219">
        <v>4.206626907804594E-6</v>
      </c>
      <c r="R69" s="219">
        <v>4.0614374447590174E-6</v>
      </c>
      <c r="S69" s="219">
        <v>3.9798166416057506E-6</v>
      </c>
      <c r="T69" s="219">
        <v>3.896777116842443E-6</v>
      </c>
      <c r="U69" s="219">
        <v>3.8129284632544999E-6</v>
      </c>
      <c r="V69" s="219">
        <v>3.729397385225536E-6</v>
      </c>
      <c r="W69" s="219">
        <v>3.6456009866230811E-6</v>
      </c>
      <c r="X69" s="219">
        <v>3.686890589259618E-6</v>
      </c>
      <c r="Y69" s="219">
        <v>3.6423180770113931E-6</v>
      </c>
      <c r="Z69" s="219">
        <v>3.5977346519706751E-6</v>
      </c>
      <c r="AA69" s="219">
        <v>3.5531293899904069E-6</v>
      </c>
      <c r="AB69" s="219">
        <v>3.5085023686779441E-6</v>
      </c>
      <c r="AC69" s="33">
        <v>5.9254811538663178E-8</v>
      </c>
      <c r="AD69" s="219">
        <v>5.5700799113965387E-8</v>
      </c>
      <c r="AE69" s="219">
        <v>5.2155417605495762E-8</v>
      </c>
      <c r="AF69" s="219">
        <v>4.8570633225473458E-8</v>
      </c>
      <c r="AG69" s="219">
        <v>4.504185647941969E-8</v>
      </c>
      <c r="AH69" s="219">
        <v>4.1522684022087872E-8</v>
      </c>
      <c r="AI69" s="219">
        <v>3.9921094846218307E-8</v>
      </c>
      <c r="AJ69" s="219">
        <v>3.8315237878822003E-8</v>
      </c>
      <c r="AK69" s="219">
        <v>3.666167277033626E-8</v>
      </c>
      <c r="AL69" s="219">
        <v>3.5042634709163949E-8</v>
      </c>
      <c r="AM69" s="219">
        <v>3.3417848870271547E-8</v>
      </c>
      <c r="AN69" s="219">
        <v>3.2696749476736018E-8</v>
      </c>
      <c r="AO69" s="219">
        <v>3.1970157519895609E-8</v>
      </c>
      <c r="AP69" s="219">
        <v>3.121965518940242E-8</v>
      </c>
      <c r="AQ69" s="219">
        <v>3.0475751616402642E-8</v>
      </c>
      <c r="AR69" s="219">
        <v>2.9726056337355179E-8</v>
      </c>
      <c r="AS69" s="219">
        <v>2.962503255173818E-8</v>
      </c>
      <c r="AT69" s="219">
        <v>2.952808840372943E-8</v>
      </c>
      <c r="AU69" s="219">
        <v>2.941863768348871E-8</v>
      </c>
      <c r="AV69" s="219">
        <v>2.932806631572957E-8</v>
      </c>
      <c r="AW69" s="219">
        <v>2.924109951860716E-8</v>
      </c>
      <c r="AX69" s="219">
        <v>2.9811376000859482E-8</v>
      </c>
      <c r="AY69" s="219">
        <v>2.9652465022981909E-8</v>
      </c>
      <c r="AZ69" s="219">
        <v>2.9492590944806741E-8</v>
      </c>
      <c r="BA69" s="219">
        <v>2.933170722023218E-8</v>
      </c>
      <c r="BB69" s="219">
        <v>2.9169836219496888E-8</v>
      </c>
      <c r="BC69" s="33">
        <v>1.8995365198935059</v>
      </c>
      <c r="BD69" s="219">
        <v>1.881949428719869</v>
      </c>
      <c r="BE69" s="219">
        <v>1.8644260066353671</v>
      </c>
      <c r="BF69" s="219">
        <v>1.8429789335093709</v>
      </c>
      <c r="BG69" s="219">
        <v>1.8256003928965621</v>
      </c>
      <c r="BH69" s="219">
        <v>1.8082817782112981</v>
      </c>
      <c r="BI69" s="219">
        <v>1.8028554710780491</v>
      </c>
      <c r="BJ69" s="219">
        <v>1.797340154487256</v>
      </c>
      <c r="BK69" s="219">
        <v>1.788316917743543</v>
      </c>
      <c r="BL69" s="219">
        <v>1.7824948779215859</v>
      </c>
      <c r="BM69" s="219">
        <v>1.776533101314715</v>
      </c>
      <c r="BN69" s="219">
        <v>1.764797708647432</v>
      </c>
      <c r="BO69" s="219">
        <v>1.752867984168033</v>
      </c>
      <c r="BP69" s="219">
        <v>1.739928575036916</v>
      </c>
      <c r="BQ69" s="219">
        <v>1.7276223616991191</v>
      </c>
      <c r="BR69" s="219">
        <v>1.7151245633396801</v>
      </c>
      <c r="BS69" s="219">
        <v>1.727559703663889</v>
      </c>
      <c r="BT69" s="219">
        <v>1.7398577947092999</v>
      </c>
      <c r="BU69" s="219">
        <v>1.751220256892551</v>
      </c>
      <c r="BV69" s="219">
        <v>1.763249021086166</v>
      </c>
      <c r="BW69" s="219">
        <v>1.7751436333881521</v>
      </c>
      <c r="BX69" s="219">
        <v>1.7564407674989111</v>
      </c>
      <c r="BY69" s="219">
        <v>1.737826604751834</v>
      </c>
      <c r="BZ69" s="219">
        <v>1.719196293942437</v>
      </c>
      <c r="CA69" s="219">
        <v>1.700546811551148</v>
      </c>
      <c r="CB69" s="219">
        <v>1.6818778119633679</v>
      </c>
      <c r="CC69" s="33">
        <v>28.164900157278829</v>
      </c>
      <c r="CD69" s="219">
        <v>26.431630151783999</v>
      </c>
      <c r="CE69" s="219">
        <v>24.706554529119071</v>
      </c>
      <c r="CF69" s="219">
        <v>22.956641346214379</v>
      </c>
      <c r="CG69" s="219">
        <v>21.247498711288149</v>
      </c>
      <c r="CH69" s="219">
        <v>19.546031179130839</v>
      </c>
      <c r="CI69" s="219">
        <v>18.22726034580776</v>
      </c>
      <c r="CJ69" s="219">
        <v>16.914527812280181</v>
      </c>
      <c r="CK69" s="219">
        <v>15.58054368963445</v>
      </c>
      <c r="CL69" s="219">
        <v>14.27553497049534</v>
      </c>
      <c r="CM69" s="219">
        <v>12.97370820631347</v>
      </c>
      <c r="CN69" s="219">
        <v>11.920280904561411</v>
      </c>
      <c r="CO69" s="219">
        <v>10.863153844765</v>
      </c>
      <c r="CP69" s="219">
        <v>9.7967931365906598</v>
      </c>
      <c r="CQ69" s="219">
        <v>8.7324358547651375</v>
      </c>
      <c r="CR69" s="219">
        <v>7.6645125956112823</v>
      </c>
      <c r="CS69" s="219">
        <v>7.1064060120959942</v>
      </c>
      <c r="CT69" s="219">
        <v>6.5465478553185674</v>
      </c>
      <c r="CU69" s="219">
        <v>5.9801001692743654</v>
      </c>
      <c r="CV69" s="219">
        <v>5.4167841816254532</v>
      </c>
      <c r="CW69" s="219">
        <v>4.8518977986330407</v>
      </c>
      <c r="CX69" s="219">
        <v>4.6483208119096311</v>
      </c>
      <c r="CY69" s="219">
        <v>4.4059893182434529</v>
      </c>
      <c r="CZ69" s="219">
        <v>4.163590772309373</v>
      </c>
      <c r="DA69" s="219">
        <v>3.9211018079298379</v>
      </c>
      <c r="DB69" s="219">
        <v>3.6785222461610529</v>
      </c>
    </row>
    <row r="70" spans="1:106" x14ac:dyDescent="0.35">
      <c r="A70" s="137" t="s">
        <v>755</v>
      </c>
      <c r="B70" s="130" t="s">
        <v>704</v>
      </c>
      <c r="C70" s="33">
        <v>0</v>
      </c>
      <c r="D70" s="219">
        <v>0</v>
      </c>
      <c r="E70" s="219">
        <v>0</v>
      </c>
      <c r="F70" s="219">
        <v>0</v>
      </c>
      <c r="G70" s="219">
        <v>0</v>
      </c>
      <c r="H70" s="219">
        <v>0</v>
      </c>
      <c r="I70" s="219">
        <v>0</v>
      </c>
      <c r="J70" s="219">
        <v>0</v>
      </c>
      <c r="K70" s="219">
        <v>0</v>
      </c>
      <c r="L70" s="219">
        <v>0</v>
      </c>
      <c r="M70" s="219">
        <v>0</v>
      </c>
      <c r="N70" s="219">
        <v>0</v>
      </c>
      <c r="O70" s="219">
        <v>0</v>
      </c>
      <c r="P70" s="219">
        <v>0</v>
      </c>
      <c r="Q70" s="219">
        <v>0</v>
      </c>
      <c r="R70" s="219">
        <v>0</v>
      </c>
      <c r="S70" s="219">
        <v>0</v>
      </c>
      <c r="T70" s="219">
        <v>0</v>
      </c>
      <c r="U70" s="219">
        <v>0</v>
      </c>
      <c r="V70" s="219">
        <v>0</v>
      </c>
      <c r="W70" s="219">
        <v>0</v>
      </c>
      <c r="X70" s="219">
        <v>0</v>
      </c>
      <c r="Y70" s="219">
        <v>0</v>
      </c>
      <c r="Z70" s="219">
        <v>0</v>
      </c>
      <c r="AA70" s="219">
        <v>0</v>
      </c>
      <c r="AB70" s="219">
        <v>0</v>
      </c>
      <c r="AC70" s="33">
        <v>2.0736000294618859E-7</v>
      </c>
      <c r="AD70" s="219">
        <v>2.0736000294618859E-7</v>
      </c>
      <c r="AE70" s="219">
        <v>2.0736000294618859E-7</v>
      </c>
      <c r="AF70" s="219">
        <v>2.0736000294618859E-7</v>
      </c>
      <c r="AG70" s="219">
        <v>2.0736000294618859E-7</v>
      </c>
      <c r="AH70" s="219">
        <v>2.0736000294618859E-7</v>
      </c>
      <c r="AI70" s="219">
        <v>2.0736000294618859E-7</v>
      </c>
      <c r="AJ70" s="219">
        <v>2.0736000294618859E-7</v>
      </c>
      <c r="AK70" s="219">
        <v>2.0736000294618859E-7</v>
      </c>
      <c r="AL70" s="219">
        <v>2.0736000294618859E-7</v>
      </c>
      <c r="AM70" s="219">
        <v>2.0736000294618859E-7</v>
      </c>
      <c r="AN70" s="219">
        <v>2.0736000294618859E-7</v>
      </c>
      <c r="AO70" s="219">
        <v>2.0736000294618859E-7</v>
      </c>
      <c r="AP70" s="219">
        <v>2.0736000294618859E-7</v>
      </c>
      <c r="AQ70" s="219">
        <v>2.0736000294618859E-7</v>
      </c>
      <c r="AR70" s="219">
        <v>2.0736000294618859E-7</v>
      </c>
      <c r="AS70" s="219">
        <v>2.0736000294618859E-7</v>
      </c>
      <c r="AT70" s="219">
        <v>2.0736000294618859E-7</v>
      </c>
      <c r="AU70" s="219">
        <v>2.0736000294618859E-7</v>
      </c>
      <c r="AV70" s="219">
        <v>2.0736000294618859E-7</v>
      </c>
      <c r="AW70" s="219">
        <v>2.0736000294618859E-7</v>
      </c>
      <c r="AX70" s="219">
        <v>2.0736000294618859E-7</v>
      </c>
      <c r="AY70" s="219">
        <v>2.0736000294618859E-7</v>
      </c>
      <c r="AZ70" s="219">
        <v>2.0736000294618859E-7</v>
      </c>
      <c r="BA70" s="219">
        <v>2.0736000294618859E-7</v>
      </c>
      <c r="BB70" s="219">
        <v>2.0736000294618859E-7</v>
      </c>
      <c r="BC70" s="33">
        <v>0</v>
      </c>
      <c r="BD70" s="219">
        <v>0</v>
      </c>
      <c r="BE70" s="219">
        <v>0</v>
      </c>
      <c r="BF70" s="219">
        <v>0</v>
      </c>
      <c r="BG70" s="219">
        <v>0</v>
      </c>
      <c r="BH70" s="219">
        <v>0</v>
      </c>
      <c r="BI70" s="219">
        <v>0</v>
      </c>
      <c r="BJ70" s="219">
        <v>0</v>
      </c>
      <c r="BK70" s="219">
        <v>0</v>
      </c>
      <c r="BL70" s="219">
        <v>0</v>
      </c>
      <c r="BM70" s="219">
        <v>0</v>
      </c>
      <c r="BN70" s="219">
        <v>0</v>
      </c>
      <c r="BO70" s="219">
        <v>0</v>
      </c>
      <c r="BP70" s="219">
        <v>0</v>
      </c>
      <c r="BQ70" s="219">
        <v>0</v>
      </c>
      <c r="BR70" s="219">
        <v>0</v>
      </c>
      <c r="BS70" s="219">
        <v>0</v>
      </c>
      <c r="BT70" s="219">
        <v>0</v>
      </c>
      <c r="BU70" s="219">
        <v>0</v>
      </c>
      <c r="BV70" s="219">
        <v>0</v>
      </c>
      <c r="BW70" s="219">
        <v>0</v>
      </c>
      <c r="BX70" s="219">
        <v>0</v>
      </c>
      <c r="BY70" s="219">
        <v>0</v>
      </c>
      <c r="BZ70" s="219">
        <v>0</v>
      </c>
      <c r="CA70" s="219">
        <v>0</v>
      </c>
      <c r="CB70" s="219">
        <v>0</v>
      </c>
      <c r="CC70" s="33">
        <v>0</v>
      </c>
      <c r="CD70" s="219">
        <v>0</v>
      </c>
      <c r="CE70" s="219">
        <v>0</v>
      </c>
      <c r="CF70" s="219">
        <v>0</v>
      </c>
      <c r="CG70" s="219">
        <v>0</v>
      </c>
      <c r="CH70" s="219">
        <v>0</v>
      </c>
      <c r="CI70" s="219">
        <v>0</v>
      </c>
      <c r="CJ70" s="219">
        <v>0</v>
      </c>
      <c r="CK70" s="219">
        <v>0</v>
      </c>
      <c r="CL70" s="219">
        <v>0</v>
      </c>
      <c r="CM70" s="219">
        <v>0</v>
      </c>
      <c r="CN70" s="219">
        <v>0</v>
      </c>
      <c r="CO70" s="219">
        <v>0</v>
      </c>
      <c r="CP70" s="219">
        <v>0</v>
      </c>
      <c r="CQ70" s="219">
        <v>0</v>
      </c>
      <c r="CR70" s="219">
        <v>0</v>
      </c>
      <c r="CS70" s="219">
        <v>0</v>
      </c>
      <c r="CT70" s="219">
        <v>0</v>
      </c>
      <c r="CU70" s="219">
        <v>0</v>
      </c>
      <c r="CV70" s="219">
        <v>0</v>
      </c>
      <c r="CW70" s="219">
        <v>0</v>
      </c>
      <c r="CX70" s="219">
        <v>0</v>
      </c>
      <c r="CY70" s="219">
        <v>0</v>
      </c>
      <c r="CZ70" s="219">
        <v>0</v>
      </c>
      <c r="DA70" s="219">
        <v>0</v>
      </c>
      <c r="DB70" s="219">
        <v>0</v>
      </c>
    </row>
    <row r="71" spans="1:106" x14ac:dyDescent="0.35">
      <c r="A71" s="137" t="s">
        <v>563</v>
      </c>
      <c r="B71" s="130" t="s">
        <v>704</v>
      </c>
      <c r="C71" s="33">
        <v>7.6565319050394516E-3</v>
      </c>
      <c r="D71" s="219">
        <v>7.396942047633883E-3</v>
      </c>
      <c r="E71" s="219">
        <v>7.1214600712817353E-3</v>
      </c>
      <c r="F71" s="219">
        <v>6.8324995802353664E-3</v>
      </c>
      <c r="G71" s="219">
        <v>6.5497371293745804E-3</v>
      </c>
      <c r="H71" s="219">
        <v>6.2666202275156154E-3</v>
      </c>
      <c r="I71" s="219">
        <v>6.1112926619391952E-3</v>
      </c>
      <c r="J71" s="219">
        <v>5.9568643965241001E-3</v>
      </c>
      <c r="K71" s="219">
        <v>5.799785638875881E-3</v>
      </c>
      <c r="L71" s="219">
        <v>5.6449025566350517E-3</v>
      </c>
      <c r="M71" s="219">
        <v>5.4894729936840357E-3</v>
      </c>
      <c r="N71" s="219">
        <v>5.3084169020852423E-3</v>
      </c>
      <c r="O71" s="219">
        <v>5.1262439020892401E-3</v>
      </c>
      <c r="P71" s="219">
        <v>4.9424464589051748E-3</v>
      </c>
      <c r="Q71" s="219">
        <v>4.7580457114767922E-3</v>
      </c>
      <c r="R71" s="219">
        <v>4.572555156956289E-3</v>
      </c>
      <c r="S71" s="219">
        <v>4.463859864905338E-3</v>
      </c>
      <c r="T71" s="219">
        <v>4.3534668788400453E-3</v>
      </c>
      <c r="U71" s="219">
        <v>4.2423548757298023E-3</v>
      </c>
      <c r="V71" s="219">
        <v>4.1317322767301396E-3</v>
      </c>
      <c r="W71" s="219">
        <v>4.0209831223895027E-3</v>
      </c>
      <c r="X71" s="219">
        <v>4.0702553347113889E-3</v>
      </c>
      <c r="Y71" s="219">
        <v>4.0158438402737402E-3</v>
      </c>
      <c r="Z71" s="219">
        <v>3.9612485649405359E-3</v>
      </c>
      <c r="AA71" s="219">
        <v>3.9064585313200546E-3</v>
      </c>
      <c r="AB71" s="219">
        <v>3.851472607906606E-3</v>
      </c>
      <c r="AC71" s="33">
        <v>6.2298566919422979E-5</v>
      </c>
      <c r="AD71" s="219">
        <v>5.7771150759041203E-5</v>
      </c>
      <c r="AE71" s="219">
        <v>5.323543994932594E-5</v>
      </c>
      <c r="AF71" s="219">
        <v>4.8637933608818322E-5</v>
      </c>
      <c r="AG71" s="219">
        <v>4.4084368677390212E-5</v>
      </c>
      <c r="AH71" s="219">
        <v>3.9523518908050183E-5</v>
      </c>
      <c r="AI71" s="219">
        <v>3.7465341183122662E-5</v>
      </c>
      <c r="AJ71" s="219">
        <v>3.5398133826598358E-5</v>
      </c>
      <c r="AK71" s="219">
        <v>3.3271422162179889E-5</v>
      </c>
      <c r="AL71" s="219">
        <v>3.1180170033007371E-5</v>
      </c>
      <c r="AM71" s="219">
        <v>2.9077921391370502E-5</v>
      </c>
      <c r="AN71" s="219">
        <v>2.8161695741677239E-5</v>
      </c>
      <c r="AO71" s="219">
        <v>2.723769496169046E-5</v>
      </c>
      <c r="AP71" s="219">
        <v>2.6284212455226691E-5</v>
      </c>
      <c r="AQ71" s="219">
        <v>2.5336394503108E-5</v>
      </c>
      <c r="AR71" s="219">
        <v>2.438052311841561E-5</v>
      </c>
      <c r="AS71" s="219">
        <v>2.4261767175331729E-5</v>
      </c>
      <c r="AT71" s="219">
        <v>2.414776956022764E-5</v>
      </c>
      <c r="AU71" s="219">
        <v>2.4019404685268279E-5</v>
      </c>
      <c r="AV71" s="219">
        <v>2.3912479695059202E-5</v>
      </c>
      <c r="AW71" s="219">
        <v>2.3809541312977419E-5</v>
      </c>
      <c r="AX71" s="219">
        <v>2.4447603167468738E-5</v>
      </c>
      <c r="AY71" s="219">
        <v>2.425349552524569E-5</v>
      </c>
      <c r="AZ71" s="219">
        <v>2.4057507151665339E-5</v>
      </c>
      <c r="BA71" s="219">
        <v>2.3859596054829361E-5</v>
      </c>
      <c r="BB71" s="219">
        <v>2.3659781209585921E-5</v>
      </c>
      <c r="BC71" s="33">
        <v>2395.2784371450261</v>
      </c>
      <c r="BD71" s="219">
        <v>2377.7659488164841</v>
      </c>
      <c r="BE71" s="219">
        <v>2360.278481322463</v>
      </c>
      <c r="BF71" s="219">
        <v>2338.3366574323809</v>
      </c>
      <c r="BG71" s="219">
        <v>2320.9131369377228</v>
      </c>
      <c r="BH71" s="219">
        <v>2303.5112511814382</v>
      </c>
      <c r="BI71" s="219">
        <v>2298.6405021851651</v>
      </c>
      <c r="BJ71" s="219">
        <v>2293.6427801031141</v>
      </c>
      <c r="BK71" s="219">
        <v>2284.5436558183569</v>
      </c>
      <c r="BL71" s="219">
        <v>2279.1128477594411</v>
      </c>
      <c r="BM71" s="219">
        <v>2273.4892258671998</v>
      </c>
      <c r="BN71" s="219">
        <v>2258.3806691600962</v>
      </c>
      <c r="BO71" s="219">
        <v>2243.0013513386421</v>
      </c>
      <c r="BP71" s="219">
        <v>2226.425186101631</v>
      </c>
      <c r="BQ71" s="219">
        <v>2210.5189960885832</v>
      </c>
      <c r="BR71" s="219">
        <v>2194.3472971194292</v>
      </c>
      <c r="BS71" s="219">
        <v>2207.7555202365961</v>
      </c>
      <c r="BT71" s="219">
        <v>2220.8992458052571</v>
      </c>
      <c r="BU71" s="219">
        <v>2232.8684946513622</v>
      </c>
      <c r="BV71" s="219">
        <v>2245.4956115771961</v>
      </c>
      <c r="BW71" s="219">
        <v>2257.8694150948049</v>
      </c>
      <c r="BX71" s="219">
        <v>2236.3664567277801</v>
      </c>
      <c r="BY71" s="219">
        <v>2214.865474169248</v>
      </c>
      <c r="BZ71" s="219">
        <v>2193.275164287033</v>
      </c>
      <c r="CA71" s="219">
        <v>2171.5922338779951</v>
      </c>
      <c r="CB71" s="219">
        <v>2149.815729270772</v>
      </c>
      <c r="CC71" s="33">
        <v>35137.912585031052</v>
      </c>
      <c r="CD71" s="219">
        <v>32955.608635970399</v>
      </c>
      <c r="CE71" s="219">
        <v>30774.206240875312</v>
      </c>
      <c r="CF71" s="219">
        <v>28556.69838655461</v>
      </c>
      <c r="CG71" s="219">
        <v>26376.533712289089</v>
      </c>
      <c r="CH71" s="219">
        <v>24196.677350939779</v>
      </c>
      <c r="CI71" s="219">
        <v>22496.69274953589</v>
      </c>
      <c r="CJ71" s="219">
        <v>20800.987314882339</v>
      </c>
      <c r="CK71" s="219">
        <v>19077.733178113311</v>
      </c>
      <c r="CL71" s="219">
        <v>17385.017301517611</v>
      </c>
      <c r="CM71" s="219">
        <v>15693.00812724036</v>
      </c>
      <c r="CN71" s="219">
        <v>14328.560135041969</v>
      </c>
      <c r="CO71" s="219">
        <v>12958.521106640081</v>
      </c>
      <c r="CP71" s="219">
        <v>11576.690666377919</v>
      </c>
      <c r="CQ71" s="219">
        <v>10195.76064630136</v>
      </c>
      <c r="CR71" s="219">
        <v>8809.5027908814172</v>
      </c>
      <c r="CS71" s="219">
        <v>8086.6452877616366</v>
      </c>
      <c r="CT71" s="219">
        <v>7363.1972148878667</v>
      </c>
      <c r="CU71" s="219">
        <v>6633.6849264403409</v>
      </c>
      <c r="CV71" s="219">
        <v>5909.2251672782704</v>
      </c>
      <c r="CW71" s="219">
        <v>5184.5274816267993</v>
      </c>
      <c r="CX71" s="219">
        <v>4921.3552851747154</v>
      </c>
      <c r="CY71" s="219">
        <v>4607.1491399061242</v>
      </c>
      <c r="CZ71" s="219">
        <v>4291.8716246713884</v>
      </c>
      <c r="DA71" s="219">
        <v>3975.4949944578962</v>
      </c>
      <c r="DB71" s="219">
        <v>3658.0125395648179</v>
      </c>
    </row>
    <row r="73" spans="1:106" s="11" customFormat="1" ht="21" x14ac:dyDescent="0.5">
      <c r="A73" s="11" t="s">
        <v>94</v>
      </c>
    </row>
    <row r="74" spans="1:106" x14ac:dyDescent="0.35">
      <c r="A74" s="29" t="s">
        <v>0</v>
      </c>
      <c r="B74" s="29"/>
      <c r="C74" s="332" t="s">
        <v>697</v>
      </c>
      <c r="D74" s="332"/>
      <c r="E74" s="332"/>
      <c r="F74" s="332"/>
      <c r="G74" s="332"/>
      <c r="H74" s="332"/>
      <c r="I74" s="332"/>
      <c r="J74" s="332"/>
      <c r="K74" s="332"/>
      <c r="L74" s="332"/>
      <c r="M74" s="332"/>
      <c r="N74" s="332"/>
      <c r="O74" s="332"/>
      <c r="P74" s="332"/>
      <c r="Q74" s="332"/>
      <c r="R74" s="332"/>
      <c r="S74" s="332"/>
      <c r="T74" s="332"/>
      <c r="U74" s="332"/>
      <c r="V74" s="332"/>
      <c r="W74" s="332"/>
      <c r="X74" s="332"/>
      <c r="Y74" s="332"/>
      <c r="Z74" s="332"/>
      <c r="AA74" s="332"/>
      <c r="AB74" s="332"/>
      <c r="AC74" s="333" t="s">
        <v>698</v>
      </c>
      <c r="AD74" s="333"/>
      <c r="AE74" s="333"/>
      <c r="AF74" s="333"/>
      <c r="AG74" s="333"/>
      <c r="AH74" s="333"/>
      <c r="AI74" s="333"/>
      <c r="AJ74" s="333"/>
      <c r="AK74" s="333"/>
      <c r="AL74" s="333"/>
      <c r="AM74" s="333"/>
      <c r="AN74" s="333"/>
      <c r="AO74" s="333"/>
      <c r="AP74" s="333"/>
      <c r="AQ74" s="333"/>
      <c r="AR74" s="333"/>
      <c r="AS74" s="333"/>
      <c r="AT74" s="333"/>
      <c r="AU74" s="333"/>
      <c r="AV74" s="333"/>
      <c r="AW74" s="333"/>
      <c r="AX74" s="333"/>
      <c r="AY74" s="333"/>
      <c r="AZ74" s="333"/>
      <c r="BA74" s="333"/>
      <c r="BB74" s="333"/>
      <c r="BC74" s="334" t="s">
        <v>756</v>
      </c>
      <c r="BD74" s="335"/>
      <c r="BE74" s="335"/>
      <c r="BF74" s="335"/>
      <c r="BG74" s="335"/>
      <c r="BH74" s="335"/>
      <c r="BI74" s="335"/>
      <c r="BJ74" s="335"/>
      <c r="BK74" s="335"/>
      <c r="BL74" s="335"/>
      <c r="BM74" s="335"/>
      <c r="BN74" s="335"/>
      <c r="BO74" s="335"/>
      <c r="BP74" s="335"/>
      <c r="BQ74" s="335"/>
      <c r="BR74" s="335"/>
      <c r="BS74" s="335"/>
      <c r="BT74" s="335"/>
      <c r="BU74" s="335"/>
      <c r="BV74" s="335"/>
      <c r="BW74" s="335"/>
      <c r="BX74" s="335"/>
      <c r="BY74" s="335"/>
      <c r="BZ74" s="335"/>
      <c r="CA74" s="335"/>
      <c r="CB74" s="336"/>
      <c r="CC74" s="337" t="s">
        <v>699</v>
      </c>
      <c r="CD74" s="337"/>
      <c r="CE74" s="337"/>
      <c r="CF74" s="337"/>
      <c r="CG74" s="337"/>
      <c r="CH74" s="337"/>
      <c r="CI74" s="337"/>
      <c r="CJ74" s="337"/>
      <c r="CK74" s="337"/>
      <c r="CL74" s="337"/>
      <c r="CM74" s="337"/>
      <c r="CN74" s="337"/>
      <c r="CO74" s="337"/>
      <c r="CP74" s="337"/>
      <c r="CQ74" s="337"/>
      <c r="CR74" s="337"/>
      <c r="CS74" s="337"/>
      <c r="CT74" s="337"/>
      <c r="CU74" s="337"/>
      <c r="CV74" s="337"/>
      <c r="CW74" s="337"/>
      <c r="CX74" s="337"/>
      <c r="CY74" s="337"/>
      <c r="CZ74" s="337"/>
      <c r="DA74" s="337"/>
      <c r="DB74" s="337"/>
    </row>
    <row r="75" spans="1:106" x14ac:dyDescent="0.35">
      <c r="A75" s="29" t="s">
        <v>1</v>
      </c>
      <c r="B75" s="29" t="s">
        <v>180</v>
      </c>
      <c r="C75" s="184" t="s">
        <v>14</v>
      </c>
      <c r="D75" s="184" t="s">
        <v>95</v>
      </c>
      <c r="E75" s="184" t="s">
        <v>96</v>
      </c>
      <c r="F75" s="184" t="s">
        <v>97</v>
      </c>
      <c r="G75" s="184" t="s">
        <v>98</v>
      </c>
      <c r="H75" s="184" t="s">
        <v>15</v>
      </c>
      <c r="I75" s="184" t="s">
        <v>99</v>
      </c>
      <c r="J75" s="184" t="s">
        <v>100</v>
      </c>
      <c r="K75" s="184" t="s">
        <v>101</v>
      </c>
      <c r="L75" s="184" t="s">
        <v>102</v>
      </c>
      <c r="M75" s="184" t="s">
        <v>16</v>
      </c>
      <c r="N75" s="184" t="s">
        <v>103</v>
      </c>
      <c r="O75" s="184" t="s">
        <v>104</v>
      </c>
      <c r="P75" s="184" t="s">
        <v>105</v>
      </c>
      <c r="Q75" s="184" t="s">
        <v>106</v>
      </c>
      <c r="R75" s="184" t="s">
        <v>17</v>
      </c>
      <c r="S75" s="184" t="s">
        <v>107</v>
      </c>
      <c r="T75" s="184" t="s">
        <v>108</v>
      </c>
      <c r="U75" s="184" t="s">
        <v>109</v>
      </c>
      <c r="V75" s="184" t="s">
        <v>110</v>
      </c>
      <c r="W75" s="184" t="s">
        <v>18</v>
      </c>
      <c r="X75" s="184" t="s">
        <v>111</v>
      </c>
      <c r="Y75" s="184" t="s">
        <v>112</v>
      </c>
      <c r="Z75" s="184" t="s">
        <v>113</v>
      </c>
      <c r="AA75" s="184" t="s">
        <v>114</v>
      </c>
      <c r="AB75" s="184" t="s">
        <v>19</v>
      </c>
      <c r="AC75" s="185" t="s">
        <v>14</v>
      </c>
      <c r="AD75" s="185" t="s">
        <v>95</v>
      </c>
      <c r="AE75" s="185" t="s">
        <v>96</v>
      </c>
      <c r="AF75" s="185" t="s">
        <v>97</v>
      </c>
      <c r="AG75" s="185" t="s">
        <v>98</v>
      </c>
      <c r="AH75" s="185" t="s">
        <v>15</v>
      </c>
      <c r="AI75" s="185" t="s">
        <v>99</v>
      </c>
      <c r="AJ75" s="185" t="s">
        <v>100</v>
      </c>
      <c r="AK75" s="185" t="s">
        <v>101</v>
      </c>
      <c r="AL75" s="185" t="s">
        <v>102</v>
      </c>
      <c r="AM75" s="185" t="s">
        <v>16</v>
      </c>
      <c r="AN75" s="185" t="s">
        <v>103</v>
      </c>
      <c r="AO75" s="185" t="s">
        <v>104</v>
      </c>
      <c r="AP75" s="185" t="s">
        <v>105</v>
      </c>
      <c r="AQ75" s="185" t="s">
        <v>106</v>
      </c>
      <c r="AR75" s="185" t="s">
        <v>17</v>
      </c>
      <c r="AS75" s="185" t="s">
        <v>107</v>
      </c>
      <c r="AT75" s="185" t="s">
        <v>108</v>
      </c>
      <c r="AU75" s="185" t="s">
        <v>109</v>
      </c>
      <c r="AV75" s="185" t="s">
        <v>110</v>
      </c>
      <c r="AW75" s="185" t="s">
        <v>18</v>
      </c>
      <c r="AX75" s="185" t="s">
        <v>111</v>
      </c>
      <c r="AY75" s="185" t="s">
        <v>112</v>
      </c>
      <c r="AZ75" s="185" t="s">
        <v>113</v>
      </c>
      <c r="BA75" s="185" t="s">
        <v>114</v>
      </c>
      <c r="BB75" s="185" t="s">
        <v>19</v>
      </c>
      <c r="BC75" s="225" t="s">
        <v>14</v>
      </c>
      <c r="BD75" s="225" t="s">
        <v>95</v>
      </c>
      <c r="BE75" s="225" t="s">
        <v>96</v>
      </c>
      <c r="BF75" s="225" t="s">
        <v>97</v>
      </c>
      <c r="BG75" s="225" t="s">
        <v>98</v>
      </c>
      <c r="BH75" s="225" t="s">
        <v>15</v>
      </c>
      <c r="BI75" s="225" t="s">
        <v>99</v>
      </c>
      <c r="BJ75" s="225" t="s">
        <v>100</v>
      </c>
      <c r="BK75" s="225" t="s">
        <v>101</v>
      </c>
      <c r="BL75" s="225" t="s">
        <v>102</v>
      </c>
      <c r="BM75" s="225" t="s">
        <v>16</v>
      </c>
      <c r="BN75" s="225" t="s">
        <v>103</v>
      </c>
      <c r="BO75" s="225" t="s">
        <v>104</v>
      </c>
      <c r="BP75" s="225" t="s">
        <v>105</v>
      </c>
      <c r="BQ75" s="225" t="s">
        <v>106</v>
      </c>
      <c r="BR75" s="225" t="s">
        <v>17</v>
      </c>
      <c r="BS75" s="225" t="s">
        <v>107</v>
      </c>
      <c r="BT75" s="225" t="s">
        <v>108</v>
      </c>
      <c r="BU75" s="225" t="s">
        <v>109</v>
      </c>
      <c r="BV75" s="225" t="s">
        <v>110</v>
      </c>
      <c r="BW75" s="225" t="s">
        <v>18</v>
      </c>
      <c r="BX75" s="225" t="s">
        <v>111</v>
      </c>
      <c r="BY75" s="225" t="s">
        <v>112</v>
      </c>
      <c r="BZ75" s="225" t="s">
        <v>113</v>
      </c>
      <c r="CA75" s="225" t="s">
        <v>114</v>
      </c>
      <c r="CB75" s="225" t="s">
        <v>19</v>
      </c>
      <c r="CC75" s="224" t="s">
        <v>14</v>
      </c>
      <c r="CD75" s="224" t="s">
        <v>95</v>
      </c>
      <c r="CE75" s="224" t="s">
        <v>96</v>
      </c>
      <c r="CF75" s="224" t="s">
        <v>97</v>
      </c>
      <c r="CG75" s="224" t="s">
        <v>98</v>
      </c>
      <c r="CH75" s="224" t="s">
        <v>15</v>
      </c>
      <c r="CI75" s="224" t="s">
        <v>99</v>
      </c>
      <c r="CJ75" s="224" t="s">
        <v>100</v>
      </c>
      <c r="CK75" s="224" t="s">
        <v>101</v>
      </c>
      <c r="CL75" s="224" t="s">
        <v>102</v>
      </c>
      <c r="CM75" s="224" t="s">
        <v>16</v>
      </c>
      <c r="CN75" s="224" t="s">
        <v>103</v>
      </c>
      <c r="CO75" s="224" t="s">
        <v>104</v>
      </c>
      <c r="CP75" s="224" t="s">
        <v>105</v>
      </c>
      <c r="CQ75" s="224" t="s">
        <v>106</v>
      </c>
      <c r="CR75" s="224" t="s">
        <v>17</v>
      </c>
      <c r="CS75" s="224" t="s">
        <v>107</v>
      </c>
      <c r="CT75" s="224" t="s">
        <v>108</v>
      </c>
      <c r="CU75" s="224" t="s">
        <v>109</v>
      </c>
      <c r="CV75" s="224" t="s">
        <v>110</v>
      </c>
      <c r="CW75" s="224" t="s">
        <v>18</v>
      </c>
      <c r="CX75" s="224" t="s">
        <v>111</v>
      </c>
      <c r="CY75" s="224" t="s">
        <v>112</v>
      </c>
      <c r="CZ75" s="224" t="s">
        <v>113</v>
      </c>
      <c r="DA75" s="224" t="s">
        <v>114</v>
      </c>
      <c r="DB75" s="224" t="s">
        <v>19</v>
      </c>
    </row>
    <row r="77" spans="1:106" x14ac:dyDescent="0.35">
      <c r="A77" s="137" t="s">
        <v>538</v>
      </c>
      <c r="B77" s="130" t="s">
        <v>545</v>
      </c>
      <c r="C77" s="33">
        <v>2.8789533034225857E-4</v>
      </c>
      <c r="D77" s="219">
        <v>2.8419695847609088E-4</v>
      </c>
      <c r="E77" s="219">
        <v>2.8081544991308299E-4</v>
      </c>
      <c r="F77" s="219">
        <v>2.7680567853203631E-4</v>
      </c>
      <c r="G77" s="219">
        <v>2.7362229074319032E-4</v>
      </c>
      <c r="H77" s="219">
        <v>2.7061989660263371E-4</v>
      </c>
      <c r="I77" s="219">
        <v>2.6987757796915969E-4</v>
      </c>
      <c r="J77" s="219">
        <v>2.6918045629106921E-4</v>
      </c>
      <c r="K77" s="219">
        <v>2.683058397363134E-4</v>
      </c>
      <c r="L77" s="219">
        <v>2.6763140411195912E-4</v>
      </c>
      <c r="M77" s="219">
        <v>2.67062500046534E-4</v>
      </c>
      <c r="N77" s="219">
        <v>2.6665728122606441E-4</v>
      </c>
      <c r="O77" s="219">
        <v>2.6635403704544338E-4</v>
      </c>
      <c r="P77" s="219">
        <v>2.6599914499793082E-4</v>
      </c>
      <c r="Q77" s="219">
        <v>2.6573890297609018E-4</v>
      </c>
      <c r="R77" s="219">
        <v>2.6548860125719472E-4</v>
      </c>
      <c r="S77" s="219">
        <v>2.650545759671792E-4</v>
      </c>
      <c r="T77" s="219">
        <v>2.6461546986688618E-4</v>
      </c>
      <c r="U77" s="219">
        <v>2.6411207020274352E-4</v>
      </c>
      <c r="V77" s="219">
        <v>2.6367188277768552E-4</v>
      </c>
      <c r="W77" s="219">
        <v>2.6325958415523401E-4</v>
      </c>
      <c r="X77" s="219">
        <v>2.699556478484408E-4</v>
      </c>
      <c r="Y77" s="219">
        <v>2.6992811907386043E-4</v>
      </c>
      <c r="Z77" s="219">
        <v>2.69898394870374E-4</v>
      </c>
      <c r="AA77" s="219">
        <v>2.6986649665380522E-4</v>
      </c>
      <c r="AB77" s="219">
        <v>2.6983247722628048E-4</v>
      </c>
      <c r="AC77" s="33">
        <v>1.370483690070245E-6</v>
      </c>
      <c r="AD77" s="219">
        <v>1.353421830585264E-6</v>
      </c>
      <c r="AE77" s="219">
        <v>1.336413908110324E-6</v>
      </c>
      <c r="AF77" s="219">
        <v>1.3139089775865829E-6</v>
      </c>
      <c r="AG77" s="219">
        <v>1.2956619058378991E-6</v>
      </c>
      <c r="AH77" s="219">
        <v>1.2769158236501449E-6</v>
      </c>
      <c r="AI77" s="219">
        <v>1.279685645091571E-6</v>
      </c>
      <c r="AJ77" s="219">
        <v>1.2823685246579569E-6</v>
      </c>
      <c r="AK77" s="219">
        <v>1.281511735726789E-6</v>
      </c>
      <c r="AL77" s="219">
        <v>1.283941802787186E-6</v>
      </c>
      <c r="AM77" s="219">
        <v>1.2864927246391119E-6</v>
      </c>
      <c r="AN77" s="219">
        <v>1.2881318753759E-6</v>
      </c>
      <c r="AO77" s="219">
        <v>1.2900172196757959E-6</v>
      </c>
      <c r="AP77" s="219">
        <v>1.290555386833333E-6</v>
      </c>
      <c r="AQ77" s="219">
        <v>1.2924101754873041E-6</v>
      </c>
      <c r="AR77" s="219">
        <v>1.2942239068158779E-6</v>
      </c>
      <c r="AS77" s="219">
        <v>1.293774910552382E-6</v>
      </c>
      <c r="AT77" s="219">
        <v>1.2933040728911789E-6</v>
      </c>
      <c r="AU77" s="219">
        <v>1.2913976729644E-6</v>
      </c>
      <c r="AV77" s="219">
        <v>1.290843296684684E-6</v>
      </c>
      <c r="AW77" s="219">
        <v>1.289918041886376E-6</v>
      </c>
      <c r="AX77" s="219">
        <v>1.3034170010591189E-6</v>
      </c>
      <c r="AY77" s="219">
        <v>1.305082198230405E-6</v>
      </c>
      <c r="AZ77" s="219">
        <v>1.306721513030938E-6</v>
      </c>
      <c r="BA77" s="219">
        <v>1.3083349474084279E-6</v>
      </c>
      <c r="BB77" s="219">
        <v>1.309922734576231E-6</v>
      </c>
      <c r="BC77" s="33">
        <v>72.255576601305791</v>
      </c>
      <c r="BD77" s="219">
        <v>71.750839492704429</v>
      </c>
      <c r="BE77" s="219">
        <v>71.259571880858175</v>
      </c>
      <c r="BF77" s="219">
        <v>70.455274433923265</v>
      </c>
      <c r="BG77" s="219">
        <v>69.968437347331204</v>
      </c>
      <c r="BH77" s="219">
        <v>69.486577454734999</v>
      </c>
      <c r="BI77" s="219">
        <v>69.838768517645548</v>
      </c>
      <c r="BJ77" s="219">
        <v>70.184349379752064</v>
      </c>
      <c r="BK77" s="219">
        <v>70.305825377793596</v>
      </c>
      <c r="BL77" s="219">
        <v>70.641387768288354</v>
      </c>
      <c r="BM77" s="219">
        <v>70.975399331179801</v>
      </c>
      <c r="BN77" s="219">
        <v>71.168274531916538</v>
      </c>
      <c r="BO77" s="219">
        <v>71.365443141245649</v>
      </c>
      <c r="BP77" s="219">
        <v>71.497953094441684</v>
      </c>
      <c r="BQ77" s="219">
        <v>71.694901712608797</v>
      </c>
      <c r="BR77" s="219">
        <v>71.89031614156643</v>
      </c>
      <c r="BS77" s="219">
        <v>71.644243684456882</v>
      </c>
      <c r="BT77" s="219">
        <v>71.397233503313672</v>
      </c>
      <c r="BU77" s="219">
        <v>71.088775311927392</v>
      </c>
      <c r="BV77" s="219">
        <v>70.840674450013069</v>
      </c>
      <c r="BW77" s="219">
        <v>70.589672580341301</v>
      </c>
      <c r="BX77" s="219">
        <v>70.555718445768221</v>
      </c>
      <c r="BY77" s="219">
        <v>70.521791265806527</v>
      </c>
      <c r="BZ77" s="219">
        <v>70.487552638014094</v>
      </c>
      <c r="CA77" s="219">
        <v>70.453005278702349</v>
      </c>
      <c r="CB77" s="219">
        <v>70.418159741951797</v>
      </c>
      <c r="CC77" s="33">
        <v>622.04666586627502</v>
      </c>
      <c r="CD77" s="219">
        <v>602.50086945962107</v>
      </c>
      <c r="CE77" s="219">
        <v>583.5375505527436</v>
      </c>
      <c r="CF77" s="219">
        <v>562.04618331532129</v>
      </c>
      <c r="CG77" s="219">
        <v>543.24161555091575</v>
      </c>
      <c r="CH77" s="219">
        <v>524.55543113495924</v>
      </c>
      <c r="CI77" s="219">
        <v>518.40579476658161</v>
      </c>
      <c r="CJ77" s="219">
        <v>512.41645668209912</v>
      </c>
      <c r="CK77" s="219">
        <v>505.06362749266242</v>
      </c>
      <c r="CL77" s="219">
        <v>499.37128891958662</v>
      </c>
      <c r="CM77" s="219">
        <v>493.95502005153588</v>
      </c>
      <c r="CN77" s="219">
        <v>490.85008602594633</v>
      </c>
      <c r="CO77" s="219">
        <v>487.97199505736882</v>
      </c>
      <c r="CP77" s="219">
        <v>484.76254739368022</v>
      </c>
      <c r="CQ77" s="219">
        <v>482.0413954968638</v>
      </c>
      <c r="CR77" s="219">
        <v>479.37072756826228</v>
      </c>
      <c r="CS77" s="219">
        <v>475.89874285238602</v>
      </c>
      <c r="CT77" s="219">
        <v>472.46960586421062</v>
      </c>
      <c r="CU77" s="219">
        <v>468.77512971420339</v>
      </c>
      <c r="CV77" s="219">
        <v>465.44164364551398</v>
      </c>
      <c r="CW77" s="219">
        <v>462.19942061645543</v>
      </c>
      <c r="CX77" s="219">
        <v>461.33693601711639</v>
      </c>
      <c r="CY77" s="219">
        <v>459.68812566568948</v>
      </c>
      <c r="CZ77" s="219">
        <v>458.05813155880497</v>
      </c>
      <c r="DA77" s="219">
        <v>456.44654134561199</v>
      </c>
      <c r="DB77" s="219">
        <v>454.85301713000149</v>
      </c>
    </row>
    <row r="78" spans="1:106" x14ac:dyDescent="0.35">
      <c r="A78" s="137" t="s">
        <v>533</v>
      </c>
      <c r="B78" s="130" t="s">
        <v>545</v>
      </c>
      <c r="C78" s="33">
        <v>4.1040257423438121E-4</v>
      </c>
      <c r="D78" s="219">
        <v>4.0462342864324081E-4</v>
      </c>
      <c r="E78" s="219">
        <v>3.9902328959509522E-4</v>
      </c>
      <c r="F78" s="219">
        <v>3.9260167023940159E-4</v>
      </c>
      <c r="G78" s="219">
        <v>3.8714698415199378E-4</v>
      </c>
      <c r="H78" s="219">
        <v>3.8212318676871042E-4</v>
      </c>
      <c r="I78" s="219">
        <v>3.8097318386484121E-4</v>
      </c>
      <c r="J78" s="219">
        <v>3.7987374094032258E-4</v>
      </c>
      <c r="K78" s="219">
        <v>3.7854664718263127E-4</v>
      </c>
      <c r="L78" s="219">
        <v>3.7747035925233901E-4</v>
      </c>
      <c r="M78" s="219">
        <v>3.764698248267265E-4</v>
      </c>
      <c r="N78" s="219">
        <v>3.7572829437061358E-4</v>
      </c>
      <c r="O78" s="219">
        <v>3.7507281492330571E-4</v>
      </c>
      <c r="P78" s="219">
        <v>3.7435308993543991E-4</v>
      </c>
      <c r="Q78" s="219">
        <v>3.7375755511809668E-4</v>
      </c>
      <c r="R78" s="219">
        <v>3.7317671669901651E-4</v>
      </c>
      <c r="S78" s="219">
        <v>3.7239053721887692E-4</v>
      </c>
      <c r="T78" s="219">
        <v>3.7160501110483E-4</v>
      </c>
      <c r="U78" s="219">
        <v>3.7074709500410972E-4</v>
      </c>
      <c r="V78" s="219">
        <v>3.6997468304725999E-4</v>
      </c>
      <c r="W78" s="219">
        <v>3.6924963126259823E-4</v>
      </c>
      <c r="X78" s="219">
        <v>3.7807944776352263E-4</v>
      </c>
      <c r="Y78" s="219">
        <v>3.7783132198110407E-4</v>
      </c>
      <c r="Z78" s="219">
        <v>3.7758264800487242E-4</v>
      </c>
      <c r="AA78" s="219">
        <v>3.7733336526523233E-4</v>
      </c>
      <c r="AB78" s="219">
        <v>3.7708345633520498E-4</v>
      </c>
      <c r="AC78" s="33">
        <v>3.2166177096034538E-6</v>
      </c>
      <c r="AD78" s="219">
        <v>3.1919020185396369E-6</v>
      </c>
      <c r="AE78" s="219">
        <v>3.166158532758431E-6</v>
      </c>
      <c r="AF78" s="219">
        <v>3.133144803128357E-6</v>
      </c>
      <c r="AG78" s="219">
        <v>3.105034570993065E-6</v>
      </c>
      <c r="AH78" s="219">
        <v>3.0765882877511491E-6</v>
      </c>
      <c r="AI78" s="219">
        <v>3.080259640924545E-6</v>
      </c>
      <c r="AJ78" s="219">
        <v>3.0837776142997251E-6</v>
      </c>
      <c r="AK78" s="219">
        <v>3.0827996105360402E-6</v>
      </c>
      <c r="AL78" s="219">
        <v>3.0859211198244481E-6</v>
      </c>
      <c r="AM78" s="219">
        <v>3.089017195272367E-6</v>
      </c>
      <c r="AN78" s="219">
        <v>3.0914289085141498E-6</v>
      </c>
      <c r="AO78" s="219">
        <v>3.094019052952436E-6</v>
      </c>
      <c r="AP78" s="219">
        <v>3.0949119358015532E-6</v>
      </c>
      <c r="AQ78" s="219">
        <v>3.0974667423592371E-6</v>
      </c>
      <c r="AR78" s="219">
        <v>3.0999785346481232E-6</v>
      </c>
      <c r="AS78" s="219">
        <v>3.099223898919126E-6</v>
      </c>
      <c r="AT78" s="219">
        <v>3.0984515199696E-6</v>
      </c>
      <c r="AU78" s="219">
        <v>3.0959016379284478E-6</v>
      </c>
      <c r="AV78" s="219">
        <v>3.095055385541515E-6</v>
      </c>
      <c r="AW78" s="219">
        <v>3.0936934099181031E-6</v>
      </c>
      <c r="AX78" s="219">
        <v>3.1163838691674421E-6</v>
      </c>
      <c r="AY78" s="219">
        <v>3.1183457515068581E-6</v>
      </c>
      <c r="AZ78" s="219">
        <v>3.1202733874225429E-6</v>
      </c>
      <c r="BA78" s="219">
        <v>3.1221666136921359E-6</v>
      </c>
      <c r="BB78" s="219">
        <v>3.124025571604575E-6</v>
      </c>
      <c r="BC78" s="33">
        <v>332.07989198207088</v>
      </c>
      <c r="BD78" s="219">
        <v>331.23348852545649</v>
      </c>
      <c r="BE78" s="219">
        <v>330.39396412207259</v>
      </c>
      <c r="BF78" s="219">
        <v>329.15950314917501</v>
      </c>
      <c r="BG78" s="219">
        <v>328.32152444057601</v>
      </c>
      <c r="BH78" s="219">
        <v>327.50359051333862</v>
      </c>
      <c r="BI78" s="219">
        <v>327.90384210954659</v>
      </c>
      <c r="BJ78" s="219">
        <v>328.2968475106253</v>
      </c>
      <c r="BK78" s="219">
        <v>328.40896106988271</v>
      </c>
      <c r="BL78" s="219">
        <v>328.79116687733119</v>
      </c>
      <c r="BM78" s="219">
        <v>329.16932632586872</v>
      </c>
      <c r="BN78" s="219">
        <v>329.33254982784808</v>
      </c>
      <c r="BO78" s="219">
        <v>329.49899998805728</v>
      </c>
      <c r="BP78" s="219">
        <v>329.58498657640189</v>
      </c>
      <c r="BQ78" s="219">
        <v>329.7529510949322</v>
      </c>
      <c r="BR78" s="219">
        <v>329.92006090435422</v>
      </c>
      <c r="BS78" s="219">
        <v>329.52218646135782</v>
      </c>
      <c r="BT78" s="219">
        <v>329.12581974454389</v>
      </c>
      <c r="BU78" s="219">
        <v>328.65486463933121</v>
      </c>
      <c r="BV78" s="219">
        <v>328.26223516867873</v>
      </c>
      <c r="BW78" s="219">
        <v>327.86802871301381</v>
      </c>
      <c r="BX78" s="219">
        <v>327.77787594336672</v>
      </c>
      <c r="BY78" s="219">
        <v>327.68848289931412</v>
      </c>
      <c r="BZ78" s="219">
        <v>327.59939450087921</v>
      </c>
      <c r="CA78" s="219">
        <v>327.51059037824712</v>
      </c>
      <c r="CB78" s="219">
        <v>327.42206102416429</v>
      </c>
      <c r="CC78" s="33">
        <v>809.09786536614229</v>
      </c>
      <c r="CD78" s="219">
        <v>781.69042199426508</v>
      </c>
      <c r="CE78" s="219">
        <v>754.49867817228642</v>
      </c>
      <c r="CF78" s="219">
        <v>724.00571925823988</v>
      </c>
      <c r="CG78" s="219">
        <v>696.65885887907768</v>
      </c>
      <c r="CH78" s="219">
        <v>669.74458159183052</v>
      </c>
      <c r="CI78" s="219">
        <v>661.71271173687762</v>
      </c>
      <c r="CJ78" s="219">
        <v>653.80848446123844</v>
      </c>
      <c r="CK78" s="219">
        <v>644.12840515335915</v>
      </c>
      <c r="CL78" s="219">
        <v>636.47817183211237</v>
      </c>
      <c r="CM78" s="219">
        <v>629.01928175925821</v>
      </c>
      <c r="CN78" s="219">
        <v>624.9768089309714</v>
      </c>
      <c r="CO78" s="219">
        <v>621.10050655018551</v>
      </c>
      <c r="CP78" s="219">
        <v>616.77740900983702</v>
      </c>
      <c r="CQ78" s="219">
        <v>613.04779516918904</v>
      </c>
      <c r="CR78" s="219">
        <v>609.36725564861524</v>
      </c>
      <c r="CS78" s="219">
        <v>605.1298277977088</v>
      </c>
      <c r="CT78" s="219">
        <v>600.94914116305733</v>
      </c>
      <c r="CU78" s="219">
        <v>596.44185296174726</v>
      </c>
      <c r="CV78" s="219">
        <v>592.38831930490517</v>
      </c>
      <c r="CW78" s="219">
        <v>588.46336190563829</v>
      </c>
      <c r="CX78" s="219">
        <v>588.14276207941077</v>
      </c>
      <c r="CY78" s="219">
        <v>585.76307345211205</v>
      </c>
      <c r="CZ78" s="219">
        <v>583.40304766456165</v>
      </c>
      <c r="DA78" s="219">
        <v>581.06231412232739</v>
      </c>
      <c r="DB78" s="219">
        <v>578.74058874028003</v>
      </c>
    </row>
    <row r="79" spans="1:106" x14ac:dyDescent="0.35">
      <c r="A79" s="137" t="s">
        <v>534</v>
      </c>
      <c r="B79" s="130" t="s">
        <v>545</v>
      </c>
      <c r="C79" s="33">
        <v>1.3588660378812489E-3</v>
      </c>
      <c r="D79" s="219">
        <v>1.3466011477033201E-3</v>
      </c>
      <c r="E79" s="219">
        <v>1.335946522313746E-3</v>
      </c>
      <c r="F79" s="219">
        <v>1.3223916354538931E-3</v>
      </c>
      <c r="G79" s="219">
        <v>1.312892639602383E-3</v>
      </c>
      <c r="H79" s="219">
        <v>1.3043616399675711E-3</v>
      </c>
      <c r="I79" s="219">
        <v>1.301252726622204E-3</v>
      </c>
      <c r="J79" s="219">
        <v>1.2983952185151341E-3</v>
      </c>
      <c r="K79" s="219">
        <v>1.2947400130543609E-3</v>
      </c>
      <c r="L79" s="219">
        <v>1.2922401159786629E-3</v>
      </c>
      <c r="M79" s="219">
        <v>1.2902841383572331E-3</v>
      </c>
      <c r="N79" s="219">
        <v>1.2889341617893231E-3</v>
      </c>
      <c r="O79" s="219">
        <v>1.288079651144054E-3</v>
      </c>
      <c r="P79" s="219">
        <v>1.286980316693569E-3</v>
      </c>
      <c r="Q79" s="219">
        <v>1.2863376782051971E-3</v>
      </c>
      <c r="R79" s="219">
        <v>1.285744953881021E-3</v>
      </c>
      <c r="S79" s="219">
        <v>1.2843598773071281E-3</v>
      </c>
      <c r="T79" s="219">
        <v>1.2829451084015581E-3</v>
      </c>
      <c r="U79" s="219">
        <v>1.281213588928199E-3</v>
      </c>
      <c r="V79" s="219">
        <v>1.279776502415581E-3</v>
      </c>
      <c r="W79" s="219">
        <v>1.278452470034438E-3</v>
      </c>
      <c r="X79" s="219">
        <v>1.3126839825540551E-3</v>
      </c>
      <c r="Y79" s="219">
        <v>1.3126709862501819E-3</v>
      </c>
      <c r="Z79" s="219">
        <v>1.312646844155559E-3</v>
      </c>
      <c r="AA79" s="219">
        <v>1.3126116876045169E-3</v>
      </c>
      <c r="AB79" s="219">
        <v>1.312565758256428E-3</v>
      </c>
      <c r="AC79" s="33">
        <v>7.0314616005575162E-6</v>
      </c>
      <c r="AD79" s="219">
        <v>6.9844852351322088E-6</v>
      </c>
      <c r="AE79" s="219">
        <v>6.9402469302491478E-6</v>
      </c>
      <c r="AF79" s="219">
        <v>6.872282261654306E-6</v>
      </c>
      <c r="AG79" s="219">
        <v>6.8272799652983308E-6</v>
      </c>
      <c r="AH79" s="219">
        <v>6.7829496363243687E-6</v>
      </c>
      <c r="AI79" s="219">
        <v>6.7933597181809794E-6</v>
      </c>
      <c r="AJ79" s="219">
        <v>6.8038737164065556E-6</v>
      </c>
      <c r="AK79" s="219">
        <v>6.7980879447893276E-6</v>
      </c>
      <c r="AL79" s="219">
        <v>6.8082497826980651E-6</v>
      </c>
      <c r="AM79" s="219">
        <v>6.8195120992928816E-6</v>
      </c>
      <c r="AN79" s="219">
        <v>6.8282554705562456E-6</v>
      </c>
      <c r="AO79" s="219">
        <v>6.8381887140243051E-6</v>
      </c>
      <c r="AP79" s="219">
        <v>6.8417154169660844E-6</v>
      </c>
      <c r="AQ79" s="219">
        <v>6.8515045494530676E-6</v>
      </c>
      <c r="AR79" s="219">
        <v>6.8611078255503666E-6</v>
      </c>
      <c r="AS79" s="219">
        <v>6.861634811169481E-6</v>
      </c>
      <c r="AT79" s="219">
        <v>6.8620301482353246E-6</v>
      </c>
      <c r="AU79" s="219">
        <v>6.8555725475376953E-6</v>
      </c>
      <c r="AV79" s="219">
        <v>6.8555257018972042E-6</v>
      </c>
      <c r="AW79" s="219">
        <v>6.8538260375266544E-6</v>
      </c>
      <c r="AX79" s="219">
        <v>6.9341101011468344E-6</v>
      </c>
      <c r="AY79" s="219">
        <v>6.9408781947546354E-6</v>
      </c>
      <c r="AZ79" s="219">
        <v>6.9475592518889237E-6</v>
      </c>
      <c r="BA79" s="219">
        <v>6.9541529119161333E-6</v>
      </c>
      <c r="BB79" s="219">
        <v>6.9606596901861882E-6</v>
      </c>
      <c r="BC79" s="33">
        <v>307.66955330145822</v>
      </c>
      <c r="BD79" s="219">
        <v>305.78994234546371</v>
      </c>
      <c r="BE79" s="219">
        <v>303.99392056120979</v>
      </c>
      <c r="BF79" s="219">
        <v>300.73117596055272</v>
      </c>
      <c r="BG79" s="219">
        <v>298.99911222959008</v>
      </c>
      <c r="BH79" s="219">
        <v>297.31566868621269</v>
      </c>
      <c r="BI79" s="219">
        <v>298.42540986761998</v>
      </c>
      <c r="BJ79" s="219">
        <v>299.51987454060259</v>
      </c>
      <c r="BK79" s="219">
        <v>299.56948621780242</v>
      </c>
      <c r="BL79" s="219">
        <v>300.64780887052609</v>
      </c>
      <c r="BM79" s="219">
        <v>301.73434984075709</v>
      </c>
      <c r="BN79" s="219">
        <v>302.62537917670522</v>
      </c>
      <c r="BO79" s="219">
        <v>303.53812024199271</v>
      </c>
      <c r="BP79" s="219">
        <v>304.14444672114593</v>
      </c>
      <c r="BQ79" s="219">
        <v>305.05793877487679</v>
      </c>
      <c r="BR79" s="219">
        <v>305.96504909746528</v>
      </c>
      <c r="BS79" s="219">
        <v>305.16409359408289</v>
      </c>
      <c r="BT79" s="219">
        <v>304.3545712666305</v>
      </c>
      <c r="BU79" s="219">
        <v>303.24897476338901</v>
      </c>
      <c r="BV79" s="219">
        <v>302.42629426265472</v>
      </c>
      <c r="BW79" s="219">
        <v>301.58662454682019</v>
      </c>
      <c r="BX79" s="219">
        <v>301.45509905033219</v>
      </c>
      <c r="BY79" s="219">
        <v>301.3231586875404</v>
      </c>
      <c r="BZ79" s="219">
        <v>301.18961672094622</v>
      </c>
      <c r="CA79" s="219">
        <v>301.05449823943258</v>
      </c>
      <c r="CB79" s="219">
        <v>300.91785582857841</v>
      </c>
      <c r="CC79" s="33">
        <v>2739.0245613341399</v>
      </c>
      <c r="CD79" s="219">
        <v>2675.2601939128358</v>
      </c>
      <c r="CE79" s="219">
        <v>2614.892426743625</v>
      </c>
      <c r="CF79" s="219">
        <v>2543.2586272935841</v>
      </c>
      <c r="CG79" s="219">
        <v>2485.2612613427309</v>
      </c>
      <c r="CH79" s="219">
        <v>2428.796336467401</v>
      </c>
      <c r="CI79" s="219">
        <v>2405.4333041633831</v>
      </c>
      <c r="CJ79" s="219">
        <v>2382.7915595214431</v>
      </c>
      <c r="CK79" s="219">
        <v>2353.663299735791</v>
      </c>
      <c r="CL79" s="219">
        <v>2332.3628564646879</v>
      </c>
      <c r="CM79" s="219">
        <v>2312.3629371413081</v>
      </c>
      <c r="CN79" s="219">
        <v>2299.4221929416699</v>
      </c>
      <c r="CO79" s="219">
        <v>2287.5699261832292</v>
      </c>
      <c r="CP79" s="219">
        <v>2274.1379522088869</v>
      </c>
      <c r="CQ79" s="219">
        <v>2263.0251959439311</v>
      </c>
      <c r="CR79" s="219">
        <v>2252.1468429759111</v>
      </c>
      <c r="CS79" s="219">
        <v>2237.6187854235441</v>
      </c>
      <c r="CT79" s="219">
        <v>2223.255360776107</v>
      </c>
      <c r="CU79" s="219">
        <v>2207.590366081994</v>
      </c>
      <c r="CV79" s="219">
        <v>2193.6046736683052</v>
      </c>
      <c r="CW79" s="219">
        <v>2179.9953910796721</v>
      </c>
      <c r="CX79" s="219">
        <v>2176.9518273756112</v>
      </c>
      <c r="CY79" s="219">
        <v>2170.2489556956698</v>
      </c>
      <c r="CZ79" s="219">
        <v>2163.6152812766031</v>
      </c>
      <c r="DA79" s="219">
        <v>2157.0489786235462</v>
      </c>
      <c r="DB79" s="219">
        <v>2150.548501346459</v>
      </c>
    </row>
    <row r="80" spans="1:106" x14ac:dyDescent="0.35">
      <c r="A80" s="137" t="s">
        <v>535</v>
      </c>
      <c r="B80" s="130" t="s">
        <v>545</v>
      </c>
      <c r="C80" s="33">
        <v>2.4450655784905438E-3</v>
      </c>
      <c r="D80" s="219">
        <v>2.430264959339316E-3</v>
      </c>
      <c r="E80" s="219">
        <v>2.4160917668442279E-3</v>
      </c>
      <c r="F80" s="219">
        <v>2.39950871793909E-3</v>
      </c>
      <c r="G80" s="219">
        <v>2.3855956944549869E-3</v>
      </c>
      <c r="H80" s="219">
        <v>2.3720128381002669E-3</v>
      </c>
      <c r="I80" s="219">
        <v>2.3684869497463141E-3</v>
      </c>
      <c r="J80" s="219">
        <v>2.365038528183489E-3</v>
      </c>
      <c r="K80" s="219">
        <v>2.3609106335242581E-3</v>
      </c>
      <c r="L80" s="219">
        <v>2.3575421507478289E-3</v>
      </c>
      <c r="M80" s="219">
        <v>2.3543835394319789E-3</v>
      </c>
      <c r="N80" s="219">
        <v>2.352818199817711E-3</v>
      </c>
      <c r="O80" s="219">
        <v>2.351473579757912E-3</v>
      </c>
      <c r="P80" s="219">
        <v>2.349908210520067E-3</v>
      </c>
      <c r="Q80" s="219">
        <v>2.3486596476472478E-3</v>
      </c>
      <c r="R80" s="219">
        <v>2.347434391161818E-3</v>
      </c>
      <c r="S80" s="219">
        <v>2.3457437801343889E-3</v>
      </c>
      <c r="T80" s="219">
        <v>2.34404237867037E-3</v>
      </c>
      <c r="U80" s="219">
        <v>2.342120396567701E-3</v>
      </c>
      <c r="V80" s="219">
        <v>2.3404300065758472E-3</v>
      </c>
      <c r="W80" s="219">
        <v>2.3388531568376779E-3</v>
      </c>
      <c r="X80" s="219">
        <v>2.3628023435093202E-3</v>
      </c>
      <c r="Y80" s="219">
        <v>2.3625347406713861E-3</v>
      </c>
      <c r="Z80" s="219">
        <v>2.3622631597053712E-3</v>
      </c>
      <c r="AA80" s="219">
        <v>2.3619875842068039E-3</v>
      </c>
      <c r="AB80" s="219">
        <v>2.3617081165989138E-3</v>
      </c>
      <c r="AC80" s="33">
        <v>4.7107821153398706E-6</v>
      </c>
      <c r="AD80" s="219">
        <v>4.6462565122772031E-6</v>
      </c>
      <c r="AE80" s="219">
        <v>4.580490898334469E-6</v>
      </c>
      <c r="AF80" s="219">
        <v>4.4946794149202094E-6</v>
      </c>
      <c r="AG80" s="219">
        <v>4.4229433672862166E-6</v>
      </c>
      <c r="AH80" s="219">
        <v>4.3482066350578953E-6</v>
      </c>
      <c r="AI80" s="219">
        <v>4.3547424546650776E-6</v>
      </c>
      <c r="AJ80" s="219">
        <v>4.3610168636598786E-6</v>
      </c>
      <c r="AK80" s="219">
        <v>4.3549823466921817E-6</v>
      </c>
      <c r="AL80" s="219">
        <v>4.3604505023414638E-6</v>
      </c>
      <c r="AM80" s="219">
        <v>4.3661577482714421E-6</v>
      </c>
      <c r="AN80" s="219">
        <v>4.3703116016274976E-6</v>
      </c>
      <c r="AO80" s="219">
        <v>4.3750042786161098E-6</v>
      </c>
      <c r="AP80" s="219">
        <v>4.3749415861059013E-6</v>
      </c>
      <c r="AQ80" s="219">
        <v>4.3794989848733654E-6</v>
      </c>
      <c r="AR80" s="219">
        <v>4.3839277280869812E-6</v>
      </c>
      <c r="AS80" s="219">
        <v>4.3808838970371587E-6</v>
      </c>
      <c r="AT80" s="219">
        <v>4.3778127478870667E-6</v>
      </c>
      <c r="AU80" s="219">
        <v>4.3697443195886263E-6</v>
      </c>
      <c r="AV80" s="219">
        <v>4.3664662772294722E-6</v>
      </c>
      <c r="AW80" s="219">
        <v>4.3618256000604646E-6</v>
      </c>
      <c r="AX80" s="219">
        <v>4.4052319284268864E-6</v>
      </c>
      <c r="AY80" s="219">
        <v>4.4110843208237428E-6</v>
      </c>
      <c r="AZ80" s="219">
        <v>4.4168190736518129E-6</v>
      </c>
      <c r="BA80" s="219">
        <v>4.4224372222412942E-6</v>
      </c>
      <c r="BB80" s="219">
        <v>4.427940663775541E-6</v>
      </c>
      <c r="BC80" s="33">
        <v>217.9178527036477</v>
      </c>
      <c r="BD80" s="219">
        <v>216.2594987761766</v>
      </c>
      <c r="BE80" s="219">
        <v>214.61985347861909</v>
      </c>
      <c r="BF80" s="219">
        <v>211.86461907307179</v>
      </c>
      <c r="BG80" s="219">
        <v>210.21209385717751</v>
      </c>
      <c r="BH80" s="219">
        <v>208.55528366542899</v>
      </c>
      <c r="BI80" s="219">
        <v>210.0390509161802</v>
      </c>
      <c r="BJ80" s="219">
        <v>211.4940419404293</v>
      </c>
      <c r="BK80" s="219">
        <v>212.16004419754361</v>
      </c>
      <c r="BL80" s="219">
        <v>213.5694248179895</v>
      </c>
      <c r="BM80" s="219">
        <v>214.96198763179859</v>
      </c>
      <c r="BN80" s="219">
        <v>215.76865212324611</v>
      </c>
      <c r="BO80" s="219">
        <v>216.58226036066961</v>
      </c>
      <c r="BP80" s="219">
        <v>217.16745823999551</v>
      </c>
      <c r="BQ80" s="219">
        <v>217.97815774174759</v>
      </c>
      <c r="BR80" s="219">
        <v>218.78313729856731</v>
      </c>
      <c r="BS80" s="219">
        <v>217.80368230962421</v>
      </c>
      <c r="BT80" s="219">
        <v>216.825076136608</v>
      </c>
      <c r="BU80" s="219">
        <v>215.63472273885091</v>
      </c>
      <c r="BV80" s="219">
        <v>214.66008951945869</v>
      </c>
      <c r="BW80" s="219">
        <v>213.67833420333491</v>
      </c>
      <c r="BX80" s="219">
        <v>213.57755126836921</v>
      </c>
      <c r="BY80" s="219">
        <v>213.47750085221759</v>
      </c>
      <c r="BZ80" s="219">
        <v>213.37691898379981</v>
      </c>
      <c r="CA80" s="219">
        <v>213.2757995888137</v>
      </c>
      <c r="CB80" s="219">
        <v>213.17416622849251</v>
      </c>
      <c r="CC80" s="33">
        <v>2408.0928807750579</v>
      </c>
      <c r="CD80" s="219">
        <v>2341.4206667232611</v>
      </c>
      <c r="CE80" s="219">
        <v>2275.710636460848</v>
      </c>
      <c r="CF80" s="219">
        <v>2200.7600159622971</v>
      </c>
      <c r="CG80" s="219">
        <v>2134.6674833119469</v>
      </c>
      <c r="CH80" s="219">
        <v>2068.32817732371</v>
      </c>
      <c r="CI80" s="219">
        <v>2048.5392233109019</v>
      </c>
      <c r="CJ80" s="219">
        <v>2029.1193070092361</v>
      </c>
      <c r="CK80" s="219">
        <v>2004.7837962468409</v>
      </c>
      <c r="CL80" s="219">
        <v>1986.091579933295</v>
      </c>
      <c r="CM80" s="219">
        <v>1968.0098576962621</v>
      </c>
      <c r="CN80" s="219">
        <v>1959.001684955022</v>
      </c>
      <c r="CO80" s="219">
        <v>1950.494832685986</v>
      </c>
      <c r="CP80" s="219">
        <v>1940.7232933759319</v>
      </c>
      <c r="CQ80" s="219">
        <v>1932.600015870456</v>
      </c>
      <c r="CR80" s="219">
        <v>1924.600532357947</v>
      </c>
      <c r="CS80" s="219">
        <v>1913.385434238905</v>
      </c>
      <c r="CT80" s="219">
        <v>1902.306984901898</v>
      </c>
      <c r="CU80" s="219">
        <v>1890.2828598347239</v>
      </c>
      <c r="CV80" s="219">
        <v>1879.516021142058</v>
      </c>
      <c r="CW80" s="219">
        <v>1869.0743762076941</v>
      </c>
      <c r="CX80" s="219">
        <v>1865.794567621688</v>
      </c>
      <c r="CY80" s="219">
        <v>1860.1782083308019</v>
      </c>
      <c r="CZ80" s="219">
        <v>1854.6231269373909</v>
      </c>
      <c r="DA80" s="219">
        <v>1849.1280237756389</v>
      </c>
      <c r="DB80" s="219">
        <v>1843.691855507499</v>
      </c>
    </row>
    <row r="81" spans="1:106" x14ac:dyDescent="0.35">
      <c r="A81" s="137" t="s">
        <v>536</v>
      </c>
      <c r="B81" s="130" t="s">
        <v>545</v>
      </c>
      <c r="C81" s="33">
        <v>1.5793812391416901E-3</v>
      </c>
      <c r="D81" s="219">
        <v>1.568347411685888E-3</v>
      </c>
      <c r="E81" s="219">
        <v>1.557230779232345E-3</v>
      </c>
      <c r="F81" s="219">
        <v>1.5448796509222979E-3</v>
      </c>
      <c r="G81" s="219">
        <v>1.53348377888819E-3</v>
      </c>
      <c r="H81" s="219">
        <v>1.5219952286679771E-3</v>
      </c>
      <c r="I81" s="219">
        <v>1.519786327382426E-3</v>
      </c>
      <c r="J81" s="219">
        <v>1.5175407606713141E-3</v>
      </c>
      <c r="K81" s="219">
        <v>1.514933286833442E-3</v>
      </c>
      <c r="L81" s="219">
        <v>1.512517196818925E-3</v>
      </c>
      <c r="M81" s="219">
        <v>1.510071455002769E-3</v>
      </c>
      <c r="N81" s="219">
        <v>1.5088446682267409E-3</v>
      </c>
      <c r="O81" s="219">
        <v>1.5076282472749429E-3</v>
      </c>
      <c r="P81" s="219">
        <v>1.5062948016632161E-3</v>
      </c>
      <c r="Q81" s="219">
        <v>1.5050841272974699E-3</v>
      </c>
      <c r="R81" s="219">
        <v>1.5038743351746919E-3</v>
      </c>
      <c r="S81" s="219">
        <v>1.5026088133295061E-3</v>
      </c>
      <c r="T81" s="219">
        <v>1.5013496829705769E-3</v>
      </c>
      <c r="U81" s="219">
        <v>1.500005977577327E-3</v>
      </c>
      <c r="V81" s="219">
        <v>1.4987718392154769E-3</v>
      </c>
      <c r="W81" s="219">
        <v>1.497601956635327E-3</v>
      </c>
      <c r="X81" s="219">
        <v>1.510874010768014E-3</v>
      </c>
      <c r="Y81" s="219">
        <v>1.5105814014372799E-3</v>
      </c>
      <c r="Z81" s="219">
        <v>1.510289818733289E-3</v>
      </c>
      <c r="AA81" s="219">
        <v>1.5099991918907821E-3</v>
      </c>
      <c r="AB81" s="219">
        <v>1.5097095273668159E-3</v>
      </c>
      <c r="AC81" s="33">
        <v>4.5883653217629572E-6</v>
      </c>
      <c r="AD81" s="219">
        <v>4.5332678090548359E-6</v>
      </c>
      <c r="AE81" s="219">
        <v>4.4747500195778552E-6</v>
      </c>
      <c r="AF81" s="219">
        <v>4.4051521623741604E-6</v>
      </c>
      <c r="AG81" s="219">
        <v>4.3392510775815682E-6</v>
      </c>
      <c r="AH81" s="219">
        <v>4.269139092059141E-6</v>
      </c>
      <c r="AI81" s="219">
        <v>4.2723414883581623E-6</v>
      </c>
      <c r="AJ81" s="219">
        <v>4.2749723241339393E-6</v>
      </c>
      <c r="AK81" s="219">
        <v>4.2718352480363804E-6</v>
      </c>
      <c r="AL81" s="219">
        <v>4.2733704515712772E-6</v>
      </c>
      <c r="AM81" s="219">
        <v>4.274429057322545E-6</v>
      </c>
      <c r="AN81" s="219">
        <v>4.2750036426424754E-6</v>
      </c>
      <c r="AO81" s="219">
        <v>4.2756059358270932E-6</v>
      </c>
      <c r="AP81" s="219">
        <v>4.2741423435749239E-6</v>
      </c>
      <c r="AQ81" s="219">
        <v>4.2746691698434324E-6</v>
      </c>
      <c r="AR81" s="219">
        <v>4.2751450297760216E-6</v>
      </c>
      <c r="AS81" s="219">
        <v>4.2715240074670854E-6</v>
      </c>
      <c r="AT81" s="219">
        <v>4.2679245062976609E-6</v>
      </c>
      <c r="AU81" s="219">
        <v>4.2621919965274692E-6</v>
      </c>
      <c r="AV81" s="219">
        <v>4.2585649178820136E-6</v>
      </c>
      <c r="AW81" s="219">
        <v>4.2543154858332884E-6</v>
      </c>
      <c r="AX81" s="219">
        <v>4.2889357456303586E-6</v>
      </c>
      <c r="AY81" s="219">
        <v>4.2923126481600381E-6</v>
      </c>
      <c r="AZ81" s="219">
        <v>4.2956013030332801E-6</v>
      </c>
      <c r="BA81" s="219">
        <v>4.2988028578503956E-6</v>
      </c>
      <c r="BB81" s="219">
        <v>4.3019189609601241E-6</v>
      </c>
      <c r="BC81" s="33">
        <v>98.859617046014776</v>
      </c>
      <c r="BD81" s="219">
        <v>97.862905653428669</v>
      </c>
      <c r="BE81" s="219">
        <v>96.843272662747438</v>
      </c>
      <c r="BF81" s="219">
        <v>95.308254478995991</v>
      </c>
      <c r="BG81" s="219">
        <v>94.235592786771733</v>
      </c>
      <c r="BH81" s="219">
        <v>93.131114585557555</v>
      </c>
      <c r="BI81" s="219">
        <v>94.180198563638498</v>
      </c>
      <c r="BJ81" s="219">
        <v>95.202802394652423</v>
      </c>
      <c r="BK81" s="219">
        <v>95.866265703421092</v>
      </c>
      <c r="BL81" s="219">
        <v>96.842063522848989</v>
      </c>
      <c r="BM81" s="219">
        <v>97.793501243823158</v>
      </c>
      <c r="BN81" s="219">
        <v>98.050238535668967</v>
      </c>
      <c r="BO81" s="219">
        <v>98.305100282851257</v>
      </c>
      <c r="BP81" s="219">
        <v>98.460208469949222</v>
      </c>
      <c r="BQ81" s="219">
        <v>98.71263544034916</v>
      </c>
      <c r="BR81" s="219">
        <v>98.962399409092995</v>
      </c>
      <c r="BS81" s="219">
        <v>98.247793186892565</v>
      </c>
      <c r="BT81" s="219">
        <v>97.538723175372155</v>
      </c>
      <c r="BU81" s="219">
        <v>96.742872827981245</v>
      </c>
      <c r="BV81" s="219">
        <v>96.045507292989214</v>
      </c>
      <c r="BW81" s="219">
        <v>95.349557832948506</v>
      </c>
      <c r="BX81" s="219">
        <v>95.282209329202288</v>
      </c>
      <c r="BY81" s="219">
        <v>95.215957690168125</v>
      </c>
      <c r="BZ81" s="219">
        <v>95.149982761961084</v>
      </c>
      <c r="CA81" s="219">
        <v>95.084264943372659</v>
      </c>
      <c r="CB81" s="219">
        <v>95.01880392629667</v>
      </c>
      <c r="CC81" s="33">
        <v>1310.346894422896</v>
      </c>
      <c r="CD81" s="219">
        <v>1260.953326255227</v>
      </c>
      <c r="CE81" s="219">
        <v>1210.8724831808579</v>
      </c>
      <c r="CF81" s="219">
        <v>1155.9306858086959</v>
      </c>
      <c r="CG81" s="219">
        <v>1103.888157225919</v>
      </c>
      <c r="CH81" s="219">
        <v>1050.637651827388</v>
      </c>
      <c r="CI81" s="219">
        <v>1038.202757319161</v>
      </c>
      <c r="CJ81" s="219">
        <v>1025.859572642182</v>
      </c>
      <c r="CK81" s="219">
        <v>1011.318290899877</v>
      </c>
      <c r="CL81" s="219">
        <v>999.18689675682811</v>
      </c>
      <c r="CM81" s="219">
        <v>987.13424594686035</v>
      </c>
      <c r="CN81" s="219">
        <v>982.61701760095605</v>
      </c>
      <c r="CO81" s="219">
        <v>978.13972632281434</v>
      </c>
      <c r="CP81" s="219">
        <v>973.06029058725676</v>
      </c>
      <c r="CQ81" s="219">
        <v>968.65459938310414</v>
      </c>
      <c r="CR81" s="219">
        <v>964.27328361689865</v>
      </c>
      <c r="CS81" s="219">
        <v>958.85121936606276</v>
      </c>
      <c r="CT81" s="219">
        <v>953.50549918970819</v>
      </c>
      <c r="CU81" s="219">
        <v>947.76768020741656</v>
      </c>
      <c r="CV81" s="219">
        <v>942.59236727661278</v>
      </c>
      <c r="CW81" s="219">
        <v>937.58512344767269</v>
      </c>
      <c r="CX81" s="219">
        <v>935.37207473665183</v>
      </c>
      <c r="CY81" s="219">
        <v>932.39567707394474</v>
      </c>
      <c r="CZ81" s="219">
        <v>929.45757052482134</v>
      </c>
      <c r="DA81" s="219">
        <v>926.55726298937793</v>
      </c>
      <c r="DB81" s="219">
        <v>923.69441112628101</v>
      </c>
    </row>
    <row r="82" spans="1:106" x14ac:dyDescent="0.35">
      <c r="A82" s="137" t="s">
        <v>537</v>
      </c>
      <c r="B82" s="130" t="s">
        <v>545</v>
      </c>
      <c r="C82" s="33">
        <v>8.5997189882642557E-4</v>
      </c>
      <c r="D82" s="219">
        <v>8.5449341760544285E-4</v>
      </c>
      <c r="E82" s="219">
        <v>8.4905398250607824E-4</v>
      </c>
      <c r="F82" s="219">
        <v>8.426696706750861E-4</v>
      </c>
      <c r="G82" s="219">
        <v>8.3712631217948592E-4</v>
      </c>
      <c r="H82" s="219">
        <v>8.316608933177735E-4</v>
      </c>
      <c r="I82" s="219">
        <v>8.3035509417992586E-4</v>
      </c>
      <c r="J82" s="219">
        <v>8.2904729050446604E-4</v>
      </c>
      <c r="K82" s="219">
        <v>8.2746816849803371E-4</v>
      </c>
      <c r="L82" s="219">
        <v>8.2613213920830844E-4</v>
      </c>
      <c r="M82" s="219">
        <v>8.2480899181702912E-4</v>
      </c>
      <c r="N82" s="219">
        <v>8.2416689779051477E-4</v>
      </c>
      <c r="O82" s="219">
        <v>8.2355040223860054E-4</v>
      </c>
      <c r="P82" s="219">
        <v>8.2284104398975329E-4</v>
      </c>
      <c r="Q82" s="219">
        <v>8.2223825425826709E-4</v>
      </c>
      <c r="R82" s="219">
        <v>8.2163818904211472E-4</v>
      </c>
      <c r="S82" s="219">
        <v>8.2096470687738462E-4</v>
      </c>
      <c r="T82" s="219">
        <v>8.2029195139319351E-4</v>
      </c>
      <c r="U82" s="219">
        <v>8.1954320929605927E-4</v>
      </c>
      <c r="V82" s="219">
        <v>8.1888071801709871E-4</v>
      </c>
      <c r="W82" s="219">
        <v>8.1825545016540055E-4</v>
      </c>
      <c r="X82" s="219">
        <v>8.3559028233043202E-4</v>
      </c>
      <c r="Y82" s="219">
        <v>8.3538910461139287E-4</v>
      </c>
      <c r="Z82" s="219">
        <v>8.3518782737757426E-4</v>
      </c>
      <c r="AA82" s="219">
        <v>8.3498642248342532E-4</v>
      </c>
      <c r="AB82" s="219">
        <v>8.347848986554171E-4</v>
      </c>
      <c r="AC82" s="33">
        <v>4.076625226621739E-6</v>
      </c>
      <c r="AD82" s="219">
        <v>4.0532981973346203E-6</v>
      </c>
      <c r="AE82" s="219">
        <v>4.0288729273964693E-6</v>
      </c>
      <c r="AF82" s="219">
        <v>3.9968988815506479E-6</v>
      </c>
      <c r="AG82" s="219">
        <v>3.9698764172979152E-6</v>
      </c>
      <c r="AH82" s="219">
        <v>3.9418228369526337E-6</v>
      </c>
      <c r="AI82" s="219">
        <v>3.9455830441959101E-6</v>
      </c>
      <c r="AJ82" s="219">
        <v>3.9491232826896978E-6</v>
      </c>
      <c r="AK82" s="219">
        <v>3.9480969504798464E-6</v>
      </c>
      <c r="AL82" s="219">
        <v>3.9511483813599816E-6</v>
      </c>
      <c r="AM82" s="219">
        <v>3.9540713238624509E-6</v>
      </c>
      <c r="AN82" s="219">
        <v>3.956479425369837E-6</v>
      </c>
      <c r="AO82" s="219">
        <v>3.9589201060560213E-6</v>
      </c>
      <c r="AP82" s="219">
        <v>3.9596128002048837E-6</v>
      </c>
      <c r="AQ82" s="219">
        <v>3.9619418177154427E-6</v>
      </c>
      <c r="AR82" s="219">
        <v>3.9642093669550656E-6</v>
      </c>
      <c r="AS82" s="219">
        <v>3.9631974192585327E-6</v>
      </c>
      <c r="AT82" s="219">
        <v>3.9621690588541084E-6</v>
      </c>
      <c r="AU82" s="219">
        <v>3.9593333891973826E-6</v>
      </c>
      <c r="AV82" s="219">
        <v>3.9582233985057194E-6</v>
      </c>
      <c r="AW82" s="219">
        <v>3.9566985232921378E-6</v>
      </c>
      <c r="AX82" s="219">
        <v>3.9920498717557239E-6</v>
      </c>
      <c r="AY82" s="219">
        <v>3.9935937432044577E-6</v>
      </c>
      <c r="AZ82" s="219">
        <v>3.9950804632833368E-6</v>
      </c>
      <c r="BA82" s="219">
        <v>3.9965101991546344E-6</v>
      </c>
      <c r="BB82" s="219">
        <v>3.997883386033379E-6</v>
      </c>
      <c r="BC82" s="33">
        <v>74.95740277950722</v>
      </c>
      <c r="BD82" s="219">
        <v>74.406714553820478</v>
      </c>
      <c r="BE82" s="219">
        <v>73.849730534646028</v>
      </c>
      <c r="BF82" s="219">
        <v>72.876604324598986</v>
      </c>
      <c r="BG82" s="219">
        <v>72.302197702529028</v>
      </c>
      <c r="BH82" s="219">
        <v>71.726039491600247</v>
      </c>
      <c r="BI82" s="219">
        <v>72.185498536554945</v>
      </c>
      <c r="BJ82" s="219">
        <v>72.633928919988406</v>
      </c>
      <c r="BK82" s="219">
        <v>72.79499103596703</v>
      </c>
      <c r="BL82" s="219">
        <v>73.225705477751305</v>
      </c>
      <c r="BM82" s="219">
        <v>73.647115154854376</v>
      </c>
      <c r="BN82" s="219">
        <v>73.797845348095422</v>
      </c>
      <c r="BO82" s="219">
        <v>73.948636014359209</v>
      </c>
      <c r="BP82" s="219">
        <v>74.017190559428101</v>
      </c>
      <c r="BQ82" s="219">
        <v>74.167609054368441</v>
      </c>
      <c r="BR82" s="219">
        <v>74.31659437073418</v>
      </c>
      <c r="BS82" s="219">
        <v>73.949374726111614</v>
      </c>
      <c r="BT82" s="219">
        <v>73.583993640481324</v>
      </c>
      <c r="BU82" s="219">
        <v>73.143602511549688</v>
      </c>
      <c r="BV82" s="219">
        <v>72.78267117510903</v>
      </c>
      <c r="BW82" s="219">
        <v>72.42110581627395</v>
      </c>
      <c r="BX82" s="219">
        <v>72.370414303533408</v>
      </c>
      <c r="BY82" s="219">
        <v>72.320258913978918</v>
      </c>
      <c r="BZ82" s="219">
        <v>72.27024707403325</v>
      </c>
      <c r="CA82" s="219">
        <v>72.220371185522339</v>
      </c>
      <c r="CB82" s="219">
        <v>72.170632868134589</v>
      </c>
      <c r="CC82" s="33">
        <v>1052.6891503673089</v>
      </c>
      <c r="CD82" s="219">
        <v>1027.747209492145</v>
      </c>
      <c r="CE82" s="219">
        <v>1002.725392162812</v>
      </c>
      <c r="CF82" s="219">
        <v>974.16402244222002</v>
      </c>
      <c r="CG82" s="219">
        <v>948.61199707101071</v>
      </c>
      <c r="CH82" s="219">
        <v>922.95815922643646</v>
      </c>
      <c r="CI82" s="219">
        <v>915.58817545285365</v>
      </c>
      <c r="CJ82" s="219">
        <v>908.2803823135356</v>
      </c>
      <c r="CK82" s="219">
        <v>899.13167605412366</v>
      </c>
      <c r="CL82" s="219">
        <v>891.97121598804154</v>
      </c>
      <c r="CM82" s="219">
        <v>884.89087206255761</v>
      </c>
      <c r="CN82" s="219">
        <v>881.77806230070814</v>
      </c>
      <c r="CO82" s="219">
        <v>878.72700089708451</v>
      </c>
      <c r="CP82" s="219">
        <v>875.1805014974143</v>
      </c>
      <c r="CQ82" s="219">
        <v>872.19820453195575</v>
      </c>
      <c r="CR82" s="219">
        <v>869.23689087627702</v>
      </c>
      <c r="CS82" s="219">
        <v>865.68026362696321</v>
      </c>
      <c r="CT82" s="219">
        <v>862.16565013810089</v>
      </c>
      <c r="CU82" s="219">
        <v>858.30394375070819</v>
      </c>
      <c r="CV82" s="219">
        <v>854.88852785927588</v>
      </c>
      <c r="CW82" s="219">
        <v>851.57218232904347</v>
      </c>
      <c r="CX82" s="219">
        <v>850.60744285467399</v>
      </c>
      <c r="CY82" s="219">
        <v>848.54601163013808</v>
      </c>
      <c r="CZ82" s="219">
        <v>846.50263777392172</v>
      </c>
      <c r="DA82" s="219">
        <v>844.47704512281211</v>
      </c>
      <c r="DB82" s="219">
        <v>842.46903086375698</v>
      </c>
    </row>
    <row r="83" spans="1:106" x14ac:dyDescent="0.35">
      <c r="A83" s="137" t="s">
        <v>539</v>
      </c>
      <c r="B83" s="130" t="s">
        <v>545</v>
      </c>
      <c r="C83" s="33">
        <v>6.5477657721654022E-4</v>
      </c>
      <c r="D83" s="219">
        <v>6.496756511756703E-4</v>
      </c>
      <c r="E83" s="219">
        <v>6.4454474967175982E-4</v>
      </c>
      <c r="F83" s="219">
        <v>6.3883327286192403E-4</v>
      </c>
      <c r="G83" s="219">
        <v>6.335845556684162E-4</v>
      </c>
      <c r="H83" s="219">
        <v>6.2830837758253105E-4</v>
      </c>
      <c r="I83" s="219">
        <v>6.2732107165570331E-4</v>
      </c>
      <c r="J83" s="219">
        <v>6.2631938050532567E-4</v>
      </c>
      <c r="K83" s="219">
        <v>6.2514810206125209E-4</v>
      </c>
      <c r="L83" s="219">
        <v>6.2406411682579168E-4</v>
      </c>
      <c r="M83" s="219">
        <v>6.2297012701846425E-4</v>
      </c>
      <c r="N83" s="219">
        <v>6.2238577202401095E-4</v>
      </c>
      <c r="O83" s="219">
        <v>6.2180950647157298E-4</v>
      </c>
      <c r="P83" s="219">
        <v>6.2117917380795113E-4</v>
      </c>
      <c r="Q83" s="219">
        <v>6.2060749341303365E-4</v>
      </c>
      <c r="R83" s="219">
        <v>6.2003654053769763E-4</v>
      </c>
      <c r="S83" s="219">
        <v>6.1944984360814428E-4</v>
      </c>
      <c r="T83" s="219">
        <v>6.188664141075753E-4</v>
      </c>
      <c r="U83" s="219">
        <v>6.1824290333947957E-4</v>
      </c>
      <c r="V83" s="219">
        <v>6.1767103459881283E-4</v>
      </c>
      <c r="W83" s="219">
        <v>6.1712779408646355E-4</v>
      </c>
      <c r="X83" s="219">
        <v>6.2441957482111754E-4</v>
      </c>
      <c r="Y83" s="219">
        <v>6.2428144491434145E-4</v>
      </c>
      <c r="Z83" s="219">
        <v>6.2414374138435567E-4</v>
      </c>
      <c r="AA83" s="219">
        <v>6.2400643374866142E-4</v>
      </c>
      <c r="AB83" s="219">
        <v>6.2386952574602233E-4</v>
      </c>
      <c r="AC83" s="33">
        <v>2.8228327670285271E-6</v>
      </c>
      <c r="AD83" s="219">
        <v>2.7972471275793028E-6</v>
      </c>
      <c r="AE83" s="219">
        <v>2.7700570463621089E-6</v>
      </c>
      <c r="AF83" s="219">
        <v>2.7376330307982422E-6</v>
      </c>
      <c r="AG83" s="219">
        <v>2.707025917248339E-6</v>
      </c>
      <c r="AH83" s="219">
        <v>2.6745115875582919E-6</v>
      </c>
      <c r="AI83" s="219">
        <v>2.6761835813845228E-6</v>
      </c>
      <c r="AJ83" s="219">
        <v>2.6775646277977811E-6</v>
      </c>
      <c r="AK83" s="219">
        <v>2.6761926274984759E-6</v>
      </c>
      <c r="AL83" s="219">
        <v>2.6770212248068441E-6</v>
      </c>
      <c r="AM83" s="219">
        <v>2.6776108330681711E-6</v>
      </c>
      <c r="AN83" s="219">
        <v>2.6780290172649449E-6</v>
      </c>
      <c r="AO83" s="219">
        <v>2.6784650986681659E-6</v>
      </c>
      <c r="AP83" s="219">
        <v>2.6779244765626659E-6</v>
      </c>
      <c r="AQ83" s="219">
        <v>2.6783250271255388E-6</v>
      </c>
      <c r="AR83" s="219">
        <v>2.678701214059628E-6</v>
      </c>
      <c r="AS83" s="219">
        <v>2.6771431293850339E-6</v>
      </c>
      <c r="AT83" s="219">
        <v>2.6755906313311321E-6</v>
      </c>
      <c r="AU83" s="219">
        <v>2.673024583608428E-6</v>
      </c>
      <c r="AV83" s="219">
        <v>2.671452331244708E-6</v>
      </c>
      <c r="AW83" s="219">
        <v>2.6696021813937589E-6</v>
      </c>
      <c r="AX83" s="219">
        <v>2.692747246211564E-6</v>
      </c>
      <c r="AY83" s="219">
        <v>2.6943366388928501E-6</v>
      </c>
      <c r="AZ83" s="219">
        <v>2.6958861887238411E-6</v>
      </c>
      <c r="BA83" s="219">
        <v>2.6973963728342209E-6</v>
      </c>
      <c r="BB83" s="219">
        <v>2.6988678878330241E-6</v>
      </c>
      <c r="BC83" s="33">
        <v>48.236543162443397</v>
      </c>
      <c r="BD83" s="219">
        <v>47.772751251128362</v>
      </c>
      <c r="BE83" s="219">
        <v>47.298854294789727</v>
      </c>
      <c r="BF83" s="219">
        <v>46.580522542460272</v>
      </c>
      <c r="BG83" s="219">
        <v>46.082838480569933</v>
      </c>
      <c r="BH83" s="219">
        <v>45.57144671666822</v>
      </c>
      <c r="BI83" s="219">
        <v>46.031675525406193</v>
      </c>
      <c r="BJ83" s="219">
        <v>46.479873152625743</v>
      </c>
      <c r="BK83" s="219">
        <v>46.758221586038282</v>
      </c>
      <c r="BL83" s="219">
        <v>47.185227937036117</v>
      </c>
      <c r="BM83" s="219">
        <v>47.601264621904569</v>
      </c>
      <c r="BN83" s="219">
        <v>47.682142402102038</v>
      </c>
      <c r="BO83" s="219">
        <v>47.762420859132568</v>
      </c>
      <c r="BP83" s="219">
        <v>47.795635922126102</v>
      </c>
      <c r="BQ83" s="219">
        <v>47.875057107562178</v>
      </c>
      <c r="BR83" s="219">
        <v>47.953347036708173</v>
      </c>
      <c r="BS83" s="219">
        <v>47.626861906801153</v>
      </c>
      <c r="BT83" s="219">
        <v>47.302869863337811</v>
      </c>
      <c r="BU83" s="219">
        <v>46.937667484342157</v>
      </c>
      <c r="BV83" s="219">
        <v>46.618992790154792</v>
      </c>
      <c r="BW83" s="219">
        <v>46.301001073172557</v>
      </c>
      <c r="BX83" s="219">
        <v>46.264874935341354</v>
      </c>
      <c r="BY83" s="219">
        <v>46.229264707836293</v>
      </c>
      <c r="BZ83" s="219">
        <v>46.193806568740101</v>
      </c>
      <c r="CA83" s="219">
        <v>46.158491457063391</v>
      </c>
      <c r="CB83" s="219">
        <v>46.123318866015168</v>
      </c>
      <c r="CC83" s="33">
        <v>623.89139287870285</v>
      </c>
      <c r="CD83" s="219">
        <v>600.56228932290958</v>
      </c>
      <c r="CE83" s="219">
        <v>576.92339016817471</v>
      </c>
      <c r="CF83" s="219">
        <v>550.97780440815393</v>
      </c>
      <c r="CG83" s="219">
        <v>526.42489947030651</v>
      </c>
      <c r="CH83" s="219">
        <v>501.32875763354212</v>
      </c>
      <c r="CI83" s="219">
        <v>495.29577528947328</v>
      </c>
      <c r="CJ83" s="219">
        <v>489.31162219652458</v>
      </c>
      <c r="CK83" s="219">
        <v>482.28961045844369</v>
      </c>
      <c r="CL83" s="219">
        <v>476.4148934214964</v>
      </c>
      <c r="CM83" s="219">
        <v>470.58538596953878</v>
      </c>
      <c r="CN83" s="219">
        <v>468.32104584944261</v>
      </c>
      <c r="CO83" s="219">
        <v>466.0807097193271</v>
      </c>
      <c r="CP83" s="219">
        <v>463.55702960807929</v>
      </c>
      <c r="CQ83" s="219">
        <v>461.35257990486599</v>
      </c>
      <c r="CR83" s="219">
        <v>459.1598618657232</v>
      </c>
      <c r="CS83" s="219">
        <v>456.60992903888479</v>
      </c>
      <c r="CT83" s="219">
        <v>454.09563436441567</v>
      </c>
      <c r="CU83" s="219">
        <v>451.39528638146948</v>
      </c>
      <c r="CV83" s="219">
        <v>448.96062687022271</v>
      </c>
      <c r="CW83" s="219">
        <v>446.60201811481812</v>
      </c>
      <c r="CX83" s="219">
        <v>445.59202741814329</v>
      </c>
      <c r="CY83" s="219">
        <v>444.20623051450428</v>
      </c>
      <c r="CZ83" s="219">
        <v>442.83819432718923</v>
      </c>
      <c r="DA83" s="219">
        <v>441.48770346323852</v>
      </c>
      <c r="DB83" s="219">
        <v>440.15460882669498</v>
      </c>
    </row>
    <row r="84" spans="1:106" x14ac:dyDescent="0.35">
      <c r="A84" s="137" t="s">
        <v>540</v>
      </c>
      <c r="B84" s="130" t="s">
        <v>545</v>
      </c>
      <c r="C84" s="33">
        <v>2.394702857816692E-4</v>
      </c>
      <c r="D84" s="219">
        <v>2.35075378351403E-4</v>
      </c>
      <c r="E84" s="219">
        <v>2.3076856172596079E-4</v>
      </c>
      <c r="F84" s="219">
        <v>2.259339429760044E-4</v>
      </c>
      <c r="G84" s="219">
        <v>2.216296655522044E-4</v>
      </c>
      <c r="H84" s="219">
        <v>2.176575138492266E-4</v>
      </c>
      <c r="I84" s="219">
        <v>2.1709734201525E-4</v>
      </c>
      <c r="J84" s="219">
        <v>2.1653663335100161E-4</v>
      </c>
      <c r="K84" s="219">
        <v>2.1580630048713309E-4</v>
      </c>
      <c r="L84" s="219">
        <v>2.151550500156515E-4</v>
      </c>
      <c r="M84" s="219">
        <v>2.1452291998961149E-4</v>
      </c>
      <c r="N84" s="219">
        <v>2.1406398701591969E-4</v>
      </c>
      <c r="O84" s="219">
        <v>2.1363774945467451E-4</v>
      </c>
      <c r="P84" s="219">
        <v>2.1315971349794409E-4</v>
      </c>
      <c r="Q84" s="219">
        <v>2.1274583728356919E-4</v>
      </c>
      <c r="R84" s="219">
        <v>2.123340686688759E-4</v>
      </c>
      <c r="S84" s="219">
        <v>2.117661482052429E-4</v>
      </c>
      <c r="T84" s="219">
        <v>2.1119808186888611E-4</v>
      </c>
      <c r="U84" s="219">
        <v>2.1058664768351789E-4</v>
      </c>
      <c r="V84" s="219">
        <v>2.1002647795339489E-4</v>
      </c>
      <c r="W84" s="219">
        <v>2.09494224521358E-4</v>
      </c>
      <c r="X84" s="219">
        <v>2.1441753415334981E-4</v>
      </c>
      <c r="Y84" s="219">
        <v>2.1424478311683919E-4</v>
      </c>
      <c r="Z84" s="219">
        <v>2.1407102317322799E-4</v>
      </c>
      <c r="AA84" s="219">
        <v>2.1389623634417721E-4</v>
      </c>
      <c r="AB84" s="219">
        <v>2.13720437449293E-4</v>
      </c>
      <c r="AC84" s="33">
        <v>2.541461837164139E-6</v>
      </c>
      <c r="AD84" s="219">
        <v>2.519149552593014E-6</v>
      </c>
      <c r="AE84" s="219">
        <v>2.4955411080385888E-6</v>
      </c>
      <c r="AF84" s="219">
        <v>2.4669420355874878E-6</v>
      </c>
      <c r="AG84" s="219">
        <v>2.4406463679447731E-6</v>
      </c>
      <c r="AH84" s="219">
        <v>2.4137574853593748E-6</v>
      </c>
      <c r="AI84" s="219">
        <v>2.4169568476778582E-6</v>
      </c>
      <c r="AJ84" s="219">
        <v>2.419887669391222E-6</v>
      </c>
      <c r="AK84" s="219">
        <v>2.4199023490417209E-6</v>
      </c>
      <c r="AL84" s="219">
        <v>2.4222996122356339E-6</v>
      </c>
      <c r="AM84" s="219">
        <v>2.4245046505555871E-6</v>
      </c>
      <c r="AN84" s="219">
        <v>2.4259965397867839E-6</v>
      </c>
      <c r="AO84" s="219">
        <v>2.4275554919949218E-6</v>
      </c>
      <c r="AP84" s="219">
        <v>2.4280528844858321E-6</v>
      </c>
      <c r="AQ84" s="219">
        <v>2.4295432471512281E-6</v>
      </c>
      <c r="AR84" s="219">
        <v>2.4309904218575709E-6</v>
      </c>
      <c r="AS84" s="219">
        <v>2.4300555840633759E-6</v>
      </c>
      <c r="AT84" s="219">
        <v>2.429117064358282E-6</v>
      </c>
      <c r="AU84" s="219">
        <v>2.4270965024050899E-6</v>
      </c>
      <c r="AV84" s="219">
        <v>2.4261164244433572E-6</v>
      </c>
      <c r="AW84" s="219">
        <v>2.424836706844361E-6</v>
      </c>
      <c r="AX84" s="219">
        <v>2.4388667957397308E-6</v>
      </c>
      <c r="AY84" s="219">
        <v>2.4403147794719478E-6</v>
      </c>
      <c r="AZ84" s="219">
        <v>2.441732520700551E-6</v>
      </c>
      <c r="BA84" s="219">
        <v>2.4431201144123512E-6</v>
      </c>
      <c r="BB84" s="219">
        <v>2.4444778752664799E-6</v>
      </c>
      <c r="BC84" s="33">
        <v>56.329787563552607</v>
      </c>
      <c r="BD84" s="219">
        <v>55.860783582557957</v>
      </c>
      <c r="BE84" s="219">
        <v>55.385360631949418</v>
      </c>
      <c r="BF84" s="219">
        <v>54.659306493322212</v>
      </c>
      <c r="BG84" s="219">
        <v>54.162363903933873</v>
      </c>
      <c r="BH84" s="219">
        <v>53.673532368392692</v>
      </c>
      <c r="BI84" s="219">
        <v>54.104361326297919</v>
      </c>
      <c r="BJ84" s="219">
        <v>54.525193609010223</v>
      </c>
      <c r="BK84" s="219">
        <v>54.768227474238181</v>
      </c>
      <c r="BL84" s="219">
        <v>55.171672936636277</v>
      </c>
      <c r="BM84" s="219">
        <v>55.567195913804341</v>
      </c>
      <c r="BN84" s="219">
        <v>55.701756849889229</v>
      </c>
      <c r="BO84" s="219">
        <v>55.836912088485697</v>
      </c>
      <c r="BP84" s="219">
        <v>55.921875433344987</v>
      </c>
      <c r="BQ84" s="219">
        <v>56.055901440960419</v>
      </c>
      <c r="BR84" s="219">
        <v>56.188504977549549</v>
      </c>
      <c r="BS84" s="219">
        <v>55.889790222919359</v>
      </c>
      <c r="BT84" s="219">
        <v>55.59247471962459</v>
      </c>
      <c r="BU84" s="219">
        <v>55.250021772015991</v>
      </c>
      <c r="BV84" s="219">
        <v>54.955943145431178</v>
      </c>
      <c r="BW84" s="219">
        <v>54.661481746348841</v>
      </c>
      <c r="BX84" s="219">
        <v>54.611580844361761</v>
      </c>
      <c r="BY84" s="219">
        <v>54.561913710643282</v>
      </c>
      <c r="BZ84" s="219">
        <v>54.512123919623143</v>
      </c>
      <c r="CA84" s="219">
        <v>54.462204798157728</v>
      </c>
      <c r="CB84" s="219">
        <v>54.41215789033923</v>
      </c>
      <c r="CC84" s="33">
        <v>496.13377585473251</v>
      </c>
      <c r="CD84" s="219">
        <v>472.52353129984692</v>
      </c>
      <c r="CE84" s="219">
        <v>448.97349316541431</v>
      </c>
      <c r="CF84" s="219">
        <v>423.27801103688091</v>
      </c>
      <c r="CG84" s="219">
        <v>399.2861080631946</v>
      </c>
      <c r="CH84" s="219">
        <v>375.55679269444039</v>
      </c>
      <c r="CI84" s="219">
        <v>369.33301950523497</v>
      </c>
      <c r="CJ84" s="219">
        <v>363.18084877824163</v>
      </c>
      <c r="CK84" s="219">
        <v>355.93257031618879</v>
      </c>
      <c r="CL84" s="219">
        <v>349.92441909058982</v>
      </c>
      <c r="CM84" s="219">
        <v>344.01892109728732</v>
      </c>
      <c r="CN84" s="219">
        <v>341.14008947329279</v>
      </c>
      <c r="CO84" s="219">
        <v>338.33885087059849</v>
      </c>
      <c r="CP84" s="219">
        <v>335.25112938584488</v>
      </c>
      <c r="CQ84" s="219">
        <v>332.51312573351407</v>
      </c>
      <c r="CR84" s="219">
        <v>329.79477762942628</v>
      </c>
      <c r="CS84" s="219">
        <v>326.8550180499829</v>
      </c>
      <c r="CT84" s="219">
        <v>323.95184970342399</v>
      </c>
      <c r="CU84" s="219">
        <v>320.85232415990021</v>
      </c>
      <c r="CV84" s="219">
        <v>318.03078555097619</v>
      </c>
      <c r="CW84" s="219">
        <v>315.28771542530569</v>
      </c>
      <c r="CX84" s="219">
        <v>315.24923150523631</v>
      </c>
      <c r="CY84" s="219">
        <v>313.5094044596334</v>
      </c>
      <c r="CZ84" s="219">
        <v>311.78457025484909</v>
      </c>
      <c r="DA84" s="219">
        <v>310.07448919010358</v>
      </c>
      <c r="DB84" s="219">
        <v>308.37898949473021</v>
      </c>
    </row>
    <row r="85" spans="1:106" x14ac:dyDescent="0.35">
      <c r="A85" s="137" t="s">
        <v>541</v>
      </c>
      <c r="B85" s="130" t="s">
        <v>545</v>
      </c>
      <c r="C85" s="33">
        <v>2.5970833922964059E-3</v>
      </c>
      <c r="D85" s="219">
        <v>2.5727551399267168E-3</v>
      </c>
      <c r="E85" s="219">
        <v>2.5519361261466E-3</v>
      </c>
      <c r="F85" s="219">
        <v>2.52536500580691E-3</v>
      </c>
      <c r="G85" s="219">
        <v>2.5071020784640371E-3</v>
      </c>
      <c r="H85" s="219">
        <v>2.4909602073424101E-3</v>
      </c>
      <c r="I85" s="219">
        <v>2.4848661857402449E-3</v>
      </c>
      <c r="J85" s="219">
        <v>2.4793217984741501E-3</v>
      </c>
      <c r="K85" s="219">
        <v>2.4721967530862642E-3</v>
      </c>
      <c r="L85" s="219">
        <v>2.4674401926849669E-3</v>
      </c>
      <c r="M85" s="219">
        <v>2.4638653555750741E-3</v>
      </c>
      <c r="N85" s="219">
        <v>2.461291283314983E-3</v>
      </c>
      <c r="O85" s="219">
        <v>2.4597894263757138E-3</v>
      </c>
      <c r="P85" s="219">
        <v>2.4578087213656362E-3</v>
      </c>
      <c r="Q85" s="219">
        <v>2.4567651609850661E-3</v>
      </c>
      <c r="R85" s="219">
        <v>2.455830830679163E-3</v>
      </c>
      <c r="S85" s="219">
        <v>2.4530283390670868E-3</v>
      </c>
      <c r="T85" s="219">
        <v>2.4501564710459928E-3</v>
      </c>
      <c r="U85" s="219">
        <v>2.4466397109316491E-3</v>
      </c>
      <c r="V85" s="219">
        <v>2.443717000902788E-3</v>
      </c>
      <c r="W85" s="219">
        <v>2.4410308835658341E-3</v>
      </c>
      <c r="X85" s="219">
        <v>2.5035130543759011E-3</v>
      </c>
      <c r="Y85" s="219">
        <v>2.5035472004141909E-3</v>
      </c>
      <c r="Z85" s="219">
        <v>2.503556744797309E-3</v>
      </c>
      <c r="AA85" s="219">
        <v>2.5035419777032532E-3</v>
      </c>
      <c r="AB85" s="219">
        <v>2.503503417216927E-3</v>
      </c>
      <c r="AC85" s="33">
        <v>9.3851724277913943E-6</v>
      </c>
      <c r="AD85" s="219">
        <v>9.2936699517232149E-6</v>
      </c>
      <c r="AE85" s="219">
        <v>9.2090904973711268E-6</v>
      </c>
      <c r="AF85" s="219">
        <v>9.0773575548758995E-6</v>
      </c>
      <c r="AG85" s="219">
        <v>8.9926732613515439E-6</v>
      </c>
      <c r="AH85" s="219">
        <v>8.9102433928358433E-6</v>
      </c>
      <c r="AI85" s="219">
        <v>8.9326402837148301E-6</v>
      </c>
      <c r="AJ85" s="219">
        <v>8.9554298138571451E-6</v>
      </c>
      <c r="AK85" s="219">
        <v>8.9453513952058865E-6</v>
      </c>
      <c r="AL85" s="219">
        <v>8.9677192824018612E-6</v>
      </c>
      <c r="AM85" s="219">
        <v>8.9925874770129862E-6</v>
      </c>
      <c r="AN85" s="219">
        <v>9.0105501716665662E-6</v>
      </c>
      <c r="AO85" s="219">
        <v>9.0310946454708925E-6</v>
      </c>
      <c r="AP85" s="219">
        <v>9.0386487724778219E-6</v>
      </c>
      <c r="AQ85" s="219">
        <v>9.058918068869213E-6</v>
      </c>
      <c r="AR85" s="219">
        <v>9.0787971652543191E-6</v>
      </c>
      <c r="AS85" s="219">
        <v>9.0799781973845122E-6</v>
      </c>
      <c r="AT85" s="219">
        <v>9.0808893504772034E-6</v>
      </c>
      <c r="AU85" s="219">
        <v>9.0679031816560918E-6</v>
      </c>
      <c r="AV85" s="219">
        <v>9.0679018426523515E-6</v>
      </c>
      <c r="AW85" s="219">
        <v>9.0644213679052251E-6</v>
      </c>
      <c r="AX85" s="219">
        <v>9.1809628739946583E-6</v>
      </c>
      <c r="AY85" s="219">
        <v>9.1946368889825726E-6</v>
      </c>
      <c r="AZ85" s="219">
        <v>9.2081422142041722E-6</v>
      </c>
      <c r="BA85" s="219">
        <v>9.2214778601453698E-6</v>
      </c>
      <c r="BB85" s="219">
        <v>9.2346446708015914E-6</v>
      </c>
      <c r="BC85" s="33">
        <v>643.79134840884126</v>
      </c>
      <c r="BD85" s="219">
        <v>639.90010174639553</v>
      </c>
      <c r="BE85" s="219">
        <v>636.19493646467197</v>
      </c>
      <c r="BF85" s="219">
        <v>629.53937677627232</v>
      </c>
      <c r="BG85" s="219">
        <v>625.98230118185302</v>
      </c>
      <c r="BH85" s="219">
        <v>622.53783808257811</v>
      </c>
      <c r="BI85" s="219">
        <v>624.88864018599565</v>
      </c>
      <c r="BJ85" s="219">
        <v>627.21070996789717</v>
      </c>
      <c r="BK85" s="219">
        <v>627.41948652525912</v>
      </c>
      <c r="BL85" s="219">
        <v>629.71289690185426</v>
      </c>
      <c r="BM85" s="219">
        <v>632.02820611075367</v>
      </c>
      <c r="BN85" s="219">
        <v>634.06516524922426</v>
      </c>
      <c r="BO85" s="219">
        <v>636.14892056753331</v>
      </c>
      <c r="BP85" s="219">
        <v>637.61088169382583</v>
      </c>
      <c r="BQ85" s="219">
        <v>639.69489511066467</v>
      </c>
      <c r="BR85" s="219">
        <v>641.76497401938036</v>
      </c>
      <c r="BS85" s="219">
        <v>640.13518489543787</v>
      </c>
      <c r="BT85" s="219">
        <v>638.48621097980401</v>
      </c>
      <c r="BU85" s="219">
        <v>636.23520384790083</v>
      </c>
      <c r="BV85" s="219">
        <v>634.55599335144279</v>
      </c>
      <c r="BW85" s="219">
        <v>632.83992244853084</v>
      </c>
      <c r="BX85" s="219">
        <v>632.57923493538499</v>
      </c>
      <c r="BY85" s="219">
        <v>632.31737548273384</v>
      </c>
      <c r="BZ85" s="219">
        <v>632.05189017066368</v>
      </c>
      <c r="CA85" s="219">
        <v>631.78283509174503</v>
      </c>
      <c r="CB85" s="219">
        <v>631.51032315137707</v>
      </c>
      <c r="CC85" s="33">
        <v>5516.3930537099995</v>
      </c>
      <c r="CD85" s="219">
        <v>5388.2196960157326</v>
      </c>
      <c r="CE85" s="219">
        <v>5267.5200872301493</v>
      </c>
      <c r="CF85" s="219">
        <v>5124.3747135637022</v>
      </c>
      <c r="CG85" s="219">
        <v>5009.164957050144</v>
      </c>
      <c r="CH85" s="219">
        <v>4897.5223176864338</v>
      </c>
      <c r="CI85" s="219">
        <v>4850.4552755555669</v>
      </c>
      <c r="CJ85" s="219">
        <v>4804.9190107394734</v>
      </c>
      <c r="CK85" s="219">
        <v>4746.2938411013974</v>
      </c>
      <c r="CL85" s="219">
        <v>4703.5790720492214</v>
      </c>
      <c r="CM85" s="219">
        <v>4663.6537207432166</v>
      </c>
      <c r="CN85" s="219">
        <v>4637.073825075282</v>
      </c>
      <c r="CO85" s="219">
        <v>4612.8464695837401</v>
      </c>
      <c r="CP85" s="219">
        <v>4585.4633321954007</v>
      </c>
      <c r="CQ85" s="219">
        <v>4562.82147378229</v>
      </c>
      <c r="CR85" s="219">
        <v>4540.684571316554</v>
      </c>
      <c r="CS85" s="219">
        <v>4510.1528643214533</v>
      </c>
      <c r="CT85" s="219">
        <v>4479.9665092065634</v>
      </c>
      <c r="CU85" s="219">
        <v>4447.1531599270666</v>
      </c>
      <c r="CV85" s="219">
        <v>4417.7542361420419</v>
      </c>
      <c r="CW85" s="219">
        <v>4389.1469616699706</v>
      </c>
      <c r="CX85" s="219">
        <v>4382.9729572883689</v>
      </c>
      <c r="CY85" s="219">
        <v>4369.0159625040269</v>
      </c>
      <c r="CZ85" s="219">
        <v>4355.2003587137488</v>
      </c>
      <c r="DA85" s="219">
        <v>4341.5222409018397</v>
      </c>
      <c r="DB85" s="219">
        <v>4327.9782870296813</v>
      </c>
    </row>
    <row r="86" spans="1:106" x14ac:dyDescent="0.35">
      <c r="A86" s="137" t="s">
        <v>542</v>
      </c>
      <c r="B86" s="130" t="s">
        <v>545</v>
      </c>
      <c r="C86" s="33">
        <v>2.8840889681505549E-3</v>
      </c>
      <c r="D86" s="219">
        <v>2.7797221890779431E-3</v>
      </c>
      <c r="E86" s="219">
        <v>2.674305240935902E-3</v>
      </c>
      <c r="F86" s="219">
        <v>2.5641997556887061E-3</v>
      </c>
      <c r="G86" s="219">
        <v>2.4557795059330181E-3</v>
      </c>
      <c r="H86" s="219">
        <v>2.346921574890192E-3</v>
      </c>
      <c r="I86" s="219">
        <v>2.334978595213596E-3</v>
      </c>
      <c r="J86" s="219">
        <v>2.3224995589505209E-3</v>
      </c>
      <c r="K86" s="219">
        <v>2.308314411105729E-3</v>
      </c>
      <c r="L86" s="219">
        <v>2.291575944251278E-3</v>
      </c>
      <c r="M86" s="219">
        <v>2.2743283241033769E-3</v>
      </c>
      <c r="N86" s="219">
        <v>2.262564912400661E-3</v>
      </c>
      <c r="O86" s="219">
        <v>2.250791946009393E-3</v>
      </c>
      <c r="P86" s="219">
        <v>2.2386403441822041E-3</v>
      </c>
      <c r="Q86" s="219">
        <v>2.2267940109308442E-3</v>
      </c>
      <c r="R86" s="219">
        <v>2.2148938568292112E-3</v>
      </c>
      <c r="S86" s="219">
        <v>2.2024746335014599E-3</v>
      </c>
      <c r="T86" s="219">
        <v>2.1901566892917911E-3</v>
      </c>
      <c r="U86" s="219">
        <v>2.1776859943482968E-3</v>
      </c>
      <c r="V86" s="219">
        <v>2.165623464562819E-3</v>
      </c>
      <c r="W86" s="219">
        <v>2.153816250311216E-3</v>
      </c>
      <c r="X86" s="219">
        <v>2.2137226657495128E-3</v>
      </c>
      <c r="Y86" s="219">
        <v>2.2115064423534028E-3</v>
      </c>
      <c r="Z86" s="219">
        <v>2.2093005983682538E-3</v>
      </c>
      <c r="AA86" s="219">
        <v>2.207104707204918E-3</v>
      </c>
      <c r="AB86" s="219">
        <v>2.2049190713834292E-3</v>
      </c>
      <c r="AC86" s="33">
        <v>3.4516683430361958E-5</v>
      </c>
      <c r="AD86" s="219">
        <v>3.3887364064793811E-5</v>
      </c>
      <c r="AE86" s="219">
        <v>3.3214422793141308E-5</v>
      </c>
      <c r="AF86" s="219">
        <v>3.2475735142699811E-5</v>
      </c>
      <c r="AG86" s="219">
        <v>3.1713596464389693E-5</v>
      </c>
      <c r="AH86" s="219">
        <v>3.0902277147520093E-5</v>
      </c>
      <c r="AI86" s="219">
        <v>3.094792934896319E-5</v>
      </c>
      <c r="AJ86" s="219">
        <v>3.0984347244488501E-5</v>
      </c>
      <c r="AK86" s="219">
        <v>3.0995865048787062E-5</v>
      </c>
      <c r="AL86" s="219">
        <v>3.1016625198060947E-5</v>
      </c>
      <c r="AM86" s="219">
        <v>3.1028443623463927E-5</v>
      </c>
      <c r="AN86" s="219">
        <v>3.1021624831311698E-5</v>
      </c>
      <c r="AO86" s="219">
        <v>3.1014884116636569E-5</v>
      </c>
      <c r="AP86" s="219">
        <v>3.1001809998078048E-5</v>
      </c>
      <c r="AQ86" s="219">
        <v>3.0994895482741631E-5</v>
      </c>
      <c r="AR86" s="219">
        <v>3.0987814630101623E-5</v>
      </c>
      <c r="AS86" s="219">
        <v>3.0945083232571052E-5</v>
      </c>
      <c r="AT86" s="219">
        <v>3.0902639769992778E-5</v>
      </c>
      <c r="AU86" s="219">
        <v>3.0853846548476668E-5</v>
      </c>
      <c r="AV86" s="219">
        <v>3.081179030022713E-5</v>
      </c>
      <c r="AW86" s="219">
        <v>3.0768399320496517E-5</v>
      </c>
      <c r="AX86" s="219">
        <v>3.0925355518071118E-5</v>
      </c>
      <c r="AY86" s="219">
        <v>3.0952480311219967E-5</v>
      </c>
      <c r="AZ86" s="219">
        <v>3.0978907214791287E-5</v>
      </c>
      <c r="BA86" s="219">
        <v>3.1004641831363302E-5</v>
      </c>
      <c r="BB86" s="219">
        <v>3.1029694311142932E-5</v>
      </c>
      <c r="BC86" s="33">
        <v>600.68151504185573</v>
      </c>
      <c r="BD86" s="219">
        <v>590.67781873052604</v>
      </c>
      <c r="BE86" s="219">
        <v>580.36634960208414</v>
      </c>
      <c r="BF86" s="219">
        <v>568.20138916768042</v>
      </c>
      <c r="BG86" s="219">
        <v>557.17865040426273</v>
      </c>
      <c r="BH86" s="219">
        <v>545.80513719373482</v>
      </c>
      <c r="BI86" s="219">
        <v>555.5728431107151</v>
      </c>
      <c r="BJ86" s="219">
        <v>565.05112152078914</v>
      </c>
      <c r="BK86" s="219">
        <v>573.18390854144627</v>
      </c>
      <c r="BL86" s="219">
        <v>582.11234705588686</v>
      </c>
      <c r="BM86" s="219">
        <v>590.77031641972394</v>
      </c>
      <c r="BN86" s="219">
        <v>590.97629362099008</v>
      </c>
      <c r="BO86" s="219">
        <v>591.16980978237825</v>
      </c>
      <c r="BP86" s="219">
        <v>591.04689860970473</v>
      </c>
      <c r="BQ86" s="219">
        <v>591.21794233942944</v>
      </c>
      <c r="BR86" s="219">
        <v>591.37291712329738</v>
      </c>
      <c r="BS86" s="219">
        <v>584.6542483931388</v>
      </c>
      <c r="BT86" s="219">
        <v>577.99774831126581</v>
      </c>
      <c r="BU86" s="219">
        <v>571.11702186883065</v>
      </c>
      <c r="BV86" s="219">
        <v>564.58674004757381</v>
      </c>
      <c r="BW86" s="219">
        <v>558.10805617768528</v>
      </c>
      <c r="BX86" s="219">
        <v>557.47971561906115</v>
      </c>
      <c r="BY86" s="219">
        <v>556.86146769626828</v>
      </c>
      <c r="BZ86" s="219">
        <v>556.24542520927275</v>
      </c>
      <c r="CA86" s="219">
        <v>555.63140292189041</v>
      </c>
      <c r="CB86" s="219">
        <v>555.01939839562772</v>
      </c>
      <c r="CC86" s="33">
        <v>6649.8572656671213</v>
      </c>
      <c r="CD86" s="219">
        <v>6100.4017670361363</v>
      </c>
      <c r="CE86" s="219">
        <v>5542.1509228248924</v>
      </c>
      <c r="CF86" s="219">
        <v>4959.6241694030732</v>
      </c>
      <c r="CG86" s="219">
        <v>4375.3674792701686</v>
      </c>
      <c r="CH86" s="219">
        <v>3777.118888226385</v>
      </c>
      <c r="CI86" s="219">
        <v>3653.064922059883</v>
      </c>
      <c r="CJ86" s="219">
        <v>3530.0849930194199</v>
      </c>
      <c r="CK86" s="219">
        <v>3400.8167094710279</v>
      </c>
      <c r="CL86" s="219">
        <v>3279.8600521801618</v>
      </c>
      <c r="CM86" s="219">
        <v>3159.697197199635</v>
      </c>
      <c r="CN86" s="219">
        <v>3117.394591935883</v>
      </c>
      <c r="CO86" s="219">
        <v>3075.3025173766082</v>
      </c>
      <c r="CP86" s="219">
        <v>3031.44549433874</v>
      </c>
      <c r="CQ86" s="219">
        <v>2989.7231933595608</v>
      </c>
      <c r="CR86" s="219">
        <v>2948.1413628938371</v>
      </c>
      <c r="CS86" s="219">
        <v>2906.050476768602</v>
      </c>
      <c r="CT86" s="219">
        <v>2864.657369530908</v>
      </c>
      <c r="CU86" s="219">
        <v>2822.5219180745039</v>
      </c>
      <c r="CV86" s="219">
        <v>2782.567949315729</v>
      </c>
      <c r="CW86" s="219">
        <v>2743.527310238514</v>
      </c>
      <c r="CX86" s="219">
        <v>2725.324327108247</v>
      </c>
      <c r="CY86" s="219">
        <v>2701.3870938921741</v>
      </c>
      <c r="CZ86" s="219">
        <v>2677.8421067430331</v>
      </c>
      <c r="DA86" s="219">
        <v>2654.6865600803599</v>
      </c>
      <c r="DB86" s="219">
        <v>2631.9190416401889</v>
      </c>
    </row>
    <row r="87" spans="1:106" x14ac:dyDescent="0.35">
      <c r="A87" s="137" t="s">
        <v>543</v>
      </c>
      <c r="B87" s="130" t="s">
        <v>545</v>
      </c>
      <c r="C87" s="33">
        <v>1.347525634018587E-5</v>
      </c>
      <c r="D87" s="219">
        <v>1.3286296335708919E-5</v>
      </c>
      <c r="E87" s="219">
        <v>1.312294783552564E-5</v>
      </c>
      <c r="F87" s="219">
        <v>1.3077769026787949E-5</v>
      </c>
      <c r="G87" s="219">
        <v>1.29782696166713E-5</v>
      </c>
      <c r="H87" s="219">
        <v>1.2885228678107261E-5</v>
      </c>
      <c r="I87" s="219">
        <v>1.287589923465993E-5</v>
      </c>
      <c r="J87" s="219">
        <v>1.286903263630459E-5</v>
      </c>
      <c r="K87" s="219">
        <v>1.288546484866334E-5</v>
      </c>
      <c r="L87" s="219">
        <v>1.288098467212535E-5</v>
      </c>
      <c r="M87" s="219">
        <v>1.2881960915624031E-5</v>
      </c>
      <c r="N87" s="219">
        <v>1.291705589444303E-5</v>
      </c>
      <c r="O87" s="219">
        <v>1.295723402663285E-5</v>
      </c>
      <c r="P87" s="219">
        <v>1.3011127965306819E-5</v>
      </c>
      <c r="Q87" s="219">
        <v>1.3052923808281681E-5</v>
      </c>
      <c r="R87" s="219">
        <v>1.3095048587710109E-5</v>
      </c>
      <c r="S87" s="219">
        <v>1.307908915308368E-5</v>
      </c>
      <c r="T87" s="219">
        <v>1.3062978118775679E-5</v>
      </c>
      <c r="U87" s="219">
        <v>1.305468137643246E-5</v>
      </c>
      <c r="V87" s="219">
        <v>1.303865283286308E-5</v>
      </c>
      <c r="W87" s="219">
        <v>1.302401333945361E-5</v>
      </c>
      <c r="X87" s="219">
        <v>1.1474910861064E-5</v>
      </c>
      <c r="Y87" s="219">
        <v>1.1480718748545759E-5</v>
      </c>
      <c r="Z87" s="219">
        <v>1.148634158812553E-5</v>
      </c>
      <c r="AA87" s="219">
        <v>1.149178160705666E-5</v>
      </c>
      <c r="AB87" s="219">
        <v>1.149704210486697E-5</v>
      </c>
      <c r="AC87" s="33">
        <v>3.9406795025774319E-7</v>
      </c>
      <c r="AD87" s="219">
        <v>3.9251399786711362E-7</v>
      </c>
      <c r="AE87" s="219">
        <v>3.9090516382300768E-7</v>
      </c>
      <c r="AF87" s="219">
        <v>3.8967601434713012E-7</v>
      </c>
      <c r="AG87" s="219">
        <v>3.8805375867166622E-7</v>
      </c>
      <c r="AH87" s="219">
        <v>3.8642502016935433E-7</v>
      </c>
      <c r="AI87" s="219">
        <v>3.8605836336755422E-7</v>
      </c>
      <c r="AJ87" s="219">
        <v>3.8569428490256229E-7</v>
      </c>
      <c r="AK87" s="219">
        <v>3.8562468933280972E-7</v>
      </c>
      <c r="AL87" s="219">
        <v>3.8526799993433102E-7</v>
      </c>
      <c r="AM87" s="219">
        <v>3.849232679634081E-7</v>
      </c>
      <c r="AN87" s="219">
        <v>3.8443841545474111E-7</v>
      </c>
      <c r="AO87" s="219">
        <v>3.839698562699201E-7</v>
      </c>
      <c r="AP87" s="219">
        <v>3.8366522159516418E-7</v>
      </c>
      <c r="AQ87" s="219">
        <v>3.8320541106393598E-7</v>
      </c>
      <c r="AR87" s="219">
        <v>3.827470180023351E-7</v>
      </c>
      <c r="AS87" s="219">
        <v>3.8236443092895101E-7</v>
      </c>
      <c r="AT87" s="219">
        <v>3.8198593905007228E-7</v>
      </c>
      <c r="AU87" s="219">
        <v>3.8175822017169072E-7</v>
      </c>
      <c r="AV87" s="219">
        <v>3.8138925340038421E-7</v>
      </c>
      <c r="AW87" s="219">
        <v>3.8100865241016218E-7</v>
      </c>
      <c r="AX87" s="219">
        <v>3.8312407213945159E-7</v>
      </c>
      <c r="AY87" s="219">
        <v>3.8308656641017301E-7</v>
      </c>
      <c r="AZ87" s="219">
        <v>3.8304899473661477E-7</v>
      </c>
      <c r="BA87" s="219">
        <v>3.8301136265415529E-7</v>
      </c>
      <c r="BB87" s="219">
        <v>3.8297368325395971E-7</v>
      </c>
      <c r="BC87" s="33">
        <v>53.750548509494848</v>
      </c>
      <c r="BD87" s="219">
        <v>53.731989661446242</v>
      </c>
      <c r="BE87" s="219">
        <v>53.713980757210919</v>
      </c>
      <c r="BF87" s="219">
        <v>53.721042447228797</v>
      </c>
      <c r="BG87" s="219">
        <v>53.702494991227411</v>
      </c>
      <c r="BH87" s="219">
        <v>53.684100870518733</v>
      </c>
      <c r="BI87" s="219">
        <v>53.710683038760543</v>
      </c>
      <c r="BJ87" s="219">
        <v>53.737035790056751</v>
      </c>
      <c r="BK87" s="219">
        <v>53.780591294526602</v>
      </c>
      <c r="BL87" s="219">
        <v>53.806183718264151</v>
      </c>
      <c r="BM87" s="219">
        <v>53.831809827411632</v>
      </c>
      <c r="BN87" s="219">
        <v>53.854883256585317</v>
      </c>
      <c r="BO87" s="219">
        <v>53.878059779014443</v>
      </c>
      <c r="BP87" s="219">
        <v>53.908060517069927</v>
      </c>
      <c r="BQ87" s="219">
        <v>53.930749482182421</v>
      </c>
      <c r="BR87" s="219">
        <v>53.953241735051243</v>
      </c>
      <c r="BS87" s="219">
        <v>53.943200129967927</v>
      </c>
      <c r="BT87" s="219">
        <v>53.933176544945702</v>
      </c>
      <c r="BU87" s="219">
        <v>53.929876297698073</v>
      </c>
      <c r="BV87" s="219">
        <v>53.919805806751512</v>
      </c>
      <c r="BW87" s="219">
        <v>53.909668538721142</v>
      </c>
      <c r="BX87" s="219">
        <v>53.91380251948982</v>
      </c>
      <c r="BY87" s="219">
        <v>53.917915022515913</v>
      </c>
      <c r="BZ87" s="219">
        <v>53.921993696951667</v>
      </c>
      <c r="CA87" s="219">
        <v>53.926039057229779</v>
      </c>
      <c r="CB87" s="219">
        <v>53.930051879414989</v>
      </c>
      <c r="CC87" s="33">
        <v>233.70847524466791</v>
      </c>
      <c r="CD87" s="219">
        <v>232.79309168977039</v>
      </c>
      <c r="CE87" s="219">
        <v>231.90989091833319</v>
      </c>
      <c r="CF87" s="219">
        <v>231.22569671806241</v>
      </c>
      <c r="CG87" s="219">
        <v>230.3443573442151</v>
      </c>
      <c r="CH87" s="219">
        <v>229.47116349501201</v>
      </c>
      <c r="CI87" s="219">
        <v>229.22063999414431</v>
      </c>
      <c r="CJ87" s="219">
        <v>228.9809140691163</v>
      </c>
      <c r="CK87" s="219">
        <v>228.8712048723032</v>
      </c>
      <c r="CL87" s="219">
        <v>228.63937376297949</v>
      </c>
      <c r="CM87" s="219">
        <v>228.42077265685541</v>
      </c>
      <c r="CN87" s="219">
        <v>228.36258948346671</v>
      </c>
      <c r="CO87" s="219">
        <v>228.31479302725481</v>
      </c>
      <c r="CP87" s="219">
        <v>228.31791492780121</v>
      </c>
      <c r="CQ87" s="219">
        <v>228.27284033079371</v>
      </c>
      <c r="CR87" s="219">
        <v>228.22898021620961</v>
      </c>
      <c r="CS87" s="219">
        <v>228.13151045524609</v>
      </c>
      <c r="CT87" s="219">
        <v>228.03571606513381</v>
      </c>
      <c r="CU87" s="219">
        <v>227.97306930405861</v>
      </c>
      <c r="CV87" s="219">
        <v>227.87922987835461</v>
      </c>
      <c r="CW87" s="219">
        <v>227.78926555201019</v>
      </c>
      <c r="CX87" s="219">
        <v>228.19699096744469</v>
      </c>
      <c r="CY87" s="219">
        <v>228.19371515862599</v>
      </c>
      <c r="CZ87" s="219">
        <v>228.19063862225141</v>
      </c>
      <c r="DA87" s="219">
        <v>228.1877384453451</v>
      </c>
      <c r="DB87" s="219">
        <v>228.1849949830746</v>
      </c>
    </row>
    <row r="88" spans="1:106" x14ac:dyDescent="0.35">
      <c r="A88" s="137" t="s">
        <v>544</v>
      </c>
      <c r="B88" s="130" t="s">
        <v>545</v>
      </c>
      <c r="C88" s="33">
        <v>1.1839927974793929E-4</v>
      </c>
      <c r="D88" s="219">
        <v>1.169367169426379E-4</v>
      </c>
      <c r="E88" s="219">
        <v>1.154751137916873E-4</v>
      </c>
      <c r="F88" s="219">
        <v>1.13778074528784E-4</v>
      </c>
      <c r="G88" s="219">
        <v>1.122872756676131E-4</v>
      </c>
      <c r="H88" s="219">
        <v>1.1083573142031091E-4</v>
      </c>
      <c r="I88" s="219">
        <v>1.1001587856019691E-4</v>
      </c>
      <c r="J88" s="219">
        <v>1.0919958947447709E-4</v>
      </c>
      <c r="K88" s="219">
        <v>1.083166898819877E-4</v>
      </c>
      <c r="L88" s="219">
        <v>1.075028423435244E-4</v>
      </c>
      <c r="M88" s="219">
        <v>1.06693436783821E-4</v>
      </c>
      <c r="N88" s="219">
        <v>1.057097443807622E-4</v>
      </c>
      <c r="O88" s="219">
        <v>1.04734051972058E-4</v>
      </c>
      <c r="P88" s="219">
        <v>1.037379782224075E-4</v>
      </c>
      <c r="Q88" s="219">
        <v>1.027736305453766E-4</v>
      </c>
      <c r="R88" s="219">
        <v>1.018145526671726E-4</v>
      </c>
      <c r="S88" s="219">
        <v>1.007099058090869E-4</v>
      </c>
      <c r="T88" s="219">
        <v>9.9606498087816849E-5</v>
      </c>
      <c r="U88" s="219">
        <v>9.8483219444293234E-5</v>
      </c>
      <c r="V88" s="219">
        <v>9.7385193734451892E-5</v>
      </c>
      <c r="W88" s="219">
        <v>9.6295685497104107E-5</v>
      </c>
      <c r="X88" s="219">
        <v>9.7279159907950544E-5</v>
      </c>
      <c r="Y88" s="219">
        <v>9.6743064831691494E-5</v>
      </c>
      <c r="Z88" s="219">
        <v>9.6207225680256664E-5</v>
      </c>
      <c r="AA88" s="219">
        <v>9.5671632817816905E-5</v>
      </c>
      <c r="AB88" s="219">
        <v>9.513628515886487E-5</v>
      </c>
      <c r="AC88" s="33">
        <v>7.8603017416721399E-7</v>
      </c>
      <c r="AD88" s="219">
        <v>8.046974515182828E-7</v>
      </c>
      <c r="AE88" s="219">
        <v>8.2307277795945035E-7</v>
      </c>
      <c r="AF88" s="219">
        <v>8.3962568980171032E-7</v>
      </c>
      <c r="AG88" s="219">
        <v>8.5734113946693059E-7</v>
      </c>
      <c r="AH88" s="219">
        <v>8.7486476879250909E-7</v>
      </c>
      <c r="AI88" s="219">
        <v>8.9704930530995039E-7</v>
      </c>
      <c r="AJ88" s="219">
        <v>9.1902864348368773E-7</v>
      </c>
      <c r="AK88" s="219">
        <v>9.3963308406392126E-7</v>
      </c>
      <c r="AL88" s="219">
        <v>9.6115481248594025E-7</v>
      </c>
      <c r="AM88" s="219">
        <v>9.8248275361334071E-7</v>
      </c>
      <c r="AN88" s="219">
        <v>1.006048685073812E-6</v>
      </c>
      <c r="AO88" s="219">
        <v>1.029409836248656E-6</v>
      </c>
      <c r="AP88" s="219">
        <v>1.0520744195879119E-6</v>
      </c>
      <c r="AQ88" s="219">
        <v>1.074987008514575E-6</v>
      </c>
      <c r="AR88" s="219">
        <v>1.097687076765678E-6</v>
      </c>
      <c r="AS88" s="219">
        <v>1.118119231349202E-6</v>
      </c>
      <c r="AT88" s="219">
        <v>1.138355740245547E-6</v>
      </c>
      <c r="AU88" s="219">
        <v>1.1578600326331451E-6</v>
      </c>
      <c r="AV88" s="219">
        <v>1.177689871847243E-6</v>
      </c>
      <c r="AW88" s="219">
        <v>1.1972584749912249E-6</v>
      </c>
      <c r="AX88" s="219">
        <v>1.226893555330712E-6</v>
      </c>
      <c r="AY88" s="219">
        <v>1.2346412272621971E-6</v>
      </c>
      <c r="AZ88" s="219">
        <v>1.242362457680667E-6</v>
      </c>
      <c r="BA88" s="219">
        <v>1.2500572237426709E-6</v>
      </c>
      <c r="BB88" s="219">
        <v>1.2577255679165091E-6</v>
      </c>
      <c r="BC88" s="33">
        <v>70.879104867522443</v>
      </c>
      <c r="BD88" s="219">
        <v>70.037973512093814</v>
      </c>
      <c r="BE88" s="219">
        <v>69.19300352638902</v>
      </c>
      <c r="BF88" s="219">
        <v>68.246090417664263</v>
      </c>
      <c r="BG88" s="219">
        <v>67.392192879479282</v>
      </c>
      <c r="BH88" s="219">
        <v>66.536817344218534</v>
      </c>
      <c r="BI88" s="219">
        <v>65.895341067595041</v>
      </c>
      <c r="BJ88" s="219">
        <v>65.254403355242403</v>
      </c>
      <c r="BK88" s="219">
        <v>64.540071052247882</v>
      </c>
      <c r="BL88" s="219">
        <v>63.899842562121243</v>
      </c>
      <c r="BM88" s="219">
        <v>63.260219600644263</v>
      </c>
      <c r="BN88" s="219">
        <v>62.51453053454437</v>
      </c>
      <c r="BO88" s="219">
        <v>61.770807297107638</v>
      </c>
      <c r="BP88" s="219">
        <v>61.006163161428972</v>
      </c>
      <c r="BQ88" s="219">
        <v>60.266175170439944</v>
      </c>
      <c r="BR88" s="219">
        <v>59.527892794016097</v>
      </c>
      <c r="BS88" s="219">
        <v>58.639823972575194</v>
      </c>
      <c r="BT88" s="219">
        <v>57.750138191914182</v>
      </c>
      <c r="BU88" s="219">
        <v>56.835592217913202</v>
      </c>
      <c r="BV88" s="219">
        <v>55.942668050889651</v>
      </c>
      <c r="BW88" s="219">
        <v>55.04777571579168</v>
      </c>
      <c r="BX88" s="219">
        <v>54.714141835488917</v>
      </c>
      <c r="BY88" s="219">
        <v>54.380545624115108</v>
      </c>
      <c r="BZ88" s="219">
        <v>54.046896836375993</v>
      </c>
      <c r="CA88" s="219">
        <v>53.713194148535237</v>
      </c>
      <c r="CB88" s="219">
        <v>53.379438388939349</v>
      </c>
      <c r="CC88" s="33">
        <v>570.12191504656437</v>
      </c>
      <c r="CD88" s="219">
        <v>554.24163738107165</v>
      </c>
      <c r="CE88" s="219">
        <v>538.40732620840151</v>
      </c>
      <c r="CF88" s="219">
        <v>521.81694009424314</v>
      </c>
      <c r="CG88" s="219">
        <v>506.03768458986463</v>
      </c>
      <c r="CH88" s="219">
        <v>490.35021076228497</v>
      </c>
      <c r="CI88" s="219">
        <v>479.54233112163558</v>
      </c>
      <c r="CJ88" s="219">
        <v>468.79521725030941</v>
      </c>
      <c r="CK88" s="219">
        <v>457.59846483611989</v>
      </c>
      <c r="CL88" s="219">
        <v>446.9703052744793</v>
      </c>
      <c r="CM88" s="219">
        <v>436.40311235827068</v>
      </c>
      <c r="CN88" s="219">
        <v>423.60139544356832</v>
      </c>
      <c r="CO88" s="219">
        <v>410.88438391217568</v>
      </c>
      <c r="CP88" s="219">
        <v>398.10179125781838</v>
      </c>
      <c r="CQ88" s="219">
        <v>385.54643737794532</v>
      </c>
      <c r="CR88" s="219">
        <v>373.0688531199292</v>
      </c>
      <c r="CS88" s="219">
        <v>359.99185008523477</v>
      </c>
      <c r="CT88" s="219">
        <v>346.98738177704382</v>
      </c>
      <c r="CU88" s="219">
        <v>333.93899600597598</v>
      </c>
      <c r="CV88" s="219">
        <v>321.08058591945229</v>
      </c>
      <c r="CW88" s="219">
        <v>308.3026627347943</v>
      </c>
      <c r="CX88" s="219">
        <v>301.91593937180221</v>
      </c>
      <c r="CY88" s="219">
        <v>295.14731919371968</v>
      </c>
      <c r="CZ88" s="219">
        <v>288.38890595851882</v>
      </c>
      <c r="DA88" s="219">
        <v>281.64063959071581</v>
      </c>
      <c r="DB88" s="219">
        <v>274.90247660234257</v>
      </c>
    </row>
    <row r="89" spans="1:106" x14ac:dyDescent="0.35">
      <c r="A89" s="137" t="s">
        <v>546</v>
      </c>
      <c r="B89" s="130" t="s">
        <v>547</v>
      </c>
      <c r="C89" s="33">
        <v>3.748519928927736E-7</v>
      </c>
      <c r="D89" s="219">
        <v>3.7131227962779363E-7</v>
      </c>
      <c r="E89" s="219">
        <v>3.6798158341884711E-7</v>
      </c>
      <c r="F89" s="219">
        <v>3.6331215022176848E-7</v>
      </c>
      <c r="G89" s="219">
        <v>3.5995671325888598E-7</v>
      </c>
      <c r="H89" s="219">
        <v>3.5698357281206478E-7</v>
      </c>
      <c r="I89" s="219">
        <v>3.5593857199857619E-7</v>
      </c>
      <c r="J89" s="219">
        <v>3.5494406495966318E-7</v>
      </c>
      <c r="K89" s="219">
        <v>3.5357944720764888E-7</v>
      </c>
      <c r="L89" s="219">
        <v>3.5261810723603151E-7</v>
      </c>
      <c r="M89" s="219">
        <v>3.5173901561738921E-7</v>
      </c>
      <c r="N89" s="219">
        <v>3.5086867570838379E-7</v>
      </c>
      <c r="O89" s="219">
        <v>3.5008785134323752E-7</v>
      </c>
      <c r="P89" s="219">
        <v>3.4918609887264521E-7</v>
      </c>
      <c r="Q89" s="219">
        <v>3.4845854339062369E-7</v>
      </c>
      <c r="R89" s="219">
        <v>3.4774650638002038E-7</v>
      </c>
      <c r="S89" s="219">
        <v>3.4682400321253141E-7</v>
      </c>
      <c r="T89" s="219">
        <v>3.4589952725405289E-7</v>
      </c>
      <c r="U89" s="219">
        <v>3.4485932757392568E-7</v>
      </c>
      <c r="V89" s="219">
        <v>3.4393993719998022E-7</v>
      </c>
      <c r="W89" s="219">
        <v>3.4305605557049748E-7</v>
      </c>
      <c r="X89" s="219">
        <v>3.5016016203973009E-7</v>
      </c>
      <c r="Y89" s="219">
        <v>3.498002519739929E-7</v>
      </c>
      <c r="Z89" s="219">
        <v>3.4943902742833551E-7</v>
      </c>
      <c r="AA89" s="219">
        <v>3.4907647741855178E-7</v>
      </c>
      <c r="AB89" s="219">
        <v>3.4871261676879338E-7</v>
      </c>
      <c r="AC89" s="33">
        <v>1.999302284039217E-9</v>
      </c>
      <c r="AD89" s="219">
        <v>1.9979322216697182E-9</v>
      </c>
      <c r="AE89" s="219">
        <v>1.996828164496776E-9</v>
      </c>
      <c r="AF89" s="219">
        <v>1.9864520627028771E-9</v>
      </c>
      <c r="AG89" s="219">
        <v>1.9846884009481909E-9</v>
      </c>
      <c r="AH89" s="219">
        <v>1.9834507456959779E-9</v>
      </c>
      <c r="AI89" s="219">
        <v>1.9958158311713399E-9</v>
      </c>
      <c r="AJ89" s="219">
        <v>2.0081896098718858E-9</v>
      </c>
      <c r="AK89" s="219">
        <v>2.0138558544662478E-9</v>
      </c>
      <c r="AL89" s="219">
        <v>2.0259325565230399E-9</v>
      </c>
      <c r="AM89" s="219">
        <v>2.038118686189864E-9</v>
      </c>
      <c r="AN89" s="219">
        <v>2.0524307406026401E-9</v>
      </c>
      <c r="AO89" s="219">
        <v>2.0668330672006299E-9</v>
      </c>
      <c r="AP89" s="219">
        <v>2.0784658604488318E-9</v>
      </c>
      <c r="AQ89" s="219">
        <v>2.0925119460807149E-9</v>
      </c>
      <c r="AR89" s="219">
        <v>2.106413828786894E-9</v>
      </c>
      <c r="AS89" s="219">
        <v>2.116627925216221E-9</v>
      </c>
      <c r="AT89" s="219">
        <v>2.1267437002995878E-9</v>
      </c>
      <c r="AU89" s="219">
        <v>2.1340617234157639E-9</v>
      </c>
      <c r="AV89" s="219">
        <v>2.1439072845943032E-9</v>
      </c>
      <c r="AW89" s="219">
        <v>2.153241840471489E-9</v>
      </c>
      <c r="AX89" s="219">
        <v>2.199439632885674E-9</v>
      </c>
      <c r="AY89" s="219">
        <v>2.2046195896238039E-9</v>
      </c>
      <c r="AZ89" s="219">
        <v>2.209772593271128E-9</v>
      </c>
      <c r="BA89" s="219">
        <v>2.2148981504413109E-9</v>
      </c>
      <c r="BB89" s="219">
        <v>2.2199960241095609E-9</v>
      </c>
      <c r="BC89" s="33">
        <v>0.10391519072351391</v>
      </c>
      <c r="BD89" s="219">
        <v>0.1030466229150782</v>
      </c>
      <c r="BE89" s="219">
        <v>0.1021890287401476</v>
      </c>
      <c r="BF89" s="219">
        <v>0.1007491416965051</v>
      </c>
      <c r="BG89" s="219">
        <v>9.99017791599313E-2</v>
      </c>
      <c r="BH89" s="219">
        <v>9.9075633373780989E-2</v>
      </c>
      <c r="BI89" s="219">
        <v>9.8953903464771717E-2</v>
      </c>
      <c r="BJ89" s="219">
        <v>9.8829672200208607E-2</v>
      </c>
      <c r="BK89" s="219">
        <v>9.8288445340109568E-2</v>
      </c>
      <c r="BL89" s="219">
        <v>9.8164450145608539E-2</v>
      </c>
      <c r="BM89" s="219">
        <v>9.8041455814976947E-2</v>
      </c>
      <c r="BN89" s="219">
        <v>9.779333958355893E-2</v>
      </c>
      <c r="BO89" s="219">
        <v>9.7549820908160584E-2</v>
      </c>
      <c r="BP89" s="219">
        <v>9.7184021742425589E-2</v>
      </c>
      <c r="BQ89" s="219">
        <v>9.6944501305118905E-2</v>
      </c>
      <c r="BR89" s="219">
        <v>9.6705002188605768E-2</v>
      </c>
      <c r="BS89" s="219">
        <v>9.6061073237987751E-2</v>
      </c>
      <c r="BT89" s="219">
        <v>9.5415699889386835E-2</v>
      </c>
      <c r="BU89" s="219">
        <v>9.4651648598100116E-2</v>
      </c>
      <c r="BV89" s="219">
        <v>9.4004741425960284E-2</v>
      </c>
      <c r="BW89" s="219">
        <v>9.3354032051230038E-2</v>
      </c>
      <c r="BX89" s="219">
        <v>9.3137885248164562E-2</v>
      </c>
      <c r="BY89" s="219">
        <v>9.2921953710349975E-2</v>
      </c>
      <c r="BZ89" s="219">
        <v>9.2705958805695252E-2</v>
      </c>
      <c r="CA89" s="219">
        <v>9.2489895604179737E-2</v>
      </c>
      <c r="CB89" s="219">
        <v>9.227376568132846E-2</v>
      </c>
      <c r="CC89" s="33">
        <v>0.94528529174609632</v>
      </c>
      <c r="CD89" s="219">
        <v>0.92310266411789788</v>
      </c>
      <c r="CE89" s="219">
        <v>0.90142394738846399</v>
      </c>
      <c r="CF89" s="219">
        <v>0.87520171923604295</v>
      </c>
      <c r="CG89" s="219">
        <v>0.85395731180029333</v>
      </c>
      <c r="CH89" s="219">
        <v>0.83336443404047011</v>
      </c>
      <c r="CI89" s="219">
        <v>0.82308861994372851</v>
      </c>
      <c r="CJ89" s="219">
        <v>0.81293760429093676</v>
      </c>
      <c r="CK89" s="219">
        <v>0.80003029547367233</v>
      </c>
      <c r="CL89" s="219">
        <v>0.79016384070059764</v>
      </c>
      <c r="CM89" s="219">
        <v>0.78051845456296531</v>
      </c>
      <c r="CN89" s="219">
        <v>0.77135695875591204</v>
      </c>
      <c r="CO89" s="219">
        <v>0.76241345729408661</v>
      </c>
      <c r="CP89" s="219">
        <v>0.75278242628749947</v>
      </c>
      <c r="CQ89" s="219">
        <v>0.74406563652925017</v>
      </c>
      <c r="CR89" s="219">
        <v>0.73543133543539341</v>
      </c>
      <c r="CS89" s="219">
        <v>0.72597383994333542</v>
      </c>
      <c r="CT89" s="219">
        <v>0.71658654877674399</v>
      </c>
      <c r="CU89" s="219">
        <v>0.70668898461571461</v>
      </c>
      <c r="CV89" s="219">
        <v>0.69746316612309911</v>
      </c>
      <c r="CW89" s="219">
        <v>0.68836500708608628</v>
      </c>
      <c r="CX89" s="219">
        <v>0.68865191491693201</v>
      </c>
      <c r="CY89" s="219">
        <v>0.68386375384988907</v>
      </c>
      <c r="CZ89" s="219">
        <v>0.67909318375407368</v>
      </c>
      <c r="DA89" s="219">
        <v>0.67433986553764236</v>
      </c>
      <c r="DB89" s="219">
        <v>0.66960351865706857</v>
      </c>
    </row>
    <row r="90" spans="1:106" s="219" customFormat="1" x14ac:dyDescent="0.35">
      <c r="A90" s="137" t="s">
        <v>754</v>
      </c>
      <c r="B90" s="130" t="s">
        <v>547</v>
      </c>
      <c r="C90" s="33">
        <v>7.6296407667733981E-7</v>
      </c>
      <c r="D90" s="219">
        <v>7.6112971930388104E-7</v>
      </c>
      <c r="E90" s="219">
        <v>7.5933354206854762E-7</v>
      </c>
      <c r="F90" s="219">
        <v>7.5724692343176254E-7</v>
      </c>
      <c r="G90" s="219">
        <v>7.5546536302826278E-7</v>
      </c>
      <c r="H90" s="219">
        <v>7.5376257149186944E-7</v>
      </c>
      <c r="I90" s="219">
        <v>7.5352066727956976E-7</v>
      </c>
      <c r="J90" s="219">
        <v>7.5328402023339453E-7</v>
      </c>
      <c r="K90" s="219">
        <v>7.5296514772744547E-7</v>
      </c>
      <c r="L90" s="219">
        <v>7.5273418303447935E-7</v>
      </c>
      <c r="M90" s="219">
        <v>7.5251654288640819E-7</v>
      </c>
      <c r="N90" s="219">
        <v>7.523254961276353E-7</v>
      </c>
      <c r="O90" s="219">
        <v>7.5215088896690305E-7</v>
      </c>
      <c r="P90" s="219">
        <v>7.5194962882372099E-7</v>
      </c>
      <c r="Q90" s="219">
        <v>7.5178387517369544E-7</v>
      </c>
      <c r="R90" s="219">
        <v>7.5162012064431707E-7</v>
      </c>
      <c r="S90" s="219">
        <v>7.514150869957317E-7</v>
      </c>
      <c r="T90" s="219">
        <v>7.5121085020681662E-7</v>
      </c>
      <c r="U90" s="219">
        <v>7.5098241327642056E-7</v>
      </c>
      <c r="V90" s="219">
        <v>7.5078124882668428E-7</v>
      </c>
      <c r="W90" s="219">
        <v>7.5058938723188723E-7</v>
      </c>
      <c r="X90" s="219">
        <v>7.5216226391282801E-7</v>
      </c>
      <c r="Y90" s="219">
        <v>7.5210592901431441E-7</v>
      </c>
      <c r="Z90" s="219">
        <v>7.5204945725352406E-7</v>
      </c>
      <c r="AA90" s="219">
        <v>7.519928424179964E-7</v>
      </c>
      <c r="AB90" s="219">
        <v>7.5193608755715973E-7</v>
      </c>
      <c r="AC90" s="33">
        <v>5.9762135169634944E-9</v>
      </c>
      <c r="AD90" s="219">
        <v>5.9684925708121892E-9</v>
      </c>
      <c r="AE90" s="219">
        <v>5.9604606421874418E-9</v>
      </c>
      <c r="AF90" s="219">
        <v>5.9500462387818628E-9</v>
      </c>
      <c r="AG90" s="219">
        <v>5.9413247440032121E-9</v>
      </c>
      <c r="AH90" s="219">
        <v>5.9324372073446394E-9</v>
      </c>
      <c r="AI90" s="219">
        <v>5.9337850401522094E-9</v>
      </c>
      <c r="AJ90" s="219">
        <v>5.9350132436760164E-9</v>
      </c>
      <c r="AK90" s="219">
        <v>5.9347262623698114E-9</v>
      </c>
      <c r="AL90" s="219">
        <v>5.9357151451108112E-9</v>
      </c>
      <c r="AM90" s="219">
        <v>5.9366463943677266E-9</v>
      </c>
      <c r="AN90" s="219">
        <v>5.9374319343156233E-9</v>
      </c>
      <c r="AO90" s="219">
        <v>5.9382511177090541E-9</v>
      </c>
      <c r="AP90" s="219">
        <v>5.9385213616084433E-9</v>
      </c>
      <c r="AQ90" s="219">
        <v>5.9393235114657978E-9</v>
      </c>
      <c r="AR90" s="219">
        <v>5.9401141515069698E-9</v>
      </c>
      <c r="AS90" s="219">
        <v>5.939945420249693E-9</v>
      </c>
      <c r="AT90" s="219">
        <v>5.9397677331221631E-9</v>
      </c>
      <c r="AU90" s="219">
        <v>5.9390084858022659E-9</v>
      </c>
      <c r="AV90" s="219">
        <v>5.9388006530726042E-9</v>
      </c>
      <c r="AW90" s="219">
        <v>5.9384890183447272E-9</v>
      </c>
      <c r="AX90" s="219">
        <v>5.9601366619753756E-9</v>
      </c>
      <c r="AY90" s="219">
        <v>5.9609159499408103E-9</v>
      </c>
      <c r="AZ90" s="219">
        <v>5.9616821265821094E-9</v>
      </c>
      <c r="BA90" s="219">
        <v>5.9624352736173214E-9</v>
      </c>
      <c r="BB90" s="219">
        <v>5.9631755357678363E-9</v>
      </c>
      <c r="BC90" s="33">
        <v>3.6142031460038811E-2</v>
      </c>
      <c r="BD90" s="219">
        <v>3.5973889694894227E-2</v>
      </c>
      <c r="BE90" s="219">
        <v>3.5805984591531267E-2</v>
      </c>
      <c r="BF90" s="219">
        <v>3.5505327965515893E-2</v>
      </c>
      <c r="BG90" s="219">
        <v>3.5335354789358377E-2</v>
      </c>
      <c r="BH90" s="219">
        <v>3.5168000081074118E-2</v>
      </c>
      <c r="BI90" s="219">
        <v>3.5307216192829692E-2</v>
      </c>
      <c r="BJ90" s="219">
        <v>3.5443096108306302E-2</v>
      </c>
      <c r="BK90" s="219">
        <v>3.5486629479766142E-2</v>
      </c>
      <c r="BL90" s="219">
        <v>3.5617232213252921E-2</v>
      </c>
      <c r="BM90" s="219">
        <v>3.5745338097491523E-2</v>
      </c>
      <c r="BN90" s="219">
        <v>3.5729644612060178E-2</v>
      </c>
      <c r="BO90" s="219">
        <v>3.5714591904929503E-2</v>
      </c>
      <c r="BP90" s="219">
        <v>3.5673473748711923E-2</v>
      </c>
      <c r="BQ90" s="219">
        <v>3.5658797547161412E-2</v>
      </c>
      <c r="BR90" s="219">
        <v>3.5643867411050571E-2</v>
      </c>
      <c r="BS90" s="219">
        <v>3.5520947246994609E-2</v>
      </c>
      <c r="BT90" s="219">
        <v>3.5398494940980171E-2</v>
      </c>
      <c r="BU90" s="219">
        <v>3.5251894053377621E-2</v>
      </c>
      <c r="BV90" s="219">
        <v>3.5130674025652273E-2</v>
      </c>
      <c r="BW90" s="219">
        <v>3.5009341332592467E-2</v>
      </c>
      <c r="BX90" s="219">
        <v>3.4984622638301689E-2</v>
      </c>
      <c r="BY90" s="219">
        <v>3.4960105329985232E-2</v>
      </c>
      <c r="BZ90" s="219">
        <v>3.4935692030990027E-2</v>
      </c>
      <c r="CA90" s="219">
        <v>3.4911380127630877E-2</v>
      </c>
      <c r="CB90" s="219">
        <v>3.4887169331119988E-2</v>
      </c>
      <c r="CC90" s="33">
        <v>7.6223413090674246</v>
      </c>
      <c r="CD90" s="219">
        <v>7.6135143978717306</v>
      </c>
      <c r="CE90" s="219">
        <v>7.6046933298918464</v>
      </c>
      <c r="CF90" s="219">
        <v>7.594729842764222</v>
      </c>
      <c r="CG90" s="219">
        <v>7.585758493847762</v>
      </c>
      <c r="CH90" s="219">
        <v>7.5768052019029346</v>
      </c>
      <c r="CI90" s="219">
        <v>7.5742786978770118</v>
      </c>
      <c r="CJ90" s="219">
        <v>7.5717867143173372</v>
      </c>
      <c r="CK90" s="219">
        <v>7.5687138996405583</v>
      </c>
      <c r="CL90" s="219">
        <v>7.5662935493618111</v>
      </c>
      <c r="CM90" s="219">
        <v>7.5639200933200321</v>
      </c>
      <c r="CN90" s="219">
        <v>7.5628673412544138</v>
      </c>
      <c r="CO90" s="219">
        <v>7.5618489530126229</v>
      </c>
      <c r="CP90" s="219">
        <v>7.5606765457582013</v>
      </c>
      <c r="CQ90" s="219">
        <v>7.5596868862687279</v>
      </c>
      <c r="CR90" s="219">
        <v>7.5587052849059866</v>
      </c>
      <c r="CS90" s="219">
        <v>7.5575765114391462</v>
      </c>
      <c r="CT90" s="219">
        <v>7.5564624568575418</v>
      </c>
      <c r="CU90" s="219">
        <v>7.5552385836230211</v>
      </c>
      <c r="CV90" s="219">
        <v>7.5541586111118049</v>
      </c>
      <c r="CW90" s="219">
        <v>7.5531068876304657</v>
      </c>
      <c r="CX90" s="219">
        <v>7.5528229246125713</v>
      </c>
      <c r="CY90" s="219">
        <v>7.5522170691297843</v>
      </c>
      <c r="CZ90" s="219">
        <v>7.5516170442129988</v>
      </c>
      <c r="DA90" s="219">
        <v>7.5510227633189704</v>
      </c>
      <c r="DB90" s="219">
        <v>7.5504341591399866</v>
      </c>
    </row>
    <row r="91" spans="1:106" x14ac:dyDescent="0.35">
      <c r="A91" s="137" t="s">
        <v>548</v>
      </c>
      <c r="B91" s="130" t="s">
        <v>545</v>
      </c>
      <c r="C91" s="33">
        <v>2.5293192857292709E-6</v>
      </c>
      <c r="D91" s="219">
        <v>2.5237868407246439E-6</v>
      </c>
      <c r="E91" s="219">
        <v>2.5182267864155902E-6</v>
      </c>
      <c r="F91" s="219">
        <v>2.4951571753482331E-6</v>
      </c>
      <c r="G91" s="219">
        <v>2.4894964655828669E-6</v>
      </c>
      <c r="H91" s="219">
        <v>2.483865879936799E-6</v>
      </c>
      <c r="I91" s="219">
        <v>2.4816757018242208E-6</v>
      </c>
      <c r="J91" s="219">
        <v>2.4794848665816331E-6</v>
      </c>
      <c r="K91" s="219">
        <v>2.471292236828434E-6</v>
      </c>
      <c r="L91" s="219">
        <v>2.4691728290413949E-6</v>
      </c>
      <c r="M91" s="219">
        <v>2.4670605743019528E-6</v>
      </c>
      <c r="N91" s="219">
        <v>2.4648775136208298E-6</v>
      </c>
      <c r="O91" s="219">
        <v>2.4627217992033461E-6</v>
      </c>
      <c r="P91" s="219">
        <v>2.458130096957008E-6</v>
      </c>
      <c r="Q91" s="219">
        <v>2.4560459336335751E-6</v>
      </c>
      <c r="R91" s="219">
        <v>2.4539822033288568E-6</v>
      </c>
      <c r="S91" s="219">
        <v>2.4520213881562429E-6</v>
      </c>
      <c r="T91" s="219">
        <v>2.450073668042404E-6</v>
      </c>
      <c r="U91" s="219">
        <v>2.446391299940594E-6</v>
      </c>
      <c r="V91" s="219">
        <v>2.4445083660375499E-6</v>
      </c>
      <c r="W91" s="219">
        <v>2.4427683226113992E-6</v>
      </c>
      <c r="X91" s="219">
        <v>2.4507835056185031E-6</v>
      </c>
      <c r="Y91" s="219">
        <v>2.4496628267898388E-6</v>
      </c>
      <c r="Z91" s="219">
        <v>2.4485519514311131E-6</v>
      </c>
      <c r="AA91" s="219">
        <v>2.4474508311336498E-6</v>
      </c>
      <c r="AB91" s="219">
        <v>2.44635945829667E-6</v>
      </c>
      <c r="AC91" s="33">
        <v>1.83873682603753E-8</v>
      </c>
      <c r="AD91" s="219">
        <v>1.8431137613194281E-8</v>
      </c>
      <c r="AE91" s="219">
        <v>1.8473452871315199E-8</v>
      </c>
      <c r="AF91" s="219">
        <v>1.838214297036435E-8</v>
      </c>
      <c r="AG91" s="219">
        <v>1.841791880370395E-8</v>
      </c>
      <c r="AH91" s="219">
        <v>1.8452344636875999E-8</v>
      </c>
      <c r="AI91" s="219">
        <v>1.8527333256721619E-8</v>
      </c>
      <c r="AJ91" s="219">
        <v>1.860138510407682E-8</v>
      </c>
      <c r="AK91" s="219">
        <v>1.8573770765549259E-8</v>
      </c>
      <c r="AL91" s="219">
        <v>1.864363207640084E-8</v>
      </c>
      <c r="AM91" s="219">
        <v>1.871268235113747E-8</v>
      </c>
      <c r="AN91" s="219">
        <v>1.8778693625237049E-8</v>
      </c>
      <c r="AO91" s="219">
        <v>1.8843893633177879E-8</v>
      </c>
      <c r="AP91" s="219">
        <v>1.8866919940668621E-8</v>
      </c>
      <c r="AQ91" s="219">
        <v>1.8929526934295839E-8</v>
      </c>
      <c r="AR91" s="219">
        <v>1.899121178000528E-8</v>
      </c>
      <c r="AS91" s="219">
        <v>1.9023774454422058E-8</v>
      </c>
      <c r="AT91" s="219">
        <v>1.9055650554511928E-8</v>
      </c>
      <c r="AU91" s="219">
        <v>1.9046289008995599E-8</v>
      </c>
      <c r="AV91" s="219">
        <v>1.907607965444973E-8</v>
      </c>
      <c r="AW91" s="219">
        <v>1.9103710337859589E-8</v>
      </c>
      <c r="AX91" s="219">
        <v>1.9201999300278419E-8</v>
      </c>
      <c r="AY91" s="219">
        <v>1.922471697439441E-8</v>
      </c>
      <c r="AZ91" s="219">
        <v>1.9247046079978279E-8</v>
      </c>
      <c r="BA91" s="219">
        <v>1.926898770100606E-8</v>
      </c>
      <c r="BB91" s="219">
        <v>1.9290543079880888E-8</v>
      </c>
      <c r="BC91" s="33">
        <v>0.35685646344425759</v>
      </c>
      <c r="BD91" s="219">
        <v>0.35497372465026772</v>
      </c>
      <c r="BE91" s="219">
        <v>0.35307733078138143</v>
      </c>
      <c r="BF91" s="219">
        <v>0.34247507061400018</v>
      </c>
      <c r="BG91" s="219">
        <v>0.34064751181382402</v>
      </c>
      <c r="BH91" s="219">
        <v>0.33880800028114633</v>
      </c>
      <c r="BI91" s="219">
        <v>0.33762771994177643</v>
      </c>
      <c r="BJ91" s="219">
        <v>0.33644057208478217</v>
      </c>
      <c r="BK91" s="219">
        <v>0.32900116837289223</v>
      </c>
      <c r="BL91" s="219">
        <v>0.32789554771558688</v>
      </c>
      <c r="BM91" s="219">
        <v>0.32678334234791018</v>
      </c>
      <c r="BN91" s="219">
        <v>0.32534378529284902</v>
      </c>
      <c r="BO91" s="219">
        <v>0.32390951696114673</v>
      </c>
      <c r="BP91" s="219">
        <v>0.32058476532141889</v>
      </c>
      <c r="BQ91" s="219">
        <v>0.31920259786418131</v>
      </c>
      <c r="BR91" s="219">
        <v>0.31782437522519869</v>
      </c>
      <c r="BS91" s="219">
        <v>0.31638245145845473</v>
      </c>
      <c r="BT91" s="219">
        <v>0.31494814246859432</v>
      </c>
      <c r="BU91" s="219">
        <v>0.31172684240245951</v>
      </c>
      <c r="BV91" s="219">
        <v>0.31033178310069542</v>
      </c>
      <c r="BW91" s="219">
        <v>0.30893535264872612</v>
      </c>
      <c r="BX91" s="219">
        <v>0.30828255148399608</v>
      </c>
      <c r="BY91" s="219">
        <v>0.307635876428136</v>
      </c>
      <c r="BZ91" s="219">
        <v>0.30699493540746747</v>
      </c>
      <c r="CA91" s="219">
        <v>0.30635972341572332</v>
      </c>
      <c r="CB91" s="219">
        <v>0.30573024635545248</v>
      </c>
      <c r="CC91" s="33">
        <v>18.588222076624419</v>
      </c>
      <c r="CD91" s="219">
        <v>18.542350829374531</v>
      </c>
      <c r="CE91" s="219">
        <v>18.496338322051709</v>
      </c>
      <c r="CF91" s="219">
        <v>18.381432691349531</v>
      </c>
      <c r="CG91" s="219">
        <v>18.336499323482141</v>
      </c>
      <c r="CH91" s="219">
        <v>18.291352183401582</v>
      </c>
      <c r="CI91" s="219">
        <v>18.263363370773941</v>
      </c>
      <c r="CJ91" s="219">
        <v>18.235537744982981</v>
      </c>
      <c r="CK91" s="219">
        <v>18.16433578186999</v>
      </c>
      <c r="CL91" s="219">
        <v>18.137890740000891</v>
      </c>
      <c r="CM91" s="219">
        <v>18.111603049489919</v>
      </c>
      <c r="CN91" s="219">
        <v>18.08634194741958</v>
      </c>
      <c r="CO91" s="219">
        <v>18.06131931126901</v>
      </c>
      <c r="CP91" s="219">
        <v>18.024188209163309</v>
      </c>
      <c r="CQ91" s="219">
        <v>18.00006479322057</v>
      </c>
      <c r="CR91" s="219">
        <v>17.976160753776771</v>
      </c>
      <c r="CS91" s="219">
        <v>17.9571691387169</v>
      </c>
      <c r="CT91" s="219">
        <v>17.938433575231389</v>
      </c>
      <c r="CU91" s="219">
        <v>17.91132293865569</v>
      </c>
      <c r="CV91" s="219">
        <v>17.893467030010989</v>
      </c>
      <c r="CW91" s="219">
        <v>17.876083185824509</v>
      </c>
      <c r="CX91" s="219">
        <v>17.862656255107169</v>
      </c>
      <c r="CY91" s="219">
        <v>17.84869745772118</v>
      </c>
      <c r="CZ91" s="219">
        <v>17.834885630688319</v>
      </c>
      <c r="DA91" s="219">
        <v>17.821220357395891</v>
      </c>
      <c r="DB91" s="219">
        <v>17.807701330245528</v>
      </c>
    </row>
    <row r="92" spans="1:106" x14ac:dyDescent="0.35">
      <c r="A92" s="137" t="s">
        <v>549</v>
      </c>
      <c r="B92" s="130" t="s">
        <v>545</v>
      </c>
      <c r="C92" s="33">
        <v>1.6259127854149079E-6</v>
      </c>
      <c r="D92" s="219">
        <v>1.620222366758572E-6</v>
      </c>
      <c r="E92" s="219">
        <v>1.6145025580375389E-6</v>
      </c>
      <c r="F92" s="219">
        <v>1.589729924160201E-6</v>
      </c>
      <c r="G92" s="219">
        <v>1.5839091239448929E-6</v>
      </c>
      <c r="H92" s="219">
        <v>1.578117487422175E-6</v>
      </c>
      <c r="I92" s="219">
        <v>1.5756908379537781E-6</v>
      </c>
      <c r="J92" s="219">
        <v>1.573264395573412E-6</v>
      </c>
      <c r="K92" s="219">
        <v>1.564316130162457E-6</v>
      </c>
      <c r="L92" s="219">
        <v>1.5619708191111451E-6</v>
      </c>
      <c r="M92" s="219">
        <v>1.5596330143203749E-6</v>
      </c>
      <c r="N92" s="219">
        <v>1.557188160516776E-6</v>
      </c>
      <c r="O92" s="219">
        <v>1.554771516456473E-6</v>
      </c>
      <c r="P92" s="219">
        <v>1.5497079203227789E-6</v>
      </c>
      <c r="Q92" s="219">
        <v>1.5473652109933471E-6</v>
      </c>
      <c r="R92" s="219">
        <v>1.545038267316668E-6</v>
      </c>
      <c r="S92" s="219">
        <v>1.5428870313949809E-6</v>
      </c>
      <c r="T92" s="219">
        <v>1.5407503962970411E-6</v>
      </c>
      <c r="U92" s="219">
        <v>1.536727967645679E-6</v>
      </c>
      <c r="V92" s="219">
        <v>1.5346596256779591E-6</v>
      </c>
      <c r="W92" s="219">
        <v>1.53266280255558E-6</v>
      </c>
      <c r="X92" s="219">
        <v>1.5410708314757131E-6</v>
      </c>
      <c r="Y92" s="219">
        <v>1.5397986251539771E-6</v>
      </c>
      <c r="Z92" s="219">
        <v>1.5385380177982539E-6</v>
      </c>
      <c r="AA92" s="219">
        <v>1.5372889579919939E-6</v>
      </c>
      <c r="AB92" s="219">
        <v>1.5360514372005919E-6</v>
      </c>
      <c r="AC92" s="33">
        <v>1.23500054165806E-8</v>
      </c>
      <c r="AD92" s="219">
        <v>1.2403386125462089E-8</v>
      </c>
      <c r="AE92" s="219">
        <v>1.245525220156479E-8</v>
      </c>
      <c r="AF92" s="219">
        <v>1.2361826716864819E-8</v>
      </c>
      <c r="AG92" s="219">
        <v>1.240670234871996E-8</v>
      </c>
      <c r="AH92" s="219">
        <v>1.2450157820206881E-8</v>
      </c>
      <c r="AI92" s="219">
        <v>1.2537063010519091E-8</v>
      </c>
      <c r="AJ92" s="219">
        <v>1.2622932807121521E-8</v>
      </c>
      <c r="AK92" s="219">
        <v>1.2598305354140479E-8</v>
      </c>
      <c r="AL92" s="219">
        <v>1.267958020311791E-8</v>
      </c>
      <c r="AM92" s="219">
        <v>1.275995359703494E-8</v>
      </c>
      <c r="AN92" s="219">
        <v>1.2836696404542219E-8</v>
      </c>
      <c r="AO92" s="219">
        <v>1.29124975415867E-8</v>
      </c>
      <c r="AP92" s="219">
        <v>1.2942436019481249E-8</v>
      </c>
      <c r="AQ92" s="219">
        <v>1.3015337498616849E-8</v>
      </c>
      <c r="AR92" s="219">
        <v>1.3087253014528229E-8</v>
      </c>
      <c r="AS92" s="219">
        <v>1.312484882059193E-8</v>
      </c>
      <c r="AT92" s="219">
        <v>1.316164626831672E-8</v>
      </c>
      <c r="AU92" s="219">
        <v>1.3153581097118829E-8</v>
      </c>
      <c r="AV92" s="219">
        <v>1.318805910147135E-8</v>
      </c>
      <c r="AW92" s="219">
        <v>1.3221140803907671E-8</v>
      </c>
      <c r="AX92" s="219">
        <v>1.3329477231425749E-8</v>
      </c>
      <c r="AY92" s="219">
        <v>1.335569715871635E-8</v>
      </c>
      <c r="AZ92" s="219">
        <v>1.338146212423748E-8</v>
      </c>
      <c r="BA92" s="219">
        <v>1.34067733490309E-8</v>
      </c>
      <c r="BB92" s="219">
        <v>1.343163221853239E-8</v>
      </c>
      <c r="BC92" s="33">
        <v>0.39667412860258588</v>
      </c>
      <c r="BD92" s="219">
        <v>0.39451876088207982</v>
      </c>
      <c r="BE92" s="219">
        <v>0.39234961131002011</v>
      </c>
      <c r="BF92" s="219">
        <v>0.3807148345894118</v>
      </c>
      <c r="BG92" s="219">
        <v>0.37862304092828469</v>
      </c>
      <c r="BH92" s="219">
        <v>0.37651915614103149</v>
      </c>
      <c r="BI92" s="219">
        <v>0.37508943268803102</v>
      </c>
      <c r="BJ92" s="219">
        <v>0.37365348675256838</v>
      </c>
      <c r="BK92" s="219">
        <v>0.36542338913353672</v>
      </c>
      <c r="BL92" s="219">
        <v>0.3640784896764328</v>
      </c>
      <c r="BM92" s="219">
        <v>0.36272787762478959</v>
      </c>
      <c r="BN92" s="219">
        <v>0.36107795756411992</v>
      </c>
      <c r="BO92" s="219">
        <v>0.35943417549304429</v>
      </c>
      <c r="BP92" s="219">
        <v>0.35573673973056608</v>
      </c>
      <c r="BQ92" s="219">
        <v>0.35415061531373482</v>
      </c>
      <c r="BR92" s="219">
        <v>0.35256954563248638</v>
      </c>
      <c r="BS92" s="219">
        <v>0.35097488692055662</v>
      </c>
      <c r="BT92" s="219">
        <v>0.34938893930303389</v>
      </c>
      <c r="BU92" s="219">
        <v>0.34586181420993989</v>
      </c>
      <c r="BV92" s="219">
        <v>0.34432008891972421</v>
      </c>
      <c r="BW92" s="219">
        <v>0.34278351583391509</v>
      </c>
      <c r="BX92" s="219">
        <v>0.34203863404409268</v>
      </c>
      <c r="BY92" s="219">
        <v>0.34130093354989333</v>
      </c>
      <c r="BZ92" s="219">
        <v>0.3405700031695949</v>
      </c>
      <c r="CA92" s="219">
        <v>0.33984583893654807</v>
      </c>
      <c r="CB92" s="219">
        <v>0.33912844837672562</v>
      </c>
      <c r="CC92" s="33">
        <v>7.3026399769124541</v>
      </c>
      <c r="CD92" s="219">
        <v>7.254435660395572</v>
      </c>
      <c r="CE92" s="219">
        <v>7.2061123935512139</v>
      </c>
      <c r="CF92" s="219">
        <v>7.0829118972697547</v>
      </c>
      <c r="CG92" s="219">
        <v>7.0358553518527778</v>
      </c>
      <c r="CH92" s="219">
        <v>6.9886029369134901</v>
      </c>
      <c r="CI92" s="219">
        <v>6.9576300395017778</v>
      </c>
      <c r="CJ92" s="219">
        <v>6.9268416912697832</v>
      </c>
      <c r="CK92" s="219">
        <v>6.8489233447784548</v>
      </c>
      <c r="CL92" s="219">
        <v>6.8196500330433096</v>
      </c>
      <c r="CM92" s="219">
        <v>6.7905542635492786</v>
      </c>
      <c r="CN92" s="219">
        <v>6.7618920480080993</v>
      </c>
      <c r="CO92" s="219">
        <v>6.7334998291395456</v>
      </c>
      <c r="CP92" s="219">
        <v>6.6919643635563544</v>
      </c>
      <c r="CQ92" s="219">
        <v>6.6645704804456756</v>
      </c>
      <c r="CR92" s="219">
        <v>6.6374188710509516</v>
      </c>
      <c r="CS92" s="219">
        <v>6.6162557370520494</v>
      </c>
      <c r="CT92" s="219">
        <v>6.5953842706997694</v>
      </c>
      <c r="CU92" s="219">
        <v>6.5654230465640309</v>
      </c>
      <c r="CV92" s="219">
        <v>6.5455307202529438</v>
      </c>
      <c r="CW92" s="219">
        <v>6.5260120505243977</v>
      </c>
      <c r="CX92" s="219">
        <v>6.5106093216324927</v>
      </c>
      <c r="CY92" s="219">
        <v>6.4947099268461583</v>
      </c>
      <c r="CZ92" s="219">
        <v>6.478982488939435</v>
      </c>
      <c r="DA92" s="219">
        <v>6.4634265630162107</v>
      </c>
      <c r="DB92" s="219">
        <v>6.4480418186471899</v>
      </c>
    </row>
    <row r="93" spans="1:106" x14ac:dyDescent="0.35">
      <c r="A93" s="137" t="s">
        <v>550</v>
      </c>
      <c r="B93" s="130" t="s">
        <v>545</v>
      </c>
      <c r="C93" s="33">
        <v>6.2711383489265733E-6</v>
      </c>
      <c r="D93" s="219">
        <v>6.2184674392328722E-6</v>
      </c>
      <c r="E93" s="219">
        <v>6.1650224668447809E-6</v>
      </c>
      <c r="F93" s="219">
        <v>6.0248991810259209E-6</v>
      </c>
      <c r="G93" s="219">
        <v>5.9687722332569194E-6</v>
      </c>
      <c r="H93" s="219">
        <v>5.9121273780019216E-6</v>
      </c>
      <c r="I93" s="219">
        <v>5.8976964879068089E-6</v>
      </c>
      <c r="J93" s="219">
        <v>5.8830598482189814E-6</v>
      </c>
      <c r="K93" s="219">
        <v>5.8393569954192706E-6</v>
      </c>
      <c r="L93" s="219">
        <v>5.824672537533514E-6</v>
      </c>
      <c r="M93" s="219">
        <v>5.809831958662566E-6</v>
      </c>
      <c r="N93" s="219">
        <v>5.7958972536584867E-6</v>
      </c>
      <c r="O93" s="219">
        <v>5.7820843023853476E-6</v>
      </c>
      <c r="P93" s="219">
        <v>5.7565753984091474E-6</v>
      </c>
      <c r="Q93" s="219">
        <v>5.7431010451111303E-6</v>
      </c>
      <c r="R93" s="219">
        <v>5.7297471067361919E-6</v>
      </c>
      <c r="S93" s="219">
        <v>5.7172972751734197E-6</v>
      </c>
      <c r="T93" s="219">
        <v>5.7049605832963492E-6</v>
      </c>
      <c r="U93" s="219">
        <v>5.6843043650196516E-6</v>
      </c>
      <c r="V93" s="219">
        <v>5.6723893976939593E-6</v>
      </c>
      <c r="W93" s="219">
        <v>5.6617005323761192E-6</v>
      </c>
      <c r="X93" s="219">
        <v>5.7082156174163659E-6</v>
      </c>
      <c r="Y93" s="219">
        <v>5.7025210901572712E-6</v>
      </c>
      <c r="Z93" s="219">
        <v>5.6968763322372638E-6</v>
      </c>
      <c r="AA93" s="219">
        <v>5.6912810253079144E-6</v>
      </c>
      <c r="AB93" s="219">
        <v>5.6857352637203551E-6</v>
      </c>
      <c r="AC93" s="33">
        <v>6.265908025233693E-8</v>
      </c>
      <c r="AD93" s="219">
        <v>6.2687570909410545E-8</v>
      </c>
      <c r="AE93" s="219">
        <v>6.2693453562181451E-8</v>
      </c>
      <c r="AF93" s="219">
        <v>6.2037309679291291E-8</v>
      </c>
      <c r="AG93" s="219">
        <v>6.1978087081263678E-8</v>
      </c>
      <c r="AH93" s="219">
        <v>6.1891872820497067E-8</v>
      </c>
      <c r="AI93" s="219">
        <v>6.2257413766423868E-8</v>
      </c>
      <c r="AJ93" s="219">
        <v>6.2615828258872798E-8</v>
      </c>
      <c r="AK93" s="219">
        <v>6.2483807275869201E-8</v>
      </c>
      <c r="AL93" s="219">
        <v>6.2817780539230117E-8</v>
      </c>
      <c r="AM93" s="219">
        <v>6.3146018839304064E-8</v>
      </c>
      <c r="AN93" s="219">
        <v>6.3460920807517394E-8</v>
      </c>
      <c r="AO93" s="219">
        <v>6.3771882908644581E-8</v>
      </c>
      <c r="AP93" s="219">
        <v>6.3880521272274292E-8</v>
      </c>
      <c r="AQ93" s="219">
        <v>6.4178765287901486E-8</v>
      </c>
      <c r="AR93" s="219">
        <v>6.4472124778633233E-8</v>
      </c>
      <c r="AS93" s="219">
        <v>6.4616067998916469E-8</v>
      </c>
      <c r="AT93" s="219">
        <v>6.475681331268372E-8</v>
      </c>
      <c r="AU93" s="219">
        <v>6.4699270519996427E-8</v>
      </c>
      <c r="AV93" s="219">
        <v>6.4829874903079528E-8</v>
      </c>
      <c r="AW93" s="219">
        <v>6.4944316098605353E-8</v>
      </c>
      <c r="AX93" s="219">
        <v>6.5360401134604623E-8</v>
      </c>
      <c r="AY93" s="219">
        <v>6.54739957603832E-8</v>
      </c>
      <c r="AZ93" s="219">
        <v>6.5585514672825639E-8</v>
      </c>
      <c r="BA93" s="219">
        <v>6.5694963487932937E-8</v>
      </c>
      <c r="BB93" s="219">
        <v>6.5802350050552007E-8</v>
      </c>
      <c r="BC93" s="33">
        <v>1.8034153045248631</v>
      </c>
      <c r="BD93" s="219">
        <v>1.7917902167737401</v>
      </c>
      <c r="BE93" s="219">
        <v>1.779976826110268</v>
      </c>
      <c r="BF93" s="219">
        <v>1.726022633733282</v>
      </c>
      <c r="BG93" s="219">
        <v>1.7142540121148639</v>
      </c>
      <c r="BH93" s="219">
        <v>1.7022542169281949</v>
      </c>
      <c r="BI93" s="219">
        <v>1.6989297344323471</v>
      </c>
      <c r="BJ93" s="219">
        <v>1.695480147307306</v>
      </c>
      <c r="BK93" s="219">
        <v>1.6618872157151849</v>
      </c>
      <c r="BL93" s="219">
        <v>1.658648945974686</v>
      </c>
      <c r="BM93" s="219">
        <v>1.6552910840045909</v>
      </c>
      <c r="BN93" s="219">
        <v>1.648239520694055</v>
      </c>
      <c r="BO93" s="219">
        <v>1.6412096211079239</v>
      </c>
      <c r="BP93" s="219">
        <v>1.6250976733053359</v>
      </c>
      <c r="BQ93" s="219">
        <v>1.6183101818682311</v>
      </c>
      <c r="BR93" s="219">
        <v>1.611535674102123</v>
      </c>
      <c r="BS93" s="219">
        <v>1.6028356516657161</v>
      </c>
      <c r="BT93" s="219">
        <v>1.5941949975120739</v>
      </c>
      <c r="BU93" s="219">
        <v>1.5769942301439579</v>
      </c>
      <c r="BV93" s="219">
        <v>1.568583618788886</v>
      </c>
      <c r="BW93" s="219">
        <v>1.5601526980930791</v>
      </c>
      <c r="BX93" s="219">
        <v>1.5569256355758629</v>
      </c>
      <c r="BY93" s="219">
        <v>1.553729656602838</v>
      </c>
      <c r="BZ93" s="219">
        <v>1.550560502388423</v>
      </c>
      <c r="CA93" s="219">
        <v>1.5474181038718611</v>
      </c>
      <c r="CB93" s="219">
        <v>1.544302498458209</v>
      </c>
      <c r="CC93" s="33">
        <v>25.08844714820297</v>
      </c>
      <c r="CD93" s="219">
        <v>24.715120108969039</v>
      </c>
      <c r="CE93" s="219">
        <v>24.337486916318181</v>
      </c>
      <c r="CF93" s="219">
        <v>23.622847672425241</v>
      </c>
      <c r="CG93" s="219">
        <v>23.24104141564235</v>
      </c>
      <c r="CH93" s="219">
        <v>22.852281594200829</v>
      </c>
      <c r="CI93" s="219">
        <v>22.68118324323434</v>
      </c>
      <c r="CJ93" s="219">
        <v>22.51116294818819</v>
      </c>
      <c r="CK93" s="219">
        <v>22.133121111521429</v>
      </c>
      <c r="CL93" s="219">
        <v>21.9702521003173</v>
      </c>
      <c r="CM93" s="219">
        <v>21.808355203321049</v>
      </c>
      <c r="CN93" s="219">
        <v>21.674362934698191</v>
      </c>
      <c r="CO93" s="219">
        <v>21.541632042486341</v>
      </c>
      <c r="CP93" s="219">
        <v>21.350898506252879</v>
      </c>
      <c r="CQ93" s="219">
        <v>21.222736833382172</v>
      </c>
      <c r="CR93" s="219">
        <v>21.095792080331179</v>
      </c>
      <c r="CS93" s="219">
        <v>20.993384889403622</v>
      </c>
      <c r="CT93" s="219">
        <v>20.892467045950809</v>
      </c>
      <c r="CU93" s="219">
        <v>20.75147982786757</v>
      </c>
      <c r="CV93" s="219">
        <v>20.655325020725659</v>
      </c>
      <c r="CW93" s="219">
        <v>20.562584493868279</v>
      </c>
      <c r="CX93" s="219">
        <v>20.492941280273119</v>
      </c>
      <c r="CY93" s="219">
        <v>20.42117986209119</v>
      </c>
      <c r="CZ93" s="219">
        <v>20.350266387102071</v>
      </c>
      <c r="DA93" s="219">
        <v>20.280198113628099</v>
      </c>
      <c r="DB93" s="219">
        <v>20.210973231114309</v>
      </c>
    </row>
    <row r="94" spans="1:106" x14ac:dyDescent="0.35">
      <c r="A94" s="137" t="s">
        <v>551</v>
      </c>
      <c r="B94" s="130" t="s">
        <v>545</v>
      </c>
      <c r="C94" s="33">
        <v>3.1384004568563811E-6</v>
      </c>
      <c r="D94" s="219">
        <v>3.125003540903394E-6</v>
      </c>
      <c r="E94" s="219">
        <v>3.1115625409076179E-6</v>
      </c>
      <c r="F94" s="219">
        <v>3.0449806920759961E-6</v>
      </c>
      <c r="G94" s="219">
        <v>3.031378459382026E-6</v>
      </c>
      <c r="H94" s="219">
        <v>3.017898711471899E-6</v>
      </c>
      <c r="I94" s="219">
        <v>3.0113293552312338E-6</v>
      </c>
      <c r="J94" s="219">
        <v>3.004775202035896E-6</v>
      </c>
      <c r="K94" s="219">
        <v>2.979994204675823E-6</v>
      </c>
      <c r="L94" s="219">
        <v>2.9736960054654249E-6</v>
      </c>
      <c r="M94" s="219">
        <v>2.9674318268670828E-6</v>
      </c>
      <c r="N94" s="219">
        <v>2.9608054914330869E-6</v>
      </c>
      <c r="O94" s="219">
        <v>2.9542578155506059E-6</v>
      </c>
      <c r="P94" s="219">
        <v>2.9403054658790989E-6</v>
      </c>
      <c r="Q94" s="219">
        <v>2.933964599747032E-6</v>
      </c>
      <c r="R94" s="219">
        <v>2.9276654481527801E-6</v>
      </c>
      <c r="S94" s="219">
        <v>2.9219200152529171E-6</v>
      </c>
      <c r="T94" s="219">
        <v>2.916213802333562E-6</v>
      </c>
      <c r="U94" s="219">
        <v>2.9052322958821349E-6</v>
      </c>
      <c r="V94" s="219">
        <v>2.8997096228508619E-6</v>
      </c>
      <c r="W94" s="219">
        <v>2.8943336794041688E-6</v>
      </c>
      <c r="X94" s="219">
        <v>2.917247782913296E-6</v>
      </c>
      <c r="Y94" s="219">
        <v>2.9136974899823082E-6</v>
      </c>
      <c r="Z94" s="219">
        <v>2.9101800335949962E-6</v>
      </c>
      <c r="AA94" s="219">
        <v>2.906695279293953E-6</v>
      </c>
      <c r="AB94" s="219">
        <v>2.903243194566913E-6</v>
      </c>
      <c r="AC94" s="33">
        <v>2.5623131734571538E-8</v>
      </c>
      <c r="AD94" s="219">
        <v>2.5791015346170931E-8</v>
      </c>
      <c r="AE94" s="219">
        <v>2.595576510560807E-8</v>
      </c>
      <c r="AF94" s="219">
        <v>2.5715491317044429E-8</v>
      </c>
      <c r="AG94" s="219">
        <v>2.5862947315316999E-8</v>
      </c>
      <c r="AH94" s="219">
        <v>2.6007765481695691E-8</v>
      </c>
      <c r="AI94" s="219">
        <v>2.625402471078004E-8</v>
      </c>
      <c r="AJ94" s="219">
        <v>2.649759881316741E-8</v>
      </c>
      <c r="AK94" s="219">
        <v>2.6432225981503829E-8</v>
      </c>
      <c r="AL94" s="219">
        <v>2.666328586399154E-8</v>
      </c>
      <c r="AM94" s="219">
        <v>2.6891968725328421E-8</v>
      </c>
      <c r="AN94" s="219">
        <v>2.711074488136326E-8</v>
      </c>
      <c r="AO94" s="219">
        <v>2.7326846252162209E-8</v>
      </c>
      <c r="AP94" s="219">
        <v>2.7414592823163099E-8</v>
      </c>
      <c r="AQ94" s="219">
        <v>2.7622527568879861E-8</v>
      </c>
      <c r="AR94" s="219">
        <v>2.7827709908114441E-8</v>
      </c>
      <c r="AS94" s="219">
        <v>2.793556270187289E-8</v>
      </c>
      <c r="AT94" s="219">
        <v>2.8041140597246161E-8</v>
      </c>
      <c r="AU94" s="219">
        <v>2.802120152414605E-8</v>
      </c>
      <c r="AV94" s="219">
        <v>2.812024025692701E-8</v>
      </c>
      <c r="AW94" s="219">
        <v>2.8215933831304089E-8</v>
      </c>
      <c r="AX94" s="219">
        <v>2.849932567311923E-8</v>
      </c>
      <c r="AY94" s="219">
        <v>2.8573165437383919E-8</v>
      </c>
      <c r="AZ94" s="219">
        <v>2.864572652873113E-8</v>
      </c>
      <c r="BA94" s="219">
        <v>2.8717012364118558E-8</v>
      </c>
      <c r="BB94" s="219">
        <v>2.878702669617401E-8</v>
      </c>
      <c r="BC94" s="33">
        <v>1.1046842009991349</v>
      </c>
      <c r="BD94" s="219">
        <v>1.0988174831032489</v>
      </c>
      <c r="BE94" s="219">
        <v>1.092920376081477</v>
      </c>
      <c r="BF94" s="219">
        <v>1.0605678457760721</v>
      </c>
      <c r="BG94" s="219">
        <v>1.0549061802790729</v>
      </c>
      <c r="BH94" s="219">
        <v>1.0492217560026611</v>
      </c>
      <c r="BI94" s="219">
        <v>1.04489686880107</v>
      </c>
      <c r="BJ94" s="219">
        <v>1.040562461373794</v>
      </c>
      <c r="BK94" s="219">
        <v>1.017230951854794</v>
      </c>
      <c r="BL94" s="219">
        <v>1.013166658310753</v>
      </c>
      <c r="BM94" s="219">
        <v>1.009093920783134</v>
      </c>
      <c r="BN94" s="219">
        <v>1.0044201911011039</v>
      </c>
      <c r="BO94" s="219">
        <v>0.99976416176336758</v>
      </c>
      <c r="BP94" s="219">
        <v>0.98936361267445116</v>
      </c>
      <c r="BQ94" s="219">
        <v>0.98487007419730721</v>
      </c>
      <c r="BR94" s="219">
        <v>0.98039149192241926</v>
      </c>
      <c r="BS94" s="219">
        <v>0.9760777610775323</v>
      </c>
      <c r="BT94" s="219">
        <v>0.97178712537082756</v>
      </c>
      <c r="BU94" s="219">
        <v>0.96206481280865774</v>
      </c>
      <c r="BV94" s="219">
        <v>0.95789575085117906</v>
      </c>
      <c r="BW94" s="219">
        <v>0.95374356643787317</v>
      </c>
      <c r="BX94" s="219">
        <v>0.95164857727292829</v>
      </c>
      <c r="BY94" s="219">
        <v>0.94957380061375729</v>
      </c>
      <c r="BZ94" s="219">
        <v>0.94751828167350627</v>
      </c>
      <c r="CA94" s="219">
        <v>0.94548201452630143</v>
      </c>
      <c r="CB94" s="219">
        <v>0.94346502087554551</v>
      </c>
      <c r="CC94" s="33">
        <v>8.6521866472479996</v>
      </c>
      <c r="CD94" s="219">
        <v>8.5308751974657113</v>
      </c>
      <c r="CE94" s="219">
        <v>8.4095061351349347</v>
      </c>
      <c r="CF94" s="219">
        <v>8.0791468876330477</v>
      </c>
      <c r="CG94" s="219">
        <v>7.9620332278579644</v>
      </c>
      <c r="CH94" s="219">
        <v>7.8447992182446518</v>
      </c>
      <c r="CI94" s="219">
        <v>7.7605939368006549</v>
      </c>
      <c r="CJ94" s="219">
        <v>7.6768846941811466</v>
      </c>
      <c r="CK94" s="219">
        <v>7.4613077386992934</v>
      </c>
      <c r="CL94" s="219">
        <v>7.3818035431344793</v>
      </c>
      <c r="CM94" s="219">
        <v>7.3027823871993833</v>
      </c>
      <c r="CN94" s="219">
        <v>7.2227517805547103</v>
      </c>
      <c r="CO94" s="219">
        <v>7.1434778648563606</v>
      </c>
      <c r="CP94" s="219">
        <v>7.0274368893454717</v>
      </c>
      <c r="CQ94" s="219">
        <v>6.9509600863732741</v>
      </c>
      <c r="CR94" s="219">
        <v>6.8751596067602074</v>
      </c>
      <c r="CS94" s="219">
        <v>6.8166669790100887</v>
      </c>
      <c r="CT94" s="219">
        <v>6.7589815329207861</v>
      </c>
      <c r="CU94" s="219">
        <v>6.6758672585403724</v>
      </c>
      <c r="CV94" s="219">
        <v>6.6209012093876893</v>
      </c>
      <c r="CW94" s="219">
        <v>6.566880568684498</v>
      </c>
      <c r="CX94" s="219">
        <v>6.523525408689701</v>
      </c>
      <c r="CY94" s="219">
        <v>6.4790748982300288</v>
      </c>
      <c r="CZ94" s="219">
        <v>6.4351038690050704</v>
      </c>
      <c r="DA94" s="219">
        <v>6.3916111349605176</v>
      </c>
      <c r="DB94" s="219">
        <v>6.3485957964942186</v>
      </c>
    </row>
    <row r="95" spans="1:106" x14ac:dyDescent="0.35">
      <c r="A95" s="137" t="s">
        <v>552</v>
      </c>
      <c r="B95" s="130" t="s">
        <v>545</v>
      </c>
      <c r="C95" s="33">
        <v>3.3183186372797481E-6</v>
      </c>
      <c r="D95" s="219">
        <v>3.3109525753209138E-6</v>
      </c>
      <c r="E95" s="219">
        <v>3.3035421546310701E-6</v>
      </c>
      <c r="F95" s="219">
        <v>3.2749608149362E-6</v>
      </c>
      <c r="G95" s="219">
        <v>3.2673924254839681E-6</v>
      </c>
      <c r="H95" s="219">
        <v>3.259848675675038E-6</v>
      </c>
      <c r="I95" s="219">
        <v>3.257131283311447E-6</v>
      </c>
      <c r="J95" s="219">
        <v>3.2544090712410919E-6</v>
      </c>
      <c r="K95" s="219">
        <v>3.24444357097032E-6</v>
      </c>
      <c r="L95" s="219">
        <v>3.2417996168469609E-6</v>
      </c>
      <c r="M95" s="219">
        <v>3.2391605522522679E-6</v>
      </c>
      <c r="N95" s="219">
        <v>3.2364482206880852E-6</v>
      </c>
      <c r="O95" s="219">
        <v>3.2337688252838701E-6</v>
      </c>
      <c r="P95" s="219">
        <v>3.2281517238436319E-6</v>
      </c>
      <c r="Q95" s="219">
        <v>3.2255579743867382E-6</v>
      </c>
      <c r="R95" s="219">
        <v>3.222988359608805E-6</v>
      </c>
      <c r="S95" s="219">
        <v>3.2205353907661139E-6</v>
      </c>
      <c r="T95" s="219">
        <v>3.2180981103079069E-6</v>
      </c>
      <c r="U95" s="219">
        <v>3.2135686577853259E-6</v>
      </c>
      <c r="V95" s="219">
        <v>3.2112113195085242E-6</v>
      </c>
      <c r="W95" s="219">
        <v>3.2090260892867302E-6</v>
      </c>
      <c r="X95" s="219">
        <v>3.2189248130339769E-6</v>
      </c>
      <c r="Y95" s="219">
        <v>3.2175593556871999E-6</v>
      </c>
      <c r="Z95" s="219">
        <v>3.2162057778997119E-6</v>
      </c>
      <c r="AA95" s="219">
        <v>3.2148640186317049E-6</v>
      </c>
      <c r="AB95" s="219">
        <v>3.2135340712123582E-6</v>
      </c>
      <c r="AC95" s="33">
        <v>2.392725543251623E-8</v>
      </c>
      <c r="AD95" s="219">
        <v>2.397526458687849E-8</v>
      </c>
      <c r="AE95" s="219">
        <v>2.4021210405977261E-8</v>
      </c>
      <c r="AF95" s="219">
        <v>2.3905571018899609E-8</v>
      </c>
      <c r="AG95" s="219">
        <v>2.3942992376451471E-8</v>
      </c>
      <c r="AH95" s="219">
        <v>2.3978407629375102E-8</v>
      </c>
      <c r="AI95" s="219">
        <v>2.406863533943037E-8</v>
      </c>
      <c r="AJ95" s="219">
        <v>2.4157667787004341E-8</v>
      </c>
      <c r="AK95" s="219">
        <v>2.4124038278401301E-8</v>
      </c>
      <c r="AL95" s="219">
        <v>2.4207907959366491E-8</v>
      </c>
      <c r="AM95" s="219">
        <v>2.42907509242184E-8</v>
      </c>
      <c r="AN95" s="219">
        <v>2.4369690840073929E-8</v>
      </c>
      <c r="AO95" s="219">
        <v>2.4447653373078669E-8</v>
      </c>
      <c r="AP95" s="219">
        <v>2.447476469141437E-8</v>
      </c>
      <c r="AQ95" s="219">
        <v>2.4549600626978959E-8</v>
      </c>
      <c r="AR95" s="219">
        <v>2.462332587754581E-8</v>
      </c>
      <c r="AS95" s="219">
        <v>2.4662120721087229E-8</v>
      </c>
      <c r="AT95" s="219">
        <v>2.4700090040348592E-8</v>
      </c>
      <c r="AU95" s="219">
        <v>2.468832190637798E-8</v>
      </c>
      <c r="AV95" s="219">
        <v>2.4723781314156702E-8</v>
      </c>
      <c r="AW95" s="219">
        <v>2.4756651622001429E-8</v>
      </c>
      <c r="AX95" s="219">
        <v>2.4893710588714429E-8</v>
      </c>
      <c r="AY95" s="219">
        <v>2.4921257045779981E-8</v>
      </c>
      <c r="AZ95" s="219">
        <v>2.4948330516008559E-8</v>
      </c>
      <c r="BA95" s="219">
        <v>2.4974932312648512E-8</v>
      </c>
      <c r="BB95" s="219">
        <v>2.500106397620887E-8</v>
      </c>
      <c r="BC95" s="33">
        <v>0.43724460634444268</v>
      </c>
      <c r="BD95" s="219">
        <v>0.4349031413809934</v>
      </c>
      <c r="BE95" s="219">
        <v>0.43254304012341738</v>
      </c>
      <c r="BF95" s="219">
        <v>0.41967551777867901</v>
      </c>
      <c r="BG95" s="219">
        <v>0.41739335220417662</v>
      </c>
      <c r="BH95" s="219">
        <v>0.41509377013083099</v>
      </c>
      <c r="BI95" s="219">
        <v>0.41374069097806748</v>
      </c>
      <c r="BJ95" s="219">
        <v>0.41237723164479612</v>
      </c>
      <c r="BK95" s="219">
        <v>0.40347079048900292</v>
      </c>
      <c r="BL95" s="219">
        <v>0.40220155368074861</v>
      </c>
      <c r="BM95" s="219">
        <v>0.40092242681681622</v>
      </c>
      <c r="BN95" s="219">
        <v>0.39918923675168461</v>
      </c>
      <c r="BO95" s="219">
        <v>0.39746234311099671</v>
      </c>
      <c r="BP95" s="219">
        <v>0.39345550808339258</v>
      </c>
      <c r="BQ95" s="219">
        <v>0.39179127804130648</v>
      </c>
      <c r="BR95" s="219">
        <v>0.39013170232353139</v>
      </c>
      <c r="BS95" s="219">
        <v>0.38834245293316028</v>
      </c>
      <c r="BT95" s="219">
        <v>0.38656284042960898</v>
      </c>
      <c r="BU95" s="219">
        <v>0.38262863581176709</v>
      </c>
      <c r="BV95" s="219">
        <v>0.38089727710366872</v>
      </c>
      <c r="BW95" s="219">
        <v>0.37916479781794638</v>
      </c>
      <c r="BX95" s="219">
        <v>0.37837394733606899</v>
      </c>
      <c r="BY95" s="219">
        <v>0.37759054846118012</v>
      </c>
      <c r="BZ95" s="219">
        <v>0.37681407225859609</v>
      </c>
      <c r="CA95" s="219">
        <v>0.37604451141395889</v>
      </c>
      <c r="CB95" s="219">
        <v>0.37528187306370359</v>
      </c>
      <c r="CC95" s="33">
        <v>24.16849668739491</v>
      </c>
      <c r="CD95" s="219">
        <v>24.109428520528098</v>
      </c>
      <c r="CE95" s="219">
        <v>24.05011715112218</v>
      </c>
      <c r="CF95" s="219">
        <v>23.907578449073231</v>
      </c>
      <c r="CG95" s="219">
        <v>23.8493783923942</v>
      </c>
      <c r="CH95" s="219">
        <v>23.790803841487531</v>
      </c>
      <c r="CI95" s="219">
        <v>23.756208059744569</v>
      </c>
      <c r="CJ95" s="219">
        <v>23.721816676424009</v>
      </c>
      <c r="CK95" s="219">
        <v>23.635121447964579</v>
      </c>
      <c r="CL95" s="219">
        <v>23.6024078247282</v>
      </c>
      <c r="CM95" s="219">
        <v>23.56988954639213</v>
      </c>
      <c r="CN95" s="219">
        <v>23.539143327597589</v>
      </c>
      <c r="CO95" s="219">
        <v>23.50868662196352</v>
      </c>
      <c r="CP95" s="219">
        <v>23.46362980487288</v>
      </c>
      <c r="CQ95" s="219">
        <v>23.434260364205169</v>
      </c>
      <c r="CR95" s="219">
        <v>23.405156635943069</v>
      </c>
      <c r="CS95" s="219">
        <v>23.381925981476851</v>
      </c>
      <c r="CT95" s="219">
        <v>23.359009287350631</v>
      </c>
      <c r="CU95" s="219">
        <v>23.325994591216791</v>
      </c>
      <c r="CV95" s="219">
        <v>23.304149046310268</v>
      </c>
      <c r="CW95" s="219">
        <v>23.282875751880251</v>
      </c>
      <c r="CX95" s="219">
        <v>23.266655333352698</v>
      </c>
      <c r="CY95" s="219">
        <v>23.2496649146149</v>
      </c>
      <c r="CZ95" s="219">
        <v>23.232854474860449</v>
      </c>
      <c r="DA95" s="219">
        <v>23.216223495032828</v>
      </c>
      <c r="DB95" s="219">
        <v>23.199771596983489</v>
      </c>
    </row>
    <row r="96" spans="1:106" x14ac:dyDescent="0.35">
      <c r="A96" s="137" t="s">
        <v>553</v>
      </c>
      <c r="B96" s="130" t="s">
        <v>545</v>
      </c>
      <c r="C96" s="33">
        <v>7.6127635565740197E-7</v>
      </c>
      <c r="D96" s="219">
        <v>7.5981693060630525E-7</v>
      </c>
      <c r="E96" s="219">
        <v>7.5811378215514278E-7</v>
      </c>
      <c r="F96" s="219">
        <v>7.4245799567864097E-7</v>
      </c>
      <c r="G96" s="219">
        <v>7.3913970318277306E-7</v>
      </c>
      <c r="H96" s="219">
        <v>7.3590927806924029E-7</v>
      </c>
      <c r="I96" s="219">
        <v>7.3444427541919174E-7</v>
      </c>
      <c r="J96" s="219">
        <v>7.3298746229402891E-7</v>
      </c>
      <c r="K96" s="219">
        <v>7.2724970212863475E-7</v>
      </c>
      <c r="L96" s="219">
        <v>7.258600561897546E-7</v>
      </c>
      <c r="M96" s="219">
        <v>7.244876505886123E-7</v>
      </c>
      <c r="N96" s="219">
        <v>7.2299384779855706E-7</v>
      </c>
      <c r="O96" s="219">
        <v>7.2152524723691617E-7</v>
      </c>
      <c r="P96" s="219">
        <v>7.1831287053543299E-7</v>
      </c>
      <c r="Q96" s="219">
        <v>7.1689663393912558E-7</v>
      </c>
      <c r="R96" s="219">
        <v>7.1549579144246709E-7</v>
      </c>
      <c r="S96" s="219">
        <v>7.1421630007860331E-7</v>
      </c>
      <c r="T96" s="219">
        <v>7.1294250617874218E-7</v>
      </c>
      <c r="U96" s="219">
        <v>7.1042907754936029E-7</v>
      </c>
      <c r="V96" s="219">
        <v>7.0919273969403291E-7</v>
      </c>
      <c r="W96" s="219">
        <v>7.0806461844622291E-7</v>
      </c>
      <c r="X96" s="219">
        <v>7.215609530696525E-7</v>
      </c>
      <c r="Y96" s="219">
        <v>7.2089857482496908E-7</v>
      </c>
      <c r="Z96" s="219">
        <v>7.202399830193801E-7</v>
      </c>
      <c r="AA96" s="219">
        <v>7.1958515110772744E-7</v>
      </c>
      <c r="AB96" s="219">
        <v>7.189340747641324E-7</v>
      </c>
      <c r="AC96" s="33">
        <v>4.2322352668541416E-9</v>
      </c>
      <c r="AD96" s="219">
        <v>4.2633667916557057E-9</v>
      </c>
      <c r="AE96" s="219">
        <v>4.2939361255109381E-9</v>
      </c>
      <c r="AF96" s="219">
        <v>4.2299534396038168E-9</v>
      </c>
      <c r="AG96" s="219">
        <v>4.256713777255096E-9</v>
      </c>
      <c r="AH96" s="219">
        <v>4.2830988305499458E-9</v>
      </c>
      <c r="AI96" s="219">
        <v>4.3221314511353413E-9</v>
      </c>
      <c r="AJ96" s="219">
        <v>4.3607127930226343E-9</v>
      </c>
      <c r="AK96" s="219">
        <v>4.3267096194273009E-9</v>
      </c>
      <c r="AL96" s="219">
        <v>4.3627006969088489E-9</v>
      </c>
      <c r="AM96" s="219">
        <v>4.3983165840818677E-9</v>
      </c>
      <c r="AN96" s="219">
        <v>4.4375859357833288E-9</v>
      </c>
      <c r="AO96" s="219">
        <v>4.4764652482699924E-9</v>
      </c>
      <c r="AP96" s="219">
        <v>4.4852901807359073E-9</v>
      </c>
      <c r="AQ96" s="219">
        <v>4.5226582237755146E-9</v>
      </c>
      <c r="AR96" s="219">
        <v>4.5595246204560134E-9</v>
      </c>
      <c r="AS96" s="219">
        <v>4.5789998586814499E-9</v>
      </c>
      <c r="AT96" s="219">
        <v>4.598117605537034E-9</v>
      </c>
      <c r="AU96" s="219">
        <v>4.5879039893984979E-9</v>
      </c>
      <c r="AV96" s="219">
        <v>4.6057895106574992E-9</v>
      </c>
      <c r="AW96" s="219">
        <v>4.6221324337356613E-9</v>
      </c>
      <c r="AX96" s="219">
        <v>4.6817606515351339E-9</v>
      </c>
      <c r="AY96" s="219">
        <v>4.6938321711309508E-9</v>
      </c>
      <c r="AZ96" s="219">
        <v>4.7057344622689676E-9</v>
      </c>
      <c r="BA96" s="219">
        <v>4.7174680109500834E-9</v>
      </c>
      <c r="BB96" s="219">
        <v>4.7290333694595467E-9</v>
      </c>
      <c r="BC96" s="33">
        <v>0.2018620407107645</v>
      </c>
      <c r="BD96" s="219">
        <v>0.2007227201503351</v>
      </c>
      <c r="BE96" s="219">
        <v>0.19957792934238161</v>
      </c>
      <c r="BF96" s="219">
        <v>0.19223521394992149</v>
      </c>
      <c r="BG96" s="219">
        <v>0.1911473062573622</v>
      </c>
      <c r="BH96" s="219">
        <v>0.1900577512187257</v>
      </c>
      <c r="BI96" s="219">
        <v>0.18931484590623371</v>
      </c>
      <c r="BJ96" s="219">
        <v>0.18856945483913801</v>
      </c>
      <c r="BK96" s="219">
        <v>0.1833552358574187</v>
      </c>
      <c r="BL96" s="219">
        <v>0.18267331426497191</v>
      </c>
      <c r="BM96" s="219">
        <v>0.18198921498490361</v>
      </c>
      <c r="BN96" s="219">
        <v>0.1811252792518952</v>
      </c>
      <c r="BO96" s="219">
        <v>0.18026469459019229</v>
      </c>
      <c r="BP96" s="219">
        <v>0.17805025387058551</v>
      </c>
      <c r="BQ96" s="219">
        <v>0.17722529826109909</v>
      </c>
      <c r="BR96" s="219">
        <v>0.17640230798771131</v>
      </c>
      <c r="BS96" s="219">
        <v>0.1754707722627632</v>
      </c>
      <c r="BT96" s="219">
        <v>0.17454147270032791</v>
      </c>
      <c r="BU96" s="219">
        <v>0.1723301741151726</v>
      </c>
      <c r="BV96" s="219">
        <v>0.171422377283559</v>
      </c>
      <c r="BW96" s="219">
        <v>0.17050956628179409</v>
      </c>
      <c r="BX96" s="219">
        <v>0.17011678249480289</v>
      </c>
      <c r="BY96" s="219">
        <v>0.1697264727539016</v>
      </c>
      <c r="BZ96" s="219">
        <v>0.16933842852759101</v>
      </c>
      <c r="CA96" s="219">
        <v>0.1689526457090417</v>
      </c>
      <c r="CB96" s="219">
        <v>0.16856912627241791</v>
      </c>
      <c r="CC96" s="33">
        <v>1.184018246620099</v>
      </c>
      <c r="CD96" s="219">
        <v>1.1570604242071609</v>
      </c>
      <c r="CE96" s="219">
        <v>1.1301509698870791</v>
      </c>
      <c r="CF96" s="219">
        <v>1.054337127845882</v>
      </c>
      <c r="CG96" s="219">
        <v>1.0284833785061731</v>
      </c>
      <c r="CH96" s="219">
        <v>1.002712945155172</v>
      </c>
      <c r="CI96" s="219">
        <v>0.98624820499980881</v>
      </c>
      <c r="CJ96" s="219">
        <v>0.96988425865626093</v>
      </c>
      <c r="CK96" s="219">
        <v>0.92245216752477421</v>
      </c>
      <c r="CL96" s="219">
        <v>0.90704675129383083</v>
      </c>
      <c r="CM96" s="219">
        <v>0.89174903086422119</v>
      </c>
      <c r="CN96" s="219">
        <v>0.87628508273193673</v>
      </c>
      <c r="CO96" s="219">
        <v>0.86097179201747065</v>
      </c>
      <c r="CP96" s="219">
        <v>0.83695933058406857</v>
      </c>
      <c r="CQ96" s="219">
        <v>0.82223066418764734</v>
      </c>
      <c r="CR96" s="219">
        <v>0.80762884157649273</v>
      </c>
      <c r="CS96" s="219">
        <v>0.79469440769729938</v>
      </c>
      <c r="CT96" s="219">
        <v>0.78189345712489511</v>
      </c>
      <c r="CU96" s="219">
        <v>0.76306653539098734</v>
      </c>
      <c r="CV96" s="219">
        <v>0.75079707191417022</v>
      </c>
      <c r="CW96" s="219">
        <v>0.73883644063811982</v>
      </c>
      <c r="CX96" s="219">
        <v>0.73140786536848534</v>
      </c>
      <c r="CY96" s="219">
        <v>0.72312089692959858</v>
      </c>
      <c r="CZ96" s="219">
        <v>0.71489714384584147</v>
      </c>
      <c r="DA96" s="219">
        <v>0.70673634699717713</v>
      </c>
      <c r="DB96" s="219">
        <v>0.69863831359779194</v>
      </c>
    </row>
    <row r="97" spans="1:106" x14ac:dyDescent="0.35">
      <c r="A97" s="137" t="s">
        <v>554</v>
      </c>
      <c r="B97" s="130" t="s">
        <v>545</v>
      </c>
      <c r="C97" s="33">
        <v>8.7419413224325444E-7</v>
      </c>
      <c r="D97" s="219">
        <v>8.7196790673254979E-7</v>
      </c>
      <c r="E97" s="219">
        <v>8.6972364502371356E-7</v>
      </c>
      <c r="F97" s="219">
        <v>8.6225122544262499E-7</v>
      </c>
      <c r="G97" s="219">
        <v>8.5994520414507746E-7</v>
      </c>
      <c r="H97" s="219">
        <v>8.5763722543061714E-7</v>
      </c>
      <c r="I97" s="219">
        <v>8.5691665549879268E-7</v>
      </c>
      <c r="J97" s="219">
        <v>8.5619236780639136E-7</v>
      </c>
      <c r="K97" s="219">
        <v>8.5368906786852685E-7</v>
      </c>
      <c r="L97" s="219">
        <v>8.5297917422589868E-7</v>
      </c>
      <c r="M97" s="219">
        <v>8.5226801159277746E-7</v>
      </c>
      <c r="N97" s="219">
        <v>8.515437412507374E-7</v>
      </c>
      <c r="O97" s="219">
        <v>8.5082736342418152E-7</v>
      </c>
      <c r="P97" s="219">
        <v>8.4939089029030261E-7</v>
      </c>
      <c r="Q97" s="219">
        <v>8.4869469880156745E-7</v>
      </c>
      <c r="R97" s="219">
        <v>8.4800343704416869E-7</v>
      </c>
      <c r="S97" s="219">
        <v>8.4734239476164998E-7</v>
      </c>
      <c r="T97" s="219">
        <v>8.4668516812500381E-7</v>
      </c>
      <c r="U97" s="219">
        <v>8.4551484506998086E-7</v>
      </c>
      <c r="V97" s="219">
        <v>8.4487818357587865E-7</v>
      </c>
      <c r="W97" s="219">
        <v>8.4427504577691377E-7</v>
      </c>
      <c r="X97" s="219">
        <v>8.4682275597250049E-7</v>
      </c>
      <c r="Y97" s="219">
        <v>8.4647338899533538E-7</v>
      </c>
      <c r="Z97" s="219">
        <v>8.461270675021589E-7</v>
      </c>
      <c r="AA97" s="219">
        <v>8.4578377491360246E-7</v>
      </c>
      <c r="AB97" s="219">
        <v>8.4544351119618877E-7</v>
      </c>
      <c r="AC97" s="33">
        <v>6.2331327419342053E-9</v>
      </c>
      <c r="AD97" s="219">
        <v>6.242374911290367E-9</v>
      </c>
      <c r="AE97" s="219">
        <v>6.2509156744066443E-9</v>
      </c>
      <c r="AF97" s="219">
        <v>6.2195524638741673E-9</v>
      </c>
      <c r="AG97" s="219">
        <v>6.225598657726738E-9</v>
      </c>
      <c r="AH97" s="219">
        <v>6.2309109689723314E-9</v>
      </c>
      <c r="AI97" s="219">
        <v>6.2534454106894676E-9</v>
      </c>
      <c r="AJ97" s="219">
        <v>6.2756422764083618E-9</v>
      </c>
      <c r="AK97" s="219">
        <v>6.2677324428035471E-9</v>
      </c>
      <c r="AL97" s="219">
        <v>6.288588298789539E-9</v>
      </c>
      <c r="AM97" s="219">
        <v>6.3091586653397159E-9</v>
      </c>
      <c r="AN97" s="219">
        <v>6.3285833598967167E-9</v>
      </c>
      <c r="AO97" s="219">
        <v>6.3477629891741568E-9</v>
      </c>
      <c r="AP97" s="219">
        <v>6.3544797900780563E-9</v>
      </c>
      <c r="AQ97" s="219">
        <v>6.3728849783170931E-9</v>
      </c>
      <c r="AR97" s="219">
        <v>6.3910204543596288E-9</v>
      </c>
      <c r="AS97" s="219">
        <v>6.4004453290409596E-9</v>
      </c>
      <c r="AT97" s="219">
        <v>6.4096641283645423E-9</v>
      </c>
      <c r="AU97" s="219">
        <v>6.4066815165172137E-9</v>
      </c>
      <c r="AV97" s="219">
        <v>6.4152829561740504E-9</v>
      </c>
      <c r="AW97" s="219">
        <v>6.4233568041180197E-9</v>
      </c>
      <c r="AX97" s="219">
        <v>6.4692084203571781E-9</v>
      </c>
      <c r="AY97" s="219">
        <v>6.4762147449462112E-9</v>
      </c>
      <c r="AZ97" s="219">
        <v>6.4830989312370077E-9</v>
      </c>
      <c r="BA97" s="219">
        <v>6.489861309460378E-9</v>
      </c>
      <c r="BB97" s="219">
        <v>6.4965022884086572E-9</v>
      </c>
      <c r="BC97" s="33">
        <v>0.1125849198878545</v>
      </c>
      <c r="BD97" s="219">
        <v>0.1119534817042169</v>
      </c>
      <c r="BE97" s="219">
        <v>0.1113161664285975</v>
      </c>
      <c r="BF97" s="219">
        <v>0.1080971213336638</v>
      </c>
      <c r="BG97" s="219">
        <v>0.1074758548163693</v>
      </c>
      <c r="BH97" s="219">
        <v>0.1068484498913191</v>
      </c>
      <c r="BI97" s="219">
        <v>0.10654770066550991</v>
      </c>
      <c r="BJ97" s="219">
        <v>0.1062431629269209</v>
      </c>
      <c r="BK97" s="219">
        <v>0.10408767025560881</v>
      </c>
      <c r="BL97" s="219">
        <v>0.1038038037082254</v>
      </c>
      <c r="BM97" s="219">
        <v>0.1035163867662115</v>
      </c>
      <c r="BN97" s="219">
        <v>0.10308468860727731</v>
      </c>
      <c r="BO97" s="219">
        <v>0.10265452039436659</v>
      </c>
      <c r="BP97" s="219">
        <v>0.10166548496835701</v>
      </c>
      <c r="BQ97" s="219">
        <v>0.1012506735742653</v>
      </c>
      <c r="BR97" s="219">
        <v>0.1008370140149827</v>
      </c>
      <c r="BS97" s="219">
        <v>0.100362714364403</v>
      </c>
      <c r="BT97" s="219">
        <v>9.9891117738345941E-2</v>
      </c>
      <c r="BU97" s="219">
        <v>9.8891735646497766E-2</v>
      </c>
      <c r="BV97" s="219">
        <v>9.8432728216055962E-2</v>
      </c>
      <c r="BW97" s="219">
        <v>9.7974470326704033E-2</v>
      </c>
      <c r="BX97" s="219">
        <v>9.777464764407473E-2</v>
      </c>
      <c r="BY97" s="219">
        <v>9.7576746558711375E-2</v>
      </c>
      <c r="BZ97" s="219">
        <v>9.7380602284745224E-2</v>
      </c>
      <c r="CA97" s="219">
        <v>9.7186212345248976E-2</v>
      </c>
      <c r="CB97" s="219">
        <v>9.699357861462253E-2</v>
      </c>
      <c r="CC97" s="33">
        <v>5.7556052169047138</v>
      </c>
      <c r="CD97" s="219">
        <v>5.7388446700583833</v>
      </c>
      <c r="CE97" s="219">
        <v>5.721980449406816</v>
      </c>
      <c r="CF97" s="219">
        <v>5.6846189575577197</v>
      </c>
      <c r="CG97" s="219">
        <v>5.6679125827443748</v>
      </c>
      <c r="CH97" s="219">
        <v>5.6510419080264684</v>
      </c>
      <c r="CI97" s="219">
        <v>5.6419545749528384</v>
      </c>
      <c r="CJ97" s="219">
        <v>5.6329230447169794</v>
      </c>
      <c r="CK97" s="219">
        <v>5.6110751303917628</v>
      </c>
      <c r="CL97" s="219">
        <v>5.6024647501247991</v>
      </c>
      <c r="CM97" s="219">
        <v>5.5939065689560596</v>
      </c>
      <c r="CN97" s="219">
        <v>5.5860621068433556</v>
      </c>
      <c r="CO97" s="219">
        <v>5.5782909802367202</v>
      </c>
      <c r="CP97" s="219">
        <v>5.5669439133945877</v>
      </c>
      <c r="CQ97" s="219">
        <v>5.5594433162591779</v>
      </c>
      <c r="CR97" s="219">
        <v>5.55200900079529</v>
      </c>
      <c r="CS97" s="219">
        <v>5.5460471493645338</v>
      </c>
      <c r="CT97" s="219">
        <v>5.5401670025136101</v>
      </c>
      <c r="CU97" s="219">
        <v>5.5318140100344539</v>
      </c>
      <c r="CV97" s="219">
        <v>5.526205537061033</v>
      </c>
      <c r="CW97" s="219">
        <v>5.5207250884267163</v>
      </c>
      <c r="CX97" s="219">
        <v>5.5166480251771546</v>
      </c>
      <c r="CY97" s="219">
        <v>5.5123065107211406</v>
      </c>
      <c r="CZ97" s="219">
        <v>5.5080121493281498</v>
      </c>
      <c r="DA97" s="219">
        <v>5.5037648036935831</v>
      </c>
      <c r="DB97" s="219">
        <v>5.4995643768124811</v>
      </c>
    </row>
    <row r="98" spans="1:106" x14ac:dyDescent="0.35">
      <c r="A98" s="137" t="s">
        <v>555</v>
      </c>
      <c r="B98" s="130" t="s">
        <v>545</v>
      </c>
      <c r="C98" s="33">
        <v>1.7483882644865091E-6</v>
      </c>
      <c r="D98" s="219">
        <v>1.7439358134651E-6</v>
      </c>
      <c r="E98" s="219">
        <v>1.7394472900474269E-6</v>
      </c>
      <c r="F98" s="219">
        <v>1.72450245088525E-6</v>
      </c>
      <c r="G98" s="219">
        <v>1.7198904082901549E-6</v>
      </c>
      <c r="H98" s="219">
        <v>1.7152744508612341E-6</v>
      </c>
      <c r="I98" s="219">
        <v>1.7138333109975849E-6</v>
      </c>
      <c r="J98" s="219">
        <v>1.7123847356127829E-6</v>
      </c>
      <c r="K98" s="219">
        <v>1.7073781357370539E-6</v>
      </c>
      <c r="L98" s="219">
        <v>1.7059583484517969E-6</v>
      </c>
      <c r="M98" s="219">
        <v>1.7045360231855549E-6</v>
      </c>
      <c r="N98" s="219">
        <v>1.703087482501475E-6</v>
      </c>
      <c r="O98" s="219">
        <v>1.701654726848363E-6</v>
      </c>
      <c r="P98" s="219">
        <v>1.698781780580605E-6</v>
      </c>
      <c r="Q98" s="219">
        <v>1.6973893976031349E-6</v>
      </c>
      <c r="R98" s="219">
        <v>1.696006874088337E-6</v>
      </c>
      <c r="S98" s="219">
        <v>1.6946847895233E-6</v>
      </c>
      <c r="T98" s="219">
        <v>1.6933703362500081E-6</v>
      </c>
      <c r="U98" s="219">
        <v>1.6910296901399619E-6</v>
      </c>
      <c r="V98" s="219">
        <v>1.6897563671517571E-6</v>
      </c>
      <c r="W98" s="219">
        <v>1.688550091553828E-6</v>
      </c>
      <c r="X98" s="219">
        <v>1.693645511945001E-6</v>
      </c>
      <c r="Y98" s="219">
        <v>1.692946777990671E-6</v>
      </c>
      <c r="Z98" s="219">
        <v>1.692254135004318E-6</v>
      </c>
      <c r="AA98" s="219">
        <v>1.6915675498272049E-6</v>
      </c>
      <c r="AB98" s="219">
        <v>1.690887022392378E-6</v>
      </c>
      <c r="AC98" s="33">
        <v>1.2466265483868411E-8</v>
      </c>
      <c r="AD98" s="219">
        <v>1.2484749822580731E-8</v>
      </c>
      <c r="AE98" s="219">
        <v>1.250183134881329E-8</v>
      </c>
      <c r="AF98" s="219">
        <v>1.243910492774833E-8</v>
      </c>
      <c r="AG98" s="219">
        <v>1.2451197315453479E-8</v>
      </c>
      <c r="AH98" s="219">
        <v>1.246182193794466E-8</v>
      </c>
      <c r="AI98" s="219">
        <v>1.250689082137894E-8</v>
      </c>
      <c r="AJ98" s="219">
        <v>1.255128455281672E-8</v>
      </c>
      <c r="AK98" s="219">
        <v>1.2535464885607091E-8</v>
      </c>
      <c r="AL98" s="219">
        <v>1.257717659757908E-8</v>
      </c>
      <c r="AM98" s="219">
        <v>1.261831733067943E-8</v>
      </c>
      <c r="AN98" s="219">
        <v>1.265716671979343E-8</v>
      </c>
      <c r="AO98" s="219">
        <v>1.269552597834831E-8</v>
      </c>
      <c r="AP98" s="219">
        <v>1.2708959580156109E-8</v>
      </c>
      <c r="AQ98" s="219">
        <v>1.2745769956634189E-8</v>
      </c>
      <c r="AR98" s="219">
        <v>1.2782040908719259E-8</v>
      </c>
      <c r="AS98" s="219">
        <v>1.2800890658081919E-8</v>
      </c>
      <c r="AT98" s="219">
        <v>1.281932825672908E-8</v>
      </c>
      <c r="AU98" s="219">
        <v>1.2813363033034431E-8</v>
      </c>
      <c r="AV98" s="219">
        <v>1.2830565912348101E-8</v>
      </c>
      <c r="AW98" s="219">
        <v>1.2846713608236039E-8</v>
      </c>
      <c r="AX98" s="219">
        <v>1.2938416840714359E-8</v>
      </c>
      <c r="AY98" s="219">
        <v>1.2952429489892421E-8</v>
      </c>
      <c r="AZ98" s="219">
        <v>1.296619786247402E-8</v>
      </c>
      <c r="BA98" s="219">
        <v>1.2979722618920759E-8</v>
      </c>
      <c r="BB98" s="219">
        <v>1.299300457681731E-8</v>
      </c>
      <c r="BC98" s="33">
        <v>0.2251698397757089</v>
      </c>
      <c r="BD98" s="219">
        <v>0.22390696340843391</v>
      </c>
      <c r="BE98" s="219">
        <v>0.22263233285719489</v>
      </c>
      <c r="BF98" s="219">
        <v>0.21619424266732751</v>
      </c>
      <c r="BG98" s="219">
        <v>0.21495170963273871</v>
      </c>
      <c r="BH98" s="219">
        <v>0.2136968997826382</v>
      </c>
      <c r="BI98" s="219">
        <v>0.21309540133101981</v>
      </c>
      <c r="BJ98" s="219">
        <v>0.21248632585384181</v>
      </c>
      <c r="BK98" s="219">
        <v>0.20817534051121761</v>
      </c>
      <c r="BL98" s="219">
        <v>0.20760760741645079</v>
      </c>
      <c r="BM98" s="219">
        <v>0.207032773532423</v>
      </c>
      <c r="BN98" s="219">
        <v>0.20616937721455469</v>
      </c>
      <c r="BO98" s="219">
        <v>0.2053090407887333</v>
      </c>
      <c r="BP98" s="219">
        <v>0.20333096993671401</v>
      </c>
      <c r="BQ98" s="219">
        <v>0.2025013471485306</v>
      </c>
      <c r="BR98" s="219">
        <v>0.2016740280299654</v>
      </c>
      <c r="BS98" s="219">
        <v>0.20072542872880611</v>
      </c>
      <c r="BT98" s="219">
        <v>0.19978223547669191</v>
      </c>
      <c r="BU98" s="219">
        <v>0.19778347129299551</v>
      </c>
      <c r="BV98" s="219">
        <v>0.1968654564321119</v>
      </c>
      <c r="BW98" s="219">
        <v>0.19594894065340809</v>
      </c>
      <c r="BX98" s="219">
        <v>0.19554929528814949</v>
      </c>
      <c r="BY98" s="219">
        <v>0.19515349311742269</v>
      </c>
      <c r="BZ98" s="219">
        <v>0.19476120456949039</v>
      </c>
      <c r="CA98" s="219">
        <v>0.19437242469049801</v>
      </c>
      <c r="CB98" s="219">
        <v>0.19398715722924509</v>
      </c>
      <c r="CC98" s="33">
        <v>11.511210433809429</v>
      </c>
      <c r="CD98" s="219">
        <v>11.47768934011677</v>
      </c>
      <c r="CE98" s="219">
        <v>11.44396089881363</v>
      </c>
      <c r="CF98" s="219">
        <v>11.369237915115439</v>
      </c>
      <c r="CG98" s="219">
        <v>11.33582516548875</v>
      </c>
      <c r="CH98" s="219">
        <v>11.30208381605294</v>
      </c>
      <c r="CI98" s="219">
        <v>11.28390914990568</v>
      </c>
      <c r="CJ98" s="219">
        <v>11.26584608943396</v>
      </c>
      <c r="CK98" s="219">
        <v>11.222150260783531</v>
      </c>
      <c r="CL98" s="219">
        <v>11.2049295002496</v>
      </c>
      <c r="CM98" s="219">
        <v>11.187813137912119</v>
      </c>
      <c r="CN98" s="219">
        <v>11.172124213686709</v>
      </c>
      <c r="CO98" s="219">
        <v>11.15658196047344</v>
      </c>
      <c r="CP98" s="219">
        <v>11.133887826789181</v>
      </c>
      <c r="CQ98" s="219">
        <v>11.118886632518359</v>
      </c>
      <c r="CR98" s="219">
        <v>11.10401800159058</v>
      </c>
      <c r="CS98" s="219">
        <v>11.092094298729069</v>
      </c>
      <c r="CT98" s="219">
        <v>11.08033400502722</v>
      </c>
      <c r="CU98" s="219">
        <v>11.06362802006891</v>
      </c>
      <c r="CV98" s="219">
        <v>11.05241107412207</v>
      </c>
      <c r="CW98" s="219">
        <v>11.041450176853431</v>
      </c>
      <c r="CX98" s="219">
        <v>11.033296050354309</v>
      </c>
      <c r="CY98" s="219">
        <v>11.02461302144228</v>
      </c>
      <c r="CZ98" s="219">
        <v>11.0160242986563</v>
      </c>
      <c r="DA98" s="219">
        <v>11.00752960738717</v>
      </c>
      <c r="DB98" s="219">
        <v>10.99912875362496</v>
      </c>
    </row>
    <row r="99" spans="1:106" x14ac:dyDescent="0.35">
      <c r="A99" s="137" t="s">
        <v>556</v>
      </c>
      <c r="B99" s="130" t="s">
        <v>545</v>
      </c>
      <c r="C99" s="33">
        <v>8.8702801074254981E-6</v>
      </c>
      <c r="D99" s="219">
        <v>8.8294026283070354E-6</v>
      </c>
      <c r="E99" s="219">
        <v>8.7883911735631503E-6</v>
      </c>
      <c r="F99" s="219">
        <v>8.5842486448674038E-6</v>
      </c>
      <c r="G99" s="219">
        <v>8.542774253637822E-6</v>
      </c>
      <c r="H99" s="219">
        <v>8.5016670915003851E-6</v>
      </c>
      <c r="I99" s="219">
        <v>8.4815353529688316E-6</v>
      </c>
      <c r="J99" s="219">
        <v>8.4614499276508402E-6</v>
      </c>
      <c r="K99" s="219">
        <v>8.3853993350683971E-6</v>
      </c>
      <c r="L99" s="219">
        <v>8.3661014096458912E-6</v>
      </c>
      <c r="M99" s="219">
        <v>8.3469070321856787E-6</v>
      </c>
      <c r="N99" s="219">
        <v>8.3266041473392756E-6</v>
      </c>
      <c r="O99" s="219">
        <v>8.3065410057810503E-6</v>
      </c>
      <c r="P99" s="219">
        <v>8.2637409543832056E-6</v>
      </c>
      <c r="Q99" s="219">
        <v>8.2443120438630026E-6</v>
      </c>
      <c r="R99" s="219">
        <v>8.2250109972155131E-6</v>
      </c>
      <c r="S99" s="219">
        <v>8.2074267122733052E-6</v>
      </c>
      <c r="T99" s="219">
        <v>8.189969692430054E-6</v>
      </c>
      <c r="U99" s="219">
        <v>8.1563148463932257E-6</v>
      </c>
      <c r="V99" s="219">
        <v>8.1394210168045589E-6</v>
      </c>
      <c r="W99" s="219">
        <v>8.1229755299882711E-6</v>
      </c>
      <c r="X99" s="219">
        <v>8.1921272909378954E-6</v>
      </c>
      <c r="Y99" s="219">
        <v>8.1812377866719734E-6</v>
      </c>
      <c r="Z99" s="219">
        <v>8.1704492134939391E-6</v>
      </c>
      <c r="AA99" s="219">
        <v>8.1597611603250031E-6</v>
      </c>
      <c r="AB99" s="219">
        <v>8.1491735268519649E-6</v>
      </c>
      <c r="AC99" s="33">
        <v>7.2179097560827458E-8</v>
      </c>
      <c r="AD99" s="219">
        <v>7.2699932327226431E-8</v>
      </c>
      <c r="AE99" s="219">
        <v>7.321117102046624E-8</v>
      </c>
      <c r="AF99" s="219">
        <v>7.2478836185289619E-8</v>
      </c>
      <c r="AG99" s="219">
        <v>7.2937023553720066E-8</v>
      </c>
      <c r="AH99" s="219">
        <v>7.3387112844567582E-8</v>
      </c>
      <c r="AI99" s="219">
        <v>7.4146687677989667E-8</v>
      </c>
      <c r="AJ99" s="219">
        <v>7.4898028262415409E-8</v>
      </c>
      <c r="AK99" s="219">
        <v>7.4700760353775994E-8</v>
      </c>
      <c r="AL99" s="219">
        <v>7.5413704471074516E-8</v>
      </c>
      <c r="AM99" s="219">
        <v>7.6119380194003576E-8</v>
      </c>
      <c r="AN99" s="219">
        <v>7.6795733926816919E-8</v>
      </c>
      <c r="AO99" s="219">
        <v>7.7463867718467883E-8</v>
      </c>
      <c r="AP99" s="219">
        <v>7.7737883506957428E-8</v>
      </c>
      <c r="AQ99" s="219">
        <v>7.8380939739537064E-8</v>
      </c>
      <c r="AR99" s="219">
        <v>7.9015544209989537E-8</v>
      </c>
      <c r="AS99" s="219">
        <v>7.9347961200301608E-8</v>
      </c>
      <c r="AT99" s="219">
        <v>7.9673389251435665E-8</v>
      </c>
      <c r="AU99" s="219">
        <v>7.961341505109886E-8</v>
      </c>
      <c r="AV99" s="219">
        <v>7.9918758514508245E-8</v>
      </c>
      <c r="AW99" s="219">
        <v>8.0213851197517768E-8</v>
      </c>
      <c r="AX99" s="219">
        <v>8.0951171970609264E-8</v>
      </c>
      <c r="AY99" s="219">
        <v>8.1177892482487562E-8</v>
      </c>
      <c r="AZ99" s="219">
        <v>8.140068567740565E-8</v>
      </c>
      <c r="BA99" s="219">
        <v>8.1619562066932211E-8</v>
      </c>
      <c r="BB99" s="219">
        <v>8.1834533175460166E-8</v>
      </c>
      <c r="BC99" s="33">
        <v>3.3522526628338341</v>
      </c>
      <c r="BD99" s="219">
        <v>3.334270294298785</v>
      </c>
      <c r="BE99" s="219">
        <v>3.316194649600789</v>
      </c>
      <c r="BF99" s="219">
        <v>3.2168890164178272</v>
      </c>
      <c r="BG99" s="219">
        <v>3.199536796120598</v>
      </c>
      <c r="BH99" s="219">
        <v>3.182114333746604</v>
      </c>
      <c r="BI99" s="219">
        <v>3.168792437865747</v>
      </c>
      <c r="BJ99" s="219">
        <v>3.1554418211426438</v>
      </c>
      <c r="BK99" s="219">
        <v>3.083761482759547</v>
      </c>
      <c r="BL99" s="219">
        <v>3.0712412944248451</v>
      </c>
      <c r="BM99" s="219">
        <v>3.0586955921312189</v>
      </c>
      <c r="BN99" s="219">
        <v>3.044320573690741</v>
      </c>
      <c r="BO99" s="219">
        <v>3.0299999301643989</v>
      </c>
      <c r="BP99" s="219">
        <v>2.9980408061940631</v>
      </c>
      <c r="BQ99" s="219">
        <v>2.9842193125257421</v>
      </c>
      <c r="BR99" s="219">
        <v>2.970443873086543</v>
      </c>
      <c r="BS99" s="219">
        <v>2.9572236361626141</v>
      </c>
      <c r="BT99" s="219">
        <v>2.9440742944633178</v>
      </c>
      <c r="BU99" s="219">
        <v>2.914246927048616</v>
      </c>
      <c r="BV99" s="219">
        <v>2.9014708563032889</v>
      </c>
      <c r="BW99" s="219">
        <v>2.8887467369850901</v>
      </c>
      <c r="BX99" s="219">
        <v>2.882315039520214</v>
      </c>
      <c r="BY99" s="219">
        <v>2.8759454064959469</v>
      </c>
      <c r="BZ99" s="219">
        <v>2.869634930441229</v>
      </c>
      <c r="CA99" s="219">
        <v>2.8633835937773271</v>
      </c>
      <c r="CB99" s="219">
        <v>2.857191463192815</v>
      </c>
      <c r="CC99" s="33">
        <v>18.25501016809142</v>
      </c>
      <c r="CD99" s="219">
        <v>17.883973685978852</v>
      </c>
      <c r="CE99" s="219">
        <v>17.512756940903589</v>
      </c>
      <c r="CF99" s="219">
        <v>16.499856688601898</v>
      </c>
      <c r="CG99" s="219">
        <v>16.141724675479178</v>
      </c>
      <c r="CH99" s="219">
        <v>15.783220140867041</v>
      </c>
      <c r="CI99" s="219">
        <v>15.52497048167754</v>
      </c>
      <c r="CJ99" s="219">
        <v>15.26824002932281</v>
      </c>
      <c r="CK99" s="219">
        <v>14.606608929763111</v>
      </c>
      <c r="CL99" s="219">
        <v>14.3627863384386</v>
      </c>
      <c r="CM99" s="219">
        <v>14.12044279620031</v>
      </c>
      <c r="CN99" s="219">
        <v>13.87479330574369</v>
      </c>
      <c r="CO99" s="219">
        <v>13.63146441705339</v>
      </c>
      <c r="CP99" s="219">
        <v>13.27524131190885</v>
      </c>
      <c r="CQ99" s="219">
        <v>13.04050053740094</v>
      </c>
      <c r="CR99" s="219">
        <v>12.80783646901655</v>
      </c>
      <c r="CS99" s="219">
        <v>12.62846133471287</v>
      </c>
      <c r="CT99" s="219">
        <v>12.45156376459652</v>
      </c>
      <c r="CU99" s="219">
        <v>12.196586631048991</v>
      </c>
      <c r="CV99" s="219">
        <v>12.02803716166448</v>
      </c>
      <c r="CW99" s="219">
        <v>11.86238615275256</v>
      </c>
      <c r="CX99" s="219">
        <v>11.72874329817302</v>
      </c>
      <c r="CY99" s="219">
        <v>11.592360310275019</v>
      </c>
      <c r="CZ99" s="219">
        <v>11.457450007413369</v>
      </c>
      <c r="DA99" s="219">
        <v>11.324008760006899</v>
      </c>
      <c r="DB99" s="219">
        <v>11.192033813649321</v>
      </c>
    </row>
    <row r="100" spans="1:106" x14ac:dyDescent="0.35">
      <c r="A100" s="137" t="s">
        <v>557</v>
      </c>
      <c r="B100" s="130" t="s">
        <v>545</v>
      </c>
      <c r="C100" s="33">
        <v>4.5178451350106168E-5</v>
      </c>
      <c r="D100" s="219">
        <v>4.5096339506516308E-5</v>
      </c>
      <c r="E100" s="219">
        <v>4.5012746204466973E-5</v>
      </c>
      <c r="F100" s="219">
        <v>4.4833854595118598E-5</v>
      </c>
      <c r="G100" s="219">
        <v>4.4744218461791108E-5</v>
      </c>
      <c r="H100" s="219">
        <v>4.4653708727267589E-5</v>
      </c>
      <c r="I100" s="219">
        <v>4.4637442617176742E-5</v>
      </c>
      <c r="J100" s="219">
        <v>4.4620794277706672E-5</v>
      </c>
      <c r="K100" s="219">
        <v>4.4572361028138923E-5</v>
      </c>
      <c r="L100" s="219">
        <v>4.4555340267086401E-5</v>
      </c>
      <c r="M100" s="219">
        <v>4.4538013939890793E-5</v>
      </c>
      <c r="N100" s="219">
        <v>4.4522452718795352E-5</v>
      </c>
      <c r="O100" s="219">
        <v>4.4507022172765739E-5</v>
      </c>
      <c r="P100" s="219">
        <v>4.4478841378623867E-5</v>
      </c>
      <c r="Q100" s="219">
        <v>4.4463764958153852E-5</v>
      </c>
      <c r="R100" s="219">
        <v>4.4448858555345292E-5</v>
      </c>
      <c r="S100" s="219">
        <v>4.4433566871537049E-5</v>
      </c>
      <c r="T100" s="219">
        <v>4.441836704235424E-5</v>
      </c>
      <c r="U100" s="219">
        <v>4.439414326991043E-5</v>
      </c>
      <c r="V100" s="219">
        <v>4.4379435764518507E-5</v>
      </c>
      <c r="W100" s="219">
        <v>4.4366935715984353E-5</v>
      </c>
      <c r="X100" s="219">
        <v>4.4434729149455842E-5</v>
      </c>
      <c r="Y100" s="219">
        <v>4.4429934388632952E-5</v>
      </c>
      <c r="Z100" s="219">
        <v>4.4425165164158279E-5</v>
      </c>
      <c r="AA100" s="219">
        <v>4.4420421044000268E-5</v>
      </c>
      <c r="AB100" s="219">
        <v>4.4415702248570317E-5</v>
      </c>
      <c r="AC100" s="33">
        <v>3.204754328119621E-7</v>
      </c>
      <c r="AD100" s="219">
        <v>3.2019124520764332E-7</v>
      </c>
      <c r="AE100" s="219">
        <v>3.198710010380908E-7</v>
      </c>
      <c r="AF100" s="219">
        <v>3.188226356827585E-7</v>
      </c>
      <c r="AG100" s="219">
        <v>3.1840791986778009E-7</v>
      </c>
      <c r="AH100" s="219">
        <v>3.179498335147373E-7</v>
      </c>
      <c r="AI100" s="219">
        <v>3.1816731985538709E-7</v>
      </c>
      <c r="AJ100" s="219">
        <v>3.1837595631063807E-7</v>
      </c>
      <c r="AK100" s="219">
        <v>3.1804545485536208E-7</v>
      </c>
      <c r="AL100" s="219">
        <v>3.1822611415352498E-7</v>
      </c>
      <c r="AM100" s="219">
        <v>3.1840004980282869E-7</v>
      </c>
      <c r="AN100" s="219">
        <v>3.1856821333054302E-7</v>
      </c>
      <c r="AO100" s="219">
        <v>3.1873415730436052E-7</v>
      </c>
      <c r="AP100" s="219">
        <v>3.1868025898936612E-7</v>
      </c>
      <c r="AQ100" s="219">
        <v>3.1883598722009348E-7</v>
      </c>
      <c r="AR100" s="219">
        <v>3.1898761132312532E-7</v>
      </c>
      <c r="AS100" s="219">
        <v>3.190623744242439E-7</v>
      </c>
      <c r="AT100" s="219">
        <v>3.1913542959379072E-7</v>
      </c>
      <c r="AU100" s="219">
        <v>3.1899338099159781E-7</v>
      </c>
      <c r="AV100" s="219">
        <v>3.1905839238672638E-7</v>
      </c>
      <c r="AW100" s="219">
        <v>3.1909714149708081E-7</v>
      </c>
      <c r="AX100" s="219">
        <v>3.2006503356819167E-7</v>
      </c>
      <c r="AY100" s="219">
        <v>3.2014332159159072E-7</v>
      </c>
      <c r="AZ100" s="219">
        <v>3.2022029192871502E-7</v>
      </c>
      <c r="BA100" s="219">
        <v>3.2029594840598537E-7</v>
      </c>
      <c r="BB100" s="219">
        <v>3.2037029873601829E-7</v>
      </c>
      <c r="BC100" s="33">
        <v>1.5745865975390809</v>
      </c>
      <c r="BD100" s="219">
        <v>1.562110929434763</v>
      </c>
      <c r="BE100" s="219">
        <v>1.54934619972993</v>
      </c>
      <c r="BF100" s="219">
        <v>1.49066391175646</v>
      </c>
      <c r="BG100" s="219">
        <v>1.477744118970316</v>
      </c>
      <c r="BH100" s="219">
        <v>1.4644585314424541</v>
      </c>
      <c r="BI100" s="219">
        <v>1.466737569607822</v>
      </c>
      <c r="BJ100" s="219">
        <v>1.468792546565203</v>
      </c>
      <c r="BK100" s="219">
        <v>1.4377355874002531</v>
      </c>
      <c r="BL100" s="219">
        <v>1.4398533713038779</v>
      </c>
      <c r="BM100" s="219">
        <v>1.4417562079819921</v>
      </c>
      <c r="BN100" s="219">
        <v>1.4369332196218869</v>
      </c>
      <c r="BO100" s="219">
        <v>1.4321190056244371</v>
      </c>
      <c r="BP100" s="219">
        <v>1.417339797089872</v>
      </c>
      <c r="BQ100" s="219">
        <v>1.412753753563148</v>
      </c>
      <c r="BR100" s="219">
        <v>1.4081620514508619</v>
      </c>
      <c r="BS100" s="219">
        <v>1.398210056004519</v>
      </c>
      <c r="BT100" s="219">
        <v>1.388317170184779</v>
      </c>
      <c r="BU100" s="219">
        <v>1.369024054795047</v>
      </c>
      <c r="BV100" s="219">
        <v>1.359363399366768</v>
      </c>
      <c r="BW100" s="219">
        <v>1.3496102018036751</v>
      </c>
      <c r="BX100" s="219">
        <v>1.347172348962931</v>
      </c>
      <c r="BY100" s="219">
        <v>1.344752586434105</v>
      </c>
      <c r="BZ100" s="219">
        <v>1.3423440376194671</v>
      </c>
      <c r="CA100" s="219">
        <v>1.3399465538739621</v>
      </c>
      <c r="CB100" s="219">
        <v>1.3375601531649119</v>
      </c>
      <c r="CC100" s="33">
        <v>387.15980826109143</v>
      </c>
      <c r="CD100" s="219">
        <v>386.62368178864392</v>
      </c>
      <c r="CE100" s="219">
        <v>386.08008197297193</v>
      </c>
      <c r="CF100" s="219">
        <v>385.16723437600422</v>
      </c>
      <c r="CG100" s="219">
        <v>384.61153282184603</v>
      </c>
      <c r="CH100" s="219">
        <v>384.043845720261</v>
      </c>
      <c r="CI100" s="219">
        <v>383.86092205241721</v>
      </c>
      <c r="CJ100" s="219">
        <v>383.67923212546691</v>
      </c>
      <c r="CK100" s="219">
        <v>383.26953352415887</v>
      </c>
      <c r="CL100" s="219">
        <v>383.09573523122287</v>
      </c>
      <c r="CM100" s="219">
        <v>382.92299892076488</v>
      </c>
      <c r="CN100" s="219">
        <v>382.80705501687009</v>
      </c>
      <c r="CO100" s="219">
        <v>382.69215358837721</v>
      </c>
      <c r="CP100" s="219">
        <v>382.51355403942182</v>
      </c>
      <c r="CQ100" s="219">
        <v>382.40294159400929</v>
      </c>
      <c r="CR100" s="219">
        <v>382.2933774578255</v>
      </c>
      <c r="CS100" s="219">
        <v>382.18913244327388</v>
      </c>
      <c r="CT100" s="219">
        <v>382.08617470376771</v>
      </c>
      <c r="CU100" s="219">
        <v>381.93916483917161</v>
      </c>
      <c r="CV100" s="219">
        <v>381.84077109249228</v>
      </c>
      <c r="CW100" s="219">
        <v>381.74734590815632</v>
      </c>
      <c r="CX100" s="219">
        <v>381.70030247776731</v>
      </c>
      <c r="CY100" s="219">
        <v>381.64097995028408</v>
      </c>
      <c r="CZ100" s="219">
        <v>381.5822760019729</v>
      </c>
      <c r="DA100" s="219">
        <v>381.52418728298579</v>
      </c>
      <c r="DB100" s="219">
        <v>381.46671183064473</v>
      </c>
    </row>
    <row r="101" spans="1:106" x14ac:dyDescent="0.35">
      <c r="A101" s="137" t="s">
        <v>558</v>
      </c>
      <c r="B101" s="130" t="s">
        <v>545</v>
      </c>
      <c r="C101" s="33">
        <v>1.2898054186224969E-5</v>
      </c>
      <c r="D101" s="219">
        <v>1.302806636575873E-5</v>
      </c>
      <c r="E101" s="219">
        <v>1.31321599278329E-5</v>
      </c>
      <c r="F101" s="219">
        <v>1.290065288236174E-5</v>
      </c>
      <c r="G101" s="219">
        <v>1.284646600694299E-5</v>
      </c>
      <c r="H101" s="219">
        <v>1.279142426637318E-5</v>
      </c>
      <c r="I101" s="219">
        <v>1.27649697759654E-5</v>
      </c>
      <c r="J101" s="219">
        <v>1.2738614129173001E-5</v>
      </c>
      <c r="K101" s="219">
        <v>1.264854472309596E-5</v>
      </c>
      <c r="L101" s="219">
        <v>1.2623141589368991E-5</v>
      </c>
      <c r="M101" s="219">
        <v>1.2597898631747501E-5</v>
      </c>
      <c r="N101" s="219">
        <v>1.257207581883954E-5</v>
      </c>
      <c r="O101" s="219">
        <v>1.254655613852065E-5</v>
      </c>
      <c r="P101" s="219">
        <v>1.249497172711809E-5</v>
      </c>
      <c r="Q101" s="219">
        <v>1.247018423956484E-5</v>
      </c>
      <c r="R101" s="219">
        <v>1.2445550834264041E-5</v>
      </c>
      <c r="S101" s="219">
        <v>1.241368603364592E-5</v>
      </c>
      <c r="T101" s="219">
        <v>1.238186044881833E-5</v>
      </c>
      <c r="U101" s="219">
        <v>1.233171304520656E-5</v>
      </c>
      <c r="V101" s="219">
        <v>1.2300393939987081E-5</v>
      </c>
      <c r="W101" s="219">
        <v>1.226949552439578E-5</v>
      </c>
      <c r="X101" s="219">
        <v>1.2422079928253559E-5</v>
      </c>
      <c r="Y101" s="219">
        <v>1.2407222803007091E-5</v>
      </c>
      <c r="Z101" s="219">
        <v>1.2392390213828779E-5</v>
      </c>
      <c r="AA101" s="219">
        <v>1.237758161694522E-5</v>
      </c>
      <c r="AB101" s="219">
        <v>1.2362796955231689E-5</v>
      </c>
      <c r="AC101" s="33">
        <v>9.9030973271797523E-8</v>
      </c>
      <c r="AD101" s="219">
        <v>9.986436436405407E-8</v>
      </c>
      <c r="AE101" s="219">
        <v>1.00684839097642E-7</v>
      </c>
      <c r="AF101" s="219">
        <v>1.00114922251453E-7</v>
      </c>
      <c r="AG101" s="219">
        <v>1.008740537516942E-7</v>
      </c>
      <c r="AH101" s="219">
        <v>1.016238519397692E-7</v>
      </c>
      <c r="AI101" s="219">
        <v>1.021877853580295E-7</v>
      </c>
      <c r="AJ101" s="219">
        <v>1.027446077020675E-7</v>
      </c>
      <c r="AK101" s="219">
        <v>1.0221459459795809E-7</v>
      </c>
      <c r="AL101" s="219">
        <v>1.027316697248528E-7</v>
      </c>
      <c r="AM101" s="219">
        <v>1.0324255896142259E-7</v>
      </c>
      <c r="AN101" s="219">
        <v>1.0418361984640149E-7</v>
      </c>
      <c r="AO101" s="219">
        <v>1.051185653732562E-7</v>
      </c>
      <c r="AP101" s="219">
        <v>1.056025690846179E-7</v>
      </c>
      <c r="AQ101" s="219">
        <v>1.0651496060655989E-7</v>
      </c>
      <c r="AR101" s="219">
        <v>1.074207236722733E-7</v>
      </c>
      <c r="AS101" s="219">
        <v>1.077710960288589E-7</v>
      </c>
      <c r="AT101" s="219">
        <v>1.0811596185026481E-7</v>
      </c>
      <c r="AU101" s="219">
        <v>1.080233394912519E-7</v>
      </c>
      <c r="AV101" s="219">
        <v>1.08350188639562E-7</v>
      </c>
      <c r="AW101" s="219">
        <v>1.086679802832471E-7</v>
      </c>
      <c r="AX101" s="219">
        <v>1.114498136436485E-7</v>
      </c>
      <c r="AY101" s="219">
        <v>1.116646286994214E-7</v>
      </c>
      <c r="AZ101" s="219">
        <v>1.118779769481358E-7</v>
      </c>
      <c r="BA101" s="219">
        <v>1.1208985910569E-7</v>
      </c>
      <c r="BB101" s="219">
        <v>1.123002783732079E-7</v>
      </c>
      <c r="BC101" s="33">
        <v>4.234145585033068</v>
      </c>
      <c r="BD101" s="219">
        <v>4.2080407541025462</v>
      </c>
      <c r="BE101" s="219">
        <v>4.1818098176936997</v>
      </c>
      <c r="BF101" s="219">
        <v>4.0640184418820633</v>
      </c>
      <c r="BG101" s="219">
        <v>4.0385298534533636</v>
      </c>
      <c r="BH101" s="219">
        <v>4.0129498323678172</v>
      </c>
      <c r="BI101" s="219">
        <v>3.998320215887627</v>
      </c>
      <c r="BJ101" s="219">
        <v>3.983670672005172</v>
      </c>
      <c r="BK101" s="219">
        <v>3.9023133467349651</v>
      </c>
      <c r="BL101" s="219">
        <v>3.8886360171977841</v>
      </c>
      <c r="BM101" s="219">
        <v>3.8749430021610038</v>
      </c>
      <c r="BN101" s="219">
        <v>3.858407374662046</v>
      </c>
      <c r="BO101" s="219">
        <v>3.841921829302422</v>
      </c>
      <c r="BP101" s="219">
        <v>3.805189490785037</v>
      </c>
      <c r="BQ101" s="219">
        <v>3.789237858688582</v>
      </c>
      <c r="BR101" s="219">
        <v>3.7733237429635968</v>
      </c>
      <c r="BS101" s="219">
        <v>3.7500471188774478</v>
      </c>
      <c r="BT101" s="219">
        <v>3.7267581861947292</v>
      </c>
      <c r="BU101" s="219">
        <v>3.6842395007406119</v>
      </c>
      <c r="BV101" s="219">
        <v>3.6611868400087029</v>
      </c>
      <c r="BW101" s="219">
        <v>3.638101740441182</v>
      </c>
      <c r="BX101" s="219">
        <v>3.629610355119901</v>
      </c>
      <c r="BY101" s="219">
        <v>3.6211360657954441</v>
      </c>
      <c r="BZ101" s="219">
        <v>3.6126740024284438</v>
      </c>
      <c r="CA101" s="219">
        <v>3.604224052803163</v>
      </c>
      <c r="CB101" s="219">
        <v>3.5957862346885801</v>
      </c>
      <c r="CC101" s="33">
        <v>45.142377930009303</v>
      </c>
      <c r="CD101" s="219">
        <v>44.588111223053872</v>
      </c>
      <c r="CE101" s="219">
        <v>44.034610727263001</v>
      </c>
      <c r="CF101" s="219">
        <v>42.760757895022117</v>
      </c>
      <c r="CG101" s="219">
        <v>42.223214647790392</v>
      </c>
      <c r="CH101" s="219">
        <v>41.686327800365369</v>
      </c>
      <c r="CI101" s="219">
        <v>41.352054302172029</v>
      </c>
      <c r="CJ101" s="219">
        <v>41.019748468618623</v>
      </c>
      <c r="CK101" s="219">
        <v>40.222895592372907</v>
      </c>
      <c r="CL101" s="219">
        <v>39.905535639453113</v>
      </c>
      <c r="CM101" s="219">
        <v>39.590006046530043</v>
      </c>
      <c r="CN101" s="219">
        <v>39.249028712248588</v>
      </c>
      <c r="CO101" s="219">
        <v>38.910551540673623</v>
      </c>
      <c r="CP101" s="219">
        <v>38.442241160482169</v>
      </c>
      <c r="CQ101" s="219">
        <v>38.113157755502868</v>
      </c>
      <c r="CR101" s="219">
        <v>37.786188518078291</v>
      </c>
      <c r="CS101" s="219">
        <v>37.453920068667259</v>
      </c>
      <c r="CT101" s="219">
        <v>37.123811994162217</v>
      </c>
      <c r="CU101" s="219">
        <v>36.704277671111647</v>
      </c>
      <c r="CV101" s="219">
        <v>36.38243489173049</v>
      </c>
      <c r="CW101" s="219">
        <v>36.063256291386871</v>
      </c>
      <c r="CX101" s="219">
        <v>37.202338926115431</v>
      </c>
      <c r="CY101" s="219">
        <v>37.019750178290522</v>
      </c>
      <c r="CZ101" s="219">
        <v>36.837725271928811</v>
      </c>
      <c r="DA101" s="219">
        <v>36.656260408763671</v>
      </c>
      <c r="DB101" s="219">
        <v>36.47535305958808</v>
      </c>
    </row>
    <row r="102" spans="1:106" x14ac:dyDescent="0.35">
      <c r="A102" s="137" t="s">
        <v>559</v>
      </c>
      <c r="B102" s="130" t="s">
        <v>545</v>
      </c>
      <c r="C102" s="33">
        <v>5.9654804167578721E-5</v>
      </c>
      <c r="D102" s="219">
        <v>5.8901682169583012E-5</v>
      </c>
      <c r="E102" s="219">
        <v>5.8148527475544132E-5</v>
      </c>
      <c r="F102" s="219">
        <v>5.7276490158359049E-5</v>
      </c>
      <c r="G102" s="219">
        <v>5.6507994011325168E-5</v>
      </c>
      <c r="H102" s="219">
        <v>5.5759009941401278E-5</v>
      </c>
      <c r="I102" s="219">
        <v>5.534925626777637E-5</v>
      </c>
      <c r="J102" s="219">
        <v>5.494117415277872E-5</v>
      </c>
      <c r="K102" s="219">
        <v>5.4499395030361478E-5</v>
      </c>
      <c r="L102" s="219">
        <v>5.4092298053799438E-5</v>
      </c>
      <c r="M102" s="219">
        <v>5.3687315850378827E-5</v>
      </c>
      <c r="N102" s="219">
        <v>5.3196382836585462E-5</v>
      </c>
      <c r="O102" s="219">
        <v>5.2709464481035109E-5</v>
      </c>
      <c r="P102" s="219">
        <v>5.2212329078157269E-5</v>
      </c>
      <c r="Q102" s="219">
        <v>5.1731097591351683E-5</v>
      </c>
      <c r="R102" s="219">
        <v>5.1252508714773069E-5</v>
      </c>
      <c r="S102" s="219">
        <v>5.0685865483676297E-5</v>
      </c>
      <c r="T102" s="219">
        <v>5.0119795661767699E-5</v>
      </c>
      <c r="U102" s="219">
        <v>4.9543844606883628E-5</v>
      </c>
      <c r="V102" s="219">
        <v>4.8980666222956877E-5</v>
      </c>
      <c r="W102" s="219">
        <v>4.8421879734417261E-5</v>
      </c>
      <c r="X102" s="219">
        <v>4.8917284767635151E-5</v>
      </c>
      <c r="Y102" s="219">
        <v>4.8644215332858671E-5</v>
      </c>
      <c r="Z102" s="219">
        <v>4.8371254199788377E-5</v>
      </c>
      <c r="AA102" s="219">
        <v>4.8098395831677263E-5</v>
      </c>
      <c r="AB102" s="219">
        <v>4.7825639620324841E-5</v>
      </c>
      <c r="AC102" s="33">
        <v>3.9554749765291739E-7</v>
      </c>
      <c r="AD102" s="219">
        <v>4.0469203641927192E-7</v>
      </c>
      <c r="AE102" s="219">
        <v>4.1368904950926557E-7</v>
      </c>
      <c r="AF102" s="219">
        <v>4.2176746363267798E-7</v>
      </c>
      <c r="AG102" s="219">
        <v>4.3043113223059228E-7</v>
      </c>
      <c r="AH102" s="219">
        <v>4.3899759666415738E-7</v>
      </c>
      <c r="AI102" s="219">
        <v>4.5015023073845198E-7</v>
      </c>
      <c r="AJ102" s="219">
        <v>4.6119999383996832E-7</v>
      </c>
      <c r="AK102" s="219">
        <v>4.7155529592521319E-7</v>
      </c>
      <c r="AL102" s="219">
        <v>4.8237520006579695E-7</v>
      </c>
      <c r="AM102" s="219">
        <v>4.9309790832963825E-7</v>
      </c>
      <c r="AN102" s="219">
        <v>5.0490728291843145E-7</v>
      </c>
      <c r="AO102" s="219">
        <v>5.166139906472204E-7</v>
      </c>
      <c r="AP102" s="219">
        <v>5.2796969002837012E-7</v>
      </c>
      <c r="AQ102" s="219">
        <v>5.394506697044219E-7</v>
      </c>
      <c r="AR102" s="219">
        <v>5.5082484718468792E-7</v>
      </c>
      <c r="AS102" s="219">
        <v>5.6099906367984802E-7</v>
      </c>
      <c r="AT102" s="219">
        <v>5.7107638019729833E-7</v>
      </c>
      <c r="AU102" s="219">
        <v>5.8078642089266524E-7</v>
      </c>
      <c r="AV102" s="219">
        <v>5.9066195092068379E-7</v>
      </c>
      <c r="AW102" s="219">
        <v>6.0040716870346188E-7</v>
      </c>
      <c r="AX102" s="219">
        <v>6.1529805514570374E-7</v>
      </c>
      <c r="AY102" s="219">
        <v>6.1917157370362979E-7</v>
      </c>
      <c r="AZ102" s="219">
        <v>6.2303198759672031E-7</v>
      </c>
      <c r="BA102" s="219">
        <v>6.2687927320619511E-7</v>
      </c>
      <c r="BB102" s="219">
        <v>6.307134449887384E-7</v>
      </c>
      <c r="BC102" s="33">
        <v>35.555809340955797</v>
      </c>
      <c r="BD102" s="219">
        <v>35.125949927675769</v>
      </c>
      <c r="BE102" s="219">
        <v>34.69409682325572</v>
      </c>
      <c r="BF102" s="219">
        <v>34.210778935533597</v>
      </c>
      <c r="BG102" s="219">
        <v>33.774294429511727</v>
      </c>
      <c r="BH102" s="219">
        <v>33.336996657934989</v>
      </c>
      <c r="BI102" s="219">
        <v>33.027845370597753</v>
      </c>
      <c r="BJ102" s="219">
        <v>32.718934678355282</v>
      </c>
      <c r="BK102" s="219">
        <v>32.372866697753103</v>
      </c>
      <c r="BL102" s="219">
        <v>32.064237696666041</v>
      </c>
      <c r="BM102" s="219">
        <v>31.7558849584616</v>
      </c>
      <c r="BN102" s="219">
        <v>31.397324408467281</v>
      </c>
      <c r="BO102" s="219">
        <v>31.039700665756069</v>
      </c>
      <c r="BP102" s="219">
        <v>30.671474587753231</v>
      </c>
      <c r="BQ102" s="219">
        <v>30.315628928155341</v>
      </c>
      <c r="BR102" s="219">
        <v>29.960589792977679</v>
      </c>
      <c r="BS102" s="219">
        <v>29.511423442295939</v>
      </c>
      <c r="BT102" s="219">
        <v>29.06147525240257</v>
      </c>
      <c r="BU102" s="219">
        <v>28.599036857229368</v>
      </c>
      <c r="BV102" s="219">
        <v>28.147524208294321</v>
      </c>
      <c r="BW102" s="219">
        <v>27.69505241743094</v>
      </c>
      <c r="BX102" s="219">
        <v>27.528289854467769</v>
      </c>
      <c r="BY102" s="219">
        <v>27.361551879115979</v>
      </c>
      <c r="BZ102" s="219">
        <v>27.194786313813388</v>
      </c>
      <c r="CA102" s="219">
        <v>27.027992351007178</v>
      </c>
      <c r="CB102" s="219">
        <v>26.86117042303626</v>
      </c>
      <c r="CC102" s="33">
        <v>286.33685104462279</v>
      </c>
      <c r="CD102" s="219">
        <v>278.19201834588762</v>
      </c>
      <c r="CE102" s="219">
        <v>270.06984221721501</v>
      </c>
      <c r="CF102" s="219">
        <v>261.56597611068457</v>
      </c>
      <c r="CG102" s="219">
        <v>253.47039650973801</v>
      </c>
      <c r="CH102" s="219">
        <v>245.4202753154122</v>
      </c>
      <c r="CI102" s="219">
        <v>239.98616691799521</v>
      </c>
      <c r="CJ102" s="219">
        <v>234.58216918314761</v>
      </c>
      <c r="CK102" s="219">
        <v>228.9500942771709</v>
      </c>
      <c r="CL102" s="219">
        <v>223.60492336233139</v>
      </c>
      <c r="CM102" s="219">
        <v>218.28996062844081</v>
      </c>
      <c r="CN102" s="219">
        <v>211.88485090032589</v>
      </c>
      <c r="CO102" s="219">
        <v>205.5220996749004</v>
      </c>
      <c r="CP102" s="219">
        <v>199.1259995295151</v>
      </c>
      <c r="CQ102" s="219">
        <v>192.8440917125765</v>
      </c>
      <c r="CR102" s="219">
        <v>186.6010608980483</v>
      </c>
      <c r="CS102" s="219">
        <v>180.01014323925179</v>
      </c>
      <c r="CT102" s="219">
        <v>173.45588110923151</v>
      </c>
      <c r="CU102" s="219">
        <v>166.87964112848039</v>
      </c>
      <c r="CV102" s="219">
        <v>160.39920478863809</v>
      </c>
      <c r="CW102" s="219">
        <v>153.95945879095561</v>
      </c>
      <c r="CX102" s="219">
        <v>150.72580843897109</v>
      </c>
      <c r="CY102" s="219">
        <v>147.2987043399344</v>
      </c>
      <c r="CZ102" s="219">
        <v>143.87658540863339</v>
      </c>
      <c r="DA102" s="219">
        <v>140.4594196767527</v>
      </c>
      <c r="DB102" s="219">
        <v>137.04718464663259</v>
      </c>
    </row>
    <row r="103" spans="1:106" x14ac:dyDescent="0.35">
      <c r="A103" s="137" t="s">
        <v>560</v>
      </c>
      <c r="B103" s="130" t="s">
        <v>547</v>
      </c>
      <c r="C103" s="33">
        <v>2.0693429204328069E-9</v>
      </c>
      <c r="D103" s="219">
        <v>2.0621388432601631E-9</v>
      </c>
      <c r="E103" s="219">
        <v>2.054915422980836E-9</v>
      </c>
      <c r="F103" s="219">
        <v>2.0195687518208428E-9</v>
      </c>
      <c r="G103" s="219">
        <v>2.012288361071122E-9</v>
      </c>
      <c r="H103" s="219">
        <v>2.0050723341239919E-9</v>
      </c>
      <c r="I103" s="219">
        <v>2.0016242045836432E-9</v>
      </c>
      <c r="J103" s="219">
        <v>1.998183712744838E-9</v>
      </c>
      <c r="K103" s="219">
        <v>1.9850817895487339E-9</v>
      </c>
      <c r="L103" s="219">
        <v>1.98177574641552E-9</v>
      </c>
      <c r="M103" s="219">
        <v>1.9784876856972659E-9</v>
      </c>
      <c r="N103" s="219">
        <v>1.9750236047051588E-9</v>
      </c>
      <c r="O103" s="219">
        <v>1.971601486999504E-9</v>
      </c>
      <c r="P103" s="219">
        <v>1.9642541284547221E-9</v>
      </c>
      <c r="Q103" s="219">
        <v>1.9609433454576521E-9</v>
      </c>
      <c r="R103" s="219">
        <v>1.957657766708764E-9</v>
      </c>
      <c r="S103" s="219">
        <v>1.9546359624946332E-9</v>
      </c>
      <c r="T103" s="219">
        <v>1.951636023097246E-9</v>
      </c>
      <c r="U103" s="219">
        <v>1.9458401686418758E-9</v>
      </c>
      <c r="V103" s="219">
        <v>1.9429385109890649E-9</v>
      </c>
      <c r="W103" s="219">
        <v>1.940154704888204E-9</v>
      </c>
      <c r="X103" s="219">
        <v>1.9520213057093669E-9</v>
      </c>
      <c r="Y103" s="219">
        <v>1.950166145353569E-9</v>
      </c>
      <c r="Z103" s="219">
        <v>1.948328005892947E-9</v>
      </c>
      <c r="AA103" s="219">
        <v>1.9465068158079438E-9</v>
      </c>
      <c r="AB103" s="219">
        <v>1.944702557707346E-9</v>
      </c>
      <c r="AC103" s="33">
        <v>1.5163270727408349E-11</v>
      </c>
      <c r="AD103" s="219">
        <v>1.525070570482222E-11</v>
      </c>
      <c r="AE103" s="219">
        <v>1.5336464514096331E-11</v>
      </c>
      <c r="AF103" s="219">
        <v>1.520759287369487E-11</v>
      </c>
      <c r="AG103" s="219">
        <v>1.528416515460347E-11</v>
      </c>
      <c r="AH103" s="219">
        <v>1.5359331272934961E-11</v>
      </c>
      <c r="AI103" s="219">
        <v>1.548811135495992E-11</v>
      </c>
      <c r="AJ103" s="219">
        <v>1.561547881699051E-11</v>
      </c>
      <c r="AK103" s="219">
        <v>1.557909527936727E-11</v>
      </c>
      <c r="AL103" s="219">
        <v>1.5699854169182531E-11</v>
      </c>
      <c r="AM103" s="219">
        <v>1.5819367502296522E-11</v>
      </c>
      <c r="AN103" s="219">
        <v>1.5933896858923701E-11</v>
      </c>
      <c r="AO103" s="219">
        <v>1.604703268214135E-11</v>
      </c>
      <c r="AP103" s="219">
        <v>1.6092144118644412E-11</v>
      </c>
      <c r="AQ103" s="219">
        <v>1.6200984197981779E-11</v>
      </c>
      <c r="AR103" s="219">
        <v>1.6308354521526619E-11</v>
      </c>
      <c r="AS103" s="219">
        <v>1.636477064520353E-11</v>
      </c>
      <c r="AT103" s="219">
        <v>1.6420003011843528E-11</v>
      </c>
      <c r="AU103" s="219">
        <v>1.6408723996146881E-11</v>
      </c>
      <c r="AV103" s="219">
        <v>1.6460509910802631E-11</v>
      </c>
      <c r="AW103" s="219">
        <v>1.65100647982224E-11</v>
      </c>
      <c r="AX103" s="219">
        <v>1.6635509362314701E-11</v>
      </c>
      <c r="AY103" s="219">
        <v>1.6673970973019922E-11</v>
      </c>
      <c r="AZ103" s="219">
        <v>1.671176881441725E-11</v>
      </c>
      <c r="BA103" s="219">
        <v>1.674890468514482E-11</v>
      </c>
      <c r="BB103" s="219">
        <v>1.6785380560787009E-11</v>
      </c>
      <c r="BC103" s="33">
        <v>5.749594429399215E-4</v>
      </c>
      <c r="BD103" s="219">
        <v>5.7190923868421833E-4</v>
      </c>
      <c r="BE103" s="219">
        <v>5.6884248238713258E-4</v>
      </c>
      <c r="BF103" s="219">
        <v>5.5175525266369684E-4</v>
      </c>
      <c r="BG103" s="219">
        <v>5.4881235164372529E-4</v>
      </c>
      <c r="BH103" s="219">
        <v>5.4585694977105667E-4</v>
      </c>
      <c r="BI103" s="219">
        <v>5.4362176290887495E-4</v>
      </c>
      <c r="BJ103" s="219">
        <v>5.4138111665657314E-4</v>
      </c>
      <c r="BK103" s="219">
        <v>5.290709409611859E-4</v>
      </c>
      <c r="BL103" s="219">
        <v>5.2697265326110657E-4</v>
      </c>
      <c r="BM103" s="219">
        <v>5.2486934720855213E-4</v>
      </c>
      <c r="BN103" s="219">
        <v>5.224258760308288E-4</v>
      </c>
      <c r="BO103" s="219">
        <v>5.1999161364905966E-4</v>
      </c>
      <c r="BP103" s="219">
        <v>5.1451205819722217E-4</v>
      </c>
      <c r="BQ103" s="219">
        <v>5.1216350372179013E-4</v>
      </c>
      <c r="BR103" s="219">
        <v>5.0982255106540853E-4</v>
      </c>
      <c r="BS103" s="219">
        <v>5.0755528216475069E-4</v>
      </c>
      <c r="BT103" s="219">
        <v>5.0530006716331102E-4</v>
      </c>
      <c r="BU103" s="219">
        <v>5.0016536033884297E-4</v>
      </c>
      <c r="BV103" s="219">
        <v>4.9797387835013121E-4</v>
      </c>
      <c r="BW103" s="219">
        <v>4.9578818501825196E-4</v>
      </c>
      <c r="BX103" s="219">
        <v>4.9469394334881404E-4</v>
      </c>
      <c r="BY103" s="219">
        <v>4.9361019191558034E-4</v>
      </c>
      <c r="BZ103" s="219">
        <v>4.9253642415453128E-4</v>
      </c>
      <c r="CA103" s="219">
        <v>4.9147263641052515E-4</v>
      </c>
      <c r="CB103" s="219">
        <v>4.904188396929874E-4</v>
      </c>
      <c r="CC103" s="33">
        <v>9.5703791102415801E-3</v>
      </c>
      <c r="CD103" s="219">
        <v>9.5056818695814591E-3</v>
      </c>
      <c r="CE103" s="219">
        <v>9.4409386354032902E-3</v>
      </c>
      <c r="CF103" s="219">
        <v>9.2654284023465094E-3</v>
      </c>
      <c r="CG103" s="219">
        <v>9.202905970302289E-3</v>
      </c>
      <c r="CH103" s="219">
        <v>9.1403046105074E-3</v>
      </c>
      <c r="CI103" s="219">
        <v>9.0959870278444245E-3</v>
      </c>
      <c r="CJ103" s="219">
        <v>9.051927926381223E-3</v>
      </c>
      <c r="CK103" s="219">
        <v>8.9379667829914463E-3</v>
      </c>
      <c r="CL103" s="219">
        <v>8.8961284028903527E-3</v>
      </c>
      <c r="CM103" s="219">
        <v>8.8545417656117047E-3</v>
      </c>
      <c r="CN103" s="219">
        <v>8.8126937932747722E-3</v>
      </c>
      <c r="CO103" s="219">
        <v>8.7712412789335767E-3</v>
      </c>
      <c r="CP103" s="219">
        <v>8.7102927734315824E-3</v>
      </c>
      <c r="CQ103" s="219">
        <v>8.6703133782126719E-3</v>
      </c>
      <c r="CR103" s="219">
        <v>8.6306910417635763E-3</v>
      </c>
      <c r="CS103" s="219">
        <v>8.5999892514757592E-3</v>
      </c>
      <c r="CT103" s="219">
        <v>8.5697091866900315E-3</v>
      </c>
      <c r="CU103" s="219">
        <v>8.5259449930557129E-3</v>
      </c>
      <c r="CV103" s="219">
        <v>8.4970958426706794E-3</v>
      </c>
      <c r="CW103" s="219">
        <v>8.4688148024447494E-3</v>
      </c>
      <c r="CX103" s="219">
        <v>8.4460963242994746E-3</v>
      </c>
      <c r="CY103" s="219">
        <v>8.4228858791849538E-3</v>
      </c>
      <c r="CZ103" s="219">
        <v>8.399924287161728E-3</v>
      </c>
      <c r="DA103" s="219">
        <v>8.377210918449108E-3</v>
      </c>
      <c r="DB103" s="219">
        <v>8.3547452958426943E-3</v>
      </c>
    </row>
    <row r="104" spans="1:106" x14ac:dyDescent="0.35">
      <c r="A104" s="137" t="s">
        <v>561</v>
      </c>
      <c r="B104" s="130" t="s">
        <v>705</v>
      </c>
      <c r="C104" s="33">
        <v>2.6322721726552512E-4</v>
      </c>
      <c r="D104" s="219">
        <v>2.5866249207413502E-4</v>
      </c>
      <c r="E104" s="219">
        <v>2.5405869902949091E-4</v>
      </c>
      <c r="F104" s="219">
        <v>2.4790954055705099E-4</v>
      </c>
      <c r="G104" s="219">
        <v>2.4320156481659301E-4</v>
      </c>
      <c r="H104" s="219">
        <v>2.3845944276936539E-4</v>
      </c>
      <c r="I104" s="219">
        <v>2.3818826466101599E-4</v>
      </c>
      <c r="J104" s="219">
        <v>2.3790359747015221E-4</v>
      </c>
      <c r="K104" s="219">
        <v>2.3718038918044219E-4</v>
      </c>
      <c r="L104" s="219">
        <v>2.3687057090296699E-4</v>
      </c>
      <c r="M104" s="219">
        <v>2.3654989327107361E-4</v>
      </c>
      <c r="N104" s="219">
        <v>2.3616147499013471E-4</v>
      </c>
      <c r="O104" s="219">
        <v>2.3577478459469749E-4</v>
      </c>
      <c r="P104" s="219">
        <v>2.352217879272995E-4</v>
      </c>
      <c r="Q104" s="219">
        <v>2.3483722590866721E-4</v>
      </c>
      <c r="R104" s="219">
        <v>2.3445141905597099E-4</v>
      </c>
      <c r="S104" s="219">
        <v>2.3383341452647439E-4</v>
      </c>
      <c r="T104" s="219">
        <v>2.3321729209397599E-4</v>
      </c>
      <c r="U104" s="219">
        <v>2.3247380057932901E-4</v>
      </c>
      <c r="V104" s="219">
        <v>2.3186728341628449E-4</v>
      </c>
      <c r="W104" s="219">
        <v>2.3127294302008661E-4</v>
      </c>
      <c r="X104" s="219">
        <v>2.3538466572112359E-4</v>
      </c>
      <c r="Y104" s="219">
        <v>2.352102001422839E-4</v>
      </c>
      <c r="Z104" s="219">
        <v>2.3503611840734951E-4</v>
      </c>
      <c r="AA104" s="219">
        <v>2.348623971618371E-4</v>
      </c>
      <c r="AB104" s="219">
        <v>2.3468903820199349E-4</v>
      </c>
      <c r="AC104" s="33">
        <v>1.5568631310201531E-6</v>
      </c>
      <c r="AD104" s="219">
        <v>1.5391043825718959E-6</v>
      </c>
      <c r="AE104" s="219">
        <v>1.520382059578232E-6</v>
      </c>
      <c r="AF104" s="219">
        <v>1.490530396859574E-6</v>
      </c>
      <c r="AG104" s="219">
        <v>1.469977393581854E-6</v>
      </c>
      <c r="AH104" s="219">
        <v>1.4485978665570479E-6</v>
      </c>
      <c r="AI104" s="219">
        <v>1.453183927485486E-6</v>
      </c>
      <c r="AJ104" s="219">
        <v>1.457380151900112E-6</v>
      </c>
      <c r="AK104" s="219">
        <v>1.4543220215600509E-6</v>
      </c>
      <c r="AL104" s="219">
        <v>1.457702482446929E-6</v>
      </c>
      <c r="AM104" s="219">
        <v>1.4608047795862119E-6</v>
      </c>
      <c r="AN104" s="219">
        <v>1.462560445034647E-6</v>
      </c>
      <c r="AO104" s="219">
        <v>1.4643173431288331E-6</v>
      </c>
      <c r="AP104" s="219">
        <v>1.4633057535492171E-6</v>
      </c>
      <c r="AQ104" s="219">
        <v>1.4649814128069E-6</v>
      </c>
      <c r="AR104" s="219">
        <v>1.4666447699044541E-6</v>
      </c>
      <c r="AS104" s="219">
        <v>1.4659285962986079E-6</v>
      </c>
      <c r="AT104" s="219">
        <v>1.465211603535244E-6</v>
      </c>
      <c r="AU104" s="219">
        <v>1.4616325983130691E-6</v>
      </c>
      <c r="AV104" s="219">
        <v>1.4608635679001789E-6</v>
      </c>
      <c r="AW104" s="219">
        <v>1.4599959339718309E-6</v>
      </c>
      <c r="AX104" s="219">
        <v>1.477314417989346E-6</v>
      </c>
      <c r="AY104" s="219">
        <v>1.479100931628465E-6</v>
      </c>
      <c r="AZ104" s="219">
        <v>1.4808667744377321E-6</v>
      </c>
      <c r="BA104" s="219">
        <v>1.482612190332E-6</v>
      </c>
      <c r="BB104" s="219">
        <v>1.4843375858487829E-6</v>
      </c>
      <c r="BC104" s="33">
        <v>113.898776346798</v>
      </c>
      <c r="BD104" s="219">
        <v>113.56243348710539</v>
      </c>
      <c r="BE104" s="219">
        <v>113.2211122554602</v>
      </c>
      <c r="BF104" s="219">
        <v>112.2202631041648</v>
      </c>
      <c r="BG104" s="219">
        <v>111.87545543858</v>
      </c>
      <c r="BH104" s="219">
        <v>111.5248413382393</v>
      </c>
      <c r="BI104" s="219">
        <v>112.02723495155939</v>
      </c>
      <c r="BJ104" s="219">
        <v>112.5196703576229</v>
      </c>
      <c r="BK104" s="219">
        <v>112.5648468888273</v>
      </c>
      <c r="BL104" s="219">
        <v>113.04433550375791</v>
      </c>
      <c r="BM104" s="219">
        <v>113.5145120285696</v>
      </c>
      <c r="BN104" s="219">
        <v>113.47633656230281</v>
      </c>
      <c r="BO104" s="219">
        <v>113.43821672233091</v>
      </c>
      <c r="BP104" s="219">
        <v>113.27001425759541</v>
      </c>
      <c r="BQ104" s="219">
        <v>113.2350028411453</v>
      </c>
      <c r="BR104" s="219">
        <v>113.1998263783904</v>
      </c>
      <c r="BS104" s="219">
        <v>112.87099562799639</v>
      </c>
      <c r="BT104" s="219">
        <v>112.5438700453108</v>
      </c>
      <c r="BU104" s="219">
        <v>112.0953414641442</v>
      </c>
      <c r="BV104" s="219">
        <v>111.7733057348982</v>
      </c>
      <c r="BW104" s="219">
        <v>111.4523390475613</v>
      </c>
      <c r="BX104" s="219">
        <v>111.3874174886531</v>
      </c>
      <c r="BY104" s="219">
        <v>111.3230858402094</v>
      </c>
      <c r="BZ104" s="219">
        <v>111.2590823157262</v>
      </c>
      <c r="CA104" s="219">
        <v>111.1953975844519</v>
      </c>
      <c r="CB104" s="219">
        <v>111.1320287256063</v>
      </c>
      <c r="CC104" s="33">
        <v>1147.562206560159</v>
      </c>
      <c r="CD104" s="219">
        <v>1125.1249973421859</v>
      </c>
      <c r="CE104" s="219">
        <v>1102.390129792987</v>
      </c>
      <c r="CF104" s="219">
        <v>1074.05698885017</v>
      </c>
      <c r="CG104" s="219">
        <v>1050.700118245117</v>
      </c>
      <c r="CH104" s="219">
        <v>1026.9326265409311</v>
      </c>
      <c r="CI104" s="219">
        <v>1022.1502722838831</v>
      </c>
      <c r="CJ104" s="219">
        <v>1017.416703156621</v>
      </c>
      <c r="CK104" s="219">
        <v>1009.734768627844</v>
      </c>
      <c r="CL104" s="219">
        <v>1005.159492641253</v>
      </c>
      <c r="CM104" s="219">
        <v>1000.620015965834</v>
      </c>
      <c r="CN104" s="219">
        <v>998.95187229128283</v>
      </c>
      <c r="CO104" s="219">
        <v>997.28372106165648</v>
      </c>
      <c r="CP104" s="219">
        <v>994.77306971592111</v>
      </c>
      <c r="CQ104" s="219">
        <v>993.12995785135388</v>
      </c>
      <c r="CR104" s="219">
        <v>991.48221426531472</v>
      </c>
      <c r="CS104" s="219">
        <v>988.90837256292889</v>
      </c>
      <c r="CT104" s="219">
        <v>986.35767014988733</v>
      </c>
      <c r="CU104" s="219">
        <v>983.20946828966578</v>
      </c>
      <c r="CV104" s="219">
        <v>980.73110590596389</v>
      </c>
      <c r="CW104" s="219">
        <v>978.28941439365826</v>
      </c>
      <c r="CX104" s="219">
        <v>977.06180922356634</v>
      </c>
      <c r="CY104" s="219">
        <v>975.44876067821781</v>
      </c>
      <c r="CZ104" s="219">
        <v>973.84316883401459</v>
      </c>
      <c r="DA104" s="219">
        <v>972.2449306465038</v>
      </c>
      <c r="DB104" s="219">
        <v>970.6539909805565</v>
      </c>
    </row>
    <row r="105" spans="1:106" x14ac:dyDescent="0.35">
      <c r="A105" s="137" t="s">
        <v>562</v>
      </c>
      <c r="B105" s="130" t="s">
        <v>547</v>
      </c>
      <c r="C105" s="33">
        <v>4.9746858368287818E-6</v>
      </c>
      <c r="D105" s="219">
        <v>4.7504634846731911E-6</v>
      </c>
      <c r="E105" s="219">
        <v>4.5226355339218503E-6</v>
      </c>
      <c r="F105" s="219">
        <v>4.2838489097473268E-6</v>
      </c>
      <c r="G105" s="219">
        <v>4.0515053736597963E-6</v>
      </c>
      <c r="H105" s="219">
        <v>3.8194385144874683E-6</v>
      </c>
      <c r="I105" s="219">
        <v>3.8153071290807176E-6</v>
      </c>
      <c r="J105" s="219">
        <v>3.8101021789392399E-6</v>
      </c>
      <c r="K105" s="219">
        <v>3.800842230370935E-6</v>
      </c>
      <c r="L105" s="219">
        <v>3.7933346046292941E-6</v>
      </c>
      <c r="M105" s="219">
        <v>3.7848129519123822E-6</v>
      </c>
      <c r="N105" s="219">
        <v>3.7932150181227431E-6</v>
      </c>
      <c r="O105" s="219">
        <v>3.801807051669732E-6</v>
      </c>
      <c r="P105" s="219">
        <v>3.8100773758655168E-6</v>
      </c>
      <c r="Q105" s="219">
        <v>3.818905224559258E-6</v>
      </c>
      <c r="R105" s="219">
        <v>3.8278513242929051E-6</v>
      </c>
      <c r="S105" s="219">
        <v>3.7028939282599152E-6</v>
      </c>
      <c r="T105" s="219">
        <v>3.5763201020468691E-6</v>
      </c>
      <c r="U105" s="219">
        <v>3.4489655940992412E-6</v>
      </c>
      <c r="V105" s="219">
        <v>3.3219025430763921E-6</v>
      </c>
      <c r="W105" s="219">
        <v>3.1949371547186562E-6</v>
      </c>
      <c r="X105" s="219">
        <v>3.2340950623228811E-6</v>
      </c>
      <c r="Y105" s="219">
        <v>3.1840021938224861E-6</v>
      </c>
      <c r="Z105" s="219">
        <v>3.133863915749884E-6</v>
      </c>
      <c r="AA105" s="219">
        <v>3.0836712187703779E-6</v>
      </c>
      <c r="AB105" s="219">
        <v>3.033424481240663E-6</v>
      </c>
      <c r="AC105" s="33">
        <v>3.5504881135610423E-8</v>
      </c>
      <c r="AD105" s="219">
        <v>3.3641412695882408E-8</v>
      </c>
      <c r="AE105" s="219">
        <v>3.177333921697164E-8</v>
      </c>
      <c r="AF105" s="219">
        <v>2.9837284517626323E-8</v>
      </c>
      <c r="AG105" s="219">
        <v>2.7957813907846281E-8</v>
      </c>
      <c r="AH105" s="219">
        <v>2.6076477343088251E-8</v>
      </c>
      <c r="AI105" s="219">
        <v>2.66328177814841E-8</v>
      </c>
      <c r="AJ105" s="219">
        <v>2.718361339679571E-8</v>
      </c>
      <c r="AK105" s="219">
        <v>2.7659782497912999E-8</v>
      </c>
      <c r="AL105" s="219">
        <v>2.8194924631830169E-8</v>
      </c>
      <c r="AM105" s="219">
        <v>2.8724409645913601E-8</v>
      </c>
      <c r="AN105" s="219">
        <v>2.896878896334434E-8</v>
      </c>
      <c r="AO105" s="219">
        <v>2.9211196689744189E-8</v>
      </c>
      <c r="AP105" s="219">
        <v>2.942650420871905E-8</v>
      </c>
      <c r="AQ105" s="219">
        <v>2.9656572614764788E-8</v>
      </c>
      <c r="AR105" s="219">
        <v>2.9882140181395998E-8</v>
      </c>
      <c r="AS105" s="219">
        <v>2.9515795336178101E-8</v>
      </c>
      <c r="AT105" s="219">
        <v>2.9154842630262431E-8</v>
      </c>
      <c r="AU105" s="219">
        <v>2.8777311447545611E-8</v>
      </c>
      <c r="AV105" s="219">
        <v>2.8424546473135821E-8</v>
      </c>
      <c r="AW105" s="219">
        <v>2.807144035767766E-8</v>
      </c>
      <c r="AX105" s="219">
        <v>2.8860852184894599E-8</v>
      </c>
      <c r="AY105" s="219">
        <v>2.8850859182431719E-8</v>
      </c>
      <c r="AZ105" s="219">
        <v>2.884194296318134E-8</v>
      </c>
      <c r="BA105" s="219">
        <v>2.8833963179463101E-8</v>
      </c>
      <c r="BB105" s="219">
        <v>2.88268523106897E-8</v>
      </c>
      <c r="BC105" s="33">
        <v>1.1785687924864789</v>
      </c>
      <c r="BD105" s="219">
        <v>1.086734880566903</v>
      </c>
      <c r="BE105" s="219">
        <v>0.99483171917324087</v>
      </c>
      <c r="BF105" s="219">
        <v>0.89834876440245282</v>
      </c>
      <c r="BG105" s="219">
        <v>0.806166583570886</v>
      </c>
      <c r="BH105" s="219">
        <v>0.71393802396524075</v>
      </c>
      <c r="BI105" s="219">
        <v>0.82125179982515861</v>
      </c>
      <c r="BJ105" s="219">
        <v>0.92782447964405179</v>
      </c>
      <c r="BK105" s="219">
        <v>1.0292379696753939</v>
      </c>
      <c r="BL105" s="219">
        <v>1.134202918449815</v>
      </c>
      <c r="BM105" s="219">
        <v>1.2384525773378361</v>
      </c>
      <c r="BN105" s="219">
        <v>1.370684881131554</v>
      </c>
      <c r="BO105" s="219">
        <v>1.502716475387015</v>
      </c>
      <c r="BP105" s="219">
        <v>1.6335427947618579</v>
      </c>
      <c r="BQ105" s="219">
        <v>1.7651957495567621</v>
      </c>
      <c r="BR105" s="219">
        <v>1.8966421866820129</v>
      </c>
      <c r="BS105" s="219">
        <v>1.8559424550255199</v>
      </c>
      <c r="BT105" s="219">
        <v>1.8150694864530419</v>
      </c>
      <c r="BU105" s="219">
        <v>1.7731044454310769</v>
      </c>
      <c r="BV105" s="219">
        <v>1.7319043309970981</v>
      </c>
      <c r="BW105" s="219">
        <v>1.690520920965904</v>
      </c>
      <c r="BX105" s="219">
        <v>1.688809855763058</v>
      </c>
      <c r="BY105" s="219">
        <v>1.687185124477566</v>
      </c>
      <c r="BZ105" s="219">
        <v>1.6855461012015971</v>
      </c>
      <c r="CA105" s="219">
        <v>1.683890692586959</v>
      </c>
      <c r="CB105" s="219">
        <v>1.68221916249252</v>
      </c>
      <c r="CC105" s="33">
        <v>13.249931054025859</v>
      </c>
      <c r="CD105" s="219">
        <v>11.246592286793289</v>
      </c>
      <c r="CE105" s="219">
        <v>9.2532419922424918</v>
      </c>
      <c r="CF105" s="219">
        <v>7.2338991438420592</v>
      </c>
      <c r="CG105" s="219">
        <v>5.2578184053756178</v>
      </c>
      <c r="CH105" s="219">
        <v>3.290563082495555</v>
      </c>
      <c r="CI105" s="219">
        <v>3.000222783713907</v>
      </c>
      <c r="CJ105" s="219">
        <v>2.7085305737830292</v>
      </c>
      <c r="CK105" s="219">
        <v>2.384924105558563</v>
      </c>
      <c r="CL105" s="219">
        <v>2.089710205708764</v>
      </c>
      <c r="CM105" s="219">
        <v>1.793161992144757</v>
      </c>
      <c r="CN105" s="219">
        <v>1.7474546078951869</v>
      </c>
      <c r="CO105" s="219">
        <v>1.701833141315044</v>
      </c>
      <c r="CP105" s="219">
        <v>1.6503314483909071</v>
      </c>
      <c r="CQ105" s="219">
        <v>1.6049156426611091</v>
      </c>
      <c r="CR105" s="219">
        <v>1.5594457280506639</v>
      </c>
      <c r="CS105" s="219">
        <v>1.05804687962661</v>
      </c>
      <c r="CT105" s="219">
        <v>0.55583752553111765</v>
      </c>
      <c r="CU105" s="219">
        <v>4.8511905974471747E-2</v>
      </c>
      <c r="CV105" s="219">
        <v>-0.45498866994982168</v>
      </c>
      <c r="CW105" s="219">
        <v>-0.95858698461078706</v>
      </c>
      <c r="CX105" s="219">
        <v>-1.33542001935573</v>
      </c>
      <c r="CY105" s="219">
        <v>-1.73575212324517</v>
      </c>
      <c r="CZ105" s="219">
        <v>-2.1359915552673741</v>
      </c>
      <c r="DA105" s="219">
        <v>-2.5361568226135409</v>
      </c>
      <c r="DB105" s="219">
        <v>-2.9362494699198618</v>
      </c>
    </row>
    <row r="106" spans="1:106" x14ac:dyDescent="0.35">
      <c r="A106" s="137" t="s">
        <v>755</v>
      </c>
      <c r="B106" s="130" t="s">
        <v>704</v>
      </c>
      <c r="C106" s="33">
        <v>0</v>
      </c>
      <c r="D106" s="219">
        <v>0</v>
      </c>
      <c r="E106" s="219">
        <v>0</v>
      </c>
      <c r="F106" s="219">
        <v>0</v>
      </c>
      <c r="G106" s="219">
        <v>0</v>
      </c>
      <c r="H106" s="219">
        <v>0</v>
      </c>
      <c r="I106" s="219">
        <v>0</v>
      </c>
      <c r="J106" s="219">
        <v>0</v>
      </c>
      <c r="K106" s="219">
        <v>0</v>
      </c>
      <c r="L106" s="219">
        <v>0</v>
      </c>
      <c r="M106" s="219">
        <v>0</v>
      </c>
      <c r="N106" s="219">
        <v>0</v>
      </c>
      <c r="O106" s="219">
        <v>0</v>
      </c>
      <c r="P106" s="219">
        <v>0</v>
      </c>
      <c r="Q106" s="219">
        <v>0</v>
      </c>
      <c r="R106" s="219">
        <v>0</v>
      </c>
      <c r="S106" s="219">
        <v>0</v>
      </c>
      <c r="T106" s="219">
        <v>0</v>
      </c>
      <c r="U106" s="219">
        <v>0</v>
      </c>
      <c r="V106" s="219">
        <v>0</v>
      </c>
      <c r="W106" s="219">
        <v>0</v>
      </c>
      <c r="X106" s="219">
        <v>0</v>
      </c>
      <c r="Y106" s="219">
        <v>0</v>
      </c>
      <c r="Z106" s="219">
        <v>0</v>
      </c>
      <c r="AA106" s="219">
        <v>0</v>
      </c>
      <c r="AB106" s="219">
        <v>0</v>
      </c>
      <c r="AC106" s="33">
        <v>2.0736000294618859E-7</v>
      </c>
      <c r="AD106" s="219">
        <v>2.0736000294618859E-7</v>
      </c>
      <c r="AE106" s="219">
        <v>2.0736000294618859E-7</v>
      </c>
      <c r="AF106" s="219">
        <v>2.0736000294618859E-7</v>
      </c>
      <c r="AG106" s="219">
        <v>2.0736000294618859E-7</v>
      </c>
      <c r="AH106" s="219">
        <v>2.0736000294618859E-7</v>
      </c>
      <c r="AI106" s="219">
        <v>2.0736000294618859E-7</v>
      </c>
      <c r="AJ106" s="219">
        <v>2.0736000294618859E-7</v>
      </c>
      <c r="AK106" s="219">
        <v>2.0736000294618859E-7</v>
      </c>
      <c r="AL106" s="219">
        <v>2.0736000294618859E-7</v>
      </c>
      <c r="AM106" s="219">
        <v>2.0736000294618859E-7</v>
      </c>
      <c r="AN106" s="219">
        <v>2.0736000294618859E-7</v>
      </c>
      <c r="AO106" s="219">
        <v>2.0736000294618859E-7</v>
      </c>
      <c r="AP106" s="219">
        <v>2.0736000294618859E-7</v>
      </c>
      <c r="AQ106" s="219">
        <v>2.0736000294618859E-7</v>
      </c>
      <c r="AR106" s="219">
        <v>2.0736000294618859E-7</v>
      </c>
      <c r="AS106" s="219">
        <v>2.0736000294618859E-7</v>
      </c>
      <c r="AT106" s="219">
        <v>2.0736000294618859E-7</v>
      </c>
      <c r="AU106" s="219">
        <v>2.0736000294618859E-7</v>
      </c>
      <c r="AV106" s="219">
        <v>2.0736000294618859E-7</v>
      </c>
      <c r="AW106" s="219">
        <v>2.0736000294618859E-7</v>
      </c>
      <c r="AX106" s="219">
        <v>2.0736000294618859E-7</v>
      </c>
      <c r="AY106" s="219">
        <v>2.0736000294618859E-7</v>
      </c>
      <c r="AZ106" s="219">
        <v>2.0736000294618859E-7</v>
      </c>
      <c r="BA106" s="219">
        <v>2.0736000294618859E-7</v>
      </c>
      <c r="BB106" s="219">
        <v>2.0736000294618859E-7</v>
      </c>
      <c r="BC106" s="33">
        <v>0</v>
      </c>
      <c r="BD106" s="219">
        <v>0</v>
      </c>
      <c r="BE106" s="219">
        <v>0</v>
      </c>
      <c r="BF106" s="219">
        <v>0</v>
      </c>
      <c r="BG106" s="219">
        <v>0</v>
      </c>
      <c r="BH106" s="219">
        <v>0</v>
      </c>
      <c r="BI106" s="219">
        <v>0</v>
      </c>
      <c r="BJ106" s="219">
        <v>0</v>
      </c>
      <c r="BK106" s="219">
        <v>0</v>
      </c>
      <c r="BL106" s="219">
        <v>0</v>
      </c>
      <c r="BM106" s="219">
        <v>0</v>
      </c>
      <c r="BN106" s="219">
        <v>0</v>
      </c>
      <c r="BO106" s="219">
        <v>0</v>
      </c>
      <c r="BP106" s="219">
        <v>0</v>
      </c>
      <c r="BQ106" s="219">
        <v>0</v>
      </c>
      <c r="BR106" s="219">
        <v>0</v>
      </c>
      <c r="BS106" s="219">
        <v>0</v>
      </c>
      <c r="BT106" s="219">
        <v>0</v>
      </c>
      <c r="BU106" s="219">
        <v>0</v>
      </c>
      <c r="BV106" s="219">
        <v>0</v>
      </c>
      <c r="BW106" s="219">
        <v>0</v>
      </c>
      <c r="BX106" s="219">
        <v>0</v>
      </c>
      <c r="BY106" s="219">
        <v>0</v>
      </c>
      <c r="BZ106" s="219">
        <v>0</v>
      </c>
      <c r="CA106" s="219">
        <v>0</v>
      </c>
      <c r="CB106" s="219">
        <v>0</v>
      </c>
      <c r="CC106" s="33">
        <v>0</v>
      </c>
      <c r="CD106" s="219">
        <v>0</v>
      </c>
      <c r="CE106" s="219">
        <v>0</v>
      </c>
      <c r="CF106" s="219">
        <v>0</v>
      </c>
      <c r="CG106" s="219">
        <v>0</v>
      </c>
      <c r="CH106" s="219">
        <v>0</v>
      </c>
      <c r="CI106" s="219">
        <v>0</v>
      </c>
      <c r="CJ106" s="219">
        <v>0</v>
      </c>
      <c r="CK106" s="219">
        <v>0</v>
      </c>
      <c r="CL106" s="219">
        <v>0</v>
      </c>
      <c r="CM106" s="219">
        <v>0</v>
      </c>
      <c r="CN106" s="219">
        <v>0</v>
      </c>
      <c r="CO106" s="219">
        <v>0</v>
      </c>
      <c r="CP106" s="219">
        <v>0</v>
      </c>
      <c r="CQ106" s="219">
        <v>0</v>
      </c>
      <c r="CR106" s="219">
        <v>0</v>
      </c>
      <c r="CS106" s="219">
        <v>0</v>
      </c>
      <c r="CT106" s="219">
        <v>0</v>
      </c>
      <c r="CU106" s="219">
        <v>0</v>
      </c>
      <c r="CV106" s="219">
        <v>0</v>
      </c>
      <c r="CW106" s="219">
        <v>0</v>
      </c>
      <c r="CX106" s="219">
        <v>0</v>
      </c>
      <c r="CY106" s="219">
        <v>0</v>
      </c>
      <c r="CZ106" s="219">
        <v>0</v>
      </c>
      <c r="DA106" s="219">
        <v>0</v>
      </c>
      <c r="DB106" s="219">
        <v>0</v>
      </c>
    </row>
    <row r="107" spans="1:106" x14ac:dyDescent="0.35">
      <c r="A107" s="137" t="s">
        <v>563</v>
      </c>
      <c r="B107" s="130" t="s">
        <v>704</v>
      </c>
      <c r="C107" s="33">
        <v>5.6895536701134916E-3</v>
      </c>
      <c r="D107" s="219">
        <v>5.4165462283008881E-3</v>
      </c>
      <c r="E107" s="219">
        <v>5.1371322462562194E-3</v>
      </c>
      <c r="F107" s="219">
        <v>4.8431611745878194E-3</v>
      </c>
      <c r="G107" s="219">
        <v>4.5544522189818349E-3</v>
      </c>
      <c r="H107" s="219">
        <v>4.2643028905713764E-3</v>
      </c>
      <c r="I107" s="219">
        <v>4.2664623459733519E-3</v>
      </c>
      <c r="J107" s="219">
        <v>4.2672426942513362E-3</v>
      </c>
      <c r="K107" s="219">
        <v>4.2631261170956091E-3</v>
      </c>
      <c r="L107" s="219">
        <v>4.2609610254659763E-3</v>
      </c>
      <c r="M107" s="219">
        <v>4.257468230853715E-3</v>
      </c>
      <c r="N107" s="219">
        <v>4.2688830775541413E-3</v>
      </c>
      <c r="O107" s="219">
        <v>4.280481187575993E-3</v>
      </c>
      <c r="P107" s="219">
        <v>4.2917495869189519E-3</v>
      </c>
      <c r="Q107" s="219">
        <v>4.3035289832920711E-3</v>
      </c>
      <c r="R107" s="219">
        <v>4.3154047648347208E-3</v>
      </c>
      <c r="S107" s="219">
        <v>4.1364072391599912E-3</v>
      </c>
      <c r="T107" s="219">
        <v>3.9568327232403777E-3</v>
      </c>
      <c r="U107" s="219">
        <v>3.7779360592127332E-3</v>
      </c>
      <c r="V107" s="219">
        <v>3.6008669466370828E-3</v>
      </c>
      <c r="W107" s="219">
        <v>3.425462323314117E-3</v>
      </c>
      <c r="X107" s="219">
        <v>3.4713101707474648E-3</v>
      </c>
      <c r="Y107" s="219">
        <v>3.4085364626611349E-3</v>
      </c>
      <c r="Z107" s="219">
        <v>3.3455169957504341E-3</v>
      </c>
      <c r="AA107" s="219">
        <v>3.2822427846102039E-3</v>
      </c>
      <c r="AB107" s="219">
        <v>3.2187130111555719E-3</v>
      </c>
      <c r="AC107" s="33">
        <v>3.1655132116380289E-5</v>
      </c>
      <c r="AD107" s="219">
        <v>2.9291383251628741E-5</v>
      </c>
      <c r="AE107" s="219">
        <v>2.6908256619249769E-5</v>
      </c>
      <c r="AF107" s="219">
        <v>2.44327341477817E-5</v>
      </c>
      <c r="AG107" s="219">
        <v>2.200703121409191E-5</v>
      </c>
      <c r="AH107" s="219">
        <v>1.9565153348781939E-5</v>
      </c>
      <c r="AI107" s="219">
        <v>2.031972604345899E-5</v>
      </c>
      <c r="AJ107" s="219">
        <v>2.107090122655509E-5</v>
      </c>
      <c r="AK107" s="219">
        <v>2.1734423665659201E-5</v>
      </c>
      <c r="AL107" s="219">
        <v>2.247242278533405E-5</v>
      </c>
      <c r="AM107" s="219">
        <v>2.320664403709988E-5</v>
      </c>
      <c r="AN107" s="219">
        <v>2.3536754769067859E-5</v>
      </c>
      <c r="AO107" s="219">
        <v>2.3863406536161849E-5</v>
      </c>
      <c r="AP107" s="219">
        <v>2.4156002930177629E-5</v>
      </c>
      <c r="AQ107" s="219">
        <v>2.4464568089184199E-5</v>
      </c>
      <c r="AR107" s="219">
        <v>2.4766360023114551E-5</v>
      </c>
      <c r="AS107" s="219">
        <v>2.4243100065584421E-5</v>
      </c>
      <c r="AT107" s="219">
        <v>2.3731375931558361E-5</v>
      </c>
      <c r="AU107" s="219">
        <v>2.320505720115756E-5</v>
      </c>
      <c r="AV107" s="219">
        <v>2.2712687463277279E-5</v>
      </c>
      <c r="AW107" s="219">
        <v>2.2224140098117951E-5</v>
      </c>
      <c r="AX107" s="219">
        <v>2.3140968504352389E-5</v>
      </c>
      <c r="AY107" s="219">
        <v>2.3137000906641311E-5</v>
      </c>
      <c r="AZ107" s="219">
        <v>2.313448445482376E-5</v>
      </c>
      <c r="BA107" s="219">
        <v>2.3133266685742741E-5</v>
      </c>
      <c r="BB107" s="219">
        <v>2.313326288104626E-5</v>
      </c>
      <c r="BC107" s="33">
        <v>1453.2113399322311</v>
      </c>
      <c r="BD107" s="219">
        <v>1337.039645360878</v>
      </c>
      <c r="BE107" s="219">
        <v>1219.9382507649759</v>
      </c>
      <c r="BF107" s="219">
        <v>1096.6715837681129</v>
      </c>
      <c r="BG107" s="219">
        <v>977.47487215073556</v>
      </c>
      <c r="BH107" s="219">
        <v>857.34982282167755</v>
      </c>
      <c r="BI107" s="219">
        <v>1002.185460002778</v>
      </c>
      <c r="BJ107" s="219">
        <v>1146.6625091756559</v>
      </c>
      <c r="BK107" s="219">
        <v>1285.3896453645391</v>
      </c>
      <c r="BL107" s="219">
        <v>1428.9551950679249</v>
      </c>
      <c r="BM107" s="219">
        <v>1572.189476743411</v>
      </c>
      <c r="BN107" s="219">
        <v>1750.739264938554</v>
      </c>
      <c r="BO107" s="219">
        <v>1928.712715028124</v>
      </c>
      <c r="BP107" s="219">
        <v>2104.912587984415</v>
      </c>
      <c r="BQ107" s="219">
        <v>2281.7667866920019</v>
      </c>
      <c r="BR107" s="219">
        <v>2458.0424496203841</v>
      </c>
      <c r="BS107" s="219">
        <v>2393.8932001042058</v>
      </c>
      <c r="BT107" s="219">
        <v>2330.07695556825</v>
      </c>
      <c r="BU107" s="219">
        <v>2265.509353409785</v>
      </c>
      <c r="BV107" s="219">
        <v>2202.3772856189048</v>
      </c>
      <c r="BW107" s="219">
        <v>2139.556994188883</v>
      </c>
      <c r="BX107" s="219">
        <v>2140.2367090409839</v>
      </c>
      <c r="BY107" s="219">
        <v>2140.9883382303969</v>
      </c>
      <c r="BZ107" s="219">
        <v>2141.7236953176998</v>
      </c>
      <c r="CA107" s="219">
        <v>2142.4409592445868</v>
      </c>
      <c r="CB107" s="219">
        <v>2143.1403570821749</v>
      </c>
      <c r="CC107" s="33">
        <v>15948.669016755241</v>
      </c>
      <c r="CD107" s="219">
        <v>13389.99569189397</v>
      </c>
      <c r="CE107" s="219">
        <v>10827.23891267645</v>
      </c>
      <c r="CF107" s="219">
        <v>8218.8257945370024</v>
      </c>
      <c r="CG107" s="219">
        <v>5644.4276850735196</v>
      </c>
      <c r="CH107" s="219">
        <v>3064.6241783682672</v>
      </c>
      <c r="CI107" s="219">
        <v>2687.516964717885</v>
      </c>
      <c r="CJ107" s="219">
        <v>2307.006974906456</v>
      </c>
      <c r="CK107" s="219">
        <v>1885.7732388850741</v>
      </c>
      <c r="CL107" s="219">
        <v>1497.1340636467201</v>
      </c>
      <c r="CM107" s="219">
        <v>1105.0556163287481</v>
      </c>
      <c r="CN107" s="219">
        <v>1051.914731776312</v>
      </c>
      <c r="CO107" s="219">
        <v>998.84648515212825</v>
      </c>
      <c r="CP107" s="219">
        <v>938.79875757163541</v>
      </c>
      <c r="CQ107" s="219">
        <v>885.91279505141324</v>
      </c>
      <c r="CR107" s="219">
        <v>832.92922605449894</v>
      </c>
      <c r="CS107" s="219">
        <v>177.72745792503221</v>
      </c>
      <c r="CT107" s="219">
        <v>-472.6222411397714</v>
      </c>
      <c r="CU107" s="219">
        <v>-1123.210931339017</v>
      </c>
      <c r="CV107" s="219">
        <v>-1763.602138605705</v>
      </c>
      <c r="CW107" s="219">
        <v>-2398.407205524295</v>
      </c>
      <c r="CX107" s="219">
        <v>-2902.0155866216869</v>
      </c>
      <c r="CY107" s="219">
        <v>-3436.9407115683739</v>
      </c>
      <c r="CZ107" s="219">
        <v>-3973.344632822595</v>
      </c>
      <c r="DA107" s="219">
        <v>-4511.2514825700318</v>
      </c>
      <c r="DB107" s="219">
        <v>-5050.6706817311006</v>
      </c>
    </row>
    <row r="109" spans="1:106" s="231" customFormat="1" x14ac:dyDescent="0.35">
      <c r="A109" s="232"/>
    </row>
    <row r="110" spans="1:106" s="11" customFormat="1" ht="21" x14ac:dyDescent="0.5">
      <c r="A110" s="11" t="s">
        <v>72</v>
      </c>
    </row>
    <row r="111" spans="1:106" s="219" customFormat="1" x14ac:dyDescent="0.35">
      <c r="A111" s="29" t="s">
        <v>0</v>
      </c>
      <c r="B111" s="29"/>
      <c r="C111" s="338" t="s">
        <v>697</v>
      </c>
      <c r="D111" s="339"/>
      <c r="E111" s="339"/>
      <c r="F111" s="339"/>
      <c r="G111" s="339"/>
      <c r="H111" s="339"/>
      <c r="I111" s="339"/>
      <c r="J111" s="339"/>
      <c r="K111" s="339"/>
      <c r="L111" s="339"/>
      <c r="M111" s="339"/>
      <c r="N111" s="339"/>
      <c r="O111" s="339"/>
      <c r="P111" s="339"/>
      <c r="Q111" s="339"/>
      <c r="R111" s="339"/>
      <c r="S111" s="339"/>
      <c r="T111" s="339"/>
      <c r="U111" s="339"/>
      <c r="V111" s="339"/>
      <c r="W111" s="339"/>
      <c r="X111" s="339"/>
      <c r="Y111" s="339"/>
      <c r="Z111" s="339"/>
      <c r="AA111" s="339"/>
      <c r="AB111" s="340"/>
      <c r="AC111" s="341" t="s">
        <v>698</v>
      </c>
      <c r="AD111" s="342"/>
      <c r="AE111" s="342"/>
      <c r="AF111" s="342"/>
      <c r="AG111" s="342"/>
      <c r="AH111" s="342"/>
      <c r="AI111" s="342"/>
      <c r="AJ111" s="342"/>
      <c r="AK111" s="342"/>
      <c r="AL111" s="342"/>
      <c r="AM111" s="342"/>
      <c r="AN111" s="342"/>
      <c r="AO111" s="342"/>
      <c r="AP111" s="342"/>
      <c r="AQ111" s="342"/>
      <c r="AR111" s="342"/>
      <c r="AS111" s="342"/>
      <c r="AT111" s="342"/>
      <c r="AU111" s="342"/>
      <c r="AV111" s="342"/>
      <c r="AW111" s="342"/>
      <c r="AX111" s="342"/>
      <c r="AY111" s="342"/>
      <c r="AZ111" s="342"/>
      <c r="BA111" s="342"/>
      <c r="BB111" s="343"/>
      <c r="BC111" s="334" t="s">
        <v>756</v>
      </c>
      <c r="BD111" s="335"/>
      <c r="BE111" s="335"/>
      <c r="BF111" s="335"/>
      <c r="BG111" s="335"/>
      <c r="BH111" s="335"/>
      <c r="BI111" s="335"/>
      <c r="BJ111" s="335"/>
      <c r="BK111" s="335"/>
      <c r="BL111" s="335"/>
      <c r="BM111" s="335"/>
      <c r="BN111" s="335"/>
      <c r="BO111" s="335"/>
      <c r="BP111" s="335"/>
      <c r="BQ111" s="335"/>
      <c r="BR111" s="335"/>
      <c r="BS111" s="335"/>
      <c r="BT111" s="335"/>
      <c r="BU111" s="335"/>
      <c r="BV111" s="335"/>
      <c r="BW111" s="335"/>
      <c r="BX111" s="335"/>
      <c r="BY111" s="335"/>
      <c r="BZ111" s="335"/>
      <c r="CA111" s="335"/>
      <c r="CB111" s="336"/>
      <c r="CC111" s="344" t="s">
        <v>699</v>
      </c>
      <c r="CD111" s="345"/>
      <c r="CE111" s="345"/>
      <c r="CF111" s="345"/>
      <c r="CG111" s="345"/>
      <c r="CH111" s="345"/>
      <c r="CI111" s="345"/>
      <c r="CJ111" s="345"/>
      <c r="CK111" s="345"/>
      <c r="CL111" s="345"/>
      <c r="CM111" s="345"/>
      <c r="CN111" s="345"/>
      <c r="CO111" s="345"/>
      <c r="CP111" s="345"/>
      <c r="CQ111" s="345"/>
      <c r="CR111" s="345"/>
      <c r="CS111" s="345"/>
      <c r="CT111" s="345"/>
      <c r="CU111" s="345"/>
      <c r="CV111" s="345"/>
      <c r="CW111" s="345"/>
      <c r="CX111" s="345"/>
      <c r="CY111" s="345"/>
      <c r="CZ111" s="345"/>
      <c r="DA111" s="345"/>
      <c r="DB111" s="346"/>
    </row>
    <row r="112" spans="1:106" s="219" customFormat="1" x14ac:dyDescent="0.35">
      <c r="A112" s="29" t="s">
        <v>1</v>
      </c>
      <c r="B112" s="29" t="s">
        <v>180</v>
      </c>
      <c r="C112" s="222" t="s">
        <v>2</v>
      </c>
      <c r="D112" s="222" t="s">
        <v>52</v>
      </c>
      <c r="E112" s="222" t="s">
        <v>53</v>
      </c>
      <c r="F112" s="222" t="s">
        <v>54</v>
      </c>
      <c r="G112" s="222" t="s">
        <v>55</v>
      </c>
      <c r="H112" s="222" t="s">
        <v>3</v>
      </c>
      <c r="I112" s="222" t="s">
        <v>56</v>
      </c>
      <c r="J112" s="222" t="s">
        <v>57</v>
      </c>
      <c r="K112" s="222" t="s">
        <v>58</v>
      </c>
      <c r="L112" s="222" t="s">
        <v>59</v>
      </c>
      <c r="M112" s="222" t="s">
        <v>4</v>
      </c>
      <c r="N112" s="222" t="s">
        <v>60</v>
      </c>
      <c r="O112" s="222" t="s">
        <v>61</v>
      </c>
      <c r="P112" s="222" t="s">
        <v>62</v>
      </c>
      <c r="Q112" s="222" t="s">
        <v>63</v>
      </c>
      <c r="R112" s="222" t="s">
        <v>5</v>
      </c>
      <c r="S112" s="222" t="s">
        <v>64</v>
      </c>
      <c r="T112" s="222" t="s">
        <v>65</v>
      </c>
      <c r="U112" s="222" t="s">
        <v>66</v>
      </c>
      <c r="V112" s="222" t="s">
        <v>67</v>
      </c>
      <c r="W112" s="222" t="s">
        <v>6</v>
      </c>
      <c r="X112" s="222" t="s">
        <v>68</v>
      </c>
      <c r="Y112" s="222" t="s">
        <v>69</v>
      </c>
      <c r="Z112" s="222" t="s">
        <v>70</v>
      </c>
      <c r="AA112" s="222" t="s">
        <v>71</v>
      </c>
      <c r="AB112" s="222" t="s">
        <v>7</v>
      </c>
      <c r="AC112" s="223" t="s">
        <v>2</v>
      </c>
      <c r="AD112" s="223" t="s">
        <v>52</v>
      </c>
      <c r="AE112" s="223" t="s">
        <v>53</v>
      </c>
      <c r="AF112" s="223" t="s">
        <v>54</v>
      </c>
      <c r="AG112" s="223" t="s">
        <v>55</v>
      </c>
      <c r="AH112" s="223" t="s">
        <v>3</v>
      </c>
      <c r="AI112" s="223" t="s">
        <v>56</v>
      </c>
      <c r="AJ112" s="223" t="s">
        <v>57</v>
      </c>
      <c r="AK112" s="223" t="s">
        <v>58</v>
      </c>
      <c r="AL112" s="223" t="s">
        <v>59</v>
      </c>
      <c r="AM112" s="223" t="s">
        <v>4</v>
      </c>
      <c r="AN112" s="223" t="s">
        <v>60</v>
      </c>
      <c r="AO112" s="223" t="s">
        <v>61</v>
      </c>
      <c r="AP112" s="223" t="s">
        <v>62</v>
      </c>
      <c r="AQ112" s="223" t="s">
        <v>63</v>
      </c>
      <c r="AR112" s="223" t="s">
        <v>5</v>
      </c>
      <c r="AS112" s="223" t="s">
        <v>64</v>
      </c>
      <c r="AT112" s="223" t="s">
        <v>65</v>
      </c>
      <c r="AU112" s="223" t="s">
        <v>66</v>
      </c>
      <c r="AV112" s="223" t="s">
        <v>67</v>
      </c>
      <c r="AW112" s="223" t="s">
        <v>6</v>
      </c>
      <c r="AX112" s="223" t="s">
        <v>68</v>
      </c>
      <c r="AY112" s="223" t="s">
        <v>69</v>
      </c>
      <c r="AZ112" s="223" t="s">
        <v>70</v>
      </c>
      <c r="BA112" s="223" t="s">
        <v>71</v>
      </c>
      <c r="BB112" s="223" t="s">
        <v>7</v>
      </c>
      <c r="BC112" s="225" t="s">
        <v>2</v>
      </c>
      <c r="BD112" s="225" t="s">
        <v>52</v>
      </c>
      <c r="BE112" s="225" t="s">
        <v>53</v>
      </c>
      <c r="BF112" s="225" t="s">
        <v>54</v>
      </c>
      <c r="BG112" s="225" t="s">
        <v>55</v>
      </c>
      <c r="BH112" s="225" t="s">
        <v>3</v>
      </c>
      <c r="BI112" s="225" t="s">
        <v>56</v>
      </c>
      <c r="BJ112" s="225" t="s">
        <v>57</v>
      </c>
      <c r="BK112" s="225" t="s">
        <v>58</v>
      </c>
      <c r="BL112" s="225" t="s">
        <v>59</v>
      </c>
      <c r="BM112" s="225" t="s">
        <v>4</v>
      </c>
      <c r="BN112" s="225" t="s">
        <v>60</v>
      </c>
      <c r="BO112" s="225" t="s">
        <v>61</v>
      </c>
      <c r="BP112" s="225" t="s">
        <v>62</v>
      </c>
      <c r="BQ112" s="225" t="s">
        <v>63</v>
      </c>
      <c r="BR112" s="225" t="s">
        <v>5</v>
      </c>
      <c r="BS112" s="225" t="s">
        <v>64</v>
      </c>
      <c r="BT112" s="225" t="s">
        <v>65</v>
      </c>
      <c r="BU112" s="225" t="s">
        <v>66</v>
      </c>
      <c r="BV112" s="225" t="s">
        <v>67</v>
      </c>
      <c r="BW112" s="225" t="s">
        <v>6</v>
      </c>
      <c r="BX112" s="225" t="s">
        <v>68</v>
      </c>
      <c r="BY112" s="225" t="s">
        <v>69</v>
      </c>
      <c r="BZ112" s="225" t="s">
        <v>70</v>
      </c>
      <c r="CA112" s="225" t="s">
        <v>71</v>
      </c>
      <c r="CB112" s="225" t="s">
        <v>7</v>
      </c>
      <c r="CC112" s="224" t="s">
        <v>2</v>
      </c>
      <c r="CD112" s="224" t="s">
        <v>52</v>
      </c>
      <c r="CE112" s="224" t="s">
        <v>53</v>
      </c>
      <c r="CF112" s="224" t="s">
        <v>54</v>
      </c>
      <c r="CG112" s="224" t="s">
        <v>55</v>
      </c>
      <c r="CH112" s="224" t="s">
        <v>3</v>
      </c>
      <c r="CI112" s="224" t="s">
        <v>56</v>
      </c>
      <c r="CJ112" s="224" t="s">
        <v>57</v>
      </c>
      <c r="CK112" s="224" t="s">
        <v>58</v>
      </c>
      <c r="CL112" s="224" t="s">
        <v>59</v>
      </c>
      <c r="CM112" s="224" t="s">
        <v>4</v>
      </c>
      <c r="CN112" s="224" t="s">
        <v>60</v>
      </c>
      <c r="CO112" s="224" t="s">
        <v>61</v>
      </c>
      <c r="CP112" s="224" t="s">
        <v>62</v>
      </c>
      <c r="CQ112" s="224" t="s">
        <v>63</v>
      </c>
      <c r="CR112" s="224" t="s">
        <v>5</v>
      </c>
      <c r="CS112" s="224" t="s">
        <v>64</v>
      </c>
      <c r="CT112" s="224" t="s">
        <v>65</v>
      </c>
      <c r="CU112" s="224" t="s">
        <v>66</v>
      </c>
      <c r="CV112" s="224" t="s">
        <v>67</v>
      </c>
      <c r="CW112" s="224" t="s">
        <v>6</v>
      </c>
      <c r="CX112" s="224" t="s">
        <v>68</v>
      </c>
      <c r="CY112" s="224" t="s">
        <v>69</v>
      </c>
      <c r="CZ112" s="224" t="s">
        <v>70</v>
      </c>
      <c r="DA112" s="224" t="s">
        <v>71</v>
      </c>
      <c r="DB112" s="224" t="s">
        <v>7</v>
      </c>
    </row>
    <row r="114" spans="1:106" x14ac:dyDescent="0.35">
      <c r="A114" s="137" t="s">
        <v>770</v>
      </c>
      <c r="B114" s="31" t="s">
        <v>769</v>
      </c>
      <c r="C114" s="219">
        <v>1.394162418483556E-8</v>
      </c>
      <c r="D114" s="219">
        <v>1.389717483895415E-8</v>
      </c>
      <c r="E114" s="219">
        <v>1.3853866398240929E-8</v>
      </c>
      <c r="F114" s="219">
        <v>1.3764017494915169E-8</v>
      </c>
      <c r="G114" s="219">
        <v>1.3723161906378249E-8</v>
      </c>
      <c r="H114" s="219">
        <v>1.36836016555372E-8</v>
      </c>
      <c r="I114" s="219">
        <v>1.364017014913651E-8</v>
      </c>
      <c r="J114" s="219">
        <v>1.3600991317852081E-8</v>
      </c>
      <c r="K114" s="219">
        <v>1.3550459480764839E-8</v>
      </c>
      <c r="L114" s="219">
        <v>1.351768718544162E-8</v>
      </c>
      <c r="M114" s="219">
        <v>1.3488057196987501E-8</v>
      </c>
      <c r="N114" s="219">
        <v>1.3467217602842551E-8</v>
      </c>
      <c r="O114" s="219">
        <v>1.344943585753284E-8</v>
      </c>
      <c r="P114" s="219">
        <v>1.3430261393653429E-8</v>
      </c>
      <c r="Q114" s="219">
        <v>1.3417735261384961E-8</v>
      </c>
      <c r="R114" s="219">
        <v>1.34093152726289E-8</v>
      </c>
      <c r="S114" s="219">
        <v>1.337889687819865E-8</v>
      </c>
      <c r="T114" s="219">
        <v>1.334854980761501E-8</v>
      </c>
      <c r="U114" s="219">
        <v>1.3314273470567591E-8</v>
      </c>
      <c r="V114" s="219">
        <v>1.328391876686141E-8</v>
      </c>
      <c r="W114" s="219">
        <v>1.325350706681521E-8</v>
      </c>
      <c r="X114" s="219">
        <v>1.361970018677761E-8</v>
      </c>
      <c r="Y114" s="219">
        <v>1.357477705134958E-8</v>
      </c>
      <c r="Z114" s="219">
        <v>1.352957542038369E-8</v>
      </c>
      <c r="AA114" s="219">
        <v>1.3484094700502111E-8</v>
      </c>
      <c r="AB114" s="219">
        <v>1.343833673955255E-8</v>
      </c>
      <c r="AC114" s="219">
        <v>1.3493545330698449E-10</v>
      </c>
      <c r="AD114" s="219">
        <v>1.348380674399321E-10</v>
      </c>
      <c r="AE114" s="219">
        <v>1.347425332825968E-10</v>
      </c>
      <c r="AF114" s="219">
        <v>1.3436636255557519E-10</v>
      </c>
      <c r="AG114" s="219">
        <v>1.3427384941996139E-10</v>
      </c>
      <c r="AH114" s="219">
        <v>1.341824850732385E-10</v>
      </c>
      <c r="AI114" s="219">
        <v>1.341946150724981E-10</v>
      </c>
      <c r="AJ114" s="219">
        <v>1.3421375264916001E-10</v>
      </c>
      <c r="AK114" s="219">
        <v>1.3407366529554669E-10</v>
      </c>
      <c r="AL114" s="219">
        <v>1.3410259932749E-10</v>
      </c>
      <c r="AM114" s="219">
        <v>1.341357822515769E-10</v>
      </c>
      <c r="AN114" s="219">
        <v>1.3427910698364551E-10</v>
      </c>
      <c r="AO114" s="219">
        <v>1.3442516963445011E-10</v>
      </c>
      <c r="AP114" s="219">
        <v>1.3453151588911571E-10</v>
      </c>
      <c r="AQ114" s="219">
        <v>1.346849424169145E-10</v>
      </c>
      <c r="AR114" s="219">
        <v>1.348460594209173E-10</v>
      </c>
      <c r="AS114" s="219">
        <v>1.3472107293613361E-10</v>
      </c>
      <c r="AT114" s="219">
        <v>1.3459000867557981E-10</v>
      </c>
      <c r="AU114" s="219">
        <v>1.343985689943536E-10</v>
      </c>
      <c r="AV114" s="219">
        <v>1.342570598199668E-10</v>
      </c>
      <c r="AW114" s="219">
        <v>1.3411118001191199E-10</v>
      </c>
      <c r="AX114" s="219">
        <v>1.3484185832233049E-10</v>
      </c>
      <c r="AY114" s="219">
        <v>1.345253095133988E-10</v>
      </c>
      <c r="AZ114" s="219">
        <v>1.3420406755662761E-10</v>
      </c>
      <c r="BA114" s="219">
        <v>1.3387814749795459E-10</v>
      </c>
      <c r="BB114" s="219">
        <v>1.335475453371844E-10</v>
      </c>
      <c r="BC114" s="219">
        <v>2.2647090564784939E-3</v>
      </c>
      <c r="BD114" s="219">
        <v>2.2588744192553081E-3</v>
      </c>
      <c r="BE114" s="219">
        <v>2.2531619705113051E-3</v>
      </c>
      <c r="BF114" s="219">
        <v>2.2252205991200578E-3</v>
      </c>
      <c r="BG114" s="219">
        <v>2.2197926428672802E-3</v>
      </c>
      <c r="BH114" s="219">
        <v>2.214447404822436E-3</v>
      </c>
      <c r="BI114" s="219">
        <v>2.2087750900277319E-3</v>
      </c>
      <c r="BJ114" s="219">
        <v>2.2032880216541679E-3</v>
      </c>
      <c r="BK114" s="219">
        <v>2.182368007504952E-3</v>
      </c>
      <c r="BL114" s="219">
        <v>2.1773065110060399E-3</v>
      </c>
      <c r="BM114" s="219">
        <v>2.1723834695410189E-3</v>
      </c>
      <c r="BN114" s="219">
        <v>2.168885643851906E-3</v>
      </c>
      <c r="BO114" s="219">
        <v>2.165541383671199E-3</v>
      </c>
      <c r="BP114" s="219">
        <v>2.157873635301324E-3</v>
      </c>
      <c r="BQ114" s="219">
        <v>2.1548342138690531E-3</v>
      </c>
      <c r="BR114" s="219">
        <v>2.151995712901371E-3</v>
      </c>
      <c r="BS114" s="219">
        <v>2.1493430398725889E-3</v>
      </c>
      <c r="BT114" s="219">
        <v>2.1467085438573071E-3</v>
      </c>
      <c r="BU114" s="219">
        <v>2.1397625324210681E-3</v>
      </c>
      <c r="BV114" s="219">
        <v>2.137205046206942E-3</v>
      </c>
      <c r="BW114" s="219">
        <v>2.1346602845398509E-3</v>
      </c>
      <c r="BX114" s="219">
        <v>2.1333427168312362E-3</v>
      </c>
      <c r="BY114" s="219">
        <v>2.1320672395285542E-3</v>
      </c>
      <c r="BZ114" s="219">
        <v>2.1308306200211779E-3</v>
      </c>
      <c r="CA114" s="219">
        <v>2.1296314686160209E-3</v>
      </c>
      <c r="CB114" s="219">
        <v>2.1284699205991468E-3</v>
      </c>
      <c r="CC114" s="219">
        <v>2.753210663414837E-2</v>
      </c>
      <c r="CD114" s="219">
        <v>2.743389884087084E-2</v>
      </c>
      <c r="CE114" s="219">
        <v>2.7339057660451211E-2</v>
      </c>
      <c r="CF114" s="219">
        <v>2.7056776628643558E-2</v>
      </c>
      <c r="CG114" s="219">
        <v>2.6968698684077721E-2</v>
      </c>
      <c r="CH114" s="219">
        <v>2.6882532483950061E-2</v>
      </c>
      <c r="CI114" s="219">
        <v>2.679598274008976E-2</v>
      </c>
      <c r="CJ114" s="219">
        <v>2.6717877012974789E-2</v>
      </c>
      <c r="CK114" s="219">
        <v>2.6530038780759019E-2</v>
      </c>
      <c r="CL114" s="219">
        <v>2.6467297227757879E-2</v>
      </c>
      <c r="CM114" s="219">
        <v>2.6410408715194879E-2</v>
      </c>
      <c r="CN114" s="219">
        <v>2.6387420919674571E-2</v>
      </c>
      <c r="CO114" s="219">
        <v>2.6370808189873269E-2</v>
      </c>
      <c r="CP114" s="219">
        <v>2.6335506494759391E-2</v>
      </c>
      <c r="CQ114" s="219">
        <v>2.6330490511738341E-2</v>
      </c>
      <c r="CR114" s="219">
        <v>2.6334200854839451E-2</v>
      </c>
      <c r="CS114" s="219">
        <v>2.6204446483893931E-2</v>
      </c>
      <c r="CT114" s="219">
        <v>2.6075182325064662E-2</v>
      </c>
      <c r="CU114" s="219">
        <v>2.592144568737868E-2</v>
      </c>
      <c r="CV114" s="219">
        <v>2.579264017961469E-2</v>
      </c>
      <c r="CW114" s="219">
        <v>2.5663750021986509E-2</v>
      </c>
      <c r="CX114" s="219">
        <v>2.5565423146538559E-2</v>
      </c>
      <c r="CY114" s="219">
        <v>2.5385115795393019E-2</v>
      </c>
      <c r="CZ114" s="219">
        <v>2.520486281841192E-2</v>
      </c>
      <c r="DA114" s="219">
        <v>2.5024609291825671E-2</v>
      </c>
      <c r="DB114" s="219">
        <v>2.484433305343663E-2</v>
      </c>
    </row>
    <row r="115" spans="1:106" x14ac:dyDescent="0.35">
      <c r="A115" s="137" t="s">
        <v>771</v>
      </c>
      <c r="B115" s="31" t="s">
        <v>769</v>
      </c>
      <c r="C115" s="219">
        <v>5.3156443615649488E-8</v>
      </c>
      <c r="D115" s="219">
        <v>5.3150132732585593E-8</v>
      </c>
      <c r="E115" s="219">
        <v>5.300475333169856E-8</v>
      </c>
      <c r="F115" s="219">
        <v>5.2775403716277663E-8</v>
      </c>
      <c r="G115" s="219">
        <v>5.2587688998525141E-8</v>
      </c>
      <c r="H115" s="219">
        <v>5.2400220074003168E-8</v>
      </c>
      <c r="I115" s="219">
        <v>5.4026909719387728E-8</v>
      </c>
      <c r="J115" s="219">
        <v>5.5646156414930422E-8</v>
      </c>
      <c r="K115" s="219">
        <v>5.7242793144306153E-8</v>
      </c>
      <c r="L115" s="219">
        <v>5.8844440405632738E-8</v>
      </c>
      <c r="M115" s="219">
        <v>6.0436399697562209E-8</v>
      </c>
      <c r="N115" s="219">
        <v>6.3567477698036145E-8</v>
      </c>
      <c r="O115" s="219">
        <v>6.6691860832751225E-8</v>
      </c>
      <c r="P115" s="219">
        <v>6.98064564343413E-8</v>
      </c>
      <c r="Q115" s="219">
        <v>7.2916379402689271E-8</v>
      </c>
      <c r="R115" s="219">
        <v>7.6019465984914618E-8</v>
      </c>
      <c r="S115" s="219">
        <v>7.6050655782181765E-8</v>
      </c>
      <c r="T115" s="219">
        <v>7.60699550569217E-8</v>
      </c>
      <c r="U115" s="219">
        <v>7.6083938167627617E-8</v>
      </c>
      <c r="V115" s="219">
        <v>7.6099147815710108E-8</v>
      </c>
      <c r="W115" s="219">
        <v>7.611261758507954E-8</v>
      </c>
      <c r="X115" s="219">
        <v>7.6908708941178426E-8</v>
      </c>
      <c r="Y115" s="219">
        <v>7.5111689754941224E-8</v>
      </c>
      <c r="Z115" s="219">
        <v>7.3308580112150269E-8</v>
      </c>
      <c r="AA115" s="219">
        <v>7.1499294837456993E-8</v>
      </c>
      <c r="AB115" s="219">
        <v>6.9683798071052021E-8</v>
      </c>
      <c r="AC115" s="219">
        <v>4.9217825117079962E-10</v>
      </c>
      <c r="AD115" s="219">
        <v>4.8860532321256298E-10</v>
      </c>
      <c r="AE115" s="219">
        <v>4.8501878976625751E-10</v>
      </c>
      <c r="AF115" s="219">
        <v>4.8110744357355753E-10</v>
      </c>
      <c r="AG115" s="219">
        <v>4.7747961433110529E-10</v>
      </c>
      <c r="AH115" s="219">
        <v>4.7383717853540242E-10</v>
      </c>
      <c r="AI115" s="219">
        <v>5.0743232227918024E-10</v>
      </c>
      <c r="AJ115" s="219">
        <v>5.4099899058212974E-10</v>
      </c>
      <c r="AK115" s="219">
        <v>5.7433493305480495E-10</v>
      </c>
      <c r="AL115" s="219">
        <v>6.0788670725974903E-10</v>
      </c>
      <c r="AM115" s="219">
        <v>6.4141611936893432E-10</v>
      </c>
      <c r="AN115" s="219">
        <v>7.091205117978288E-10</v>
      </c>
      <c r="AO115" s="219">
        <v>7.7712214559217316E-10</v>
      </c>
      <c r="AP115" s="219">
        <v>8.4539582735405936E-10</v>
      </c>
      <c r="AQ115" s="219">
        <v>9.1405982453826302E-10</v>
      </c>
      <c r="AR115" s="219">
        <v>9.8308867142345152E-10</v>
      </c>
      <c r="AS115" s="219">
        <v>9.8592037539571655E-10</v>
      </c>
      <c r="AT115" s="219">
        <v>9.8892583714273318E-10</v>
      </c>
      <c r="AU115" s="219">
        <v>9.9203062211200242E-10</v>
      </c>
      <c r="AV115" s="219">
        <v>9.9532849235122058E-10</v>
      </c>
      <c r="AW115" s="219">
        <v>9.987484917041062E-10</v>
      </c>
      <c r="AX115" s="219">
        <v>9.8408307085188395E-10</v>
      </c>
      <c r="AY115" s="219">
        <v>9.516348988116087E-10</v>
      </c>
      <c r="AZ115" s="219">
        <v>9.1906649925398156E-10</v>
      </c>
      <c r="BA115" s="219">
        <v>8.8637700600208898E-10</v>
      </c>
      <c r="BB115" s="219">
        <v>8.5356583260987955E-10</v>
      </c>
      <c r="BC115" s="219">
        <v>1.523269770774505E-2</v>
      </c>
      <c r="BD115" s="219">
        <v>1.5303645095807981E-2</v>
      </c>
      <c r="BE115" s="219">
        <v>1.5375180505794081E-2</v>
      </c>
      <c r="BF115" s="219">
        <v>1.5420478879149071E-2</v>
      </c>
      <c r="BG115" s="219">
        <v>1.549357366286856E-2</v>
      </c>
      <c r="BH115" s="219">
        <v>1.55672375776807E-2</v>
      </c>
      <c r="BI115" s="219">
        <v>1.584289552068565E-2</v>
      </c>
      <c r="BJ115" s="219">
        <v>1.611819054085812E-2</v>
      </c>
      <c r="BK115" s="219">
        <v>1.637311584034478E-2</v>
      </c>
      <c r="BL115" s="219">
        <v>1.6648663097995061E-2</v>
      </c>
      <c r="BM115" s="219">
        <v>1.692400674500669E-2</v>
      </c>
      <c r="BN115" s="219">
        <v>1.6956818517362381E-2</v>
      </c>
      <c r="BO115" s="219">
        <v>1.6988834866951429E-2</v>
      </c>
      <c r="BP115" s="219">
        <v>1.7015468194034229E-2</v>
      </c>
      <c r="BQ115" s="219">
        <v>1.7045831554240189E-2</v>
      </c>
      <c r="BR115" s="219">
        <v>1.7075278779059021E-2</v>
      </c>
      <c r="BS115" s="219">
        <v>1.7704124358765831E-2</v>
      </c>
      <c r="BT115" s="219">
        <v>1.8333264248513882E-2</v>
      </c>
      <c r="BU115" s="219">
        <v>1.8958803549869761E-2</v>
      </c>
      <c r="BV115" s="219">
        <v>1.9588937411512412E-2</v>
      </c>
      <c r="BW115" s="219">
        <v>2.0219622856320441E-2</v>
      </c>
      <c r="BX115" s="219">
        <v>2.0349867135072291E-2</v>
      </c>
      <c r="BY115" s="219">
        <v>2.0481319726206301E-2</v>
      </c>
      <c r="BZ115" s="219">
        <v>2.0613642651145039E-2</v>
      </c>
      <c r="CA115" s="219">
        <v>2.074683192366002E-2</v>
      </c>
      <c r="CB115" s="219">
        <v>2.088089222393065E-2</v>
      </c>
      <c r="CC115" s="219">
        <v>0.26346760928632318</v>
      </c>
      <c r="CD115" s="219">
        <v>0.26332942600672959</v>
      </c>
      <c r="CE115" s="219">
        <v>0.26319331328018369</v>
      </c>
      <c r="CF115" s="219">
        <v>0.26283665682405699</v>
      </c>
      <c r="CG115" s="219">
        <v>0.26270595610437592</v>
      </c>
      <c r="CH115" s="219">
        <v>0.26257607142483719</v>
      </c>
      <c r="CI115" s="219">
        <v>0.28106197470183047</v>
      </c>
      <c r="CJ115" s="219">
        <v>0.29948734350652628</v>
      </c>
      <c r="CK115" s="219">
        <v>0.31770663032736612</v>
      </c>
      <c r="CL115" s="219">
        <v>0.33603420221420133</v>
      </c>
      <c r="CM115" s="219">
        <v>0.35428680912958083</v>
      </c>
      <c r="CN115" s="219">
        <v>0.38597888750175963</v>
      </c>
      <c r="CO115" s="219">
        <v>0.41760032901184863</v>
      </c>
      <c r="CP115" s="219">
        <v>0.44912330659970312</v>
      </c>
      <c r="CQ115" s="219">
        <v>0.48060021129345432</v>
      </c>
      <c r="CR115" s="219">
        <v>0.51200500622025846</v>
      </c>
      <c r="CS115" s="219">
        <v>0.5179925601441423</v>
      </c>
      <c r="CT115" s="219">
        <v>0.52397441954527091</v>
      </c>
      <c r="CU115" s="219">
        <v>0.52992719903090768</v>
      </c>
      <c r="CV115" s="219">
        <v>0.53590057207226882</v>
      </c>
      <c r="CW115" s="219">
        <v>0.54187021292224302</v>
      </c>
      <c r="CX115" s="219">
        <v>0.54974136094525261</v>
      </c>
      <c r="CY115" s="219">
        <v>0.53677585986782672</v>
      </c>
      <c r="CZ115" s="219">
        <v>0.52376866715907588</v>
      </c>
      <c r="DA115" s="219">
        <v>0.51071934970525634</v>
      </c>
      <c r="DB115" s="219">
        <v>0.49762764142904697</v>
      </c>
    </row>
    <row r="117" spans="1:106" s="11" customFormat="1" ht="21" x14ac:dyDescent="0.5">
      <c r="A117" s="11" t="s">
        <v>73</v>
      </c>
    </row>
    <row r="118" spans="1:106" s="219" customFormat="1" x14ac:dyDescent="0.35">
      <c r="A118" s="29" t="s">
        <v>0</v>
      </c>
      <c r="B118" s="29"/>
      <c r="C118" s="332" t="s">
        <v>697</v>
      </c>
      <c r="D118" s="332"/>
      <c r="E118" s="332"/>
      <c r="F118" s="332"/>
      <c r="G118" s="332"/>
      <c r="H118" s="332"/>
      <c r="I118" s="332"/>
      <c r="J118" s="332"/>
      <c r="K118" s="332"/>
      <c r="L118" s="332"/>
      <c r="M118" s="332"/>
      <c r="N118" s="332"/>
      <c r="O118" s="332"/>
      <c r="P118" s="332"/>
      <c r="Q118" s="332"/>
      <c r="R118" s="332"/>
      <c r="S118" s="332"/>
      <c r="T118" s="332"/>
      <c r="U118" s="332"/>
      <c r="V118" s="332"/>
      <c r="W118" s="332"/>
      <c r="X118" s="332"/>
      <c r="Y118" s="332"/>
      <c r="Z118" s="332"/>
      <c r="AA118" s="332"/>
      <c r="AB118" s="332"/>
      <c r="AC118" s="333" t="s">
        <v>698</v>
      </c>
      <c r="AD118" s="333"/>
      <c r="AE118" s="333"/>
      <c r="AF118" s="333"/>
      <c r="AG118" s="333"/>
      <c r="AH118" s="333"/>
      <c r="AI118" s="333"/>
      <c r="AJ118" s="333"/>
      <c r="AK118" s="333"/>
      <c r="AL118" s="333"/>
      <c r="AM118" s="333"/>
      <c r="AN118" s="333"/>
      <c r="AO118" s="333"/>
      <c r="AP118" s="333"/>
      <c r="AQ118" s="333"/>
      <c r="AR118" s="333"/>
      <c r="AS118" s="333"/>
      <c r="AT118" s="333"/>
      <c r="AU118" s="333"/>
      <c r="AV118" s="333"/>
      <c r="AW118" s="333"/>
      <c r="AX118" s="333"/>
      <c r="AY118" s="333"/>
      <c r="AZ118" s="333"/>
      <c r="BA118" s="333"/>
      <c r="BB118" s="333"/>
      <c r="BC118" s="334" t="s">
        <v>756</v>
      </c>
      <c r="BD118" s="335"/>
      <c r="BE118" s="335"/>
      <c r="BF118" s="335"/>
      <c r="BG118" s="335"/>
      <c r="BH118" s="335"/>
      <c r="BI118" s="335"/>
      <c r="BJ118" s="335"/>
      <c r="BK118" s="335"/>
      <c r="BL118" s="335"/>
      <c r="BM118" s="335"/>
      <c r="BN118" s="335"/>
      <c r="BO118" s="335"/>
      <c r="BP118" s="335"/>
      <c r="BQ118" s="335"/>
      <c r="BR118" s="335"/>
      <c r="BS118" s="335"/>
      <c r="BT118" s="335"/>
      <c r="BU118" s="335"/>
      <c r="BV118" s="335"/>
      <c r="BW118" s="335"/>
      <c r="BX118" s="335"/>
      <c r="BY118" s="335"/>
      <c r="BZ118" s="335"/>
      <c r="CA118" s="335"/>
      <c r="CB118" s="336"/>
      <c r="CC118" s="337" t="s">
        <v>699</v>
      </c>
      <c r="CD118" s="337"/>
      <c r="CE118" s="337"/>
      <c r="CF118" s="337"/>
      <c r="CG118" s="337"/>
      <c r="CH118" s="337"/>
      <c r="CI118" s="337"/>
      <c r="CJ118" s="337"/>
      <c r="CK118" s="337"/>
      <c r="CL118" s="337"/>
      <c r="CM118" s="337"/>
      <c r="CN118" s="337"/>
      <c r="CO118" s="337"/>
      <c r="CP118" s="337"/>
      <c r="CQ118" s="337"/>
      <c r="CR118" s="337"/>
      <c r="CS118" s="337"/>
      <c r="CT118" s="337"/>
      <c r="CU118" s="337"/>
      <c r="CV118" s="337"/>
      <c r="CW118" s="337"/>
      <c r="CX118" s="337"/>
      <c r="CY118" s="337"/>
      <c r="CZ118" s="337"/>
      <c r="DA118" s="337"/>
      <c r="DB118" s="337"/>
    </row>
    <row r="119" spans="1:106" s="219" customFormat="1" x14ac:dyDescent="0.35">
      <c r="A119" s="29" t="s">
        <v>1</v>
      </c>
      <c r="B119" s="29" t="s">
        <v>180</v>
      </c>
      <c r="C119" s="222" t="s">
        <v>8</v>
      </c>
      <c r="D119" s="222" t="s">
        <v>74</v>
      </c>
      <c r="E119" s="222" t="s">
        <v>75</v>
      </c>
      <c r="F119" s="222" t="s">
        <v>76</v>
      </c>
      <c r="G119" s="222" t="s">
        <v>77</v>
      </c>
      <c r="H119" s="222" t="s">
        <v>9</v>
      </c>
      <c r="I119" s="222" t="s">
        <v>78</v>
      </c>
      <c r="J119" s="222" t="s">
        <v>79</v>
      </c>
      <c r="K119" s="222" t="s">
        <v>80</v>
      </c>
      <c r="L119" s="222" t="s">
        <v>81</v>
      </c>
      <c r="M119" s="222" t="s">
        <v>10</v>
      </c>
      <c r="N119" s="222" t="s">
        <v>82</v>
      </c>
      <c r="O119" s="222" t="s">
        <v>83</v>
      </c>
      <c r="P119" s="222" t="s">
        <v>84</v>
      </c>
      <c r="Q119" s="222" t="s">
        <v>85</v>
      </c>
      <c r="R119" s="222" t="s">
        <v>11</v>
      </c>
      <c r="S119" s="222" t="s">
        <v>86</v>
      </c>
      <c r="T119" s="222" t="s">
        <v>87</v>
      </c>
      <c r="U119" s="222" t="s">
        <v>88</v>
      </c>
      <c r="V119" s="222" t="s">
        <v>89</v>
      </c>
      <c r="W119" s="222" t="s">
        <v>12</v>
      </c>
      <c r="X119" s="222" t="s">
        <v>90</v>
      </c>
      <c r="Y119" s="222" t="s">
        <v>91</v>
      </c>
      <c r="Z119" s="222" t="s">
        <v>92</v>
      </c>
      <c r="AA119" s="222" t="s">
        <v>93</v>
      </c>
      <c r="AB119" s="222" t="s">
        <v>13</v>
      </c>
      <c r="AC119" s="223" t="s">
        <v>8</v>
      </c>
      <c r="AD119" s="223" t="s">
        <v>74</v>
      </c>
      <c r="AE119" s="223" t="s">
        <v>75</v>
      </c>
      <c r="AF119" s="223" t="s">
        <v>76</v>
      </c>
      <c r="AG119" s="223" t="s">
        <v>77</v>
      </c>
      <c r="AH119" s="223" t="s">
        <v>9</v>
      </c>
      <c r="AI119" s="223" t="s">
        <v>78</v>
      </c>
      <c r="AJ119" s="223" t="s">
        <v>79</v>
      </c>
      <c r="AK119" s="223" t="s">
        <v>80</v>
      </c>
      <c r="AL119" s="223" t="s">
        <v>81</v>
      </c>
      <c r="AM119" s="223" t="s">
        <v>10</v>
      </c>
      <c r="AN119" s="223" t="s">
        <v>82</v>
      </c>
      <c r="AO119" s="223" t="s">
        <v>83</v>
      </c>
      <c r="AP119" s="223" t="s">
        <v>84</v>
      </c>
      <c r="AQ119" s="223" t="s">
        <v>85</v>
      </c>
      <c r="AR119" s="223" t="s">
        <v>11</v>
      </c>
      <c r="AS119" s="223" t="s">
        <v>86</v>
      </c>
      <c r="AT119" s="223" t="s">
        <v>87</v>
      </c>
      <c r="AU119" s="223" t="s">
        <v>88</v>
      </c>
      <c r="AV119" s="223" t="s">
        <v>89</v>
      </c>
      <c r="AW119" s="223" t="s">
        <v>12</v>
      </c>
      <c r="AX119" s="223" t="s">
        <v>90</v>
      </c>
      <c r="AY119" s="223" t="s">
        <v>91</v>
      </c>
      <c r="AZ119" s="223" t="s">
        <v>92</v>
      </c>
      <c r="BA119" s="223" t="s">
        <v>93</v>
      </c>
      <c r="BB119" s="223" t="s">
        <v>13</v>
      </c>
      <c r="BC119" s="225" t="s">
        <v>8</v>
      </c>
      <c r="BD119" s="225" t="s">
        <v>74</v>
      </c>
      <c r="BE119" s="225" t="s">
        <v>75</v>
      </c>
      <c r="BF119" s="225" t="s">
        <v>76</v>
      </c>
      <c r="BG119" s="225" t="s">
        <v>77</v>
      </c>
      <c r="BH119" s="225" t="s">
        <v>9</v>
      </c>
      <c r="BI119" s="225" t="s">
        <v>78</v>
      </c>
      <c r="BJ119" s="225" t="s">
        <v>79</v>
      </c>
      <c r="BK119" s="225" t="s">
        <v>80</v>
      </c>
      <c r="BL119" s="225" t="s">
        <v>81</v>
      </c>
      <c r="BM119" s="225" t="s">
        <v>10</v>
      </c>
      <c r="BN119" s="225" t="s">
        <v>82</v>
      </c>
      <c r="BO119" s="225" t="s">
        <v>83</v>
      </c>
      <c r="BP119" s="225" t="s">
        <v>84</v>
      </c>
      <c r="BQ119" s="225" t="s">
        <v>85</v>
      </c>
      <c r="BR119" s="225" t="s">
        <v>11</v>
      </c>
      <c r="BS119" s="225" t="s">
        <v>86</v>
      </c>
      <c r="BT119" s="225" t="s">
        <v>87</v>
      </c>
      <c r="BU119" s="225" t="s">
        <v>88</v>
      </c>
      <c r="BV119" s="225" t="s">
        <v>89</v>
      </c>
      <c r="BW119" s="225" t="s">
        <v>12</v>
      </c>
      <c r="BX119" s="225" t="s">
        <v>90</v>
      </c>
      <c r="BY119" s="225" t="s">
        <v>91</v>
      </c>
      <c r="BZ119" s="225" t="s">
        <v>92</v>
      </c>
      <c r="CA119" s="225" t="s">
        <v>93</v>
      </c>
      <c r="CB119" s="225" t="s">
        <v>13</v>
      </c>
      <c r="CC119" s="224" t="s">
        <v>8</v>
      </c>
      <c r="CD119" s="224" t="s">
        <v>74</v>
      </c>
      <c r="CE119" s="224" t="s">
        <v>75</v>
      </c>
      <c r="CF119" s="224" t="s">
        <v>76</v>
      </c>
      <c r="CG119" s="224" t="s">
        <v>77</v>
      </c>
      <c r="CH119" s="224" t="s">
        <v>9</v>
      </c>
      <c r="CI119" s="224" t="s">
        <v>78</v>
      </c>
      <c r="CJ119" s="224" t="s">
        <v>79</v>
      </c>
      <c r="CK119" s="224" t="s">
        <v>80</v>
      </c>
      <c r="CL119" s="224" t="s">
        <v>81</v>
      </c>
      <c r="CM119" s="224" t="s">
        <v>10</v>
      </c>
      <c r="CN119" s="224" t="s">
        <v>82</v>
      </c>
      <c r="CO119" s="224" t="s">
        <v>83</v>
      </c>
      <c r="CP119" s="224" t="s">
        <v>84</v>
      </c>
      <c r="CQ119" s="224" t="s">
        <v>85</v>
      </c>
      <c r="CR119" s="224" t="s">
        <v>11</v>
      </c>
      <c r="CS119" s="224" t="s">
        <v>86</v>
      </c>
      <c r="CT119" s="224" t="s">
        <v>87</v>
      </c>
      <c r="CU119" s="224" t="s">
        <v>88</v>
      </c>
      <c r="CV119" s="224" t="s">
        <v>89</v>
      </c>
      <c r="CW119" s="224" t="s">
        <v>12</v>
      </c>
      <c r="CX119" s="224" t="s">
        <v>90</v>
      </c>
      <c r="CY119" s="224" t="s">
        <v>91</v>
      </c>
      <c r="CZ119" s="224" t="s">
        <v>92</v>
      </c>
      <c r="DA119" s="224" t="s">
        <v>93</v>
      </c>
      <c r="DB119" s="224" t="s">
        <v>13</v>
      </c>
    </row>
    <row r="120" spans="1:106" s="219" customFormat="1" x14ac:dyDescent="0.35"/>
    <row r="121" spans="1:106" s="219" customFormat="1" x14ac:dyDescent="0.35">
      <c r="A121" s="137" t="s">
        <v>770</v>
      </c>
      <c r="B121" s="31" t="s">
        <v>769</v>
      </c>
      <c r="C121" s="219">
        <v>1.3380449586564329E-8</v>
      </c>
      <c r="D121" s="219">
        <v>1.330155888868395E-8</v>
      </c>
      <c r="E121" s="219">
        <v>1.32220158142375E-8</v>
      </c>
      <c r="F121" s="219">
        <v>1.309584499860922E-8</v>
      </c>
      <c r="G121" s="219">
        <v>1.301548794827533E-8</v>
      </c>
      <c r="H121" s="219">
        <v>1.293484101448969E-8</v>
      </c>
      <c r="I121" s="219">
        <v>1.282510306101741E-8</v>
      </c>
      <c r="J121" s="219">
        <v>1.2736523916790319E-8</v>
      </c>
      <c r="K121" s="219">
        <v>1.264413896797278E-8</v>
      </c>
      <c r="L121" s="219">
        <v>1.256605700844517E-8</v>
      </c>
      <c r="M121" s="219">
        <v>1.248776275065501E-8</v>
      </c>
      <c r="N121" s="219">
        <v>1.239635591744308E-8</v>
      </c>
      <c r="O121" s="219">
        <v>1.230625412468004E-8</v>
      </c>
      <c r="P121" s="219">
        <v>1.2212472045856559E-8</v>
      </c>
      <c r="Q121" s="219">
        <v>1.212442991079602E-8</v>
      </c>
      <c r="R121" s="219">
        <v>1.203701842755058E-8</v>
      </c>
      <c r="S121" s="219">
        <v>1.198050751344013E-8</v>
      </c>
      <c r="T121" s="219">
        <v>1.192517476666728E-8</v>
      </c>
      <c r="U121" s="219">
        <v>1.1866038383096889E-8</v>
      </c>
      <c r="V121" s="219">
        <v>1.181109489730172E-8</v>
      </c>
      <c r="W121" s="219">
        <v>1.17556733576114E-8</v>
      </c>
      <c r="X121" s="219">
        <v>1.192896036610518E-8</v>
      </c>
      <c r="Y121" s="219">
        <v>1.192074132895358E-8</v>
      </c>
      <c r="Z121" s="219">
        <v>1.1912585215876871E-8</v>
      </c>
      <c r="AA121" s="219">
        <v>1.19045006138794E-8</v>
      </c>
      <c r="AB121" s="219">
        <v>1.189651008395286E-8</v>
      </c>
      <c r="AC121" s="219">
        <v>1.3212257859401291E-10</v>
      </c>
      <c r="AD121" s="219">
        <v>1.314912476899123E-10</v>
      </c>
      <c r="AE121" s="219">
        <v>1.3083351248903741E-10</v>
      </c>
      <c r="AF121" s="219">
        <v>1.2986169408389099E-10</v>
      </c>
      <c r="AG121" s="219">
        <v>1.2915369684031379E-10</v>
      </c>
      <c r="AH121" s="219">
        <v>1.284210570715516E-10</v>
      </c>
      <c r="AI121" s="219">
        <v>1.2781583279221561E-10</v>
      </c>
      <c r="AJ121" s="219">
        <v>1.272475375755403E-10</v>
      </c>
      <c r="AK121" s="219">
        <v>1.2649933758279879E-10</v>
      </c>
      <c r="AL121" s="219">
        <v>1.2592220419243051E-10</v>
      </c>
      <c r="AM121" s="219">
        <v>1.2533009854707251E-10</v>
      </c>
      <c r="AN121" s="219">
        <v>1.2496291708294621E-10</v>
      </c>
      <c r="AO121" s="219">
        <v>1.2459727839628151E-10</v>
      </c>
      <c r="AP121" s="219">
        <v>1.2416059032133119E-10</v>
      </c>
      <c r="AQ121" s="219">
        <v>1.2379760965303031E-10</v>
      </c>
      <c r="AR121" s="219">
        <v>1.234399454140595E-10</v>
      </c>
      <c r="AS121" s="219">
        <v>1.2326414397769281E-10</v>
      </c>
      <c r="AT121" s="219">
        <v>1.230966764984795E-10</v>
      </c>
      <c r="AU121" s="219">
        <v>1.2285974741143249E-10</v>
      </c>
      <c r="AV121" s="219">
        <v>1.2272029572905201E-10</v>
      </c>
      <c r="AW121" s="219">
        <v>1.226151466825429E-10</v>
      </c>
      <c r="AX121" s="219">
        <v>1.2355640213776891E-10</v>
      </c>
      <c r="AY121" s="219">
        <v>1.2353467510556789E-10</v>
      </c>
      <c r="AZ121" s="219">
        <v>1.2351342594499851E-10</v>
      </c>
      <c r="BA121" s="219">
        <v>1.2349275152505739E-10</v>
      </c>
      <c r="BB121" s="219">
        <v>1.2347282983772759E-10</v>
      </c>
      <c r="BC121" s="219">
        <v>2.2609393282022748E-3</v>
      </c>
      <c r="BD121" s="219">
        <v>2.2558807509173938E-3</v>
      </c>
      <c r="BE121" s="219">
        <v>2.250597260736628E-3</v>
      </c>
      <c r="BF121" s="219">
        <v>2.2230272144236258E-3</v>
      </c>
      <c r="BG121" s="219">
        <v>2.2173804060068459E-3</v>
      </c>
      <c r="BH121" s="219">
        <v>2.2114301768581921E-3</v>
      </c>
      <c r="BI121" s="219">
        <v>2.2072485739053258E-3</v>
      </c>
      <c r="BJ121" s="219">
        <v>2.2039166559525672E-3</v>
      </c>
      <c r="BK121" s="219">
        <v>2.1858047121435919E-3</v>
      </c>
      <c r="BL121" s="219">
        <v>2.182984071806302E-3</v>
      </c>
      <c r="BM121" s="219">
        <v>2.1800605462111919E-3</v>
      </c>
      <c r="BN121" s="219">
        <v>2.1711252812073871E-3</v>
      </c>
      <c r="BO121" s="219">
        <v>2.1622744878865129E-3</v>
      </c>
      <c r="BP121" s="219">
        <v>2.1492797070724432E-3</v>
      </c>
      <c r="BQ121" s="219">
        <v>2.1406386731288888E-3</v>
      </c>
      <c r="BR121" s="219">
        <v>2.1320379576699462E-3</v>
      </c>
      <c r="BS121" s="219">
        <v>2.124127898226089E-3</v>
      </c>
      <c r="BT121" s="219">
        <v>2.1163254687615891E-3</v>
      </c>
      <c r="BU121" s="219">
        <v>2.104616268775541E-3</v>
      </c>
      <c r="BV121" s="219">
        <v>2.09712220880846E-3</v>
      </c>
      <c r="BW121" s="219">
        <v>2.0896523017535748E-3</v>
      </c>
      <c r="BX121" s="219">
        <v>2.0878052378645469E-3</v>
      </c>
      <c r="BY121" s="219">
        <v>2.0859860185190402E-3</v>
      </c>
      <c r="BZ121" s="219">
        <v>2.0841889021055268E-3</v>
      </c>
      <c r="CA121" s="219">
        <v>2.0824120966345342E-3</v>
      </c>
      <c r="CB121" s="219">
        <v>2.080655184008046E-3</v>
      </c>
      <c r="CC121" s="219">
        <v>2.4919630274572838E-2</v>
      </c>
      <c r="CD121" s="219">
        <v>2.4421382576872319E-2</v>
      </c>
      <c r="CE121" s="219">
        <v>2.3918640112019801E-2</v>
      </c>
      <c r="CF121" s="219">
        <v>2.322667401643386E-2</v>
      </c>
      <c r="CG121" s="219">
        <v>2.2716982489091549E-2</v>
      </c>
      <c r="CH121" s="219">
        <v>2.2202624839828301E-2</v>
      </c>
      <c r="CI121" s="219">
        <v>2.170117148566315E-2</v>
      </c>
      <c r="CJ121" s="219">
        <v>2.1244855680265622E-2</v>
      </c>
      <c r="CK121" s="219">
        <v>2.0696165282265349E-2</v>
      </c>
      <c r="CL121" s="219">
        <v>2.0262647928401659E-2</v>
      </c>
      <c r="CM121" s="219">
        <v>1.9826589855492609E-2</v>
      </c>
      <c r="CN121" s="219">
        <v>1.9352200101674509E-2</v>
      </c>
      <c r="CO121" s="219">
        <v>1.8883596739350431E-2</v>
      </c>
      <c r="CP121" s="219">
        <v>1.839068832097315E-2</v>
      </c>
      <c r="CQ121" s="219">
        <v>1.793383384787026E-2</v>
      </c>
      <c r="CR121" s="219">
        <v>1.7482780885119301E-2</v>
      </c>
      <c r="CS121" s="219">
        <v>1.7161033452386419E-2</v>
      </c>
      <c r="CT121" s="219">
        <v>1.6845864476295779E-2</v>
      </c>
      <c r="CU121" s="219">
        <v>1.6511614951152099E-2</v>
      </c>
      <c r="CV121" s="219">
        <v>1.621040122869867E-2</v>
      </c>
      <c r="CW121" s="219">
        <v>1.591945789967417E-2</v>
      </c>
      <c r="CX121" s="219">
        <v>1.5883903197986968E-2</v>
      </c>
      <c r="CY121" s="219">
        <v>1.5814455811546901E-2</v>
      </c>
      <c r="CZ121" s="219">
        <v>1.5745736103753689E-2</v>
      </c>
      <c r="DA121" s="219">
        <v>1.5677792005120459E-2</v>
      </c>
      <c r="DB121" s="219">
        <v>1.561071812257213E-2</v>
      </c>
    </row>
    <row r="122" spans="1:106" s="219" customFormat="1" x14ac:dyDescent="0.35">
      <c r="A122" s="137" t="s">
        <v>771</v>
      </c>
      <c r="B122" s="31" t="s">
        <v>769</v>
      </c>
      <c r="C122" s="219">
        <v>4.9679158985748908E-8</v>
      </c>
      <c r="D122" s="219">
        <v>4.7967723622555258E-8</v>
      </c>
      <c r="E122" s="219">
        <v>4.6151373797565393E-8</v>
      </c>
      <c r="F122" s="219">
        <v>4.4247321916070009E-8</v>
      </c>
      <c r="G122" s="219">
        <v>4.2383041438797629E-8</v>
      </c>
      <c r="H122" s="219">
        <v>4.0516438331962083E-8</v>
      </c>
      <c r="I122" s="219">
        <v>3.9493905668753703E-8</v>
      </c>
      <c r="J122" s="219">
        <v>3.8477264105681077E-8</v>
      </c>
      <c r="K122" s="219">
        <v>3.7443483853925081E-8</v>
      </c>
      <c r="L122" s="219">
        <v>3.6423831492089857E-8</v>
      </c>
      <c r="M122" s="219">
        <v>3.54005721590473E-8</v>
      </c>
      <c r="N122" s="219">
        <v>3.4208166684172557E-8</v>
      </c>
      <c r="O122" s="219">
        <v>3.3008357275131103E-8</v>
      </c>
      <c r="P122" s="219">
        <v>3.1797928956059172E-8</v>
      </c>
      <c r="Q122" s="219">
        <v>3.0583354248646757E-8</v>
      </c>
      <c r="R122" s="219">
        <v>2.9361561705417801E-8</v>
      </c>
      <c r="S122" s="219">
        <v>2.8645748186371872E-8</v>
      </c>
      <c r="T122" s="219">
        <v>2.791870627262016E-8</v>
      </c>
      <c r="U122" s="219">
        <v>2.718701268446661E-8</v>
      </c>
      <c r="V122" s="219">
        <v>2.645842500976374E-8</v>
      </c>
      <c r="W122" s="219">
        <v>2.572898917856939E-8</v>
      </c>
      <c r="X122" s="219">
        <v>2.6030213781477111E-8</v>
      </c>
      <c r="Y122" s="219">
        <v>2.567112158641801E-8</v>
      </c>
      <c r="Z122" s="219">
        <v>2.531081368920333E-8</v>
      </c>
      <c r="AA122" s="219">
        <v>2.4949217646396018E-8</v>
      </c>
      <c r="AB122" s="219">
        <v>2.4586325949431981E-8</v>
      </c>
      <c r="AC122" s="219">
        <v>3.9811142336927419E-10</v>
      </c>
      <c r="AD122" s="219">
        <v>3.6823555443354058E-10</v>
      </c>
      <c r="AE122" s="219">
        <v>3.3830574983952162E-10</v>
      </c>
      <c r="AF122" s="219">
        <v>3.0797610026595439E-10</v>
      </c>
      <c r="AG122" s="219">
        <v>2.7792994323671589E-10</v>
      </c>
      <c r="AH122" s="219">
        <v>2.4783639983998851E-10</v>
      </c>
      <c r="AI122" s="219">
        <v>2.3426490336335792E-10</v>
      </c>
      <c r="AJ122" s="219">
        <v>2.2063417010283179E-10</v>
      </c>
      <c r="AK122" s="219">
        <v>2.0661599845334759E-10</v>
      </c>
      <c r="AL122" s="219">
        <v>1.9282751579082591E-10</v>
      </c>
      <c r="AM122" s="219">
        <v>1.7896686742107589E-10</v>
      </c>
      <c r="AN122" s="219">
        <v>1.7293026599879961E-10</v>
      </c>
      <c r="AO122" s="219">
        <v>1.6684236405180711E-10</v>
      </c>
      <c r="AP122" s="219">
        <v>1.605618223978847E-10</v>
      </c>
      <c r="AQ122" s="219">
        <v>1.5431679697763161E-10</v>
      </c>
      <c r="AR122" s="219">
        <v>1.4801864873455369E-10</v>
      </c>
      <c r="AS122" s="219">
        <v>1.472425997161217E-10</v>
      </c>
      <c r="AT122" s="219">
        <v>1.4649800794520911E-10</v>
      </c>
      <c r="AU122" s="219">
        <v>1.456606844750652E-10</v>
      </c>
      <c r="AV122" s="219">
        <v>1.449628185427552E-10</v>
      </c>
      <c r="AW122" s="219">
        <v>1.4429121553858449E-10</v>
      </c>
      <c r="AX122" s="219">
        <v>1.4839690472572391E-10</v>
      </c>
      <c r="AY122" s="219">
        <v>1.471156240567074E-10</v>
      </c>
      <c r="AZ122" s="219">
        <v>1.4582191681062879E-10</v>
      </c>
      <c r="BA122" s="219">
        <v>1.445155060225899E-10</v>
      </c>
      <c r="BB122" s="219">
        <v>1.4319651675261621E-10</v>
      </c>
      <c r="BC122" s="219">
        <v>1.5728710532889621E-2</v>
      </c>
      <c r="BD122" s="219">
        <v>1.5613344156800111E-2</v>
      </c>
      <c r="BE122" s="219">
        <v>1.549814843299444E-2</v>
      </c>
      <c r="BF122" s="219">
        <v>1.5354114754142251E-2</v>
      </c>
      <c r="BG122" s="219">
        <v>1.523935003811374E-2</v>
      </c>
      <c r="BH122" s="219">
        <v>1.512473410420948E-2</v>
      </c>
      <c r="BI122" s="219">
        <v>1.509264819371808E-2</v>
      </c>
      <c r="BJ122" s="219">
        <v>1.5059724222715591E-2</v>
      </c>
      <c r="BK122" s="219">
        <v>1.50001167239452E-2</v>
      </c>
      <c r="BL122" s="219">
        <v>1.4964331770312421E-2</v>
      </c>
      <c r="BM122" s="219">
        <v>1.49272761627758E-2</v>
      </c>
      <c r="BN122" s="219">
        <v>1.482771881449783E-2</v>
      </c>
      <c r="BO122" s="219">
        <v>1.4726372085335721E-2</v>
      </c>
      <c r="BP122" s="219">
        <v>1.461723431326962E-2</v>
      </c>
      <c r="BQ122" s="219">
        <v>1.451240362165924E-2</v>
      </c>
      <c r="BR122" s="219">
        <v>1.440581838814458E-2</v>
      </c>
      <c r="BS122" s="219">
        <v>1.4494579900378869E-2</v>
      </c>
      <c r="BT122" s="219">
        <v>1.4581594196149459E-2</v>
      </c>
      <c r="BU122" s="219">
        <v>1.466095921409259E-2</v>
      </c>
      <c r="BV122" s="219">
        <v>1.474455927721138E-2</v>
      </c>
      <c r="BW122" s="219">
        <v>1.482648615068002E-2</v>
      </c>
      <c r="BX122" s="219">
        <v>1.4684513405553601E-2</v>
      </c>
      <c r="BY122" s="219">
        <v>1.454255301661081E-2</v>
      </c>
      <c r="BZ122" s="219">
        <v>1.440000210950791E-2</v>
      </c>
      <c r="CA122" s="219">
        <v>1.4256838991314859E-2</v>
      </c>
      <c r="CB122" s="219">
        <v>1.411305736986937E-2</v>
      </c>
      <c r="CC122" s="219">
        <v>0.22968205780947171</v>
      </c>
      <c r="CD122" s="219">
        <v>0.21528363557415039</v>
      </c>
      <c r="CE122" s="219">
        <v>0.20089128637171469</v>
      </c>
      <c r="CF122" s="219">
        <v>0.18626545321654789</v>
      </c>
      <c r="CG122" s="219">
        <v>0.17188155205803271</v>
      </c>
      <c r="CH122" s="219">
        <v>0.15749984715098919</v>
      </c>
      <c r="CI122" s="219">
        <v>0.1462875081029357</v>
      </c>
      <c r="CJ122" s="219">
        <v>0.13510334093454229</v>
      </c>
      <c r="CK122" s="219">
        <v>0.1237402617313753</v>
      </c>
      <c r="CL122" s="219">
        <v>0.1125757926419193</v>
      </c>
      <c r="CM122" s="219">
        <v>0.1014160283570177</v>
      </c>
      <c r="CN122" s="219">
        <v>9.2421219707729291E-2</v>
      </c>
      <c r="CO122" s="219">
        <v>8.3389346802827294E-2</v>
      </c>
      <c r="CP122" s="219">
        <v>7.4280281924852698E-2</v>
      </c>
      <c r="CQ122" s="219">
        <v>6.5176192746570841E-2</v>
      </c>
      <c r="CR122" s="219">
        <v>5.6036784883900917E-2</v>
      </c>
      <c r="CS122" s="219">
        <v>5.1274712414153878E-2</v>
      </c>
      <c r="CT122" s="219">
        <v>4.6508642612028431E-2</v>
      </c>
      <c r="CU122" s="219">
        <v>4.1703091329986029E-2</v>
      </c>
      <c r="CV122" s="219">
        <v>3.6930134659670627E-2</v>
      </c>
      <c r="CW122" s="219">
        <v>3.215550841098732E-2</v>
      </c>
      <c r="CX122" s="219">
        <v>3.0418342754772339E-2</v>
      </c>
      <c r="CY122" s="219">
        <v>2.8345397640435019E-2</v>
      </c>
      <c r="CZ122" s="219">
        <v>2.626535678626022E-2</v>
      </c>
      <c r="DA122" s="219">
        <v>2.4178037311685389E-2</v>
      </c>
      <c r="DB122" s="219">
        <v>2.2083394905551449E-2</v>
      </c>
    </row>
    <row r="124" spans="1:106" s="11" customFormat="1" ht="21" x14ac:dyDescent="0.5">
      <c r="A124" s="11" t="s">
        <v>94</v>
      </c>
    </row>
    <row r="125" spans="1:106" s="219" customFormat="1" x14ac:dyDescent="0.35">
      <c r="A125" s="29" t="s">
        <v>0</v>
      </c>
      <c r="B125" s="29"/>
      <c r="C125" s="332" t="s">
        <v>697</v>
      </c>
      <c r="D125" s="332"/>
      <c r="E125" s="332"/>
      <c r="F125" s="332"/>
      <c r="G125" s="332"/>
      <c r="H125" s="332"/>
      <c r="I125" s="332"/>
      <c r="J125" s="332"/>
      <c r="K125" s="332"/>
      <c r="L125" s="332"/>
      <c r="M125" s="332"/>
      <c r="N125" s="332"/>
      <c r="O125" s="332"/>
      <c r="P125" s="332"/>
      <c r="Q125" s="332"/>
      <c r="R125" s="332"/>
      <c r="S125" s="332"/>
      <c r="T125" s="332"/>
      <c r="U125" s="332"/>
      <c r="V125" s="332"/>
      <c r="W125" s="332"/>
      <c r="X125" s="332"/>
      <c r="Y125" s="332"/>
      <c r="Z125" s="332"/>
      <c r="AA125" s="332"/>
      <c r="AB125" s="332"/>
      <c r="AC125" s="333" t="s">
        <v>698</v>
      </c>
      <c r="AD125" s="333"/>
      <c r="AE125" s="333"/>
      <c r="AF125" s="333"/>
      <c r="AG125" s="333"/>
      <c r="AH125" s="333"/>
      <c r="AI125" s="333"/>
      <c r="AJ125" s="333"/>
      <c r="AK125" s="333"/>
      <c r="AL125" s="333"/>
      <c r="AM125" s="333"/>
      <c r="AN125" s="333"/>
      <c r="AO125" s="333"/>
      <c r="AP125" s="333"/>
      <c r="AQ125" s="333"/>
      <c r="AR125" s="333"/>
      <c r="AS125" s="333"/>
      <c r="AT125" s="333"/>
      <c r="AU125" s="333"/>
      <c r="AV125" s="333"/>
      <c r="AW125" s="333"/>
      <c r="AX125" s="333"/>
      <c r="AY125" s="333"/>
      <c r="AZ125" s="333"/>
      <c r="BA125" s="333"/>
      <c r="BB125" s="333"/>
      <c r="BC125" s="334" t="s">
        <v>756</v>
      </c>
      <c r="BD125" s="335"/>
      <c r="BE125" s="335"/>
      <c r="BF125" s="335"/>
      <c r="BG125" s="335"/>
      <c r="BH125" s="335"/>
      <c r="BI125" s="335"/>
      <c r="BJ125" s="335"/>
      <c r="BK125" s="335"/>
      <c r="BL125" s="335"/>
      <c r="BM125" s="335"/>
      <c r="BN125" s="335"/>
      <c r="BO125" s="335"/>
      <c r="BP125" s="335"/>
      <c r="BQ125" s="335"/>
      <c r="BR125" s="335"/>
      <c r="BS125" s="335"/>
      <c r="BT125" s="335"/>
      <c r="BU125" s="335"/>
      <c r="BV125" s="335"/>
      <c r="BW125" s="335"/>
      <c r="BX125" s="335"/>
      <c r="BY125" s="335"/>
      <c r="BZ125" s="335"/>
      <c r="CA125" s="335"/>
      <c r="CB125" s="336"/>
      <c r="CC125" s="337" t="s">
        <v>699</v>
      </c>
      <c r="CD125" s="337"/>
      <c r="CE125" s="337"/>
      <c r="CF125" s="337"/>
      <c r="CG125" s="337"/>
      <c r="CH125" s="337"/>
      <c r="CI125" s="337"/>
      <c r="CJ125" s="337"/>
      <c r="CK125" s="337"/>
      <c r="CL125" s="337"/>
      <c r="CM125" s="337"/>
      <c r="CN125" s="337"/>
      <c r="CO125" s="337"/>
      <c r="CP125" s="337"/>
      <c r="CQ125" s="337"/>
      <c r="CR125" s="337"/>
      <c r="CS125" s="337"/>
      <c r="CT125" s="337"/>
      <c r="CU125" s="337"/>
      <c r="CV125" s="337"/>
      <c r="CW125" s="337"/>
      <c r="CX125" s="337"/>
      <c r="CY125" s="337"/>
      <c r="CZ125" s="337"/>
      <c r="DA125" s="337"/>
      <c r="DB125" s="337"/>
    </row>
    <row r="126" spans="1:106" s="219" customFormat="1" x14ac:dyDescent="0.35">
      <c r="A126" s="29" t="s">
        <v>1</v>
      </c>
      <c r="B126" s="29" t="s">
        <v>180</v>
      </c>
      <c r="C126" s="222" t="s">
        <v>14</v>
      </c>
      <c r="D126" s="222" t="s">
        <v>95</v>
      </c>
      <c r="E126" s="222" t="s">
        <v>96</v>
      </c>
      <c r="F126" s="222" t="s">
        <v>97</v>
      </c>
      <c r="G126" s="222" t="s">
        <v>98</v>
      </c>
      <c r="H126" s="222" t="s">
        <v>15</v>
      </c>
      <c r="I126" s="222" t="s">
        <v>99</v>
      </c>
      <c r="J126" s="222" t="s">
        <v>100</v>
      </c>
      <c r="K126" s="222" t="s">
        <v>101</v>
      </c>
      <c r="L126" s="222" t="s">
        <v>102</v>
      </c>
      <c r="M126" s="222" t="s">
        <v>16</v>
      </c>
      <c r="N126" s="222" t="s">
        <v>103</v>
      </c>
      <c r="O126" s="222" t="s">
        <v>104</v>
      </c>
      <c r="P126" s="222" t="s">
        <v>105</v>
      </c>
      <c r="Q126" s="222" t="s">
        <v>106</v>
      </c>
      <c r="R126" s="222" t="s">
        <v>17</v>
      </c>
      <c r="S126" s="222" t="s">
        <v>107</v>
      </c>
      <c r="T126" s="222" t="s">
        <v>108</v>
      </c>
      <c r="U126" s="222" t="s">
        <v>109</v>
      </c>
      <c r="V126" s="222" t="s">
        <v>110</v>
      </c>
      <c r="W126" s="222" t="s">
        <v>18</v>
      </c>
      <c r="X126" s="222" t="s">
        <v>111</v>
      </c>
      <c r="Y126" s="222" t="s">
        <v>112</v>
      </c>
      <c r="Z126" s="222" t="s">
        <v>113</v>
      </c>
      <c r="AA126" s="222" t="s">
        <v>114</v>
      </c>
      <c r="AB126" s="222" t="s">
        <v>19</v>
      </c>
      <c r="AC126" s="223" t="s">
        <v>14</v>
      </c>
      <c r="AD126" s="223" t="s">
        <v>95</v>
      </c>
      <c r="AE126" s="223" t="s">
        <v>96</v>
      </c>
      <c r="AF126" s="223" t="s">
        <v>97</v>
      </c>
      <c r="AG126" s="223" t="s">
        <v>98</v>
      </c>
      <c r="AH126" s="223" t="s">
        <v>15</v>
      </c>
      <c r="AI126" s="223" t="s">
        <v>99</v>
      </c>
      <c r="AJ126" s="223" t="s">
        <v>100</v>
      </c>
      <c r="AK126" s="223" t="s">
        <v>101</v>
      </c>
      <c r="AL126" s="223" t="s">
        <v>102</v>
      </c>
      <c r="AM126" s="223" t="s">
        <v>16</v>
      </c>
      <c r="AN126" s="223" t="s">
        <v>103</v>
      </c>
      <c r="AO126" s="223" t="s">
        <v>104</v>
      </c>
      <c r="AP126" s="223" t="s">
        <v>105</v>
      </c>
      <c r="AQ126" s="223" t="s">
        <v>106</v>
      </c>
      <c r="AR126" s="223" t="s">
        <v>17</v>
      </c>
      <c r="AS126" s="223" t="s">
        <v>107</v>
      </c>
      <c r="AT126" s="223" t="s">
        <v>108</v>
      </c>
      <c r="AU126" s="223" t="s">
        <v>109</v>
      </c>
      <c r="AV126" s="223" t="s">
        <v>110</v>
      </c>
      <c r="AW126" s="223" t="s">
        <v>18</v>
      </c>
      <c r="AX126" s="223" t="s">
        <v>111</v>
      </c>
      <c r="AY126" s="223" t="s">
        <v>112</v>
      </c>
      <c r="AZ126" s="223" t="s">
        <v>113</v>
      </c>
      <c r="BA126" s="223" t="s">
        <v>114</v>
      </c>
      <c r="BB126" s="223" t="s">
        <v>19</v>
      </c>
      <c r="BC126" s="225" t="s">
        <v>14</v>
      </c>
      <c r="BD126" s="225" t="s">
        <v>95</v>
      </c>
      <c r="BE126" s="225" t="s">
        <v>96</v>
      </c>
      <c r="BF126" s="225" t="s">
        <v>97</v>
      </c>
      <c r="BG126" s="225" t="s">
        <v>98</v>
      </c>
      <c r="BH126" s="225" t="s">
        <v>15</v>
      </c>
      <c r="BI126" s="225" t="s">
        <v>99</v>
      </c>
      <c r="BJ126" s="225" t="s">
        <v>100</v>
      </c>
      <c r="BK126" s="225" t="s">
        <v>101</v>
      </c>
      <c r="BL126" s="225" t="s">
        <v>102</v>
      </c>
      <c r="BM126" s="225" t="s">
        <v>16</v>
      </c>
      <c r="BN126" s="225" t="s">
        <v>103</v>
      </c>
      <c r="BO126" s="225" t="s">
        <v>104</v>
      </c>
      <c r="BP126" s="225" t="s">
        <v>105</v>
      </c>
      <c r="BQ126" s="225" t="s">
        <v>106</v>
      </c>
      <c r="BR126" s="225" t="s">
        <v>17</v>
      </c>
      <c r="BS126" s="225" t="s">
        <v>107</v>
      </c>
      <c r="BT126" s="225" t="s">
        <v>108</v>
      </c>
      <c r="BU126" s="225" t="s">
        <v>109</v>
      </c>
      <c r="BV126" s="225" t="s">
        <v>110</v>
      </c>
      <c r="BW126" s="225" t="s">
        <v>18</v>
      </c>
      <c r="BX126" s="225" t="s">
        <v>111</v>
      </c>
      <c r="BY126" s="225" t="s">
        <v>112</v>
      </c>
      <c r="BZ126" s="225" t="s">
        <v>113</v>
      </c>
      <c r="CA126" s="225" t="s">
        <v>114</v>
      </c>
      <c r="CB126" s="225" t="s">
        <v>19</v>
      </c>
      <c r="CC126" s="224" t="s">
        <v>14</v>
      </c>
      <c r="CD126" s="224" t="s">
        <v>95</v>
      </c>
      <c r="CE126" s="224" t="s">
        <v>96</v>
      </c>
      <c r="CF126" s="224" t="s">
        <v>97</v>
      </c>
      <c r="CG126" s="224" t="s">
        <v>98</v>
      </c>
      <c r="CH126" s="224" t="s">
        <v>15</v>
      </c>
      <c r="CI126" s="224" t="s">
        <v>99</v>
      </c>
      <c r="CJ126" s="224" t="s">
        <v>100</v>
      </c>
      <c r="CK126" s="224" t="s">
        <v>101</v>
      </c>
      <c r="CL126" s="224" t="s">
        <v>102</v>
      </c>
      <c r="CM126" s="224" t="s">
        <v>16</v>
      </c>
      <c r="CN126" s="224" t="s">
        <v>103</v>
      </c>
      <c r="CO126" s="224" t="s">
        <v>104</v>
      </c>
      <c r="CP126" s="224" t="s">
        <v>105</v>
      </c>
      <c r="CQ126" s="224" t="s">
        <v>106</v>
      </c>
      <c r="CR126" s="224" t="s">
        <v>17</v>
      </c>
      <c r="CS126" s="224" t="s">
        <v>107</v>
      </c>
      <c r="CT126" s="224" t="s">
        <v>108</v>
      </c>
      <c r="CU126" s="224" t="s">
        <v>109</v>
      </c>
      <c r="CV126" s="224" t="s">
        <v>110</v>
      </c>
      <c r="CW126" s="224" t="s">
        <v>18</v>
      </c>
      <c r="CX126" s="224" t="s">
        <v>111</v>
      </c>
      <c r="CY126" s="224" t="s">
        <v>112</v>
      </c>
      <c r="CZ126" s="224" t="s">
        <v>113</v>
      </c>
      <c r="DA126" s="224" t="s">
        <v>114</v>
      </c>
      <c r="DB126" s="224" t="s">
        <v>19</v>
      </c>
    </row>
    <row r="127" spans="1:106" s="219" customFormat="1" x14ac:dyDescent="0.35"/>
    <row r="128" spans="1:106" s="219" customFormat="1" x14ac:dyDescent="0.35">
      <c r="A128" s="137" t="s">
        <v>770</v>
      </c>
      <c r="B128" s="31" t="s">
        <v>769</v>
      </c>
      <c r="C128" s="219">
        <v>1.2433332540304709E-8</v>
      </c>
      <c r="D128" s="219">
        <v>1.230457295112401E-8</v>
      </c>
      <c r="E128" s="219">
        <v>1.21790174019099E-8</v>
      </c>
      <c r="F128" s="219">
        <v>1.2007595891272929E-8</v>
      </c>
      <c r="G128" s="219">
        <v>1.188274266443892E-8</v>
      </c>
      <c r="H128" s="219">
        <v>1.1764102467504271E-8</v>
      </c>
      <c r="I128" s="219">
        <v>1.1736912029946189E-8</v>
      </c>
      <c r="J128" s="219">
        <v>1.1710255369288401E-8</v>
      </c>
      <c r="K128" s="219">
        <v>1.167034875655592E-8</v>
      </c>
      <c r="L128" s="219">
        <v>1.1643916338198501E-8</v>
      </c>
      <c r="M128" s="219">
        <v>1.161876330486838E-8</v>
      </c>
      <c r="N128" s="219">
        <v>1.1600222444175941E-8</v>
      </c>
      <c r="O128" s="219">
        <v>1.1583281613396149E-8</v>
      </c>
      <c r="P128" s="219">
        <v>1.156260203961599E-8</v>
      </c>
      <c r="Q128" s="219">
        <v>1.15469494332039E-8</v>
      </c>
      <c r="R128" s="219">
        <v>1.153209751550373E-8</v>
      </c>
      <c r="S128" s="219">
        <v>1.151681961478348E-8</v>
      </c>
      <c r="T128" s="219">
        <v>1.1501739860037551E-8</v>
      </c>
      <c r="U128" s="219">
        <v>1.1483260668039979E-8</v>
      </c>
      <c r="V128" s="219">
        <v>1.1468798350147501E-8</v>
      </c>
      <c r="W128" s="219">
        <v>1.1461951832744241E-8</v>
      </c>
      <c r="X128" s="219">
        <v>1.164050388443662E-8</v>
      </c>
      <c r="Y128" s="219">
        <v>1.163682792187458E-8</v>
      </c>
      <c r="Z128" s="219">
        <v>1.1633152706220471E-8</v>
      </c>
      <c r="AA128" s="219">
        <v>1.162947760898176E-8</v>
      </c>
      <c r="AB128" s="219">
        <v>1.1625802704850221E-8</v>
      </c>
      <c r="AC128" s="219">
        <v>1.247970662932286E-10</v>
      </c>
      <c r="AD128" s="219">
        <v>1.2431361317043441E-10</v>
      </c>
      <c r="AE128" s="219">
        <v>1.2380196491673139E-10</v>
      </c>
      <c r="AF128" s="219">
        <v>1.2292689661133391E-10</v>
      </c>
      <c r="AG128" s="219">
        <v>1.2233799498993611E-10</v>
      </c>
      <c r="AH128" s="219">
        <v>1.2172401388824629E-10</v>
      </c>
      <c r="AI128" s="219">
        <v>1.2187780955565521E-10</v>
      </c>
      <c r="AJ128" s="219">
        <v>1.220239874888119E-10</v>
      </c>
      <c r="AK128" s="219">
        <v>1.219381850397194E-10</v>
      </c>
      <c r="AL128" s="219">
        <v>1.2206506992833109E-10</v>
      </c>
      <c r="AM128" s="219">
        <v>1.2218809880154791E-10</v>
      </c>
      <c r="AN128" s="219">
        <v>1.2230734765046579E-10</v>
      </c>
      <c r="AO128" s="219">
        <v>1.224277817440475E-10</v>
      </c>
      <c r="AP128" s="219">
        <v>1.2246371239829179E-10</v>
      </c>
      <c r="AQ128" s="219">
        <v>1.2257564325446061E-10</v>
      </c>
      <c r="AR128" s="219">
        <v>1.2267901010466321E-10</v>
      </c>
      <c r="AS128" s="219">
        <v>1.2270549385205379E-10</v>
      </c>
      <c r="AT128" s="219">
        <v>1.227309179024844E-10</v>
      </c>
      <c r="AU128" s="219">
        <v>1.226668978424032E-10</v>
      </c>
      <c r="AV128" s="219">
        <v>1.226828992089571E-10</v>
      </c>
      <c r="AW128" s="219">
        <v>1.2260791755977921E-10</v>
      </c>
      <c r="AX128" s="219">
        <v>1.2373987894489601E-10</v>
      </c>
      <c r="AY128" s="219">
        <v>1.2381408202162721E-10</v>
      </c>
      <c r="AZ128" s="219">
        <v>1.238868051506457E-10</v>
      </c>
      <c r="BA128" s="219">
        <v>1.2395805496435379E-10</v>
      </c>
      <c r="BB128" s="219">
        <v>1.2402784241378489E-10</v>
      </c>
      <c r="BC128" s="219">
        <v>2.1804163140016369E-3</v>
      </c>
      <c r="BD128" s="219">
        <v>2.1719725287102551E-3</v>
      </c>
      <c r="BE128" s="219">
        <v>2.1633929990412999E-3</v>
      </c>
      <c r="BF128" s="219">
        <v>2.1334290208428761E-3</v>
      </c>
      <c r="BG128" s="219">
        <v>2.124448491426313E-3</v>
      </c>
      <c r="BH128" s="219">
        <v>2.1154759104725219E-3</v>
      </c>
      <c r="BI128" s="219">
        <v>2.1209631100877089E-3</v>
      </c>
      <c r="BJ128" s="219">
        <v>2.1262012809064989E-3</v>
      </c>
      <c r="BK128" s="219">
        <v>2.1169005636148489E-3</v>
      </c>
      <c r="BL128" s="219">
        <v>2.1218412194561171E-3</v>
      </c>
      <c r="BM128" s="219">
        <v>2.12657826088547E-3</v>
      </c>
      <c r="BN128" s="219">
        <v>2.122405279481124E-3</v>
      </c>
      <c r="BO128" s="219">
        <v>2.1182887497485608E-3</v>
      </c>
      <c r="BP128" s="219">
        <v>2.1102226912244732E-3</v>
      </c>
      <c r="BQ128" s="219">
        <v>2.1061688396133318E-3</v>
      </c>
      <c r="BR128" s="219">
        <v>2.102069166255445E-3</v>
      </c>
      <c r="BS128" s="219">
        <v>2.092421641051835E-3</v>
      </c>
      <c r="BT128" s="219">
        <v>2.0828750458433379E-3</v>
      </c>
      <c r="BU128" s="219">
        <v>2.0696259916827471E-3</v>
      </c>
      <c r="BV128" s="219">
        <v>2.0601850466931098E-3</v>
      </c>
      <c r="BW128" s="219">
        <v>2.0502818155332691E-3</v>
      </c>
      <c r="BX128" s="219">
        <v>2.0479659627313492E-3</v>
      </c>
      <c r="BY128" s="219">
        <v>2.0456674729838619E-3</v>
      </c>
      <c r="BZ128" s="219">
        <v>2.0433793279532328E-3</v>
      </c>
      <c r="CA128" s="219">
        <v>2.041101329027782E-3</v>
      </c>
      <c r="CB128" s="219">
        <v>2.0388334506749391E-3</v>
      </c>
      <c r="CC128" s="219">
        <v>1.999071216598686E-2</v>
      </c>
      <c r="CD128" s="219">
        <v>1.9240789980516509E-2</v>
      </c>
      <c r="CE128" s="219">
        <v>1.849047966670923E-2</v>
      </c>
      <c r="CF128" s="219">
        <v>1.7562703230136749E-2</v>
      </c>
      <c r="CG128" s="219">
        <v>1.6799675242136099E-2</v>
      </c>
      <c r="CH128" s="219">
        <v>1.603623723278557E-2</v>
      </c>
      <c r="CI128" s="219">
        <v>1.5784654605772289E-2</v>
      </c>
      <c r="CJ128" s="219">
        <v>1.553558795200026E-2</v>
      </c>
      <c r="CK128" s="219">
        <v>1.5190832528734041E-2</v>
      </c>
      <c r="CL128" s="219">
        <v>1.4948255890401449E-2</v>
      </c>
      <c r="CM128" s="219">
        <v>1.4709461612978441E-2</v>
      </c>
      <c r="CN128" s="219">
        <v>1.4580750787551E-2</v>
      </c>
      <c r="CO128" s="219">
        <v>1.4455679120315401E-2</v>
      </c>
      <c r="CP128" s="219">
        <v>1.4307435263563491E-2</v>
      </c>
      <c r="CQ128" s="219">
        <v>1.4186753757537101E-2</v>
      </c>
      <c r="CR128" s="219">
        <v>1.4068030571745251E-2</v>
      </c>
      <c r="CS128" s="219">
        <v>1.395707271715042E-2</v>
      </c>
      <c r="CT128" s="219">
        <v>1.3848232020012849E-2</v>
      </c>
      <c r="CU128" s="219">
        <v>1.372221702391462E-2</v>
      </c>
      <c r="CV128" s="219">
        <v>1.3617783095092151E-2</v>
      </c>
      <c r="CW128" s="219">
        <v>1.3527839877714099E-2</v>
      </c>
      <c r="CX128" s="219">
        <v>1.350134013697629E-2</v>
      </c>
      <c r="CY128" s="219">
        <v>1.344859395535491E-2</v>
      </c>
      <c r="CZ128" s="219">
        <v>1.339653946188565E-2</v>
      </c>
      <c r="DA128" s="219">
        <v>1.334516637416827E-2</v>
      </c>
      <c r="DB128" s="219">
        <v>1.329446623411896E-2</v>
      </c>
    </row>
    <row r="129" spans="1:106" s="219" customFormat="1" x14ac:dyDescent="0.35">
      <c r="A129" s="137" t="s">
        <v>771</v>
      </c>
      <c r="B129" s="31" t="s">
        <v>769</v>
      </c>
      <c r="C129" s="219">
        <v>3.6719668680864632E-8</v>
      </c>
      <c r="D129" s="219">
        <v>3.4921029606340857E-8</v>
      </c>
      <c r="E129" s="219">
        <v>3.3080122325198463E-8</v>
      </c>
      <c r="F129" s="219">
        <v>3.1144367373814908E-8</v>
      </c>
      <c r="G129" s="219">
        <v>2.9242248618327561E-8</v>
      </c>
      <c r="H129" s="219">
        <v>2.7330555628089931E-8</v>
      </c>
      <c r="I129" s="219">
        <v>2.7346023509482558E-8</v>
      </c>
      <c r="J129" s="219">
        <v>2.7352393304357131E-8</v>
      </c>
      <c r="K129" s="219">
        <v>2.7326786666244189E-8</v>
      </c>
      <c r="L129" s="219">
        <v>2.7313733531910039E-8</v>
      </c>
      <c r="M129" s="219">
        <v>2.7291918401303839E-8</v>
      </c>
      <c r="N129" s="219">
        <v>2.7367972814404171E-8</v>
      </c>
      <c r="O129" s="219">
        <v>2.7445233914190679E-8</v>
      </c>
      <c r="P129" s="219">
        <v>2.7520441102598281E-8</v>
      </c>
      <c r="Q129" s="219">
        <v>2.759889529540507E-8</v>
      </c>
      <c r="R129" s="219">
        <v>2.7677987244435739E-8</v>
      </c>
      <c r="S129" s="219">
        <v>2.6496315123019461E-8</v>
      </c>
      <c r="T129" s="219">
        <v>2.53108290316572E-8</v>
      </c>
      <c r="U129" s="219">
        <v>2.412991474561815E-8</v>
      </c>
      <c r="V129" s="219">
        <v>2.2960966330988691E-8</v>
      </c>
      <c r="W129" s="219">
        <v>2.180299223309158E-8</v>
      </c>
      <c r="X129" s="219">
        <v>2.2081839799188861E-8</v>
      </c>
      <c r="Y129" s="219">
        <v>2.1667416861565311E-8</v>
      </c>
      <c r="Z129" s="219">
        <v>2.1251370175484301E-8</v>
      </c>
      <c r="AA129" s="219">
        <v>2.083364040945046E-8</v>
      </c>
      <c r="AB129" s="219">
        <v>2.0414222151827249E-8</v>
      </c>
      <c r="AC129" s="219">
        <v>1.959821240246806E-10</v>
      </c>
      <c r="AD129" s="219">
        <v>1.8039023666824661E-10</v>
      </c>
      <c r="AE129" s="219">
        <v>1.6467182104855051E-10</v>
      </c>
      <c r="AF129" s="219">
        <v>1.483529199575877E-10</v>
      </c>
      <c r="AG129" s="219">
        <v>1.323560683295104E-10</v>
      </c>
      <c r="AH129" s="219">
        <v>1.162535644701696E-10</v>
      </c>
      <c r="AI129" s="219">
        <v>1.2123520290664731E-10</v>
      </c>
      <c r="AJ129" s="219">
        <v>1.2619472517071091E-10</v>
      </c>
      <c r="AK129" s="219">
        <v>1.3058162460021591E-10</v>
      </c>
      <c r="AL129" s="219">
        <v>1.354548294438435E-10</v>
      </c>
      <c r="AM129" s="219">
        <v>1.403033338784336E-10</v>
      </c>
      <c r="AN129" s="219">
        <v>1.4248065952302579E-10</v>
      </c>
      <c r="AO129" s="219">
        <v>1.446351590509215E-10</v>
      </c>
      <c r="AP129" s="219">
        <v>1.465670295354511E-10</v>
      </c>
      <c r="AQ129" s="219">
        <v>1.4860218251021859E-10</v>
      </c>
      <c r="AR129" s="219">
        <v>1.505926389092131E-10</v>
      </c>
      <c r="AS129" s="219">
        <v>1.4713632573304021E-10</v>
      </c>
      <c r="AT129" s="219">
        <v>1.4375623246513751E-10</v>
      </c>
      <c r="AU129" s="219">
        <v>1.4028211754113169E-10</v>
      </c>
      <c r="AV129" s="219">
        <v>1.370299496992369E-10</v>
      </c>
      <c r="AW129" s="219">
        <v>1.3380323232200559E-10</v>
      </c>
      <c r="AX129" s="219">
        <v>1.3974729620925599E-10</v>
      </c>
      <c r="AY129" s="219">
        <v>1.3971901703850981E-10</v>
      </c>
      <c r="AZ129" s="219">
        <v>1.397003593764675E-10</v>
      </c>
      <c r="BA129" s="219">
        <v>1.396903159488848E-10</v>
      </c>
      <c r="BB129" s="219">
        <v>1.3968832677571671E-10</v>
      </c>
      <c r="BC129" s="219">
        <v>9.5089782186811595E-3</v>
      </c>
      <c r="BD129" s="219">
        <v>8.7421286424832455E-3</v>
      </c>
      <c r="BE129" s="219">
        <v>7.9691480414997139E-3</v>
      </c>
      <c r="BF129" s="219">
        <v>7.1560079036883913E-3</v>
      </c>
      <c r="BG129" s="219">
        <v>6.3692044075279973E-3</v>
      </c>
      <c r="BH129" s="219">
        <v>5.5762757373030063E-3</v>
      </c>
      <c r="BI129" s="219">
        <v>6.5326924503393124E-3</v>
      </c>
      <c r="BJ129" s="219">
        <v>7.4867490860817893E-3</v>
      </c>
      <c r="BK129" s="219">
        <v>8.4032168204473973E-3</v>
      </c>
      <c r="BL129" s="219">
        <v>9.3512639378206149E-3</v>
      </c>
      <c r="BM129" s="219">
        <v>1.0297130894940189E-2</v>
      </c>
      <c r="BN129" s="219">
        <v>1.147651193459337E-2</v>
      </c>
      <c r="BO129" s="219">
        <v>1.265208644944716E-2</v>
      </c>
      <c r="BP129" s="219">
        <v>1.381605463048863E-2</v>
      </c>
      <c r="BQ129" s="219">
        <v>1.498423463686013E-2</v>
      </c>
      <c r="BR129" s="219">
        <v>1.6148593874914959E-2</v>
      </c>
      <c r="BS129" s="219">
        <v>1.572521063344532E-2</v>
      </c>
      <c r="BT129" s="219">
        <v>1.530402506637844E-2</v>
      </c>
      <c r="BU129" s="219">
        <v>1.487797707892299E-2</v>
      </c>
      <c r="BV129" s="219">
        <v>1.446130559314039E-2</v>
      </c>
      <c r="BW129" s="219">
        <v>1.404669272550515E-2</v>
      </c>
      <c r="BX129" s="219">
        <v>1.4051240447964009E-2</v>
      </c>
      <c r="BY129" s="219">
        <v>1.405626261646515E-2</v>
      </c>
      <c r="BZ129" s="219">
        <v>1.40611770273988E-2</v>
      </c>
      <c r="CA129" s="219">
        <v>1.406597165721276E-2</v>
      </c>
      <c r="CB129" s="219">
        <v>1.4070648003945779E-2</v>
      </c>
      <c r="CC129" s="219">
        <v>0.10312237232809721</v>
      </c>
      <c r="CD129" s="219">
        <v>8.6244215252865325E-2</v>
      </c>
      <c r="CE129" s="219">
        <v>6.9339322276020812E-2</v>
      </c>
      <c r="CF129" s="219">
        <v>5.2137601121227298E-2</v>
      </c>
      <c r="CG129" s="219">
        <v>3.515645052260441E-2</v>
      </c>
      <c r="CH129" s="219">
        <v>1.813986653005558E-2</v>
      </c>
      <c r="CI129" s="219">
        <v>1.5656455221845781E-2</v>
      </c>
      <c r="CJ129" s="219">
        <v>1.3150514966595941E-2</v>
      </c>
      <c r="CK129" s="219">
        <v>1.0378162792478411E-2</v>
      </c>
      <c r="CL129" s="219">
        <v>7.8183704187464662E-3</v>
      </c>
      <c r="CM129" s="219">
        <v>5.2358168322547104E-3</v>
      </c>
      <c r="CN129" s="219">
        <v>4.8879677832983767E-3</v>
      </c>
      <c r="CO129" s="219">
        <v>4.5405805250444842E-3</v>
      </c>
      <c r="CP129" s="219">
        <v>4.1477673567263647E-3</v>
      </c>
      <c r="CQ129" s="219">
        <v>3.8015321770158051E-3</v>
      </c>
      <c r="CR129" s="219">
        <v>3.454639959949444E-3</v>
      </c>
      <c r="CS129" s="219">
        <v>-8.6986849964463837E-4</v>
      </c>
      <c r="CT129" s="219">
        <v>-5.1623625350261139E-3</v>
      </c>
      <c r="CU129" s="219">
        <v>-9.4559623498485668E-3</v>
      </c>
      <c r="CV129" s="219">
        <v>-1.368276830860384E-2</v>
      </c>
      <c r="CW129" s="219">
        <v>-1.7872736878256579E-2</v>
      </c>
      <c r="CX129" s="219">
        <v>-2.1198434562613919E-2</v>
      </c>
      <c r="CY129" s="219">
        <v>-2.472978883224904E-2</v>
      </c>
      <c r="CZ129" s="219">
        <v>-2.8270924915761421E-2</v>
      </c>
      <c r="DA129" s="219">
        <v>-3.1822002090642003E-2</v>
      </c>
      <c r="DB129" s="219">
        <v>-3.5383082515817912E-2</v>
      </c>
    </row>
    <row r="131" spans="1:106" s="231" customFormat="1" x14ac:dyDescent="0.35">
      <c r="A131" s="232"/>
    </row>
    <row r="132" spans="1:106" s="11" customFormat="1" ht="21" x14ac:dyDescent="0.5">
      <c r="A132" s="11" t="s">
        <v>72</v>
      </c>
    </row>
    <row r="133" spans="1:106" s="219" customFormat="1" x14ac:dyDescent="0.35">
      <c r="A133" s="29" t="s">
        <v>0</v>
      </c>
      <c r="B133" s="29"/>
      <c r="C133" s="338" t="s">
        <v>697</v>
      </c>
      <c r="D133" s="339"/>
      <c r="E133" s="339"/>
      <c r="F133" s="339"/>
      <c r="G133" s="339"/>
      <c r="H133" s="339"/>
      <c r="I133" s="339"/>
      <c r="J133" s="339"/>
      <c r="K133" s="339"/>
      <c r="L133" s="339"/>
      <c r="M133" s="339"/>
      <c r="N133" s="339"/>
      <c r="O133" s="339"/>
      <c r="P133" s="339"/>
      <c r="Q133" s="339"/>
      <c r="R133" s="339"/>
      <c r="S133" s="339"/>
      <c r="T133" s="339"/>
      <c r="U133" s="339"/>
      <c r="V133" s="339"/>
      <c r="W133" s="339"/>
      <c r="X133" s="339"/>
      <c r="Y133" s="339"/>
      <c r="Z133" s="339"/>
      <c r="AA133" s="339"/>
      <c r="AB133" s="340"/>
      <c r="AC133" s="341" t="s">
        <v>698</v>
      </c>
      <c r="AD133" s="342"/>
      <c r="AE133" s="342"/>
      <c r="AF133" s="342"/>
      <c r="AG133" s="342"/>
      <c r="AH133" s="342"/>
      <c r="AI133" s="342"/>
      <c r="AJ133" s="342"/>
      <c r="AK133" s="342"/>
      <c r="AL133" s="342"/>
      <c r="AM133" s="342"/>
      <c r="AN133" s="342"/>
      <c r="AO133" s="342"/>
      <c r="AP133" s="342"/>
      <c r="AQ133" s="342"/>
      <c r="AR133" s="342"/>
      <c r="AS133" s="342"/>
      <c r="AT133" s="342"/>
      <c r="AU133" s="342"/>
      <c r="AV133" s="342"/>
      <c r="AW133" s="342"/>
      <c r="AX133" s="342"/>
      <c r="AY133" s="342"/>
      <c r="AZ133" s="342"/>
      <c r="BA133" s="342"/>
      <c r="BB133" s="343"/>
      <c r="BC133" s="334" t="s">
        <v>756</v>
      </c>
      <c r="BD133" s="335"/>
      <c r="BE133" s="335"/>
      <c r="BF133" s="335"/>
      <c r="BG133" s="335"/>
      <c r="BH133" s="335"/>
      <c r="BI133" s="335"/>
      <c r="BJ133" s="335"/>
      <c r="BK133" s="335"/>
      <c r="BL133" s="335"/>
      <c r="BM133" s="335"/>
      <c r="BN133" s="335"/>
      <c r="BO133" s="335"/>
      <c r="BP133" s="335"/>
      <c r="BQ133" s="335"/>
      <c r="BR133" s="335"/>
      <c r="BS133" s="335"/>
      <c r="BT133" s="335"/>
      <c r="BU133" s="335"/>
      <c r="BV133" s="335"/>
      <c r="BW133" s="335"/>
      <c r="BX133" s="335"/>
      <c r="BY133" s="335"/>
      <c r="BZ133" s="335"/>
      <c r="CA133" s="335"/>
      <c r="CB133" s="336"/>
      <c r="CC133" s="344" t="s">
        <v>699</v>
      </c>
      <c r="CD133" s="345"/>
      <c r="CE133" s="345"/>
      <c r="CF133" s="345"/>
      <c r="CG133" s="345"/>
      <c r="CH133" s="345"/>
      <c r="CI133" s="345"/>
      <c r="CJ133" s="345"/>
      <c r="CK133" s="345"/>
      <c r="CL133" s="345"/>
      <c r="CM133" s="345"/>
      <c r="CN133" s="345"/>
      <c r="CO133" s="345"/>
      <c r="CP133" s="345"/>
      <c r="CQ133" s="345"/>
      <c r="CR133" s="345"/>
      <c r="CS133" s="345"/>
      <c r="CT133" s="345"/>
      <c r="CU133" s="345"/>
      <c r="CV133" s="345"/>
      <c r="CW133" s="345"/>
      <c r="CX133" s="345"/>
      <c r="CY133" s="345"/>
      <c r="CZ133" s="345"/>
      <c r="DA133" s="345"/>
      <c r="DB133" s="346"/>
    </row>
    <row r="134" spans="1:106" s="219" customFormat="1" x14ac:dyDescent="0.35">
      <c r="A134" s="29" t="s">
        <v>1</v>
      </c>
      <c r="B134" s="29" t="s">
        <v>180</v>
      </c>
      <c r="C134" s="222" t="s">
        <v>2</v>
      </c>
      <c r="D134" s="222" t="s">
        <v>52</v>
      </c>
      <c r="E134" s="222" t="s">
        <v>53</v>
      </c>
      <c r="F134" s="222" t="s">
        <v>54</v>
      </c>
      <c r="G134" s="222" t="s">
        <v>55</v>
      </c>
      <c r="H134" s="222" t="s">
        <v>3</v>
      </c>
      <c r="I134" s="222" t="s">
        <v>56</v>
      </c>
      <c r="J134" s="222" t="s">
        <v>57</v>
      </c>
      <c r="K134" s="222" t="s">
        <v>58</v>
      </c>
      <c r="L134" s="222" t="s">
        <v>59</v>
      </c>
      <c r="M134" s="222" t="s">
        <v>4</v>
      </c>
      <c r="N134" s="222" t="s">
        <v>60</v>
      </c>
      <c r="O134" s="222" t="s">
        <v>61</v>
      </c>
      <c r="P134" s="222" t="s">
        <v>62</v>
      </c>
      <c r="Q134" s="222" t="s">
        <v>63</v>
      </c>
      <c r="R134" s="222" t="s">
        <v>5</v>
      </c>
      <c r="S134" s="222" t="s">
        <v>64</v>
      </c>
      <c r="T134" s="222" t="s">
        <v>65</v>
      </c>
      <c r="U134" s="222" t="s">
        <v>66</v>
      </c>
      <c r="V134" s="222" t="s">
        <v>67</v>
      </c>
      <c r="W134" s="222" t="s">
        <v>6</v>
      </c>
      <c r="X134" s="222" t="s">
        <v>68</v>
      </c>
      <c r="Y134" s="222" t="s">
        <v>69</v>
      </c>
      <c r="Z134" s="222" t="s">
        <v>70</v>
      </c>
      <c r="AA134" s="222" t="s">
        <v>71</v>
      </c>
      <c r="AB134" s="222" t="s">
        <v>7</v>
      </c>
      <c r="AC134" s="223" t="s">
        <v>2</v>
      </c>
      <c r="AD134" s="223" t="s">
        <v>52</v>
      </c>
      <c r="AE134" s="223" t="s">
        <v>53</v>
      </c>
      <c r="AF134" s="223" t="s">
        <v>54</v>
      </c>
      <c r="AG134" s="223" t="s">
        <v>55</v>
      </c>
      <c r="AH134" s="223" t="s">
        <v>3</v>
      </c>
      <c r="AI134" s="223" t="s">
        <v>56</v>
      </c>
      <c r="AJ134" s="223" t="s">
        <v>57</v>
      </c>
      <c r="AK134" s="223" t="s">
        <v>58</v>
      </c>
      <c r="AL134" s="223" t="s">
        <v>59</v>
      </c>
      <c r="AM134" s="223" t="s">
        <v>4</v>
      </c>
      <c r="AN134" s="223" t="s">
        <v>60</v>
      </c>
      <c r="AO134" s="223" t="s">
        <v>61</v>
      </c>
      <c r="AP134" s="223" t="s">
        <v>62</v>
      </c>
      <c r="AQ134" s="223" t="s">
        <v>63</v>
      </c>
      <c r="AR134" s="223" t="s">
        <v>5</v>
      </c>
      <c r="AS134" s="223" t="s">
        <v>64</v>
      </c>
      <c r="AT134" s="223" t="s">
        <v>65</v>
      </c>
      <c r="AU134" s="223" t="s">
        <v>66</v>
      </c>
      <c r="AV134" s="223" t="s">
        <v>67</v>
      </c>
      <c r="AW134" s="223" t="s">
        <v>6</v>
      </c>
      <c r="AX134" s="223" t="s">
        <v>68</v>
      </c>
      <c r="AY134" s="223" t="s">
        <v>69</v>
      </c>
      <c r="AZ134" s="223" t="s">
        <v>70</v>
      </c>
      <c r="BA134" s="223" t="s">
        <v>71</v>
      </c>
      <c r="BB134" s="223" t="s">
        <v>7</v>
      </c>
      <c r="BC134" s="225" t="s">
        <v>2</v>
      </c>
      <c r="BD134" s="225" t="s">
        <v>52</v>
      </c>
      <c r="BE134" s="225" t="s">
        <v>53</v>
      </c>
      <c r="BF134" s="225" t="s">
        <v>54</v>
      </c>
      <c r="BG134" s="225" t="s">
        <v>55</v>
      </c>
      <c r="BH134" s="225" t="s">
        <v>3</v>
      </c>
      <c r="BI134" s="225" t="s">
        <v>56</v>
      </c>
      <c r="BJ134" s="225" t="s">
        <v>57</v>
      </c>
      <c r="BK134" s="225" t="s">
        <v>58</v>
      </c>
      <c r="BL134" s="225" t="s">
        <v>59</v>
      </c>
      <c r="BM134" s="225" t="s">
        <v>4</v>
      </c>
      <c r="BN134" s="225" t="s">
        <v>60</v>
      </c>
      <c r="BO134" s="225" t="s">
        <v>61</v>
      </c>
      <c r="BP134" s="225" t="s">
        <v>62</v>
      </c>
      <c r="BQ134" s="225" t="s">
        <v>63</v>
      </c>
      <c r="BR134" s="225" t="s">
        <v>5</v>
      </c>
      <c r="BS134" s="225" t="s">
        <v>64</v>
      </c>
      <c r="BT134" s="225" t="s">
        <v>65</v>
      </c>
      <c r="BU134" s="225" t="s">
        <v>66</v>
      </c>
      <c r="BV134" s="225" t="s">
        <v>67</v>
      </c>
      <c r="BW134" s="225" t="s">
        <v>6</v>
      </c>
      <c r="BX134" s="225" t="s">
        <v>68</v>
      </c>
      <c r="BY134" s="225" t="s">
        <v>69</v>
      </c>
      <c r="BZ134" s="225" t="s">
        <v>70</v>
      </c>
      <c r="CA134" s="225" t="s">
        <v>71</v>
      </c>
      <c r="CB134" s="225" t="s">
        <v>7</v>
      </c>
      <c r="CC134" s="224" t="s">
        <v>2</v>
      </c>
      <c r="CD134" s="224" t="s">
        <v>52</v>
      </c>
      <c r="CE134" s="224" t="s">
        <v>53</v>
      </c>
      <c r="CF134" s="224" t="s">
        <v>54</v>
      </c>
      <c r="CG134" s="224" t="s">
        <v>55</v>
      </c>
      <c r="CH134" s="224" t="s">
        <v>3</v>
      </c>
      <c r="CI134" s="224" t="s">
        <v>56</v>
      </c>
      <c r="CJ134" s="224" t="s">
        <v>57</v>
      </c>
      <c r="CK134" s="224" t="s">
        <v>58</v>
      </c>
      <c r="CL134" s="224" t="s">
        <v>59</v>
      </c>
      <c r="CM134" s="224" t="s">
        <v>4</v>
      </c>
      <c r="CN134" s="224" t="s">
        <v>60</v>
      </c>
      <c r="CO134" s="224" t="s">
        <v>61</v>
      </c>
      <c r="CP134" s="224" t="s">
        <v>62</v>
      </c>
      <c r="CQ134" s="224" t="s">
        <v>63</v>
      </c>
      <c r="CR134" s="224" t="s">
        <v>5</v>
      </c>
      <c r="CS134" s="224" t="s">
        <v>64</v>
      </c>
      <c r="CT134" s="224" t="s">
        <v>65</v>
      </c>
      <c r="CU134" s="224" t="s">
        <v>66</v>
      </c>
      <c r="CV134" s="224" t="s">
        <v>67</v>
      </c>
      <c r="CW134" s="224" t="s">
        <v>6</v>
      </c>
      <c r="CX134" s="224" t="s">
        <v>68</v>
      </c>
      <c r="CY134" s="224" t="s">
        <v>69</v>
      </c>
      <c r="CZ134" s="224" t="s">
        <v>70</v>
      </c>
      <c r="DA134" s="224" t="s">
        <v>71</v>
      </c>
      <c r="DB134" s="224" t="s">
        <v>7</v>
      </c>
    </row>
    <row r="136" spans="1:106" x14ac:dyDescent="0.35">
      <c r="A136" s="128" t="s">
        <v>745</v>
      </c>
      <c r="B136" s="31" t="s">
        <v>769</v>
      </c>
      <c r="C136" s="237">
        <v>5.6995997167306022E-6</v>
      </c>
      <c r="D136" s="237">
        <v>5.6756614357480179E-6</v>
      </c>
      <c r="E136" s="237">
        <v>5.6519583138118084E-6</v>
      </c>
      <c r="F136" s="237">
        <v>5.6187618233738291E-6</v>
      </c>
      <c r="G136" s="237">
        <v>5.5953934560835816E-6</v>
      </c>
      <c r="H136" s="237">
        <v>5.5724624547525464E-6</v>
      </c>
      <c r="I136" s="237">
        <v>5.5633656295655873E-6</v>
      </c>
      <c r="J136" s="237">
        <v>5.5551854928912422E-6</v>
      </c>
      <c r="K136" s="237">
        <v>5.5446270248488126E-6</v>
      </c>
      <c r="L136" s="237">
        <v>5.5362905846679799E-6</v>
      </c>
      <c r="M136" s="237">
        <v>5.5287055047550237E-6</v>
      </c>
      <c r="N136" s="237">
        <v>5.5276440518676693E-6</v>
      </c>
      <c r="O136" s="237">
        <v>5.527162351646473E-6</v>
      </c>
      <c r="P136" s="237">
        <v>5.5263590049558793E-6</v>
      </c>
      <c r="Q136" s="237">
        <v>5.5269089364711847E-6</v>
      </c>
      <c r="R136" s="237">
        <v>5.5281403635707592E-6</v>
      </c>
      <c r="S136" s="237">
        <v>5.5027224498751471E-6</v>
      </c>
      <c r="T136" s="237">
        <v>5.4772361502967426E-6</v>
      </c>
      <c r="U136" s="237">
        <v>5.4508773258035713E-6</v>
      </c>
      <c r="V136" s="237">
        <v>5.4252655060055917E-6</v>
      </c>
      <c r="W136" s="237">
        <v>5.3995807705232329E-6</v>
      </c>
      <c r="X136" s="237">
        <v>5.7335779336256583E-6</v>
      </c>
      <c r="Y136" s="237">
        <v>5.6959821684787048E-6</v>
      </c>
      <c r="Z136" s="237">
        <v>5.6581820926773351E-6</v>
      </c>
      <c r="AA136" s="237">
        <v>5.6201763528937923E-6</v>
      </c>
      <c r="AB136" s="237">
        <v>5.5819642891390926E-6</v>
      </c>
      <c r="AC136" s="240">
        <v>5.6526560173615727E-8</v>
      </c>
      <c r="AD136" s="240">
        <v>5.646495651786551E-8</v>
      </c>
      <c r="AE136" s="240">
        <v>5.6402609257038199E-8</v>
      </c>
      <c r="AF136" s="240">
        <v>5.6281996488567968E-8</v>
      </c>
      <c r="AG136" s="240">
        <v>5.6217531385804999E-8</v>
      </c>
      <c r="AH136" s="240">
        <v>5.6152311935616588E-8</v>
      </c>
      <c r="AI136" s="240">
        <v>5.6187867103024042E-8</v>
      </c>
      <c r="AJ136" s="240">
        <v>5.6223049737303693E-8</v>
      </c>
      <c r="AK136" s="240">
        <v>5.622426177340813E-8</v>
      </c>
      <c r="AL136" s="240">
        <v>5.6258237245490291E-8</v>
      </c>
      <c r="AM136" s="240">
        <v>5.6290464062546712E-8</v>
      </c>
      <c r="AN136" s="240">
        <v>5.6382968096168163E-8</v>
      </c>
      <c r="AO136" s="240">
        <v>5.6473234282924417E-8</v>
      </c>
      <c r="AP136" s="240">
        <v>5.6553762765655152E-8</v>
      </c>
      <c r="AQ136" s="240">
        <v>5.6642416474309809E-8</v>
      </c>
      <c r="AR136" s="240">
        <v>5.6730847206185052E-8</v>
      </c>
      <c r="AS136" s="240">
        <v>5.6578150764085598E-8</v>
      </c>
      <c r="AT136" s="240">
        <v>5.6419858977486317E-8</v>
      </c>
      <c r="AU136" s="240">
        <v>5.6246052503916791E-8</v>
      </c>
      <c r="AV136" s="240">
        <v>5.6079574279566698E-8</v>
      </c>
      <c r="AW136" s="240">
        <v>5.5909467070380617E-8</v>
      </c>
      <c r="AX136" s="240">
        <v>5.6034662020561483E-8</v>
      </c>
      <c r="AY136" s="240">
        <v>5.5746556310021967E-8</v>
      </c>
      <c r="AZ136" s="240">
        <v>5.5454126932500493E-8</v>
      </c>
      <c r="BA136" s="240">
        <v>5.515742129455819E-8</v>
      </c>
      <c r="BB136" s="240">
        <v>5.485644969298818E-8</v>
      </c>
      <c r="BC136" s="243">
        <v>0.89418437641702897</v>
      </c>
      <c r="BD136" s="243">
        <v>0.89224777990566384</v>
      </c>
      <c r="BE136" s="243">
        <v>0.89028883787002189</v>
      </c>
      <c r="BF136" s="243">
        <v>0.88377150632566903</v>
      </c>
      <c r="BG136" s="243">
        <v>0.88176219517504473</v>
      </c>
      <c r="BH136" s="243">
        <v>0.87971748707001218</v>
      </c>
      <c r="BI136" s="243">
        <v>0.87769782805131924</v>
      </c>
      <c r="BJ136" s="243">
        <v>0.87567741681855693</v>
      </c>
      <c r="BK136" s="243">
        <v>0.87049501692034825</v>
      </c>
      <c r="BL136" s="243">
        <v>0.86849045565180572</v>
      </c>
      <c r="BM136" s="243">
        <v>0.86647935376881735</v>
      </c>
      <c r="BN136" s="243">
        <v>0.86594060490637681</v>
      </c>
      <c r="BO136" s="243">
        <v>0.86541320164281321</v>
      </c>
      <c r="BP136" s="243">
        <v>0.86398539498408866</v>
      </c>
      <c r="BQ136" s="243">
        <v>0.86348252034598394</v>
      </c>
      <c r="BR136" s="243">
        <v>0.86299622410029886</v>
      </c>
      <c r="BS136" s="243">
        <v>0.86202739277285767</v>
      </c>
      <c r="BT136" s="243">
        <v>0.86103921928706795</v>
      </c>
      <c r="BU136" s="243">
        <v>0.85915023213228459</v>
      </c>
      <c r="BV136" s="243">
        <v>0.85813310718808578</v>
      </c>
      <c r="BW136" s="243">
        <v>0.8570967385962398</v>
      </c>
      <c r="BX136" s="243">
        <v>0.85684702967763826</v>
      </c>
      <c r="BY136" s="243">
        <v>0.85662582516154429</v>
      </c>
      <c r="BZ136" s="243">
        <v>0.85643061796205033</v>
      </c>
      <c r="CA136" s="243">
        <v>0.85626141836113168</v>
      </c>
      <c r="CB136" s="243">
        <v>0.85611863306455904</v>
      </c>
      <c r="CC136" s="246">
        <v>14.861809244395269</v>
      </c>
      <c r="CD136" s="246">
        <v>14.803858640620231</v>
      </c>
      <c r="CE136" s="246">
        <v>14.746800529255941</v>
      </c>
      <c r="CF136" s="246">
        <v>14.651475355189</v>
      </c>
      <c r="CG136" s="246">
        <v>14.59507708958221</v>
      </c>
      <c r="CH136" s="246">
        <v>14.53880906085284</v>
      </c>
      <c r="CI136" s="246">
        <v>14.52134040991808</v>
      </c>
      <c r="CJ136" s="246">
        <v>14.50506897396941</v>
      </c>
      <c r="CK136" s="246">
        <v>14.466089292307499</v>
      </c>
      <c r="CL136" s="246">
        <v>14.45188878554505</v>
      </c>
      <c r="CM136" s="246">
        <v>14.438322996324491</v>
      </c>
      <c r="CN136" s="246">
        <v>14.44989143391466</v>
      </c>
      <c r="CO136" s="246">
        <v>14.46225773806308</v>
      </c>
      <c r="CP136" s="246">
        <v>14.470242523254489</v>
      </c>
      <c r="CQ136" s="246">
        <v>14.483870838988221</v>
      </c>
      <c r="CR136" s="246">
        <v>14.498450238151721</v>
      </c>
      <c r="CS136" s="246">
        <v>14.38883000722981</v>
      </c>
      <c r="CT136" s="246">
        <v>14.27914472144432</v>
      </c>
      <c r="CU136" s="246">
        <v>14.16418872788147</v>
      </c>
      <c r="CV136" s="246">
        <v>14.054010665463871</v>
      </c>
      <c r="CW136" s="246">
        <v>13.9434813325198</v>
      </c>
      <c r="CX136" s="246">
        <v>13.825672371644689</v>
      </c>
      <c r="CY136" s="246">
        <v>13.67252495284024</v>
      </c>
      <c r="CZ136" s="246">
        <v>13.519475647250569</v>
      </c>
      <c r="DA136" s="246">
        <v>13.366496922575839</v>
      </c>
      <c r="DB136" s="246">
        <v>13.21357292039897</v>
      </c>
    </row>
    <row r="137" spans="1:106" x14ac:dyDescent="0.35">
      <c r="A137" s="128" t="s">
        <v>746</v>
      </c>
      <c r="B137" s="31" t="s">
        <v>769</v>
      </c>
      <c r="C137" s="237">
        <v>5.6995997167306022E-6</v>
      </c>
      <c r="D137" s="237">
        <v>5.6756614357480179E-6</v>
      </c>
      <c r="E137" s="237">
        <v>5.6519583138118084E-6</v>
      </c>
      <c r="F137" s="237">
        <v>5.6187618233738291E-6</v>
      </c>
      <c r="G137" s="237">
        <v>5.5953934560835816E-6</v>
      </c>
      <c r="H137" s="237">
        <v>5.5724624547525464E-6</v>
      </c>
      <c r="I137" s="237">
        <v>5.5633656295655873E-6</v>
      </c>
      <c r="J137" s="237">
        <v>5.5551854928912422E-6</v>
      </c>
      <c r="K137" s="237">
        <v>5.5446270248488126E-6</v>
      </c>
      <c r="L137" s="237">
        <v>5.5362905846679799E-6</v>
      </c>
      <c r="M137" s="237">
        <v>5.5287055047550237E-6</v>
      </c>
      <c r="N137" s="237">
        <v>5.5276440518676693E-6</v>
      </c>
      <c r="O137" s="237">
        <v>5.527162351646473E-6</v>
      </c>
      <c r="P137" s="237">
        <v>5.5263590049558793E-6</v>
      </c>
      <c r="Q137" s="237">
        <v>5.5269089364711847E-6</v>
      </c>
      <c r="R137" s="237">
        <v>5.5281403635707592E-6</v>
      </c>
      <c r="S137" s="237">
        <v>5.5027224498751471E-6</v>
      </c>
      <c r="T137" s="237">
        <v>5.4772361502967426E-6</v>
      </c>
      <c r="U137" s="237">
        <v>5.4508773258035713E-6</v>
      </c>
      <c r="V137" s="237">
        <v>5.4252655060055917E-6</v>
      </c>
      <c r="W137" s="237">
        <v>5.3995807705232329E-6</v>
      </c>
      <c r="X137" s="237">
        <v>5.7335779336256583E-6</v>
      </c>
      <c r="Y137" s="237">
        <v>5.6959821684787048E-6</v>
      </c>
      <c r="Z137" s="237">
        <v>5.6581820926773351E-6</v>
      </c>
      <c r="AA137" s="237">
        <v>5.6201763528937923E-6</v>
      </c>
      <c r="AB137" s="237">
        <v>5.5819642891390926E-6</v>
      </c>
      <c r="AC137" s="240">
        <v>5.6526560173615727E-8</v>
      </c>
      <c r="AD137" s="240">
        <v>5.646495651786551E-8</v>
      </c>
      <c r="AE137" s="240">
        <v>5.6402609257038199E-8</v>
      </c>
      <c r="AF137" s="240">
        <v>5.6281996488567968E-8</v>
      </c>
      <c r="AG137" s="240">
        <v>5.6217531385804999E-8</v>
      </c>
      <c r="AH137" s="240">
        <v>5.6152311935616588E-8</v>
      </c>
      <c r="AI137" s="240">
        <v>5.6187867103024042E-8</v>
      </c>
      <c r="AJ137" s="240">
        <v>5.6223049737303693E-8</v>
      </c>
      <c r="AK137" s="240">
        <v>5.622426177340813E-8</v>
      </c>
      <c r="AL137" s="240">
        <v>5.6258237245490291E-8</v>
      </c>
      <c r="AM137" s="240">
        <v>5.6290464062546712E-8</v>
      </c>
      <c r="AN137" s="240">
        <v>5.6382968096168163E-8</v>
      </c>
      <c r="AO137" s="240">
        <v>5.6473234282924417E-8</v>
      </c>
      <c r="AP137" s="240">
        <v>5.6553762765655152E-8</v>
      </c>
      <c r="AQ137" s="240">
        <v>5.6642416474309809E-8</v>
      </c>
      <c r="AR137" s="240">
        <v>5.6730847206185052E-8</v>
      </c>
      <c r="AS137" s="240">
        <v>5.6578150764085598E-8</v>
      </c>
      <c r="AT137" s="240">
        <v>5.6419858977486317E-8</v>
      </c>
      <c r="AU137" s="240">
        <v>5.6246052503916791E-8</v>
      </c>
      <c r="AV137" s="240">
        <v>5.6079574279566698E-8</v>
      </c>
      <c r="AW137" s="240">
        <v>5.5909467070380617E-8</v>
      </c>
      <c r="AX137" s="240">
        <v>5.6034662020561483E-8</v>
      </c>
      <c r="AY137" s="240">
        <v>5.5746556310021967E-8</v>
      </c>
      <c r="AZ137" s="240">
        <v>5.5454126932500493E-8</v>
      </c>
      <c r="BA137" s="240">
        <v>5.515742129455819E-8</v>
      </c>
      <c r="BB137" s="240">
        <v>5.485644969298818E-8</v>
      </c>
      <c r="BC137" s="243">
        <v>0.89418437641702897</v>
      </c>
      <c r="BD137" s="243">
        <v>0.89224777990566384</v>
      </c>
      <c r="BE137" s="243">
        <v>0.89028883787002189</v>
      </c>
      <c r="BF137" s="243">
        <v>0.88377150632566903</v>
      </c>
      <c r="BG137" s="243">
        <v>0.88176219517504473</v>
      </c>
      <c r="BH137" s="243">
        <v>0.87971748707001218</v>
      </c>
      <c r="BI137" s="243">
        <v>0.87769782805131924</v>
      </c>
      <c r="BJ137" s="243">
        <v>0.87567741681855693</v>
      </c>
      <c r="BK137" s="243">
        <v>0.87049501692034825</v>
      </c>
      <c r="BL137" s="243">
        <v>0.86849045565180572</v>
      </c>
      <c r="BM137" s="243">
        <v>0.86647935376881735</v>
      </c>
      <c r="BN137" s="243">
        <v>0.86594060490637681</v>
      </c>
      <c r="BO137" s="243">
        <v>0.86541320164281321</v>
      </c>
      <c r="BP137" s="243">
        <v>0.86398539498408866</v>
      </c>
      <c r="BQ137" s="243">
        <v>0.86348252034598394</v>
      </c>
      <c r="BR137" s="243">
        <v>0.86299622410029886</v>
      </c>
      <c r="BS137" s="243">
        <v>0.86202739277285767</v>
      </c>
      <c r="BT137" s="243">
        <v>0.86103921928706795</v>
      </c>
      <c r="BU137" s="243">
        <v>0.85915023213228459</v>
      </c>
      <c r="BV137" s="243">
        <v>0.85813310718808578</v>
      </c>
      <c r="BW137" s="243">
        <v>0.8570967385962398</v>
      </c>
      <c r="BX137" s="243">
        <v>0.85684702967763826</v>
      </c>
      <c r="BY137" s="243">
        <v>0.85662582516154429</v>
      </c>
      <c r="BZ137" s="243">
        <v>0.85643061796205033</v>
      </c>
      <c r="CA137" s="243">
        <v>0.85626141836113168</v>
      </c>
      <c r="CB137" s="243">
        <v>0.85611863306455904</v>
      </c>
      <c r="CC137" s="246">
        <v>14.861809244395269</v>
      </c>
      <c r="CD137" s="246">
        <v>14.803858640620231</v>
      </c>
      <c r="CE137" s="246">
        <v>14.746800529255941</v>
      </c>
      <c r="CF137" s="246">
        <v>14.651475355189</v>
      </c>
      <c r="CG137" s="246">
        <v>14.59507708958221</v>
      </c>
      <c r="CH137" s="246">
        <v>14.53880906085284</v>
      </c>
      <c r="CI137" s="246">
        <v>14.52134040991808</v>
      </c>
      <c r="CJ137" s="246">
        <v>14.50506897396941</v>
      </c>
      <c r="CK137" s="246">
        <v>14.466089292307499</v>
      </c>
      <c r="CL137" s="246">
        <v>14.45188878554505</v>
      </c>
      <c r="CM137" s="246">
        <v>14.438322996324491</v>
      </c>
      <c r="CN137" s="246">
        <v>14.44989143391466</v>
      </c>
      <c r="CO137" s="246">
        <v>14.46225773806308</v>
      </c>
      <c r="CP137" s="246">
        <v>14.470242523254489</v>
      </c>
      <c r="CQ137" s="246">
        <v>14.483870838988221</v>
      </c>
      <c r="CR137" s="246">
        <v>14.498450238151721</v>
      </c>
      <c r="CS137" s="246">
        <v>14.38883000722981</v>
      </c>
      <c r="CT137" s="246">
        <v>14.27914472144432</v>
      </c>
      <c r="CU137" s="246">
        <v>14.16418872788147</v>
      </c>
      <c r="CV137" s="246">
        <v>14.054010665463871</v>
      </c>
      <c r="CW137" s="246">
        <v>13.9434813325198</v>
      </c>
      <c r="CX137" s="246">
        <v>13.825672371644689</v>
      </c>
      <c r="CY137" s="246">
        <v>13.67252495284024</v>
      </c>
      <c r="CZ137" s="246">
        <v>13.519475647250569</v>
      </c>
      <c r="DA137" s="246">
        <v>13.366496922575839</v>
      </c>
      <c r="DB137" s="246">
        <v>13.21357292039897</v>
      </c>
    </row>
    <row r="138" spans="1:106" x14ac:dyDescent="0.35">
      <c r="A138" s="235" t="s">
        <v>772</v>
      </c>
      <c r="B138" s="234" t="s">
        <v>774</v>
      </c>
      <c r="C138" s="237">
        <v>4.8498798997413068E-5</v>
      </c>
      <c r="D138" s="237">
        <v>4.8309590071916013E-5</v>
      </c>
      <c r="E138" s="237">
        <v>4.8122127018899831E-5</v>
      </c>
      <c r="F138" s="237">
        <v>4.7875538878935227E-5</v>
      </c>
      <c r="G138" s="237">
        <v>4.7691826770510921E-5</v>
      </c>
      <c r="H138" s="237">
        <v>4.7512049531150552E-5</v>
      </c>
      <c r="I138" s="237">
        <v>4.7460515519216592E-5</v>
      </c>
      <c r="J138" s="237">
        <v>4.741741362357314E-5</v>
      </c>
      <c r="K138" s="237">
        <v>4.7362362415523507E-5</v>
      </c>
      <c r="L138" s="237">
        <v>4.7325617567108487E-5</v>
      </c>
      <c r="M138" s="237">
        <v>4.7295844821855512E-5</v>
      </c>
      <c r="N138" s="237">
        <v>4.7306608627716677E-5</v>
      </c>
      <c r="O138" s="237">
        <v>4.7322701236467797E-5</v>
      </c>
      <c r="P138" s="237">
        <v>4.7337673413425789E-5</v>
      </c>
      <c r="Q138" s="237">
        <v>4.7363291342860231E-5</v>
      </c>
      <c r="R138" s="237">
        <v>4.739509403558033E-5</v>
      </c>
      <c r="S138" s="237">
        <v>4.7161533578144977E-5</v>
      </c>
      <c r="T138" s="237">
        <v>4.692739505576104E-5</v>
      </c>
      <c r="U138" s="237">
        <v>4.6687210217841441E-5</v>
      </c>
      <c r="V138" s="237">
        <v>4.6452117173751281E-5</v>
      </c>
      <c r="W138" s="237">
        <v>4.6216486170165452E-5</v>
      </c>
      <c r="X138" s="237">
        <v>4.8454471180326642E-5</v>
      </c>
      <c r="Y138" s="237">
        <v>4.8102346040681638E-5</v>
      </c>
      <c r="Z138" s="237">
        <v>4.7748263475222472E-5</v>
      </c>
      <c r="AA138" s="237">
        <v>4.7392212654333009E-5</v>
      </c>
      <c r="AB138" s="237">
        <v>4.7034184432216221E-5</v>
      </c>
      <c r="AC138" s="240">
        <v>6.526170625765647E-7</v>
      </c>
      <c r="AD138" s="240">
        <v>6.5201844654834685E-7</v>
      </c>
      <c r="AE138" s="240">
        <v>6.5140843089069157E-7</v>
      </c>
      <c r="AF138" s="240">
        <v>6.5043136901355605E-7</v>
      </c>
      <c r="AG138" s="240">
        <v>6.4979806048036272E-7</v>
      </c>
      <c r="AH138" s="240">
        <v>6.4915573811742674E-7</v>
      </c>
      <c r="AI138" s="240">
        <v>6.4955835339956885E-7</v>
      </c>
      <c r="AJ138" s="240">
        <v>6.4995588587959531E-7</v>
      </c>
      <c r="AK138" s="240">
        <v>6.5014449233512876E-7</v>
      </c>
      <c r="AL138" s="240">
        <v>6.505302556684024E-7</v>
      </c>
      <c r="AM138" s="240">
        <v>6.5090445152223386E-7</v>
      </c>
      <c r="AN138" s="240">
        <v>6.518928769582966E-7</v>
      </c>
      <c r="AO138" s="240">
        <v>6.5285877564986886E-7</v>
      </c>
      <c r="AP138" s="240">
        <v>6.5375723662419264E-7</v>
      </c>
      <c r="AQ138" s="240">
        <v>6.5470560921062562E-7</v>
      </c>
      <c r="AR138" s="240">
        <v>6.5565108860015498E-7</v>
      </c>
      <c r="AS138" s="240">
        <v>6.5415369064362747E-7</v>
      </c>
      <c r="AT138" s="240">
        <v>6.5260518524073711E-7</v>
      </c>
      <c r="AU138" s="240">
        <v>6.509452086349076E-7</v>
      </c>
      <c r="AV138" s="240">
        <v>6.4932205352702213E-7</v>
      </c>
      <c r="AW138" s="240">
        <v>6.4766526200150279E-7</v>
      </c>
      <c r="AX138" s="240">
        <v>6.5082956022651774E-7</v>
      </c>
      <c r="AY138" s="240">
        <v>6.4805103469107293E-7</v>
      </c>
      <c r="AZ138" s="240">
        <v>6.4522937204287989E-7</v>
      </c>
      <c r="BA138" s="240">
        <v>6.4236511029369284E-7</v>
      </c>
      <c r="BB138" s="240">
        <v>6.3945834440814427E-7</v>
      </c>
      <c r="BC138" s="243">
        <v>6.404916473034624</v>
      </c>
      <c r="BD138" s="243">
        <v>6.3880843286738491</v>
      </c>
      <c r="BE138" s="243">
        <v>6.370939266847583</v>
      </c>
      <c r="BF138" s="243">
        <v>6.3255669161829786</v>
      </c>
      <c r="BG138" s="243">
        <v>6.3077596432600602</v>
      </c>
      <c r="BH138" s="243">
        <v>6.2895425415039314</v>
      </c>
      <c r="BI138" s="243">
        <v>6.2710281586202861</v>
      </c>
      <c r="BJ138" s="243">
        <v>6.2524229152230921</v>
      </c>
      <c r="BK138" s="243">
        <v>6.2144806915984496</v>
      </c>
      <c r="BL138" s="243">
        <v>6.1958065670378613</v>
      </c>
      <c r="BM138" s="243">
        <v>6.1769960376740549</v>
      </c>
      <c r="BN138" s="243">
        <v>6.173655897050879</v>
      </c>
      <c r="BO138" s="243">
        <v>6.1703832044355753</v>
      </c>
      <c r="BP138" s="243">
        <v>6.1613331507585736</v>
      </c>
      <c r="BQ138" s="243">
        <v>6.1581906821137267</v>
      </c>
      <c r="BR138" s="243">
        <v>6.1551544439075982</v>
      </c>
      <c r="BS138" s="243">
        <v>6.1493265851814476</v>
      </c>
      <c r="BT138" s="243">
        <v>6.1432873138886226</v>
      </c>
      <c r="BU138" s="243">
        <v>6.1313957469379687</v>
      </c>
      <c r="BV138" s="243">
        <v>6.124993491989402</v>
      </c>
      <c r="BW138" s="243">
        <v>6.1183791532438718</v>
      </c>
      <c r="BX138" s="243">
        <v>6.1177920103040622</v>
      </c>
      <c r="BY138" s="243">
        <v>6.1174877742860421</v>
      </c>
      <c r="BZ138" s="243">
        <v>6.1174432300691608</v>
      </c>
      <c r="CA138" s="243">
        <v>6.1176615457561088</v>
      </c>
      <c r="CB138" s="243">
        <v>6.1181468907579291</v>
      </c>
      <c r="CC138" s="246">
        <v>103.3191320872311</v>
      </c>
      <c r="CD138" s="246">
        <v>102.8427558033291</v>
      </c>
      <c r="CE138" s="246">
        <v>102.37091668183579</v>
      </c>
      <c r="CF138" s="246">
        <v>101.66316549546551</v>
      </c>
      <c r="CG138" s="246">
        <v>101.1947858338584</v>
      </c>
      <c r="CH138" s="246">
        <v>100.7265870206522</v>
      </c>
      <c r="CI138" s="246">
        <v>100.6509134104094</v>
      </c>
      <c r="CJ138" s="246">
        <v>100.5839796348162</v>
      </c>
      <c r="CK138" s="246">
        <v>100.381273998209</v>
      </c>
      <c r="CL138" s="246">
        <v>100.3302482454349</v>
      </c>
      <c r="CM138" s="246">
        <v>100.2838250201188</v>
      </c>
      <c r="CN138" s="246">
        <v>100.48958876302601</v>
      </c>
      <c r="CO138" s="246">
        <v>100.7014193665033</v>
      </c>
      <c r="CP138" s="246">
        <v>100.8853172887022</v>
      </c>
      <c r="CQ138" s="246">
        <v>101.1064012230386</v>
      </c>
      <c r="CR138" s="246">
        <v>101.3349124981938</v>
      </c>
      <c r="CS138" s="246">
        <v>100.34374109279371</v>
      </c>
      <c r="CT138" s="246">
        <v>99.351717017895581</v>
      </c>
      <c r="CU138" s="246">
        <v>98.324722130523952</v>
      </c>
      <c r="CV138" s="246">
        <v>97.327476333853582</v>
      </c>
      <c r="CW138" s="246">
        <v>96.32675856011781</v>
      </c>
      <c r="CX138" s="246">
        <v>95.268886256329026</v>
      </c>
      <c r="CY138" s="246">
        <v>93.848034189279502</v>
      </c>
      <c r="CZ138" s="246">
        <v>92.428569782072373</v>
      </c>
      <c r="DA138" s="246">
        <v>91.010270302289896</v>
      </c>
      <c r="DB138" s="246">
        <v>89.592978536817554</v>
      </c>
    </row>
    <row r="139" spans="1:106" x14ac:dyDescent="0.35">
      <c r="A139" s="235" t="s">
        <v>773</v>
      </c>
      <c r="B139" s="234" t="s">
        <v>774</v>
      </c>
      <c r="C139" s="237">
        <v>1.5370378409644619E-5</v>
      </c>
      <c r="D139" s="237">
        <v>1.5310953964311971E-5</v>
      </c>
      <c r="E139" s="237">
        <v>1.5251983046229201E-5</v>
      </c>
      <c r="F139" s="237">
        <v>1.5170470728301719E-5</v>
      </c>
      <c r="G139" s="237">
        <v>1.5113632894184799E-5</v>
      </c>
      <c r="H139" s="237">
        <v>1.505809947989565E-5</v>
      </c>
      <c r="I139" s="237">
        <v>1.502128973868986E-5</v>
      </c>
      <c r="J139" s="237">
        <v>1.4988133174694581E-5</v>
      </c>
      <c r="K139" s="237">
        <v>1.495097147579697E-5</v>
      </c>
      <c r="L139" s="237">
        <v>1.4923599120571921E-5</v>
      </c>
      <c r="M139" s="237">
        <v>1.489889709371937E-5</v>
      </c>
      <c r="N139" s="237">
        <v>1.488600053517168E-5</v>
      </c>
      <c r="O139" s="237">
        <v>1.4875594200059599E-5</v>
      </c>
      <c r="P139" s="237">
        <v>1.486501675498508E-5</v>
      </c>
      <c r="Q139" s="237">
        <v>1.485880800524797E-5</v>
      </c>
      <c r="R139" s="237">
        <v>1.4855732634352359E-5</v>
      </c>
      <c r="S139" s="237">
        <v>1.480065585808142E-5</v>
      </c>
      <c r="T139" s="237">
        <v>1.4745441117838439E-5</v>
      </c>
      <c r="U139" s="237">
        <v>1.468791552747711E-5</v>
      </c>
      <c r="V139" s="237">
        <v>1.463242191899032E-5</v>
      </c>
      <c r="W139" s="237">
        <v>1.4576757275622579E-5</v>
      </c>
      <c r="X139" s="237">
        <v>1.504622958037743E-5</v>
      </c>
      <c r="Y139" s="237">
        <v>1.4963065401964699E-5</v>
      </c>
      <c r="Z139" s="237">
        <v>1.487940707754344E-5</v>
      </c>
      <c r="AA139" s="237">
        <v>1.4795252966830961E-5</v>
      </c>
      <c r="AB139" s="237">
        <v>1.4710602112944889E-5</v>
      </c>
      <c r="AC139" s="240">
        <v>1.82095043785465E-7</v>
      </c>
      <c r="AD139" s="240">
        <v>1.819583116114286E-7</v>
      </c>
      <c r="AE139" s="240">
        <v>1.8182152754899149E-7</v>
      </c>
      <c r="AF139" s="240">
        <v>1.8154968425672949E-7</v>
      </c>
      <c r="AG139" s="240">
        <v>1.8141306128051931E-7</v>
      </c>
      <c r="AH139" s="240">
        <v>1.812766167496938E-7</v>
      </c>
      <c r="AI139" s="240">
        <v>1.8148529785769951E-7</v>
      </c>
      <c r="AJ139" s="240">
        <v>1.8169644409245771E-7</v>
      </c>
      <c r="AK139" s="240">
        <v>1.818307584366192E-7</v>
      </c>
      <c r="AL139" s="240">
        <v>1.820448035439669E-7</v>
      </c>
      <c r="AM139" s="240">
        <v>1.822594308373037E-7</v>
      </c>
      <c r="AN139" s="240">
        <v>1.8274632612740279E-7</v>
      </c>
      <c r="AO139" s="240">
        <v>1.8323091473407029E-7</v>
      </c>
      <c r="AP139" s="240">
        <v>1.8369182189580509E-7</v>
      </c>
      <c r="AQ139" s="240">
        <v>1.8417532760515079E-7</v>
      </c>
      <c r="AR139" s="240">
        <v>1.846620293799412E-7</v>
      </c>
      <c r="AS139" s="240">
        <v>1.845404871351673E-7</v>
      </c>
      <c r="AT139" s="240">
        <v>1.8440761931055969E-7</v>
      </c>
      <c r="AU139" s="240">
        <v>1.8423718981454829E-7</v>
      </c>
      <c r="AV139" s="240">
        <v>1.8408691831261619E-7</v>
      </c>
      <c r="AW139" s="240">
        <v>1.8392883623649569E-7</v>
      </c>
      <c r="AX139" s="240">
        <v>1.8514258573911921E-7</v>
      </c>
      <c r="AY139" s="240">
        <v>1.8461262917909341E-7</v>
      </c>
      <c r="AZ139" s="240">
        <v>1.8407630126961691E-7</v>
      </c>
      <c r="BA139" s="240">
        <v>1.8353363004374919E-7</v>
      </c>
      <c r="BB139" s="240">
        <v>1.8298460869514739E-7</v>
      </c>
      <c r="BC139" s="243">
        <v>2.878426432794885</v>
      </c>
      <c r="BD139" s="243">
        <v>2.8713580766586762</v>
      </c>
      <c r="BE139" s="243">
        <v>2.8644555231317028</v>
      </c>
      <c r="BF139" s="243">
        <v>2.8470560883313518</v>
      </c>
      <c r="BG139" s="243">
        <v>2.8404916815225678</v>
      </c>
      <c r="BH139" s="243">
        <v>2.8340600936194171</v>
      </c>
      <c r="BI139" s="243">
        <v>2.8277654047185838</v>
      </c>
      <c r="BJ139" s="243">
        <v>2.82168065653959</v>
      </c>
      <c r="BK139" s="243">
        <v>2.8083626302366018</v>
      </c>
      <c r="BL139" s="243">
        <v>2.8027154117727129</v>
      </c>
      <c r="BM139" s="243">
        <v>2.7972400481868638</v>
      </c>
      <c r="BN139" s="243">
        <v>2.7922476090576658</v>
      </c>
      <c r="BO139" s="243">
        <v>2.7874279140793452</v>
      </c>
      <c r="BP139" s="243">
        <v>2.7805003030496458</v>
      </c>
      <c r="BQ139" s="243">
        <v>2.776006874723969</v>
      </c>
      <c r="BR139" s="243">
        <v>2.771714077030901</v>
      </c>
      <c r="BS139" s="243">
        <v>2.768021938501064</v>
      </c>
      <c r="BT139" s="243">
        <v>2.7644161991219072</v>
      </c>
      <c r="BU139" s="243">
        <v>2.7586978832746678</v>
      </c>
      <c r="BV139" s="243">
        <v>2.7552814773519971</v>
      </c>
      <c r="BW139" s="243">
        <v>2.7519473320682182</v>
      </c>
      <c r="BX139" s="243">
        <v>2.749448156894025</v>
      </c>
      <c r="BY139" s="243">
        <v>2.7470070774910118</v>
      </c>
      <c r="BZ139" s="243">
        <v>2.7446176765838302</v>
      </c>
      <c r="CA139" s="243">
        <v>2.7422796190747891</v>
      </c>
      <c r="CB139" s="243">
        <v>2.739992892109568</v>
      </c>
      <c r="CC139" s="246">
        <v>34.799763662082718</v>
      </c>
      <c r="CD139" s="246">
        <v>34.669202046224171</v>
      </c>
      <c r="CE139" s="246">
        <v>34.541677448964379</v>
      </c>
      <c r="CF139" s="246">
        <v>34.326113285018501</v>
      </c>
      <c r="CG139" s="246">
        <v>34.204288564527481</v>
      </c>
      <c r="CH139" s="246">
        <v>34.084404870037417</v>
      </c>
      <c r="CI139" s="246">
        <v>34.071407931374679</v>
      </c>
      <c r="CJ139" s="246">
        <v>34.065790900424808</v>
      </c>
      <c r="CK139" s="246">
        <v>34.011341863766631</v>
      </c>
      <c r="CL139" s="246">
        <v>34.019176868415812</v>
      </c>
      <c r="CM139" s="246">
        <v>34.032190993059103</v>
      </c>
      <c r="CN139" s="246">
        <v>34.121872947186169</v>
      </c>
      <c r="CO139" s="246">
        <v>34.217094463892991</v>
      </c>
      <c r="CP139" s="246">
        <v>34.304344864086012</v>
      </c>
      <c r="CQ139" s="246">
        <v>34.409078221544938</v>
      </c>
      <c r="CR139" s="246">
        <v>34.520730805331851</v>
      </c>
      <c r="CS139" s="246">
        <v>34.315523402521883</v>
      </c>
      <c r="CT139" s="246">
        <v>34.110653916989271</v>
      </c>
      <c r="CU139" s="246">
        <v>33.892891847133427</v>
      </c>
      <c r="CV139" s="246">
        <v>33.687781696972792</v>
      </c>
      <c r="CW139" s="246">
        <v>33.482299663170053</v>
      </c>
      <c r="CX139" s="246">
        <v>33.290277466906723</v>
      </c>
      <c r="CY139" s="246">
        <v>32.944275430403508</v>
      </c>
      <c r="CZ139" s="246">
        <v>32.597259276072172</v>
      </c>
      <c r="DA139" s="246">
        <v>32.249189100372817</v>
      </c>
      <c r="DB139" s="246">
        <v>31.900035896334082</v>
      </c>
    </row>
    <row r="140" spans="1:106" x14ac:dyDescent="0.35">
      <c r="A140" s="235" t="s">
        <v>747</v>
      </c>
      <c r="B140" s="234" t="s">
        <v>769</v>
      </c>
      <c r="C140" s="237">
        <v>6.5979438007067736E-5</v>
      </c>
      <c r="D140" s="237">
        <v>6.5853369155133052E-5</v>
      </c>
      <c r="E140" s="237">
        <v>6.5726829522040874E-5</v>
      </c>
      <c r="F140" s="237">
        <v>6.549959068802153E-5</v>
      </c>
      <c r="G140" s="237">
        <v>6.5372526127527216E-5</v>
      </c>
      <c r="H140" s="237">
        <v>6.5246841536627416E-5</v>
      </c>
      <c r="I140" s="237">
        <v>6.5197387152953813E-5</v>
      </c>
      <c r="J140" s="237">
        <v>6.5150331483948375E-5</v>
      </c>
      <c r="K140" s="237">
        <v>6.5073123778085483E-5</v>
      </c>
      <c r="L140" s="237">
        <v>6.502578186970221E-5</v>
      </c>
      <c r="M140" s="237">
        <v>6.4980310942101011E-5</v>
      </c>
      <c r="N140" s="237">
        <v>6.4982250207642632E-5</v>
      </c>
      <c r="O140" s="237">
        <v>6.4985450760780253E-5</v>
      </c>
      <c r="P140" s="237">
        <v>6.4981744296877908E-5</v>
      </c>
      <c r="Q140" s="237">
        <v>6.4987196293856677E-5</v>
      </c>
      <c r="R140" s="237">
        <v>6.4994110768130286E-5</v>
      </c>
      <c r="S140" s="237">
        <v>6.4842925785424491E-5</v>
      </c>
      <c r="T140" s="237">
        <v>6.4690866460267012E-5</v>
      </c>
      <c r="U140" s="237">
        <v>6.4530187511984381E-5</v>
      </c>
      <c r="V140" s="237">
        <v>6.4376689313546138E-5</v>
      </c>
      <c r="W140" s="237">
        <v>6.4222425702241967E-5</v>
      </c>
      <c r="X140" s="237">
        <v>6.5817851241449613E-5</v>
      </c>
      <c r="Y140" s="237">
        <v>6.5622739756155654E-5</v>
      </c>
      <c r="Z140" s="237">
        <v>6.542669841715658E-5</v>
      </c>
      <c r="AA140" s="237">
        <v>6.5229722638533033E-5</v>
      </c>
      <c r="AB140" s="237">
        <v>6.5031809840538713E-5</v>
      </c>
      <c r="AC140" s="240">
        <v>5.4942619534895812E-7</v>
      </c>
      <c r="AD140" s="240">
        <v>5.4891244384811956E-7</v>
      </c>
      <c r="AE140" s="240">
        <v>5.483989661516123E-7</v>
      </c>
      <c r="AF140" s="240">
        <v>5.4728046712958631E-7</v>
      </c>
      <c r="AG140" s="240">
        <v>5.4676225233191872E-7</v>
      </c>
      <c r="AH140" s="240">
        <v>5.4624493855895547E-7</v>
      </c>
      <c r="AI140" s="240">
        <v>5.4639706435519513E-7</v>
      </c>
      <c r="AJ140" s="240">
        <v>5.4654795828145368E-7</v>
      </c>
      <c r="AK140" s="240">
        <v>5.4633998263734469E-7</v>
      </c>
      <c r="AL140" s="240">
        <v>5.4648576052634139E-7</v>
      </c>
      <c r="AM140" s="240">
        <v>5.466289503064027E-7</v>
      </c>
      <c r="AN140" s="240">
        <v>5.4740998189106356E-7</v>
      </c>
      <c r="AO140" s="240">
        <v>5.4817952388503449E-7</v>
      </c>
      <c r="AP140" s="240">
        <v>5.4885401579848557E-7</v>
      </c>
      <c r="AQ140" s="240">
        <v>5.4961568333234654E-7</v>
      </c>
      <c r="AR140" s="240">
        <v>5.5037667346919689E-7</v>
      </c>
      <c r="AS140" s="240">
        <v>5.4930106581687765E-7</v>
      </c>
      <c r="AT140" s="240">
        <v>5.4821140656920802E-7</v>
      </c>
      <c r="AU140" s="240">
        <v>5.4699713395538126E-7</v>
      </c>
      <c r="AV140" s="240">
        <v>5.4588828339118914E-7</v>
      </c>
      <c r="AW140" s="240">
        <v>5.447713384100376E-7</v>
      </c>
      <c r="AX140" s="240">
        <v>5.47211603299811E-7</v>
      </c>
      <c r="AY140" s="240">
        <v>5.4544756870463916E-7</v>
      </c>
      <c r="AZ140" s="240">
        <v>5.4367605456573917E-7</v>
      </c>
      <c r="BA140" s="240">
        <v>5.4189678404556702E-7</v>
      </c>
      <c r="BB140" s="240">
        <v>5.401094279158437E-7</v>
      </c>
      <c r="BC140" s="243">
        <v>17.623225218845</v>
      </c>
      <c r="BD140" s="243">
        <v>17.609412435263138</v>
      </c>
      <c r="BE140" s="243">
        <v>17.595755267456639</v>
      </c>
      <c r="BF140" s="243">
        <v>17.53424320384822</v>
      </c>
      <c r="BG140" s="243">
        <v>17.520944191598669</v>
      </c>
      <c r="BH140" s="243">
        <v>17.507753198758</v>
      </c>
      <c r="BI140" s="243">
        <v>17.494453548152858</v>
      </c>
      <c r="BJ140" s="243">
        <v>17.481290532850711</v>
      </c>
      <c r="BK140" s="243">
        <v>17.43459945817532</v>
      </c>
      <c r="BL140" s="243">
        <v>17.421919563621149</v>
      </c>
      <c r="BM140" s="243">
        <v>17.409354383644569</v>
      </c>
      <c r="BN140" s="243">
        <v>17.407345380101251</v>
      </c>
      <c r="BO140" s="243">
        <v>17.405406963756899</v>
      </c>
      <c r="BP140" s="243">
        <v>17.3942369518298</v>
      </c>
      <c r="BQ140" s="243">
        <v>17.392499108537709</v>
      </c>
      <c r="BR140" s="243">
        <v>17.390845421523341</v>
      </c>
      <c r="BS140" s="243">
        <v>17.393326533165009</v>
      </c>
      <c r="BT140" s="243">
        <v>17.395838261886659</v>
      </c>
      <c r="BU140" s="243">
        <v>17.389364796740701</v>
      </c>
      <c r="BV140" s="243">
        <v>17.392039572272939</v>
      </c>
      <c r="BW140" s="243">
        <v>17.39474564147617</v>
      </c>
      <c r="BX140" s="243">
        <v>17.401892409861549</v>
      </c>
      <c r="BY140" s="243">
        <v>17.409120527236219</v>
      </c>
      <c r="BZ140" s="243">
        <v>17.41641117191428</v>
      </c>
      <c r="CA140" s="243">
        <v>17.42376402288064</v>
      </c>
      <c r="CB140" s="243">
        <v>17.431179560470671</v>
      </c>
      <c r="CC140" s="246">
        <v>151.77606580575059</v>
      </c>
      <c r="CD140" s="246">
        <v>151.48772290445311</v>
      </c>
      <c r="CE140" s="246">
        <v>151.20355692571971</v>
      </c>
      <c r="CF140" s="246">
        <v>150.51362264028319</v>
      </c>
      <c r="CG140" s="246">
        <v>150.23448926494601</v>
      </c>
      <c r="CH140" s="246">
        <v>149.95700556644499</v>
      </c>
      <c r="CI140" s="246">
        <v>149.91456665514849</v>
      </c>
      <c r="CJ140" s="246">
        <v>149.87728939431429</v>
      </c>
      <c r="CK140" s="246">
        <v>149.59117173466191</v>
      </c>
      <c r="CL140" s="246">
        <v>149.56582475934169</v>
      </c>
      <c r="CM140" s="246">
        <v>149.54372172996909</v>
      </c>
      <c r="CN140" s="246">
        <v>149.8026355554062</v>
      </c>
      <c r="CO140" s="246">
        <v>150.06493609595739</v>
      </c>
      <c r="CP140" s="246">
        <v>150.279730069593</v>
      </c>
      <c r="CQ140" s="246">
        <v>150.5492036796783</v>
      </c>
      <c r="CR140" s="246">
        <v>150.82237791732891</v>
      </c>
      <c r="CS140" s="246">
        <v>150.20504830593299</v>
      </c>
      <c r="CT140" s="246">
        <v>149.5857082096974</v>
      </c>
      <c r="CU140" s="246">
        <v>148.91234568897329</v>
      </c>
      <c r="CV140" s="246">
        <v>148.28786193662279</v>
      </c>
      <c r="CW140" s="246">
        <v>147.6601639217026</v>
      </c>
      <c r="CX140" s="246">
        <v>147.06311551907339</v>
      </c>
      <c r="CY140" s="246">
        <v>146.16969741926721</v>
      </c>
      <c r="CZ140" s="246">
        <v>145.27374371185331</v>
      </c>
      <c r="DA140" s="246">
        <v>144.37516536965919</v>
      </c>
      <c r="DB140" s="246">
        <v>143.47390279120731</v>
      </c>
    </row>
    <row r="142" spans="1:106" s="11" customFormat="1" ht="21" x14ac:dyDescent="0.5">
      <c r="A142" s="11" t="s">
        <v>73</v>
      </c>
    </row>
    <row r="143" spans="1:106" s="219" customFormat="1" x14ac:dyDescent="0.35">
      <c r="A143" s="29" t="s">
        <v>0</v>
      </c>
      <c r="B143" s="29"/>
      <c r="C143" s="332" t="s">
        <v>697</v>
      </c>
      <c r="D143" s="332"/>
      <c r="E143" s="332"/>
      <c r="F143" s="332"/>
      <c r="G143" s="332"/>
      <c r="H143" s="332"/>
      <c r="I143" s="332"/>
      <c r="J143" s="332"/>
      <c r="K143" s="332"/>
      <c r="L143" s="332"/>
      <c r="M143" s="332"/>
      <c r="N143" s="332"/>
      <c r="O143" s="332"/>
      <c r="P143" s="332"/>
      <c r="Q143" s="332"/>
      <c r="R143" s="332"/>
      <c r="S143" s="332"/>
      <c r="T143" s="332"/>
      <c r="U143" s="332"/>
      <c r="V143" s="332"/>
      <c r="W143" s="332"/>
      <c r="X143" s="332"/>
      <c r="Y143" s="332"/>
      <c r="Z143" s="332"/>
      <c r="AA143" s="332"/>
      <c r="AB143" s="332"/>
      <c r="AC143" s="333" t="s">
        <v>698</v>
      </c>
      <c r="AD143" s="333"/>
      <c r="AE143" s="333"/>
      <c r="AF143" s="333"/>
      <c r="AG143" s="333"/>
      <c r="AH143" s="333"/>
      <c r="AI143" s="333"/>
      <c r="AJ143" s="333"/>
      <c r="AK143" s="333"/>
      <c r="AL143" s="333"/>
      <c r="AM143" s="333"/>
      <c r="AN143" s="333"/>
      <c r="AO143" s="333"/>
      <c r="AP143" s="333"/>
      <c r="AQ143" s="333"/>
      <c r="AR143" s="333"/>
      <c r="AS143" s="333"/>
      <c r="AT143" s="333"/>
      <c r="AU143" s="333"/>
      <c r="AV143" s="333"/>
      <c r="AW143" s="333"/>
      <c r="AX143" s="333"/>
      <c r="AY143" s="333"/>
      <c r="AZ143" s="333"/>
      <c r="BA143" s="333"/>
      <c r="BB143" s="333"/>
      <c r="BC143" s="334" t="s">
        <v>756</v>
      </c>
      <c r="BD143" s="335"/>
      <c r="BE143" s="335"/>
      <c r="BF143" s="335"/>
      <c r="BG143" s="335"/>
      <c r="BH143" s="335"/>
      <c r="BI143" s="335"/>
      <c r="BJ143" s="335"/>
      <c r="BK143" s="335"/>
      <c r="BL143" s="335"/>
      <c r="BM143" s="335"/>
      <c r="BN143" s="335"/>
      <c r="BO143" s="335"/>
      <c r="BP143" s="335"/>
      <c r="BQ143" s="335"/>
      <c r="BR143" s="335"/>
      <c r="BS143" s="335"/>
      <c r="BT143" s="335"/>
      <c r="BU143" s="335"/>
      <c r="BV143" s="335"/>
      <c r="BW143" s="335"/>
      <c r="BX143" s="335"/>
      <c r="BY143" s="335"/>
      <c r="BZ143" s="335"/>
      <c r="CA143" s="335"/>
      <c r="CB143" s="336"/>
      <c r="CC143" s="337" t="s">
        <v>699</v>
      </c>
      <c r="CD143" s="337"/>
      <c r="CE143" s="337"/>
      <c r="CF143" s="337"/>
      <c r="CG143" s="337"/>
      <c r="CH143" s="337"/>
      <c r="CI143" s="337"/>
      <c r="CJ143" s="337"/>
      <c r="CK143" s="337"/>
      <c r="CL143" s="337"/>
      <c r="CM143" s="337"/>
      <c r="CN143" s="337"/>
      <c r="CO143" s="337"/>
      <c r="CP143" s="337"/>
      <c r="CQ143" s="337"/>
      <c r="CR143" s="337"/>
      <c r="CS143" s="337"/>
      <c r="CT143" s="337"/>
      <c r="CU143" s="337"/>
      <c r="CV143" s="337"/>
      <c r="CW143" s="337"/>
      <c r="CX143" s="337"/>
      <c r="CY143" s="337"/>
      <c r="CZ143" s="337"/>
      <c r="DA143" s="337"/>
      <c r="DB143" s="337"/>
    </row>
    <row r="144" spans="1:106" s="219" customFormat="1" x14ac:dyDescent="0.35">
      <c r="A144" s="29" t="s">
        <v>1</v>
      </c>
      <c r="B144" s="29" t="s">
        <v>180</v>
      </c>
      <c r="C144" s="222" t="s">
        <v>8</v>
      </c>
      <c r="D144" s="222" t="s">
        <v>74</v>
      </c>
      <c r="E144" s="222" t="s">
        <v>75</v>
      </c>
      <c r="F144" s="222" t="s">
        <v>76</v>
      </c>
      <c r="G144" s="222" t="s">
        <v>77</v>
      </c>
      <c r="H144" s="222" t="s">
        <v>9</v>
      </c>
      <c r="I144" s="222" t="s">
        <v>78</v>
      </c>
      <c r="J144" s="222" t="s">
        <v>79</v>
      </c>
      <c r="K144" s="222" t="s">
        <v>80</v>
      </c>
      <c r="L144" s="222" t="s">
        <v>81</v>
      </c>
      <c r="M144" s="222" t="s">
        <v>10</v>
      </c>
      <c r="N144" s="222" t="s">
        <v>82</v>
      </c>
      <c r="O144" s="222" t="s">
        <v>83</v>
      </c>
      <c r="P144" s="222" t="s">
        <v>84</v>
      </c>
      <c r="Q144" s="222" t="s">
        <v>85</v>
      </c>
      <c r="R144" s="222" t="s">
        <v>11</v>
      </c>
      <c r="S144" s="222" t="s">
        <v>86</v>
      </c>
      <c r="T144" s="222" t="s">
        <v>87</v>
      </c>
      <c r="U144" s="222" t="s">
        <v>88</v>
      </c>
      <c r="V144" s="222" t="s">
        <v>89</v>
      </c>
      <c r="W144" s="222" t="s">
        <v>12</v>
      </c>
      <c r="X144" s="222" t="s">
        <v>90</v>
      </c>
      <c r="Y144" s="222" t="s">
        <v>91</v>
      </c>
      <c r="Z144" s="222" t="s">
        <v>92</v>
      </c>
      <c r="AA144" s="222" t="s">
        <v>93</v>
      </c>
      <c r="AB144" s="222" t="s">
        <v>13</v>
      </c>
      <c r="AC144" s="223" t="s">
        <v>8</v>
      </c>
      <c r="AD144" s="223" t="s">
        <v>74</v>
      </c>
      <c r="AE144" s="223" t="s">
        <v>75</v>
      </c>
      <c r="AF144" s="223" t="s">
        <v>76</v>
      </c>
      <c r="AG144" s="223" t="s">
        <v>77</v>
      </c>
      <c r="AH144" s="223" t="s">
        <v>9</v>
      </c>
      <c r="AI144" s="223" t="s">
        <v>78</v>
      </c>
      <c r="AJ144" s="223" t="s">
        <v>79</v>
      </c>
      <c r="AK144" s="223" t="s">
        <v>80</v>
      </c>
      <c r="AL144" s="223" t="s">
        <v>81</v>
      </c>
      <c r="AM144" s="223" t="s">
        <v>10</v>
      </c>
      <c r="AN144" s="223" t="s">
        <v>82</v>
      </c>
      <c r="AO144" s="223" t="s">
        <v>83</v>
      </c>
      <c r="AP144" s="223" t="s">
        <v>84</v>
      </c>
      <c r="AQ144" s="223" t="s">
        <v>85</v>
      </c>
      <c r="AR144" s="223" t="s">
        <v>11</v>
      </c>
      <c r="AS144" s="223" t="s">
        <v>86</v>
      </c>
      <c r="AT144" s="223" t="s">
        <v>87</v>
      </c>
      <c r="AU144" s="223" t="s">
        <v>88</v>
      </c>
      <c r="AV144" s="223" t="s">
        <v>89</v>
      </c>
      <c r="AW144" s="223" t="s">
        <v>12</v>
      </c>
      <c r="AX144" s="223" t="s">
        <v>90</v>
      </c>
      <c r="AY144" s="223" t="s">
        <v>91</v>
      </c>
      <c r="AZ144" s="223" t="s">
        <v>92</v>
      </c>
      <c r="BA144" s="223" t="s">
        <v>93</v>
      </c>
      <c r="BB144" s="223" t="s">
        <v>13</v>
      </c>
      <c r="BC144" s="225" t="s">
        <v>8</v>
      </c>
      <c r="BD144" s="225" t="s">
        <v>74</v>
      </c>
      <c r="BE144" s="225" t="s">
        <v>75</v>
      </c>
      <c r="BF144" s="225" t="s">
        <v>76</v>
      </c>
      <c r="BG144" s="225" t="s">
        <v>77</v>
      </c>
      <c r="BH144" s="225" t="s">
        <v>9</v>
      </c>
      <c r="BI144" s="225" t="s">
        <v>78</v>
      </c>
      <c r="BJ144" s="225" t="s">
        <v>79</v>
      </c>
      <c r="BK144" s="225" t="s">
        <v>80</v>
      </c>
      <c r="BL144" s="225" t="s">
        <v>81</v>
      </c>
      <c r="BM144" s="225" t="s">
        <v>10</v>
      </c>
      <c r="BN144" s="225" t="s">
        <v>82</v>
      </c>
      <c r="BO144" s="225" t="s">
        <v>83</v>
      </c>
      <c r="BP144" s="225" t="s">
        <v>84</v>
      </c>
      <c r="BQ144" s="225" t="s">
        <v>85</v>
      </c>
      <c r="BR144" s="225" t="s">
        <v>11</v>
      </c>
      <c r="BS144" s="225" t="s">
        <v>86</v>
      </c>
      <c r="BT144" s="225" t="s">
        <v>87</v>
      </c>
      <c r="BU144" s="225" t="s">
        <v>88</v>
      </c>
      <c r="BV144" s="225" t="s">
        <v>89</v>
      </c>
      <c r="BW144" s="225" t="s">
        <v>12</v>
      </c>
      <c r="BX144" s="225" t="s">
        <v>90</v>
      </c>
      <c r="BY144" s="225" t="s">
        <v>91</v>
      </c>
      <c r="BZ144" s="225" t="s">
        <v>92</v>
      </c>
      <c r="CA144" s="225" t="s">
        <v>93</v>
      </c>
      <c r="CB144" s="225" t="s">
        <v>13</v>
      </c>
      <c r="CC144" s="224" t="s">
        <v>8</v>
      </c>
      <c r="CD144" s="224" t="s">
        <v>74</v>
      </c>
      <c r="CE144" s="224" t="s">
        <v>75</v>
      </c>
      <c r="CF144" s="224" t="s">
        <v>76</v>
      </c>
      <c r="CG144" s="224" t="s">
        <v>77</v>
      </c>
      <c r="CH144" s="224" t="s">
        <v>9</v>
      </c>
      <c r="CI144" s="224" t="s">
        <v>78</v>
      </c>
      <c r="CJ144" s="224" t="s">
        <v>79</v>
      </c>
      <c r="CK144" s="224" t="s">
        <v>80</v>
      </c>
      <c r="CL144" s="224" t="s">
        <v>81</v>
      </c>
      <c r="CM144" s="224" t="s">
        <v>10</v>
      </c>
      <c r="CN144" s="224" t="s">
        <v>82</v>
      </c>
      <c r="CO144" s="224" t="s">
        <v>83</v>
      </c>
      <c r="CP144" s="224" t="s">
        <v>84</v>
      </c>
      <c r="CQ144" s="224" t="s">
        <v>85</v>
      </c>
      <c r="CR144" s="224" t="s">
        <v>11</v>
      </c>
      <c r="CS144" s="224" t="s">
        <v>86</v>
      </c>
      <c r="CT144" s="224" t="s">
        <v>87</v>
      </c>
      <c r="CU144" s="224" t="s">
        <v>88</v>
      </c>
      <c r="CV144" s="224" t="s">
        <v>89</v>
      </c>
      <c r="CW144" s="224" t="s">
        <v>12</v>
      </c>
      <c r="CX144" s="224" t="s">
        <v>90</v>
      </c>
      <c r="CY144" s="224" t="s">
        <v>91</v>
      </c>
      <c r="CZ144" s="224" t="s">
        <v>92</v>
      </c>
      <c r="DA144" s="224" t="s">
        <v>93</v>
      </c>
      <c r="DB144" s="224" t="s">
        <v>13</v>
      </c>
    </row>
    <row r="146" spans="1:106" s="219" customFormat="1" x14ac:dyDescent="0.35">
      <c r="A146" s="128" t="s">
        <v>745</v>
      </c>
      <c r="B146" s="31" t="s">
        <v>769</v>
      </c>
      <c r="C146" s="238">
        <v>5.494324427447334E-6</v>
      </c>
      <c r="D146" s="238">
        <v>5.4364709650926696E-6</v>
      </c>
      <c r="E146" s="238">
        <v>5.3776620779415624E-6</v>
      </c>
      <c r="F146" s="238">
        <v>5.308265697952326E-6</v>
      </c>
      <c r="G146" s="238">
        <v>5.2475185804148761E-6</v>
      </c>
      <c r="H146" s="238">
        <v>5.1860347874431974E-6</v>
      </c>
      <c r="I146" s="238">
        <v>5.1172351292501353E-6</v>
      </c>
      <c r="J146" s="238">
        <v>5.051173406815483E-6</v>
      </c>
      <c r="K146" s="238">
        <v>4.9832958841196681E-6</v>
      </c>
      <c r="L146" s="238">
        <v>4.9168648353207637E-6</v>
      </c>
      <c r="M146" s="238">
        <v>4.8502670571239779E-6</v>
      </c>
      <c r="N146" s="238">
        <v>4.773917573467133E-6</v>
      </c>
      <c r="O146" s="238">
        <v>4.6984044922010013E-6</v>
      </c>
      <c r="P146" s="238">
        <v>4.6226704320770513E-6</v>
      </c>
      <c r="Q146" s="238">
        <v>4.548662893941639E-6</v>
      </c>
      <c r="R146" s="238">
        <v>4.4752743801550062E-6</v>
      </c>
      <c r="S146" s="238">
        <v>4.4292389193142841E-6</v>
      </c>
      <c r="T146" s="238">
        <v>4.3837383068179491E-6</v>
      </c>
      <c r="U146" s="238">
        <v>4.3378111758754702E-6</v>
      </c>
      <c r="V146" s="238">
        <v>4.2931056583612879E-6</v>
      </c>
      <c r="W146" s="238">
        <v>4.2486366885081532E-6</v>
      </c>
      <c r="X146" s="238">
        <v>4.405643180047163E-6</v>
      </c>
      <c r="Y146" s="238">
        <v>4.4003174866997256E-6</v>
      </c>
      <c r="Z146" s="238">
        <v>4.3950478899372384E-6</v>
      </c>
      <c r="AA146" s="238">
        <v>4.3898352483239434E-6</v>
      </c>
      <c r="AB146" s="238">
        <v>4.3846833178026824E-6</v>
      </c>
      <c r="AC146" s="241">
        <v>5.4717727013657311E-8</v>
      </c>
      <c r="AD146" s="241">
        <v>5.4170352676017797E-8</v>
      </c>
      <c r="AE146" s="241">
        <v>5.3596563716202703E-8</v>
      </c>
      <c r="AF146" s="241">
        <v>5.2937969452855373E-8</v>
      </c>
      <c r="AG146" s="241">
        <v>5.2314079130156628E-8</v>
      </c>
      <c r="AH146" s="241">
        <v>5.1665382594538781E-8</v>
      </c>
      <c r="AI146" s="241">
        <v>5.1135070445714848E-8</v>
      </c>
      <c r="AJ146" s="241">
        <v>5.0595360862359042E-8</v>
      </c>
      <c r="AK146" s="241">
        <v>5.0003889356759488E-8</v>
      </c>
      <c r="AL146" s="241">
        <v>4.9435939008485262E-8</v>
      </c>
      <c r="AM146" s="241">
        <v>4.8852311168805113E-8</v>
      </c>
      <c r="AN146" s="241">
        <v>4.842930105303891E-8</v>
      </c>
      <c r="AO146" s="241">
        <v>4.8006197606363782E-8</v>
      </c>
      <c r="AP146" s="241">
        <v>4.7567885208709513E-8</v>
      </c>
      <c r="AQ146" s="241">
        <v>4.7144168617381532E-8</v>
      </c>
      <c r="AR146" s="241">
        <v>4.6720465712813248E-8</v>
      </c>
      <c r="AS146" s="241">
        <v>4.6498569771493249E-8</v>
      </c>
      <c r="AT146" s="241">
        <v>4.627857450029374E-8</v>
      </c>
      <c r="AU146" s="241">
        <v>4.6045287148571712E-8</v>
      </c>
      <c r="AV146" s="241">
        <v>4.5833366216563059E-8</v>
      </c>
      <c r="AW146" s="241">
        <v>4.5630482803810643E-8</v>
      </c>
      <c r="AX146" s="241">
        <v>4.5967644177211367E-8</v>
      </c>
      <c r="AY146" s="241">
        <v>4.5945498482261013E-8</v>
      </c>
      <c r="AZ146" s="241">
        <v>4.5923667208141662E-8</v>
      </c>
      <c r="BA146" s="241">
        <v>4.5902168943841763E-8</v>
      </c>
      <c r="BB146" s="241">
        <v>4.5881040681262172E-8</v>
      </c>
      <c r="BC146" s="244">
        <v>0.87876149518935898</v>
      </c>
      <c r="BD146" s="244">
        <v>0.87335721554538603</v>
      </c>
      <c r="BE146" s="244">
        <v>0.86774592123121996</v>
      </c>
      <c r="BF146" s="244">
        <v>0.85738114275592081</v>
      </c>
      <c r="BG146" s="244">
        <v>0.85136233119711169</v>
      </c>
      <c r="BH146" s="244">
        <v>0.84511433541670877</v>
      </c>
      <c r="BI146" s="244">
        <v>0.84461982188752016</v>
      </c>
      <c r="BJ146" s="244">
        <v>0.84415978583253337</v>
      </c>
      <c r="BK146" s="244">
        <v>0.84054789428141063</v>
      </c>
      <c r="BL146" s="244">
        <v>0.84001284449065661</v>
      </c>
      <c r="BM146" s="244">
        <v>0.8393831530615451</v>
      </c>
      <c r="BN146" s="244">
        <v>0.83441871106394638</v>
      </c>
      <c r="BO146" s="244">
        <v>0.82949984904463958</v>
      </c>
      <c r="BP146" s="244">
        <v>0.82375592212069992</v>
      </c>
      <c r="BQ146" s="244">
        <v>0.81893843022431545</v>
      </c>
      <c r="BR146" s="244">
        <v>0.81415751330000419</v>
      </c>
      <c r="BS146" s="244">
        <v>0.80978178445514581</v>
      </c>
      <c r="BT146" s="244">
        <v>0.80544247322474771</v>
      </c>
      <c r="BU146" s="244">
        <v>0.8003219554292178</v>
      </c>
      <c r="BV146" s="244">
        <v>0.79608519459887161</v>
      </c>
      <c r="BW146" s="244">
        <v>0.79187199928016483</v>
      </c>
      <c r="BX146" s="244">
        <v>0.79073514640302445</v>
      </c>
      <c r="BY146" s="244">
        <v>0.78961772183091172</v>
      </c>
      <c r="BZ146" s="244">
        <v>0.78851485518431907</v>
      </c>
      <c r="CA146" s="244">
        <v>0.78742566124628377</v>
      </c>
      <c r="CB146" s="244">
        <v>0.78634975460652479</v>
      </c>
      <c r="CC146" s="247">
        <v>13.644089514626611</v>
      </c>
      <c r="CD146" s="247">
        <v>13.31392481015383</v>
      </c>
      <c r="CE146" s="247">
        <v>12.97885763023759</v>
      </c>
      <c r="CF146" s="247">
        <v>12.599937739223421</v>
      </c>
      <c r="CG146" s="247">
        <v>12.253694345079801</v>
      </c>
      <c r="CH146" s="247">
        <v>11.901496001498099</v>
      </c>
      <c r="CI146" s="247">
        <v>11.562481070496821</v>
      </c>
      <c r="CJ146" s="247">
        <v>11.228396735514989</v>
      </c>
      <c r="CK146" s="247">
        <v>10.8723822476425</v>
      </c>
      <c r="CL146" s="247">
        <v>10.53884491548753</v>
      </c>
      <c r="CM146" s="247">
        <v>10.203509263135929</v>
      </c>
      <c r="CN146" s="247">
        <v>9.8197670008210931</v>
      </c>
      <c r="CO146" s="247">
        <v>9.4403729603788786</v>
      </c>
      <c r="CP146" s="247">
        <v>9.0589374210361822</v>
      </c>
      <c r="CQ146" s="247">
        <v>8.6878839577557105</v>
      </c>
      <c r="CR146" s="247">
        <v>8.3209431522938999</v>
      </c>
      <c r="CS146" s="247">
        <v>8.0706430652542114</v>
      </c>
      <c r="CT146" s="247">
        <v>7.8237451872655006</v>
      </c>
      <c r="CU146" s="247">
        <v>7.5750985471660286</v>
      </c>
      <c r="CV146" s="247">
        <v>7.3354057715255969</v>
      </c>
      <c r="CW146" s="247">
        <v>7.1000295332654124</v>
      </c>
      <c r="CX146" s="247">
        <v>7.0592753347141102</v>
      </c>
      <c r="CY146" s="247">
        <v>7.0120934110982871</v>
      </c>
      <c r="CZ146" s="247">
        <v>6.9654967291739629</v>
      </c>
      <c r="DA146" s="247">
        <v>6.9194876873624178</v>
      </c>
      <c r="DB146" s="247">
        <v>6.8740791038622424</v>
      </c>
    </row>
    <row r="147" spans="1:106" s="219" customFormat="1" x14ac:dyDescent="0.35">
      <c r="A147" s="128" t="s">
        <v>746</v>
      </c>
      <c r="B147" s="31" t="s">
        <v>769</v>
      </c>
      <c r="C147" s="238">
        <v>5.494324427447334E-6</v>
      </c>
      <c r="D147" s="238">
        <v>5.4364709650926696E-6</v>
      </c>
      <c r="E147" s="238">
        <v>5.3776620779415624E-6</v>
      </c>
      <c r="F147" s="238">
        <v>5.308265697952326E-6</v>
      </c>
      <c r="G147" s="238">
        <v>5.2475185804148761E-6</v>
      </c>
      <c r="H147" s="238">
        <v>5.1860347874431974E-6</v>
      </c>
      <c r="I147" s="238">
        <v>5.1172351292501353E-6</v>
      </c>
      <c r="J147" s="238">
        <v>5.051173406815483E-6</v>
      </c>
      <c r="K147" s="238">
        <v>4.9832958841196681E-6</v>
      </c>
      <c r="L147" s="238">
        <v>4.9168648353207637E-6</v>
      </c>
      <c r="M147" s="238">
        <v>4.8502670571239779E-6</v>
      </c>
      <c r="N147" s="238">
        <v>4.773917573467133E-6</v>
      </c>
      <c r="O147" s="238">
        <v>4.6984044922010013E-6</v>
      </c>
      <c r="P147" s="238">
        <v>4.6226704320770513E-6</v>
      </c>
      <c r="Q147" s="238">
        <v>4.548662893941639E-6</v>
      </c>
      <c r="R147" s="238">
        <v>4.4752743801550062E-6</v>
      </c>
      <c r="S147" s="238">
        <v>4.4292389193142841E-6</v>
      </c>
      <c r="T147" s="238">
        <v>4.3837383068179491E-6</v>
      </c>
      <c r="U147" s="238">
        <v>4.3378111758754702E-6</v>
      </c>
      <c r="V147" s="238">
        <v>4.2931056583612879E-6</v>
      </c>
      <c r="W147" s="238">
        <v>4.2486366885081532E-6</v>
      </c>
      <c r="X147" s="238">
        <v>4.405643180047163E-6</v>
      </c>
      <c r="Y147" s="238">
        <v>4.4003174866997256E-6</v>
      </c>
      <c r="Z147" s="238">
        <v>4.3950478899372384E-6</v>
      </c>
      <c r="AA147" s="238">
        <v>4.3898352483239434E-6</v>
      </c>
      <c r="AB147" s="238">
        <v>4.3846833178026824E-6</v>
      </c>
      <c r="AC147" s="241">
        <v>5.4717727013657311E-8</v>
      </c>
      <c r="AD147" s="241">
        <v>5.4170352676017797E-8</v>
      </c>
      <c r="AE147" s="241">
        <v>5.3596563716202703E-8</v>
      </c>
      <c r="AF147" s="241">
        <v>5.2937969452855373E-8</v>
      </c>
      <c r="AG147" s="241">
        <v>5.2314079130156628E-8</v>
      </c>
      <c r="AH147" s="241">
        <v>5.1665382594538781E-8</v>
      </c>
      <c r="AI147" s="241">
        <v>5.1135070445714848E-8</v>
      </c>
      <c r="AJ147" s="241">
        <v>5.0595360862359042E-8</v>
      </c>
      <c r="AK147" s="241">
        <v>5.0003889356759488E-8</v>
      </c>
      <c r="AL147" s="241">
        <v>4.9435939008485262E-8</v>
      </c>
      <c r="AM147" s="241">
        <v>4.8852311168805113E-8</v>
      </c>
      <c r="AN147" s="241">
        <v>4.842930105303891E-8</v>
      </c>
      <c r="AO147" s="241">
        <v>4.8006197606363782E-8</v>
      </c>
      <c r="AP147" s="241">
        <v>4.7567885208709513E-8</v>
      </c>
      <c r="AQ147" s="241">
        <v>4.7144168617381532E-8</v>
      </c>
      <c r="AR147" s="241">
        <v>4.6720465712813248E-8</v>
      </c>
      <c r="AS147" s="241">
        <v>4.6498569771493249E-8</v>
      </c>
      <c r="AT147" s="241">
        <v>4.627857450029374E-8</v>
      </c>
      <c r="AU147" s="241">
        <v>4.6045287148571712E-8</v>
      </c>
      <c r="AV147" s="241">
        <v>4.5833366216563059E-8</v>
      </c>
      <c r="AW147" s="241">
        <v>4.5630482803810643E-8</v>
      </c>
      <c r="AX147" s="241">
        <v>4.5967644177211367E-8</v>
      </c>
      <c r="AY147" s="241">
        <v>4.5945498482261013E-8</v>
      </c>
      <c r="AZ147" s="241">
        <v>4.5923667208141662E-8</v>
      </c>
      <c r="BA147" s="241">
        <v>4.5902168943841763E-8</v>
      </c>
      <c r="BB147" s="241">
        <v>4.5881040681262172E-8</v>
      </c>
      <c r="BC147" s="244">
        <v>0.87876149518935898</v>
      </c>
      <c r="BD147" s="244">
        <v>0.87335721554538603</v>
      </c>
      <c r="BE147" s="244">
        <v>0.86774592123121996</v>
      </c>
      <c r="BF147" s="244">
        <v>0.85738114275592081</v>
      </c>
      <c r="BG147" s="244">
        <v>0.85136233119711169</v>
      </c>
      <c r="BH147" s="244">
        <v>0.84511433541670877</v>
      </c>
      <c r="BI147" s="244">
        <v>0.84461982188752016</v>
      </c>
      <c r="BJ147" s="244">
        <v>0.84415978583253337</v>
      </c>
      <c r="BK147" s="244">
        <v>0.84054789428141063</v>
      </c>
      <c r="BL147" s="244">
        <v>0.84001284449065661</v>
      </c>
      <c r="BM147" s="244">
        <v>0.8393831530615451</v>
      </c>
      <c r="BN147" s="244">
        <v>0.83441871106394638</v>
      </c>
      <c r="BO147" s="244">
        <v>0.82949984904463958</v>
      </c>
      <c r="BP147" s="244">
        <v>0.82375592212069992</v>
      </c>
      <c r="BQ147" s="244">
        <v>0.81893843022431545</v>
      </c>
      <c r="BR147" s="244">
        <v>0.81415751330000419</v>
      </c>
      <c r="BS147" s="244">
        <v>0.80978178445514581</v>
      </c>
      <c r="BT147" s="244">
        <v>0.80544247322474771</v>
      </c>
      <c r="BU147" s="244">
        <v>0.8003219554292178</v>
      </c>
      <c r="BV147" s="244">
        <v>0.79608519459887161</v>
      </c>
      <c r="BW147" s="244">
        <v>0.79187199928016483</v>
      </c>
      <c r="BX147" s="244">
        <v>0.79073514640302445</v>
      </c>
      <c r="BY147" s="244">
        <v>0.78961772183091172</v>
      </c>
      <c r="BZ147" s="244">
        <v>0.78851485518431907</v>
      </c>
      <c r="CA147" s="244">
        <v>0.78742566124628377</v>
      </c>
      <c r="CB147" s="244">
        <v>0.78634975460652479</v>
      </c>
      <c r="CC147" s="247">
        <v>13.644089514626611</v>
      </c>
      <c r="CD147" s="247">
        <v>13.31392481015383</v>
      </c>
      <c r="CE147" s="247">
        <v>12.97885763023759</v>
      </c>
      <c r="CF147" s="247">
        <v>12.599937739223421</v>
      </c>
      <c r="CG147" s="247">
        <v>12.253694345079801</v>
      </c>
      <c r="CH147" s="247">
        <v>11.901496001498099</v>
      </c>
      <c r="CI147" s="247">
        <v>11.562481070496821</v>
      </c>
      <c r="CJ147" s="247">
        <v>11.228396735514989</v>
      </c>
      <c r="CK147" s="247">
        <v>10.8723822476425</v>
      </c>
      <c r="CL147" s="247">
        <v>10.53884491548753</v>
      </c>
      <c r="CM147" s="247">
        <v>10.203509263135929</v>
      </c>
      <c r="CN147" s="247">
        <v>9.8197670008210931</v>
      </c>
      <c r="CO147" s="247">
        <v>9.4403729603788786</v>
      </c>
      <c r="CP147" s="247">
        <v>9.0589374210361822</v>
      </c>
      <c r="CQ147" s="247">
        <v>8.6878839577557105</v>
      </c>
      <c r="CR147" s="247">
        <v>8.3209431522938999</v>
      </c>
      <c r="CS147" s="247">
        <v>8.0706430652542114</v>
      </c>
      <c r="CT147" s="247">
        <v>7.8237451872655006</v>
      </c>
      <c r="CU147" s="247">
        <v>7.5750985471660286</v>
      </c>
      <c r="CV147" s="247">
        <v>7.3354057715255969</v>
      </c>
      <c r="CW147" s="247">
        <v>7.1000295332654124</v>
      </c>
      <c r="CX147" s="247">
        <v>7.0592753347141102</v>
      </c>
      <c r="CY147" s="247">
        <v>7.0120934110982871</v>
      </c>
      <c r="CZ147" s="247">
        <v>6.9654967291739629</v>
      </c>
      <c r="DA147" s="247">
        <v>6.9194876873624178</v>
      </c>
      <c r="DB147" s="247">
        <v>6.8740791038622424</v>
      </c>
    </row>
    <row r="148" spans="1:106" s="219" customFormat="1" x14ac:dyDescent="0.35">
      <c r="A148" s="235" t="s">
        <v>772</v>
      </c>
      <c r="B148" s="234" t="s">
        <v>774</v>
      </c>
      <c r="C148" s="238">
        <v>4.6629712658772141E-5</v>
      </c>
      <c r="D148" s="238">
        <v>4.6121305388136452E-5</v>
      </c>
      <c r="E148" s="238">
        <v>4.5603523518589587E-5</v>
      </c>
      <c r="F148" s="238">
        <v>4.5015663779854949E-5</v>
      </c>
      <c r="G148" s="238">
        <v>4.4480034246368688E-5</v>
      </c>
      <c r="H148" s="238">
        <v>4.3937183013351208E-5</v>
      </c>
      <c r="I148" s="238">
        <v>4.3322734815517932E-5</v>
      </c>
      <c r="J148" s="238">
        <v>4.2731923152405452E-5</v>
      </c>
      <c r="K148" s="238">
        <v>4.2133352491644913E-5</v>
      </c>
      <c r="L148" s="238">
        <v>4.1546490559184588E-5</v>
      </c>
      <c r="M148" s="238">
        <v>4.0958634887348718E-5</v>
      </c>
      <c r="N148" s="238">
        <v>4.027812148608156E-5</v>
      </c>
      <c r="O148" s="238">
        <v>3.960605867890518E-5</v>
      </c>
      <c r="P148" s="238">
        <v>3.8935015872916682E-5</v>
      </c>
      <c r="Q148" s="238">
        <v>3.8278646773945248E-5</v>
      </c>
      <c r="R148" s="238">
        <v>3.7629236293896073E-5</v>
      </c>
      <c r="S148" s="238">
        <v>3.7222119393546553E-5</v>
      </c>
      <c r="T148" s="238">
        <v>3.6820549941743067E-5</v>
      </c>
      <c r="U148" s="238">
        <v>3.6417943831722047E-5</v>
      </c>
      <c r="V148" s="238">
        <v>3.6025755203934607E-5</v>
      </c>
      <c r="W148" s="238">
        <v>3.5637919796429239E-5</v>
      </c>
      <c r="X148" s="238">
        <v>3.6214765288534782E-5</v>
      </c>
      <c r="Y148" s="238">
        <v>3.6164036985115303E-5</v>
      </c>
      <c r="Z148" s="238">
        <v>3.6113790844375648E-5</v>
      </c>
      <c r="AA148" s="238">
        <v>3.6064018849761608E-5</v>
      </c>
      <c r="AB148" s="238">
        <v>3.6014730113221777E-5</v>
      </c>
      <c r="AC148" s="241">
        <v>6.352805443030268E-7</v>
      </c>
      <c r="AD148" s="241">
        <v>6.2984033322023902E-7</v>
      </c>
      <c r="AE148" s="241">
        <v>6.2413548065893249E-7</v>
      </c>
      <c r="AF148" s="241">
        <v>6.1780552229306033E-7</v>
      </c>
      <c r="AG148" s="241">
        <v>6.1159716922492854E-7</v>
      </c>
      <c r="AH148" s="241">
        <v>6.0513699375586645E-7</v>
      </c>
      <c r="AI148" s="241">
        <v>5.9987373794577802E-7</v>
      </c>
      <c r="AJ148" s="241">
        <v>5.9450925422126098E-7</v>
      </c>
      <c r="AK148" s="241">
        <v>5.887751077219338E-7</v>
      </c>
      <c r="AL148" s="241">
        <v>5.8313047384182018E-7</v>
      </c>
      <c r="AM148" s="241">
        <v>5.7733581370015888E-7</v>
      </c>
      <c r="AN148" s="241">
        <v>5.7351174187046444E-7</v>
      </c>
      <c r="AO148" s="241">
        <v>5.6968813301920771E-7</v>
      </c>
      <c r="AP148" s="241">
        <v>5.6576443095812289E-7</v>
      </c>
      <c r="AQ148" s="241">
        <v>5.6193313012378346E-7</v>
      </c>
      <c r="AR148" s="241">
        <v>5.5809541869862367E-7</v>
      </c>
      <c r="AS148" s="241">
        <v>5.5605706350887977E-7</v>
      </c>
      <c r="AT148" s="241">
        <v>5.5402636864977935E-7</v>
      </c>
      <c r="AU148" s="241">
        <v>5.5190117123677279E-7</v>
      </c>
      <c r="AV148" s="241">
        <v>5.4989603173940378E-7</v>
      </c>
      <c r="AW148" s="241">
        <v>5.4791381021040319E-7</v>
      </c>
      <c r="AX148" s="241">
        <v>5.5312003024100615E-7</v>
      </c>
      <c r="AY148" s="241">
        <v>5.5288068984679691E-7</v>
      </c>
      <c r="AZ148" s="241">
        <v>5.5264419764883458E-7</v>
      </c>
      <c r="BA148" s="241">
        <v>5.524104696491189E-7</v>
      </c>
      <c r="BB148" s="241">
        <v>5.5217951097167118E-7</v>
      </c>
      <c r="BC148" s="244">
        <v>6.1996864846248991</v>
      </c>
      <c r="BD148" s="244">
        <v>6.1381679856646532</v>
      </c>
      <c r="BE148" s="244">
        <v>6.0748777494324644</v>
      </c>
      <c r="BF148" s="244">
        <v>5.9816148047247797</v>
      </c>
      <c r="BG148" s="244">
        <v>5.9148594465717794</v>
      </c>
      <c r="BH148" s="244">
        <v>5.846237049191374</v>
      </c>
      <c r="BI148" s="244">
        <v>5.840373527222062</v>
      </c>
      <c r="BJ148" s="244">
        <v>5.8347203192561503</v>
      </c>
      <c r="BK148" s="244">
        <v>5.8095044280495296</v>
      </c>
      <c r="BL148" s="244">
        <v>5.8029626647688914</v>
      </c>
      <c r="BM148" s="244">
        <v>5.7955584465123469</v>
      </c>
      <c r="BN148" s="244">
        <v>5.7557087219499916</v>
      </c>
      <c r="BO148" s="244">
        <v>5.7163510625233336</v>
      </c>
      <c r="BP148" s="244">
        <v>5.6718649263456156</v>
      </c>
      <c r="BQ148" s="244">
        <v>5.633568371425377</v>
      </c>
      <c r="BR148" s="244">
        <v>5.5957225620940561</v>
      </c>
      <c r="BS148" s="244">
        <v>5.5604259274764898</v>
      </c>
      <c r="BT148" s="244">
        <v>5.5254426441479598</v>
      </c>
      <c r="BU148" s="244">
        <v>5.4854796598740343</v>
      </c>
      <c r="BV148" s="244">
        <v>5.4511293530700682</v>
      </c>
      <c r="BW148" s="244">
        <v>5.4170264962093988</v>
      </c>
      <c r="BX148" s="244">
        <v>5.4060472491655354</v>
      </c>
      <c r="BY148" s="244">
        <v>5.395256717770863</v>
      </c>
      <c r="BZ148" s="244">
        <v>5.384608278053129</v>
      </c>
      <c r="CA148" s="244">
        <v>5.3740958423550778</v>
      </c>
      <c r="CB148" s="244">
        <v>5.3637172349542173</v>
      </c>
      <c r="CC148" s="247">
        <v>93.197965689968882</v>
      </c>
      <c r="CD148" s="247">
        <v>90.316681557470233</v>
      </c>
      <c r="CE148" s="247">
        <v>87.382123021834389</v>
      </c>
      <c r="CF148" s="247">
        <v>84.152729730429897</v>
      </c>
      <c r="CG148" s="247">
        <v>81.101904318919836</v>
      </c>
      <c r="CH148" s="247">
        <v>77.988928703045346</v>
      </c>
      <c r="CI148" s="247">
        <v>74.898553916587019</v>
      </c>
      <c r="CJ148" s="247">
        <v>71.848523252785512</v>
      </c>
      <c r="CK148" s="247">
        <v>68.666199989651403</v>
      </c>
      <c r="CL148" s="247">
        <v>65.617225076384614</v>
      </c>
      <c r="CM148" s="247">
        <v>62.552477952391442</v>
      </c>
      <c r="CN148" s="247">
        <v>59.178022758504973</v>
      </c>
      <c r="CO148" s="247">
        <v>55.845365591738378</v>
      </c>
      <c r="CP148" s="247">
        <v>52.512617309886771</v>
      </c>
      <c r="CQ148" s="247">
        <v>49.260441638843737</v>
      </c>
      <c r="CR148" s="247">
        <v>46.046936134598482</v>
      </c>
      <c r="CS148" s="247">
        <v>43.83733044706878</v>
      </c>
      <c r="CT148" s="247">
        <v>41.657769993230339</v>
      </c>
      <c r="CU148" s="247">
        <v>39.473194735050598</v>
      </c>
      <c r="CV148" s="247">
        <v>37.350011833876778</v>
      </c>
      <c r="CW148" s="247">
        <v>35.255070749096447</v>
      </c>
      <c r="CX148" s="247">
        <v>34.871851813894438</v>
      </c>
      <c r="CY148" s="247">
        <v>34.438453167213581</v>
      </c>
      <c r="CZ148" s="247">
        <v>34.010370921383839</v>
      </c>
      <c r="DA148" s="247">
        <v>33.587543524119859</v>
      </c>
      <c r="DB148" s="247">
        <v>33.169957387735913</v>
      </c>
    </row>
    <row r="149" spans="1:106" s="219" customFormat="1" x14ac:dyDescent="0.35">
      <c r="A149" s="235" t="s">
        <v>773</v>
      </c>
      <c r="B149" s="234" t="s">
        <v>774</v>
      </c>
      <c r="C149" s="238">
        <v>1.4860179771179541E-5</v>
      </c>
      <c r="D149" s="238">
        <v>1.47601892418102E-5</v>
      </c>
      <c r="E149" s="238">
        <v>1.4659635147577431E-5</v>
      </c>
      <c r="F149" s="238">
        <v>1.453626436157548E-5</v>
      </c>
      <c r="G149" s="238">
        <v>1.4435720465666161E-5</v>
      </c>
      <c r="H149" s="238">
        <v>1.4335444802371719E-5</v>
      </c>
      <c r="I149" s="238">
        <v>1.41877388074971E-5</v>
      </c>
      <c r="J149" s="238">
        <v>1.4056832858644851E-5</v>
      </c>
      <c r="K149" s="238">
        <v>1.392742734142921E-5</v>
      </c>
      <c r="L149" s="238">
        <v>1.3805219880256359E-5</v>
      </c>
      <c r="M149" s="238">
        <v>1.368307550824647E-5</v>
      </c>
      <c r="N149" s="238">
        <v>1.3517311956529379E-5</v>
      </c>
      <c r="O149" s="238">
        <v>1.3353119928925049E-5</v>
      </c>
      <c r="P149" s="238">
        <v>1.3187599428816401E-5</v>
      </c>
      <c r="Q149" s="238">
        <v>1.302609974241651E-5</v>
      </c>
      <c r="R149" s="238">
        <v>1.28656487760658E-5</v>
      </c>
      <c r="S149" s="238">
        <v>1.276013158033412E-5</v>
      </c>
      <c r="T149" s="238">
        <v>1.265585397581328E-5</v>
      </c>
      <c r="U149" s="238">
        <v>1.254998351647157E-5</v>
      </c>
      <c r="V149" s="238">
        <v>1.244698630338401E-5</v>
      </c>
      <c r="W149" s="238">
        <v>1.2344509182295951E-5</v>
      </c>
      <c r="X149" s="238">
        <v>1.2516351808510009E-5</v>
      </c>
      <c r="Y149" s="238">
        <v>1.250039473197404E-5</v>
      </c>
      <c r="Z149" s="238">
        <v>1.2484497713929299E-5</v>
      </c>
      <c r="AA149" s="238">
        <v>1.246866010653425E-5</v>
      </c>
      <c r="AB149" s="238">
        <v>1.245288896402613E-5</v>
      </c>
      <c r="AC149" s="241">
        <v>1.787350575978995E-7</v>
      </c>
      <c r="AD149" s="241">
        <v>1.779749077357351E-7</v>
      </c>
      <c r="AE149" s="241">
        <v>1.7718986695546939E-7</v>
      </c>
      <c r="AF149" s="241">
        <v>1.7624368454752889E-7</v>
      </c>
      <c r="AG149" s="241">
        <v>1.7541478767046309E-7</v>
      </c>
      <c r="AH149" s="241">
        <v>1.7456449648247341E-7</v>
      </c>
      <c r="AI149" s="241">
        <v>1.7395992958323439E-7</v>
      </c>
      <c r="AJ149" s="241">
        <v>1.7337530320746049E-7</v>
      </c>
      <c r="AK149" s="241">
        <v>1.726976387497903E-7</v>
      </c>
      <c r="AL149" s="241">
        <v>1.7209068874033409E-7</v>
      </c>
      <c r="AM149" s="241">
        <v>1.7146402172378561E-7</v>
      </c>
      <c r="AN149" s="241">
        <v>1.709441220434275E-7</v>
      </c>
      <c r="AO149" s="241">
        <v>1.704192345684313E-7</v>
      </c>
      <c r="AP149" s="241">
        <v>1.698503899706904E-7</v>
      </c>
      <c r="AQ149" s="241">
        <v>1.693132448562715E-7</v>
      </c>
      <c r="AR149" s="241">
        <v>1.6877048107382789E-7</v>
      </c>
      <c r="AS149" s="241">
        <v>1.6849619229480779E-7</v>
      </c>
      <c r="AT149" s="241">
        <v>1.682193254078701E-7</v>
      </c>
      <c r="AU149" s="241">
        <v>1.6789824738262401E-7</v>
      </c>
      <c r="AV149" s="241">
        <v>1.6761661026630131E-7</v>
      </c>
      <c r="AW149" s="241">
        <v>1.6733601611354939E-7</v>
      </c>
      <c r="AX149" s="241">
        <v>1.689232863393409E-7</v>
      </c>
      <c r="AY149" s="241">
        <v>1.689150729348494E-7</v>
      </c>
      <c r="AZ149" s="241">
        <v>1.6890691170431789E-7</v>
      </c>
      <c r="BA149" s="241">
        <v>1.6889879021780681E-7</v>
      </c>
      <c r="BB149" s="241">
        <v>1.688907303213944E-7</v>
      </c>
      <c r="BC149" s="244">
        <v>2.8333813134987591</v>
      </c>
      <c r="BD149" s="244">
        <v>2.8189978907161</v>
      </c>
      <c r="BE149" s="244">
        <v>2.8046229820306601</v>
      </c>
      <c r="BF149" s="244">
        <v>2.7796657374072362</v>
      </c>
      <c r="BG149" s="244">
        <v>2.765370245950888</v>
      </c>
      <c r="BH149" s="244">
        <v>2.751056812222008</v>
      </c>
      <c r="BI149" s="244">
        <v>2.7458189880845909</v>
      </c>
      <c r="BJ149" s="244">
        <v>2.7413197601589538</v>
      </c>
      <c r="BK149" s="244">
        <v>2.72984617558315</v>
      </c>
      <c r="BL149" s="244">
        <v>2.7258280292120789</v>
      </c>
      <c r="BM149" s="244">
        <v>2.721815070137632</v>
      </c>
      <c r="BN149" s="244">
        <v>2.7050674619036239</v>
      </c>
      <c r="BO149" s="244">
        <v>2.68846732949378</v>
      </c>
      <c r="BP149" s="244">
        <v>2.669825409366458</v>
      </c>
      <c r="BQ149" s="244">
        <v>2.6535400286731341</v>
      </c>
      <c r="BR149" s="244">
        <v>2.6373831519340998</v>
      </c>
      <c r="BS149" s="244">
        <v>2.624023153194476</v>
      </c>
      <c r="BT149" s="244">
        <v>2.6107741270504121</v>
      </c>
      <c r="BU149" s="244">
        <v>2.5955423493684062</v>
      </c>
      <c r="BV149" s="244">
        <v>2.582482341524865</v>
      </c>
      <c r="BW149" s="244">
        <v>2.5694915552610169</v>
      </c>
      <c r="BX149" s="244">
        <v>2.5650110689554269</v>
      </c>
      <c r="BY149" s="244">
        <v>2.5605709891753281</v>
      </c>
      <c r="BZ149" s="244">
        <v>2.5561618401693562</v>
      </c>
      <c r="CA149" s="244">
        <v>2.5517820419334911</v>
      </c>
      <c r="CB149" s="244">
        <v>2.547431240935115</v>
      </c>
      <c r="CC149" s="247">
        <v>32.432054320409208</v>
      </c>
      <c r="CD149" s="247">
        <v>31.89665302760227</v>
      </c>
      <c r="CE149" s="247">
        <v>31.3589271715196</v>
      </c>
      <c r="CF149" s="247">
        <v>30.730367161494449</v>
      </c>
      <c r="CG149" s="247">
        <v>30.188329295985181</v>
      </c>
      <c r="CH149" s="247">
        <v>29.642962826485089</v>
      </c>
      <c r="CI149" s="247">
        <v>28.93895491099391</v>
      </c>
      <c r="CJ149" s="247">
        <v>28.271225164940539</v>
      </c>
      <c r="CK149" s="247">
        <v>27.566144883294271</v>
      </c>
      <c r="CL149" s="247">
        <v>26.917143076964301</v>
      </c>
      <c r="CM149" s="247">
        <v>26.267234627538471</v>
      </c>
      <c r="CN149" s="247">
        <v>25.402406955471129</v>
      </c>
      <c r="CO149" s="247">
        <v>24.54416162334137</v>
      </c>
      <c r="CP149" s="247">
        <v>23.67645954051061</v>
      </c>
      <c r="CQ149" s="247">
        <v>22.83085230325165</v>
      </c>
      <c r="CR149" s="247">
        <v>21.991111569192132</v>
      </c>
      <c r="CS149" s="247">
        <v>21.382274048399129</v>
      </c>
      <c r="CT149" s="247">
        <v>20.779366957872611</v>
      </c>
      <c r="CU149" s="247">
        <v>20.1681631534023</v>
      </c>
      <c r="CV149" s="247">
        <v>19.5746940758001</v>
      </c>
      <c r="CW149" s="247">
        <v>18.986049259328681</v>
      </c>
      <c r="CX149" s="247">
        <v>18.889146113265099</v>
      </c>
      <c r="CY149" s="247">
        <v>18.76686467065899</v>
      </c>
      <c r="CZ149" s="247">
        <v>18.64538972385764</v>
      </c>
      <c r="DA149" s="247">
        <v>18.524716749141991</v>
      </c>
      <c r="DB149" s="247">
        <v>18.404861092366989</v>
      </c>
    </row>
    <row r="150" spans="1:106" s="219" customFormat="1" x14ac:dyDescent="0.35">
      <c r="A150" s="235" t="s">
        <v>747</v>
      </c>
      <c r="B150" s="234" t="s">
        <v>769</v>
      </c>
      <c r="C150" s="238">
        <v>6.4727661660868015E-5</v>
      </c>
      <c r="D150" s="238">
        <v>6.44252363122594E-5</v>
      </c>
      <c r="E150" s="238">
        <v>6.4120685700330042E-5</v>
      </c>
      <c r="F150" s="238">
        <v>6.3713858596984422E-5</v>
      </c>
      <c r="G150" s="238">
        <v>6.3405388887035347E-5</v>
      </c>
      <c r="H150" s="238">
        <v>6.309652031856942E-5</v>
      </c>
      <c r="I150" s="238">
        <v>6.2707468009166653E-5</v>
      </c>
      <c r="J150" s="238">
        <v>6.2327324278088121E-5</v>
      </c>
      <c r="K150" s="238">
        <v>6.1919341212695442E-5</v>
      </c>
      <c r="L150" s="238">
        <v>6.1540582682465561E-5</v>
      </c>
      <c r="M150" s="238">
        <v>6.1161362291872276E-5</v>
      </c>
      <c r="N150" s="238">
        <v>6.0720699925509791E-5</v>
      </c>
      <c r="O150" s="238">
        <v>6.0281469769035962E-5</v>
      </c>
      <c r="P150" s="238">
        <v>5.9833988009726341E-5</v>
      </c>
      <c r="Q150" s="238">
        <v>5.9397201456681077E-5</v>
      </c>
      <c r="R150" s="238">
        <v>5.8961063841045243E-5</v>
      </c>
      <c r="S150" s="238">
        <v>5.8709050539306921E-5</v>
      </c>
      <c r="T150" s="238">
        <v>5.8458339212095643E-5</v>
      </c>
      <c r="U150" s="238">
        <v>5.8200492792434048E-5</v>
      </c>
      <c r="V150" s="238">
        <v>5.7951973885386819E-5</v>
      </c>
      <c r="W150" s="238">
        <v>5.7704287600738948E-5</v>
      </c>
      <c r="X150" s="238">
        <v>5.8613089428327038E-5</v>
      </c>
      <c r="Y150" s="238">
        <v>5.8574759828293321E-5</v>
      </c>
      <c r="Z150" s="238">
        <v>5.8536571060605267E-5</v>
      </c>
      <c r="AA150" s="238">
        <v>5.8498519990334762E-5</v>
      </c>
      <c r="AB150" s="238">
        <v>5.84606125221279E-5</v>
      </c>
      <c r="AC150" s="241">
        <v>5.343223336871301E-7</v>
      </c>
      <c r="AD150" s="241">
        <v>5.3134042930213614E-7</v>
      </c>
      <c r="AE150" s="241">
        <v>5.2830293551020886E-7</v>
      </c>
      <c r="AF150" s="241">
        <v>5.2458764774094292E-7</v>
      </c>
      <c r="AG150" s="241">
        <v>5.2145943644511119E-7</v>
      </c>
      <c r="AH150" s="241">
        <v>5.1829191604733112E-7</v>
      </c>
      <c r="AI150" s="241">
        <v>5.1512489812248144E-7</v>
      </c>
      <c r="AJ150" s="241">
        <v>5.1194040277234067E-7</v>
      </c>
      <c r="AK150" s="241">
        <v>5.0830894096362999E-7</v>
      </c>
      <c r="AL150" s="241">
        <v>5.0505202506748754E-7</v>
      </c>
      <c r="AM150" s="241">
        <v>5.0176109663814469E-7</v>
      </c>
      <c r="AN150" s="241">
        <v>4.9892413023474658E-7</v>
      </c>
      <c r="AO150" s="241">
        <v>4.960696086298127E-7</v>
      </c>
      <c r="AP150" s="241">
        <v>4.930433691173531E-7</v>
      </c>
      <c r="AQ150" s="241">
        <v>4.9014622259920639E-7</v>
      </c>
      <c r="AR150" s="241">
        <v>4.8722898014281278E-7</v>
      </c>
      <c r="AS150" s="241">
        <v>4.8588341403045534E-7</v>
      </c>
      <c r="AT150" s="241">
        <v>4.8453234028579069E-7</v>
      </c>
      <c r="AU150" s="241">
        <v>4.8301037834087923E-7</v>
      </c>
      <c r="AV150" s="241">
        <v>4.816543249188229E-7</v>
      </c>
      <c r="AW150" s="241">
        <v>4.8030411929357251E-7</v>
      </c>
      <c r="AX150" s="241">
        <v>4.8397487993266181E-7</v>
      </c>
      <c r="AY150" s="241">
        <v>4.838058951179716E-7</v>
      </c>
      <c r="AZ150" s="241">
        <v>4.8363708756898366E-7</v>
      </c>
      <c r="BA150" s="241">
        <v>4.834684572406492E-7</v>
      </c>
      <c r="BB150" s="241">
        <v>4.8330005392403372E-7</v>
      </c>
      <c r="BC150" s="244">
        <v>17.470928202964931</v>
      </c>
      <c r="BD150" s="244">
        <v>17.42893904211931</v>
      </c>
      <c r="BE150" s="244">
        <v>17.38670140898655</v>
      </c>
      <c r="BF150" s="244">
        <v>17.296007421165619</v>
      </c>
      <c r="BG150" s="244">
        <v>17.253440665558941</v>
      </c>
      <c r="BH150" s="244">
        <v>17.210570103950019</v>
      </c>
      <c r="BI150" s="244">
        <v>17.20406698694579</v>
      </c>
      <c r="BJ150" s="244">
        <v>17.197784022150191</v>
      </c>
      <c r="BK150" s="244">
        <v>17.158190348886912</v>
      </c>
      <c r="BL150" s="244">
        <v>17.15215782784599</v>
      </c>
      <c r="BM150" s="244">
        <v>17.145931687196921</v>
      </c>
      <c r="BN150" s="244">
        <v>17.112026944162629</v>
      </c>
      <c r="BO150" s="244">
        <v>17.07814683693158</v>
      </c>
      <c r="BP150" s="244">
        <v>17.0353496225489</v>
      </c>
      <c r="BQ150" s="244">
        <v>17.001656344125639</v>
      </c>
      <c r="BR150" s="244">
        <v>16.96796205489472</v>
      </c>
      <c r="BS150" s="244">
        <v>16.94634699938576</v>
      </c>
      <c r="BT150" s="244">
        <v>16.924808165454891</v>
      </c>
      <c r="BU150" s="244">
        <v>16.894916082682851</v>
      </c>
      <c r="BV150" s="244">
        <v>16.873655899137479</v>
      </c>
      <c r="BW150" s="244">
        <v>16.852447726139591</v>
      </c>
      <c r="BX150" s="244">
        <v>16.843450701047551</v>
      </c>
      <c r="BY150" s="244">
        <v>16.83452051584775</v>
      </c>
      <c r="BZ150" s="244">
        <v>16.825630868088069</v>
      </c>
      <c r="CA150" s="244">
        <v>16.816778537751279</v>
      </c>
      <c r="CB150" s="244">
        <v>16.807962928961171</v>
      </c>
      <c r="CC150" s="247">
        <v>142.88691227715131</v>
      </c>
      <c r="CD150" s="247">
        <v>141.09818663498041</v>
      </c>
      <c r="CE150" s="247">
        <v>139.30725627391121</v>
      </c>
      <c r="CF150" s="247">
        <v>137.10460755146559</v>
      </c>
      <c r="CG150" s="247">
        <v>135.30476924186701</v>
      </c>
      <c r="CH150" s="247">
        <v>133.49817502871829</v>
      </c>
      <c r="CI150" s="247">
        <v>131.26613674992171</v>
      </c>
      <c r="CJ150" s="247">
        <v>129.0521494958123</v>
      </c>
      <c r="CK150" s="247">
        <v>126.5924254225653</v>
      </c>
      <c r="CL150" s="247">
        <v>124.3856023569966</v>
      </c>
      <c r="CM150" s="247">
        <v>122.17393654030209</v>
      </c>
      <c r="CN150" s="247">
        <v>119.6369306077399</v>
      </c>
      <c r="CO150" s="247">
        <v>117.1037650833706</v>
      </c>
      <c r="CP150" s="247">
        <v>114.51150596545141</v>
      </c>
      <c r="CQ150" s="247">
        <v>111.9861569059471</v>
      </c>
      <c r="CR150" s="247">
        <v>109.46362924270051</v>
      </c>
      <c r="CS150" s="247">
        <v>107.9661875318875</v>
      </c>
      <c r="CT150" s="247">
        <v>106.4772273154734</v>
      </c>
      <c r="CU150" s="247">
        <v>104.94416201014521</v>
      </c>
      <c r="CV150" s="247">
        <v>103.4723303216095</v>
      </c>
      <c r="CW150" s="247">
        <v>102.00901680352889</v>
      </c>
      <c r="CX150" s="247">
        <v>101.7076917180926</v>
      </c>
      <c r="CY150" s="247">
        <v>101.3476778892045</v>
      </c>
      <c r="CZ150" s="247">
        <v>100.9892533602344</v>
      </c>
      <c r="DA150" s="247">
        <v>100.63239786466249</v>
      </c>
      <c r="DB150" s="247">
        <v>100.2771197880635</v>
      </c>
    </row>
    <row r="152" spans="1:106" s="11" customFormat="1" ht="21" x14ac:dyDescent="0.5">
      <c r="A152" s="11" t="s">
        <v>94</v>
      </c>
    </row>
    <row r="153" spans="1:106" s="219" customFormat="1" x14ac:dyDescent="0.35">
      <c r="A153" s="29" t="s">
        <v>0</v>
      </c>
      <c r="B153" s="29"/>
      <c r="C153" s="332" t="s">
        <v>697</v>
      </c>
      <c r="D153" s="332"/>
      <c r="E153" s="332"/>
      <c r="F153" s="332"/>
      <c r="G153" s="332"/>
      <c r="H153" s="332"/>
      <c r="I153" s="332"/>
      <c r="J153" s="332"/>
      <c r="K153" s="332"/>
      <c r="L153" s="332"/>
      <c r="M153" s="332"/>
      <c r="N153" s="332"/>
      <c r="O153" s="332"/>
      <c r="P153" s="332"/>
      <c r="Q153" s="332"/>
      <c r="R153" s="332"/>
      <c r="S153" s="332"/>
      <c r="T153" s="332"/>
      <c r="U153" s="332"/>
      <c r="V153" s="332"/>
      <c r="W153" s="332"/>
      <c r="X153" s="332"/>
      <c r="Y153" s="332"/>
      <c r="Z153" s="332"/>
      <c r="AA153" s="332"/>
      <c r="AB153" s="332"/>
      <c r="AC153" s="333" t="s">
        <v>698</v>
      </c>
      <c r="AD153" s="333"/>
      <c r="AE153" s="333"/>
      <c r="AF153" s="333"/>
      <c r="AG153" s="333"/>
      <c r="AH153" s="333"/>
      <c r="AI153" s="333"/>
      <c r="AJ153" s="333"/>
      <c r="AK153" s="333"/>
      <c r="AL153" s="333"/>
      <c r="AM153" s="333"/>
      <c r="AN153" s="333"/>
      <c r="AO153" s="333"/>
      <c r="AP153" s="333"/>
      <c r="AQ153" s="333"/>
      <c r="AR153" s="333"/>
      <c r="AS153" s="333"/>
      <c r="AT153" s="333"/>
      <c r="AU153" s="333"/>
      <c r="AV153" s="333"/>
      <c r="AW153" s="333"/>
      <c r="AX153" s="333"/>
      <c r="AY153" s="333"/>
      <c r="AZ153" s="333"/>
      <c r="BA153" s="333"/>
      <c r="BB153" s="333"/>
      <c r="BC153" s="334" t="s">
        <v>756</v>
      </c>
      <c r="BD153" s="335"/>
      <c r="BE153" s="335"/>
      <c r="BF153" s="335"/>
      <c r="BG153" s="335"/>
      <c r="BH153" s="335"/>
      <c r="BI153" s="335"/>
      <c r="BJ153" s="335"/>
      <c r="BK153" s="335"/>
      <c r="BL153" s="335"/>
      <c r="BM153" s="335"/>
      <c r="BN153" s="335"/>
      <c r="BO153" s="335"/>
      <c r="BP153" s="335"/>
      <c r="BQ153" s="335"/>
      <c r="BR153" s="335"/>
      <c r="BS153" s="335"/>
      <c r="BT153" s="335"/>
      <c r="BU153" s="335"/>
      <c r="BV153" s="335"/>
      <c r="BW153" s="335"/>
      <c r="BX153" s="335"/>
      <c r="BY153" s="335"/>
      <c r="BZ153" s="335"/>
      <c r="CA153" s="335"/>
      <c r="CB153" s="336"/>
      <c r="CC153" s="337" t="s">
        <v>699</v>
      </c>
      <c r="CD153" s="337"/>
      <c r="CE153" s="337"/>
      <c r="CF153" s="337"/>
      <c r="CG153" s="337"/>
      <c r="CH153" s="337"/>
      <c r="CI153" s="337"/>
      <c r="CJ153" s="337"/>
      <c r="CK153" s="337"/>
      <c r="CL153" s="337"/>
      <c r="CM153" s="337"/>
      <c r="CN153" s="337"/>
      <c r="CO153" s="337"/>
      <c r="CP153" s="337"/>
      <c r="CQ153" s="337"/>
      <c r="CR153" s="337"/>
      <c r="CS153" s="337"/>
      <c r="CT153" s="337"/>
      <c r="CU153" s="337"/>
      <c r="CV153" s="337"/>
      <c r="CW153" s="337"/>
      <c r="CX153" s="337"/>
      <c r="CY153" s="337"/>
      <c r="CZ153" s="337"/>
      <c r="DA153" s="337"/>
      <c r="DB153" s="337"/>
    </row>
    <row r="154" spans="1:106" s="219" customFormat="1" x14ac:dyDescent="0.35">
      <c r="A154" s="29" t="s">
        <v>1</v>
      </c>
      <c r="B154" s="29" t="s">
        <v>180</v>
      </c>
      <c r="C154" s="222" t="s">
        <v>14</v>
      </c>
      <c r="D154" s="222" t="s">
        <v>95</v>
      </c>
      <c r="E154" s="222" t="s">
        <v>96</v>
      </c>
      <c r="F154" s="222" t="s">
        <v>97</v>
      </c>
      <c r="G154" s="222" t="s">
        <v>98</v>
      </c>
      <c r="H154" s="222" t="s">
        <v>15</v>
      </c>
      <c r="I154" s="222" t="s">
        <v>99</v>
      </c>
      <c r="J154" s="222" t="s">
        <v>100</v>
      </c>
      <c r="K154" s="222" t="s">
        <v>101</v>
      </c>
      <c r="L154" s="222" t="s">
        <v>102</v>
      </c>
      <c r="M154" s="222" t="s">
        <v>16</v>
      </c>
      <c r="N154" s="222" t="s">
        <v>103</v>
      </c>
      <c r="O154" s="222" t="s">
        <v>104</v>
      </c>
      <c r="P154" s="222" t="s">
        <v>105</v>
      </c>
      <c r="Q154" s="222" t="s">
        <v>106</v>
      </c>
      <c r="R154" s="222" t="s">
        <v>17</v>
      </c>
      <c r="S154" s="222" t="s">
        <v>107</v>
      </c>
      <c r="T154" s="222" t="s">
        <v>108</v>
      </c>
      <c r="U154" s="222" t="s">
        <v>109</v>
      </c>
      <c r="V154" s="222" t="s">
        <v>110</v>
      </c>
      <c r="W154" s="222" t="s">
        <v>18</v>
      </c>
      <c r="X154" s="222" t="s">
        <v>111</v>
      </c>
      <c r="Y154" s="222" t="s">
        <v>112</v>
      </c>
      <c r="Z154" s="222" t="s">
        <v>113</v>
      </c>
      <c r="AA154" s="222" t="s">
        <v>114</v>
      </c>
      <c r="AB154" s="222" t="s">
        <v>19</v>
      </c>
      <c r="AC154" s="223" t="s">
        <v>14</v>
      </c>
      <c r="AD154" s="223" t="s">
        <v>95</v>
      </c>
      <c r="AE154" s="223" t="s">
        <v>96</v>
      </c>
      <c r="AF154" s="223" t="s">
        <v>97</v>
      </c>
      <c r="AG154" s="223" t="s">
        <v>98</v>
      </c>
      <c r="AH154" s="223" t="s">
        <v>15</v>
      </c>
      <c r="AI154" s="223" t="s">
        <v>99</v>
      </c>
      <c r="AJ154" s="223" t="s">
        <v>100</v>
      </c>
      <c r="AK154" s="223" t="s">
        <v>101</v>
      </c>
      <c r="AL154" s="223" t="s">
        <v>102</v>
      </c>
      <c r="AM154" s="223" t="s">
        <v>16</v>
      </c>
      <c r="AN154" s="223" t="s">
        <v>103</v>
      </c>
      <c r="AO154" s="223" t="s">
        <v>104</v>
      </c>
      <c r="AP154" s="223" t="s">
        <v>105</v>
      </c>
      <c r="AQ154" s="223" t="s">
        <v>106</v>
      </c>
      <c r="AR154" s="223" t="s">
        <v>17</v>
      </c>
      <c r="AS154" s="223" t="s">
        <v>107</v>
      </c>
      <c r="AT154" s="223" t="s">
        <v>108</v>
      </c>
      <c r="AU154" s="223" t="s">
        <v>109</v>
      </c>
      <c r="AV154" s="223" t="s">
        <v>110</v>
      </c>
      <c r="AW154" s="223" t="s">
        <v>18</v>
      </c>
      <c r="AX154" s="223" t="s">
        <v>111</v>
      </c>
      <c r="AY154" s="223" t="s">
        <v>112</v>
      </c>
      <c r="AZ154" s="223" t="s">
        <v>113</v>
      </c>
      <c r="BA154" s="223" t="s">
        <v>114</v>
      </c>
      <c r="BB154" s="223" t="s">
        <v>19</v>
      </c>
      <c r="BC154" s="225" t="s">
        <v>14</v>
      </c>
      <c r="BD154" s="225" t="s">
        <v>95</v>
      </c>
      <c r="BE154" s="225" t="s">
        <v>96</v>
      </c>
      <c r="BF154" s="225" t="s">
        <v>97</v>
      </c>
      <c r="BG154" s="225" t="s">
        <v>98</v>
      </c>
      <c r="BH154" s="225" t="s">
        <v>15</v>
      </c>
      <c r="BI154" s="225" t="s">
        <v>99</v>
      </c>
      <c r="BJ154" s="225" t="s">
        <v>100</v>
      </c>
      <c r="BK154" s="225" t="s">
        <v>101</v>
      </c>
      <c r="BL154" s="225" t="s">
        <v>102</v>
      </c>
      <c r="BM154" s="225" t="s">
        <v>16</v>
      </c>
      <c r="BN154" s="225" t="s">
        <v>103</v>
      </c>
      <c r="BO154" s="225" t="s">
        <v>104</v>
      </c>
      <c r="BP154" s="225" t="s">
        <v>105</v>
      </c>
      <c r="BQ154" s="225" t="s">
        <v>106</v>
      </c>
      <c r="BR154" s="225" t="s">
        <v>17</v>
      </c>
      <c r="BS154" s="225" t="s">
        <v>107</v>
      </c>
      <c r="BT154" s="225" t="s">
        <v>108</v>
      </c>
      <c r="BU154" s="225" t="s">
        <v>109</v>
      </c>
      <c r="BV154" s="225" t="s">
        <v>110</v>
      </c>
      <c r="BW154" s="225" t="s">
        <v>18</v>
      </c>
      <c r="BX154" s="225" t="s">
        <v>111</v>
      </c>
      <c r="BY154" s="225" t="s">
        <v>112</v>
      </c>
      <c r="BZ154" s="225" t="s">
        <v>113</v>
      </c>
      <c r="CA154" s="225" t="s">
        <v>114</v>
      </c>
      <c r="CB154" s="225" t="s">
        <v>19</v>
      </c>
      <c r="CC154" s="224" t="s">
        <v>14</v>
      </c>
      <c r="CD154" s="224" t="s">
        <v>95</v>
      </c>
      <c r="CE154" s="224" t="s">
        <v>96</v>
      </c>
      <c r="CF154" s="224" t="s">
        <v>97</v>
      </c>
      <c r="CG154" s="224" t="s">
        <v>98</v>
      </c>
      <c r="CH154" s="224" t="s">
        <v>15</v>
      </c>
      <c r="CI154" s="224" t="s">
        <v>99</v>
      </c>
      <c r="CJ154" s="224" t="s">
        <v>100</v>
      </c>
      <c r="CK154" s="224" t="s">
        <v>101</v>
      </c>
      <c r="CL154" s="224" t="s">
        <v>102</v>
      </c>
      <c r="CM154" s="224" t="s">
        <v>16</v>
      </c>
      <c r="CN154" s="224" t="s">
        <v>103</v>
      </c>
      <c r="CO154" s="224" t="s">
        <v>104</v>
      </c>
      <c r="CP154" s="224" t="s">
        <v>105</v>
      </c>
      <c r="CQ154" s="224" t="s">
        <v>106</v>
      </c>
      <c r="CR154" s="224" t="s">
        <v>17</v>
      </c>
      <c r="CS154" s="224" t="s">
        <v>107</v>
      </c>
      <c r="CT154" s="224" t="s">
        <v>108</v>
      </c>
      <c r="CU154" s="224" t="s">
        <v>109</v>
      </c>
      <c r="CV154" s="224" t="s">
        <v>110</v>
      </c>
      <c r="CW154" s="224" t="s">
        <v>18</v>
      </c>
      <c r="CX154" s="224" t="s">
        <v>111</v>
      </c>
      <c r="CY154" s="224" t="s">
        <v>112</v>
      </c>
      <c r="CZ154" s="224" t="s">
        <v>113</v>
      </c>
      <c r="DA154" s="224" t="s">
        <v>114</v>
      </c>
      <c r="DB154" s="224" t="s">
        <v>19</v>
      </c>
    </row>
    <row r="156" spans="1:106" s="219" customFormat="1" x14ac:dyDescent="0.35">
      <c r="A156" s="128" t="s">
        <v>745</v>
      </c>
      <c r="B156" s="31" t="s">
        <v>769</v>
      </c>
      <c r="C156" s="239">
        <v>4.7846739532918884E-6</v>
      </c>
      <c r="D156" s="239">
        <v>4.6974585766614794E-6</v>
      </c>
      <c r="E156" s="239">
        <v>4.6097261041253964E-6</v>
      </c>
      <c r="F156" s="239">
        <v>4.5115244269411834E-6</v>
      </c>
      <c r="G156" s="239">
        <v>4.4215907163188782E-6</v>
      </c>
      <c r="H156" s="239">
        <v>4.3310854248273441E-6</v>
      </c>
      <c r="I156" s="239">
        <v>4.3164736860546901E-6</v>
      </c>
      <c r="J156" s="239">
        <v>4.3015976338491808E-6</v>
      </c>
      <c r="K156" s="239">
        <v>4.2835697130587414E-6</v>
      </c>
      <c r="L156" s="239">
        <v>4.2666022172841032E-6</v>
      </c>
      <c r="M156" s="239">
        <v>4.249477817596966E-6</v>
      </c>
      <c r="N156" s="239">
        <v>4.2383467902024632E-6</v>
      </c>
      <c r="O156" s="239">
        <v>4.2274183988340772E-6</v>
      </c>
      <c r="P156" s="239">
        <v>4.2156561181223374E-6</v>
      </c>
      <c r="Q156" s="239">
        <v>4.2049042869719083E-6</v>
      </c>
      <c r="R156" s="239">
        <v>4.1942824724918489E-6</v>
      </c>
      <c r="S156" s="239">
        <v>4.1837451044460658E-6</v>
      </c>
      <c r="T156" s="239">
        <v>4.1733174145592283E-6</v>
      </c>
      <c r="U156" s="239">
        <v>4.1622572719796568E-6</v>
      </c>
      <c r="V156" s="239">
        <v>4.1521143952961374E-6</v>
      </c>
      <c r="W156" s="239">
        <v>4.1438278089507429E-6</v>
      </c>
      <c r="X156" s="239">
        <v>4.2996833241437853E-6</v>
      </c>
      <c r="Y156" s="239">
        <v>4.2975853235690473E-6</v>
      </c>
      <c r="Z156" s="239">
        <v>4.2954959388116863E-6</v>
      </c>
      <c r="AA156" s="239">
        <v>4.2934148008697484E-6</v>
      </c>
      <c r="AB156" s="239">
        <v>4.291342103858599E-6</v>
      </c>
      <c r="AC156" s="242">
        <v>4.8208451814787328E-8</v>
      </c>
      <c r="AD156" s="242">
        <v>4.7747917310797672E-8</v>
      </c>
      <c r="AE156" s="242">
        <v>4.725416365259444E-8</v>
      </c>
      <c r="AF156" s="242">
        <v>4.6661422583218877E-8</v>
      </c>
      <c r="AG156" s="242">
        <v>4.6099229906297677E-8</v>
      </c>
      <c r="AH156" s="242">
        <v>4.5499186393372003E-8</v>
      </c>
      <c r="AI156" s="242">
        <v>4.5553068826403201E-8</v>
      </c>
      <c r="AJ156" s="242">
        <v>4.5599749597494931E-8</v>
      </c>
      <c r="AK156" s="242">
        <v>4.5594080019430661E-8</v>
      </c>
      <c r="AL156" s="242">
        <v>4.562754667483556E-8</v>
      </c>
      <c r="AM156" s="242">
        <v>4.5654957158994738E-8</v>
      </c>
      <c r="AN156" s="242">
        <v>4.5671906815420192E-8</v>
      </c>
      <c r="AO156" s="242">
        <v>4.5688815341262841E-8</v>
      </c>
      <c r="AP156" s="242">
        <v>4.5688187554451431E-8</v>
      </c>
      <c r="AQ156" s="242">
        <v>4.5703182663706901E-8</v>
      </c>
      <c r="AR156" s="242">
        <v>4.571620138634811E-8</v>
      </c>
      <c r="AS156" s="242">
        <v>4.5690816816046943E-8</v>
      </c>
      <c r="AT156" s="242">
        <v>4.5665455587610878E-8</v>
      </c>
      <c r="AU156" s="242">
        <v>4.5621831698987959E-8</v>
      </c>
      <c r="AV156" s="242">
        <v>4.5594815586373059E-8</v>
      </c>
      <c r="AW156" s="242">
        <v>4.5546625927342358E-8</v>
      </c>
      <c r="AX156" s="242">
        <v>4.5953843217879322E-8</v>
      </c>
      <c r="AY156" s="242">
        <v>4.598220130090982E-8</v>
      </c>
      <c r="AZ156" s="242">
        <v>4.6009783819779477E-8</v>
      </c>
      <c r="BA156" s="242">
        <v>4.6036607983190232E-8</v>
      </c>
      <c r="BB156" s="242">
        <v>4.6062692320870958E-8</v>
      </c>
      <c r="BC156" s="245">
        <v>0.81458162563612113</v>
      </c>
      <c r="BD156" s="245">
        <v>0.80703288652089045</v>
      </c>
      <c r="BE156" s="245">
        <v>0.7992527847541393</v>
      </c>
      <c r="BF156" s="245">
        <v>0.78691920831100681</v>
      </c>
      <c r="BG156" s="245">
        <v>0.77860765005876953</v>
      </c>
      <c r="BH156" s="245">
        <v>0.76998873571255566</v>
      </c>
      <c r="BI156" s="245">
        <v>0.77663261198403366</v>
      </c>
      <c r="BJ156" s="245">
        <v>0.78305884916484525</v>
      </c>
      <c r="BK156" s="245">
        <v>0.78635144770443677</v>
      </c>
      <c r="BL156" s="245">
        <v>0.79239097873436815</v>
      </c>
      <c r="BM156" s="245">
        <v>0.79822746289362989</v>
      </c>
      <c r="BN156" s="245">
        <v>0.79739361457590152</v>
      </c>
      <c r="BO156" s="245">
        <v>0.79655963796455986</v>
      </c>
      <c r="BP156" s="245">
        <v>0.79490319696233158</v>
      </c>
      <c r="BQ156" s="245">
        <v>0.79406798119725153</v>
      </c>
      <c r="BR156" s="245">
        <v>0.7932163351403051</v>
      </c>
      <c r="BS156" s="245">
        <v>0.78751382366573275</v>
      </c>
      <c r="BT156" s="245">
        <v>0.7818744463334325</v>
      </c>
      <c r="BU156" s="245">
        <v>0.77550930142498864</v>
      </c>
      <c r="BV156" s="245">
        <v>0.76996564787034083</v>
      </c>
      <c r="BW156" s="245">
        <v>0.7643448858941756</v>
      </c>
      <c r="BX156" s="245">
        <v>0.76358257912302174</v>
      </c>
      <c r="BY156" s="245">
        <v>0.76282993871468319</v>
      </c>
      <c r="BZ156" s="245">
        <v>0.76208092924969872</v>
      </c>
      <c r="CA156" s="245">
        <v>0.76133540634011698</v>
      </c>
      <c r="CB156" s="245">
        <v>0.76059336634471664</v>
      </c>
      <c r="CC156" s="248">
        <v>9.6459173457345031</v>
      </c>
      <c r="CD156" s="248">
        <v>9.179598249868592</v>
      </c>
      <c r="CE156" s="248">
        <v>8.7068986672698081</v>
      </c>
      <c r="CF156" s="248">
        <v>8.1905615223693236</v>
      </c>
      <c r="CG156" s="248">
        <v>7.6987880526888759</v>
      </c>
      <c r="CH156" s="248">
        <v>7.1957294557628009</v>
      </c>
      <c r="CI156" s="248">
        <v>7.073231664649235</v>
      </c>
      <c r="CJ156" s="248">
        <v>6.951780644302203</v>
      </c>
      <c r="CK156" s="248">
        <v>6.8112984851680132</v>
      </c>
      <c r="CL156" s="248">
        <v>6.692113674655304</v>
      </c>
      <c r="CM156" s="248">
        <v>6.5739268633950818</v>
      </c>
      <c r="CN156" s="248">
        <v>6.5267268643266947</v>
      </c>
      <c r="CO156" s="248">
        <v>6.480153429843325</v>
      </c>
      <c r="CP156" s="248">
        <v>6.4288075031944958</v>
      </c>
      <c r="CQ156" s="248">
        <v>6.3832027804575562</v>
      </c>
      <c r="CR156" s="248">
        <v>6.338077791917283</v>
      </c>
      <c r="CS156" s="248">
        <v>6.2961585164603502</v>
      </c>
      <c r="CT156" s="248">
        <v>6.2550740418100537</v>
      </c>
      <c r="CU156" s="248">
        <v>6.2108010191464968</v>
      </c>
      <c r="CV156" s="248">
        <v>6.1713485993491668</v>
      </c>
      <c r="CW156" s="248">
        <v>6.1356038195738511</v>
      </c>
      <c r="CX156" s="248">
        <v>6.1179412804671518</v>
      </c>
      <c r="CY156" s="248">
        <v>6.094889785116357</v>
      </c>
      <c r="CZ156" s="248">
        <v>6.0721993297304184</v>
      </c>
      <c r="DA156" s="248">
        <v>6.0498652863817783</v>
      </c>
      <c r="DB156" s="248">
        <v>6.0278844207364921</v>
      </c>
    </row>
    <row r="157" spans="1:106" s="219" customFormat="1" x14ac:dyDescent="0.35">
      <c r="A157" s="128" t="s">
        <v>746</v>
      </c>
      <c r="B157" s="31" t="s">
        <v>769</v>
      </c>
      <c r="C157" s="239">
        <v>4.7846739532918884E-6</v>
      </c>
      <c r="D157" s="239">
        <v>4.6974585766614794E-6</v>
      </c>
      <c r="E157" s="239">
        <v>4.6097261041253964E-6</v>
      </c>
      <c r="F157" s="239">
        <v>4.5115244269411834E-6</v>
      </c>
      <c r="G157" s="239">
        <v>4.4215907163188782E-6</v>
      </c>
      <c r="H157" s="239">
        <v>4.3310854248273441E-6</v>
      </c>
      <c r="I157" s="239">
        <v>4.3164736860546901E-6</v>
      </c>
      <c r="J157" s="239">
        <v>4.3015976338491808E-6</v>
      </c>
      <c r="K157" s="239">
        <v>4.2835697130587414E-6</v>
      </c>
      <c r="L157" s="239">
        <v>4.2666022172841032E-6</v>
      </c>
      <c r="M157" s="239">
        <v>4.249477817596966E-6</v>
      </c>
      <c r="N157" s="239">
        <v>4.2383467902024632E-6</v>
      </c>
      <c r="O157" s="239">
        <v>4.2274183988340772E-6</v>
      </c>
      <c r="P157" s="239">
        <v>4.2156561181223374E-6</v>
      </c>
      <c r="Q157" s="239">
        <v>4.2049042869719083E-6</v>
      </c>
      <c r="R157" s="239">
        <v>4.1942824724918489E-6</v>
      </c>
      <c r="S157" s="239">
        <v>4.1837451044460658E-6</v>
      </c>
      <c r="T157" s="239">
        <v>4.1733174145592283E-6</v>
      </c>
      <c r="U157" s="239">
        <v>4.1622572719796568E-6</v>
      </c>
      <c r="V157" s="239">
        <v>4.1521143952961374E-6</v>
      </c>
      <c r="W157" s="239">
        <v>4.1438278089507429E-6</v>
      </c>
      <c r="X157" s="239">
        <v>4.2996833241437853E-6</v>
      </c>
      <c r="Y157" s="239">
        <v>4.2975853235690473E-6</v>
      </c>
      <c r="Z157" s="239">
        <v>4.2954959388116863E-6</v>
      </c>
      <c r="AA157" s="239">
        <v>4.2934148008697484E-6</v>
      </c>
      <c r="AB157" s="239">
        <v>4.291342103858599E-6</v>
      </c>
      <c r="AC157" s="242">
        <v>4.8208451814787328E-8</v>
      </c>
      <c r="AD157" s="242">
        <v>4.7747917310797672E-8</v>
      </c>
      <c r="AE157" s="242">
        <v>4.725416365259444E-8</v>
      </c>
      <c r="AF157" s="242">
        <v>4.6661422583218877E-8</v>
      </c>
      <c r="AG157" s="242">
        <v>4.6099229906297677E-8</v>
      </c>
      <c r="AH157" s="242">
        <v>4.5499186393372003E-8</v>
      </c>
      <c r="AI157" s="242">
        <v>4.5553068826403201E-8</v>
      </c>
      <c r="AJ157" s="242">
        <v>4.5599749597494931E-8</v>
      </c>
      <c r="AK157" s="242">
        <v>4.5594080019430661E-8</v>
      </c>
      <c r="AL157" s="242">
        <v>4.562754667483556E-8</v>
      </c>
      <c r="AM157" s="242">
        <v>4.5654957158994738E-8</v>
      </c>
      <c r="AN157" s="242">
        <v>4.5671906815420192E-8</v>
      </c>
      <c r="AO157" s="242">
        <v>4.5688815341262841E-8</v>
      </c>
      <c r="AP157" s="242">
        <v>4.5688187554451431E-8</v>
      </c>
      <c r="AQ157" s="242">
        <v>4.5703182663706901E-8</v>
      </c>
      <c r="AR157" s="242">
        <v>4.571620138634811E-8</v>
      </c>
      <c r="AS157" s="242">
        <v>4.5690816816046943E-8</v>
      </c>
      <c r="AT157" s="242">
        <v>4.5665455587610878E-8</v>
      </c>
      <c r="AU157" s="242">
        <v>4.5621831698987959E-8</v>
      </c>
      <c r="AV157" s="242">
        <v>4.5594815586373059E-8</v>
      </c>
      <c r="AW157" s="242">
        <v>4.5546625927342358E-8</v>
      </c>
      <c r="AX157" s="242">
        <v>4.5953843217879322E-8</v>
      </c>
      <c r="AY157" s="242">
        <v>4.598220130090982E-8</v>
      </c>
      <c r="AZ157" s="242">
        <v>4.6009783819779477E-8</v>
      </c>
      <c r="BA157" s="242">
        <v>4.6036607983190232E-8</v>
      </c>
      <c r="BB157" s="242">
        <v>4.6062692320870958E-8</v>
      </c>
      <c r="BC157" s="245">
        <v>0.81458162563612113</v>
      </c>
      <c r="BD157" s="245">
        <v>0.80703288652089045</v>
      </c>
      <c r="BE157" s="245">
        <v>0.7992527847541393</v>
      </c>
      <c r="BF157" s="245">
        <v>0.78691920831100681</v>
      </c>
      <c r="BG157" s="245">
        <v>0.77860765005876953</v>
      </c>
      <c r="BH157" s="245">
        <v>0.76998873571255566</v>
      </c>
      <c r="BI157" s="245">
        <v>0.77663261198403366</v>
      </c>
      <c r="BJ157" s="245">
        <v>0.78305884916484525</v>
      </c>
      <c r="BK157" s="245">
        <v>0.78635144770443677</v>
      </c>
      <c r="BL157" s="245">
        <v>0.79239097873436815</v>
      </c>
      <c r="BM157" s="245">
        <v>0.79822746289362989</v>
      </c>
      <c r="BN157" s="245">
        <v>0.79739361457590152</v>
      </c>
      <c r="BO157" s="245">
        <v>0.79655963796455986</v>
      </c>
      <c r="BP157" s="245">
        <v>0.79490319696233158</v>
      </c>
      <c r="BQ157" s="245">
        <v>0.79406798119725153</v>
      </c>
      <c r="BR157" s="245">
        <v>0.7932163351403051</v>
      </c>
      <c r="BS157" s="245">
        <v>0.78751382366573275</v>
      </c>
      <c r="BT157" s="245">
        <v>0.7818744463334325</v>
      </c>
      <c r="BU157" s="245">
        <v>0.77550930142498864</v>
      </c>
      <c r="BV157" s="245">
        <v>0.76996564787034083</v>
      </c>
      <c r="BW157" s="245">
        <v>0.7643448858941756</v>
      </c>
      <c r="BX157" s="245">
        <v>0.76358257912302174</v>
      </c>
      <c r="BY157" s="245">
        <v>0.76282993871468319</v>
      </c>
      <c r="BZ157" s="245">
        <v>0.76208092924969872</v>
      </c>
      <c r="CA157" s="245">
        <v>0.76133540634011698</v>
      </c>
      <c r="CB157" s="245">
        <v>0.76059336634471664</v>
      </c>
      <c r="CC157" s="248">
        <v>9.6459173457345031</v>
      </c>
      <c r="CD157" s="248">
        <v>9.179598249868592</v>
      </c>
      <c r="CE157" s="248">
        <v>8.7068986672698081</v>
      </c>
      <c r="CF157" s="248">
        <v>8.1905615223693236</v>
      </c>
      <c r="CG157" s="248">
        <v>7.6987880526888759</v>
      </c>
      <c r="CH157" s="248">
        <v>7.1957294557628009</v>
      </c>
      <c r="CI157" s="248">
        <v>7.073231664649235</v>
      </c>
      <c r="CJ157" s="248">
        <v>6.951780644302203</v>
      </c>
      <c r="CK157" s="248">
        <v>6.8112984851680132</v>
      </c>
      <c r="CL157" s="248">
        <v>6.692113674655304</v>
      </c>
      <c r="CM157" s="248">
        <v>6.5739268633950818</v>
      </c>
      <c r="CN157" s="248">
        <v>6.5267268643266947</v>
      </c>
      <c r="CO157" s="248">
        <v>6.480153429843325</v>
      </c>
      <c r="CP157" s="248">
        <v>6.4288075031944958</v>
      </c>
      <c r="CQ157" s="248">
        <v>6.3832027804575562</v>
      </c>
      <c r="CR157" s="248">
        <v>6.338077791917283</v>
      </c>
      <c r="CS157" s="248">
        <v>6.2961585164603502</v>
      </c>
      <c r="CT157" s="248">
        <v>6.2550740418100537</v>
      </c>
      <c r="CU157" s="248">
        <v>6.2108010191464968</v>
      </c>
      <c r="CV157" s="248">
        <v>6.1713485993491668</v>
      </c>
      <c r="CW157" s="248">
        <v>6.1356038195738511</v>
      </c>
      <c r="CX157" s="248">
        <v>6.1179412804671518</v>
      </c>
      <c r="CY157" s="248">
        <v>6.094889785116357</v>
      </c>
      <c r="CZ157" s="248">
        <v>6.0721993297304184</v>
      </c>
      <c r="DA157" s="248">
        <v>6.0498652863817783</v>
      </c>
      <c r="DB157" s="248">
        <v>6.0278844207364921</v>
      </c>
    </row>
    <row r="158" spans="1:106" s="219" customFormat="1" x14ac:dyDescent="0.35">
      <c r="A158" s="235" t="s">
        <v>772</v>
      </c>
      <c r="B158" s="234" t="s">
        <v>774</v>
      </c>
      <c r="C158" s="239">
        <v>4.0115381744645712E-5</v>
      </c>
      <c r="D158" s="239">
        <v>3.9350687011923188E-5</v>
      </c>
      <c r="E158" s="239">
        <v>3.8580585653170077E-5</v>
      </c>
      <c r="F158" s="239">
        <v>3.7740848920563777E-5</v>
      </c>
      <c r="G158" s="239">
        <v>3.6950622736175943E-5</v>
      </c>
      <c r="H158" s="239">
        <v>3.6154220361559722E-5</v>
      </c>
      <c r="I158" s="239">
        <v>3.604621694503503E-5</v>
      </c>
      <c r="J158" s="239">
        <v>3.5935503614434383E-5</v>
      </c>
      <c r="K158" s="239">
        <v>3.5804342666410517E-5</v>
      </c>
      <c r="L158" s="239">
        <v>3.5681539795451772E-5</v>
      </c>
      <c r="M158" s="239">
        <v>3.5556811425317708E-5</v>
      </c>
      <c r="N158" s="239">
        <v>3.5465851005089402E-5</v>
      </c>
      <c r="O158" s="239">
        <v>3.5376469839437689E-5</v>
      </c>
      <c r="P158" s="239">
        <v>3.5281071978314439E-5</v>
      </c>
      <c r="Q158" s="239">
        <v>3.5192420728812301E-5</v>
      </c>
      <c r="R158" s="239">
        <v>3.5103840535429262E-5</v>
      </c>
      <c r="S158" s="239">
        <v>3.5012026222834718E-5</v>
      </c>
      <c r="T158" s="239">
        <v>3.492102578135829E-5</v>
      </c>
      <c r="U158" s="239">
        <v>3.4825836388385341E-5</v>
      </c>
      <c r="V158" s="239">
        <v>3.4736954549707853E-5</v>
      </c>
      <c r="W158" s="239">
        <v>3.4651406380120382E-5</v>
      </c>
      <c r="X158" s="239">
        <v>3.5197130962156411E-5</v>
      </c>
      <c r="Y158" s="239">
        <v>3.517912919797206E-5</v>
      </c>
      <c r="Z158" s="239">
        <v>3.5161171158922617E-5</v>
      </c>
      <c r="AA158" s="239">
        <v>3.5143253478432287E-5</v>
      </c>
      <c r="AB158" s="239">
        <v>3.5125378147613977E-5</v>
      </c>
      <c r="AC158" s="242">
        <v>5.7356768320638623E-7</v>
      </c>
      <c r="AD158" s="242">
        <v>5.6904978957109138E-7</v>
      </c>
      <c r="AE158" s="242">
        <v>5.642111543846879E-7</v>
      </c>
      <c r="AF158" s="242">
        <v>5.5864193692489837E-7</v>
      </c>
      <c r="AG158" s="242">
        <v>5.5313567058600329E-7</v>
      </c>
      <c r="AH158" s="242">
        <v>5.4724969691171989E-7</v>
      </c>
      <c r="AI158" s="242">
        <v>5.4751549106238569E-7</v>
      </c>
      <c r="AJ158" s="242">
        <v>5.4771733683122642E-7</v>
      </c>
      <c r="AK158" s="242">
        <v>5.4757934094912972E-7</v>
      </c>
      <c r="AL158" s="242">
        <v>5.4766814273731456E-7</v>
      </c>
      <c r="AM158" s="242">
        <v>5.4770957365429744E-7</v>
      </c>
      <c r="AN158" s="242">
        <v>5.4767708348327502E-7</v>
      </c>
      <c r="AO158" s="242">
        <v>5.4764882751836144E-7</v>
      </c>
      <c r="AP158" s="242">
        <v>5.4751027836097321E-7</v>
      </c>
      <c r="AQ158" s="242">
        <v>5.4747998535936895E-7</v>
      </c>
      <c r="AR158" s="242">
        <v>5.4744788981409333E-7</v>
      </c>
      <c r="AS158" s="242">
        <v>5.4715462976796876E-7</v>
      </c>
      <c r="AT158" s="242">
        <v>5.4686308691166753E-7</v>
      </c>
      <c r="AU158" s="242">
        <v>5.4645698113692403E-7</v>
      </c>
      <c r="AV158" s="242">
        <v>5.4616547606574117E-7</v>
      </c>
      <c r="AW158" s="242">
        <v>5.4584724541506085E-7</v>
      </c>
      <c r="AX158" s="242">
        <v>5.5148861277584207E-7</v>
      </c>
      <c r="AY158" s="242">
        <v>5.5168968820494769E-7</v>
      </c>
      <c r="AZ158" s="242">
        <v>5.5188500054929131E-7</v>
      </c>
      <c r="BA158" s="242">
        <v>5.5207462960529573E-7</v>
      </c>
      <c r="BB158" s="242">
        <v>5.5225868173429967E-7</v>
      </c>
      <c r="BC158" s="245">
        <v>5.5968151853184063</v>
      </c>
      <c r="BD158" s="245">
        <v>5.5183911317373413</v>
      </c>
      <c r="BE158" s="245">
        <v>5.4379469442283703</v>
      </c>
      <c r="BF158" s="245">
        <v>5.3286324596263261</v>
      </c>
      <c r="BG158" s="245">
        <v>5.2433175521780946</v>
      </c>
      <c r="BH158" s="245">
        <v>5.1552001789122226</v>
      </c>
      <c r="BI158" s="245">
        <v>5.2208682924041474</v>
      </c>
      <c r="BJ158" s="245">
        <v>5.2845179859010774</v>
      </c>
      <c r="BK158" s="245">
        <v>5.3282178876409239</v>
      </c>
      <c r="BL158" s="245">
        <v>5.3881852726399053</v>
      </c>
      <c r="BM158" s="245">
        <v>5.4463183148345671</v>
      </c>
      <c r="BN158" s="245">
        <v>5.4469213970153598</v>
      </c>
      <c r="BO158" s="245">
        <v>5.4475160699057428</v>
      </c>
      <c r="BP158" s="245">
        <v>5.4427700048757099</v>
      </c>
      <c r="BQ158" s="245">
        <v>5.4433137515891588</v>
      </c>
      <c r="BR158" s="245">
        <v>5.4437447449320082</v>
      </c>
      <c r="BS158" s="245">
        <v>5.3942524773028966</v>
      </c>
      <c r="BT158" s="245">
        <v>5.3452263425871962</v>
      </c>
      <c r="BU158" s="245">
        <v>5.2916802857279057</v>
      </c>
      <c r="BV158" s="245">
        <v>5.2436252458683184</v>
      </c>
      <c r="BW158" s="245">
        <v>5.1958548844260886</v>
      </c>
      <c r="BX158" s="245">
        <v>5.1903925615803308</v>
      </c>
      <c r="BY158" s="245">
        <v>5.1850007590720537</v>
      </c>
      <c r="BZ158" s="245">
        <v>5.1796214384251424</v>
      </c>
      <c r="CA158" s="245">
        <v>5.1742532153080374</v>
      </c>
      <c r="CB158" s="245">
        <v>5.1688960457619464</v>
      </c>
      <c r="CC158" s="248">
        <v>56.330105920784867</v>
      </c>
      <c r="CD158" s="248">
        <v>52.355718562784297</v>
      </c>
      <c r="CE158" s="248">
        <v>48.317044706254293</v>
      </c>
      <c r="CF158" s="248">
        <v>43.977285796954689</v>
      </c>
      <c r="CG158" s="248">
        <v>39.753763764262757</v>
      </c>
      <c r="CH158" s="248">
        <v>35.420351471534048</v>
      </c>
      <c r="CI158" s="248">
        <v>34.442333579907043</v>
      </c>
      <c r="CJ158" s="248">
        <v>33.474405298664408</v>
      </c>
      <c r="CK158" s="248">
        <v>32.392706645885177</v>
      </c>
      <c r="CL158" s="248">
        <v>31.44513975961851</v>
      </c>
      <c r="CM158" s="248">
        <v>30.507060799952839</v>
      </c>
      <c r="CN158" s="248">
        <v>30.15758422393878</v>
      </c>
      <c r="CO158" s="248">
        <v>29.813066594813559</v>
      </c>
      <c r="CP158" s="248">
        <v>29.437561629034509</v>
      </c>
      <c r="CQ158" s="248">
        <v>29.099543497427661</v>
      </c>
      <c r="CR158" s="248">
        <v>28.76385989742899</v>
      </c>
      <c r="CS158" s="248">
        <v>28.418034021917819</v>
      </c>
      <c r="CT158" s="248">
        <v>28.07835052489062</v>
      </c>
      <c r="CU158" s="248">
        <v>27.71948540082041</v>
      </c>
      <c r="CV158" s="248">
        <v>27.39294400756522</v>
      </c>
      <c r="CW158" s="248">
        <v>27.076464643557429</v>
      </c>
      <c r="CX158" s="248">
        <v>26.934437166412671</v>
      </c>
      <c r="CY158" s="248">
        <v>26.748753352730429</v>
      </c>
      <c r="CZ158" s="248">
        <v>26.566143765143352</v>
      </c>
      <c r="DA158" s="248">
        <v>26.386578260046981</v>
      </c>
      <c r="DB158" s="248">
        <v>26.210037924366791</v>
      </c>
    </row>
    <row r="159" spans="1:106" s="219" customFormat="1" x14ac:dyDescent="0.35">
      <c r="A159" s="235" t="s">
        <v>773</v>
      </c>
      <c r="B159" s="234" t="s">
        <v>774</v>
      </c>
      <c r="C159" s="239">
        <v>1.3341108092529359E-5</v>
      </c>
      <c r="D159" s="239">
        <v>1.31515518843742E-5</v>
      </c>
      <c r="E159" s="239">
        <v>1.296340237625066E-5</v>
      </c>
      <c r="F159" s="239">
        <v>1.2751581564568179E-5</v>
      </c>
      <c r="G159" s="239">
        <v>1.256262899551017E-5</v>
      </c>
      <c r="H159" s="239">
        <v>1.237681783773542E-5</v>
      </c>
      <c r="I159" s="239">
        <v>1.2345778537264621E-5</v>
      </c>
      <c r="J159" s="239">
        <v>1.231517228238804E-5</v>
      </c>
      <c r="K159" s="239">
        <v>1.227807157087575E-5</v>
      </c>
      <c r="L159" s="239">
        <v>1.224779531334561E-5</v>
      </c>
      <c r="M159" s="239">
        <v>1.2218395913251719E-5</v>
      </c>
      <c r="N159" s="239">
        <v>1.218991975707793E-5</v>
      </c>
      <c r="O159" s="239">
        <v>1.216278549022589E-5</v>
      </c>
      <c r="P159" s="239">
        <v>1.213364942660887E-5</v>
      </c>
      <c r="Q159" s="239">
        <v>1.2107500918845811E-5</v>
      </c>
      <c r="R159" s="239">
        <v>1.208166254482205E-5</v>
      </c>
      <c r="S159" s="239">
        <v>1.20504423100779E-5</v>
      </c>
      <c r="T159" s="239">
        <v>1.201941689365681E-5</v>
      </c>
      <c r="U159" s="239">
        <v>1.198661126519906E-5</v>
      </c>
      <c r="V159" s="239">
        <v>1.1956184178152661E-5</v>
      </c>
      <c r="W159" s="239">
        <v>1.1926925035587209E-5</v>
      </c>
      <c r="X159" s="239">
        <v>1.208629237135313E-5</v>
      </c>
      <c r="Y159" s="239">
        <v>1.2073132500523511E-5</v>
      </c>
      <c r="Z159" s="239">
        <v>1.2060034775276861E-5</v>
      </c>
      <c r="AA159" s="239">
        <v>1.204699786204033E-5</v>
      </c>
      <c r="AB159" s="239">
        <v>1.2034021537182191E-5</v>
      </c>
      <c r="AC159" s="242">
        <v>1.6846558674024729E-7</v>
      </c>
      <c r="AD159" s="242">
        <v>1.6800609042597759E-7</v>
      </c>
      <c r="AE159" s="242">
        <v>1.6750631699229409E-7</v>
      </c>
      <c r="AF159" s="242">
        <v>1.6680826278993601E-7</v>
      </c>
      <c r="AG159" s="242">
        <v>1.6622808215351739E-7</v>
      </c>
      <c r="AH159" s="242">
        <v>1.656143608942639E-7</v>
      </c>
      <c r="AI159" s="242">
        <v>1.6617725938793559E-7</v>
      </c>
      <c r="AJ159" s="242">
        <v>1.667241899668374E-7</v>
      </c>
      <c r="AK159" s="242">
        <v>1.6714490061200019E-7</v>
      </c>
      <c r="AL159" s="242">
        <v>1.6766058978936469E-7</v>
      </c>
      <c r="AM159" s="242">
        <v>1.6816563892910521E-7</v>
      </c>
      <c r="AN159" s="242">
        <v>1.686244604225568E-7</v>
      </c>
      <c r="AO159" s="242">
        <v>1.690808413589897E-7</v>
      </c>
      <c r="AP159" s="242">
        <v>1.694881705755831E-7</v>
      </c>
      <c r="AQ159" s="242">
        <v>1.699333083080649E-7</v>
      </c>
      <c r="AR159" s="242">
        <v>1.70372610756319E-7</v>
      </c>
      <c r="AS159" s="242">
        <v>1.7053389213663699E-7</v>
      </c>
      <c r="AT159" s="242">
        <v>1.706907376610076E-7</v>
      </c>
      <c r="AU159" s="242">
        <v>1.7079687447404449E-7</v>
      </c>
      <c r="AV159" s="242">
        <v>1.709436952458718E-7</v>
      </c>
      <c r="AW159" s="242">
        <v>1.710755173073893E-7</v>
      </c>
      <c r="AX159" s="242">
        <v>1.7287776395829489E-7</v>
      </c>
      <c r="AY159" s="242">
        <v>1.7307689149652101E-7</v>
      </c>
      <c r="AZ159" s="242">
        <v>1.732725999213802E-7</v>
      </c>
      <c r="BA159" s="242">
        <v>1.73464898871518E-7</v>
      </c>
      <c r="BB159" s="242">
        <v>1.7365380575889801E-7</v>
      </c>
      <c r="BC159" s="245">
        <v>2.6833315637835549</v>
      </c>
      <c r="BD159" s="245">
        <v>2.6579519291445779</v>
      </c>
      <c r="BE159" s="245">
        <v>2.6325038005804191</v>
      </c>
      <c r="BF159" s="245">
        <v>2.5966528575702119</v>
      </c>
      <c r="BG159" s="245">
        <v>2.570881005754627</v>
      </c>
      <c r="BH159" s="245">
        <v>2.545077748631503</v>
      </c>
      <c r="BI159" s="245">
        <v>2.553412039128506</v>
      </c>
      <c r="BJ159" s="245">
        <v>2.561428186979624</v>
      </c>
      <c r="BK159" s="245">
        <v>2.5620756088459742</v>
      </c>
      <c r="BL159" s="245">
        <v>2.5695458313686381</v>
      </c>
      <c r="BM159" s="245">
        <v>2.5767590921523169</v>
      </c>
      <c r="BN159" s="245">
        <v>2.569124146500537</v>
      </c>
      <c r="BO159" s="245">
        <v>2.5615661916698929</v>
      </c>
      <c r="BP159" s="245">
        <v>2.5519499044403928</v>
      </c>
      <c r="BQ159" s="245">
        <v>2.5444860531389559</v>
      </c>
      <c r="BR159" s="245">
        <v>2.5370347574727452</v>
      </c>
      <c r="BS159" s="245">
        <v>2.5182643658657309</v>
      </c>
      <c r="BT159" s="245">
        <v>2.4996086957314541</v>
      </c>
      <c r="BU159" s="245">
        <v>2.4790779910998721</v>
      </c>
      <c r="BV159" s="245">
        <v>2.4606709800826811</v>
      </c>
      <c r="BW159" s="245">
        <v>2.442314343867364</v>
      </c>
      <c r="BX159" s="245">
        <v>2.4360887555739219</v>
      </c>
      <c r="BY159" s="245">
        <v>2.4299253695048582</v>
      </c>
      <c r="BZ159" s="245">
        <v>2.4238125631293359</v>
      </c>
      <c r="CA159" s="245">
        <v>2.4177499462514009</v>
      </c>
      <c r="CB159" s="245">
        <v>2.4117374076586011</v>
      </c>
      <c r="CC159" s="248">
        <v>24.165472548429332</v>
      </c>
      <c r="CD159" s="248">
        <v>23.168981610794312</v>
      </c>
      <c r="CE159" s="248">
        <v>22.167380352784502</v>
      </c>
      <c r="CF159" s="248">
        <v>21.072250604727159</v>
      </c>
      <c r="CG159" s="248">
        <v>20.049225345821728</v>
      </c>
      <c r="CH159" s="248">
        <v>19.018160094324031</v>
      </c>
      <c r="CI159" s="248">
        <v>18.669824070545651</v>
      </c>
      <c r="CJ159" s="248">
        <v>18.325181382394931</v>
      </c>
      <c r="CK159" s="248">
        <v>17.935468660844212</v>
      </c>
      <c r="CL159" s="248">
        <v>17.598236349902081</v>
      </c>
      <c r="CM159" s="248">
        <v>17.265319877967951</v>
      </c>
      <c r="CN159" s="248">
        <v>17.04748342252007</v>
      </c>
      <c r="CO159" s="248">
        <v>16.833279520940589</v>
      </c>
      <c r="CP159" s="248">
        <v>16.607827015981059</v>
      </c>
      <c r="CQ159" s="248">
        <v>16.39817450374052</v>
      </c>
      <c r="CR159" s="248">
        <v>16.19032888954629</v>
      </c>
      <c r="CS159" s="248">
        <v>15.992208590491449</v>
      </c>
      <c r="CT159" s="248">
        <v>15.79694767366353</v>
      </c>
      <c r="CU159" s="248">
        <v>15.59447124800954</v>
      </c>
      <c r="CV159" s="248">
        <v>15.405253673004021</v>
      </c>
      <c r="CW159" s="248">
        <v>15.22037990609696</v>
      </c>
      <c r="CX159" s="248">
        <v>15.10194913615296</v>
      </c>
      <c r="CY159" s="248">
        <v>14.96327024128842</v>
      </c>
      <c r="CZ159" s="248">
        <v>14.825974137709171</v>
      </c>
      <c r="DA159" s="248">
        <v>14.69005239598517</v>
      </c>
      <c r="DB159" s="248">
        <v>14.55549870886793</v>
      </c>
    </row>
    <row r="160" spans="1:106" s="219" customFormat="1" x14ac:dyDescent="0.35">
      <c r="A160" s="235" t="s">
        <v>747</v>
      </c>
      <c r="B160" s="234" t="s">
        <v>769</v>
      </c>
      <c r="C160" s="239">
        <v>6.072488104309232E-5</v>
      </c>
      <c r="D160" s="239">
        <v>6.0235434298330848E-5</v>
      </c>
      <c r="E160" s="239">
        <v>5.9743071679796539E-5</v>
      </c>
      <c r="F160" s="239">
        <v>5.9148704866017723E-5</v>
      </c>
      <c r="G160" s="239">
        <v>5.8646673137104007E-5</v>
      </c>
      <c r="H160" s="239">
        <v>5.8141907511344167E-5</v>
      </c>
      <c r="I160" s="239">
        <v>5.8027980685704842E-5</v>
      </c>
      <c r="J160" s="239">
        <v>5.7913943807911842E-5</v>
      </c>
      <c r="K160" s="239">
        <v>5.7770494297577842E-5</v>
      </c>
      <c r="L160" s="239">
        <v>5.7654820989072292E-5</v>
      </c>
      <c r="M160" s="239">
        <v>5.753932175716466E-5</v>
      </c>
      <c r="N160" s="239">
        <v>5.7465729422329727E-5</v>
      </c>
      <c r="O160" s="239">
        <v>5.7392712870156902E-5</v>
      </c>
      <c r="P160" s="239">
        <v>5.7311044305233663E-5</v>
      </c>
      <c r="Q160" s="239">
        <v>5.7238352615184213E-5</v>
      </c>
      <c r="R160" s="239">
        <v>5.7165567433048417E-5</v>
      </c>
      <c r="S160" s="239">
        <v>5.7106310388243338E-5</v>
      </c>
      <c r="T160" s="239">
        <v>5.7047251167185247E-5</v>
      </c>
      <c r="U160" s="239">
        <v>5.6981245669356598E-5</v>
      </c>
      <c r="V160" s="239">
        <v>5.6923108108479969E-5</v>
      </c>
      <c r="W160" s="239">
        <v>5.6867353963179957E-5</v>
      </c>
      <c r="X160" s="239">
        <v>5.7765316007780348E-5</v>
      </c>
      <c r="Y160" s="239">
        <v>5.7745277372693197E-5</v>
      </c>
      <c r="Z160" s="239">
        <v>5.7725313400112882E-5</v>
      </c>
      <c r="AA160" s="239">
        <v>5.7705421289094902E-5</v>
      </c>
      <c r="AB160" s="239">
        <v>5.7685601300248167E-5</v>
      </c>
      <c r="AC160" s="242">
        <v>4.96091466664634E-7</v>
      </c>
      <c r="AD160" s="242">
        <v>4.9339270520195332E-7</v>
      </c>
      <c r="AE160" s="242">
        <v>4.9051990842466654E-7</v>
      </c>
      <c r="AF160" s="242">
        <v>4.868130389343268E-7</v>
      </c>
      <c r="AG160" s="242">
        <v>4.8368147786850869E-7</v>
      </c>
      <c r="AH160" s="242">
        <v>4.8043045301767421E-7</v>
      </c>
      <c r="AI160" s="242">
        <v>4.80568831324132E-7</v>
      </c>
      <c r="AJ160" s="242">
        <v>4.8068407521886405E-7</v>
      </c>
      <c r="AK160" s="242">
        <v>4.8028407808530144E-7</v>
      </c>
      <c r="AL160" s="242">
        <v>4.8034572213093661E-7</v>
      </c>
      <c r="AM160" s="242">
        <v>4.8038914338068645E-7</v>
      </c>
      <c r="AN160" s="242">
        <v>4.8063353578816193E-7</v>
      </c>
      <c r="AO160" s="242">
        <v>4.8087662435234351E-7</v>
      </c>
      <c r="AP160" s="242">
        <v>4.8094235376606393E-7</v>
      </c>
      <c r="AQ160" s="242">
        <v>4.8117462863413145E-7</v>
      </c>
      <c r="AR160" s="242">
        <v>4.814023323611155E-7</v>
      </c>
      <c r="AS160" s="242">
        <v>4.8138077287682382E-7</v>
      </c>
      <c r="AT160" s="242">
        <v>4.8135710486206396E-7</v>
      </c>
      <c r="AU160" s="242">
        <v>4.8114560208957974E-7</v>
      </c>
      <c r="AV160" s="242">
        <v>4.8111355652278152E-7</v>
      </c>
      <c r="AW160" s="242">
        <v>4.8105603271320269E-7</v>
      </c>
      <c r="AX160" s="242">
        <v>4.8505174922199379E-7</v>
      </c>
      <c r="AY160" s="242">
        <v>4.8520073106643886E-7</v>
      </c>
      <c r="AZ160" s="242">
        <v>4.8534535732240375E-7</v>
      </c>
      <c r="BA160" s="242">
        <v>4.8548569779775315E-7</v>
      </c>
      <c r="BB160" s="242">
        <v>4.8562183723512626E-7</v>
      </c>
      <c r="BC160" s="245">
        <v>16.95292139653974</v>
      </c>
      <c r="BD160" s="245">
        <v>16.89100984510242</v>
      </c>
      <c r="BE160" s="245">
        <v>16.828302600780159</v>
      </c>
      <c r="BF160" s="245">
        <v>16.718944848014981</v>
      </c>
      <c r="BG160" s="245">
        <v>16.654836261052228</v>
      </c>
      <c r="BH160" s="245">
        <v>16.58968114624885</v>
      </c>
      <c r="BI160" s="245">
        <v>16.62133070279096</v>
      </c>
      <c r="BJ160" s="245">
        <v>16.652193021673671</v>
      </c>
      <c r="BK160" s="245">
        <v>16.650862787039369</v>
      </c>
      <c r="BL160" s="245">
        <v>16.68059028284916</v>
      </c>
      <c r="BM160" s="245">
        <v>16.709592854696631</v>
      </c>
      <c r="BN160" s="245">
        <v>16.701889173254809</v>
      </c>
      <c r="BO160" s="245">
        <v>16.694154692881341</v>
      </c>
      <c r="BP160" s="245">
        <v>16.677918848894649</v>
      </c>
      <c r="BQ160" s="245">
        <v>16.670255577885658</v>
      </c>
      <c r="BR160" s="245">
        <v>16.66251639358326</v>
      </c>
      <c r="BS160" s="245">
        <v>16.620509766404471</v>
      </c>
      <c r="BT160" s="245">
        <v>16.578621060828031</v>
      </c>
      <c r="BU160" s="245">
        <v>16.528810369691978</v>
      </c>
      <c r="BV160" s="245">
        <v>16.487242014321861</v>
      </c>
      <c r="BW160" s="245">
        <v>16.445637395980551</v>
      </c>
      <c r="BX160" s="245">
        <v>16.43249107805433</v>
      </c>
      <c r="BY160" s="245">
        <v>16.419436693364069</v>
      </c>
      <c r="BZ160" s="245">
        <v>16.406442006925619</v>
      </c>
      <c r="CA160" s="245">
        <v>16.393506255660071</v>
      </c>
      <c r="CB160" s="245">
        <v>16.38062944202753</v>
      </c>
      <c r="CC160" s="248">
        <v>116.90248823001851</v>
      </c>
      <c r="CD160" s="248">
        <v>114.04059040923531</v>
      </c>
      <c r="CE160" s="248">
        <v>111.16165417852601</v>
      </c>
      <c r="CF160" s="248">
        <v>107.8871460319404</v>
      </c>
      <c r="CG160" s="248">
        <v>104.95232692434639</v>
      </c>
      <c r="CH160" s="248">
        <v>101.9798534782275</v>
      </c>
      <c r="CI160" s="248">
        <v>100.9557338475496</v>
      </c>
      <c r="CJ160" s="248">
        <v>99.94272130049103</v>
      </c>
      <c r="CK160" s="248">
        <v>98.725322263477722</v>
      </c>
      <c r="CL160" s="248">
        <v>97.73784612275071</v>
      </c>
      <c r="CM160" s="248">
        <v>96.760602418928414</v>
      </c>
      <c r="CN160" s="248">
        <v>96.283795215325924</v>
      </c>
      <c r="CO160" s="248">
        <v>95.808002860719654</v>
      </c>
      <c r="CP160" s="248">
        <v>95.279631414412478</v>
      </c>
      <c r="CQ160" s="248">
        <v>94.805985058905833</v>
      </c>
      <c r="CR160" s="248">
        <v>94.332312826515519</v>
      </c>
      <c r="CS160" s="248">
        <v>94.051422988671874</v>
      </c>
      <c r="CT160" s="248">
        <v>93.773636467630297</v>
      </c>
      <c r="CU160" s="248">
        <v>93.458918159008661</v>
      </c>
      <c r="CV160" s="248">
        <v>93.188924558367106</v>
      </c>
      <c r="CW160" s="248">
        <v>92.92532242921375</v>
      </c>
      <c r="CX160" s="248">
        <v>92.769332889398243</v>
      </c>
      <c r="CY160" s="248">
        <v>92.558618776985995</v>
      </c>
      <c r="CZ160" s="248">
        <v>92.349314155069081</v>
      </c>
      <c r="DA160" s="248">
        <v>92.141401729777684</v>
      </c>
      <c r="DB160" s="248">
        <v>91.934870482980671</v>
      </c>
    </row>
  </sheetData>
  <mergeCells count="36">
    <mergeCell ref="C143:AB143"/>
    <mergeCell ref="AC143:BB143"/>
    <mergeCell ref="BC143:CB143"/>
    <mergeCell ref="CC143:DB143"/>
    <mergeCell ref="C153:AB153"/>
    <mergeCell ref="AC153:BB153"/>
    <mergeCell ref="BC153:CB153"/>
    <mergeCell ref="CC153:DB153"/>
    <mergeCell ref="C125:AB125"/>
    <mergeCell ref="AC125:BB125"/>
    <mergeCell ref="BC125:CB125"/>
    <mergeCell ref="CC125:DB125"/>
    <mergeCell ref="C133:AB133"/>
    <mergeCell ref="AC133:BB133"/>
    <mergeCell ref="BC133:CB133"/>
    <mergeCell ref="CC133:DB133"/>
    <mergeCell ref="C111:AB111"/>
    <mergeCell ref="AC111:BB111"/>
    <mergeCell ref="BC111:CB111"/>
    <mergeCell ref="CC111:DB111"/>
    <mergeCell ref="C118:AB118"/>
    <mergeCell ref="AC118:BB118"/>
    <mergeCell ref="BC118:CB118"/>
    <mergeCell ref="CC118:DB118"/>
    <mergeCell ref="C74:AB74"/>
    <mergeCell ref="AC74:BB74"/>
    <mergeCell ref="CC74:DB74"/>
    <mergeCell ref="C2:AB2"/>
    <mergeCell ref="AC2:BB2"/>
    <mergeCell ref="CC2:DB2"/>
    <mergeCell ref="C38:AB38"/>
    <mergeCell ref="AC38:BB38"/>
    <mergeCell ref="CC38:DB38"/>
    <mergeCell ref="BC38:CB38"/>
    <mergeCell ref="BC2:CB2"/>
    <mergeCell ref="BC74:CB7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1893D-0C99-446B-BE9B-90F341AB7A44}">
  <sheetPr>
    <tabColor theme="3" tint="0.59999389629810485"/>
  </sheetPr>
  <dimension ref="A1:M17"/>
  <sheetViews>
    <sheetView showGridLines="0" workbookViewId="0">
      <selection activeCell="A2" sqref="A2"/>
    </sheetView>
  </sheetViews>
  <sheetFormatPr defaultRowHeight="14.5" x14ac:dyDescent="0.35"/>
  <cols>
    <col min="6" max="6" width="15.7265625" customWidth="1"/>
    <col min="10" max="10" width="17.36328125" customWidth="1"/>
    <col min="11" max="11" width="26.08984375" customWidth="1"/>
  </cols>
  <sheetData>
    <row r="1" spans="1:13" s="42" customFormat="1" ht="28.5" x14ac:dyDescent="0.65">
      <c r="A1" s="42" t="s">
        <v>843</v>
      </c>
    </row>
    <row r="2" spans="1:13" s="44" customFormat="1" ht="16.5" customHeight="1" x14ac:dyDescent="0.35">
      <c r="A2" s="45" t="s">
        <v>842</v>
      </c>
    </row>
    <row r="3" spans="1:13" s="44" customFormat="1" ht="16.5" customHeight="1" x14ac:dyDescent="0.35"/>
    <row r="4" spans="1:13" s="45" customFormat="1" x14ac:dyDescent="0.35">
      <c r="A4" s="45" t="s">
        <v>840</v>
      </c>
    </row>
    <row r="5" spans="1:13" s="45" customFormat="1" x14ac:dyDescent="0.35"/>
    <row r="6" spans="1:13" s="45" customFormat="1" x14ac:dyDescent="0.35"/>
    <row r="7" spans="1:13" s="50" customFormat="1" ht="23.5" x14ac:dyDescent="0.55000000000000004">
      <c r="A7" s="49" t="s">
        <v>750</v>
      </c>
    </row>
    <row r="8" spans="1:13" s="4" customFormat="1" ht="15.5" x14ac:dyDescent="0.35">
      <c r="B8" s="51" t="s">
        <v>178</v>
      </c>
      <c r="G8" s="52" t="s">
        <v>179</v>
      </c>
      <c r="H8" s="53" t="s">
        <v>180</v>
      </c>
      <c r="I8" s="52" t="s">
        <v>752</v>
      </c>
      <c r="J8" s="51"/>
      <c r="K8" s="51"/>
      <c r="L8" s="51"/>
      <c r="M8" s="51"/>
    </row>
    <row r="9" spans="1:13" s="4" customFormat="1" x14ac:dyDescent="0.35">
      <c r="C9" s="54" t="s">
        <v>183</v>
      </c>
      <c r="G9" s="55"/>
      <c r="H9" s="56"/>
      <c r="I9" s="55"/>
      <c r="K9" s="55"/>
    </row>
    <row r="10" spans="1:13" s="4" customFormat="1" x14ac:dyDescent="0.35">
      <c r="D10" s="4" t="s">
        <v>743</v>
      </c>
      <c r="G10" s="57">
        <v>1</v>
      </c>
      <c r="H10" s="4" t="s">
        <v>744</v>
      </c>
      <c r="K10" s="55"/>
    </row>
    <row r="11" spans="1:13" s="4" customFormat="1" x14ac:dyDescent="0.35">
      <c r="K11" s="55"/>
      <c r="L11" s="55"/>
    </row>
    <row r="12" spans="1:13" s="4" customFormat="1" x14ac:dyDescent="0.35">
      <c r="C12" s="54" t="s">
        <v>186</v>
      </c>
      <c r="K12" s="55"/>
      <c r="L12" s="55"/>
    </row>
    <row r="13" spans="1:13" s="4" customFormat="1" x14ac:dyDescent="0.35">
      <c r="C13" s="58"/>
      <c r="D13" s="4" t="s">
        <v>745</v>
      </c>
      <c r="G13" s="59">
        <v>1</v>
      </c>
      <c r="H13" s="4" t="s">
        <v>744</v>
      </c>
      <c r="I13" s="4" t="s">
        <v>751</v>
      </c>
      <c r="K13" s="287" t="s">
        <v>841</v>
      </c>
      <c r="L13" s="55"/>
    </row>
    <row r="14" spans="1:13" s="4" customFormat="1" x14ac:dyDescent="0.35">
      <c r="C14" s="58"/>
      <c r="D14" s="4" t="s">
        <v>746</v>
      </c>
      <c r="G14" s="59">
        <v>1</v>
      </c>
      <c r="H14" s="4" t="s">
        <v>744</v>
      </c>
      <c r="I14" s="4" t="s">
        <v>751</v>
      </c>
      <c r="K14" s="287" t="s">
        <v>841</v>
      </c>
      <c r="L14" s="55"/>
    </row>
    <row r="15" spans="1:13" s="4" customFormat="1" x14ac:dyDescent="0.35">
      <c r="C15" s="58"/>
      <c r="D15" s="4" t="s">
        <v>748</v>
      </c>
      <c r="G15" s="59">
        <v>1</v>
      </c>
      <c r="H15" s="4" t="s">
        <v>749</v>
      </c>
      <c r="I15" s="4" t="s">
        <v>751</v>
      </c>
      <c r="K15" s="287" t="s">
        <v>841</v>
      </c>
    </row>
    <row r="16" spans="1:13" s="4" customFormat="1" x14ac:dyDescent="0.35">
      <c r="C16" s="58"/>
      <c r="D16" s="4" t="s">
        <v>747</v>
      </c>
      <c r="G16" s="59">
        <v>1</v>
      </c>
      <c r="H16" s="4" t="s">
        <v>744</v>
      </c>
      <c r="I16" s="4" t="s">
        <v>753</v>
      </c>
      <c r="K16" s="287" t="s">
        <v>841</v>
      </c>
      <c r="L16" s="55"/>
    </row>
    <row r="17" spans="11:12" s="4" customFormat="1" x14ac:dyDescent="0.35">
      <c r="K17" s="55"/>
      <c r="L17" s="5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E6DDF-79B2-4B18-8BB7-8592612D7677}">
  <sheetPr>
    <tabColor theme="3" tint="0.59999389629810485"/>
  </sheetPr>
  <dimension ref="A1:N145"/>
  <sheetViews>
    <sheetView showGridLines="0" zoomScale="90" zoomScaleNormal="90" workbookViewId="0">
      <selection activeCell="A96" sqref="A96:XFD96"/>
    </sheetView>
  </sheetViews>
  <sheetFormatPr defaultColWidth="8.26953125" defaultRowHeight="14.5" outlineLevelRow="1" x14ac:dyDescent="0.35"/>
  <cols>
    <col min="1" max="1" width="18.26953125" style="117" customWidth="1"/>
    <col min="2" max="2" width="37" style="117" customWidth="1"/>
    <col min="3" max="3" width="48.6328125" style="117" bestFit="1" customWidth="1"/>
    <col min="4" max="4" width="21.54296875" style="117" bestFit="1" customWidth="1"/>
    <col min="5" max="5" width="18" style="117" bestFit="1" customWidth="1"/>
    <col min="6" max="6" width="25.6328125" style="117" bestFit="1" customWidth="1"/>
    <col min="7" max="7" width="32" style="117" bestFit="1" customWidth="1"/>
    <col min="8" max="8" width="18.7265625" style="117" bestFit="1" customWidth="1"/>
    <col min="9" max="9" width="19" style="117" bestFit="1" customWidth="1"/>
    <col min="10" max="10" width="141.54296875" style="117" bestFit="1" customWidth="1"/>
    <col min="11" max="16384" width="8.26953125" style="117"/>
  </cols>
  <sheetData>
    <row r="1" spans="1:8" s="42" customFormat="1" ht="32.5" x14ac:dyDescent="0.85">
      <c r="A1" s="42" t="s">
        <v>844</v>
      </c>
    </row>
    <row r="2" spans="1:8" s="282" customFormat="1" ht="16.5" x14ac:dyDescent="0.45">
      <c r="A2" s="282" t="s">
        <v>845</v>
      </c>
    </row>
    <row r="3" spans="1:8" s="204" customFormat="1" ht="28.5" x14ac:dyDescent="0.65"/>
    <row r="4" spans="1:8" s="50" customFormat="1" ht="23.5" x14ac:dyDescent="0.55000000000000004">
      <c r="A4" s="49" t="s">
        <v>724</v>
      </c>
    </row>
    <row r="5" spans="1:8" ht="15.5" hidden="1" outlineLevel="1" x14ac:dyDescent="0.35">
      <c r="A5" s="165" t="s">
        <v>846</v>
      </c>
    </row>
    <row r="6" spans="1:8" ht="15.5" hidden="1" outlineLevel="1" x14ac:dyDescent="0.35">
      <c r="A6" s="165"/>
    </row>
    <row r="7" spans="1:8" hidden="1" outlineLevel="1" x14ac:dyDescent="0.35">
      <c r="A7" s="166"/>
      <c r="B7" s="166"/>
      <c r="C7" s="144" t="s">
        <v>476</v>
      </c>
    </row>
    <row r="8" spans="1:8" hidden="1" outlineLevel="1" x14ac:dyDescent="0.35">
      <c r="A8" s="167" t="s">
        <v>473</v>
      </c>
      <c r="B8" s="166" t="s">
        <v>474</v>
      </c>
      <c r="C8" s="144" t="s">
        <v>582</v>
      </c>
    </row>
    <row r="9" spans="1:8" hidden="1" outlineLevel="1" x14ac:dyDescent="0.35">
      <c r="A9" s="166" t="s">
        <v>488</v>
      </c>
      <c r="B9" s="166" t="s">
        <v>489</v>
      </c>
      <c r="C9" s="144" t="s">
        <v>580</v>
      </c>
    </row>
    <row r="10" spans="1:8" hidden="1" outlineLevel="1" x14ac:dyDescent="0.35">
      <c r="A10" s="166" t="s">
        <v>493</v>
      </c>
      <c r="B10" s="166" t="s">
        <v>581</v>
      </c>
      <c r="C10" s="144" t="s">
        <v>583</v>
      </c>
    </row>
    <row r="11" spans="1:8" ht="15.5" hidden="1" outlineLevel="1" x14ac:dyDescent="0.35">
      <c r="A11" s="165"/>
    </row>
    <row r="12" spans="1:8" hidden="1" outlineLevel="1" x14ac:dyDescent="0.35">
      <c r="A12" s="171"/>
      <c r="B12" s="171" t="s">
        <v>231</v>
      </c>
      <c r="C12" s="171" t="s">
        <v>424</v>
      </c>
      <c r="D12" s="171" t="s">
        <v>584</v>
      </c>
      <c r="E12" s="171" t="s">
        <v>585</v>
      </c>
      <c r="F12" s="171" t="s">
        <v>586</v>
      </c>
      <c r="G12" s="171" t="s">
        <v>587</v>
      </c>
      <c r="H12" s="171" t="s">
        <v>588</v>
      </c>
    </row>
    <row r="13" spans="1:8" hidden="1" outlineLevel="1" x14ac:dyDescent="0.35">
      <c r="A13" s="317" t="s">
        <v>473</v>
      </c>
      <c r="B13" s="317" t="s">
        <v>425</v>
      </c>
      <c r="C13" s="168" t="s">
        <v>375</v>
      </c>
      <c r="D13" s="168"/>
      <c r="E13" s="168">
        <v>65</v>
      </c>
      <c r="F13" s="168"/>
      <c r="G13" s="166"/>
      <c r="H13" s="166"/>
    </row>
    <row r="14" spans="1:8" hidden="1" outlineLevel="1" x14ac:dyDescent="0.35">
      <c r="A14" s="318"/>
      <c r="B14" s="318"/>
      <c r="C14" s="168" t="s">
        <v>426</v>
      </c>
      <c r="D14" s="173">
        <f>65000*5%</f>
        <v>3250</v>
      </c>
      <c r="E14" s="168"/>
      <c r="F14" s="168"/>
      <c r="G14" s="166"/>
      <c r="H14" s="166"/>
    </row>
    <row r="15" spans="1:8" hidden="1" outlineLevel="1" x14ac:dyDescent="0.35">
      <c r="A15" s="318"/>
      <c r="B15" s="318"/>
      <c r="C15" s="168" t="s">
        <v>427</v>
      </c>
      <c r="D15" s="173">
        <v>7000</v>
      </c>
      <c r="E15" s="168"/>
      <c r="F15" s="168"/>
      <c r="G15" s="166"/>
      <c r="H15" s="166"/>
    </row>
    <row r="16" spans="1:8" hidden="1" outlineLevel="1" x14ac:dyDescent="0.35">
      <c r="A16" s="318"/>
      <c r="B16" s="318"/>
      <c r="C16" s="168" t="s">
        <v>428</v>
      </c>
      <c r="D16" s="173">
        <v>20000</v>
      </c>
      <c r="E16" s="168"/>
      <c r="F16" s="168"/>
      <c r="G16" s="166"/>
      <c r="H16" s="166"/>
    </row>
    <row r="17" spans="1:8" hidden="1" outlineLevel="1" x14ac:dyDescent="0.35">
      <c r="A17" s="318"/>
      <c r="B17" s="318"/>
      <c r="C17" s="168" t="s">
        <v>429</v>
      </c>
      <c r="D17" s="168">
        <f>6500*95%</f>
        <v>6175</v>
      </c>
      <c r="E17" s="168"/>
      <c r="F17" s="168"/>
      <c r="G17" s="166"/>
      <c r="H17" s="166"/>
    </row>
    <row r="18" spans="1:8" hidden="1" outlineLevel="1" x14ac:dyDescent="0.35">
      <c r="A18" s="318"/>
      <c r="B18" s="318"/>
      <c r="C18" s="168" t="s">
        <v>430</v>
      </c>
      <c r="D18" s="168"/>
      <c r="E18" s="168"/>
      <c r="F18" s="168"/>
      <c r="G18" s="174">
        <v>1978000</v>
      </c>
      <c r="H18" s="166"/>
    </row>
    <row r="19" spans="1:8" hidden="1" outlineLevel="1" x14ac:dyDescent="0.35">
      <c r="A19" s="318"/>
      <c r="B19" s="318"/>
      <c r="C19" s="168" t="s">
        <v>431</v>
      </c>
      <c r="D19" s="168"/>
      <c r="E19" s="168"/>
      <c r="F19" s="173">
        <v>61000</v>
      </c>
      <c r="G19" s="166"/>
      <c r="H19" s="166"/>
    </row>
    <row r="20" spans="1:8" hidden="1" outlineLevel="1" x14ac:dyDescent="0.35">
      <c r="A20" s="318"/>
      <c r="B20" s="318"/>
      <c r="C20" s="172" t="s">
        <v>589</v>
      </c>
      <c r="D20" s="175">
        <v>62000000000</v>
      </c>
      <c r="E20" s="166"/>
      <c r="F20" s="166"/>
      <c r="G20" s="166"/>
      <c r="H20" s="166"/>
    </row>
    <row r="21" spans="1:8" hidden="1" outlineLevel="1" x14ac:dyDescent="0.35">
      <c r="A21" s="319"/>
      <c r="B21" s="319"/>
      <c r="C21" s="308"/>
      <c r="D21" s="309"/>
      <c r="E21" s="309"/>
      <c r="F21" s="309"/>
      <c r="G21" s="309"/>
      <c r="H21" s="310"/>
    </row>
    <row r="22" spans="1:8" hidden="1" outlineLevel="1" x14ac:dyDescent="0.35">
      <c r="A22" s="314" t="s">
        <v>488</v>
      </c>
      <c r="B22" s="314" t="s">
        <v>432</v>
      </c>
      <c r="C22" s="168" t="s">
        <v>433</v>
      </c>
      <c r="D22" s="174">
        <v>97500000</v>
      </c>
      <c r="E22" s="166"/>
      <c r="F22" s="166"/>
      <c r="G22" s="166"/>
      <c r="H22" s="166"/>
    </row>
    <row r="23" spans="1:8" hidden="1" outlineLevel="1" x14ac:dyDescent="0.35">
      <c r="A23" s="315"/>
      <c r="B23" s="315"/>
      <c r="C23" s="168" t="s">
        <v>434</v>
      </c>
      <c r="D23" s="174">
        <v>12000000</v>
      </c>
      <c r="E23" s="166"/>
      <c r="F23" s="166"/>
      <c r="G23" s="166"/>
      <c r="H23" s="166"/>
    </row>
    <row r="24" spans="1:8" hidden="1" outlineLevel="1" x14ac:dyDescent="0.35">
      <c r="A24" s="315"/>
      <c r="B24" s="315"/>
      <c r="C24" s="168" t="s">
        <v>435</v>
      </c>
      <c r="D24" s="174">
        <v>12000000</v>
      </c>
      <c r="E24" s="166"/>
      <c r="F24" s="166"/>
      <c r="G24" s="166"/>
      <c r="H24" s="166"/>
    </row>
    <row r="25" spans="1:8" hidden="1" outlineLevel="1" x14ac:dyDescent="0.35">
      <c r="A25" s="315"/>
      <c r="B25" s="315"/>
      <c r="C25" s="168" t="s">
        <v>436</v>
      </c>
      <c r="D25" s="174">
        <v>116000</v>
      </c>
      <c r="E25" s="166"/>
      <c r="F25" s="166"/>
      <c r="G25" s="166"/>
      <c r="H25" s="166"/>
    </row>
    <row r="26" spans="1:8" hidden="1" outlineLevel="1" x14ac:dyDescent="0.35">
      <c r="A26" s="315"/>
      <c r="B26" s="315"/>
      <c r="C26" s="168" t="s">
        <v>428</v>
      </c>
      <c r="D26" s="174">
        <v>232000</v>
      </c>
      <c r="E26" s="166"/>
      <c r="F26" s="166"/>
      <c r="G26" s="166"/>
      <c r="H26" s="166"/>
    </row>
    <row r="27" spans="1:8" hidden="1" outlineLevel="1" x14ac:dyDescent="0.35">
      <c r="A27" s="315"/>
      <c r="B27" s="315"/>
      <c r="C27" s="168" t="s">
        <v>437</v>
      </c>
      <c r="D27" s="166"/>
      <c r="E27" s="166"/>
      <c r="F27" s="166"/>
      <c r="G27" s="174">
        <v>165500000</v>
      </c>
      <c r="H27" s="166"/>
    </row>
    <row r="28" spans="1:8" hidden="1" outlineLevel="1" x14ac:dyDescent="0.35">
      <c r="A28" s="315"/>
      <c r="B28" s="315"/>
      <c r="C28" s="168" t="s">
        <v>438</v>
      </c>
      <c r="D28" s="166"/>
      <c r="E28" s="166"/>
      <c r="F28" s="166"/>
      <c r="G28" s="166"/>
      <c r="H28" s="166">
        <v>11415000</v>
      </c>
    </row>
    <row r="29" spans="1:8" hidden="1" outlineLevel="1" x14ac:dyDescent="0.35">
      <c r="A29" s="315"/>
      <c r="B29" s="315"/>
      <c r="C29" s="176" t="s">
        <v>597</v>
      </c>
      <c r="D29" s="175">
        <v>94000000000</v>
      </c>
      <c r="E29" s="166"/>
      <c r="F29" s="166"/>
      <c r="G29" s="166"/>
      <c r="H29" s="166"/>
    </row>
    <row r="30" spans="1:8" hidden="1" outlineLevel="1" x14ac:dyDescent="0.35">
      <c r="A30" s="316"/>
      <c r="B30" s="316"/>
      <c r="C30" s="305"/>
      <c r="D30" s="306"/>
      <c r="E30" s="306"/>
      <c r="F30" s="306"/>
      <c r="G30" s="306"/>
      <c r="H30" s="307"/>
    </row>
    <row r="31" spans="1:8" hidden="1" outlineLevel="1" x14ac:dyDescent="0.35">
      <c r="A31" s="311" t="s">
        <v>493</v>
      </c>
      <c r="B31" s="311" t="s">
        <v>439</v>
      </c>
      <c r="C31" s="168" t="s">
        <v>440</v>
      </c>
      <c r="D31" s="177">
        <v>712000000</v>
      </c>
      <c r="E31" s="166"/>
      <c r="F31" s="166"/>
      <c r="G31" s="166"/>
      <c r="H31" s="166"/>
    </row>
    <row r="32" spans="1:8" hidden="1" outlineLevel="1" x14ac:dyDescent="0.35">
      <c r="A32" s="312"/>
      <c r="B32" s="312"/>
      <c r="C32" s="168" t="s">
        <v>441</v>
      </c>
      <c r="D32" s="177">
        <v>3800000</v>
      </c>
      <c r="E32" s="166"/>
      <c r="F32" s="166"/>
      <c r="G32" s="166"/>
      <c r="H32" s="166"/>
    </row>
    <row r="33" spans="1:11" hidden="1" outlineLevel="1" x14ac:dyDescent="0.35">
      <c r="A33" s="312"/>
      <c r="B33" s="312"/>
      <c r="C33" s="168" t="s">
        <v>426</v>
      </c>
      <c r="D33" s="177">
        <v>8100000</v>
      </c>
      <c r="E33" s="166"/>
      <c r="F33" s="166"/>
      <c r="G33" s="166"/>
      <c r="H33" s="166"/>
    </row>
    <row r="34" spans="1:11" hidden="1" outlineLevel="1" x14ac:dyDescent="0.35">
      <c r="A34" s="312"/>
      <c r="B34" s="312"/>
      <c r="C34" s="168" t="s">
        <v>442</v>
      </c>
      <c r="D34" s="177"/>
      <c r="E34" s="166">
        <v>10463</v>
      </c>
      <c r="F34" s="166"/>
      <c r="G34" s="166"/>
      <c r="H34" s="166"/>
    </row>
    <row r="35" spans="1:11" hidden="1" outlineLevel="1" x14ac:dyDescent="0.35">
      <c r="A35" s="312"/>
      <c r="B35" s="312"/>
      <c r="C35" s="168" t="s">
        <v>427</v>
      </c>
      <c r="D35" s="177">
        <v>425000</v>
      </c>
      <c r="E35" s="166"/>
      <c r="F35" s="166"/>
      <c r="G35" s="166"/>
      <c r="H35" s="166"/>
    </row>
    <row r="36" spans="1:11" hidden="1" outlineLevel="1" x14ac:dyDescent="0.35">
      <c r="A36" s="312"/>
      <c r="B36" s="312"/>
      <c r="C36" s="166" t="s">
        <v>443</v>
      </c>
      <c r="D36" s="177"/>
      <c r="E36" s="166"/>
      <c r="F36" s="166"/>
      <c r="G36" s="166"/>
      <c r="H36" s="166">
        <v>74922800</v>
      </c>
    </row>
    <row r="37" spans="1:11" hidden="1" outlineLevel="1" x14ac:dyDescent="0.35">
      <c r="A37" s="313"/>
      <c r="B37" s="313"/>
      <c r="C37" s="176" t="s">
        <v>596</v>
      </c>
      <c r="D37" s="175">
        <v>219000000000</v>
      </c>
      <c r="E37" s="166"/>
      <c r="F37" s="166"/>
      <c r="G37" s="166"/>
      <c r="H37" s="166"/>
    </row>
    <row r="38" spans="1:11" hidden="1" outlineLevel="1" x14ac:dyDescent="0.35"/>
    <row r="39" spans="1:11" s="206" customFormat="1" ht="18.5" hidden="1" outlineLevel="1" x14ac:dyDescent="0.45">
      <c r="A39" s="205" t="s">
        <v>725</v>
      </c>
    </row>
    <row r="40" spans="1:11" s="83" customFormat="1" hidden="1" outlineLevel="1" x14ac:dyDescent="0.35"/>
    <row r="41" spans="1:11" s="5" customFormat="1" ht="15.5" hidden="1" outlineLevel="1" x14ac:dyDescent="0.35">
      <c r="B41" s="85" t="s">
        <v>593</v>
      </c>
      <c r="E41" s="85" t="s">
        <v>179</v>
      </c>
      <c r="F41" s="85" t="s">
        <v>180</v>
      </c>
      <c r="G41" s="85" t="s">
        <v>513</v>
      </c>
      <c r="I41" s="85" t="s">
        <v>181</v>
      </c>
      <c r="K41" s="85" t="s">
        <v>182</v>
      </c>
    </row>
    <row r="42" spans="1:11" s="5" customFormat="1" hidden="1" outlineLevel="1" x14ac:dyDescent="0.35">
      <c r="C42" s="84" t="s">
        <v>183</v>
      </c>
      <c r="E42" s="86"/>
      <c r="F42" s="87"/>
      <c r="G42" s="86"/>
      <c r="H42" s="88"/>
      <c r="I42" s="86"/>
      <c r="J42" s="86"/>
    </row>
    <row r="43" spans="1:11" s="5" customFormat="1" hidden="1" outlineLevel="1" x14ac:dyDescent="0.35">
      <c r="D43" s="5" t="s">
        <v>425</v>
      </c>
      <c r="E43" s="57">
        <v>1</v>
      </c>
      <c r="F43" s="5" t="s">
        <v>590</v>
      </c>
      <c r="I43" s="86"/>
      <c r="J43" s="86"/>
    </row>
    <row r="44" spans="1:11" s="5" customFormat="1" hidden="1" outlineLevel="1" x14ac:dyDescent="0.35">
      <c r="I44" s="86"/>
      <c r="J44" s="86"/>
    </row>
    <row r="45" spans="1:11" s="5" customFormat="1" hidden="1" outlineLevel="1" x14ac:dyDescent="0.35">
      <c r="C45" s="84" t="s">
        <v>186</v>
      </c>
      <c r="I45" s="86"/>
      <c r="J45" s="86"/>
    </row>
    <row r="46" spans="1:11" s="5" customFormat="1" hidden="1" outlineLevel="1" x14ac:dyDescent="0.35">
      <c r="C46" s="84"/>
      <c r="D46" s="41" t="s">
        <v>375</v>
      </c>
      <c r="E46" s="169">
        <f>E13/D20*1000</f>
        <v>1.0483870967741936E-6</v>
      </c>
      <c r="F46" s="5" t="s">
        <v>470</v>
      </c>
      <c r="G46" s="5" t="s">
        <v>685</v>
      </c>
      <c r="I46" s="86"/>
      <c r="J46" s="86"/>
    </row>
    <row r="47" spans="1:11" s="5" customFormat="1" hidden="1" outlineLevel="1" x14ac:dyDescent="0.35">
      <c r="C47" s="84"/>
      <c r="D47" s="41" t="s">
        <v>426</v>
      </c>
      <c r="E47" s="169">
        <f>D14/$D$20*1000</f>
        <v>5.2419354838709679E-5</v>
      </c>
      <c r="F47" s="5" t="s">
        <v>465</v>
      </c>
      <c r="G47" s="5" t="s">
        <v>264</v>
      </c>
      <c r="I47" s="5" t="s">
        <v>598</v>
      </c>
      <c r="J47" s="86"/>
      <c r="K47" s="86"/>
    </row>
    <row r="48" spans="1:11" s="5" customFormat="1" hidden="1" outlineLevel="1" x14ac:dyDescent="0.35">
      <c r="C48" s="84"/>
      <c r="D48" s="41" t="s">
        <v>427</v>
      </c>
      <c r="E48" s="169">
        <f>D15/$D$20*1000</f>
        <v>1.1290322580645161E-4</v>
      </c>
      <c r="F48" s="5" t="s">
        <v>465</v>
      </c>
      <c r="G48" s="5" t="s">
        <v>599</v>
      </c>
      <c r="J48" s="86"/>
      <c r="K48" s="86"/>
    </row>
    <row r="49" spans="2:14" s="5" customFormat="1" hidden="1" outlineLevel="1" x14ac:dyDescent="0.35">
      <c r="C49" s="84"/>
      <c r="D49" s="41" t="s">
        <v>428</v>
      </c>
      <c r="E49" s="169">
        <f>D16/$D$20*1000</f>
        <v>3.2258064516129032E-4</v>
      </c>
      <c r="F49" s="5" t="s">
        <v>465</v>
      </c>
      <c r="G49" s="5" t="s">
        <v>600</v>
      </c>
      <c r="J49" s="86"/>
      <c r="K49" s="86"/>
    </row>
    <row r="50" spans="2:14" s="5" customFormat="1" hidden="1" outlineLevel="1" x14ac:dyDescent="0.35">
      <c r="C50" s="84"/>
      <c r="D50" s="41" t="s">
        <v>429</v>
      </c>
      <c r="E50" s="169">
        <f>D17/$D$20*1000</f>
        <v>9.9596774193548381E-5</v>
      </c>
      <c r="F50" s="5" t="s">
        <v>465</v>
      </c>
      <c r="G50" s="5" t="s">
        <v>264</v>
      </c>
      <c r="J50" s="86"/>
      <c r="K50" s="86"/>
    </row>
    <row r="51" spans="2:14" s="5" customFormat="1" hidden="1" outlineLevel="1" x14ac:dyDescent="0.35">
      <c r="C51" s="84"/>
      <c r="D51" s="41" t="s">
        <v>430</v>
      </c>
      <c r="E51" s="169">
        <f>G18/D20*1000</f>
        <v>3.1903225806451607E-2</v>
      </c>
      <c r="F51" s="41" t="s">
        <v>591</v>
      </c>
      <c r="G51" s="41" t="s">
        <v>601</v>
      </c>
      <c r="I51" s="84"/>
      <c r="J51" s="84"/>
      <c r="K51" s="84"/>
      <c r="L51" s="84"/>
      <c r="M51" s="84"/>
      <c r="N51" s="84"/>
    </row>
    <row r="52" spans="2:14" s="5" customFormat="1" hidden="1" outlineLevel="1" x14ac:dyDescent="0.35">
      <c r="C52" s="84"/>
      <c r="D52" s="41" t="s">
        <v>431</v>
      </c>
      <c r="E52" s="169">
        <f>F19/D20*1000</f>
        <v>9.8387096774193539E-4</v>
      </c>
      <c r="F52" s="5" t="s">
        <v>592</v>
      </c>
      <c r="G52" s="5" t="s">
        <v>204</v>
      </c>
      <c r="J52" s="86"/>
      <c r="K52" s="86"/>
      <c r="L52" s="90"/>
    </row>
    <row r="53" spans="2:14" s="5" customFormat="1" hidden="1" outlineLevel="1" x14ac:dyDescent="0.35">
      <c r="C53" s="84"/>
      <c r="D53" s="99"/>
      <c r="I53" s="99"/>
      <c r="J53" s="86"/>
      <c r="K53" s="86"/>
    </row>
    <row r="54" spans="2:14" s="5" customFormat="1" hidden="1" outlineLevel="1" x14ac:dyDescent="0.35">
      <c r="C54" s="84" t="s">
        <v>251</v>
      </c>
      <c r="J54" s="86"/>
      <c r="K54" s="86"/>
    </row>
    <row r="55" spans="2:14" s="5" customFormat="1" hidden="1" outlineLevel="1" x14ac:dyDescent="0.35">
      <c r="C55" s="84"/>
      <c r="D55" s="5" t="s">
        <v>253</v>
      </c>
      <c r="E55" s="169">
        <f>-E47-E50</f>
        <v>-1.5201612903225807E-4</v>
      </c>
      <c r="F55" s="5" t="s">
        <v>465</v>
      </c>
      <c r="G55" s="98" t="s">
        <v>254</v>
      </c>
      <c r="J55" s="86"/>
    </row>
    <row r="56" spans="2:14" s="5" customFormat="1" hidden="1" outlineLevel="1" x14ac:dyDescent="0.35">
      <c r="C56" s="84"/>
      <c r="D56" s="5" t="s">
        <v>444</v>
      </c>
      <c r="E56" s="169">
        <f>-E46</f>
        <v>-1.0483870967741936E-6</v>
      </c>
      <c r="F56" s="5" t="s">
        <v>470</v>
      </c>
      <c r="G56" s="5" t="s">
        <v>398</v>
      </c>
      <c r="J56" s="86"/>
    </row>
    <row r="57" spans="2:14" s="5" customFormat="1" hidden="1" outlineLevel="1" x14ac:dyDescent="0.35">
      <c r="C57" s="84"/>
      <c r="D57" s="41" t="s">
        <v>445</v>
      </c>
      <c r="E57" s="169">
        <f>-E49</f>
        <v>-3.2258064516129032E-4</v>
      </c>
      <c r="F57" s="5" t="s">
        <v>465</v>
      </c>
      <c r="G57" s="5" t="s">
        <v>252</v>
      </c>
      <c r="J57" s="86"/>
    </row>
    <row r="58" spans="2:14" s="5" customFormat="1" hidden="1" outlineLevel="1" x14ac:dyDescent="0.35"/>
    <row r="59" spans="2:14" s="170" customFormat="1" hidden="1" outlineLevel="1" x14ac:dyDescent="0.35"/>
    <row r="60" spans="2:14" s="5" customFormat="1" ht="15.5" hidden="1" outlineLevel="1" x14ac:dyDescent="0.35">
      <c r="B60" s="85" t="s">
        <v>593</v>
      </c>
      <c r="E60" s="85" t="s">
        <v>179</v>
      </c>
      <c r="F60" s="85" t="s">
        <v>180</v>
      </c>
      <c r="G60" s="85" t="s">
        <v>513</v>
      </c>
      <c r="I60" s="85" t="s">
        <v>181</v>
      </c>
      <c r="K60" s="85" t="s">
        <v>182</v>
      </c>
    </row>
    <row r="61" spans="2:14" s="5" customFormat="1" hidden="1" outlineLevel="1" x14ac:dyDescent="0.35">
      <c r="C61" s="84" t="s">
        <v>183</v>
      </c>
      <c r="E61" s="86"/>
      <c r="F61" s="87"/>
      <c r="G61" s="86"/>
      <c r="H61" s="88"/>
      <c r="I61" s="86"/>
      <c r="J61" s="86"/>
    </row>
    <row r="62" spans="2:14" s="5" customFormat="1" hidden="1" outlineLevel="1" x14ac:dyDescent="0.35">
      <c r="D62" s="5" t="s">
        <v>594</v>
      </c>
      <c r="E62" s="57">
        <v>1</v>
      </c>
      <c r="F62" s="5" t="s">
        <v>590</v>
      </c>
      <c r="I62" s="86"/>
      <c r="J62" s="86"/>
    </row>
    <row r="63" spans="2:14" s="5" customFormat="1" hidden="1" outlineLevel="1" x14ac:dyDescent="0.35">
      <c r="I63" s="86"/>
      <c r="J63" s="86"/>
    </row>
    <row r="64" spans="2:14" s="5" customFormat="1" hidden="1" outlineLevel="1" x14ac:dyDescent="0.35">
      <c r="C64" s="84" t="s">
        <v>186</v>
      </c>
      <c r="I64" s="86"/>
      <c r="J64" s="86"/>
    </row>
    <row r="65" spans="2:14" s="5" customFormat="1" hidden="1" outlineLevel="1" x14ac:dyDescent="0.35">
      <c r="C65" s="84"/>
      <c r="D65" s="41" t="s">
        <v>433</v>
      </c>
      <c r="E65" s="169">
        <f>D22/$D$29*1000</f>
        <v>1.0372340425531914</v>
      </c>
      <c r="F65" s="5" t="s">
        <v>465</v>
      </c>
      <c r="G65" s="5" t="s">
        <v>602</v>
      </c>
      <c r="I65" s="86"/>
      <c r="J65" s="86"/>
    </row>
    <row r="66" spans="2:14" s="5" customFormat="1" hidden="1" outlineLevel="1" x14ac:dyDescent="0.35">
      <c r="C66" s="84"/>
      <c r="D66" s="41" t="s">
        <v>434</v>
      </c>
      <c r="E66" s="169">
        <f>D23/$D$29*1000</f>
        <v>0.1276595744680851</v>
      </c>
      <c r="F66" s="5" t="s">
        <v>465</v>
      </c>
      <c r="G66" s="5" t="s">
        <v>603</v>
      </c>
      <c r="J66" s="86"/>
      <c r="K66" s="86"/>
    </row>
    <row r="67" spans="2:14" s="5" customFormat="1" hidden="1" outlineLevel="1" x14ac:dyDescent="0.35">
      <c r="C67" s="84"/>
      <c r="D67" s="41" t="s">
        <v>435</v>
      </c>
      <c r="E67" s="169">
        <f>D24/$D$29*1000</f>
        <v>0.1276595744680851</v>
      </c>
      <c r="F67" s="5" t="s">
        <v>465</v>
      </c>
      <c r="G67" s="5" t="s">
        <v>686</v>
      </c>
      <c r="J67" s="86"/>
      <c r="K67" s="86"/>
    </row>
    <row r="68" spans="2:14" s="5" customFormat="1" hidden="1" outlineLevel="1" x14ac:dyDescent="0.35">
      <c r="C68" s="84"/>
      <c r="D68" s="41" t="s">
        <v>436</v>
      </c>
      <c r="E68" s="169">
        <f>D25/$D$29*1000</f>
        <v>1.2340425531914894E-3</v>
      </c>
      <c r="F68" s="5" t="s">
        <v>465</v>
      </c>
      <c r="G68" s="5" t="s">
        <v>604</v>
      </c>
      <c r="J68" s="86"/>
      <c r="K68" s="86"/>
    </row>
    <row r="69" spans="2:14" s="5" customFormat="1" hidden="1" outlineLevel="1" x14ac:dyDescent="0.35">
      <c r="C69" s="84"/>
      <c r="D69" s="41" t="s">
        <v>428</v>
      </c>
      <c r="E69" s="169">
        <f>D26/$D$29*1000</f>
        <v>2.4680851063829789E-3</v>
      </c>
      <c r="F69" s="5" t="s">
        <v>465</v>
      </c>
      <c r="G69" s="5" t="s">
        <v>600</v>
      </c>
      <c r="J69" s="86"/>
      <c r="K69" s="86"/>
    </row>
    <row r="70" spans="2:14" s="5" customFormat="1" hidden="1" outlineLevel="1" x14ac:dyDescent="0.35">
      <c r="C70" s="84"/>
      <c r="D70" s="41" t="s">
        <v>437</v>
      </c>
      <c r="E70" s="169">
        <f>G27/D29*1000</f>
        <v>1.7606382978723405</v>
      </c>
      <c r="F70" s="41" t="s">
        <v>591</v>
      </c>
      <c r="G70" s="41" t="s">
        <v>601</v>
      </c>
      <c r="I70" s="84"/>
      <c r="J70" s="84"/>
      <c r="K70" s="84"/>
      <c r="L70" s="84"/>
      <c r="M70" s="84"/>
      <c r="N70" s="84"/>
    </row>
    <row r="71" spans="2:14" s="5" customFormat="1" hidden="1" outlineLevel="1" x14ac:dyDescent="0.35">
      <c r="C71" s="84"/>
      <c r="D71" s="41" t="s">
        <v>443</v>
      </c>
      <c r="E71" s="169">
        <f>H28/D29*1000</f>
        <v>0.12143617021276595</v>
      </c>
      <c r="F71" s="5" t="s">
        <v>595</v>
      </c>
      <c r="G71" s="5" t="s">
        <v>605</v>
      </c>
      <c r="J71" s="86"/>
      <c r="K71" s="86"/>
      <c r="L71" s="90"/>
    </row>
    <row r="72" spans="2:14" s="5" customFormat="1" hidden="1" outlineLevel="1" x14ac:dyDescent="0.35">
      <c r="C72" s="84"/>
      <c r="D72" s="99"/>
      <c r="I72" s="99"/>
      <c r="J72" s="86"/>
      <c r="K72" s="86"/>
    </row>
    <row r="73" spans="2:14" s="5" customFormat="1" hidden="1" outlineLevel="1" x14ac:dyDescent="0.35">
      <c r="C73" s="84" t="s">
        <v>251</v>
      </c>
      <c r="J73" s="86"/>
      <c r="K73" s="86"/>
    </row>
    <row r="74" spans="2:14" s="5" customFormat="1" hidden="1" outlineLevel="1" x14ac:dyDescent="0.35">
      <c r="C74" s="84"/>
      <c r="D74" s="5" t="s">
        <v>253</v>
      </c>
      <c r="E74" s="169">
        <f>-E66</f>
        <v>-0.1276595744680851</v>
      </c>
      <c r="F74" s="5" t="s">
        <v>465</v>
      </c>
      <c r="G74" s="98" t="s">
        <v>254</v>
      </c>
      <c r="J74" s="86"/>
    </row>
    <row r="75" spans="2:14" s="5" customFormat="1" hidden="1" outlineLevel="1" x14ac:dyDescent="0.35">
      <c r="C75" s="84"/>
      <c r="D75" s="41" t="s">
        <v>445</v>
      </c>
      <c r="E75" s="169">
        <f>-E68</f>
        <v>-1.2340425531914894E-3</v>
      </c>
      <c r="F75" s="5" t="s">
        <v>465</v>
      </c>
      <c r="G75" s="5" t="s">
        <v>252</v>
      </c>
      <c r="J75" s="86"/>
    </row>
    <row r="76" spans="2:14" s="5" customFormat="1" hidden="1" outlineLevel="1" x14ac:dyDescent="0.35"/>
    <row r="77" spans="2:14" s="170" customFormat="1" hidden="1" outlineLevel="1" x14ac:dyDescent="0.35"/>
    <row r="78" spans="2:14" s="5" customFormat="1" ht="15.5" hidden="1" outlineLevel="1" x14ac:dyDescent="0.35">
      <c r="B78" s="85" t="s">
        <v>593</v>
      </c>
      <c r="E78" s="85" t="s">
        <v>179</v>
      </c>
      <c r="F78" s="85" t="s">
        <v>180</v>
      </c>
      <c r="G78" s="85" t="s">
        <v>513</v>
      </c>
      <c r="I78" s="85" t="s">
        <v>181</v>
      </c>
      <c r="K78" s="85" t="s">
        <v>182</v>
      </c>
    </row>
    <row r="79" spans="2:14" s="5" customFormat="1" hidden="1" outlineLevel="1" x14ac:dyDescent="0.35">
      <c r="C79" s="84" t="s">
        <v>183</v>
      </c>
      <c r="E79" s="86"/>
      <c r="F79" s="87"/>
      <c r="G79" s="86"/>
      <c r="H79" s="88"/>
      <c r="I79" s="86"/>
      <c r="J79" s="86"/>
    </row>
    <row r="80" spans="2:14" s="5" customFormat="1" hidden="1" outlineLevel="1" x14ac:dyDescent="0.35">
      <c r="D80" s="5" t="s">
        <v>439</v>
      </c>
      <c r="E80" s="57">
        <v>1</v>
      </c>
      <c r="F80" s="5" t="s">
        <v>590</v>
      </c>
      <c r="I80" s="86"/>
      <c r="J80" s="86"/>
    </row>
    <row r="81" spans="1:14" s="5" customFormat="1" hidden="1" outlineLevel="1" x14ac:dyDescent="0.35">
      <c r="I81" s="86"/>
      <c r="J81" s="86"/>
    </row>
    <row r="82" spans="1:14" s="5" customFormat="1" hidden="1" outlineLevel="1" x14ac:dyDescent="0.35">
      <c r="C82" s="84" t="s">
        <v>186</v>
      </c>
      <c r="I82" s="86"/>
      <c r="J82" s="86"/>
    </row>
    <row r="83" spans="1:14" s="5" customFormat="1" hidden="1" outlineLevel="1" x14ac:dyDescent="0.35">
      <c r="C83" s="84"/>
      <c r="D83" s="41" t="s">
        <v>440</v>
      </c>
      <c r="E83" s="169">
        <f>D31/$D$37*1000</f>
        <v>3.2511415525114153</v>
      </c>
      <c r="F83" s="5" t="s">
        <v>465</v>
      </c>
      <c r="G83" s="5" t="s">
        <v>602</v>
      </c>
      <c r="I83" s="86"/>
      <c r="J83" s="86"/>
    </row>
    <row r="84" spans="1:14" s="5" customFormat="1" hidden="1" outlineLevel="1" x14ac:dyDescent="0.35">
      <c r="C84" s="84"/>
      <c r="D84" s="41" t="s">
        <v>441</v>
      </c>
      <c r="E84" s="169">
        <f>D32/$D$37*1000</f>
        <v>1.7351598173515982E-2</v>
      </c>
      <c r="F84" s="5" t="s">
        <v>465</v>
      </c>
      <c r="G84" s="5" t="s">
        <v>241</v>
      </c>
      <c r="J84" s="86"/>
      <c r="K84" s="86"/>
    </row>
    <row r="85" spans="1:14" s="5" customFormat="1" hidden="1" outlineLevel="1" x14ac:dyDescent="0.35">
      <c r="C85" s="84"/>
      <c r="D85" s="41" t="s">
        <v>426</v>
      </c>
      <c r="E85" s="169">
        <f>D33/$D$37*1000</f>
        <v>3.6986301369863014E-2</v>
      </c>
      <c r="F85" s="5" t="s">
        <v>465</v>
      </c>
      <c r="G85" s="5" t="s">
        <v>264</v>
      </c>
      <c r="I85" s="5" t="s">
        <v>598</v>
      </c>
      <c r="J85" s="86"/>
      <c r="K85" s="86"/>
    </row>
    <row r="86" spans="1:14" s="5" customFormat="1" hidden="1" outlineLevel="1" x14ac:dyDescent="0.35">
      <c r="C86" s="84"/>
      <c r="D86" s="41" t="s">
        <v>442</v>
      </c>
      <c r="E86" s="169">
        <f>E34/$D$37*1000</f>
        <v>4.7776255707762552E-5</v>
      </c>
      <c r="F86" s="5" t="s">
        <v>470</v>
      </c>
      <c r="G86" s="5" t="s">
        <v>685</v>
      </c>
      <c r="J86" s="86"/>
      <c r="K86" s="86"/>
    </row>
    <row r="87" spans="1:14" s="5" customFormat="1" hidden="1" outlineLevel="1" x14ac:dyDescent="0.35">
      <c r="C87" s="84"/>
      <c r="D87" s="41" t="s">
        <v>427</v>
      </c>
      <c r="E87" s="169">
        <f>D35/$D$37*1000</f>
        <v>1.9406392694063927E-3</v>
      </c>
      <c r="F87" s="5" t="s">
        <v>465</v>
      </c>
      <c r="G87" s="5" t="s">
        <v>599</v>
      </c>
      <c r="J87" s="86"/>
      <c r="K87" s="86"/>
    </row>
    <row r="88" spans="1:14" s="5" customFormat="1" hidden="1" outlineLevel="1" x14ac:dyDescent="0.35">
      <c r="C88" s="84"/>
      <c r="D88" s="41" t="s">
        <v>443</v>
      </c>
      <c r="E88" s="169">
        <f>H36/D37*1000</f>
        <v>0.3421132420091324</v>
      </c>
      <c r="F88" s="41" t="s">
        <v>595</v>
      </c>
      <c r="G88" s="5" t="s">
        <v>605</v>
      </c>
      <c r="I88" s="84"/>
      <c r="J88" s="84"/>
      <c r="K88" s="84"/>
      <c r="L88" s="84"/>
      <c r="M88" s="84"/>
      <c r="N88" s="84"/>
    </row>
    <row r="89" spans="1:14" s="5" customFormat="1" hidden="1" outlineLevel="1" x14ac:dyDescent="0.35">
      <c r="C89" s="84"/>
      <c r="D89" s="99"/>
      <c r="I89" s="99"/>
      <c r="J89" s="86"/>
      <c r="K89" s="86"/>
    </row>
    <row r="90" spans="1:14" s="5" customFormat="1" hidden="1" outlineLevel="1" x14ac:dyDescent="0.35">
      <c r="C90" s="84" t="s">
        <v>251</v>
      </c>
      <c r="J90" s="86"/>
      <c r="K90" s="86"/>
    </row>
    <row r="91" spans="1:14" s="5" customFormat="1" hidden="1" outlineLevel="1" x14ac:dyDescent="0.35">
      <c r="C91" s="84"/>
      <c r="D91" s="5" t="s">
        <v>253</v>
      </c>
      <c r="E91" s="169">
        <f>-E84-E85</f>
        <v>-5.4337899543378997E-2</v>
      </c>
      <c r="F91" s="5" t="s">
        <v>465</v>
      </c>
      <c r="G91" s="98" t="s">
        <v>254</v>
      </c>
      <c r="J91" s="86"/>
    </row>
    <row r="92" spans="1:14" s="5" customFormat="1" hidden="1" outlineLevel="1" x14ac:dyDescent="0.35">
      <c r="C92" s="84"/>
      <c r="D92" s="5" t="s">
        <v>444</v>
      </c>
      <c r="E92" s="169">
        <f>-E86</f>
        <v>-4.7776255707762552E-5</v>
      </c>
      <c r="F92" s="5" t="s">
        <v>470</v>
      </c>
      <c r="G92" s="5" t="s">
        <v>398</v>
      </c>
      <c r="J92" s="86"/>
    </row>
    <row r="93" spans="1:14" s="5" customFormat="1" hidden="1" outlineLevel="1" x14ac:dyDescent="0.35"/>
    <row r="94" spans="1:14" s="28" customFormat="1" collapsed="1" x14ac:dyDescent="0.35"/>
    <row r="95" spans="1:14" s="50" customFormat="1" ht="23.5" x14ac:dyDescent="0.55000000000000004">
      <c r="A95" s="49" t="s">
        <v>726</v>
      </c>
    </row>
    <row r="96" spans="1:14" ht="15.5" outlineLevel="1" x14ac:dyDescent="0.35">
      <c r="A96" s="165" t="s">
        <v>847</v>
      </c>
    </row>
    <row r="97" spans="1:11" ht="15.5" outlineLevel="1" x14ac:dyDescent="0.35">
      <c r="A97" s="165" t="s">
        <v>733</v>
      </c>
    </row>
    <row r="98" spans="1:11" ht="15.5" outlineLevel="1" x14ac:dyDescent="0.35">
      <c r="A98" s="165"/>
    </row>
    <row r="99" spans="1:11" outlineLevel="1" x14ac:dyDescent="0.35">
      <c r="A99" s="166"/>
      <c r="B99" s="166"/>
      <c r="C99" s="144" t="s">
        <v>476</v>
      </c>
    </row>
    <row r="100" spans="1:11" outlineLevel="1" x14ac:dyDescent="0.35">
      <c r="A100" s="166" t="s">
        <v>473</v>
      </c>
      <c r="B100" s="166" t="s">
        <v>727</v>
      </c>
      <c r="C100" s="144" t="s">
        <v>728</v>
      </c>
    </row>
    <row r="101" spans="1:11" outlineLevel="1" x14ac:dyDescent="0.35">
      <c r="A101" s="166" t="s">
        <v>488</v>
      </c>
      <c r="B101" s="166" t="s">
        <v>732</v>
      </c>
      <c r="C101" s="144" t="s">
        <v>728</v>
      </c>
    </row>
    <row r="102" spans="1:11" outlineLevel="1" x14ac:dyDescent="0.35">
      <c r="A102" s="166" t="s">
        <v>493</v>
      </c>
      <c r="B102" s="166" t="s">
        <v>730</v>
      </c>
      <c r="C102" s="144" t="s">
        <v>729</v>
      </c>
    </row>
    <row r="103" spans="1:11" outlineLevel="1" x14ac:dyDescent="0.35">
      <c r="A103" s="166" t="s">
        <v>493</v>
      </c>
      <c r="B103" s="166" t="s">
        <v>731</v>
      </c>
      <c r="C103" s="144" t="s">
        <v>728</v>
      </c>
    </row>
    <row r="104" spans="1:11" ht="15.5" outlineLevel="1" x14ac:dyDescent="0.35">
      <c r="A104" s="165"/>
    </row>
    <row r="105" spans="1:11" s="206" customFormat="1" ht="18.5" outlineLevel="1" x14ac:dyDescent="0.45">
      <c r="A105" s="205" t="s">
        <v>734</v>
      </c>
    </row>
    <row r="106" spans="1:11" s="83" customFormat="1" outlineLevel="1" x14ac:dyDescent="0.35"/>
    <row r="107" spans="1:11" s="5" customFormat="1" ht="15.5" outlineLevel="1" x14ac:dyDescent="0.35">
      <c r="B107" s="85" t="s">
        <v>593</v>
      </c>
      <c r="E107" s="85" t="s">
        <v>179</v>
      </c>
      <c r="F107" s="85" t="s">
        <v>180</v>
      </c>
      <c r="G107" s="85" t="s">
        <v>513</v>
      </c>
      <c r="I107" s="85" t="s">
        <v>181</v>
      </c>
      <c r="K107" s="85" t="s">
        <v>182</v>
      </c>
    </row>
    <row r="108" spans="1:11" s="5" customFormat="1" outlineLevel="1" x14ac:dyDescent="0.35">
      <c r="C108" s="84" t="s">
        <v>183</v>
      </c>
      <c r="E108" s="86"/>
      <c r="F108" s="87"/>
      <c r="G108" s="86"/>
      <c r="H108" s="88"/>
      <c r="I108" s="86"/>
      <c r="J108" s="86"/>
    </row>
    <row r="109" spans="1:11" s="5" customFormat="1" outlineLevel="1" x14ac:dyDescent="0.35">
      <c r="D109" s="5" t="s">
        <v>425</v>
      </c>
      <c r="E109" s="57">
        <v>1</v>
      </c>
      <c r="F109" s="5" t="s">
        <v>590</v>
      </c>
      <c r="I109" s="86"/>
      <c r="J109" s="86"/>
    </row>
    <row r="110" spans="1:11" s="5" customFormat="1" outlineLevel="1" x14ac:dyDescent="0.35">
      <c r="I110" s="86"/>
      <c r="J110" s="86"/>
    </row>
    <row r="111" spans="1:11" s="5" customFormat="1" outlineLevel="1" x14ac:dyDescent="0.35">
      <c r="C111" s="84" t="s">
        <v>186</v>
      </c>
      <c r="I111" s="86"/>
      <c r="J111" s="86"/>
    </row>
    <row r="112" spans="1:11" s="5" customFormat="1" outlineLevel="1" x14ac:dyDescent="0.35">
      <c r="C112" s="84"/>
      <c r="D112" s="41" t="s">
        <v>375</v>
      </c>
      <c r="E112" s="169">
        <f>E46</f>
        <v>1.0483870967741936E-6</v>
      </c>
      <c r="F112" s="5" t="s">
        <v>470</v>
      </c>
      <c r="G112" s="5" t="s">
        <v>685</v>
      </c>
      <c r="I112" s="86"/>
      <c r="J112" s="86"/>
    </row>
    <row r="113" spans="2:14" s="5" customFormat="1" outlineLevel="1" x14ac:dyDescent="0.35">
      <c r="C113" s="84"/>
      <c r="D113" s="41" t="s">
        <v>426</v>
      </c>
      <c r="E113" s="169">
        <f t="shared" ref="E113:E123" si="0">E47</f>
        <v>5.2419354838709679E-5</v>
      </c>
      <c r="F113" s="5" t="s">
        <v>465</v>
      </c>
      <c r="G113" s="5" t="s">
        <v>264</v>
      </c>
      <c r="I113" s="5" t="s">
        <v>598</v>
      </c>
      <c r="J113" s="86"/>
      <c r="K113" s="86"/>
    </row>
    <row r="114" spans="2:14" s="5" customFormat="1" outlineLevel="1" x14ac:dyDescent="0.35">
      <c r="C114" s="84"/>
      <c r="D114" s="41" t="s">
        <v>427</v>
      </c>
      <c r="E114" s="169">
        <f t="shared" si="0"/>
        <v>1.1290322580645161E-4</v>
      </c>
      <c r="F114" s="5" t="s">
        <v>465</v>
      </c>
      <c r="G114" s="5" t="s">
        <v>599</v>
      </c>
      <c r="J114" s="86"/>
      <c r="K114" s="86"/>
    </row>
    <row r="115" spans="2:14" s="5" customFormat="1" outlineLevel="1" x14ac:dyDescent="0.35">
      <c r="C115" s="84"/>
      <c r="D115" s="41" t="s">
        <v>428</v>
      </c>
      <c r="E115" s="169">
        <f t="shared" si="0"/>
        <v>3.2258064516129032E-4</v>
      </c>
      <c r="F115" s="5" t="s">
        <v>465</v>
      </c>
      <c r="G115" s="5" t="s">
        <v>600</v>
      </c>
      <c r="J115" s="86"/>
      <c r="K115" s="86"/>
    </row>
    <row r="116" spans="2:14" s="5" customFormat="1" outlineLevel="1" x14ac:dyDescent="0.35">
      <c r="C116" s="84"/>
      <c r="D116" s="41" t="s">
        <v>429</v>
      </c>
      <c r="E116" s="169">
        <f t="shared" si="0"/>
        <v>9.9596774193548381E-5</v>
      </c>
      <c r="F116" s="5" t="s">
        <v>465</v>
      </c>
      <c r="G116" s="5" t="s">
        <v>264</v>
      </c>
      <c r="J116" s="86"/>
      <c r="K116" s="86"/>
    </row>
    <row r="117" spans="2:14" s="5" customFormat="1" outlineLevel="1" x14ac:dyDescent="0.35">
      <c r="C117" s="84"/>
      <c r="D117" s="41" t="s">
        <v>430</v>
      </c>
      <c r="E117" s="169">
        <f t="shared" si="0"/>
        <v>3.1903225806451607E-2</v>
      </c>
      <c r="F117" s="41" t="s">
        <v>591</v>
      </c>
      <c r="G117" s="41" t="s">
        <v>601</v>
      </c>
      <c r="I117" s="84"/>
      <c r="J117" s="84"/>
      <c r="K117" s="84"/>
      <c r="L117" s="84"/>
      <c r="M117" s="84"/>
      <c r="N117" s="84"/>
    </row>
    <row r="118" spans="2:14" s="5" customFormat="1" outlineLevel="1" x14ac:dyDescent="0.35">
      <c r="C118" s="84"/>
      <c r="D118" s="41" t="s">
        <v>431</v>
      </c>
      <c r="E118" s="169">
        <f t="shared" si="0"/>
        <v>9.8387096774193539E-4</v>
      </c>
      <c r="F118" s="5" t="s">
        <v>592</v>
      </c>
      <c r="G118" s="5" t="s">
        <v>204</v>
      </c>
      <c r="J118" s="86"/>
      <c r="K118" s="86"/>
      <c r="L118" s="90"/>
    </row>
    <row r="119" spans="2:14" s="5" customFormat="1" outlineLevel="1" x14ac:dyDescent="0.35">
      <c r="C119" s="84"/>
      <c r="D119" s="99"/>
      <c r="E119" s="99"/>
      <c r="I119" s="99"/>
      <c r="J119" s="86"/>
      <c r="K119" s="86"/>
    </row>
    <row r="120" spans="2:14" s="5" customFormat="1" outlineLevel="1" x14ac:dyDescent="0.35">
      <c r="C120" s="84" t="s">
        <v>251</v>
      </c>
      <c r="D120" s="99"/>
      <c r="E120" s="99"/>
      <c r="J120" s="86"/>
      <c r="K120" s="86"/>
    </row>
    <row r="121" spans="2:14" s="5" customFormat="1" outlineLevel="1" x14ac:dyDescent="0.35">
      <c r="C121" s="84"/>
      <c r="D121" s="5" t="s">
        <v>253</v>
      </c>
      <c r="E121" s="169">
        <f t="shared" si="0"/>
        <v>-1.5201612903225807E-4</v>
      </c>
      <c r="F121" s="5" t="s">
        <v>465</v>
      </c>
      <c r="G121" s="98" t="s">
        <v>254</v>
      </c>
      <c r="J121" s="86"/>
    </row>
    <row r="122" spans="2:14" s="5" customFormat="1" outlineLevel="1" x14ac:dyDescent="0.35">
      <c r="C122" s="84"/>
      <c r="D122" s="5" t="s">
        <v>444</v>
      </c>
      <c r="E122" s="169">
        <f t="shared" si="0"/>
        <v>-1.0483870967741936E-6</v>
      </c>
      <c r="F122" s="5" t="s">
        <v>470</v>
      </c>
      <c r="G122" s="5" t="s">
        <v>398</v>
      </c>
      <c r="J122" s="86"/>
    </row>
    <row r="123" spans="2:14" s="5" customFormat="1" outlineLevel="1" x14ac:dyDescent="0.35">
      <c r="C123" s="84"/>
      <c r="D123" s="41" t="s">
        <v>445</v>
      </c>
      <c r="E123" s="169">
        <f t="shared" si="0"/>
        <v>-3.2258064516129032E-4</v>
      </c>
      <c r="F123" s="5" t="s">
        <v>465</v>
      </c>
      <c r="G123" s="5" t="s">
        <v>252</v>
      </c>
      <c r="J123" s="86"/>
    </row>
    <row r="124" spans="2:14" s="5" customFormat="1" outlineLevel="1" x14ac:dyDescent="0.35"/>
    <row r="125" spans="2:14" s="170" customFormat="1" outlineLevel="1" x14ac:dyDescent="0.35"/>
    <row r="126" spans="2:14" s="5" customFormat="1" ht="15.5" outlineLevel="1" x14ac:dyDescent="0.35">
      <c r="B126" s="85" t="s">
        <v>593</v>
      </c>
      <c r="E126" s="85" t="s">
        <v>179</v>
      </c>
      <c r="F126" s="85" t="s">
        <v>180</v>
      </c>
      <c r="G126" s="85" t="s">
        <v>513</v>
      </c>
      <c r="I126" s="85" t="s">
        <v>181</v>
      </c>
      <c r="K126" s="85" t="s">
        <v>182</v>
      </c>
    </row>
    <row r="127" spans="2:14" s="5" customFormat="1" outlineLevel="1" x14ac:dyDescent="0.35">
      <c r="C127" s="84" t="s">
        <v>183</v>
      </c>
      <c r="E127" s="86"/>
      <c r="F127" s="87"/>
      <c r="G127" s="86"/>
      <c r="H127" s="88"/>
      <c r="I127" s="86"/>
      <c r="J127" s="86"/>
    </row>
    <row r="128" spans="2:14" s="5" customFormat="1" outlineLevel="1" x14ac:dyDescent="0.35">
      <c r="D128" s="5" t="s">
        <v>439</v>
      </c>
      <c r="E128" s="57">
        <v>1</v>
      </c>
      <c r="F128" s="5" t="s">
        <v>590</v>
      </c>
      <c r="I128" s="86"/>
      <c r="J128" s="86"/>
    </row>
    <row r="129" spans="3:14" s="5" customFormat="1" outlineLevel="1" x14ac:dyDescent="0.35">
      <c r="I129" s="86"/>
      <c r="J129" s="86"/>
    </row>
    <row r="130" spans="3:14" s="5" customFormat="1" outlineLevel="1" x14ac:dyDescent="0.35">
      <c r="C130" s="84" t="s">
        <v>186</v>
      </c>
      <c r="I130" s="86"/>
      <c r="J130" s="86"/>
    </row>
    <row r="131" spans="3:14" s="5" customFormat="1" outlineLevel="1" x14ac:dyDescent="0.35">
      <c r="C131" s="84"/>
      <c r="D131" s="41" t="s">
        <v>440</v>
      </c>
      <c r="E131" s="169">
        <f t="shared" ref="E131:E136" si="1">E83</f>
        <v>3.2511415525114153</v>
      </c>
      <c r="F131" s="5" t="s">
        <v>465</v>
      </c>
      <c r="G131" s="5" t="s">
        <v>602</v>
      </c>
      <c r="I131" s="86"/>
      <c r="J131" s="86"/>
    </row>
    <row r="132" spans="3:14" s="5" customFormat="1" outlineLevel="1" x14ac:dyDescent="0.35">
      <c r="C132" s="84"/>
      <c r="D132" s="41" t="s">
        <v>441</v>
      </c>
      <c r="E132" s="169">
        <f t="shared" si="1"/>
        <v>1.7351598173515982E-2</v>
      </c>
      <c r="F132" s="5" t="s">
        <v>465</v>
      </c>
      <c r="G132" s="5" t="s">
        <v>241</v>
      </c>
      <c r="J132" s="86"/>
      <c r="K132" s="86"/>
    </row>
    <row r="133" spans="3:14" s="5" customFormat="1" outlineLevel="1" x14ac:dyDescent="0.35">
      <c r="C133" s="84"/>
      <c r="D133" s="41" t="s">
        <v>426</v>
      </c>
      <c r="E133" s="169">
        <f t="shared" si="1"/>
        <v>3.6986301369863014E-2</v>
      </c>
      <c r="F133" s="5" t="s">
        <v>465</v>
      </c>
      <c r="G133" s="5" t="s">
        <v>264</v>
      </c>
      <c r="I133" s="5" t="s">
        <v>598</v>
      </c>
      <c r="J133" s="86"/>
      <c r="K133" s="86"/>
    </row>
    <row r="134" spans="3:14" s="5" customFormat="1" outlineLevel="1" x14ac:dyDescent="0.35">
      <c r="C134" s="84"/>
      <c r="D134" s="41" t="s">
        <v>442</v>
      </c>
      <c r="E134" s="169">
        <f t="shared" si="1"/>
        <v>4.7776255707762552E-5</v>
      </c>
      <c r="F134" s="5" t="s">
        <v>470</v>
      </c>
      <c r="G134" s="5" t="s">
        <v>685</v>
      </c>
      <c r="J134" s="86"/>
      <c r="K134" s="86"/>
    </row>
    <row r="135" spans="3:14" s="5" customFormat="1" outlineLevel="1" x14ac:dyDescent="0.35">
      <c r="C135" s="84"/>
      <c r="D135" s="41" t="s">
        <v>427</v>
      </c>
      <c r="E135" s="169">
        <f t="shared" si="1"/>
        <v>1.9406392694063927E-3</v>
      </c>
      <c r="F135" s="5" t="s">
        <v>465</v>
      </c>
      <c r="G135" s="5" t="s">
        <v>599</v>
      </c>
      <c r="J135" s="86"/>
      <c r="K135" s="86"/>
    </row>
    <row r="136" spans="3:14" s="5" customFormat="1" outlineLevel="1" x14ac:dyDescent="0.35">
      <c r="C136" s="84"/>
      <c r="D136" s="41" t="s">
        <v>443</v>
      </c>
      <c r="E136" s="169">
        <f t="shared" si="1"/>
        <v>0.3421132420091324</v>
      </c>
      <c r="F136" s="41" t="s">
        <v>595</v>
      </c>
      <c r="G136" s="5" t="s">
        <v>605</v>
      </c>
      <c r="I136" s="84"/>
      <c r="J136" s="84"/>
      <c r="K136" s="84"/>
      <c r="L136" s="84"/>
      <c r="M136" s="84"/>
      <c r="N136" s="84"/>
    </row>
    <row r="137" spans="3:14" s="5" customFormat="1" outlineLevel="1" x14ac:dyDescent="0.35">
      <c r="C137" s="84"/>
      <c r="D137" s="99"/>
      <c r="I137" s="99"/>
      <c r="J137" s="86"/>
      <c r="K137" s="86"/>
    </row>
    <row r="138" spans="3:14" s="5" customFormat="1" outlineLevel="1" x14ac:dyDescent="0.35">
      <c r="C138" s="84" t="s">
        <v>251</v>
      </c>
      <c r="J138" s="86"/>
      <c r="K138" s="86"/>
    </row>
    <row r="139" spans="3:14" s="5" customFormat="1" outlineLevel="1" x14ac:dyDescent="0.35">
      <c r="C139" s="84"/>
      <c r="D139" s="5" t="s">
        <v>253</v>
      </c>
      <c r="E139" s="169">
        <f>E91</f>
        <v>-5.4337899543378997E-2</v>
      </c>
      <c r="F139" s="5" t="s">
        <v>465</v>
      </c>
      <c r="G139" s="98" t="s">
        <v>254</v>
      </c>
      <c r="J139" s="86"/>
    </row>
    <row r="140" spans="3:14" s="5" customFormat="1" outlineLevel="1" x14ac:dyDescent="0.35">
      <c r="C140" s="84"/>
      <c r="D140" s="5" t="s">
        <v>444</v>
      </c>
      <c r="E140" s="169">
        <f>E92</f>
        <v>-4.7776255707762552E-5</v>
      </c>
      <c r="F140" s="5" t="s">
        <v>470</v>
      </c>
      <c r="G140" s="5" t="s">
        <v>398</v>
      </c>
      <c r="J140" s="86"/>
    </row>
    <row r="141" spans="3:14" s="5" customFormat="1" outlineLevel="1" x14ac:dyDescent="0.35"/>
    <row r="142" spans="3:14" s="28" customFormat="1" x14ac:dyDescent="0.35"/>
    <row r="143" spans="3:14" s="28" customFormat="1" x14ac:dyDescent="0.35"/>
    <row r="144" spans="3:14" s="28" customFormat="1" x14ac:dyDescent="0.35"/>
    <row r="145" s="28" customFormat="1" x14ac:dyDescent="0.35"/>
  </sheetData>
  <mergeCells count="8">
    <mergeCell ref="C30:H30"/>
    <mergeCell ref="C21:H21"/>
    <mergeCell ref="A31:A37"/>
    <mergeCell ref="A22:A30"/>
    <mergeCell ref="A13:A21"/>
    <mergeCell ref="B13:B21"/>
    <mergeCell ref="B22:B30"/>
    <mergeCell ref="B31:B3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576B6-4C98-4402-87A3-42BCF64FB88B}">
  <sheetPr>
    <tabColor theme="3" tint="0.39997558519241921"/>
  </sheetPr>
  <dimension ref="A1:O28"/>
  <sheetViews>
    <sheetView showGridLines="0" zoomScale="90" zoomScaleNormal="90" workbookViewId="0">
      <selection activeCell="I13" sqref="I13"/>
    </sheetView>
  </sheetViews>
  <sheetFormatPr defaultColWidth="8.7265625" defaultRowHeight="14.5" x14ac:dyDescent="0.35"/>
  <cols>
    <col min="1" max="1" width="17.1796875" style="28" customWidth="1"/>
    <col min="2" max="2" width="15.6328125" style="28" bestFit="1" customWidth="1"/>
    <col min="3" max="3" width="29.26953125" style="28" bestFit="1" customWidth="1"/>
    <col min="4" max="4" width="10.81640625" style="28" bestFit="1" customWidth="1"/>
    <col min="5" max="5" width="15.81640625" style="28" bestFit="1" customWidth="1"/>
    <col min="6" max="6" width="8.7265625" style="28"/>
    <col min="7" max="7" width="30.54296875" style="28" bestFit="1" customWidth="1"/>
    <col min="8" max="8" width="8.7265625" style="28"/>
    <col min="9" max="9" width="12.1796875" style="28" bestFit="1" customWidth="1"/>
    <col min="10" max="16384" width="8.7265625" style="28"/>
  </cols>
  <sheetData>
    <row r="1" spans="1:15" s="42" customFormat="1" ht="32.5" x14ac:dyDescent="0.85">
      <c r="A1" s="42" t="s">
        <v>574</v>
      </c>
    </row>
    <row r="3" spans="1:15" x14ac:dyDescent="0.35">
      <c r="C3" s="320" t="s">
        <v>446</v>
      </c>
      <c r="D3" s="320"/>
      <c r="E3" s="320"/>
      <c r="G3" s="321" t="s">
        <v>447</v>
      </c>
      <c r="H3" s="321"/>
      <c r="I3" s="321"/>
    </row>
    <row r="4" spans="1:15" x14ac:dyDescent="0.35">
      <c r="A4" s="118" t="s">
        <v>448</v>
      </c>
      <c r="B4" s="118"/>
      <c r="C4" s="119" t="s">
        <v>449</v>
      </c>
      <c r="D4" s="63">
        <v>2024</v>
      </c>
      <c r="E4" s="118"/>
      <c r="F4" s="118"/>
      <c r="G4" s="119" t="s">
        <v>449</v>
      </c>
      <c r="H4" s="120">
        <v>2030</v>
      </c>
      <c r="I4" s="121"/>
      <c r="J4" s="118"/>
    </row>
    <row r="5" spans="1:15" x14ac:dyDescent="0.35">
      <c r="A5" s="118"/>
      <c r="B5" s="118"/>
      <c r="C5" s="119" t="s">
        <v>450</v>
      </c>
      <c r="D5" s="63">
        <v>6</v>
      </c>
      <c r="E5" s="118"/>
      <c r="F5" s="118"/>
      <c r="G5" s="119" t="s">
        <v>450</v>
      </c>
      <c r="H5" s="120">
        <v>9</v>
      </c>
      <c r="I5" s="121"/>
      <c r="J5" s="118"/>
    </row>
    <row r="6" spans="1:15" x14ac:dyDescent="0.35">
      <c r="A6" s="118"/>
      <c r="B6" s="118"/>
      <c r="C6" s="118" t="s">
        <v>451</v>
      </c>
      <c r="D6" s="63">
        <v>25</v>
      </c>
      <c r="E6" s="118" t="s">
        <v>130</v>
      </c>
      <c r="F6" s="118"/>
      <c r="G6" s="118" t="s">
        <v>451</v>
      </c>
      <c r="H6" s="63">
        <v>25</v>
      </c>
      <c r="I6" s="118" t="s">
        <v>130</v>
      </c>
      <c r="J6" s="118"/>
    </row>
    <row r="7" spans="1:15" x14ac:dyDescent="0.35">
      <c r="A7" s="118"/>
      <c r="B7" s="118"/>
      <c r="C7" s="118"/>
      <c r="D7" s="118"/>
      <c r="E7" s="118"/>
      <c r="F7" s="118"/>
      <c r="G7" s="118"/>
      <c r="H7" s="118"/>
      <c r="I7" s="118"/>
      <c r="J7" s="118"/>
    </row>
    <row r="9" spans="1:15" x14ac:dyDescent="0.35">
      <c r="A9" s="74" t="s">
        <v>151</v>
      </c>
      <c r="B9" s="74"/>
      <c r="C9" s="74" t="s">
        <v>452</v>
      </c>
      <c r="D9" s="63">
        <v>2500</v>
      </c>
      <c r="E9" s="74" t="s">
        <v>453</v>
      </c>
      <c r="F9" s="74"/>
      <c r="G9" s="74" t="s">
        <v>452</v>
      </c>
      <c r="H9" s="63">
        <v>1500</v>
      </c>
      <c r="I9" s="74" t="s">
        <v>453</v>
      </c>
      <c r="J9" s="74"/>
      <c r="K9" s="6"/>
    </row>
    <row r="10" spans="1:15" x14ac:dyDescent="0.35">
      <c r="A10" s="74"/>
      <c r="B10" s="74"/>
      <c r="C10" s="74"/>
      <c r="D10" s="74"/>
      <c r="E10" s="74"/>
      <c r="F10" s="74"/>
      <c r="G10" s="74"/>
      <c r="H10" s="74"/>
      <c r="I10" s="74"/>
      <c r="J10" s="74"/>
    </row>
    <row r="11" spans="1:15" x14ac:dyDescent="0.35">
      <c r="A11" s="74"/>
      <c r="B11" s="74"/>
      <c r="C11" s="74" t="s">
        <v>454</v>
      </c>
      <c r="D11" s="63">
        <v>100</v>
      </c>
      <c r="E11" s="74" t="s">
        <v>455</v>
      </c>
      <c r="F11" s="74"/>
      <c r="G11" s="74" t="s">
        <v>454</v>
      </c>
      <c r="H11" s="63">
        <v>100</v>
      </c>
      <c r="I11" s="74" t="s">
        <v>455</v>
      </c>
      <c r="J11" s="74"/>
    </row>
    <row r="12" spans="1:15" x14ac:dyDescent="0.35">
      <c r="A12" s="74"/>
      <c r="B12" s="74"/>
      <c r="C12" s="74" t="s">
        <v>456</v>
      </c>
      <c r="D12" s="63">
        <f>D9*D11/1000</f>
        <v>250</v>
      </c>
      <c r="E12" s="74" t="s">
        <v>457</v>
      </c>
      <c r="F12" s="74"/>
      <c r="G12" s="74" t="s">
        <v>458</v>
      </c>
      <c r="H12" s="63">
        <f>H11*H9</f>
        <v>150000</v>
      </c>
      <c r="I12" s="74" t="s">
        <v>910</v>
      </c>
      <c r="J12" s="74"/>
      <c r="O12" s="6"/>
    </row>
    <row r="13" spans="1:15" x14ac:dyDescent="0.35">
      <c r="A13" s="74"/>
      <c r="B13" s="74"/>
      <c r="C13" s="74"/>
      <c r="D13" s="74"/>
      <c r="E13" s="74"/>
      <c r="F13" s="74"/>
      <c r="G13" s="74"/>
      <c r="H13" s="74"/>
      <c r="I13" s="74"/>
      <c r="J13" s="74"/>
      <c r="O13" s="1"/>
    </row>
    <row r="15" spans="1:15" x14ac:dyDescent="0.35">
      <c r="A15" s="122" t="s">
        <v>459</v>
      </c>
      <c r="B15" s="122"/>
      <c r="C15" s="122"/>
      <c r="D15" s="122"/>
      <c r="E15" s="122"/>
      <c r="F15" s="122"/>
      <c r="G15" s="122" t="s">
        <v>460</v>
      </c>
      <c r="H15" s="63">
        <v>250</v>
      </c>
      <c r="I15" s="122" t="s">
        <v>407</v>
      </c>
      <c r="J15" s="122"/>
    </row>
    <row r="16" spans="1:15" x14ac:dyDescent="0.35">
      <c r="A16" s="122"/>
      <c r="B16" s="122"/>
      <c r="C16" s="122"/>
      <c r="D16" s="122"/>
      <c r="E16" s="122"/>
      <c r="F16" s="122"/>
      <c r="G16" s="122" t="s">
        <v>461</v>
      </c>
      <c r="H16" s="63">
        <v>3</v>
      </c>
      <c r="I16" s="122" t="s">
        <v>130</v>
      </c>
      <c r="J16" s="122"/>
    </row>
    <row r="17" spans="1:10" x14ac:dyDescent="0.35">
      <c r="A17" s="122"/>
      <c r="B17" s="122"/>
      <c r="C17" s="122"/>
      <c r="D17" s="122"/>
      <c r="E17" s="122"/>
      <c r="F17" s="122"/>
      <c r="G17" s="122"/>
      <c r="H17" s="122"/>
      <c r="I17" s="122"/>
      <c r="J17" s="122"/>
    </row>
    <row r="18" spans="1:10" s="33" customFormat="1" x14ac:dyDescent="0.35">
      <c r="A18" s="122"/>
      <c r="B18" s="122"/>
      <c r="C18" s="122"/>
      <c r="D18" s="122"/>
      <c r="E18" s="122"/>
      <c r="F18" s="122"/>
      <c r="G18" s="122" t="s">
        <v>462</v>
      </c>
      <c r="H18" s="59">
        <f>H15/H16</f>
        <v>83.333333333333329</v>
      </c>
      <c r="I18" s="122" t="s">
        <v>463</v>
      </c>
      <c r="J18" s="122"/>
    </row>
    <row r="19" spans="1:10" s="143" customFormat="1" x14ac:dyDescent="0.35">
      <c r="A19" s="122"/>
      <c r="B19" s="122"/>
      <c r="C19" s="122"/>
      <c r="D19" s="122"/>
      <c r="E19" s="122"/>
      <c r="F19" s="122"/>
      <c r="G19" s="122" t="s">
        <v>464</v>
      </c>
      <c r="H19" s="59">
        <f>H18/H11</f>
        <v>0.83333333333333326</v>
      </c>
      <c r="I19" s="122" t="s">
        <v>465</v>
      </c>
      <c r="J19" s="122"/>
    </row>
    <row r="20" spans="1:10" s="143" customFormat="1" x14ac:dyDescent="0.35">
      <c r="A20" s="122"/>
      <c r="B20" s="122"/>
      <c r="C20" s="122"/>
      <c r="D20" s="122"/>
      <c r="E20" s="122"/>
      <c r="F20" s="122"/>
      <c r="G20" s="122"/>
      <c r="H20" s="122"/>
      <c r="I20" s="122"/>
      <c r="J20" s="122"/>
    </row>
    <row r="21" spans="1:10" x14ac:dyDescent="0.35">
      <c r="A21" s="33"/>
      <c r="B21" s="33"/>
      <c r="C21" s="33"/>
      <c r="D21" s="33"/>
      <c r="E21" s="33"/>
      <c r="F21" s="33"/>
      <c r="G21" s="33"/>
      <c r="H21" s="33"/>
      <c r="I21" s="33"/>
      <c r="J21" s="33"/>
    </row>
    <row r="22" spans="1:10" s="143" customFormat="1" x14ac:dyDescent="0.35">
      <c r="A22" s="123" t="s">
        <v>466</v>
      </c>
      <c r="B22" s="123"/>
      <c r="C22" s="123"/>
      <c r="D22" s="123"/>
      <c r="E22" s="123"/>
      <c r="F22" s="123"/>
      <c r="G22" s="123" t="s">
        <v>466</v>
      </c>
      <c r="H22" s="63">
        <v>32</v>
      </c>
      <c r="I22" s="123" t="s">
        <v>467</v>
      </c>
      <c r="J22" s="123"/>
    </row>
    <row r="23" spans="1:10" s="143" customFormat="1" x14ac:dyDescent="0.35">
      <c r="A23" s="123"/>
      <c r="B23" s="123"/>
      <c r="C23" s="123"/>
      <c r="D23" s="123"/>
      <c r="E23" s="123"/>
      <c r="F23" s="123"/>
      <c r="G23" s="123"/>
      <c r="H23" s="123"/>
      <c r="I23" s="123"/>
      <c r="J23" s="123"/>
    </row>
    <row r="24" spans="1:10" s="143" customFormat="1" x14ac:dyDescent="0.35">
      <c r="A24" s="28"/>
      <c r="B24" s="28"/>
      <c r="C24" s="28"/>
      <c r="D24" s="28"/>
      <c r="E24" s="28"/>
      <c r="F24" s="28"/>
      <c r="G24" s="28"/>
      <c r="H24" s="28"/>
      <c r="I24" s="28"/>
      <c r="J24" s="28"/>
    </row>
    <row r="25" spans="1:10" s="143" customFormat="1" x14ac:dyDescent="0.35">
      <c r="A25" s="124" t="s">
        <v>468</v>
      </c>
      <c r="B25" s="124"/>
      <c r="C25" s="124"/>
      <c r="D25" s="124"/>
      <c r="E25" s="124"/>
      <c r="F25" s="124"/>
      <c r="G25" s="124" t="s">
        <v>468</v>
      </c>
      <c r="H25" s="63">
        <v>250</v>
      </c>
      <c r="I25" s="124" t="s">
        <v>469</v>
      </c>
      <c r="J25" s="124"/>
    </row>
    <row r="26" spans="1:10" x14ac:dyDescent="0.35">
      <c r="A26" s="124"/>
      <c r="B26" s="124"/>
      <c r="C26" s="124"/>
      <c r="D26" s="124"/>
      <c r="E26" s="124"/>
      <c r="F26" s="124"/>
      <c r="G26" s="124"/>
      <c r="H26" s="63">
        <f>H25/1000</f>
        <v>0.25</v>
      </c>
      <c r="I26" s="124" t="s">
        <v>470</v>
      </c>
      <c r="J26" s="124"/>
    </row>
    <row r="27" spans="1:10" x14ac:dyDescent="0.35">
      <c r="A27" s="124"/>
      <c r="B27" s="124"/>
      <c r="C27" s="124"/>
      <c r="D27" s="124"/>
      <c r="E27" s="124"/>
      <c r="F27" s="124"/>
      <c r="G27" s="124"/>
      <c r="H27" s="96">
        <f>H26*H11</f>
        <v>25</v>
      </c>
      <c r="I27" s="124" t="s">
        <v>471</v>
      </c>
      <c r="J27" s="124"/>
    </row>
    <row r="28" spans="1:10" x14ac:dyDescent="0.35">
      <c r="A28" s="124"/>
      <c r="B28" s="124"/>
      <c r="C28" s="124"/>
      <c r="D28" s="124"/>
      <c r="E28" s="124"/>
      <c r="F28" s="124"/>
      <c r="G28" s="124"/>
      <c r="H28" s="124"/>
      <c r="I28" s="124"/>
      <c r="J28" s="124"/>
    </row>
  </sheetData>
  <mergeCells count="2">
    <mergeCell ref="C3:E3"/>
    <mergeCell ref="G3:I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2A2F9-C271-4A09-B9AC-28D0E6A664EF}">
  <sheetPr>
    <tabColor theme="3" tint="0.39997558519241921"/>
  </sheetPr>
  <dimension ref="A1:M57"/>
  <sheetViews>
    <sheetView showGridLines="0" topLeftCell="A25" zoomScale="80" zoomScaleNormal="80" workbookViewId="0">
      <selection activeCell="A33" sqref="A33:XFD33"/>
    </sheetView>
  </sheetViews>
  <sheetFormatPr defaultColWidth="8.7265625" defaultRowHeight="14.5" outlineLevelRow="1" x14ac:dyDescent="0.35"/>
  <cols>
    <col min="1" max="1" width="17.1796875" style="187" customWidth="1"/>
    <col min="2" max="2" width="29.26953125" style="187" bestFit="1" customWidth="1"/>
    <col min="3" max="3" width="35.81640625" style="187" bestFit="1" customWidth="1"/>
    <col min="4" max="4" width="19.1796875" style="187" bestFit="1" customWidth="1"/>
    <col min="5" max="5" width="15.6328125" style="187" bestFit="1" customWidth="1"/>
    <col min="6" max="6" width="29.26953125" style="187" bestFit="1" customWidth="1"/>
    <col min="7" max="7" width="10.81640625" style="187" bestFit="1" customWidth="1"/>
    <col min="8" max="8" width="15.81640625" style="187" bestFit="1" customWidth="1"/>
    <col min="9" max="9" width="8.7265625" style="187"/>
    <col min="10" max="10" width="30.54296875" style="187" bestFit="1" customWidth="1"/>
    <col min="11" max="11" width="8.7265625" style="187"/>
    <col min="12" max="12" width="12.1796875" style="187" bestFit="1" customWidth="1"/>
    <col min="13" max="16384" width="8.7265625" style="187"/>
  </cols>
  <sheetData>
    <row r="1" spans="1:13" s="42" customFormat="1" ht="32.5" x14ac:dyDescent="0.85">
      <c r="A1" s="42" t="s">
        <v>472</v>
      </c>
    </row>
    <row r="2" spans="1:13" s="282" customFormat="1" ht="16.5" x14ac:dyDescent="0.45">
      <c r="A2" s="282" t="s">
        <v>848</v>
      </c>
    </row>
    <row r="3" spans="1:13" s="282" customFormat="1" x14ac:dyDescent="0.35"/>
    <row r="4" spans="1:13" s="50" customFormat="1" ht="23.5" x14ac:dyDescent="0.55000000000000004">
      <c r="A4" s="49" t="s">
        <v>725</v>
      </c>
    </row>
    <row r="5" spans="1:13" outlineLevel="1" x14ac:dyDescent="0.35">
      <c r="A5" s="141" t="s">
        <v>579</v>
      </c>
    </row>
    <row r="6" spans="1:13" outlineLevel="1" x14ac:dyDescent="0.35"/>
    <row r="7" spans="1:13" s="33" customFormat="1" outlineLevel="1" x14ac:dyDescent="0.35">
      <c r="A7" s="145" t="s">
        <v>473</v>
      </c>
      <c r="B7" s="145" t="s">
        <v>474</v>
      </c>
      <c r="C7" s="146"/>
      <c r="D7" s="146"/>
      <c r="E7" s="146"/>
      <c r="F7" s="146"/>
      <c r="G7" s="146"/>
      <c r="H7" s="146"/>
      <c r="I7" s="146"/>
      <c r="J7" s="146"/>
      <c r="K7" s="146"/>
      <c r="L7" s="146"/>
      <c r="M7" s="146"/>
    </row>
    <row r="8" spans="1:13" s="33" customFormat="1" ht="43.5" outlineLevel="1" x14ac:dyDescent="0.35">
      <c r="A8" s="146"/>
      <c r="B8" s="324" t="s">
        <v>475</v>
      </c>
      <c r="C8" s="147" t="s">
        <v>476</v>
      </c>
      <c r="D8" s="147" t="s">
        <v>477</v>
      </c>
      <c r="E8" s="148" t="s">
        <v>478</v>
      </c>
      <c r="F8" s="146"/>
      <c r="G8" s="146"/>
      <c r="H8" s="146"/>
      <c r="I8" s="146"/>
      <c r="J8" s="146"/>
      <c r="K8" s="146"/>
      <c r="L8" s="146"/>
      <c r="M8" s="146"/>
    </row>
    <row r="9" spans="1:13" s="33" customFormat="1" outlineLevel="1" x14ac:dyDescent="0.35">
      <c r="A9" s="146"/>
      <c r="B9" s="324"/>
      <c r="C9" s="147" t="s">
        <v>575</v>
      </c>
      <c r="D9" s="63" t="s">
        <v>479</v>
      </c>
      <c r="E9" s="63">
        <v>111</v>
      </c>
      <c r="F9" s="146"/>
      <c r="G9" s="146"/>
      <c r="H9" s="146"/>
      <c r="I9" s="146"/>
      <c r="J9" s="146"/>
      <c r="K9" s="146"/>
      <c r="L9" s="146"/>
      <c r="M9" s="146"/>
    </row>
    <row r="10" spans="1:13" s="33" customFormat="1" outlineLevel="1" x14ac:dyDescent="0.35">
      <c r="A10" s="146"/>
      <c r="B10" s="146"/>
      <c r="C10" s="149"/>
      <c r="D10" s="149"/>
      <c r="E10" s="150"/>
      <c r="F10" s="146"/>
      <c r="G10" s="146"/>
      <c r="H10" s="146"/>
      <c r="I10" s="146"/>
      <c r="J10" s="146"/>
      <c r="K10" s="146"/>
      <c r="L10" s="146"/>
      <c r="M10" s="146"/>
    </row>
    <row r="11" spans="1:13" s="33" customFormat="1" ht="101.5" outlineLevel="1" x14ac:dyDescent="0.35">
      <c r="A11" s="146"/>
      <c r="B11" s="325" t="s">
        <v>480</v>
      </c>
      <c r="C11" s="147" t="s">
        <v>476</v>
      </c>
      <c r="D11" s="151" t="s">
        <v>481</v>
      </c>
      <c r="E11" s="147" t="s">
        <v>482</v>
      </c>
      <c r="F11" s="151" t="s">
        <v>483</v>
      </c>
      <c r="G11" s="151" t="s">
        <v>484</v>
      </c>
      <c r="H11" s="151" t="s">
        <v>485</v>
      </c>
      <c r="I11" s="151" t="s">
        <v>486</v>
      </c>
      <c r="J11" s="146"/>
      <c r="K11" s="146"/>
      <c r="L11" s="146"/>
      <c r="M11" s="146"/>
    </row>
    <row r="12" spans="1:13" s="33" customFormat="1" outlineLevel="1" x14ac:dyDescent="0.35">
      <c r="A12" s="146"/>
      <c r="B12" s="325"/>
      <c r="C12" s="147" t="s">
        <v>576</v>
      </c>
      <c r="D12" s="63">
        <v>23.2</v>
      </c>
      <c r="E12" s="63">
        <v>20</v>
      </c>
      <c r="F12" s="63">
        <v>40</v>
      </c>
      <c r="G12" s="96">
        <f>D12*E12*F12</f>
        <v>18560</v>
      </c>
      <c r="H12" s="179">
        <v>62000000</v>
      </c>
      <c r="I12" s="194">
        <f>G12/H12</f>
        <v>2.9935483870967744E-4</v>
      </c>
      <c r="J12" s="146"/>
      <c r="K12" s="146"/>
      <c r="L12" s="146"/>
      <c r="M12" s="146"/>
    </row>
    <row r="13" spans="1:13" s="33" customFormat="1" outlineLevel="1" x14ac:dyDescent="0.35">
      <c r="A13" s="146"/>
      <c r="B13" s="325"/>
      <c r="C13" s="146"/>
      <c r="D13" s="146"/>
      <c r="E13" s="146"/>
      <c r="F13" s="146"/>
      <c r="G13" s="146"/>
      <c r="H13" s="146"/>
      <c r="I13" s="146"/>
      <c r="J13" s="146"/>
      <c r="K13" s="146"/>
      <c r="L13" s="146"/>
      <c r="M13" s="146"/>
    </row>
    <row r="14" spans="1:13" s="33" customFormat="1" ht="29" outlineLevel="1" x14ac:dyDescent="0.35">
      <c r="A14" s="146"/>
      <c r="B14" s="325"/>
      <c r="C14" s="148" t="s">
        <v>487</v>
      </c>
      <c r="D14" s="146"/>
      <c r="E14" s="146"/>
      <c r="F14" s="146"/>
      <c r="G14" s="146"/>
      <c r="H14" s="146"/>
      <c r="I14" s="146"/>
      <c r="J14" s="146"/>
      <c r="K14" s="146"/>
      <c r="L14" s="146"/>
      <c r="M14" s="146"/>
    </row>
    <row r="15" spans="1:13" s="33" customFormat="1" outlineLevel="1" x14ac:dyDescent="0.35">
      <c r="A15" s="146"/>
      <c r="B15" s="325"/>
      <c r="C15" s="193">
        <f>I12*1000</f>
        <v>0.29935483870967744</v>
      </c>
      <c r="D15" s="146"/>
      <c r="E15" s="146"/>
      <c r="F15" s="146"/>
      <c r="G15" s="146"/>
      <c r="H15" s="146"/>
      <c r="I15" s="146"/>
      <c r="J15" s="146"/>
      <c r="K15" s="146"/>
      <c r="L15" s="146"/>
      <c r="M15" s="146"/>
    </row>
    <row r="16" spans="1:13" s="33" customFormat="1" outlineLevel="1" x14ac:dyDescent="0.35">
      <c r="A16" s="146"/>
      <c r="B16" s="146"/>
      <c r="C16" s="146"/>
      <c r="D16" s="146"/>
      <c r="E16" s="146"/>
      <c r="F16" s="146"/>
      <c r="G16" s="146"/>
      <c r="H16" s="146"/>
      <c r="I16" s="146"/>
      <c r="J16" s="146"/>
      <c r="K16" s="146"/>
      <c r="L16" s="146"/>
      <c r="M16" s="146"/>
    </row>
    <row r="17" spans="1:13" outlineLevel="1" x14ac:dyDescent="0.35"/>
    <row r="18" spans="1:13" outlineLevel="1" x14ac:dyDescent="0.35">
      <c r="A18" s="152" t="s">
        <v>488</v>
      </c>
      <c r="B18" s="152" t="s">
        <v>489</v>
      </c>
      <c r="C18" s="153"/>
      <c r="D18" s="153"/>
      <c r="E18" s="153"/>
      <c r="F18" s="153"/>
      <c r="G18" s="153"/>
      <c r="H18" s="153"/>
      <c r="I18" s="153"/>
      <c r="J18" s="153"/>
      <c r="K18" s="153"/>
      <c r="L18" s="153"/>
      <c r="M18" s="153"/>
    </row>
    <row r="19" spans="1:13" s="33" customFormat="1" outlineLevel="1" x14ac:dyDescent="0.35">
      <c r="A19" s="153"/>
      <c r="B19" s="153"/>
      <c r="C19" s="153"/>
      <c r="D19" s="153"/>
      <c r="E19" s="153"/>
      <c r="F19" s="153"/>
      <c r="G19" s="153"/>
      <c r="H19" s="153"/>
      <c r="I19" s="153"/>
      <c r="J19" s="153"/>
      <c r="K19" s="153"/>
      <c r="L19" s="153"/>
      <c r="M19" s="153"/>
    </row>
    <row r="20" spans="1:13" s="33" customFormat="1" ht="87" outlineLevel="1" x14ac:dyDescent="0.35">
      <c r="A20" s="153"/>
      <c r="B20" s="326" t="s">
        <v>480</v>
      </c>
      <c r="C20" s="154" t="s">
        <v>476</v>
      </c>
      <c r="D20" s="155" t="s">
        <v>490</v>
      </c>
      <c r="E20" s="154" t="s">
        <v>482</v>
      </c>
      <c r="F20" s="155" t="s">
        <v>491</v>
      </c>
      <c r="G20" s="155" t="s">
        <v>492</v>
      </c>
      <c r="H20" s="155" t="s">
        <v>485</v>
      </c>
      <c r="I20" s="155" t="s">
        <v>486</v>
      </c>
      <c r="J20" s="153"/>
      <c r="K20" s="153"/>
      <c r="L20" s="153"/>
      <c r="M20" s="153"/>
    </row>
    <row r="21" spans="1:13" s="33" customFormat="1" outlineLevel="1" x14ac:dyDescent="0.35">
      <c r="A21" s="153"/>
      <c r="B21" s="326"/>
      <c r="C21" s="154" t="s">
        <v>577</v>
      </c>
      <c r="D21" s="63">
        <v>2.3199999999999998</v>
      </c>
      <c r="E21" s="63">
        <v>30</v>
      </c>
      <c r="F21" s="63">
        <v>100</v>
      </c>
      <c r="G21" s="96">
        <f>D21*E21*F21</f>
        <v>6959.9999999999991</v>
      </c>
      <c r="H21" s="179">
        <v>94000000</v>
      </c>
      <c r="I21" s="195">
        <f>G21/H21</f>
        <v>7.4042553191489355E-5</v>
      </c>
      <c r="J21" s="153"/>
      <c r="K21" s="153"/>
      <c r="L21" s="153"/>
      <c r="M21" s="153"/>
    </row>
    <row r="22" spans="1:13" s="33" customFormat="1" outlineLevel="1" x14ac:dyDescent="0.35">
      <c r="A22" s="153"/>
      <c r="B22" s="326"/>
      <c r="C22" s="153"/>
      <c r="D22" s="153"/>
      <c r="E22" s="153"/>
      <c r="F22" s="153"/>
      <c r="G22" s="153"/>
      <c r="H22" s="153"/>
      <c r="I22" s="153"/>
      <c r="J22" s="153"/>
      <c r="K22" s="153"/>
      <c r="L22" s="153"/>
      <c r="M22" s="153"/>
    </row>
    <row r="23" spans="1:13" s="33" customFormat="1" ht="29" outlineLevel="1" x14ac:dyDescent="0.35">
      <c r="A23" s="153"/>
      <c r="B23" s="326"/>
      <c r="C23" s="156" t="s">
        <v>487</v>
      </c>
      <c r="D23" s="153"/>
      <c r="E23" s="153"/>
      <c r="F23" s="153"/>
      <c r="G23" s="153"/>
      <c r="H23" s="153"/>
      <c r="I23" s="153"/>
      <c r="J23" s="153"/>
      <c r="K23" s="153"/>
      <c r="L23" s="153"/>
      <c r="M23" s="153"/>
    </row>
    <row r="24" spans="1:13" s="33" customFormat="1" outlineLevel="1" x14ac:dyDescent="0.35">
      <c r="A24" s="153"/>
      <c r="B24" s="326"/>
      <c r="C24" s="193">
        <f>I21*1000</f>
        <v>7.4042553191489349E-2</v>
      </c>
      <c r="D24" s="153"/>
      <c r="E24" s="153"/>
      <c r="F24" s="153"/>
      <c r="G24" s="153"/>
      <c r="H24" s="153"/>
      <c r="I24" s="153"/>
      <c r="J24" s="153"/>
      <c r="K24" s="153"/>
      <c r="L24" s="153"/>
      <c r="M24" s="153"/>
    </row>
    <row r="25" spans="1:13" s="33" customFormat="1" outlineLevel="1" x14ac:dyDescent="0.35">
      <c r="A25" s="153"/>
      <c r="B25" s="153"/>
      <c r="C25" s="153"/>
      <c r="D25" s="153"/>
      <c r="E25" s="153"/>
      <c r="F25" s="153"/>
      <c r="G25" s="153"/>
      <c r="H25" s="153"/>
      <c r="I25" s="153"/>
      <c r="J25" s="153"/>
      <c r="K25" s="153"/>
      <c r="L25" s="153"/>
      <c r="M25" s="153"/>
    </row>
    <row r="26" spans="1:13" outlineLevel="1" x14ac:dyDescent="0.35"/>
    <row r="27" spans="1:13" outlineLevel="1" x14ac:dyDescent="0.35">
      <c r="A27" s="157" t="s">
        <v>493</v>
      </c>
      <c r="B27" s="157" t="s">
        <v>494</v>
      </c>
      <c r="C27" s="158"/>
      <c r="D27" s="158"/>
      <c r="E27" s="158"/>
      <c r="F27" s="158"/>
      <c r="G27" s="158"/>
      <c r="H27" s="158"/>
      <c r="I27" s="158"/>
      <c r="J27" s="158"/>
      <c r="K27" s="158"/>
      <c r="L27" s="158"/>
      <c r="M27" s="158"/>
    </row>
    <row r="28" spans="1:13" s="33" customFormat="1" ht="29" outlineLevel="1" x14ac:dyDescent="0.35">
      <c r="A28" s="158"/>
      <c r="B28" s="323" t="s">
        <v>475</v>
      </c>
      <c r="C28" s="159" t="s">
        <v>476</v>
      </c>
      <c r="D28" s="160" t="s">
        <v>478</v>
      </c>
      <c r="E28" s="158"/>
      <c r="F28" s="158"/>
      <c r="G28" s="158"/>
      <c r="H28" s="158"/>
      <c r="I28" s="158"/>
      <c r="J28" s="158"/>
      <c r="K28" s="158"/>
      <c r="L28" s="158"/>
      <c r="M28" s="158"/>
    </row>
    <row r="29" spans="1:13" s="33" customFormat="1" outlineLevel="1" x14ac:dyDescent="0.35">
      <c r="A29" s="158"/>
      <c r="B29" s="323"/>
      <c r="C29" s="159" t="s">
        <v>575</v>
      </c>
      <c r="D29" s="161">
        <v>7</v>
      </c>
      <c r="E29" s="158"/>
      <c r="F29" s="158"/>
      <c r="G29" s="158"/>
      <c r="H29" s="158"/>
      <c r="I29" s="158"/>
      <c r="J29" s="158"/>
      <c r="K29" s="158"/>
      <c r="L29" s="158"/>
      <c r="M29" s="158"/>
    </row>
    <row r="30" spans="1:13" s="33" customFormat="1" outlineLevel="1" x14ac:dyDescent="0.35">
      <c r="A30" s="158"/>
      <c r="B30" s="158"/>
      <c r="C30" s="162"/>
      <c r="D30" s="162"/>
      <c r="E30" s="163"/>
      <c r="F30" s="158"/>
      <c r="G30" s="158"/>
      <c r="H30" s="158"/>
      <c r="I30" s="158"/>
      <c r="J30" s="158"/>
      <c r="K30" s="158"/>
      <c r="L30" s="158"/>
      <c r="M30" s="158"/>
    </row>
    <row r="31" spans="1:13" s="33" customFormat="1" x14ac:dyDescent="0.35"/>
    <row r="32" spans="1:13" s="50" customFormat="1" ht="23.5" x14ac:dyDescent="0.55000000000000004">
      <c r="A32" s="49" t="s">
        <v>734</v>
      </c>
    </row>
    <row r="33" spans="1:13" s="117" customFormat="1" ht="15.5" outlineLevel="1" x14ac:dyDescent="0.35">
      <c r="A33" s="165" t="s">
        <v>847</v>
      </c>
    </row>
    <row r="34" spans="1:13" outlineLevel="1" x14ac:dyDescent="0.35"/>
    <row r="35" spans="1:13" s="33" customFormat="1" outlineLevel="1" x14ac:dyDescent="0.35">
      <c r="A35" s="145" t="s">
        <v>473</v>
      </c>
      <c r="B35" s="145" t="s">
        <v>474</v>
      </c>
      <c r="C35" s="146"/>
      <c r="D35" s="146"/>
      <c r="E35" s="146"/>
      <c r="F35" s="146"/>
      <c r="G35" s="146"/>
      <c r="H35" s="146"/>
      <c r="I35" s="146"/>
      <c r="J35" s="146"/>
      <c r="K35" s="146"/>
      <c r="L35" s="146"/>
      <c r="M35" s="146"/>
    </row>
    <row r="36" spans="1:13" s="33" customFormat="1" ht="43.5" outlineLevel="1" x14ac:dyDescent="0.35">
      <c r="A36" s="146"/>
      <c r="B36" s="324" t="s">
        <v>475</v>
      </c>
      <c r="C36" s="147" t="s">
        <v>476</v>
      </c>
      <c r="D36" s="147" t="s">
        <v>735</v>
      </c>
      <c r="E36" s="148" t="s">
        <v>478</v>
      </c>
      <c r="F36" s="146"/>
      <c r="G36" s="146"/>
      <c r="H36" s="146"/>
      <c r="I36" s="146"/>
      <c r="J36" s="146"/>
      <c r="K36" s="146"/>
      <c r="L36" s="146"/>
      <c r="M36" s="146"/>
    </row>
    <row r="37" spans="1:13" s="33" customFormat="1" outlineLevel="1" x14ac:dyDescent="0.35">
      <c r="A37" s="146"/>
      <c r="B37" s="324"/>
      <c r="C37" s="147" t="s">
        <v>728</v>
      </c>
      <c r="D37" s="63" t="s">
        <v>736</v>
      </c>
      <c r="E37" s="63">
        <v>110</v>
      </c>
      <c r="F37" s="146"/>
      <c r="G37" s="146"/>
      <c r="H37" s="146"/>
      <c r="I37" s="146"/>
      <c r="J37" s="146"/>
      <c r="K37" s="146"/>
      <c r="L37" s="146"/>
      <c r="M37" s="146"/>
    </row>
    <row r="38" spans="1:13" s="33" customFormat="1" outlineLevel="1" x14ac:dyDescent="0.35">
      <c r="A38" s="146"/>
      <c r="B38" s="146"/>
      <c r="C38" s="149"/>
      <c r="D38" s="149"/>
      <c r="E38" s="150"/>
      <c r="F38" s="146"/>
      <c r="G38" s="146"/>
      <c r="H38" s="146"/>
      <c r="I38" s="146"/>
      <c r="J38" s="146"/>
      <c r="K38" s="146"/>
      <c r="L38" s="146"/>
      <c r="M38" s="146"/>
    </row>
    <row r="39" spans="1:13" outlineLevel="1" x14ac:dyDescent="0.35"/>
    <row r="40" spans="1:13" outlineLevel="1" x14ac:dyDescent="0.35">
      <c r="A40" s="152" t="s">
        <v>488</v>
      </c>
      <c r="B40" s="152" t="s">
        <v>732</v>
      </c>
      <c r="C40" s="153"/>
      <c r="D40" s="153"/>
      <c r="E40" s="153"/>
      <c r="F40" s="153"/>
      <c r="G40" s="153"/>
      <c r="H40" s="153"/>
      <c r="I40" s="153"/>
      <c r="J40" s="153"/>
      <c r="K40" s="153"/>
      <c r="L40" s="153"/>
      <c r="M40" s="153"/>
    </row>
    <row r="41" spans="1:13" s="33" customFormat="1" outlineLevel="1" x14ac:dyDescent="0.35">
      <c r="A41" s="153"/>
      <c r="B41" s="153"/>
      <c r="C41" s="153"/>
      <c r="D41" s="153"/>
      <c r="E41" s="153"/>
      <c r="F41" s="153"/>
      <c r="G41" s="153"/>
      <c r="H41" s="153"/>
      <c r="I41" s="153"/>
      <c r="J41" s="153"/>
      <c r="K41" s="153"/>
      <c r="L41" s="153"/>
      <c r="M41" s="153"/>
    </row>
    <row r="42" spans="1:13" s="33" customFormat="1" ht="29" outlineLevel="1" x14ac:dyDescent="0.35">
      <c r="A42" s="153"/>
      <c r="B42" s="322" t="s">
        <v>475</v>
      </c>
      <c r="C42" s="154" t="s">
        <v>476</v>
      </c>
      <c r="D42" s="156" t="s">
        <v>478</v>
      </c>
      <c r="E42" s="153"/>
      <c r="F42" s="153"/>
      <c r="G42" s="153"/>
      <c r="H42" s="153"/>
      <c r="I42" s="153"/>
      <c r="J42" s="153"/>
      <c r="K42" s="153"/>
      <c r="L42" s="153"/>
      <c r="M42" s="153"/>
    </row>
    <row r="43" spans="1:13" s="33" customFormat="1" outlineLevel="1" x14ac:dyDescent="0.35">
      <c r="A43" s="153"/>
      <c r="B43" s="322"/>
      <c r="C43" s="154" t="s">
        <v>728</v>
      </c>
      <c r="D43" s="63">
        <v>0.2</v>
      </c>
      <c r="E43" s="153"/>
      <c r="F43" s="153"/>
      <c r="G43" s="153"/>
      <c r="H43" s="153"/>
      <c r="I43" s="153"/>
      <c r="J43" s="153"/>
      <c r="K43" s="153"/>
      <c r="L43" s="153"/>
      <c r="M43" s="153"/>
    </row>
    <row r="44" spans="1:13" s="33" customFormat="1" outlineLevel="1" x14ac:dyDescent="0.35">
      <c r="A44" s="153"/>
      <c r="B44" s="207"/>
      <c r="C44" s="153"/>
      <c r="D44" s="153"/>
      <c r="E44" s="153"/>
      <c r="F44" s="153"/>
      <c r="G44" s="153"/>
      <c r="H44" s="153"/>
      <c r="I44" s="153"/>
      <c r="J44" s="153"/>
      <c r="K44" s="153"/>
      <c r="L44" s="153"/>
      <c r="M44" s="153"/>
    </row>
    <row r="45" spans="1:13" outlineLevel="1" x14ac:dyDescent="0.35"/>
    <row r="46" spans="1:13" outlineLevel="1" x14ac:dyDescent="0.35">
      <c r="A46" s="157" t="s">
        <v>493</v>
      </c>
      <c r="B46" s="157" t="s">
        <v>730</v>
      </c>
      <c r="C46" s="158"/>
      <c r="D46" s="158"/>
      <c r="E46" s="158"/>
      <c r="F46" s="158"/>
      <c r="G46" s="158"/>
      <c r="H46" s="158"/>
      <c r="I46" s="158"/>
      <c r="J46" s="158"/>
      <c r="K46" s="158"/>
      <c r="L46" s="158"/>
      <c r="M46" s="158"/>
    </row>
    <row r="47" spans="1:13" s="33" customFormat="1" ht="29" outlineLevel="1" x14ac:dyDescent="0.35">
      <c r="A47" s="158"/>
      <c r="B47" s="323" t="s">
        <v>475</v>
      </c>
      <c r="C47" s="159" t="s">
        <v>476</v>
      </c>
      <c r="D47" s="159" t="s">
        <v>810</v>
      </c>
      <c r="E47" s="160" t="s">
        <v>739</v>
      </c>
      <c r="F47" s="158"/>
      <c r="G47" s="158"/>
      <c r="H47" s="158"/>
      <c r="I47" s="158"/>
      <c r="J47" s="158"/>
      <c r="K47" s="158"/>
      <c r="L47" s="158"/>
      <c r="M47" s="158"/>
    </row>
    <row r="48" spans="1:13" s="33" customFormat="1" outlineLevel="1" x14ac:dyDescent="0.35">
      <c r="A48" s="158"/>
      <c r="B48" s="323"/>
      <c r="C48" s="159" t="s">
        <v>738</v>
      </c>
      <c r="D48" s="63">
        <v>100</v>
      </c>
      <c r="E48" s="208" t="s">
        <v>740</v>
      </c>
      <c r="F48" s="158"/>
      <c r="G48" s="158"/>
      <c r="H48" s="158"/>
      <c r="I48" s="158"/>
      <c r="J48" s="158"/>
      <c r="K48" s="158"/>
      <c r="L48" s="158"/>
      <c r="M48" s="158"/>
    </row>
    <row r="49" spans="1:13" s="33" customFormat="1" outlineLevel="1" x14ac:dyDescent="0.35">
      <c r="A49" s="158"/>
      <c r="B49" s="209"/>
      <c r="C49" s="162"/>
      <c r="D49" s="210"/>
      <c r="E49" s="158"/>
      <c r="F49" s="158"/>
      <c r="G49" s="158"/>
      <c r="H49" s="158"/>
      <c r="I49" s="158"/>
      <c r="J49" s="158"/>
      <c r="K49" s="158"/>
      <c r="L49" s="158"/>
      <c r="M49" s="158"/>
    </row>
    <row r="50" spans="1:13" s="33" customFormat="1" ht="58" outlineLevel="1" x14ac:dyDescent="0.35">
      <c r="A50" s="158"/>
      <c r="B50" s="209" t="s">
        <v>480</v>
      </c>
      <c r="C50" s="159" t="s">
        <v>476</v>
      </c>
      <c r="D50" s="160" t="s">
        <v>741</v>
      </c>
      <c r="E50" s="160" t="s">
        <v>487</v>
      </c>
      <c r="F50" s="158"/>
      <c r="G50" s="158"/>
      <c r="H50" s="158"/>
      <c r="I50" s="158"/>
      <c r="J50" s="158"/>
      <c r="K50" s="158"/>
      <c r="L50" s="158"/>
      <c r="M50" s="158"/>
    </row>
    <row r="51" spans="1:13" s="33" customFormat="1" outlineLevel="1" x14ac:dyDescent="0.35">
      <c r="A51" s="158"/>
      <c r="B51" s="209"/>
      <c r="C51" s="159" t="s">
        <v>742</v>
      </c>
      <c r="D51" s="211">
        <v>2.5000000000000001E-2</v>
      </c>
      <c r="E51" s="212">
        <f>1000*D51</f>
        <v>25</v>
      </c>
      <c r="F51" s="158"/>
      <c r="G51" s="158"/>
      <c r="H51" s="158"/>
      <c r="I51" s="158"/>
      <c r="J51" s="158"/>
      <c r="K51" s="158"/>
      <c r="L51" s="158"/>
      <c r="M51" s="158"/>
    </row>
    <row r="52" spans="1:13" s="33" customFormat="1" outlineLevel="1" x14ac:dyDescent="0.35">
      <c r="A52" s="158"/>
      <c r="B52" s="158"/>
      <c r="C52" s="162"/>
      <c r="D52" s="162"/>
      <c r="E52" s="163"/>
      <c r="F52" s="158"/>
      <c r="G52" s="158"/>
      <c r="H52" s="158"/>
      <c r="I52" s="158"/>
      <c r="J52" s="158"/>
      <c r="K52" s="158"/>
      <c r="L52" s="158"/>
      <c r="M52" s="158"/>
    </row>
    <row r="53" spans="1:13" outlineLevel="1" x14ac:dyDescent="0.35"/>
    <row r="54" spans="1:13" outlineLevel="1" x14ac:dyDescent="0.35">
      <c r="A54" s="157" t="s">
        <v>737</v>
      </c>
      <c r="B54" s="157" t="s">
        <v>731</v>
      </c>
      <c r="C54" s="158"/>
      <c r="D54" s="158"/>
      <c r="E54" s="158"/>
      <c r="F54" s="158"/>
      <c r="G54" s="158"/>
      <c r="H54" s="158"/>
      <c r="I54" s="158"/>
      <c r="J54" s="158"/>
      <c r="K54" s="158"/>
      <c r="L54" s="158"/>
      <c r="M54" s="158"/>
    </row>
    <row r="55" spans="1:13" s="33" customFormat="1" ht="29" outlineLevel="1" x14ac:dyDescent="0.35">
      <c r="A55" s="158"/>
      <c r="B55" s="323" t="s">
        <v>475</v>
      </c>
      <c r="C55" s="159" t="s">
        <v>476</v>
      </c>
      <c r="D55" s="160" t="s">
        <v>478</v>
      </c>
      <c r="E55" s="158"/>
      <c r="F55" s="158"/>
      <c r="G55" s="158"/>
      <c r="H55" s="158"/>
      <c r="I55" s="158"/>
      <c r="J55" s="158"/>
      <c r="K55" s="158"/>
      <c r="L55" s="158"/>
      <c r="M55" s="158"/>
    </row>
    <row r="56" spans="1:13" s="33" customFormat="1" outlineLevel="1" x14ac:dyDescent="0.35">
      <c r="A56" s="158"/>
      <c r="B56" s="323"/>
      <c r="C56" s="159" t="s">
        <v>728</v>
      </c>
      <c r="D56" s="63">
        <v>6.5</v>
      </c>
      <c r="E56" s="158"/>
      <c r="F56" s="158"/>
      <c r="G56" s="158"/>
      <c r="H56" s="158"/>
      <c r="I56" s="158"/>
      <c r="J56" s="158"/>
      <c r="K56" s="158"/>
      <c r="L56" s="158"/>
      <c r="M56" s="158"/>
    </row>
    <row r="57" spans="1:13" s="33" customFormat="1" outlineLevel="1" x14ac:dyDescent="0.35">
      <c r="A57" s="158"/>
      <c r="B57" s="158"/>
      <c r="C57" s="162"/>
      <c r="D57" s="162"/>
      <c r="E57" s="163"/>
      <c r="F57" s="158"/>
      <c r="G57" s="158"/>
      <c r="H57" s="158"/>
      <c r="I57" s="158"/>
      <c r="J57" s="158"/>
      <c r="K57" s="158"/>
      <c r="L57" s="158"/>
      <c r="M57" s="158"/>
    </row>
  </sheetData>
  <mergeCells count="8">
    <mergeCell ref="B42:B43"/>
    <mergeCell ref="B47:B48"/>
    <mergeCell ref="B55:B56"/>
    <mergeCell ref="B8:B9"/>
    <mergeCell ref="B11:B15"/>
    <mergeCell ref="B20:B24"/>
    <mergeCell ref="B28:B29"/>
    <mergeCell ref="B36:B3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A4548-28B5-4651-AECE-9F042E3A5025}">
  <sheetPr>
    <tabColor theme="9" tint="0.59999389629810485"/>
  </sheetPr>
  <dimension ref="A1:J163"/>
  <sheetViews>
    <sheetView showGridLines="0" topLeftCell="A19" zoomScale="80" zoomScaleNormal="80" workbookViewId="0">
      <selection activeCell="J36" sqref="J36"/>
    </sheetView>
  </sheetViews>
  <sheetFormatPr defaultRowHeight="14.5" x14ac:dyDescent="0.35"/>
  <cols>
    <col min="1" max="1" width="37.7265625" bestFit="1" customWidth="1"/>
    <col min="2" max="2" width="15.08984375" bestFit="1" customWidth="1"/>
    <col min="3" max="3" width="21.90625" bestFit="1" customWidth="1"/>
    <col min="4" max="4" width="40.6328125" bestFit="1" customWidth="1"/>
    <col min="5" max="5" width="40.54296875" bestFit="1" customWidth="1"/>
    <col min="6" max="6" width="11.453125" bestFit="1" customWidth="1"/>
    <col min="7" max="7" width="10.08984375" bestFit="1" customWidth="1"/>
    <col min="8" max="8" width="10" bestFit="1" customWidth="1"/>
    <col min="9" max="9" width="20.1796875" bestFit="1" customWidth="1"/>
    <col min="10" max="10" width="53.81640625" bestFit="1" customWidth="1"/>
  </cols>
  <sheetData>
    <row r="1" spans="1:10" x14ac:dyDescent="0.35">
      <c r="A1" s="46"/>
      <c r="B1" s="46" t="s">
        <v>606</v>
      </c>
      <c r="C1" s="46" t="s">
        <v>607</v>
      </c>
      <c r="D1" s="46" t="s">
        <v>703</v>
      </c>
      <c r="E1" s="46" t="s">
        <v>608</v>
      </c>
      <c r="F1" s="178" t="s">
        <v>609</v>
      </c>
      <c r="G1" s="178" t="s">
        <v>610</v>
      </c>
      <c r="H1" s="178" t="s">
        <v>611</v>
      </c>
      <c r="I1" s="46" t="s">
        <v>180</v>
      </c>
      <c r="J1" s="178" t="s">
        <v>476</v>
      </c>
    </row>
    <row r="2" spans="1:10" s="199" customFormat="1" ht="15.5" x14ac:dyDescent="0.35">
      <c r="A2" s="196" t="s">
        <v>612</v>
      </c>
      <c r="B2" s="197"/>
      <c r="C2" s="197"/>
      <c r="D2" s="197"/>
      <c r="E2" s="197"/>
      <c r="F2" s="198"/>
      <c r="G2" s="198"/>
      <c r="H2" s="198"/>
      <c r="I2" s="197"/>
      <c r="J2" s="198"/>
    </row>
    <row r="3" spans="1:10" x14ac:dyDescent="0.35">
      <c r="A3" s="45"/>
      <c r="B3" s="45" t="s">
        <v>613</v>
      </c>
      <c r="C3" s="45" t="s">
        <v>227</v>
      </c>
      <c r="D3" s="45" t="s">
        <v>615</v>
      </c>
      <c r="E3" s="45" t="s">
        <v>616</v>
      </c>
      <c r="F3" s="179">
        <v>-1</v>
      </c>
      <c r="G3" s="179">
        <v>-1</v>
      </c>
      <c r="H3" s="179">
        <v>-1</v>
      </c>
      <c r="I3" s="45" t="s">
        <v>614</v>
      </c>
      <c r="J3" s="45" t="s">
        <v>617</v>
      </c>
    </row>
    <row r="4" spans="1:10" x14ac:dyDescent="0.35">
      <c r="A4" s="45"/>
      <c r="B4" s="45" t="s">
        <v>613</v>
      </c>
      <c r="C4" s="45" t="s">
        <v>227</v>
      </c>
      <c r="D4" s="45" t="s">
        <v>618</v>
      </c>
      <c r="E4" s="45" t="s">
        <v>616</v>
      </c>
      <c r="F4" s="179">
        <v>-1</v>
      </c>
      <c r="G4" s="179">
        <v>-1</v>
      </c>
      <c r="H4" s="179">
        <v>-1</v>
      </c>
      <c r="I4" s="45" t="s">
        <v>614</v>
      </c>
      <c r="J4" s="45" t="s">
        <v>617</v>
      </c>
    </row>
    <row r="5" spans="1:10" x14ac:dyDescent="0.35">
      <c r="A5" s="45"/>
      <c r="B5" s="45" t="s">
        <v>613</v>
      </c>
      <c r="C5" s="45" t="s">
        <v>227</v>
      </c>
      <c r="D5" s="45" t="s">
        <v>619</v>
      </c>
      <c r="E5" s="45" t="s">
        <v>620</v>
      </c>
      <c r="F5" s="179">
        <v>-1</v>
      </c>
      <c r="G5" s="179">
        <v>-1</v>
      </c>
      <c r="H5" s="179">
        <v>-1</v>
      </c>
      <c r="I5" s="45" t="s">
        <v>614</v>
      </c>
      <c r="J5" s="45" t="s">
        <v>617</v>
      </c>
    </row>
    <row r="6" spans="1:10" x14ac:dyDescent="0.35">
      <c r="A6" s="45"/>
      <c r="B6" s="45" t="s">
        <v>613</v>
      </c>
      <c r="C6" s="45" t="s">
        <v>227</v>
      </c>
      <c r="D6" s="45" t="s">
        <v>619</v>
      </c>
      <c r="E6" s="45" t="s">
        <v>621</v>
      </c>
      <c r="F6" s="179">
        <v>-1</v>
      </c>
      <c r="G6" s="179">
        <v>-1</v>
      </c>
      <c r="H6" s="179">
        <v>-1</v>
      </c>
      <c r="I6" s="45" t="s">
        <v>614</v>
      </c>
      <c r="J6" s="45" t="s">
        <v>617</v>
      </c>
    </row>
    <row r="7" spans="1:10" x14ac:dyDescent="0.35">
      <c r="A7" s="45"/>
      <c r="B7" s="45" t="s">
        <v>613</v>
      </c>
      <c r="C7" s="45" t="s">
        <v>227</v>
      </c>
      <c r="D7" s="45" t="s">
        <v>619</v>
      </c>
      <c r="E7" s="45" t="s">
        <v>622</v>
      </c>
      <c r="F7" s="179">
        <v>-1</v>
      </c>
      <c r="G7" s="179">
        <v>-1</v>
      </c>
      <c r="H7" s="179">
        <v>-1</v>
      </c>
      <c r="I7" s="45" t="s">
        <v>614</v>
      </c>
      <c r="J7" s="45" t="s">
        <v>617</v>
      </c>
    </row>
    <row r="8" spans="1:10" x14ac:dyDescent="0.35">
      <c r="A8" s="45"/>
      <c r="B8" s="45" t="s">
        <v>613</v>
      </c>
      <c r="C8" s="45" t="s">
        <v>227</v>
      </c>
      <c r="D8" s="45" t="s">
        <v>619</v>
      </c>
      <c r="E8" s="45" t="s">
        <v>623</v>
      </c>
      <c r="F8" s="179">
        <v>-1</v>
      </c>
      <c r="G8" s="179">
        <v>-1</v>
      </c>
      <c r="H8" s="179">
        <v>-1</v>
      </c>
      <c r="I8" s="45" t="s">
        <v>614</v>
      </c>
      <c r="J8" s="45" t="s">
        <v>617</v>
      </c>
    </row>
    <row r="9" spans="1:10" x14ac:dyDescent="0.35">
      <c r="A9" s="45"/>
      <c r="B9" s="45" t="s">
        <v>613</v>
      </c>
      <c r="C9" s="45" t="s">
        <v>227</v>
      </c>
      <c r="D9" s="45" t="s">
        <v>624</v>
      </c>
      <c r="E9" s="45" t="s">
        <v>625</v>
      </c>
      <c r="F9" s="179">
        <v>37.299999999999997</v>
      </c>
      <c r="G9" s="179">
        <v>11.6</v>
      </c>
      <c r="H9" s="179">
        <v>3.31</v>
      </c>
      <c r="I9" s="45" t="s">
        <v>614</v>
      </c>
      <c r="J9" s="45" t="s">
        <v>711</v>
      </c>
    </row>
    <row r="10" spans="1:10" x14ac:dyDescent="0.35">
      <c r="A10" s="45"/>
      <c r="B10" s="45" t="s">
        <v>613</v>
      </c>
      <c r="C10" s="45" t="s">
        <v>227</v>
      </c>
      <c r="D10" s="45" t="s">
        <v>624</v>
      </c>
      <c r="E10" s="45" t="s">
        <v>626</v>
      </c>
      <c r="F10" s="179">
        <v>37.299999999999997</v>
      </c>
      <c r="G10" s="179">
        <v>11.6</v>
      </c>
      <c r="H10" s="179">
        <v>3.31</v>
      </c>
      <c r="I10" s="45" t="s">
        <v>614</v>
      </c>
      <c r="J10" s="45" t="s">
        <v>711</v>
      </c>
    </row>
    <row r="11" spans="1:10" x14ac:dyDescent="0.35">
      <c r="A11" s="45"/>
      <c r="B11" s="45" t="s">
        <v>613</v>
      </c>
      <c r="C11" s="45" t="s">
        <v>227</v>
      </c>
      <c r="D11" s="45" t="s">
        <v>624</v>
      </c>
      <c r="E11" s="45" t="s">
        <v>627</v>
      </c>
      <c r="F11" s="179">
        <v>37.299999999999997</v>
      </c>
      <c r="G11" s="179">
        <v>11.6</v>
      </c>
      <c r="H11" s="179">
        <v>3.31</v>
      </c>
      <c r="I11" s="45" t="s">
        <v>614</v>
      </c>
      <c r="J11" s="45" t="s">
        <v>711</v>
      </c>
    </row>
    <row r="12" spans="1:10" x14ac:dyDescent="0.35">
      <c r="A12" s="45"/>
      <c r="B12" s="45" t="s">
        <v>613</v>
      </c>
      <c r="C12" s="45" t="s">
        <v>227</v>
      </c>
      <c r="D12" s="45" t="s">
        <v>624</v>
      </c>
      <c r="E12" s="45" t="s">
        <v>628</v>
      </c>
      <c r="F12" s="179">
        <v>37.299999999999997</v>
      </c>
      <c r="G12" s="179">
        <v>11.6</v>
      </c>
      <c r="H12" s="179">
        <v>3.31</v>
      </c>
      <c r="I12" s="45" t="s">
        <v>614</v>
      </c>
      <c r="J12" s="45" t="s">
        <v>711</v>
      </c>
    </row>
    <row r="13" spans="1:10" x14ac:dyDescent="0.35">
      <c r="A13" s="45"/>
      <c r="B13" s="45" t="s">
        <v>613</v>
      </c>
      <c r="C13" s="45" t="s">
        <v>227</v>
      </c>
      <c r="D13" s="45" t="s">
        <v>624</v>
      </c>
      <c r="E13" s="45" t="s">
        <v>629</v>
      </c>
      <c r="F13" s="179">
        <v>37.299999999999997</v>
      </c>
      <c r="G13" s="179">
        <v>11.6</v>
      </c>
      <c r="H13" s="179">
        <v>3.31</v>
      </c>
      <c r="I13" s="45" t="s">
        <v>614</v>
      </c>
      <c r="J13" s="45" t="s">
        <v>711</v>
      </c>
    </row>
    <row r="14" spans="1:10" x14ac:dyDescent="0.35">
      <c r="A14" s="45"/>
      <c r="B14" s="45" t="s">
        <v>613</v>
      </c>
      <c r="C14" s="45" t="s">
        <v>227</v>
      </c>
      <c r="D14" s="45" t="s">
        <v>630</v>
      </c>
      <c r="E14" s="45" t="s">
        <v>625</v>
      </c>
      <c r="F14" s="179">
        <v>85</v>
      </c>
      <c r="G14" s="179">
        <v>36</v>
      </c>
      <c r="H14" s="179">
        <v>4.9000000000000004</v>
      </c>
      <c r="I14" s="45" t="s">
        <v>614</v>
      </c>
      <c r="J14" s="45" t="s">
        <v>713</v>
      </c>
    </row>
    <row r="15" spans="1:10" x14ac:dyDescent="0.35">
      <c r="A15" s="45"/>
      <c r="B15" s="45" t="s">
        <v>613</v>
      </c>
      <c r="C15" s="45" t="s">
        <v>227</v>
      </c>
      <c r="D15" s="45" t="s">
        <v>630</v>
      </c>
      <c r="E15" s="45" t="s">
        <v>626</v>
      </c>
      <c r="F15" s="179">
        <v>85</v>
      </c>
      <c r="G15" s="179">
        <v>36</v>
      </c>
      <c r="H15" s="179">
        <v>4.9000000000000004</v>
      </c>
      <c r="I15" s="45" t="s">
        <v>614</v>
      </c>
      <c r="J15" s="45" t="s">
        <v>713</v>
      </c>
    </row>
    <row r="16" spans="1:10" x14ac:dyDescent="0.35">
      <c r="A16" s="45"/>
      <c r="B16" s="45" t="s">
        <v>613</v>
      </c>
      <c r="C16" s="45" t="s">
        <v>227</v>
      </c>
      <c r="D16" s="45" t="s">
        <v>630</v>
      </c>
      <c r="E16" s="45" t="s">
        <v>627</v>
      </c>
      <c r="F16" s="179">
        <v>85</v>
      </c>
      <c r="G16" s="179">
        <v>36</v>
      </c>
      <c r="H16" s="179">
        <v>4.9000000000000004</v>
      </c>
      <c r="I16" s="45" t="s">
        <v>614</v>
      </c>
      <c r="J16" s="45" t="s">
        <v>713</v>
      </c>
    </row>
    <row r="17" spans="1:10" x14ac:dyDescent="0.35">
      <c r="A17" s="45"/>
      <c r="B17" s="45" t="s">
        <v>613</v>
      </c>
      <c r="C17" s="45" t="s">
        <v>227</v>
      </c>
      <c r="D17" s="45" t="s">
        <v>630</v>
      </c>
      <c r="E17" s="45" t="s">
        <v>628</v>
      </c>
      <c r="F17" s="179">
        <v>85</v>
      </c>
      <c r="G17" s="179">
        <v>36</v>
      </c>
      <c r="H17" s="179">
        <v>4.9000000000000004</v>
      </c>
      <c r="I17" s="45" t="s">
        <v>614</v>
      </c>
      <c r="J17" s="45" t="s">
        <v>713</v>
      </c>
    </row>
    <row r="18" spans="1:10" x14ac:dyDescent="0.35">
      <c r="A18" s="45"/>
      <c r="B18" s="45" t="s">
        <v>613</v>
      </c>
      <c r="C18" s="45" t="s">
        <v>227</v>
      </c>
      <c r="D18" s="45" t="s">
        <v>630</v>
      </c>
      <c r="E18" s="45" t="s">
        <v>629</v>
      </c>
      <c r="F18" s="179">
        <v>85</v>
      </c>
      <c r="G18" s="179">
        <v>36</v>
      </c>
      <c r="H18" s="179">
        <v>4.9000000000000004</v>
      </c>
      <c r="I18" s="45" t="s">
        <v>614</v>
      </c>
      <c r="J18" s="45" t="s">
        <v>713</v>
      </c>
    </row>
    <row r="19" spans="1:10" x14ac:dyDescent="0.35">
      <c r="A19" s="45"/>
      <c r="B19" s="45" t="s">
        <v>613</v>
      </c>
      <c r="C19" s="45" t="s">
        <v>227</v>
      </c>
      <c r="D19" s="45" t="s">
        <v>631</v>
      </c>
      <c r="E19" s="45" t="s">
        <v>625</v>
      </c>
      <c r="F19" s="169">
        <f t="array" ref="F19:H23">CFs_methane-2.75</f>
        <v>82.25</v>
      </c>
      <c r="G19" s="169">
        <v>33.25</v>
      </c>
      <c r="H19" s="169">
        <v>2.1500000000000004</v>
      </c>
      <c r="I19" s="45" t="s">
        <v>614</v>
      </c>
      <c r="J19" s="45" t="s">
        <v>712</v>
      </c>
    </row>
    <row r="20" spans="1:10" x14ac:dyDescent="0.35">
      <c r="A20" s="45"/>
      <c r="B20" s="45" t="s">
        <v>613</v>
      </c>
      <c r="C20" s="45" t="s">
        <v>227</v>
      </c>
      <c r="D20" s="45" t="s">
        <v>631</v>
      </c>
      <c r="E20" s="45" t="s">
        <v>626</v>
      </c>
      <c r="F20" s="169">
        <v>82.25</v>
      </c>
      <c r="G20" s="169">
        <v>33.25</v>
      </c>
      <c r="H20" s="169">
        <v>2.1500000000000004</v>
      </c>
      <c r="I20" s="45" t="s">
        <v>614</v>
      </c>
      <c r="J20" s="45" t="s">
        <v>712</v>
      </c>
    </row>
    <row r="21" spans="1:10" x14ac:dyDescent="0.35">
      <c r="A21" s="45"/>
      <c r="B21" s="45" t="s">
        <v>613</v>
      </c>
      <c r="C21" s="45" t="s">
        <v>227</v>
      </c>
      <c r="D21" s="45" t="s">
        <v>631</v>
      </c>
      <c r="E21" s="45" t="s">
        <v>627</v>
      </c>
      <c r="F21" s="169">
        <v>82.25</v>
      </c>
      <c r="G21" s="169">
        <v>33.25</v>
      </c>
      <c r="H21" s="169">
        <v>2.1500000000000004</v>
      </c>
      <c r="I21" s="45" t="s">
        <v>614</v>
      </c>
      <c r="J21" s="45" t="s">
        <v>712</v>
      </c>
    </row>
    <row r="22" spans="1:10" x14ac:dyDescent="0.35">
      <c r="A22" s="45"/>
      <c r="B22" s="45" t="s">
        <v>613</v>
      </c>
      <c r="C22" s="45" t="s">
        <v>227</v>
      </c>
      <c r="D22" s="45" t="s">
        <v>631</v>
      </c>
      <c r="E22" s="45" t="s">
        <v>628</v>
      </c>
      <c r="F22" s="169">
        <v>82.25</v>
      </c>
      <c r="G22" s="169">
        <v>33.25</v>
      </c>
      <c r="H22" s="169">
        <v>2.1500000000000004</v>
      </c>
      <c r="I22" s="45" t="s">
        <v>614</v>
      </c>
      <c r="J22" s="45" t="s">
        <v>712</v>
      </c>
    </row>
    <row r="23" spans="1:10" x14ac:dyDescent="0.35">
      <c r="A23" s="45"/>
      <c r="B23" s="45" t="s">
        <v>613</v>
      </c>
      <c r="C23" s="45" t="s">
        <v>227</v>
      </c>
      <c r="D23" s="45" t="s">
        <v>631</v>
      </c>
      <c r="E23" s="45" t="s">
        <v>629</v>
      </c>
      <c r="F23" s="169">
        <v>82.25</v>
      </c>
      <c r="G23" s="169">
        <v>33.25</v>
      </c>
      <c r="H23" s="169">
        <v>2.1500000000000004</v>
      </c>
      <c r="I23" s="45" t="s">
        <v>614</v>
      </c>
      <c r="J23" s="45" t="s">
        <v>712</v>
      </c>
    </row>
    <row r="24" spans="1:10" x14ac:dyDescent="0.35">
      <c r="A24" s="45"/>
      <c r="B24" s="45" t="s">
        <v>613</v>
      </c>
      <c r="C24" s="45" t="s">
        <v>227</v>
      </c>
      <c r="D24" s="45" t="s">
        <v>632</v>
      </c>
      <c r="E24" s="45" t="s">
        <v>625</v>
      </c>
      <c r="F24" s="169">
        <f t="array" ref="F24:H28">CFs_methane-2.75</f>
        <v>82.25</v>
      </c>
      <c r="G24" s="169">
        <v>33.25</v>
      </c>
      <c r="H24" s="169">
        <v>2.1500000000000004</v>
      </c>
      <c r="I24" s="45" t="s">
        <v>614</v>
      </c>
      <c r="J24" s="45" t="s">
        <v>712</v>
      </c>
    </row>
    <row r="25" spans="1:10" x14ac:dyDescent="0.35">
      <c r="A25" s="45"/>
      <c r="B25" s="45" t="s">
        <v>613</v>
      </c>
      <c r="C25" s="45" t="s">
        <v>227</v>
      </c>
      <c r="D25" s="45" t="s">
        <v>632</v>
      </c>
      <c r="E25" s="45" t="s">
        <v>626</v>
      </c>
      <c r="F25" s="169">
        <v>82.25</v>
      </c>
      <c r="G25" s="169">
        <v>33.25</v>
      </c>
      <c r="H25" s="169">
        <v>2.1500000000000004</v>
      </c>
      <c r="I25" s="45" t="s">
        <v>614</v>
      </c>
      <c r="J25" s="45" t="s">
        <v>712</v>
      </c>
    </row>
    <row r="26" spans="1:10" x14ac:dyDescent="0.35">
      <c r="A26" s="45"/>
      <c r="B26" s="45" t="s">
        <v>613</v>
      </c>
      <c r="C26" s="45" t="s">
        <v>227</v>
      </c>
      <c r="D26" s="45" t="s">
        <v>632</v>
      </c>
      <c r="E26" s="45" t="s">
        <v>627</v>
      </c>
      <c r="F26" s="169">
        <v>82.25</v>
      </c>
      <c r="G26" s="169">
        <v>33.25</v>
      </c>
      <c r="H26" s="169">
        <v>2.1500000000000004</v>
      </c>
      <c r="I26" s="45" t="s">
        <v>614</v>
      </c>
      <c r="J26" s="45" t="s">
        <v>712</v>
      </c>
    </row>
    <row r="27" spans="1:10" x14ac:dyDescent="0.35">
      <c r="A27" s="45"/>
      <c r="B27" s="45" t="s">
        <v>613</v>
      </c>
      <c r="C27" s="45" t="s">
        <v>227</v>
      </c>
      <c r="D27" s="45" t="s">
        <v>632</v>
      </c>
      <c r="E27" s="45" t="s">
        <v>628</v>
      </c>
      <c r="F27" s="169">
        <v>82.25</v>
      </c>
      <c r="G27" s="169">
        <v>33.25</v>
      </c>
      <c r="H27" s="169">
        <v>2.1500000000000004</v>
      </c>
      <c r="I27" s="45" t="s">
        <v>614</v>
      </c>
      <c r="J27" s="45" t="s">
        <v>712</v>
      </c>
    </row>
    <row r="28" spans="1:10" x14ac:dyDescent="0.35">
      <c r="A28" s="45"/>
      <c r="B28" s="45" t="s">
        <v>613</v>
      </c>
      <c r="C28" s="45" t="s">
        <v>227</v>
      </c>
      <c r="D28" s="45" t="s">
        <v>632</v>
      </c>
      <c r="E28" s="45" t="s">
        <v>629</v>
      </c>
      <c r="F28" s="169">
        <v>82.25</v>
      </c>
      <c r="G28" s="169">
        <v>33.25</v>
      </c>
      <c r="H28" s="169">
        <v>2.1500000000000004</v>
      </c>
      <c r="I28" s="45" t="s">
        <v>614</v>
      </c>
      <c r="J28" s="45" t="s">
        <v>712</v>
      </c>
    </row>
    <row r="29" spans="1:10" s="199" customFormat="1" ht="15.5" x14ac:dyDescent="0.35">
      <c r="A29" s="196" t="s">
        <v>633</v>
      </c>
    </row>
    <row r="30" spans="1:10" x14ac:dyDescent="0.35">
      <c r="A30" s="45"/>
      <c r="B30" s="45" t="s">
        <v>613</v>
      </c>
      <c r="C30" s="45" t="s">
        <v>634</v>
      </c>
      <c r="D30" s="45" t="s">
        <v>227</v>
      </c>
      <c r="E30" s="45" t="s">
        <v>227</v>
      </c>
      <c r="F30" s="179">
        <f>8.12*10^-8</f>
        <v>8.1199999999999999E-8</v>
      </c>
      <c r="G30" s="179">
        <f>9.28*10^-7</f>
        <v>9.2799999999999995E-7</v>
      </c>
      <c r="H30" s="179">
        <f>1.25*10^-5</f>
        <v>1.2500000000000001E-5</v>
      </c>
      <c r="I30" s="45" t="s">
        <v>635</v>
      </c>
      <c r="J30" s="45" t="s">
        <v>714</v>
      </c>
    </row>
    <row r="31" spans="1:10" x14ac:dyDescent="0.35">
      <c r="A31" s="45"/>
      <c r="B31" s="45" t="s">
        <v>613</v>
      </c>
      <c r="C31" s="45" t="s">
        <v>636</v>
      </c>
      <c r="D31" s="45" t="s">
        <v>227</v>
      </c>
      <c r="E31" s="45" t="s">
        <v>227</v>
      </c>
      <c r="F31" s="179">
        <f>5.32*10^-10</f>
        <v>5.3200000000000002E-10</v>
      </c>
      <c r="G31" s="179">
        <f>2.8*10^-9</f>
        <v>2.7999999999999998E-9</v>
      </c>
      <c r="H31" s="179">
        <f>2.5*10^-8</f>
        <v>2.4999999999999999E-8</v>
      </c>
      <c r="I31" s="45" t="s">
        <v>637</v>
      </c>
      <c r="J31" s="45" t="s">
        <v>714</v>
      </c>
    </row>
    <row r="32" spans="1:10" x14ac:dyDescent="0.35">
      <c r="A32" s="45"/>
      <c r="B32" s="45" t="s">
        <v>613</v>
      </c>
      <c r="C32" s="45" t="s">
        <v>638</v>
      </c>
      <c r="D32" s="45" t="s">
        <v>227</v>
      </c>
      <c r="E32" s="45" t="s">
        <v>227</v>
      </c>
      <c r="F32" s="179">
        <f>1.45*10^-14</f>
        <v>1.4499999999999998E-14</v>
      </c>
      <c r="G32" s="179">
        <f>7.65*10^-14</f>
        <v>7.6500000000000002E-14</v>
      </c>
      <c r="H32" s="179">
        <f>6.82*10^-13</f>
        <v>6.8200000000000002E-13</v>
      </c>
      <c r="I32" s="45" t="s">
        <v>637</v>
      </c>
      <c r="J32" s="45" t="s">
        <v>714</v>
      </c>
    </row>
    <row r="33" spans="1:10" s="199" customFormat="1" ht="15.5" x14ac:dyDescent="0.35">
      <c r="A33" s="196" t="s">
        <v>639</v>
      </c>
    </row>
    <row r="34" spans="1:10" x14ac:dyDescent="0.35">
      <c r="A34" s="45"/>
      <c r="B34" s="45" t="s">
        <v>613</v>
      </c>
      <c r="C34" s="45" t="s">
        <v>634</v>
      </c>
      <c r="D34" s="45" t="s">
        <v>615</v>
      </c>
      <c r="E34" s="45" t="s">
        <v>616</v>
      </c>
      <c r="F34" s="180">
        <f t="array" ref="F34:H59">CFs_midpoint*HH_mid_to_end</f>
        <v>-8.1199999999999999E-8</v>
      </c>
      <c r="G34" s="169">
        <v>-9.2799999999999995E-7</v>
      </c>
      <c r="H34" s="169">
        <v>-1.2500000000000001E-5</v>
      </c>
      <c r="I34" s="45" t="s">
        <v>635</v>
      </c>
      <c r="J34" s="45"/>
    </row>
    <row r="35" spans="1:10" x14ac:dyDescent="0.35">
      <c r="A35" s="45"/>
      <c r="B35" s="45" t="s">
        <v>613</v>
      </c>
      <c r="C35" s="45" t="s">
        <v>634</v>
      </c>
      <c r="D35" s="45" t="s">
        <v>618</v>
      </c>
      <c r="E35" s="45" t="s">
        <v>616</v>
      </c>
      <c r="F35" s="169">
        <v>-8.1199999999999999E-8</v>
      </c>
      <c r="G35" s="169">
        <v>-9.2799999999999995E-7</v>
      </c>
      <c r="H35" s="169">
        <v>-1.2500000000000001E-5</v>
      </c>
      <c r="I35" s="45" t="s">
        <v>635</v>
      </c>
      <c r="J35" s="45"/>
    </row>
    <row r="36" spans="1:10" x14ac:dyDescent="0.35">
      <c r="A36" s="45"/>
      <c r="B36" s="45" t="s">
        <v>613</v>
      </c>
      <c r="C36" s="45" t="s">
        <v>634</v>
      </c>
      <c r="D36" s="45" t="s">
        <v>619</v>
      </c>
      <c r="E36" s="45" t="s">
        <v>620</v>
      </c>
      <c r="F36" s="169">
        <v>-8.1199999999999999E-8</v>
      </c>
      <c r="G36" s="169">
        <v>-9.2799999999999995E-7</v>
      </c>
      <c r="H36" s="169">
        <v>-1.2500000000000001E-5</v>
      </c>
      <c r="I36" s="45" t="s">
        <v>635</v>
      </c>
      <c r="J36" s="45"/>
    </row>
    <row r="37" spans="1:10" x14ac:dyDescent="0.35">
      <c r="A37" s="45"/>
      <c r="B37" s="45" t="s">
        <v>613</v>
      </c>
      <c r="C37" s="45" t="s">
        <v>634</v>
      </c>
      <c r="D37" s="45" t="s">
        <v>619</v>
      </c>
      <c r="E37" s="45" t="s">
        <v>621</v>
      </c>
      <c r="F37" s="169">
        <v>-8.1199999999999999E-8</v>
      </c>
      <c r="G37" s="169">
        <v>-9.2799999999999995E-7</v>
      </c>
      <c r="H37" s="169">
        <v>-1.2500000000000001E-5</v>
      </c>
      <c r="I37" s="45" t="s">
        <v>635</v>
      </c>
      <c r="J37" s="45"/>
    </row>
    <row r="38" spans="1:10" x14ac:dyDescent="0.35">
      <c r="A38" s="45"/>
      <c r="B38" s="45" t="s">
        <v>613</v>
      </c>
      <c r="C38" s="45" t="s">
        <v>634</v>
      </c>
      <c r="D38" s="45" t="s">
        <v>619</v>
      </c>
      <c r="E38" s="45" t="s">
        <v>622</v>
      </c>
      <c r="F38" s="169">
        <v>-8.1199999999999999E-8</v>
      </c>
      <c r="G38" s="169">
        <v>-9.2799999999999995E-7</v>
      </c>
      <c r="H38" s="169">
        <v>-1.2500000000000001E-5</v>
      </c>
      <c r="I38" s="45" t="s">
        <v>635</v>
      </c>
      <c r="J38" s="45"/>
    </row>
    <row r="39" spans="1:10" x14ac:dyDescent="0.35">
      <c r="A39" s="45"/>
      <c r="B39" s="45" t="s">
        <v>613</v>
      </c>
      <c r="C39" s="45" t="s">
        <v>634</v>
      </c>
      <c r="D39" s="45" t="s">
        <v>619</v>
      </c>
      <c r="E39" s="45" t="s">
        <v>623</v>
      </c>
      <c r="F39" s="169">
        <v>-8.1199999999999999E-8</v>
      </c>
      <c r="G39" s="169">
        <v>-9.2799999999999995E-7</v>
      </c>
      <c r="H39" s="169">
        <v>-1.2500000000000001E-5</v>
      </c>
      <c r="I39" s="45" t="s">
        <v>635</v>
      </c>
      <c r="J39" s="45"/>
    </row>
    <row r="40" spans="1:10" x14ac:dyDescent="0.35">
      <c r="A40" s="45"/>
      <c r="B40" s="45" t="s">
        <v>613</v>
      </c>
      <c r="C40" s="45" t="s">
        <v>634</v>
      </c>
      <c r="D40" s="45" t="s">
        <v>624</v>
      </c>
      <c r="E40" s="45" t="s">
        <v>625</v>
      </c>
      <c r="F40" s="169">
        <v>3.0287599999999999E-6</v>
      </c>
      <c r="G40" s="169">
        <v>1.0764799999999999E-5</v>
      </c>
      <c r="H40" s="169">
        <v>4.1375000000000003E-5</v>
      </c>
      <c r="I40" s="45" t="s">
        <v>635</v>
      </c>
      <c r="J40" s="45"/>
    </row>
    <row r="41" spans="1:10" x14ac:dyDescent="0.35">
      <c r="A41" s="45"/>
      <c r="B41" s="45" t="s">
        <v>613</v>
      </c>
      <c r="C41" s="45" t="s">
        <v>634</v>
      </c>
      <c r="D41" s="45" t="s">
        <v>624</v>
      </c>
      <c r="E41" s="45" t="s">
        <v>626</v>
      </c>
      <c r="F41" s="169">
        <v>3.0287599999999999E-6</v>
      </c>
      <c r="G41" s="169">
        <v>1.0764799999999999E-5</v>
      </c>
      <c r="H41" s="169">
        <v>4.1375000000000003E-5</v>
      </c>
      <c r="I41" s="45" t="s">
        <v>635</v>
      </c>
      <c r="J41" s="45"/>
    </row>
    <row r="42" spans="1:10" x14ac:dyDescent="0.35">
      <c r="A42" s="45"/>
      <c r="B42" s="45" t="s">
        <v>613</v>
      </c>
      <c r="C42" s="45" t="s">
        <v>634</v>
      </c>
      <c r="D42" s="45" t="s">
        <v>624</v>
      </c>
      <c r="E42" s="45" t="s">
        <v>627</v>
      </c>
      <c r="F42" s="169">
        <v>3.0287599999999999E-6</v>
      </c>
      <c r="G42" s="169">
        <v>1.0764799999999999E-5</v>
      </c>
      <c r="H42" s="169">
        <v>4.1375000000000003E-5</v>
      </c>
      <c r="I42" s="45" t="s">
        <v>635</v>
      </c>
      <c r="J42" s="45"/>
    </row>
    <row r="43" spans="1:10" x14ac:dyDescent="0.35">
      <c r="A43" s="45"/>
      <c r="B43" s="45" t="s">
        <v>613</v>
      </c>
      <c r="C43" s="45" t="s">
        <v>634</v>
      </c>
      <c r="D43" s="45" t="s">
        <v>624</v>
      </c>
      <c r="E43" s="45" t="s">
        <v>628</v>
      </c>
      <c r="F43" s="169">
        <v>3.0287599999999999E-6</v>
      </c>
      <c r="G43" s="169">
        <v>1.0764799999999999E-5</v>
      </c>
      <c r="H43" s="169">
        <v>4.1375000000000003E-5</v>
      </c>
      <c r="I43" s="45" t="s">
        <v>635</v>
      </c>
      <c r="J43" s="45"/>
    </row>
    <row r="44" spans="1:10" x14ac:dyDescent="0.35">
      <c r="A44" s="45"/>
      <c r="B44" s="45" t="s">
        <v>613</v>
      </c>
      <c r="C44" s="45" t="s">
        <v>634</v>
      </c>
      <c r="D44" s="45" t="s">
        <v>624</v>
      </c>
      <c r="E44" s="45" t="s">
        <v>629</v>
      </c>
      <c r="F44" s="169">
        <v>3.0287599999999999E-6</v>
      </c>
      <c r="G44" s="169">
        <v>1.0764799999999999E-5</v>
      </c>
      <c r="H44" s="169">
        <v>4.1375000000000003E-5</v>
      </c>
      <c r="I44" s="45" t="s">
        <v>635</v>
      </c>
      <c r="J44" s="45"/>
    </row>
    <row r="45" spans="1:10" x14ac:dyDescent="0.35">
      <c r="A45" s="45"/>
      <c r="B45" s="45" t="s">
        <v>613</v>
      </c>
      <c r="C45" s="45" t="s">
        <v>634</v>
      </c>
      <c r="D45" s="45" t="s">
        <v>630</v>
      </c>
      <c r="E45" s="45" t="s">
        <v>625</v>
      </c>
      <c r="F45" s="169">
        <v>6.9020000000000002E-6</v>
      </c>
      <c r="G45" s="169">
        <v>3.3407999999999996E-5</v>
      </c>
      <c r="H45" s="169">
        <v>6.1250000000000012E-5</v>
      </c>
      <c r="I45" s="45" t="s">
        <v>635</v>
      </c>
      <c r="J45" s="45"/>
    </row>
    <row r="46" spans="1:10" x14ac:dyDescent="0.35">
      <c r="A46" s="45"/>
      <c r="B46" s="45" t="s">
        <v>613</v>
      </c>
      <c r="C46" s="45" t="s">
        <v>634</v>
      </c>
      <c r="D46" s="45" t="s">
        <v>630</v>
      </c>
      <c r="E46" s="45" t="s">
        <v>626</v>
      </c>
      <c r="F46" s="169">
        <v>6.9020000000000002E-6</v>
      </c>
      <c r="G46" s="169">
        <v>3.3407999999999996E-5</v>
      </c>
      <c r="H46" s="169">
        <v>6.1250000000000012E-5</v>
      </c>
      <c r="I46" s="45" t="s">
        <v>635</v>
      </c>
      <c r="J46" s="45"/>
    </row>
    <row r="47" spans="1:10" x14ac:dyDescent="0.35">
      <c r="A47" s="45"/>
      <c r="B47" s="45" t="s">
        <v>613</v>
      </c>
      <c r="C47" s="45" t="s">
        <v>634</v>
      </c>
      <c r="D47" s="45" t="s">
        <v>630</v>
      </c>
      <c r="E47" s="45" t="s">
        <v>627</v>
      </c>
      <c r="F47" s="169">
        <v>6.9020000000000002E-6</v>
      </c>
      <c r="G47" s="169">
        <v>3.3407999999999996E-5</v>
      </c>
      <c r="H47" s="169">
        <v>6.1250000000000012E-5</v>
      </c>
      <c r="I47" s="45" t="s">
        <v>635</v>
      </c>
      <c r="J47" s="45"/>
    </row>
    <row r="48" spans="1:10" x14ac:dyDescent="0.35">
      <c r="A48" s="45"/>
      <c r="B48" s="45" t="s">
        <v>613</v>
      </c>
      <c r="C48" s="45" t="s">
        <v>634</v>
      </c>
      <c r="D48" s="45" t="s">
        <v>630</v>
      </c>
      <c r="E48" s="45" t="s">
        <v>628</v>
      </c>
      <c r="F48" s="169">
        <v>6.9020000000000002E-6</v>
      </c>
      <c r="G48" s="169">
        <v>3.3407999999999996E-5</v>
      </c>
      <c r="H48" s="169">
        <v>6.1250000000000012E-5</v>
      </c>
      <c r="I48" s="45" t="s">
        <v>635</v>
      </c>
      <c r="J48" s="45"/>
    </row>
    <row r="49" spans="1:10" x14ac:dyDescent="0.35">
      <c r="A49" s="45"/>
      <c r="B49" s="45" t="s">
        <v>613</v>
      </c>
      <c r="C49" s="45" t="s">
        <v>634</v>
      </c>
      <c r="D49" s="45" t="s">
        <v>630</v>
      </c>
      <c r="E49" s="45" t="s">
        <v>629</v>
      </c>
      <c r="F49" s="169">
        <v>6.9020000000000002E-6</v>
      </c>
      <c r="G49" s="169">
        <v>3.3407999999999996E-5</v>
      </c>
      <c r="H49" s="169">
        <v>6.1250000000000012E-5</v>
      </c>
      <c r="I49" s="45" t="s">
        <v>635</v>
      </c>
      <c r="J49" s="45"/>
    </row>
    <row r="50" spans="1:10" x14ac:dyDescent="0.35">
      <c r="A50" s="45"/>
      <c r="B50" s="45" t="s">
        <v>613</v>
      </c>
      <c r="C50" s="45" t="s">
        <v>634</v>
      </c>
      <c r="D50" s="45" t="s">
        <v>631</v>
      </c>
      <c r="E50" s="45" t="s">
        <v>625</v>
      </c>
      <c r="F50" s="169">
        <v>6.6787000000000001E-6</v>
      </c>
      <c r="G50" s="169">
        <v>3.0855999999999997E-5</v>
      </c>
      <c r="H50" s="169">
        <v>2.6875000000000006E-5</v>
      </c>
      <c r="I50" s="45" t="s">
        <v>635</v>
      </c>
      <c r="J50" s="45"/>
    </row>
    <row r="51" spans="1:10" x14ac:dyDescent="0.35">
      <c r="A51" s="45"/>
      <c r="B51" s="45" t="s">
        <v>613</v>
      </c>
      <c r="C51" s="45" t="s">
        <v>634</v>
      </c>
      <c r="D51" s="45" t="s">
        <v>631</v>
      </c>
      <c r="E51" s="45" t="s">
        <v>626</v>
      </c>
      <c r="F51" s="169">
        <v>6.6787000000000001E-6</v>
      </c>
      <c r="G51" s="169">
        <v>3.0855999999999997E-5</v>
      </c>
      <c r="H51" s="169">
        <v>2.6875000000000006E-5</v>
      </c>
      <c r="I51" s="45" t="s">
        <v>635</v>
      </c>
      <c r="J51" s="45"/>
    </row>
    <row r="52" spans="1:10" x14ac:dyDescent="0.35">
      <c r="A52" s="45"/>
      <c r="B52" s="45" t="s">
        <v>613</v>
      </c>
      <c r="C52" s="45" t="s">
        <v>634</v>
      </c>
      <c r="D52" s="45" t="s">
        <v>631</v>
      </c>
      <c r="E52" s="45" t="s">
        <v>627</v>
      </c>
      <c r="F52" s="169">
        <v>6.6787000000000001E-6</v>
      </c>
      <c r="G52" s="169">
        <v>3.0855999999999997E-5</v>
      </c>
      <c r="H52" s="169">
        <v>2.6875000000000006E-5</v>
      </c>
      <c r="I52" s="45" t="s">
        <v>635</v>
      </c>
      <c r="J52" s="45"/>
    </row>
    <row r="53" spans="1:10" x14ac:dyDescent="0.35">
      <c r="A53" s="45"/>
      <c r="B53" s="45" t="s">
        <v>613</v>
      </c>
      <c r="C53" s="45" t="s">
        <v>634</v>
      </c>
      <c r="D53" s="45" t="s">
        <v>631</v>
      </c>
      <c r="E53" s="45" t="s">
        <v>628</v>
      </c>
      <c r="F53" s="169">
        <v>6.6787000000000001E-6</v>
      </c>
      <c r="G53" s="169">
        <v>3.0855999999999997E-5</v>
      </c>
      <c r="H53" s="169">
        <v>2.6875000000000006E-5</v>
      </c>
      <c r="I53" s="45" t="s">
        <v>635</v>
      </c>
      <c r="J53" s="45"/>
    </row>
    <row r="54" spans="1:10" x14ac:dyDescent="0.35">
      <c r="A54" s="45"/>
      <c r="B54" s="45" t="s">
        <v>613</v>
      </c>
      <c r="C54" s="45" t="s">
        <v>634</v>
      </c>
      <c r="D54" s="45" t="s">
        <v>631</v>
      </c>
      <c r="E54" s="45" t="s">
        <v>629</v>
      </c>
      <c r="F54" s="169">
        <v>6.6787000000000001E-6</v>
      </c>
      <c r="G54" s="169">
        <v>3.0855999999999997E-5</v>
      </c>
      <c r="H54" s="169">
        <v>2.6875000000000006E-5</v>
      </c>
      <c r="I54" s="45" t="s">
        <v>635</v>
      </c>
      <c r="J54" s="45"/>
    </row>
    <row r="55" spans="1:10" x14ac:dyDescent="0.35">
      <c r="A55" s="45"/>
      <c r="B55" s="45" t="s">
        <v>613</v>
      </c>
      <c r="C55" s="45" t="s">
        <v>634</v>
      </c>
      <c r="D55" s="45" t="s">
        <v>632</v>
      </c>
      <c r="E55" s="45" t="s">
        <v>625</v>
      </c>
      <c r="F55" s="169">
        <v>6.6787000000000001E-6</v>
      </c>
      <c r="G55" s="169">
        <v>3.0855999999999997E-5</v>
      </c>
      <c r="H55" s="169">
        <v>2.6875000000000006E-5</v>
      </c>
      <c r="I55" s="45" t="s">
        <v>635</v>
      </c>
      <c r="J55" s="45"/>
    </row>
    <row r="56" spans="1:10" x14ac:dyDescent="0.35">
      <c r="A56" s="45"/>
      <c r="B56" s="45" t="s">
        <v>613</v>
      </c>
      <c r="C56" s="45" t="s">
        <v>634</v>
      </c>
      <c r="D56" s="45" t="s">
        <v>632</v>
      </c>
      <c r="E56" s="45" t="s">
        <v>626</v>
      </c>
      <c r="F56" s="169">
        <v>6.6787000000000001E-6</v>
      </c>
      <c r="G56" s="169">
        <v>3.0855999999999997E-5</v>
      </c>
      <c r="H56" s="169">
        <v>2.6875000000000006E-5</v>
      </c>
      <c r="I56" s="45" t="s">
        <v>635</v>
      </c>
      <c r="J56" s="45"/>
    </row>
    <row r="57" spans="1:10" x14ac:dyDescent="0.35">
      <c r="A57" s="45"/>
      <c r="B57" s="45" t="s">
        <v>613</v>
      </c>
      <c r="C57" s="45" t="s">
        <v>634</v>
      </c>
      <c r="D57" s="45" t="s">
        <v>632</v>
      </c>
      <c r="E57" s="45" t="s">
        <v>627</v>
      </c>
      <c r="F57" s="169">
        <v>6.6787000000000001E-6</v>
      </c>
      <c r="G57" s="169">
        <v>3.0855999999999997E-5</v>
      </c>
      <c r="H57" s="169">
        <v>2.6875000000000006E-5</v>
      </c>
      <c r="I57" s="45" t="s">
        <v>635</v>
      </c>
      <c r="J57" s="45"/>
    </row>
    <row r="58" spans="1:10" x14ac:dyDescent="0.35">
      <c r="A58" s="45"/>
      <c r="B58" s="45" t="s">
        <v>613</v>
      </c>
      <c r="C58" s="45" t="s">
        <v>634</v>
      </c>
      <c r="D58" s="45" t="s">
        <v>632</v>
      </c>
      <c r="E58" s="45" t="s">
        <v>628</v>
      </c>
      <c r="F58" s="169">
        <v>6.6787000000000001E-6</v>
      </c>
      <c r="G58" s="169">
        <v>3.0855999999999997E-5</v>
      </c>
      <c r="H58" s="169">
        <v>2.6875000000000006E-5</v>
      </c>
      <c r="I58" s="45" t="s">
        <v>635</v>
      </c>
      <c r="J58" s="45"/>
    </row>
    <row r="59" spans="1:10" x14ac:dyDescent="0.35">
      <c r="A59" s="45"/>
      <c r="B59" s="45" t="s">
        <v>613</v>
      </c>
      <c r="C59" s="45" t="s">
        <v>634</v>
      </c>
      <c r="D59" s="45" t="s">
        <v>632</v>
      </c>
      <c r="E59" s="45" t="s">
        <v>629</v>
      </c>
      <c r="F59" s="169">
        <v>6.6787000000000001E-6</v>
      </c>
      <c r="G59" s="169">
        <v>3.0855999999999997E-5</v>
      </c>
      <c r="H59" s="169">
        <v>2.6875000000000006E-5</v>
      </c>
      <c r="I59" s="45" t="s">
        <v>635</v>
      </c>
      <c r="J59" s="45"/>
    </row>
    <row r="60" spans="1:10" x14ac:dyDescent="0.35">
      <c r="A60" s="45"/>
      <c r="B60" s="45" t="s">
        <v>613</v>
      </c>
      <c r="C60" s="45" t="s">
        <v>636</v>
      </c>
      <c r="D60" s="45" t="s">
        <v>615</v>
      </c>
      <c r="E60" s="45" t="s">
        <v>616</v>
      </c>
      <c r="F60" s="180">
        <f t="array" ref="F60:H85">CFs_midpoint*TE_mid_to_end</f>
        <v>-5.3200000000000002E-10</v>
      </c>
      <c r="G60" s="169">
        <v>-2.7999999999999998E-9</v>
      </c>
      <c r="H60" s="169">
        <v>-2.4999999999999999E-8</v>
      </c>
      <c r="I60" s="45" t="s">
        <v>637</v>
      </c>
      <c r="J60" s="45"/>
    </row>
    <row r="61" spans="1:10" x14ac:dyDescent="0.35">
      <c r="A61" s="45"/>
      <c r="B61" s="45" t="s">
        <v>613</v>
      </c>
      <c r="C61" s="45" t="s">
        <v>636</v>
      </c>
      <c r="D61" s="45" t="s">
        <v>618</v>
      </c>
      <c r="E61" s="45" t="s">
        <v>616</v>
      </c>
      <c r="F61" s="169">
        <v>-5.3200000000000002E-10</v>
      </c>
      <c r="G61" s="169">
        <v>-2.7999999999999998E-9</v>
      </c>
      <c r="H61" s="169">
        <v>-2.4999999999999999E-8</v>
      </c>
      <c r="I61" s="45" t="s">
        <v>637</v>
      </c>
      <c r="J61" s="45"/>
    </row>
    <row r="62" spans="1:10" x14ac:dyDescent="0.35">
      <c r="A62" s="45"/>
      <c r="B62" s="45" t="s">
        <v>613</v>
      </c>
      <c r="C62" s="45" t="s">
        <v>636</v>
      </c>
      <c r="D62" s="45" t="s">
        <v>619</v>
      </c>
      <c r="E62" s="45" t="s">
        <v>620</v>
      </c>
      <c r="F62" s="169">
        <v>-5.3200000000000002E-10</v>
      </c>
      <c r="G62" s="169">
        <v>-2.7999999999999998E-9</v>
      </c>
      <c r="H62" s="169">
        <v>-2.4999999999999999E-8</v>
      </c>
      <c r="I62" s="45" t="s">
        <v>637</v>
      </c>
      <c r="J62" s="45"/>
    </row>
    <row r="63" spans="1:10" x14ac:dyDescent="0.35">
      <c r="A63" s="45"/>
      <c r="B63" s="45" t="s">
        <v>613</v>
      </c>
      <c r="C63" s="45" t="s">
        <v>636</v>
      </c>
      <c r="D63" s="45" t="s">
        <v>619</v>
      </c>
      <c r="E63" s="45" t="s">
        <v>621</v>
      </c>
      <c r="F63" s="169">
        <v>-5.3200000000000002E-10</v>
      </c>
      <c r="G63" s="169">
        <v>-2.7999999999999998E-9</v>
      </c>
      <c r="H63" s="169">
        <v>-2.4999999999999999E-8</v>
      </c>
      <c r="I63" s="45" t="s">
        <v>637</v>
      </c>
      <c r="J63" s="45"/>
    </row>
    <row r="64" spans="1:10" x14ac:dyDescent="0.35">
      <c r="A64" s="45"/>
      <c r="B64" s="45" t="s">
        <v>613</v>
      </c>
      <c r="C64" s="45" t="s">
        <v>636</v>
      </c>
      <c r="D64" s="45" t="s">
        <v>619</v>
      </c>
      <c r="E64" s="45" t="s">
        <v>622</v>
      </c>
      <c r="F64" s="169">
        <v>-5.3200000000000002E-10</v>
      </c>
      <c r="G64" s="169">
        <v>-2.7999999999999998E-9</v>
      </c>
      <c r="H64" s="169">
        <v>-2.4999999999999999E-8</v>
      </c>
      <c r="I64" s="45" t="s">
        <v>637</v>
      </c>
      <c r="J64" s="45"/>
    </row>
    <row r="65" spans="1:10" x14ac:dyDescent="0.35">
      <c r="A65" s="45"/>
      <c r="B65" s="45" t="s">
        <v>613</v>
      </c>
      <c r="C65" s="45" t="s">
        <v>636</v>
      </c>
      <c r="D65" s="45" t="s">
        <v>619</v>
      </c>
      <c r="E65" s="45" t="s">
        <v>623</v>
      </c>
      <c r="F65" s="169">
        <v>-5.3200000000000002E-10</v>
      </c>
      <c r="G65" s="169">
        <v>-2.7999999999999998E-9</v>
      </c>
      <c r="H65" s="169">
        <v>-2.4999999999999999E-8</v>
      </c>
      <c r="I65" s="45" t="s">
        <v>637</v>
      </c>
      <c r="J65" s="45"/>
    </row>
    <row r="66" spans="1:10" x14ac:dyDescent="0.35">
      <c r="A66" s="45"/>
      <c r="B66" s="45" t="s">
        <v>613</v>
      </c>
      <c r="C66" s="45" t="s">
        <v>636</v>
      </c>
      <c r="D66" s="45" t="s">
        <v>624</v>
      </c>
      <c r="E66" s="45" t="s">
        <v>625</v>
      </c>
      <c r="F66" s="169">
        <v>1.98436E-8</v>
      </c>
      <c r="G66" s="169">
        <v>3.2479999999999997E-8</v>
      </c>
      <c r="H66" s="169">
        <v>8.2749999999999997E-8</v>
      </c>
      <c r="I66" s="45" t="s">
        <v>637</v>
      </c>
      <c r="J66" s="45"/>
    </row>
    <row r="67" spans="1:10" x14ac:dyDescent="0.35">
      <c r="A67" s="45"/>
      <c r="B67" s="45" t="s">
        <v>613</v>
      </c>
      <c r="C67" s="45" t="s">
        <v>636</v>
      </c>
      <c r="D67" s="45" t="s">
        <v>624</v>
      </c>
      <c r="E67" s="45" t="s">
        <v>626</v>
      </c>
      <c r="F67" s="169">
        <v>1.98436E-8</v>
      </c>
      <c r="G67" s="169">
        <v>3.2479999999999997E-8</v>
      </c>
      <c r="H67" s="169">
        <v>8.2749999999999997E-8</v>
      </c>
      <c r="I67" s="45" t="s">
        <v>637</v>
      </c>
      <c r="J67" s="45"/>
    </row>
    <row r="68" spans="1:10" x14ac:dyDescent="0.35">
      <c r="A68" s="45"/>
      <c r="B68" s="45" t="s">
        <v>613</v>
      </c>
      <c r="C68" s="45" t="s">
        <v>636</v>
      </c>
      <c r="D68" s="45" t="s">
        <v>624</v>
      </c>
      <c r="E68" s="45" t="s">
        <v>627</v>
      </c>
      <c r="F68" s="169">
        <v>1.98436E-8</v>
      </c>
      <c r="G68" s="169">
        <v>3.2479999999999997E-8</v>
      </c>
      <c r="H68" s="169">
        <v>8.2749999999999997E-8</v>
      </c>
      <c r="I68" s="45" t="s">
        <v>637</v>
      </c>
      <c r="J68" s="45"/>
    </row>
    <row r="69" spans="1:10" x14ac:dyDescent="0.35">
      <c r="A69" s="45"/>
      <c r="B69" s="45" t="s">
        <v>613</v>
      </c>
      <c r="C69" s="45" t="s">
        <v>636</v>
      </c>
      <c r="D69" s="45" t="s">
        <v>624</v>
      </c>
      <c r="E69" s="45" t="s">
        <v>628</v>
      </c>
      <c r="F69" s="169">
        <v>1.98436E-8</v>
      </c>
      <c r="G69" s="169">
        <v>3.2479999999999997E-8</v>
      </c>
      <c r="H69" s="169">
        <v>8.2749999999999997E-8</v>
      </c>
      <c r="I69" s="45" t="s">
        <v>637</v>
      </c>
      <c r="J69" s="45"/>
    </row>
    <row r="70" spans="1:10" x14ac:dyDescent="0.35">
      <c r="A70" s="45"/>
      <c r="B70" s="45" t="s">
        <v>613</v>
      </c>
      <c r="C70" s="45" t="s">
        <v>636</v>
      </c>
      <c r="D70" s="45" t="s">
        <v>624</v>
      </c>
      <c r="E70" s="45" t="s">
        <v>629</v>
      </c>
      <c r="F70" s="169">
        <v>1.98436E-8</v>
      </c>
      <c r="G70" s="169">
        <v>3.2479999999999997E-8</v>
      </c>
      <c r="H70" s="169">
        <v>8.2749999999999997E-8</v>
      </c>
      <c r="I70" s="45" t="s">
        <v>637</v>
      </c>
      <c r="J70" s="45"/>
    </row>
    <row r="71" spans="1:10" x14ac:dyDescent="0.35">
      <c r="A71" s="45"/>
      <c r="B71" s="45" t="s">
        <v>613</v>
      </c>
      <c r="C71" s="45" t="s">
        <v>636</v>
      </c>
      <c r="D71" s="45" t="s">
        <v>630</v>
      </c>
      <c r="E71" s="45" t="s">
        <v>625</v>
      </c>
      <c r="F71" s="169">
        <v>4.5220000000000004E-8</v>
      </c>
      <c r="G71" s="169">
        <v>1.0079999999999999E-7</v>
      </c>
      <c r="H71" s="169">
        <v>1.2249999999999999E-7</v>
      </c>
      <c r="I71" s="45" t="s">
        <v>637</v>
      </c>
      <c r="J71" s="45"/>
    </row>
    <row r="72" spans="1:10" x14ac:dyDescent="0.35">
      <c r="A72" s="45"/>
      <c r="B72" s="45" t="s">
        <v>613</v>
      </c>
      <c r="C72" s="45" t="s">
        <v>636</v>
      </c>
      <c r="D72" s="45" t="s">
        <v>630</v>
      </c>
      <c r="E72" s="45" t="s">
        <v>626</v>
      </c>
      <c r="F72" s="169">
        <v>4.5220000000000004E-8</v>
      </c>
      <c r="G72" s="169">
        <v>1.0079999999999999E-7</v>
      </c>
      <c r="H72" s="169">
        <v>1.2249999999999999E-7</v>
      </c>
      <c r="I72" s="45" t="s">
        <v>637</v>
      </c>
      <c r="J72" s="45"/>
    </row>
    <row r="73" spans="1:10" x14ac:dyDescent="0.35">
      <c r="A73" s="45"/>
      <c r="B73" s="45" t="s">
        <v>613</v>
      </c>
      <c r="C73" s="45" t="s">
        <v>636</v>
      </c>
      <c r="D73" s="45" t="s">
        <v>630</v>
      </c>
      <c r="E73" s="45" t="s">
        <v>627</v>
      </c>
      <c r="F73" s="169">
        <v>4.5220000000000004E-8</v>
      </c>
      <c r="G73" s="169">
        <v>1.0079999999999999E-7</v>
      </c>
      <c r="H73" s="169">
        <v>1.2249999999999999E-7</v>
      </c>
      <c r="I73" s="45" t="s">
        <v>637</v>
      </c>
      <c r="J73" s="45"/>
    </row>
    <row r="74" spans="1:10" x14ac:dyDescent="0.35">
      <c r="A74" s="45"/>
      <c r="B74" s="45" t="s">
        <v>613</v>
      </c>
      <c r="C74" s="45" t="s">
        <v>636</v>
      </c>
      <c r="D74" s="45" t="s">
        <v>630</v>
      </c>
      <c r="E74" s="45" t="s">
        <v>628</v>
      </c>
      <c r="F74" s="169">
        <v>4.5220000000000004E-8</v>
      </c>
      <c r="G74" s="169">
        <v>1.0079999999999999E-7</v>
      </c>
      <c r="H74" s="169">
        <v>1.2249999999999999E-7</v>
      </c>
      <c r="I74" s="45" t="s">
        <v>637</v>
      </c>
      <c r="J74" s="45"/>
    </row>
    <row r="75" spans="1:10" x14ac:dyDescent="0.35">
      <c r="A75" s="45"/>
      <c r="B75" s="45" t="s">
        <v>613</v>
      </c>
      <c r="C75" s="45" t="s">
        <v>636</v>
      </c>
      <c r="D75" s="45" t="s">
        <v>630</v>
      </c>
      <c r="E75" s="45" t="s">
        <v>629</v>
      </c>
      <c r="F75" s="169">
        <v>4.5220000000000004E-8</v>
      </c>
      <c r="G75" s="169">
        <v>1.0079999999999999E-7</v>
      </c>
      <c r="H75" s="169">
        <v>1.2249999999999999E-7</v>
      </c>
      <c r="I75" s="45" t="s">
        <v>637</v>
      </c>
      <c r="J75" s="45"/>
    </row>
    <row r="76" spans="1:10" x14ac:dyDescent="0.35">
      <c r="A76" s="45"/>
      <c r="B76" s="45" t="s">
        <v>613</v>
      </c>
      <c r="C76" s="45" t="s">
        <v>636</v>
      </c>
      <c r="D76" s="45" t="s">
        <v>631</v>
      </c>
      <c r="E76" s="45" t="s">
        <v>625</v>
      </c>
      <c r="F76" s="169">
        <v>4.3756999999999999E-8</v>
      </c>
      <c r="G76" s="169">
        <v>9.3099999999999993E-8</v>
      </c>
      <c r="H76" s="169">
        <v>5.3750000000000008E-8</v>
      </c>
      <c r="I76" s="45" t="s">
        <v>637</v>
      </c>
      <c r="J76" s="45"/>
    </row>
    <row r="77" spans="1:10" x14ac:dyDescent="0.35">
      <c r="A77" s="45"/>
      <c r="B77" s="45" t="s">
        <v>613</v>
      </c>
      <c r="C77" s="45" t="s">
        <v>636</v>
      </c>
      <c r="D77" s="45" t="s">
        <v>631</v>
      </c>
      <c r="E77" s="45" t="s">
        <v>626</v>
      </c>
      <c r="F77" s="169">
        <v>4.3756999999999999E-8</v>
      </c>
      <c r="G77" s="169">
        <v>9.3099999999999993E-8</v>
      </c>
      <c r="H77" s="169">
        <v>5.3750000000000008E-8</v>
      </c>
      <c r="I77" s="45" t="s">
        <v>637</v>
      </c>
      <c r="J77" s="45"/>
    </row>
    <row r="78" spans="1:10" x14ac:dyDescent="0.35">
      <c r="A78" s="45"/>
      <c r="B78" s="45" t="s">
        <v>613</v>
      </c>
      <c r="C78" s="45" t="s">
        <v>636</v>
      </c>
      <c r="D78" s="45" t="s">
        <v>631</v>
      </c>
      <c r="E78" s="45" t="s">
        <v>627</v>
      </c>
      <c r="F78" s="169">
        <v>4.3756999999999999E-8</v>
      </c>
      <c r="G78" s="169">
        <v>9.3099999999999993E-8</v>
      </c>
      <c r="H78" s="169">
        <v>5.3750000000000008E-8</v>
      </c>
      <c r="I78" s="45" t="s">
        <v>637</v>
      </c>
      <c r="J78" s="45"/>
    </row>
    <row r="79" spans="1:10" x14ac:dyDescent="0.35">
      <c r="A79" s="45"/>
      <c r="B79" s="45" t="s">
        <v>613</v>
      </c>
      <c r="C79" s="45" t="s">
        <v>636</v>
      </c>
      <c r="D79" s="45" t="s">
        <v>631</v>
      </c>
      <c r="E79" s="45" t="s">
        <v>628</v>
      </c>
      <c r="F79" s="169">
        <v>4.3756999999999999E-8</v>
      </c>
      <c r="G79" s="169">
        <v>9.3099999999999993E-8</v>
      </c>
      <c r="H79" s="169">
        <v>5.3750000000000008E-8</v>
      </c>
      <c r="I79" s="45" t="s">
        <v>637</v>
      </c>
      <c r="J79" s="45"/>
    </row>
    <row r="80" spans="1:10" x14ac:dyDescent="0.35">
      <c r="A80" s="45"/>
      <c r="B80" s="45" t="s">
        <v>613</v>
      </c>
      <c r="C80" s="45" t="s">
        <v>636</v>
      </c>
      <c r="D80" s="45" t="s">
        <v>631</v>
      </c>
      <c r="E80" s="45" t="s">
        <v>629</v>
      </c>
      <c r="F80" s="169">
        <v>4.3756999999999999E-8</v>
      </c>
      <c r="G80" s="169">
        <v>9.3099999999999993E-8</v>
      </c>
      <c r="H80" s="169">
        <v>5.3750000000000008E-8</v>
      </c>
      <c r="I80" s="45" t="s">
        <v>637</v>
      </c>
      <c r="J80" s="45"/>
    </row>
    <row r="81" spans="1:10" x14ac:dyDescent="0.35">
      <c r="A81" s="45"/>
      <c r="B81" s="45" t="s">
        <v>613</v>
      </c>
      <c r="C81" s="45" t="s">
        <v>636</v>
      </c>
      <c r="D81" s="45" t="s">
        <v>632</v>
      </c>
      <c r="E81" s="45" t="s">
        <v>625</v>
      </c>
      <c r="F81" s="169">
        <v>4.3756999999999999E-8</v>
      </c>
      <c r="G81" s="169">
        <v>9.3099999999999993E-8</v>
      </c>
      <c r="H81" s="169">
        <v>5.3750000000000008E-8</v>
      </c>
      <c r="I81" s="45" t="s">
        <v>637</v>
      </c>
      <c r="J81" s="45"/>
    </row>
    <row r="82" spans="1:10" x14ac:dyDescent="0.35">
      <c r="A82" s="45"/>
      <c r="B82" s="45" t="s">
        <v>613</v>
      </c>
      <c r="C82" s="45" t="s">
        <v>636</v>
      </c>
      <c r="D82" s="45" t="s">
        <v>632</v>
      </c>
      <c r="E82" s="45" t="s">
        <v>626</v>
      </c>
      <c r="F82" s="169">
        <v>4.3756999999999999E-8</v>
      </c>
      <c r="G82" s="169">
        <v>9.3099999999999993E-8</v>
      </c>
      <c r="H82" s="169">
        <v>5.3750000000000008E-8</v>
      </c>
      <c r="I82" s="45" t="s">
        <v>637</v>
      </c>
      <c r="J82" s="45"/>
    </row>
    <row r="83" spans="1:10" x14ac:dyDescent="0.35">
      <c r="A83" s="45"/>
      <c r="B83" s="45" t="s">
        <v>613</v>
      </c>
      <c r="C83" s="45" t="s">
        <v>636</v>
      </c>
      <c r="D83" s="45" t="s">
        <v>632</v>
      </c>
      <c r="E83" s="45" t="s">
        <v>627</v>
      </c>
      <c r="F83" s="169">
        <v>4.3756999999999999E-8</v>
      </c>
      <c r="G83" s="169">
        <v>9.3099999999999993E-8</v>
      </c>
      <c r="H83" s="169">
        <v>5.3750000000000008E-8</v>
      </c>
      <c r="I83" s="45" t="s">
        <v>637</v>
      </c>
      <c r="J83" s="45"/>
    </row>
    <row r="84" spans="1:10" x14ac:dyDescent="0.35">
      <c r="A84" s="45"/>
      <c r="B84" s="45" t="s">
        <v>613</v>
      </c>
      <c r="C84" s="45" t="s">
        <v>636</v>
      </c>
      <c r="D84" s="45" t="s">
        <v>632</v>
      </c>
      <c r="E84" s="45" t="s">
        <v>628</v>
      </c>
      <c r="F84" s="169">
        <v>4.3756999999999999E-8</v>
      </c>
      <c r="G84" s="169">
        <v>9.3099999999999993E-8</v>
      </c>
      <c r="H84" s="169">
        <v>5.3750000000000008E-8</v>
      </c>
      <c r="I84" s="45" t="s">
        <v>637</v>
      </c>
      <c r="J84" s="45"/>
    </row>
    <row r="85" spans="1:10" x14ac:dyDescent="0.35">
      <c r="A85" s="45"/>
      <c r="B85" s="45" t="s">
        <v>613</v>
      </c>
      <c r="C85" s="45" t="s">
        <v>636</v>
      </c>
      <c r="D85" s="45" t="s">
        <v>632</v>
      </c>
      <c r="E85" s="45" t="s">
        <v>629</v>
      </c>
      <c r="F85" s="169">
        <v>4.3756999999999999E-8</v>
      </c>
      <c r="G85" s="169">
        <v>9.3099999999999993E-8</v>
      </c>
      <c r="H85" s="169">
        <v>5.3750000000000008E-8</v>
      </c>
      <c r="I85" s="45" t="s">
        <v>637</v>
      </c>
      <c r="J85" s="45"/>
    </row>
    <row r="86" spans="1:10" x14ac:dyDescent="0.35">
      <c r="A86" s="45"/>
      <c r="B86" s="45" t="s">
        <v>613</v>
      </c>
      <c r="C86" s="45" t="s">
        <v>638</v>
      </c>
      <c r="D86" s="45" t="s">
        <v>615</v>
      </c>
      <c r="E86" s="45" t="s">
        <v>616</v>
      </c>
      <c r="F86" s="180">
        <f t="array" ref="F86:H111">CFs_midpoint*AE_mid_to_end</f>
        <v>-1.4499999999999998E-14</v>
      </c>
      <c r="G86" s="169">
        <v>-7.6500000000000002E-14</v>
      </c>
      <c r="H86" s="169">
        <v>-6.8200000000000002E-13</v>
      </c>
      <c r="I86" s="45" t="s">
        <v>637</v>
      </c>
      <c r="J86" s="45"/>
    </row>
    <row r="87" spans="1:10" x14ac:dyDescent="0.35">
      <c r="A87" s="45"/>
      <c r="B87" s="45" t="s">
        <v>613</v>
      </c>
      <c r="C87" s="45" t="s">
        <v>638</v>
      </c>
      <c r="D87" s="45" t="s">
        <v>618</v>
      </c>
      <c r="E87" s="45" t="s">
        <v>616</v>
      </c>
      <c r="F87" s="169">
        <v>-1.4499999999999998E-14</v>
      </c>
      <c r="G87" s="169">
        <v>-7.6500000000000002E-14</v>
      </c>
      <c r="H87" s="169">
        <v>-6.8200000000000002E-13</v>
      </c>
      <c r="I87" s="45" t="s">
        <v>637</v>
      </c>
      <c r="J87" s="45"/>
    </row>
    <row r="88" spans="1:10" x14ac:dyDescent="0.35">
      <c r="A88" s="45"/>
      <c r="B88" s="45" t="s">
        <v>613</v>
      </c>
      <c r="C88" s="45" t="s">
        <v>638</v>
      </c>
      <c r="D88" s="45" t="s">
        <v>619</v>
      </c>
      <c r="E88" s="45" t="s">
        <v>620</v>
      </c>
      <c r="F88" s="169">
        <v>-1.4499999999999998E-14</v>
      </c>
      <c r="G88" s="169">
        <v>-7.6500000000000002E-14</v>
      </c>
      <c r="H88" s="169">
        <v>-6.8200000000000002E-13</v>
      </c>
      <c r="I88" s="45" t="s">
        <v>637</v>
      </c>
      <c r="J88" s="45"/>
    </row>
    <row r="89" spans="1:10" x14ac:dyDescent="0.35">
      <c r="A89" s="45"/>
      <c r="B89" s="45" t="s">
        <v>613</v>
      </c>
      <c r="C89" s="45" t="s">
        <v>638</v>
      </c>
      <c r="D89" s="45" t="s">
        <v>619</v>
      </c>
      <c r="E89" s="45" t="s">
        <v>621</v>
      </c>
      <c r="F89" s="169">
        <v>-1.4499999999999998E-14</v>
      </c>
      <c r="G89" s="169">
        <v>-7.6500000000000002E-14</v>
      </c>
      <c r="H89" s="169">
        <v>-6.8200000000000002E-13</v>
      </c>
      <c r="I89" s="45" t="s">
        <v>637</v>
      </c>
      <c r="J89" s="45"/>
    </row>
    <row r="90" spans="1:10" x14ac:dyDescent="0.35">
      <c r="A90" s="45"/>
      <c r="B90" s="45" t="s">
        <v>613</v>
      </c>
      <c r="C90" s="45" t="s">
        <v>638</v>
      </c>
      <c r="D90" s="45" t="s">
        <v>619</v>
      </c>
      <c r="E90" s="45" t="s">
        <v>622</v>
      </c>
      <c r="F90" s="169">
        <v>-1.4499999999999998E-14</v>
      </c>
      <c r="G90" s="169">
        <v>-7.6500000000000002E-14</v>
      </c>
      <c r="H90" s="169">
        <v>-6.8200000000000002E-13</v>
      </c>
      <c r="I90" s="45" t="s">
        <v>637</v>
      </c>
      <c r="J90" s="45"/>
    </row>
    <row r="91" spans="1:10" x14ac:dyDescent="0.35">
      <c r="A91" s="45"/>
      <c r="B91" s="45" t="s">
        <v>613</v>
      </c>
      <c r="C91" s="45" t="s">
        <v>638</v>
      </c>
      <c r="D91" s="45" t="s">
        <v>619</v>
      </c>
      <c r="E91" s="45" t="s">
        <v>623</v>
      </c>
      <c r="F91" s="169">
        <v>-1.4499999999999998E-14</v>
      </c>
      <c r="G91" s="169">
        <v>-7.6500000000000002E-14</v>
      </c>
      <c r="H91" s="169">
        <v>-6.8200000000000002E-13</v>
      </c>
      <c r="I91" s="45" t="s">
        <v>637</v>
      </c>
      <c r="J91" s="45"/>
    </row>
    <row r="92" spans="1:10" x14ac:dyDescent="0.35">
      <c r="A92" s="45"/>
      <c r="B92" s="45" t="s">
        <v>613</v>
      </c>
      <c r="C92" s="45" t="s">
        <v>638</v>
      </c>
      <c r="D92" s="45" t="s">
        <v>624</v>
      </c>
      <c r="E92" s="45" t="s">
        <v>625</v>
      </c>
      <c r="F92" s="169">
        <v>5.4084999999999986E-13</v>
      </c>
      <c r="G92" s="169">
        <v>8.8740000000000004E-13</v>
      </c>
      <c r="H92" s="169">
        <v>2.2574200000000003E-12</v>
      </c>
      <c r="I92" s="45" t="s">
        <v>637</v>
      </c>
      <c r="J92" s="45"/>
    </row>
    <row r="93" spans="1:10" x14ac:dyDescent="0.35">
      <c r="A93" s="45"/>
      <c r="B93" s="45" t="s">
        <v>613</v>
      </c>
      <c r="C93" s="45" t="s">
        <v>638</v>
      </c>
      <c r="D93" s="45" t="s">
        <v>624</v>
      </c>
      <c r="E93" s="45" t="s">
        <v>626</v>
      </c>
      <c r="F93" s="169">
        <v>5.4084999999999986E-13</v>
      </c>
      <c r="G93" s="169">
        <v>8.8740000000000004E-13</v>
      </c>
      <c r="H93" s="169">
        <v>2.2574200000000003E-12</v>
      </c>
      <c r="I93" s="45" t="s">
        <v>637</v>
      </c>
      <c r="J93" s="45"/>
    </row>
    <row r="94" spans="1:10" x14ac:dyDescent="0.35">
      <c r="A94" s="45"/>
      <c r="B94" s="45" t="s">
        <v>613</v>
      </c>
      <c r="C94" s="45" t="s">
        <v>638</v>
      </c>
      <c r="D94" s="45" t="s">
        <v>624</v>
      </c>
      <c r="E94" s="45" t="s">
        <v>627</v>
      </c>
      <c r="F94" s="169">
        <v>5.4084999999999986E-13</v>
      </c>
      <c r="G94" s="169">
        <v>8.8740000000000004E-13</v>
      </c>
      <c r="H94" s="169">
        <v>2.2574200000000003E-12</v>
      </c>
      <c r="I94" s="45" t="s">
        <v>637</v>
      </c>
      <c r="J94" s="45"/>
    </row>
    <row r="95" spans="1:10" x14ac:dyDescent="0.35">
      <c r="A95" s="45"/>
      <c r="B95" s="45" t="s">
        <v>613</v>
      </c>
      <c r="C95" s="45" t="s">
        <v>638</v>
      </c>
      <c r="D95" s="45" t="s">
        <v>624</v>
      </c>
      <c r="E95" s="45" t="s">
        <v>628</v>
      </c>
      <c r="F95" s="169">
        <v>5.4084999999999986E-13</v>
      </c>
      <c r="G95" s="169">
        <v>8.8740000000000004E-13</v>
      </c>
      <c r="H95" s="169">
        <v>2.2574200000000003E-12</v>
      </c>
      <c r="I95" s="45" t="s">
        <v>637</v>
      </c>
      <c r="J95" s="45"/>
    </row>
    <row r="96" spans="1:10" x14ac:dyDescent="0.35">
      <c r="A96" s="45"/>
      <c r="B96" s="45" t="s">
        <v>613</v>
      </c>
      <c r="C96" s="45" t="s">
        <v>638</v>
      </c>
      <c r="D96" s="45" t="s">
        <v>624</v>
      </c>
      <c r="E96" s="45" t="s">
        <v>629</v>
      </c>
      <c r="F96" s="169">
        <v>5.4084999999999986E-13</v>
      </c>
      <c r="G96" s="169">
        <v>8.8740000000000004E-13</v>
      </c>
      <c r="H96" s="169">
        <v>2.2574200000000003E-12</v>
      </c>
      <c r="I96" s="45" t="s">
        <v>637</v>
      </c>
      <c r="J96" s="45"/>
    </row>
    <row r="97" spans="1:10" x14ac:dyDescent="0.35">
      <c r="A97" s="45"/>
      <c r="B97" s="45" t="s">
        <v>613</v>
      </c>
      <c r="C97" s="45" t="s">
        <v>638</v>
      </c>
      <c r="D97" s="45" t="s">
        <v>630</v>
      </c>
      <c r="E97" s="45" t="s">
        <v>625</v>
      </c>
      <c r="F97" s="169">
        <v>1.2324999999999998E-12</v>
      </c>
      <c r="G97" s="169">
        <v>2.7540000000000002E-12</v>
      </c>
      <c r="H97" s="169">
        <v>3.3418000000000002E-12</v>
      </c>
      <c r="I97" s="45" t="s">
        <v>637</v>
      </c>
      <c r="J97" s="45"/>
    </row>
    <row r="98" spans="1:10" x14ac:dyDescent="0.35">
      <c r="A98" s="45"/>
      <c r="B98" s="45" t="s">
        <v>613</v>
      </c>
      <c r="C98" s="45" t="s">
        <v>638</v>
      </c>
      <c r="D98" s="45" t="s">
        <v>630</v>
      </c>
      <c r="E98" s="45" t="s">
        <v>626</v>
      </c>
      <c r="F98" s="169">
        <v>1.2324999999999998E-12</v>
      </c>
      <c r="G98" s="169">
        <v>2.7540000000000002E-12</v>
      </c>
      <c r="H98" s="169">
        <v>3.3418000000000002E-12</v>
      </c>
      <c r="I98" s="45" t="s">
        <v>637</v>
      </c>
      <c r="J98" s="45"/>
    </row>
    <row r="99" spans="1:10" x14ac:dyDescent="0.35">
      <c r="A99" s="45"/>
      <c r="B99" s="45" t="s">
        <v>613</v>
      </c>
      <c r="C99" s="45" t="s">
        <v>638</v>
      </c>
      <c r="D99" s="45" t="s">
        <v>630</v>
      </c>
      <c r="E99" s="45" t="s">
        <v>627</v>
      </c>
      <c r="F99" s="169">
        <v>1.2324999999999998E-12</v>
      </c>
      <c r="G99" s="169">
        <v>2.7540000000000002E-12</v>
      </c>
      <c r="H99" s="169">
        <v>3.3418000000000002E-12</v>
      </c>
      <c r="I99" s="45" t="s">
        <v>637</v>
      </c>
      <c r="J99" s="45"/>
    </row>
    <row r="100" spans="1:10" x14ac:dyDescent="0.35">
      <c r="A100" s="45"/>
      <c r="B100" s="45" t="s">
        <v>613</v>
      </c>
      <c r="C100" s="45" t="s">
        <v>638</v>
      </c>
      <c r="D100" s="45" t="s">
        <v>630</v>
      </c>
      <c r="E100" s="45" t="s">
        <v>628</v>
      </c>
      <c r="F100" s="169">
        <v>1.2324999999999998E-12</v>
      </c>
      <c r="G100" s="169">
        <v>2.7540000000000002E-12</v>
      </c>
      <c r="H100" s="169">
        <v>3.3418000000000002E-12</v>
      </c>
      <c r="I100" s="45" t="s">
        <v>637</v>
      </c>
      <c r="J100" s="45"/>
    </row>
    <row r="101" spans="1:10" x14ac:dyDescent="0.35">
      <c r="A101" s="45"/>
      <c r="B101" s="45" t="s">
        <v>613</v>
      </c>
      <c r="C101" s="45" t="s">
        <v>638</v>
      </c>
      <c r="D101" s="45" t="s">
        <v>630</v>
      </c>
      <c r="E101" s="45" t="s">
        <v>629</v>
      </c>
      <c r="F101" s="169">
        <v>1.2324999999999998E-12</v>
      </c>
      <c r="G101" s="169">
        <v>2.7540000000000002E-12</v>
      </c>
      <c r="H101" s="169">
        <v>3.3418000000000002E-12</v>
      </c>
      <c r="I101" s="45" t="s">
        <v>637</v>
      </c>
      <c r="J101" s="45"/>
    </row>
    <row r="102" spans="1:10" x14ac:dyDescent="0.35">
      <c r="A102" s="45"/>
      <c r="B102" s="45" t="s">
        <v>613</v>
      </c>
      <c r="C102" s="45" t="s">
        <v>638</v>
      </c>
      <c r="D102" s="45" t="s">
        <v>631</v>
      </c>
      <c r="E102" s="45" t="s">
        <v>625</v>
      </c>
      <c r="F102" s="169">
        <v>1.1926249999999999E-12</v>
      </c>
      <c r="G102" s="169">
        <v>2.5436250000000001E-12</v>
      </c>
      <c r="H102" s="169">
        <v>1.4663000000000003E-12</v>
      </c>
      <c r="I102" s="45" t="s">
        <v>637</v>
      </c>
      <c r="J102" s="45"/>
    </row>
    <row r="103" spans="1:10" x14ac:dyDescent="0.35">
      <c r="A103" s="45"/>
      <c r="B103" s="45" t="s">
        <v>613</v>
      </c>
      <c r="C103" s="45" t="s">
        <v>638</v>
      </c>
      <c r="D103" s="45" t="s">
        <v>631</v>
      </c>
      <c r="E103" s="45" t="s">
        <v>626</v>
      </c>
      <c r="F103" s="169">
        <v>1.1926249999999999E-12</v>
      </c>
      <c r="G103" s="169">
        <v>2.5436250000000001E-12</v>
      </c>
      <c r="H103" s="169">
        <v>1.4663000000000003E-12</v>
      </c>
      <c r="I103" s="45" t="s">
        <v>637</v>
      </c>
      <c r="J103" s="45"/>
    </row>
    <row r="104" spans="1:10" x14ac:dyDescent="0.35">
      <c r="A104" s="45"/>
      <c r="B104" s="45" t="s">
        <v>613</v>
      </c>
      <c r="C104" s="45" t="s">
        <v>638</v>
      </c>
      <c r="D104" s="45" t="s">
        <v>631</v>
      </c>
      <c r="E104" s="45" t="s">
        <v>627</v>
      </c>
      <c r="F104" s="169">
        <v>1.1926249999999999E-12</v>
      </c>
      <c r="G104" s="169">
        <v>2.5436250000000001E-12</v>
      </c>
      <c r="H104" s="169">
        <v>1.4663000000000003E-12</v>
      </c>
      <c r="I104" s="45" t="s">
        <v>637</v>
      </c>
      <c r="J104" s="45"/>
    </row>
    <row r="105" spans="1:10" x14ac:dyDescent="0.35">
      <c r="A105" s="45"/>
      <c r="B105" s="45" t="s">
        <v>613</v>
      </c>
      <c r="C105" s="45" t="s">
        <v>638</v>
      </c>
      <c r="D105" s="45" t="s">
        <v>631</v>
      </c>
      <c r="E105" s="45" t="s">
        <v>628</v>
      </c>
      <c r="F105" s="169">
        <v>1.1926249999999999E-12</v>
      </c>
      <c r="G105" s="169">
        <v>2.5436250000000001E-12</v>
      </c>
      <c r="H105" s="169">
        <v>1.4663000000000003E-12</v>
      </c>
      <c r="I105" s="45" t="s">
        <v>637</v>
      </c>
      <c r="J105" s="45"/>
    </row>
    <row r="106" spans="1:10" x14ac:dyDescent="0.35">
      <c r="A106" s="45"/>
      <c r="B106" s="45" t="s">
        <v>613</v>
      </c>
      <c r="C106" s="45" t="s">
        <v>638</v>
      </c>
      <c r="D106" s="45" t="s">
        <v>631</v>
      </c>
      <c r="E106" s="45" t="s">
        <v>629</v>
      </c>
      <c r="F106" s="169">
        <v>1.1926249999999999E-12</v>
      </c>
      <c r="G106" s="169">
        <v>2.5436250000000001E-12</v>
      </c>
      <c r="H106" s="169">
        <v>1.4663000000000003E-12</v>
      </c>
      <c r="I106" s="45" t="s">
        <v>637</v>
      </c>
      <c r="J106" s="45"/>
    </row>
    <row r="107" spans="1:10" x14ac:dyDescent="0.35">
      <c r="A107" s="45"/>
      <c r="B107" s="45" t="s">
        <v>613</v>
      </c>
      <c r="C107" s="45" t="s">
        <v>638</v>
      </c>
      <c r="D107" s="45" t="s">
        <v>632</v>
      </c>
      <c r="E107" s="45" t="s">
        <v>625</v>
      </c>
      <c r="F107" s="169">
        <v>1.1926249999999999E-12</v>
      </c>
      <c r="G107" s="169">
        <v>2.5436250000000001E-12</v>
      </c>
      <c r="H107" s="169">
        <v>1.4663000000000003E-12</v>
      </c>
      <c r="I107" s="45" t="s">
        <v>637</v>
      </c>
      <c r="J107" s="45"/>
    </row>
    <row r="108" spans="1:10" x14ac:dyDescent="0.35">
      <c r="A108" s="45"/>
      <c r="B108" s="45" t="s">
        <v>613</v>
      </c>
      <c r="C108" s="45" t="s">
        <v>638</v>
      </c>
      <c r="D108" s="45" t="s">
        <v>632</v>
      </c>
      <c r="E108" s="45" t="s">
        <v>626</v>
      </c>
      <c r="F108" s="169">
        <v>1.1926249999999999E-12</v>
      </c>
      <c r="G108" s="169">
        <v>2.5436250000000001E-12</v>
      </c>
      <c r="H108" s="169">
        <v>1.4663000000000003E-12</v>
      </c>
      <c r="I108" s="45" t="s">
        <v>637</v>
      </c>
      <c r="J108" s="45"/>
    </row>
    <row r="109" spans="1:10" x14ac:dyDescent="0.35">
      <c r="A109" s="45"/>
      <c r="B109" s="45" t="s">
        <v>613</v>
      </c>
      <c r="C109" s="45" t="s">
        <v>638</v>
      </c>
      <c r="D109" s="45" t="s">
        <v>632</v>
      </c>
      <c r="E109" s="45" t="s">
        <v>627</v>
      </c>
      <c r="F109" s="169">
        <v>1.1926249999999999E-12</v>
      </c>
      <c r="G109" s="169">
        <v>2.5436250000000001E-12</v>
      </c>
      <c r="H109" s="169">
        <v>1.4663000000000003E-12</v>
      </c>
      <c r="I109" s="45" t="s">
        <v>637</v>
      </c>
      <c r="J109" s="45"/>
    </row>
    <row r="110" spans="1:10" x14ac:dyDescent="0.35">
      <c r="A110" s="45"/>
      <c r="B110" s="45" t="s">
        <v>613</v>
      </c>
      <c r="C110" s="45" t="s">
        <v>638</v>
      </c>
      <c r="D110" s="45" t="s">
        <v>632</v>
      </c>
      <c r="E110" s="45" t="s">
        <v>628</v>
      </c>
      <c r="F110" s="169">
        <v>1.1926249999999999E-12</v>
      </c>
      <c r="G110" s="169">
        <v>2.5436250000000001E-12</v>
      </c>
      <c r="H110" s="169">
        <v>1.4663000000000003E-12</v>
      </c>
      <c r="I110" s="45" t="s">
        <v>637</v>
      </c>
      <c r="J110" s="45"/>
    </row>
    <row r="111" spans="1:10" x14ac:dyDescent="0.35">
      <c r="A111" s="45"/>
      <c r="B111" s="45" t="s">
        <v>613</v>
      </c>
      <c r="C111" s="45" t="s">
        <v>638</v>
      </c>
      <c r="D111" s="45" t="s">
        <v>632</v>
      </c>
      <c r="E111" s="45" t="s">
        <v>629</v>
      </c>
      <c r="F111" s="169">
        <v>1.1926249999999999E-12</v>
      </c>
      <c r="G111" s="169">
        <v>2.5436250000000001E-12</v>
      </c>
      <c r="H111" s="169">
        <v>1.4663000000000003E-12</v>
      </c>
      <c r="I111" s="45" t="s">
        <v>637</v>
      </c>
      <c r="J111" s="45"/>
    </row>
    <row r="112" spans="1:10" x14ac:dyDescent="0.35">
      <c r="A112" s="45"/>
      <c r="B112" s="45" t="s">
        <v>613</v>
      </c>
      <c r="C112" s="45" t="s">
        <v>640</v>
      </c>
      <c r="D112" s="45" t="s">
        <v>615</v>
      </c>
      <c r="E112" s="45" t="s">
        <v>616</v>
      </c>
      <c r="F112" s="180">
        <f t="array" ref="F112:H137">CFs_midpoint*HH_mid_to_end</f>
        <v>-8.1199999999999999E-8</v>
      </c>
      <c r="G112" s="169">
        <v>-9.2799999999999995E-7</v>
      </c>
      <c r="H112" s="169">
        <v>-1.2500000000000001E-5</v>
      </c>
      <c r="I112" s="45" t="s">
        <v>635</v>
      </c>
      <c r="J112" s="45"/>
    </row>
    <row r="113" spans="1:10" x14ac:dyDescent="0.35">
      <c r="A113" s="45"/>
      <c r="B113" s="45" t="s">
        <v>613</v>
      </c>
      <c r="C113" s="45" t="s">
        <v>640</v>
      </c>
      <c r="D113" s="45" t="s">
        <v>618</v>
      </c>
      <c r="E113" s="45" t="s">
        <v>616</v>
      </c>
      <c r="F113" s="169">
        <v>-8.1199999999999999E-8</v>
      </c>
      <c r="G113" s="169">
        <v>-9.2799999999999995E-7</v>
      </c>
      <c r="H113" s="169">
        <v>-1.2500000000000001E-5</v>
      </c>
      <c r="I113" s="45" t="s">
        <v>635</v>
      </c>
      <c r="J113" s="45"/>
    </row>
    <row r="114" spans="1:10" x14ac:dyDescent="0.35">
      <c r="A114" s="45"/>
      <c r="B114" s="45" t="s">
        <v>613</v>
      </c>
      <c r="C114" s="45" t="s">
        <v>640</v>
      </c>
      <c r="D114" s="45" t="s">
        <v>619</v>
      </c>
      <c r="E114" s="45" t="s">
        <v>620</v>
      </c>
      <c r="F114" s="169">
        <v>-8.1199999999999999E-8</v>
      </c>
      <c r="G114" s="169">
        <v>-9.2799999999999995E-7</v>
      </c>
      <c r="H114" s="169">
        <v>-1.2500000000000001E-5</v>
      </c>
      <c r="I114" s="45" t="s">
        <v>635</v>
      </c>
      <c r="J114" s="45"/>
    </row>
    <row r="115" spans="1:10" x14ac:dyDescent="0.35">
      <c r="A115" s="45"/>
      <c r="B115" s="45" t="s">
        <v>613</v>
      </c>
      <c r="C115" s="45" t="s">
        <v>640</v>
      </c>
      <c r="D115" s="45" t="s">
        <v>619</v>
      </c>
      <c r="E115" s="45" t="s">
        <v>621</v>
      </c>
      <c r="F115" s="169">
        <v>-8.1199999999999999E-8</v>
      </c>
      <c r="G115" s="169">
        <v>-9.2799999999999995E-7</v>
      </c>
      <c r="H115" s="169">
        <v>-1.2500000000000001E-5</v>
      </c>
      <c r="I115" s="45" t="s">
        <v>635</v>
      </c>
      <c r="J115" s="45"/>
    </row>
    <row r="116" spans="1:10" x14ac:dyDescent="0.35">
      <c r="A116" s="45"/>
      <c r="B116" s="45" t="s">
        <v>613</v>
      </c>
      <c r="C116" s="45" t="s">
        <v>640</v>
      </c>
      <c r="D116" s="45" t="s">
        <v>619</v>
      </c>
      <c r="E116" s="45" t="s">
        <v>622</v>
      </c>
      <c r="F116" s="169">
        <v>-8.1199999999999999E-8</v>
      </c>
      <c r="G116" s="169">
        <v>-9.2799999999999995E-7</v>
      </c>
      <c r="H116" s="169">
        <v>-1.2500000000000001E-5</v>
      </c>
      <c r="I116" s="45" t="s">
        <v>635</v>
      </c>
      <c r="J116" s="45"/>
    </row>
    <row r="117" spans="1:10" x14ac:dyDescent="0.35">
      <c r="A117" s="45"/>
      <c r="B117" s="45" t="s">
        <v>613</v>
      </c>
      <c r="C117" s="45" t="s">
        <v>640</v>
      </c>
      <c r="D117" s="45" t="s">
        <v>619</v>
      </c>
      <c r="E117" s="45" t="s">
        <v>623</v>
      </c>
      <c r="F117" s="169">
        <v>-8.1199999999999999E-8</v>
      </c>
      <c r="G117" s="169">
        <v>-9.2799999999999995E-7</v>
      </c>
      <c r="H117" s="169">
        <v>-1.2500000000000001E-5</v>
      </c>
      <c r="I117" s="45" t="s">
        <v>635</v>
      </c>
      <c r="J117" s="45"/>
    </row>
    <row r="118" spans="1:10" x14ac:dyDescent="0.35">
      <c r="A118" s="45"/>
      <c r="B118" s="45" t="s">
        <v>613</v>
      </c>
      <c r="C118" s="45" t="s">
        <v>640</v>
      </c>
      <c r="D118" s="45" t="s">
        <v>624</v>
      </c>
      <c r="E118" s="45" t="s">
        <v>625</v>
      </c>
      <c r="F118" s="169">
        <v>3.0287599999999999E-6</v>
      </c>
      <c r="G118" s="169">
        <v>1.0764799999999999E-5</v>
      </c>
      <c r="H118" s="169">
        <v>4.1375000000000003E-5</v>
      </c>
      <c r="I118" s="45" t="s">
        <v>635</v>
      </c>
      <c r="J118" s="45"/>
    </row>
    <row r="119" spans="1:10" x14ac:dyDescent="0.35">
      <c r="A119" s="45"/>
      <c r="B119" s="45" t="s">
        <v>613</v>
      </c>
      <c r="C119" s="45" t="s">
        <v>640</v>
      </c>
      <c r="D119" s="45" t="s">
        <v>624</v>
      </c>
      <c r="E119" s="45" t="s">
        <v>626</v>
      </c>
      <c r="F119" s="169">
        <v>3.0287599999999999E-6</v>
      </c>
      <c r="G119" s="169">
        <v>1.0764799999999999E-5</v>
      </c>
      <c r="H119" s="169">
        <v>4.1375000000000003E-5</v>
      </c>
      <c r="I119" s="45" t="s">
        <v>635</v>
      </c>
      <c r="J119" s="45"/>
    </row>
    <row r="120" spans="1:10" x14ac:dyDescent="0.35">
      <c r="A120" s="45"/>
      <c r="B120" s="45" t="s">
        <v>613</v>
      </c>
      <c r="C120" s="45" t="s">
        <v>640</v>
      </c>
      <c r="D120" s="45" t="s">
        <v>624</v>
      </c>
      <c r="E120" s="45" t="s">
        <v>627</v>
      </c>
      <c r="F120" s="169">
        <v>3.0287599999999999E-6</v>
      </c>
      <c r="G120" s="169">
        <v>1.0764799999999999E-5</v>
      </c>
      <c r="H120" s="169">
        <v>4.1375000000000003E-5</v>
      </c>
      <c r="I120" s="45" t="s">
        <v>635</v>
      </c>
      <c r="J120" s="45"/>
    </row>
    <row r="121" spans="1:10" x14ac:dyDescent="0.35">
      <c r="A121" s="45"/>
      <c r="B121" s="45" t="s">
        <v>613</v>
      </c>
      <c r="C121" s="45" t="s">
        <v>640</v>
      </c>
      <c r="D121" s="45" t="s">
        <v>624</v>
      </c>
      <c r="E121" s="45" t="s">
        <v>628</v>
      </c>
      <c r="F121" s="169">
        <v>3.0287599999999999E-6</v>
      </c>
      <c r="G121" s="169">
        <v>1.0764799999999999E-5</v>
      </c>
      <c r="H121" s="169">
        <v>4.1375000000000003E-5</v>
      </c>
      <c r="I121" s="45" t="s">
        <v>635</v>
      </c>
      <c r="J121" s="45"/>
    </row>
    <row r="122" spans="1:10" x14ac:dyDescent="0.35">
      <c r="A122" s="45"/>
      <c r="B122" s="45" t="s">
        <v>613</v>
      </c>
      <c r="C122" s="45" t="s">
        <v>640</v>
      </c>
      <c r="D122" s="45" t="s">
        <v>624</v>
      </c>
      <c r="E122" s="45" t="s">
        <v>629</v>
      </c>
      <c r="F122" s="169">
        <v>3.0287599999999999E-6</v>
      </c>
      <c r="G122" s="169">
        <v>1.0764799999999999E-5</v>
      </c>
      <c r="H122" s="169">
        <v>4.1375000000000003E-5</v>
      </c>
      <c r="I122" s="45" t="s">
        <v>635</v>
      </c>
      <c r="J122" s="45"/>
    </row>
    <row r="123" spans="1:10" x14ac:dyDescent="0.35">
      <c r="A123" s="45"/>
      <c r="B123" s="45" t="s">
        <v>613</v>
      </c>
      <c r="C123" s="45" t="s">
        <v>640</v>
      </c>
      <c r="D123" s="45" t="s">
        <v>630</v>
      </c>
      <c r="E123" s="45" t="s">
        <v>625</v>
      </c>
      <c r="F123" s="169">
        <v>6.9020000000000002E-6</v>
      </c>
      <c r="G123" s="169">
        <v>3.3407999999999996E-5</v>
      </c>
      <c r="H123" s="169">
        <v>6.1250000000000012E-5</v>
      </c>
      <c r="I123" s="45" t="s">
        <v>635</v>
      </c>
      <c r="J123" s="45"/>
    </row>
    <row r="124" spans="1:10" x14ac:dyDescent="0.35">
      <c r="A124" s="45"/>
      <c r="B124" s="45" t="s">
        <v>613</v>
      </c>
      <c r="C124" s="45" t="s">
        <v>640</v>
      </c>
      <c r="D124" s="45" t="s">
        <v>630</v>
      </c>
      <c r="E124" s="45" t="s">
        <v>626</v>
      </c>
      <c r="F124" s="169">
        <v>6.9020000000000002E-6</v>
      </c>
      <c r="G124" s="169">
        <v>3.3407999999999996E-5</v>
      </c>
      <c r="H124" s="169">
        <v>6.1250000000000012E-5</v>
      </c>
      <c r="I124" s="45" t="s">
        <v>635</v>
      </c>
      <c r="J124" s="45"/>
    </row>
    <row r="125" spans="1:10" x14ac:dyDescent="0.35">
      <c r="A125" s="45"/>
      <c r="B125" s="45" t="s">
        <v>613</v>
      </c>
      <c r="C125" s="45" t="s">
        <v>640</v>
      </c>
      <c r="D125" s="45" t="s">
        <v>630</v>
      </c>
      <c r="E125" s="45" t="s">
        <v>627</v>
      </c>
      <c r="F125" s="169">
        <v>6.9020000000000002E-6</v>
      </c>
      <c r="G125" s="169">
        <v>3.3407999999999996E-5</v>
      </c>
      <c r="H125" s="169">
        <v>6.1250000000000012E-5</v>
      </c>
      <c r="I125" s="45" t="s">
        <v>635</v>
      </c>
      <c r="J125" s="45"/>
    </row>
    <row r="126" spans="1:10" x14ac:dyDescent="0.35">
      <c r="A126" s="45"/>
      <c r="B126" s="45" t="s">
        <v>613</v>
      </c>
      <c r="C126" s="45" t="s">
        <v>640</v>
      </c>
      <c r="D126" s="45" t="s">
        <v>630</v>
      </c>
      <c r="E126" s="45" t="s">
        <v>628</v>
      </c>
      <c r="F126" s="169">
        <v>6.9020000000000002E-6</v>
      </c>
      <c r="G126" s="169">
        <v>3.3407999999999996E-5</v>
      </c>
      <c r="H126" s="169">
        <v>6.1250000000000012E-5</v>
      </c>
      <c r="I126" s="45" t="s">
        <v>635</v>
      </c>
      <c r="J126" s="45"/>
    </row>
    <row r="127" spans="1:10" x14ac:dyDescent="0.35">
      <c r="A127" s="45"/>
      <c r="B127" s="45" t="s">
        <v>613</v>
      </c>
      <c r="C127" s="45" t="s">
        <v>640</v>
      </c>
      <c r="D127" s="45" t="s">
        <v>630</v>
      </c>
      <c r="E127" s="45" t="s">
        <v>629</v>
      </c>
      <c r="F127" s="169">
        <v>6.9020000000000002E-6</v>
      </c>
      <c r="G127" s="169">
        <v>3.3407999999999996E-5</v>
      </c>
      <c r="H127" s="169">
        <v>6.1250000000000012E-5</v>
      </c>
      <c r="I127" s="45" t="s">
        <v>635</v>
      </c>
      <c r="J127" s="45"/>
    </row>
    <row r="128" spans="1:10" x14ac:dyDescent="0.35">
      <c r="A128" s="45"/>
      <c r="B128" s="45" t="s">
        <v>613</v>
      </c>
      <c r="C128" s="45" t="s">
        <v>640</v>
      </c>
      <c r="D128" s="45" t="s">
        <v>631</v>
      </c>
      <c r="E128" s="45" t="s">
        <v>625</v>
      </c>
      <c r="F128" s="169">
        <v>6.6787000000000001E-6</v>
      </c>
      <c r="G128" s="169">
        <v>3.0855999999999997E-5</v>
      </c>
      <c r="H128" s="169">
        <v>2.6875000000000006E-5</v>
      </c>
      <c r="I128" s="45" t="s">
        <v>635</v>
      </c>
      <c r="J128" s="45"/>
    </row>
    <row r="129" spans="1:10" x14ac:dyDescent="0.35">
      <c r="A129" s="45"/>
      <c r="B129" s="45" t="s">
        <v>613</v>
      </c>
      <c r="C129" s="45" t="s">
        <v>640</v>
      </c>
      <c r="D129" s="45" t="s">
        <v>631</v>
      </c>
      <c r="E129" s="45" t="s">
        <v>626</v>
      </c>
      <c r="F129" s="169">
        <v>6.6787000000000001E-6</v>
      </c>
      <c r="G129" s="169">
        <v>3.0855999999999997E-5</v>
      </c>
      <c r="H129" s="169">
        <v>2.6875000000000006E-5</v>
      </c>
      <c r="I129" s="45" t="s">
        <v>635</v>
      </c>
      <c r="J129" s="45"/>
    </row>
    <row r="130" spans="1:10" x14ac:dyDescent="0.35">
      <c r="A130" s="45"/>
      <c r="B130" s="45" t="s">
        <v>613</v>
      </c>
      <c r="C130" s="45" t="s">
        <v>640</v>
      </c>
      <c r="D130" s="45" t="s">
        <v>631</v>
      </c>
      <c r="E130" s="45" t="s">
        <v>627</v>
      </c>
      <c r="F130" s="169">
        <v>6.6787000000000001E-6</v>
      </c>
      <c r="G130" s="169">
        <v>3.0855999999999997E-5</v>
      </c>
      <c r="H130" s="169">
        <v>2.6875000000000006E-5</v>
      </c>
      <c r="I130" s="45" t="s">
        <v>635</v>
      </c>
      <c r="J130" s="45"/>
    </row>
    <row r="131" spans="1:10" x14ac:dyDescent="0.35">
      <c r="A131" s="45"/>
      <c r="B131" s="45" t="s">
        <v>613</v>
      </c>
      <c r="C131" s="45" t="s">
        <v>640</v>
      </c>
      <c r="D131" s="45" t="s">
        <v>631</v>
      </c>
      <c r="E131" s="45" t="s">
        <v>628</v>
      </c>
      <c r="F131" s="169">
        <v>6.6787000000000001E-6</v>
      </c>
      <c r="G131" s="169">
        <v>3.0855999999999997E-5</v>
      </c>
      <c r="H131" s="169">
        <v>2.6875000000000006E-5</v>
      </c>
      <c r="I131" s="45" t="s">
        <v>635</v>
      </c>
      <c r="J131" s="45"/>
    </row>
    <row r="132" spans="1:10" x14ac:dyDescent="0.35">
      <c r="A132" s="45"/>
      <c r="B132" s="45" t="s">
        <v>613</v>
      </c>
      <c r="C132" s="45" t="s">
        <v>640</v>
      </c>
      <c r="D132" s="45" t="s">
        <v>631</v>
      </c>
      <c r="E132" s="45" t="s">
        <v>629</v>
      </c>
      <c r="F132" s="169">
        <v>6.6787000000000001E-6</v>
      </c>
      <c r="G132" s="169">
        <v>3.0855999999999997E-5</v>
      </c>
      <c r="H132" s="169">
        <v>2.6875000000000006E-5</v>
      </c>
      <c r="I132" s="45" t="s">
        <v>635</v>
      </c>
      <c r="J132" s="45"/>
    </row>
    <row r="133" spans="1:10" x14ac:dyDescent="0.35">
      <c r="A133" s="45"/>
      <c r="B133" s="45" t="s">
        <v>613</v>
      </c>
      <c r="C133" s="45" t="s">
        <v>640</v>
      </c>
      <c r="D133" s="45" t="s">
        <v>632</v>
      </c>
      <c r="E133" s="45" t="s">
        <v>625</v>
      </c>
      <c r="F133" s="169">
        <v>6.6787000000000001E-6</v>
      </c>
      <c r="G133" s="169">
        <v>3.0855999999999997E-5</v>
      </c>
      <c r="H133" s="169">
        <v>2.6875000000000006E-5</v>
      </c>
      <c r="I133" s="45" t="s">
        <v>635</v>
      </c>
      <c r="J133" s="45"/>
    </row>
    <row r="134" spans="1:10" x14ac:dyDescent="0.35">
      <c r="A134" s="45"/>
      <c r="B134" s="45" t="s">
        <v>613</v>
      </c>
      <c r="C134" s="45" t="s">
        <v>640</v>
      </c>
      <c r="D134" s="45" t="s">
        <v>632</v>
      </c>
      <c r="E134" s="45" t="s">
        <v>626</v>
      </c>
      <c r="F134" s="169">
        <v>6.6787000000000001E-6</v>
      </c>
      <c r="G134" s="169">
        <v>3.0855999999999997E-5</v>
      </c>
      <c r="H134" s="169">
        <v>2.6875000000000006E-5</v>
      </c>
      <c r="I134" s="45" t="s">
        <v>635</v>
      </c>
      <c r="J134" s="45"/>
    </row>
    <row r="135" spans="1:10" x14ac:dyDescent="0.35">
      <c r="A135" s="45"/>
      <c r="B135" s="45" t="s">
        <v>613</v>
      </c>
      <c r="C135" s="45" t="s">
        <v>640</v>
      </c>
      <c r="D135" s="45" t="s">
        <v>632</v>
      </c>
      <c r="E135" s="45" t="s">
        <v>627</v>
      </c>
      <c r="F135" s="169">
        <v>6.6787000000000001E-6</v>
      </c>
      <c r="G135" s="169">
        <v>3.0855999999999997E-5</v>
      </c>
      <c r="H135" s="169">
        <v>2.6875000000000006E-5</v>
      </c>
      <c r="I135" s="45" t="s">
        <v>635</v>
      </c>
      <c r="J135" s="45"/>
    </row>
    <row r="136" spans="1:10" x14ac:dyDescent="0.35">
      <c r="A136" s="45"/>
      <c r="B136" s="45" t="s">
        <v>613</v>
      </c>
      <c r="C136" s="45" t="s">
        <v>640</v>
      </c>
      <c r="D136" s="45" t="s">
        <v>632</v>
      </c>
      <c r="E136" s="45" t="s">
        <v>628</v>
      </c>
      <c r="F136" s="169">
        <v>6.6787000000000001E-6</v>
      </c>
      <c r="G136" s="169">
        <v>3.0855999999999997E-5</v>
      </c>
      <c r="H136" s="169">
        <v>2.6875000000000006E-5</v>
      </c>
      <c r="I136" s="45" t="s">
        <v>635</v>
      </c>
      <c r="J136" s="45"/>
    </row>
    <row r="137" spans="1:10" x14ac:dyDescent="0.35">
      <c r="A137" s="45"/>
      <c r="B137" s="45" t="s">
        <v>613</v>
      </c>
      <c r="C137" s="45" t="s">
        <v>640</v>
      </c>
      <c r="D137" s="45" t="s">
        <v>632</v>
      </c>
      <c r="E137" s="45" t="s">
        <v>629</v>
      </c>
      <c r="F137" s="169">
        <v>6.6787000000000001E-6</v>
      </c>
      <c r="G137" s="169">
        <v>3.0855999999999997E-5</v>
      </c>
      <c r="H137" s="169">
        <v>2.6875000000000006E-5</v>
      </c>
      <c r="I137" s="45" t="s">
        <v>635</v>
      </c>
      <c r="J137" s="45"/>
    </row>
    <row r="138" spans="1:10" x14ac:dyDescent="0.35">
      <c r="A138" s="45"/>
      <c r="B138" s="45" t="s">
        <v>613</v>
      </c>
      <c r="C138" s="45" t="s">
        <v>641</v>
      </c>
      <c r="D138" s="45" t="s">
        <v>615</v>
      </c>
      <c r="E138" s="45" t="s">
        <v>616</v>
      </c>
      <c r="F138" s="169">
        <f t="array" ref="F138:H163">CFs_midpoint*(TE_mid_to_end+AE_mid_to_end)</f>
        <v>-5.3201449999999999E-10</v>
      </c>
      <c r="G138" s="169">
        <v>-2.8000764999999998E-9</v>
      </c>
      <c r="H138" s="169">
        <v>-2.5000681999999998E-8</v>
      </c>
      <c r="I138" s="45" t="s">
        <v>637</v>
      </c>
      <c r="J138" s="45"/>
    </row>
    <row r="139" spans="1:10" x14ac:dyDescent="0.35">
      <c r="A139" s="45"/>
      <c r="B139" s="45" t="s">
        <v>613</v>
      </c>
      <c r="C139" s="45" t="s">
        <v>641</v>
      </c>
      <c r="D139" s="45" t="s">
        <v>618</v>
      </c>
      <c r="E139" s="45" t="s">
        <v>616</v>
      </c>
      <c r="F139" s="169">
        <v>-5.3201449999999999E-10</v>
      </c>
      <c r="G139" s="169">
        <v>-2.8000764999999998E-9</v>
      </c>
      <c r="H139" s="169">
        <v>-2.5000681999999998E-8</v>
      </c>
      <c r="I139" s="45" t="s">
        <v>637</v>
      </c>
      <c r="J139" s="45"/>
    </row>
    <row r="140" spans="1:10" x14ac:dyDescent="0.35">
      <c r="A140" s="45"/>
      <c r="B140" s="45" t="s">
        <v>613</v>
      </c>
      <c r="C140" s="45" t="s">
        <v>641</v>
      </c>
      <c r="D140" s="45" t="s">
        <v>619</v>
      </c>
      <c r="E140" s="45" t="s">
        <v>620</v>
      </c>
      <c r="F140" s="169">
        <v>-5.3201449999999999E-10</v>
      </c>
      <c r="G140" s="169">
        <v>-2.8000764999999998E-9</v>
      </c>
      <c r="H140" s="169">
        <v>-2.5000681999999998E-8</v>
      </c>
      <c r="I140" s="45" t="s">
        <v>637</v>
      </c>
      <c r="J140" s="45"/>
    </row>
    <row r="141" spans="1:10" x14ac:dyDescent="0.35">
      <c r="A141" s="45"/>
      <c r="B141" s="45" t="s">
        <v>613</v>
      </c>
      <c r="C141" s="45" t="s">
        <v>641</v>
      </c>
      <c r="D141" s="45" t="s">
        <v>619</v>
      </c>
      <c r="E141" s="45" t="s">
        <v>621</v>
      </c>
      <c r="F141" s="169">
        <v>-5.3201449999999999E-10</v>
      </c>
      <c r="G141" s="169">
        <v>-2.8000764999999998E-9</v>
      </c>
      <c r="H141" s="169">
        <v>-2.5000681999999998E-8</v>
      </c>
      <c r="I141" s="45" t="s">
        <v>637</v>
      </c>
      <c r="J141" s="45"/>
    </row>
    <row r="142" spans="1:10" x14ac:dyDescent="0.35">
      <c r="A142" s="45"/>
      <c r="B142" s="45" t="s">
        <v>613</v>
      </c>
      <c r="C142" s="45" t="s">
        <v>641</v>
      </c>
      <c r="D142" s="45" t="s">
        <v>619</v>
      </c>
      <c r="E142" s="45" t="s">
        <v>622</v>
      </c>
      <c r="F142" s="169">
        <v>-5.3201449999999999E-10</v>
      </c>
      <c r="G142" s="169">
        <v>-2.8000764999999998E-9</v>
      </c>
      <c r="H142" s="169">
        <v>-2.5000681999999998E-8</v>
      </c>
      <c r="I142" s="45" t="s">
        <v>637</v>
      </c>
      <c r="J142" s="45"/>
    </row>
    <row r="143" spans="1:10" x14ac:dyDescent="0.35">
      <c r="A143" s="45"/>
      <c r="B143" s="45" t="s">
        <v>613</v>
      </c>
      <c r="C143" s="45" t="s">
        <v>641</v>
      </c>
      <c r="D143" s="45" t="s">
        <v>619</v>
      </c>
      <c r="E143" s="45" t="s">
        <v>623</v>
      </c>
      <c r="F143" s="169">
        <v>-5.3201449999999999E-10</v>
      </c>
      <c r="G143" s="169">
        <v>-2.8000764999999998E-9</v>
      </c>
      <c r="H143" s="169">
        <v>-2.5000681999999998E-8</v>
      </c>
      <c r="I143" s="45" t="s">
        <v>637</v>
      </c>
      <c r="J143" s="45"/>
    </row>
    <row r="144" spans="1:10" x14ac:dyDescent="0.35">
      <c r="A144" s="45"/>
      <c r="B144" s="45" t="s">
        <v>613</v>
      </c>
      <c r="C144" s="45" t="s">
        <v>641</v>
      </c>
      <c r="D144" s="45" t="s">
        <v>624</v>
      </c>
      <c r="E144" s="45" t="s">
        <v>625</v>
      </c>
      <c r="F144" s="169">
        <v>1.9844140849999998E-8</v>
      </c>
      <c r="G144" s="169">
        <v>3.2480887399999999E-8</v>
      </c>
      <c r="H144" s="169">
        <v>8.2752257419999994E-8</v>
      </c>
      <c r="I144" s="45" t="s">
        <v>637</v>
      </c>
      <c r="J144" s="45"/>
    </row>
    <row r="145" spans="1:10" x14ac:dyDescent="0.35">
      <c r="A145" s="45"/>
      <c r="B145" s="45" t="s">
        <v>613</v>
      </c>
      <c r="C145" s="45" t="s">
        <v>641</v>
      </c>
      <c r="D145" s="45" t="s">
        <v>624</v>
      </c>
      <c r="E145" s="45" t="s">
        <v>626</v>
      </c>
      <c r="F145" s="169">
        <v>1.9844140849999998E-8</v>
      </c>
      <c r="G145" s="169">
        <v>3.2480887399999999E-8</v>
      </c>
      <c r="H145" s="169">
        <v>8.2752257419999994E-8</v>
      </c>
      <c r="I145" s="45" t="s">
        <v>637</v>
      </c>
      <c r="J145" s="45"/>
    </row>
    <row r="146" spans="1:10" x14ac:dyDescent="0.35">
      <c r="A146" s="45"/>
      <c r="B146" s="45" t="s">
        <v>613</v>
      </c>
      <c r="C146" s="45" t="s">
        <v>641</v>
      </c>
      <c r="D146" s="45" t="s">
        <v>624</v>
      </c>
      <c r="E146" s="45" t="s">
        <v>627</v>
      </c>
      <c r="F146" s="169">
        <v>1.9844140849999998E-8</v>
      </c>
      <c r="G146" s="169">
        <v>3.2480887399999999E-8</v>
      </c>
      <c r="H146" s="169">
        <v>8.2752257419999994E-8</v>
      </c>
      <c r="I146" s="45" t="s">
        <v>637</v>
      </c>
      <c r="J146" s="45"/>
    </row>
    <row r="147" spans="1:10" x14ac:dyDescent="0.35">
      <c r="A147" s="45"/>
      <c r="B147" s="45" t="s">
        <v>613</v>
      </c>
      <c r="C147" s="45" t="s">
        <v>641</v>
      </c>
      <c r="D147" s="45" t="s">
        <v>624</v>
      </c>
      <c r="E147" s="45" t="s">
        <v>628</v>
      </c>
      <c r="F147" s="169">
        <v>1.9844140849999998E-8</v>
      </c>
      <c r="G147" s="169">
        <v>3.2480887399999999E-8</v>
      </c>
      <c r="H147" s="169">
        <v>8.2752257419999994E-8</v>
      </c>
      <c r="I147" s="45" t="s">
        <v>637</v>
      </c>
      <c r="J147" s="45"/>
    </row>
    <row r="148" spans="1:10" x14ac:dyDescent="0.35">
      <c r="A148" s="45"/>
      <c r="B148" s="45" t="s">
        <v>613</v>
      </c>
      <c r="C148" s="45" t="s">
        <v>641</v>
      </c>
      <c r="D148" s="45" t="s">
        <v>624</v>
      </c>
      <c r="E148" s="45" t="s">
        <v>629</v>
      </c>
      <c r="F148" s="169">
        <v>1.9844140849999998E-8</v>
      </c>
      <c r="G148" s="169">
        <v>3.2480887399999999E-8</v>
      </c>
      <c r="H148" s="169">
        <v>8.2752257419999994E-8</v>
      </c>
      <c r="I148" s="45" t="s">
        <v>637</v>
      </c>
      <c r="J148" s="45"/>
    </row>
    <row r="149" spans="1:10" x14ac:dyDescent="0.35">
      <c r="A149" s="45"/>
      <c r="B149" s="45" t="s">
        <v>613</v>
      </c>
      <c r="C149" s="45" t="s">
        <v>641</v>
      </c>
      <c r="D149" s="45" t="s">
        <v>630</v>
      </c>
      <c r="E149" s="45" t="s">
        <v>625</v>
      </c>
      <c r="F149" s="169">
        <v>4.5221232500000001E-8</v>
      </c>
      <c r="G149" s="169">
        <v>1.0080275399999999E-7</v>
      </c>
      <c r="H149" s="169">
        <v>1.225033418E-7</v>
      </c>
      <c r="I149" s="45" t="s">
        <v>637</v>
      </c>
      <c r="J149" s="45"/>
    </row>
    <row r="150" spans="1:10" x14ac:dyDescent="0.35">
      <c r="A150" s="45"/>
      <c r="B150" s="45" t="s">
        <v>613</v>
      </c>
      <c r="C150" s="45" t="s">
        <v>641</v>
      </c>
      <c r="D150" s="45" t="s">
        <v>630</v>
      </c>
      <c r="E150" s="45" t="s">
        <v>626</v>
      </c>
      <c r="F150" s="169">
        <v>4.5221232500000001E-8</v>
      </c>
      <c r="G150" s="169">
        <v>1.0080275399999999E-7</v>
      </c>
      <c r="H150" s="169">
        <v>1.225033418E-7</v>
      </c>
      <c r="I150" s="45" t="s">
        <v>637</v>
      </c>
      <c r="J150" s="45"/>
    </row>
    <row r="151" spans="1:10" x14ac:dyDescent="0.35">
      <c r="A151" s="45"/>
      <c r="B151" s="45" t="s">
        <v>613</v>
      </c>
      <c r="C151" s="45" t="s">
        <v>641</v>
      </c>
      <c r="D151" s="45" t="s">
        <v>630</v>
      </c>
      <c r="E151" s="45" t="s">
        <v>627</v>
      </c>
      <c r="F151" s="169">
        <v>4.5221232500000001E-8</v>
      </c>
      <c r="G151" s="169">
        <v>1.0080275399999999E-7</v>
      </c>
      <c r="H151" s="169">
        <v>1.225033418E-7</v>
      </c>
      <c r="I151" s="45" t="s">
        <v>637</v>
      </c>
      <c r="J151" s="45"/>
    </row>
    <row r="152" spans="1:10" x14ac:dyDescent="0.35">
      <c r="A152" s="45"/>
      <c r="B152" s="45" t="s">
        <v>613</v>
      </c>
      <c r="C152" s="45" t="s">
        <v>641</v>
      </c>
      <c r="D152" s="45" t="s">
        <v>630</v>
      </c>
      <c r="E152" s="45" t="s">
        <v>628</v>
      </c>
      <c r="F152" s="169">
        <v>4.5221232500000001E-8</v>
      </c>
      <c r="G152" s="169">
        <v>1.0080275399999999E-7</v>
      </c>
      <c r="H152" s="169">
        <v>1.225033418E-7</v>
      </c>
      <c r="I152" s="45" t="s">
        <v>637</v>
      </c>
      <c r="J152" s="45"/>
    </row>
    <row r="153" spans="1:10" x14ac:dyDescent="0.35">
      <c r="A153" s="45"/>
      <c r="B153" s="45" t="s">
        <v>613</v>
      </c>
      <c r="C153" s="45" t="s">
        <v>641</v>
      </c>
      <c r="D153" s="45" t="s">
        <v>630</v>
      </c>
      <c r="E153" s="45" t="s">
        <v>629</v>
      </c>
      <c r="F153" s="169">
        <v>4.5221232500000001E-8</v>
      </c>
      <c r="G153" s="169">
        <v>1.0080275399999999E-7</v>
      </c>
      <c r="H153" s="169">
        <v>1.225033418E-7</v>
      </c>
      <c r="I153" s="45" t="s">
        <v>637</v>
      </c>
      <c r="J153" s="45"/>
    </row>
    <row r="154" spans="1:10" x14ac:dyDescent="0.35">
      <c r="A154" s="45"/>
      <c r="B154" s="45" t="s">
        <v>613</v>
      </c>
      <c r="C154" s="45" t="s">
        <v>641</v>
      </c>
      <c r="D154" s="45" t="s">
        <v>631</v>
      </c>
      <c r="E154" s="45" t="s">
        <v>625</v>
      </c>
      <c r="F154" s="169">
        <v>4.3758192624999998E-8</v>
      </c>
      <c r="G154" s="169">
        <v>9.3102543624999996E-8</v>
      </c>
      <c r="H154" s="169">
        <v>5.3751466300000004E-8</v>
      </c>
      <c r="I154" s="45" t="s">
        <v>637</v>
      </c>
      <c r="J154" s="45"/>
    </row>
    <row r="155" spans="1:10" x14ac:dyDescent="0.35">
      <c r="A155" s="45"/>
      <c r="B155" s="45" t="s">
        <v>613</v>
      </c>
      <c r="C155" s="45" t="s">
        <v>641</v>
      </c>
      <c r="D155" s="45" t="s">
        <v>631</v>
      </c>
      <c r="E155" s="45" t="s">
        <v>626</v>
      </c>
      <c r="F155" s="169">
        <v>4.3758192624999998E-8</v>
      </c>
      <c r="G155" s="169">
        <v>9.3102543624999996E-8</v>
      </c>
      <c r="H155" s="169">
        <v>5.3751466300000004E-8</v>
      </c>
      <c r="I155" s="45" t="s">
        <v>637</v>
      </c>
      <c r="J155" s="45"/>
    </row>
    <row r="156" spans="1:10" x14ac:dyDescent="0.35">
      <c r="A156" s="45"/>
      <c r="B156" s="45" t="s">
        <v>613</v>
      </c>
      <c r="C156" s="45" t="s">
        <v>641</v>
      </c>
      <c r="D156" s="45" t="s">
        <v>631</v>
      </c>
      <c r="E156" s="45" t="s">
        <v>627</v>
      </c>
      <c r="F156" s="169">
        <v>4.3758192624999998E-8</v>
      </c>
      <c r="G156" s="169">
        <v>9.3102543624999996E-8</v>
      </c>
      <c r="H156" s="169">
        <v>5.3751466300000004E-8</v>
      </c>
      <c r="I156" s="45" t="s">
        <v>637</v>
      </c>
      <c r="J156" s="45"/>
    </row>
    <row r="157" spans="1:10" x14ac:dyDescent="0.35">
      <c r="A157" s="45"/>
      <c r="B157" s="45" t="s">
        <v>613</v>
      </c>
      <c r="C157" s="45" t="s">
        <v>641</v>
      </c>
      <c r="D157" s="45" t="s">
        <v>631</v>
      </c>
      <c r="E157" s="45" t="s">
        <v>628</v>
      </c>
      <c r="F157" s="169">
        <v>4.3758192624999998E-8</v>
      </c>
      <c r="G157" s="169">
        <v>9.3102543624999996E-8</v>
      </c>
      <c r="H157" s="169">
        <v>5.3751466300000004E-8</v>
      </c>
      <c r="I157" s="45" t="s">
        <v>637</v>
      </c>
      <c r="J157" s="45"/>
    </row>
    <row r="158" spans="1:10" x14ac:dyDescent="0.35">
      <c r="A158" s="45"/>
      <c r="B158" s="45" t="s">
        <v>613</v>
      </c>
      <c r="C158" s="45" t="s">
        <v>641</v>
      </c>
      <c r="D158" s="45" t="s">
        <v>631</v>
      </c>
      <c r="E158" s="45" t="s">
        <v>629</v>
      </c>
      <c r="F158" s="169">
        <v>4.3758192624999998E-8</v>
      </c>
      <c r="G158" s="169">
        <v>9.3102543624999996E-8</v>
      </c>
      <c r="H158" s="169">
        <v>5.3751466300000004E-8</v>
      </c>
      <c r="I158" s="45" t="s">
        <v>637</v>
      </c>
      <c r="J158" s="45"/>
    </row>
    <row r="159" spans="1:10" x14ac:dyDescent="0.35">
      <c r="A159" s="45"/>
      <c r="B159" s="45" t="s">
        <v>613</v>
      </c>
      <c r="C159" s="45" t="s">
        <v>641</v>
      </c>
      <c r="D159" s="45" t="s">
        <v>632</v>
      </c>
      <c r="E159" s="45" t="s">
        <v>625</v>
      </c>
      <c r="F159" s="169">
        <v>4.3758192624999998E-8</v>
      </c>
      <c r="G159" s="169">
        <v>9.3102543624999996E-8</v>
      </c>
      <c r="H159" s="169">
        <v>5.3751466300000004E-8</v>
      </c>
      <c r="I159" s="45" t="s">
        <v>637</v>
      </c>
      <c r="J159" s="45"/>
    </row>
    <row r="160" spans="1:10" x14ac:dyDescent="0.35">
      <c r="A160" s="45"/>
      <c r="B160" s="45" t="s">
        <v>613</v>
      </c>
      <c r="C160" s="45" t="s">
        <v>641</v>
      </c>
      <c r="D160" s="45" t="s">
        <v>632</v>
      </c>
      <c r="E160" s="45" t="s">
        <v>626</v>
      </c>
      <c r="F160" s="169">
        <v>4.3758192624999998E-8</v>
      </c>
      <c r="G160" s="169">
        <v>9.3102543624999996E-8</v>
      </c>
      <c r="H160" s="169">
        <v>5.3751466300000004E-8</v>
      </c>
      <c r="I160" s="45" t="s">
        <v>637</v>
      </c>
      <c r="J160" s="45"/>
    </row>
    <row r="161" spans="1:10" x14ac:dyDescent="0.35">
      <c r="A161" s="45"/>
      <c r="B161" s="45" t="s">
        <v>613</v>
      </c>
      <c r="C161" s="45" t="s">
        <v>641</v>
      </c>
      <c r="D161" s="45" t="s">
        <v>632</v>
      </c>
      <c r="E161" s="45" t="s">
        <v>627</v>
      </c>
      <c r="F161" s="169">
        <v>4.3758192624999998E-8</v>
      </c>
      <c r="G161" s="169">
        <v>9.3102543624999996E-8</v>
      </c>
      <c r="H161" s="169">
        <v>5.3751466300000004E-8</v>
      </c>
      <c r="I161" s="45" t="s">
        <v>637</v>
      </c>
      <c r="J161" s="45"/>
    </row>
    <row r="162" spans="1:10" x14ac:dyDescent="0.35">
      <c r="A162" s="45"/>
      <c r="B162" s="45" t="s">
        <v>613</v>
      </c>
      <c r="C162" s="45" t="s">
        <v>641</v>
      </c>
      <c r="D162" s="45" t="s">
        <v>632</v>
      </c>
      <c r="E162" s="45" t="s">
        <v>628</v>
      </c>
      <c r="F162" s="169">
        <v>4.3758192624999998E-8</v>
      </c>
      <c r="G162" s="169">
        <v>9.3102543624999996E-8</v>
      </c>
      <c r="H162" s="169">
        <v>5.3751466300000004E-8</v>
      </c>
      <c r="I162" s="45" t="s">
        <v>637</v>
      </c>
      <c r="J162" s="45"/>
    </row>
    <row r="163" spans="1:10" x14ac:dyDescent="0.35">
      <c r="A163" s="45"/>
      <c r="B163" s="45" t="s">
        <v>613</v>
      </c>
      <c r="C163" s="45" t="s">
        <v>641</v>
      </c>
      <c r="D163" s="45" t="s">
        <v>632</v>
      </c>
      <c r="E163" s="45" t="s">
        <v>629</v>
      </c>
      <c r="F163" s="169">
        <v>4.3758192624999998E-8</v>
      </c>
      <c r="G163" s="169">
        <v>9.3102543624999996E-8</v>
      </c>
      <c r="H163" s="169">
        <v>5.3751466300000004E-8</v>
      </c>
      <c r="I163" s="45" t="s">
        <v>637</v>
      </c>
      <c r="J163" s="4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24447-2B72-4DF0-BD63-800F2313ACE3}">
  <sheetPr>
    <tabColor theme="5" tint="-0.499984740745262"/>
  </sheetPr>
  <dimension ref="A1:N85"/>
  <sheetViews>
    <sheetView topLeftCell="A22" zoomScale="70" zoomScaleNormal="50" workbookViewId="0">
      <selection activeCell="Q75" sqref="Q75"/>
    </sheetView>
  </sheetViews>
  <sheetFormatPr defaultRowHeight="14.5" x14ac:dyDescent="0.35"/>
  <cols>
    <col min="1" max="1" width="30.54296875" style="272" bestFit="1" customWidth="1"/>
    <col min="2" max="2" width="35.453125" bestFit="1" customWidth="1"/>
    <col min="3" max="4" width="12.26953125" bestFit="1" customWidth="1"/>
    <col min="5" max="5" width="14.453125" bestFit="1" customWidth="1"/>
    <col min="6" max="6" width="13.54296875" bestFit="1" customWidth="1"/>
    <col min="7" max="7" width="19.1796875" bestFit="1" customWidth="1"/>
    <col min="8" max="8" width="19.1796875" style="272" customWidth="1"/>
    <col min="9" max="9" width="14.453125" bestFit="1" customWidth="1"/>
    <col min="10" max="10" width="13.26953125" customWidth="1"/>
    <col min="11" max="11" width="12.81640625" bestFit="1" customWidth="1"/>
    <col min="12" max="12" width="10.81640625" bestFit="1" customWidth="1"/>
    <col min="14" max="14" width="3.26953125" customWidth="1"/>
  </cols>
  <sheetData>
    <row r="1" spans="1:14" s="138" customFormat="1" ht="21" x14ac:dyDescent="0.5">
      <c r="B1" s="138" t="s">
        <v>495</v>
      </c>
    </row>
    <row r="2" spans="1:14" s="18" customFormat="1" ht="21" x14ac:dyDescent="0.5">
      <c r="B2" s="329" t="s">
        <v>706</v>
      </c>
      <c r="C2" s="329"/>
      <c r="D2" s="329"/>
      <c r="E2" s="329"/>
      <c r="F2" s="329"/>
      <c r="G2" s="329"/>
      <c r="H2" s="329"/>
      <c r="I2" s="329"/>
      <c r="J2" s="329"/>
      <c r="K2" s="329"/>
      <c r="L2" s="329"/>
      <c r="M2" s="329"/>
    </row>
    <row r="3" spans="1:14" s="33" customFormat="1" x14ac:dyDescent="0.35">
      <c r="A3" s="125"/>
      <c r="B3" s="125" t="s">
        <v>496</v>
      </c>
      <c r="C3" s="125"/>
      <c r="D3" s="125"/>
      <c r="E3" s="125"/>
      <c r="F3" s="125"/>
      <c r="G3" s="125"/>
      <c r="H3" s="125"/>
      <c r="I3" s="125"/>
      <c r="J3" s="125"/>
      <c r="K3" s="125"/>
      <c r="L3" s="125"/>
      <c r="M3" s="125"/>
      <c r="N3" s="125"/>
    </row>
    <row r="4" spans="1:14" x14ac:dyDescent="0.35">
      <c r="N4" s="125"/>
    </row>
    <row r="5" spans="1:14" ht="16.5" x14ac:dyDescent="0.45">
      <c r="A5" s="109"/>
      <c r="B5" s="109"/>
      <c r="C5" s="109" t="s">
        <v>117</v>
      </c>
      <c r="D5" s="109" t="s">
        <v>118</v>
      </c>
      <c r="E5" s="109" t="s">
        <v>119</v>
      </c>
      <c r="F5" s="109" t="s">
        <v>120</v>
      </c>
      <c r="G5" s="109" t="s">
        <v>121</v>
      </c>
      <c r="H5" s="109" t="s">
        <v>797</v>
      </c>
      <c r="I5" s="109" t="s">
        <v>122</v>
      </c>
      <c r="J5" s="109" t="s">
        <v>123</v>
      </c>
      <c r="K5" s="109" t="s">
        <v>856</v>
      </c>
      <c r="L5" s="109" t="s">
        <v>46</v>
      </c>
      <c r="M5" s="109"/>
      <c r="N5" s="125"/>
    </row>
    <row r="6" spans="1:14" x14ac:dyDescent="0.35">
      <c r="A6" s="327" t="s">
        <v>853</v>
      </c>
      <c r="B6" s="109" t="s">
        <v>855</v>
      </c>
      <c r="C6" s="126">
        <f>'Results ReCiPe (H) - CC'!B467</f>
        <v>15.33891633430572</v>
      </c>
      <c r="D6" s="126">
        <f>'Results ReCiPe (H) - CC'!B468</f>
        <v>0.99242254336085489</v>
      </c>
      <c r="E6" s="126">
        <f>'Results ReCiPe (H) - CC'!B469</f>
        <v>0.27647349348275368</v>
      </c>
      <c r="F6" s="126">
        <f>'Results ReCiPe (H) - CC'!B470</f>
        <v>8.9978083648384714E-3</v>
      </c>
      <c r="G6" s="126">
        <f>'Results ReCiPe (H) - CC'!B471</f>
        <v>4.201398547075331</v>
      </c>
      <c r="H6" s="126">
        <f>'Results ReCiPe (H) - CC'!B472</f>
        <v>0</v>
      </c>
      <c r="I6" s="126">
        <f>'Results ReCiPe (H) - CC'!B473</f>
        <v>575.06611068071641</v>
      </c>
      <c r="J6" s="126">
        <f>'Results ReCiPe (H) - CC'!B474</f>
        <v>44.48175454947296</v>
      </c>
      <c r="K6" s="126">
        <f>'Results ReCiPe (H) - CC'!B475</f>
        <v>-1000</v>
      </c>
      <c r="L6" s="127">
        <f>'Results ReCiPe (H) - CC'!B476</f>
        <v>-359.63392604322115</v>
      </c>
      <c r="M6" s="109">
        <v>8.5</v>
      </c>
      <c r="N6" s="125"/>
    </row>
    <row r="7" spans="1:14" x14ac:dyDescent="0.35">
      <c r="A7" s="327"/>
      <c r="B7" s="109" t="s">
        <v>914</v>
      </c>
      <c r="C7" s="126">
        <f>'Results ReCiPe (H) - CC'!C467</f>
        <v>14.228720723813575</v>
      </c>
      <c r="D7" s="126">
        <f>'Results ReCiPe (H) - CC'!C468</f>
        <v>0.92854228959986618</v>
      </c>
      <c r="E7" s="126">
        <f>'Results ReCiPe (H) - CC'!C469</f>
        <v>0.23135438070506198</v>
      </c>
      <c r="F7" s="126">
        <f>'Results ReCiPe (H) - CC'!C470</f>
        <v>8.3835998236248491E-3</v>
      </c>
      <c r="G7" s="126">
        <f>'Results ReCiPe (H) - CC'!C471</f>
        <v>3.5301952668074428</v>
      </c>
      <c r="H7" s="126">
        <f>'Results ReCiPe (H) - CC'!C472</f>
        <v>0</v>
      </c>
      <c r="I7" s="126">
        <f>'Results ReCiPe (H) - CC'!C473</f>
        <v>123.28289086735381</v>
      </c>
      <c r="J7" s="126">
        <f>'Results ReCiPe (H) - CC'!C474</f>
        <v>10.344861824112719</v>
      </c>
      <c r="K7" s="126">
        <f>'Results ReCiPe (H) - CC'!C475</f>
        <v>-1000</v>
      </c>
      <c r="L7" s="127">
        <f>'Results ReCiPe (H) - CC'!C476</f>
        <v>-847.44505104778398</v>
      </c>
      <c r="M7" s="109">
        <v>7.5</v>
      </c>
      <c r="N7" s="125"/>
    </row>
    <row r="8" spans="1:14" x14ac:dyDescent="0.35">
      <c r="A8" s="327"/>
      <c r="B8" s="109" t="s">
        <v>915</v>
      </c>
      <c r="C8" s="126">
        <f>'Results ReCiPe (H) - CC'!D467</f>
        <v>11.10767980382567</v>
      </c>
      <c r="D8" s="126">
        <f>'Results ReCiPe (H) - CC'!D468</f>
        <v>0.81224625777211612</v>
      </c>
      <c r="E8" s="126">
        <f>'Results ReCiPe (H) - CC'!D469</f>
        <v>0.20244068217927833</v>
      </c>
      <c r="F8" s="126">
        <f>'Results ReCiPe (H) - CC'!D470</f>
        <v>7.8840150412988301E-3</v>
      </c>
      <c r="G8" s="126">
        <f>'Results ReCiPe (H) - CC'!D471</f>
        <v>3.0325500058089316</v>
      </c>
      <c r="H8" s="126">
        <f>'Results ReCiPe (H) - CC'!D472</f>
        <v>0</v>
      </c>
      <c r="I8" s="126">
        <f>'Results ReCiPe (H) - CC'!D473</f>
        <v>-1.7017745936380504</v>
      </c>
      <c r="J8" s="126">
        <f>'Results ReCiPe (H) - CC'!D474</f>
        <v>0.75686347530398235</v>
      </c>
      <c r="K8" s="126">
        <f>'Results ReCiPe (H) - CC'!D475</f>
        <v>-1000</v>
      </c>
      <c r="L8" s="127">
        <f>'Results ReCiPe (H) - CC'!D476</f>
        <v>-985.78211035370691</v>
      </c>
      <c r="M8" s="109">
        <v>6.5</v>
      </c>
      <c r="N8" s="125"/>
    </row>
    <row r="9" spans="1:14" x14ac:dyDescent="0.35">
      <c r="A9" s="328" t="s">
        <v>852</v>
      </c>
      <c r="B9" s="109" t="s">
        <v>855</v>
      </c>
      <c r="C9" s="126">
        <f>'Results ReCiPe (H) - CC'!E467</f>
        <v>15.33891633430572</v>
      </c>
      <c r="D9" s="126">
        <f>'Results ReCiPe (H) - CC'!E468</f>
        <v>0.99242254336085489</v>
      </c>
      <c r="E9" s="126">
        <f>'Results ReCiPe (H) - CC'!E469</f>
        <v>0.27647349348275368</v>
      </c>
      <c r="F9" s="126">
        <f>'Results ReCiPe (H) - CC'!E470</f>
        <v>8.9978083648384714E-3</v>
      </c>
      <c r="G9" s="126">
        <f>'Results ReCiPe (H) - CC'!E471</f>
        <v>4.201398547075331</v>
      </c>
      <c r="H9" s="126">
        <f>'Results ReCiPe (H) - CC'!E472</f>
        <v>0</v>
      </c>
      <c r="I9" s="126">
        <f>'Results ReCiPe (H) - CC'!E473</f>
        <v>443.48370274691973</v>
      </c>
      <c r="J9" s="126">
        <f>'Results ReCiPe (H) - CC'!E474</f>
        <v>44.48175454947296</v>
      </c>
      <c r="K9" s="126">
        <f>'Results ReCiPe (H) - CC'!E475</f>
        <v>-1000</v>
      </c>
      <c r="L9" s="127">
        <f>'Results ReCiPe (H) - CC'!E476</f>
        <v>-491.21633397701771</v>
      </c>
      <c r="M9" s="109">
        <v>5.5</v>
      </c>
      <c r="N9" s="125"/>
    </row>
    <row r="10" spans="1:14" s="272" customFormat="1" x14ac:dyDescent="0.35">
      <c r="A10" s="328"/>
      <c r="B10" s="109" t="s">
        <v>914</v>
      </c>
      <c r="C10" s="126">
        <f>'Results ReCiPe (H) - CC'!F467</f>
        <v>14.228720723813575</v>
      </c>
      <c r="D10" s="126">
        <f>'Results ReCiPe (H) - CC'!F468</f>
        <v>0.92854228959986618</v>
      </c>
      <c r="E10" s="126">
        <f>'Results ReCiPe (H) - CC'!F469</f>
        <v>0.23135438070506198</v>
      </c>
      <c r="F10" s="126">
        <f>'Results ReCiPe (H) - CC'!F470</f>
        <v>8.3835998236248491E-3</v>
      </c>
      <c r="G10" s="126">
        <f>'Results ReCiPe (H) - CC'!F471</f>
        <v>3.5301952668074428</v>
      </c>
      <c r="H10" s="126">
        <f>'Results ReCiPe (H) - CC'!F472</f>
        <v>0</v>
      </c>
      <c r="I10" s="126">
        <f>'Results ReCiPe (H) - CC'!F473</f>
        <v>96.772526359985974</v>
      </c>
      <c r="J10" s="126">
        <f>'Results ReCiPe (H) - CC'!F474</f>
        <v>10.344861824112719</v>
      </c>
      <c r="K10" s="126">
        <f>'Results ReCiPe (H) - CC'!F475</f>
        <v>-1000</v>
      </c>
      <c r="L10" s="127">
        <f>'Results ReCiPe (H) - CC'!F476</f>
        <v>-873.95541555515172</v>
      </c>
      <c r="M10" s="109">
        <v>4.5</v>
      </c>
      <c r="N10" s="125"/>
    </row>
    <row r="11" spans="1:14" s="272" customFormat="1" x14ac:dyDescent="0.35">
      <c r="A11" s="328"/>
      <c r="B11" s="109" t="s">
        <v>915</v>
      </c>
      <c r="C11" s="126">
        <f>'Results ReCiPe (H) - CC'!G467</f>
        <v>11.10767980382567</v>
      </c>
      <c r="D11" s="126">
        <f>'Results ReCiPe (H) - CC'!G468</f>
        <v>0.81224625777211612</v>
      </c>
      <c r="E11" s="126">
        <f>'Results ReCiPe (H) - CC'!G469</f>
        <v>0.20244068217927833</v>
      </c>
      <c r="F11" s="126">
        <f>'Results ReCiPe (H) - CC'!G470</f>
        <v>7.8840150412988301E-3</v>
      </c>
      <c r="G11" s="126">
        <f>'Results ReCiPe (H) - CC'!G471</f>
        <v>3.0325500058089316</v>
      </c>
      <c r="H11" s="126">
        <f>'Results ReCiPe (H) - CC'!G472</f>
        <v>0</v>
      </c>
      <c r="I11" s="126">
        <f>'Results ReCiPe (H) - CC'!G473</f>
        <v>0.25962057718256326</v>
      </c>
      <c r="J11" s="126">
        <f>'Results ReCiPe (H) - CC'!G474</f>
        <v>0.75686347530398235</v>
      </c>
      <c r="K11" s="126">
        <f>'Results ReCiPe (H) - CC'!G475</f>
        <v>-1000</v>
      </c>
      <c r="L11" s="127">
        <f>'Results ReCiPe (H) - CC'!G476</f>
        <v>-983.82071518288637</v>
      </c>
      <c r="M11" s="109">
        <v>3.5</v>
      </c>
      <c r="N11" s="125"/>
    </row>
    <row r="12" spans="1:14" s="272" customFormat="1" x14ac:dyDescent="0.35">
      <c r="A12" s="328" t="s">
        <v>854</v>
      </c>
      <c r="B12" s="109" t="s">
        <v>855</v>
      </c>
      <c r="C12" s="126">
        <f>'Results ReCiPe (H) - CC'!H467</f>
        <v>27.30109830898834</v>
      </c>
      <c r="D12" s="126">
        <f>'Results ReCiPe (H) - CC'!H468</f>
        <v>0.99242254336085489</v>
      </c>
      <c r="E12" s="126">
        <f>'Results ReCiPe (H) - CC'!H469</f>
        <v>0.55294698696550737</v>
      </c>
      <c r="F12" s="126">
        <f>'Results ReCiPe (H) - CC'!H470</f>
        <v>8.9978083648384714E-3</v>
      </c>
      <c r="G12" s="126">
        <f>'Results ReCiPe (H) - CC'!H471</f>
        <v>8.402797094150662</v>
      </c>
      <c r="H12" s="277">
        <f>'Results ReCiPe (H) - CC'!H472</f>
        <v>90.318785932629567</v>
      </c>
      <c r="I12" s="126">
        <f>'Results ReCiPe (H) - CC'!H473</f>
        <v>70.882385297689595</v>
      </c>
      <c r="J12" s="126">
        <f>'Results ReCiPe (H) - CC'!H474</f>
        <v>44.48175454947296</v>
      </c>
      <c r="K12" s="126">
        <f>'Results ReCiPe (H) - CC'!H475</f>
        <v>-1000</v>
      </c>
      <c r="L12" s="127">
        <f>'Results ReCiPe (H) - CC'!H476</f>
        <v>-757.05881147837772</v>
      </c>
      <c r="M12" s="109">
        <v>2.5</v>
      </c>
      <c r="N12" s="125"/>
    </row>
    <row r="13" spans="1:14" s="272" customFormat="1" x14ac:dyDescent="0.35">
      <c r="A13" s="328"/>
      <c r="B13" s="109" t="s">
        <v>914</v>
      </c>
      <c r="C13" s="126">
        <f>'Results ReCiPe (H) - CC'!I467</f>
        <v>25.103103901411338</v>
      </c>
      <c r="D13" s="126">
        <f>'Results ReCiPe (H) - CC'!I468</f>
        <v>0.92854228959986618</v>
      </c>
      <c r="E13" s="126">
        <f>'Results ReCiPe (H) - CC'!I469</f>
        <v>0.46270876141012396</v>
      </c>
      <c r="F13" s="126">
        <f>'Results ReCiPe (H) - CC'!I470</f>
        <v>8.3835998236248491E-3</v>
      </c>
      <c r="G13" s="126">
        <f>'Results ReCiPe (H) - CC'!I471</f>
        <v>7.0603905336148856</v>
      </c>
      <c r="H13" s="277">
        <f>'Results ReCiPe (H) - CC'!I472</f>
        <v>82.290114568489102</v>
      </c>
      <c r="I13" s="126">
        <f>'Results ReCiPe (H) - CC'!I473</f>
        <v>50.4086136689697</v>
      </c>
      <c r="J13" s="126">
        <f>'Results ReCiPe (H) - CC'!I474</f>
        <v>10.344861824112719</v>
      </c>
      <c r="K13" s="126">
        <f>'Results ReCiPe (H) - CC'!I475</f>
        <v>-1000</v>
      </c>
      <c r="L13" s="127">
        <f>'Results ReCiPe (H) - CC'!I476</f>
        <v>-823.39328085256852</v>
      </c>
      <c r="M13" s="109">
        <v>1.5</v>
      </c>
      <c r="N13" s="125"/>
    </row>
    <row r="14" spans="1:14" s="272" customFormat="1" x14ac:dyDescent="0.35">
      <c r="A14" s="328"/>
      <c r="B14" s="109" t="s">
        <v>915</v>
      </c>
      <c r="C14" s="126">
        <f>'Results ReCiPe (H) - CC'!J467</f>
        <v>18.927767157790178</v>
      </c>
      <c r="D14" s="126">
        <f>'Results ReCiPe (H) - CC'!J468</f>
        <v>0.81224625777211612</v>
      </c>
      <c r="E14" s="126">
        <f>'Results ReCiPe (H) - CC'!J469</f>
        <v>0.40488136435855665</v>
      </c>
      <c r="F14" s="126">
        <f>'Results ReCiPe (H) - CC'!J470</f>
        <v>7.8840150412988301E-3</v>
      </c>
      <c r="G14" s="126">
        <f>'Results ReCiPe (H) - CC'!J471</f>
        <v>6.0651000116178633</v>
      </c>
      <c r="H14" s="277">
        <f>'Results ReCiPe (H) - CC'!J472</f>
        <v>54.968424837753538</v>
      </c>
      <c r="I14" s="126">
        <f>'Results ReCiPe (H) - CC'!J473</f>
        <v>38.74344373594483</v>
      </c>
      <c r="J14" s="126">
        <f>'Results ReCiPe (H) - CC'!J474</f>
        <v>0.75686347530398235</v>
      </c>
      <c r="K14" s="126">
        <f>'Results ReCiPe (H) - CC'!J475</f>
        <v>-1000</v>
      </c>
      <c r="L14" s="127">
        <f>'Results ReCiPe (H) - CC'!J476</f>
        <v>-879.31338914441756</v>
      </c>
      <c r="M14" s="109">
        <v>0.5</v>
      </c>
      <c r="N14" s="125"/>
    </row>
    <row r="15" spans="1:14" x14ac:dyDescent="0.35">
      <c r="C15" s="1"/>
      <c r="D15" s="1"/>
      <c r="E15" s="1"/>
      <c r="I15" s="1"/>
      <c r="J15" s="1"/>
      <c r="K15" s="1"/>
      <c r="N15" s="125"/>
    </row>
    <row r="16" spans="1:14" x14ac:dyDescent="0.35">
      <c r="D16" s="1"/>
      <c r="E16" s="1"/>
      <c r="F16" s="1"/>
      <c r="I16" s="1"/>
      <c r="J16" s="1"/>
      <c r="K16" s="1"/>
      <c r="N16" s="125"/>
    </row>
    <row r="17" spans="1:14" s="33" customFormat="1" x14ac:dyDescent="0.35">
      <c r="A17" s="125"/>
      <c r="B17" s="125" t="s">
        <v>497</v>
      </c>
      <c r="C17" s="125"/>
      <c r="D17" s="125"/>
      <c r="E17" s="125"/>
      <c r="F17" s="125"/>
      <c r="G17" s="125"/>
      <c r="H17" s="125"/>
      <c r="I17" s="125"/>
      <c r="J17" s="125"/>
      <c r="K17" s="125"/>
      <c r="L17" s="125"/>
      <c r="M17" s="125"/>
      <c r="N17" s="125"/>
    </row>
    <row r="18" spans="1:14" x14ac:dyDescent="0.35">
      <c r="N18" s="125"/>
    </row>
    <row r="19" spans="1:14" ht="16.5" x14ac:dyDescent="0.45">
      <c r="A19" s="109"/>
      <c r="B19" s="109"/>
      <c r="C19" s="109" t="s">
        <v>117</v>
      </c>
      <c r="D19" s="109" t="s">
        <v>118</v>
      </c>
      <c r="E19" s="109" t="s">
        <v>119</v>
      </c>
      <c r="F19" s="109" t="s">
        <v>120</v>
      </c>
      <c r="G19" s="109" t="s">
        <v>121</v>
      </c>
      <c r="H19" s="109" t="s">
        <v>797</v>
      </c>
      <c r="I19" s="109" t="s">
        <v>122</v>
      </c>
      <c r="J19" s="109" t="s">
        <v>123</v>
      </c>
      <c r="K19" s="109" t="s">
        <v>856</v>
      </c>
      <c r="L19" s="109" t="s">
        <v>46</v>
      </c>
      <c r="M19" s="109"/>
      <c r="N19" s="125"/>
    </row>
    <row r="20" spans="1:14" x14ac:dyDescent="0.35">
      <c r="A20" s="327" t="s">
        <v>853</v>
      </c>
      <c r="B20" s="109" t="s">
        <v>855</v>
      </c>
      <c r="C20" s="127">
        <f>'Results ReCiPe (H) - ESD'!B467*10^9</f>
        <v>77.870133042031398</v>
      </c>
      <c r="D20" s="127">
        <f>'Results ReCiPe (H) - ESD'!B468*10^9</f>
        <v>4.5448293492357026</v>
      </c>
      <c r="E20" s="127">
        <f>'Results ReCiPe (H) - ESD'!B469*10^9</f>
        <v>1.133100649886742</v>
      </c>
      <c r="F20" s="127">
        <f>'Results ReCiPe (H) - ESD'!B470*10^9</f>
        <v>3.7046222513391854E-2</v>
      </c>
      <c r="G20" s="127">
        <f>'Results ReCiPe (H) - ESD'!B471*10^9</f>
        <v>16.163480748994424</v>
      </c>
      <c r="H20" s="127">
        <f>'Results ReCiPe (H) - ESD'!B472*10^9</f>
        <v>0</v>
      </c>
      <c r="I20" s="127">
        <f>'Results ReCiPe (H) - ESD'!B473*10^9</f>
        <v>2445.5257434687041</v>
      </c>
      <c r="J20" s="127">
        <f>'Results ReCiPe (H) - ESD'!B474*10^9</f>
        <v>200.12222822249669</v>
      </c>
      <c r="K20" s="127">
        <f>'Results ReCiPe (H) - ESD'!B475*10^9</f>
        <v>-2800.0764999999988</v>
      </c>
      <c r="L20" s="127">
        <f>'Results ReCiPe (H) - ESD'!B476*10^9</f>
        <v>-54.67993829613772</v>
      </c>
      <c r="M20" s="109">
        <v>8.5</v>
      </c>
      <c r="N20" s="125"/>
    </row>
    <row r="21" spans="1:14" x14ac:dyDescent="0.35">
      <c r="A21" s="327"/>
      <c r="B21" s="109" t="s">
        <v>914</v>
      </c>
      <c r="C21" s="127">
        <f>'Results ReCiPe (H) - ESD'!C467*10^9</f>
        <v>73.386107686037221</v>
      </c>
      <c r="D21" s="127">
        <f>'Results ReCiPe (H) - ESD'!C468*10^9</f>
        <v>4.306319075831663</v>
      </c>
      <c r="E21" s="127">
        <f>'Results ReCiPe (H) - ESD'!C469*10^9</f>
        <v>1.03257477561019</v>
      </c>
      <c r="F21" s="127">
        <f>'Results ReCiPe (H) - ESD'!C470*10^9</f>
        <v>3.567106289384251E-2</v>
      </c>
      <c r="G21" s="127">
        <f>'Results ReCiPe (H) - ESD'!C471*10^9</f>
        <v>13.708771072106343</v>
      </c>
      <c r="H21" s="127">
        <f>'Results ReCiPe (H) - ESD'!C472*10^9</f>
        <v>0</v>
      </c>
      <c r="I21" s="127">
        <f>'Results ReCiPe (H) - ESD'!C473*10^9</f>
        <v>604.22203435546999</v>
      </c>
      <c r="J21" s="127">
        <f>'Results ReCiPe (H) - ESD'!C474*10^9</f>
        <v>61.093319563827713</v>
      </c>
      <c r="K21" s="127">
        <f>'Results ReCiPe (H) - ESD'!C475*10^9</f>
        <v>-2800.0764999999988</v>
      </c>
      <c r="L21" s="127">
        <f>'Results ReCiPe (H) - ESD'!C476*10^9</f>
        <v>-2042.291702408223</v>
      </c>
      <c r="M21" s="109">
        <v>7.5</v>
      </c>
      <c r="N21" s="125"/>
    </row>
    <row r="22" spans="1:14" x14ac:dyDescent="0.35">
      <c r="A22" s="327"/>
      <c r="B22" s="109" t="s">
        <v>915</v>
      </c>
      <c r="C22" s="127">
        <f>'Results ReCiPe (H) - ESD'!D467*10^9</f>
        <v>60.907644566846109</v>
      </c>
      <c r="D22" s="127">
        <f>'Results ReCiPe (H) - ESD'!D468*10^9</f>
        <v>3.9146385309138401</v>
      </c>
      <c r="E22" s="127">
        <f>'Results ReCiPe (H) - ESD'!D469*10^9</f>
        <v>0.99919091331168175</v>
      </c>
      <c r="F22" s="127">
        <f>'Results ReCiPe (H) - ESD'!D470*10^9</f>
        <v>3.5716564968595085E-2</v>
      </c>
      <c r="G22" s="127">
        <f>'Results ReCiPe (H) - ESD'!D471*10^9</f>
        <v>12.138868282946129</v>
      </c>
      <c r="H22" s="127">
        <f>'Results ReCiPe (H) - ESD'!D472*10^9</f>
        <v>0</v>
      </c>
      <c r="I22" s="127">
        <f>'Results ReCiPe (H) - ESD'!D473*10^9</f>
        <v>234.59087286849137</v>
      </c>
      <c r="J22" s="127">
        <f>'Results ReCiPe (H) - ESD'!D474*10^9</f>
        <v>32.647215503458973</v>
      </c>
      <c r="K22" s="127">
        <f>'Results ReCiPe (H) - ESD'!D475*10^9</f>
        <v>-2800.0764999999988</v>
      </c>
      <c r="L22" s="127">
        <f>'Results ReCiPe (H) - ESD'!D476*10^9</f>
        <v>-2454.8423527690634</v>
      </c>
      <c r="M22" s="109">
        <v>6.5</v>
      </c>
      <c r="N22" s="125"/>
    </row>
    <row r="23" spans="1:14" x14ac:dyDescent="0.35">
      <c r="A23" s="328" t="s">
        <v>852</v>
      </c>
      <c r="B23" s="109" t="s">
        <v>855</v>
      </c>
      <c r="C23" s="127">
        <f>'Results ReCiPe (H) - ESD'!E467*10^9</f>
        <v>77.870133042031398</v>
      </c>
      <c r="D23" s="127">
        <f>'Results ReCiPe (H) - ESD'!E468*10^9</f>
        <v>4.5448293492357026</v>
      </c>
      <c r="E23" s="127">
        <f>'Results ReCiPe (H) - ESD'!E469*10^9</f>
        <v>1.133100649886742</v>
      </c>
      <c r="F23" s="127">
        <f>'Results ReCiPe (H) - ESD'!E470*10^9</f>
        <v>3.7046222513391854E-2</v>
      </c>
      <c r="G23" s="127">
        <f>'Results ReCiPe (H) - ESD'!E471*10^9</f>
        <v>16.163480748994424</v>
      </c>
      <c r="H23" s="127">
        <f>'Results ReCiPe (H) - ESD'!E472*10^9</f>
        <v>0</v>
      </c>
      <c r="I23" s="127">
        <f>'Results ReCiPe (H) - ESD'!E473*10^9</f>
        <v>1911.2296251610999</v>
      </c>
      <c r="J23" s="127">
        <f>'Results ReCiPe (H) - ESD'!E474*10^9</f>
        <v>0.46028112491174245</v>
      </c>
      <c r="K23" s="127">
        <f>'Results ReCiPe (H) - ESD'!E475*10^9</f>
        <v>-2800.0764999999988</v>
      </c>
      <c r="L23" s="127">
        <f>'Results ReCiPe (H) - ESD'!E476*10^9</f>
        <v>-788.63800370132617</v>
      </c>
      <c r="M23" s="109">
        <v>5.5</v>
      </c>
      <c r="N23" s="125"/>
    </row>
    <row r="24" spans="1:14" s="272" customFormat="1" x14ac:dyDescent="0.35">
      <c r="A24" s="328"/>
      <c r="B24" s="109" t="s">
        <v>914</v>
      </c>
      <c r="C24" s="127">
        <f>'Results ReCiPe (H) - ESD'!F467*10^9</f>
        <v>73.386107686037221</v>
      </c>
      <c r="D24" s="127">
        <f>'Results ReCiPe (H) - ESD'!F468*10^9</f>
        <v>4.306319075831663</v>
      </c>
      <c r="E24" s="127">
        <f>'Results ReCiPe (H) - ESD'!F469*10^9</f>
        <v>1.03257477561019</v>
      </c>
      <c r="F24" s="127">
        <f>'Results ReCiPe (H) - ESD'!F470*10^9</f>
        <v>3.567106289384251E-2</v>
      </c>
      <c r="G24" s="127">
        <f>'Results ReCiPe (H) - ESD'!F471*10^9</f>
        <v>13.708771072106343</v>
      </c>
      <c r="H24" s="127">
        <f>'Results ReCiPe (H) - ESD'!F472*10^9</f>
        <v>0</v>
      </c>
      <c r="I24" s="127">
        <f>'Results ReCiPe (H) - ESD'!F473*10^9</f>
        <v>498.91284917080645</v>
      </c>
      <c r="J24" s="127">
        <f>'Results ReCiPe (H) - ESD'!F474*10^9</f>
        <v>0.14051463499680369</v>
      </c>
      <c r="K24" s="127">
        <f>'Results ReCiPe (H) - ESD'!F475*10^9</f>
        <v>-2800.0764999999988</v>
      </c>
      <c r="L24" s="127">
        <f>'Results ReCiPe (H) - ESD'!F476*10^9</f>
        <v>-2208.5536925217175</v>
      </c>
      <c r="M24" s="109">
        <v>4.5</v>
      </c>
      <c r="N24" s="125"/>
    </row>
    <row r="25" spans="1:14" s="272" customFormat="1" x14ac:dyDescent="0.35">
      <c r="A25" s="328"/>
      <c r="B25" s="109" t="s">
        <v>915</v>
      </c>
      <c r="C25" s="127">
        <f>'Results ReCiPe (H) - ESD'!G467*10^9</f>
        <v>60.907644566846109</v>
      </c>
      <c r="D25" s="127">
        <f>'Results ReCiPe (H) - ESD'!G468*10^9</f>
        <v>3.9146385309138401</v>
      </c>
      <c r="E25" s="127">
        <f>'Results ReCiPe (H) - ESD'!G469*10^9</f>
        <v>0.99919091331168175</v>
      </c>
      <c r="F25" s="127">
        <f>'Results ReCiPe (H) - ESD'!G470*10^9</f>
        <v>3.5716564968595085E-2</v>
      </c>
      <c r="G25" s="127">
        <f>'Results ReCiPe (H) - ESD'!G471*10^9</f>
        <v>12.138868282946129</v>
      </c>
      <c r="H25" s="127">
        <f>'Results ReCiPe (H) - ESD'!G472*10^9</f>
        <v>0</v>
      </c>
      <c r="I25" s="127">
        <f>'Results ReCiPe (H) - ESD'!G473*10^9</f>
        <v>213.87876523837102</v>
      </c>
      <c r="J25" s="127">
        <f>'Results ReCiPe (H) - ESD'!G474*10^9</f>
        <v>7.508859565795567E-2</v>
      </c>
      <c r="K25" s="127">
        <f>'Results ReCiPe (H) - ESD'!G475*10^9</f>
        <v>-2800.0764999999988</v>
      </c>
      <c r="L25" s="127">
        <f>'Results ReCiPe (H) - ESD'!G476*10^9</f>
        <v>-2508.1265873069842</v>
      </c>
      <c r="M25" s="109">
        <v>3.5</v>
      </c>
      <c r="N25" s="125"/>
    </row>
    <row r="26" spans="1:14" s="272" customFormat="1" x14ac:dyDescent="0.35">
      <c r="A26" s="328" t="s">
        <v>854</v>
      </c>
      <c r="B26" s="109" t="s">
        <v>855</v>
      </c>
      <c r="C26" s="127">
        <f>'Results ReCiPe (H) - ESD'!H467*10^9</f>
        <v>143.97366517620688</v>
      </c>
      <c r="D26" s="127">
        <f>'Results ReCiPe (H) - ESD'!H468*10^9</f>
        <v>4.5448293492357026</v>
      </c>
      <c r="E26" s="127">
        <f>'Results ReCiPe (H) - ESD'!H469*10^9</f>
        <v>2.2662012997734839</v>
      </c>
      <c r="F26" s="127">
        <f>'Results ReCiPe (H) - ESD'!H470*10^9</f>
        <v>3.7046222513391854E-2</v>
      </c>
      <c r="G26" s="127">
        <f>'Results ReCiPe (H) - ESD'!H471*10^9</f>
        <v>32.326961497988847</v>
      </c>
      <c r="H26" s="127">
        <f>'Results ReCiPe (H) - ESD'!H472*10^9</f>
        <v>849.87672123381003</v>
      </c>
      <c r="I26" s="127">
        <f>'Results ReCiPe (H) - ESD'!H473*10^9</f>
        <v>628.76254522439751</v>
      </c>
      <c r="J26" s="127">
        <f>'Results ReCiPe (H) - ESD'!H474*10^9</f>
        <v>200.12222822249669</v>
      </c>
      <c r="K26" s="127">
        <f>'Results ReCiPe (H) - ESD'!H475*10^9</f>
        <v>-2800.0764999999988</v>
      </c>
      <c r="L26" s="127">
        <f>'Results ReCiPe (H) - ESD'!H476*10^9</f>
        <v>-938.16630177357661</v>
      </c>
      <c r="M26" s="109">
        <v>2.5</v>
      </c>
      <c r="N26" s="125"/>
    </row>
    <row r="27" spans="1:14" s="272" customFormat="1" x14ac:dyDescent="0.35">
      <c r="A27" s="328"/>
      <c r="B27" s="109" t="s">
        <v>914</v>
      </c>
      <c r="C27" s="127">
        <f>'Results ReCiPe (H) - ESD'!I467*10^9</f>
        <v>135.09196445407892</v>
      </c>
      <c r="D27" s="127">
        <f>'Results ReCiPe (H) - ESD'!I468*10^9</f>
        <v>4.306319075831663</v>
      </c>
      <c r="E27" s="127">
        <f>'Results ReCiPe (H) - ESD'!I469*10^9</f>
        <v>2.0651495512203799</v>
      </c>
      <c r="F27" s="127">
        <f>'Results ReCiPe (H) - ESD'!I470*10^9</f>
        <v>3.567106289384251E-2</v>
      </c>
      <c r="G27" s="127">
        <f>'Results ReCiPe (H) - ESD'!I471*10^9</f>
        <v>27.417542144212685</v>
      </c>
      <c r="H27" s="127">
        <f>'Results ReCiPe (H) - ESD'!I472*10^9</f>
        <v>817.43523167004275</v>
      </c>
      <c r="I27" s="127">
        <f>'Results ReCiPe (H) - ESD'!I473*10^9</f>
        <v>555.93609370857826</v>
      </c>
      <c r="J27" s="127">
        <f>'Results ReCiPe (H) - ESD'!I474*10^9</f>
        <v>61.093319563827713</v>
      </c>
      <c r="K27" s="127">
        <f>'Results ReCiPe (H) - ESD'!I475*10^9</f>
        <v>-2800.0764999999988</v>
      </c>
      <c r="L27" s="127">
        <f>'Results ReCiPe (H) - ESD'!I476*10^9</f>
        <v>-1196.6952087693137</v>
      </c>
      <c r="M27" s="109">
        <v>1.5</v>
      </c>
      <c r="N27" s="125"/>
    </row>
    <row r="28" spans="1:14" x14ac:dyDescent="0.35">
      <c r="A28" s="328"/>
      <c r="B28" s="109" t="s">
        <v>915</v>
      </c>
      <c r="C28" s="127">
        <f>'Results ReCiPe (H) - ESD'!J467*10^9</f>
        <v>110.3843051814174</v>
      </c>
      <c r="D28" s="127">
        <f>'Results ReCiPe (H) - ESD'!J468*10^9</f>
        <v>3.9146385309138401</v>
      </c>
      <c r="E28" s="127">
        <f>'Results ReCiPe (H) - ESD'!J469*10^9</f>
        <v>1.9983818266233635</v>
      </c>
      <c r="F28" s="127">
        <f>'Results ReCiPe (H) - ESD'!J470*10^9</f>
        <v>3.5716564968595085E-2</v>
      </c>
      <c r="G28" s="127">
        <f>'Results ReCiPe (H) - ESD'!J471*10^9</f>
        <v>24.277736565892258</v>
      </c>
      <c r="H28" s="127">
        <f>'Results ReCiPe (H) - ESD'!J472*10^9</f>
        <v>707.83676707877942</v>
      </c>
      <c r="I28" s="127">
        <f>'Results ReCiPe (H) - ESD'!J473*10^9</f>
        <v>521.55097946725118</v>
      </c>
      <c r="J28" s="127">
        <f>'Results ReCiPe (H) - ESD'!J474*10^9</f>
        <v>32.647215503458973</v>
      </c>
      <c r="K28" s="127">
        <f>'Results ReCiPe (H) - ESD'!J475*10^9</f>
        <v>-2800.0764999999988</v>
      </c>
      <c r="L28" s="127">
        <f>'Results ReCiPe (H) - ESD'!J476*10^9</f>
        <v>-1397.4307592806945</v>
      </c>
      <c r="M28" s="109">
        <v>0.5</v>
      </c>
      <c r="N28" s="125"/>
    </row>
    <row r="29" spans="1:14" x14ac:dyDescent="0.35">
      <c r="N29" s="125"/>
    </row>
    <row r="30" spans="1:14" x14ac:dyDescent="0.35">
      <c r="N30" s="125"/>
    </row>
    <row r="31" spans="1:14" s="33" customFormat="1" x14ac:dyDescent="0.35">
      <c r="A31" s="125"/>
      <c r="B31" s="125" t="s">
        <v>498</v>
      </c>
      <c r="C31" s="125"/>
      <c r="D31" s="125"/>
      <c r="E31" s="125"/>
      <c r="F31" s="125"/>
      <c r="G31" s="125"/>
      <c r="H31" s="125"/>
      <c r="I31" s="125"/>
      <c r="J31" s="125"/>
      <c r="K31" s="125"/>
      <c r="L31" s="125"/>
      <c r="M31" s="125"/>
      <c r="N31" s="125"/>
    </row>
    <row r="32" spans="1:14" x14ac:dyDescent="0.35">
      <c r="N32" s="125"/>
    </row>
    <row r="33" spans="1:14" ht="16.5" x14ac:dyDescent="0.45">
      <c r="A33" s="109"/>
      <c r="B33" s="109"/>
      <c r="C33" s="109" t="s">
        <v>117</v>
      </c>
      <c r="D33" s="109" t="s">
        <v>118</v>
      </c>
      <c r="E33" s="109" t="s">
        <v>119</v>
      </c>
      <c r="F33" s="109" t="s">
        <v>120</v>
      </c>
      <c r="G33" s="109" t="s">
        <v>121</v>
      </c>
      <c r="H33" s="109" t="s">
        <v>797</v>
      </c>
      <c r="I33" s="109" t="s">
        <v>122</v>
      </c>
      <c r="J33" s="109" t="s">
        <v>123</v>
      </c>
      <c r="K33" s="109" t="s">
        <v>856</v>
      </c>
      <c r="L33" s="109" t="s">
        <v>46</v>
      </c>
      <c r="M33" s="109"/>
      <c r="N33" s="125"/>
    </row>
    <row r="34" spans="1:14" x14ac:dyDescent="0.35">
      <c r="A34" s="327" t="s">
        <v>853</v>
      </c>
      <c r="B34" s="109" t="s">
        <v>855</v>
      </c>
      <c r="C34" s="127">
        <f>'Results ReCiPe (H) - HHD'!B467*10^6</f>
        <v>66.853280384452631</v>
      </c>
      <c r="D34" s="127">
        <f>'Results ReCiPe (H) - HHD'!B468*10^6</f>
        <v>4.0040114297033504</v>
      </c>
      <c r="E34" s="127">
        <f>'Results ReCiPe (H) - HHD'!B469*10^6</f>
        <v>0.53842860968435535</v>
      </c>
      <c r="F34" s="127">
        <f>'Results ReCiPe (H) - HHD'!B470*10^6</f>
        <v>1.4907496099019132E-2</v>
      </c>
      <c r="G34" s="127">
        <f>'Results ReCiPe (H) - HHD'!B471*10^6</f>
        <v>8.399216926836214</v>
      </c>
      <c r="H34" s="127">
        <f>'Results ReCiPe (H) - HHD'!B472*10^6</f>
        <v>0</v>
      </c>
      <c r="I34" s="127">
        <f>'Results ReCiPe (H) - HHD'!B473*10^6</f>
        <v>1086.4615132376189</v>
      </c>
      <c r="J34" s="127">
        <f>'Results ReCiPe (H) - HHD'!B474*10^6</f>
        <v>95.45750922402604</v>
      </c>
      <c r="K34" s="127">
        <f>'Results ReCiPe (H) - HHD'!B475*10^6</f>
        <v>-927.99999999999989</v>
      </c>
      <c r="L34" s="127">
        <f>'Results ReCiPe (H) - HHD'!B476*10^6</f>
        <v>333.7288673084206</v>
      </c>
      <c r="M34" s="278">
        <v>8.5</v>
      </c>
      <c r="N34" s="125"/>
    </row>
    <row r="35" spans="1:14" x14ac:dyDescent="0.35">
      <c r="A35" s="327"/>
      <c r="B35" s="109" t="s">
        <v>914</v>
      </c>
      <c r="C35" s="127">
        <f>'Results ReCiPe (H) - HHD'!C467*10^6</f>
        <v>64.027258518085389</v>
      </c>
      <c r="D35" s="127">
        <f>'Results ReCiPe (H) - HHD'!C468*10^6</f>
        <v>3.8025533906393125</v>
      </c>
      <c r="E35" s="127">
        <f>'Results ReCiPe (H) - HHD'!C469*10^6</f>
        <v>0.48155270986090665</v>
      </c>
      <c r="F35" s="127">
        <f>'Results ReCiPe (H) - HHD'!C470*10^6</f>
        <v>1.4090857538857629E-2</v>
      </c>
      <c r="G35" s="127">
        <f>'Results ReCiPe (H) - HHD'!C471*10^6</f>
        <v>7.2964263088321886</v>
      </c>
      <c r="H35" s="127">
        <f>'Results ReCiPe (H) - HHD'!C472*10^6</f>
        <v>0</v>
      </c>
      <c r="I35" s="127">
        <f>'Results ReCiPe (H) - HHD'!C473*10^6</f>
        <v>310.60149197345743</v>
      </c>
      <c r="J35" s="127">
        <f>'Results ReCiPe (H) - HHD'!C474*10^6</f>
        <v>36.833645004563827</v>
      </c>
      <c r="K35" s="127">
        <f>'Results ReCiPe (H) - HHD'!C475*10^6</f>
        <v>-927.99999999999989</v>
      </c>
      <c r="L35" s="127">
        <f>'Results ReCiPe (H) - HHD'!C476*10^6</f>
        <v>-504.94298123702208</v>
      </c>
      <c r="M35" s="109">
        <v>7.5</v>
      </c>
      <c r="N35" s="125"/>
    </row>
    <row r="36" spans="1:14" x14ac:dyDescent="0.35">
      <c r="A36" s="327"/>
      <c r="B36" s="109" t="s">
        <v>915</v>
      </c>
      <c r="C36" s="127">
        <f>'Results ReCiPe (H) - HHD'!D467*10^6</f>
        <v>57.945712680558493</v>
      </c>
      <c r="D36" s="127">
        <f>'Results ReCiPe (H) - HHD'!D468*10^6</f>
        <v>3.5909746967405103</v>
      </c>
      <c r="E36" s="127">
        <f>'Results ReCiPe (H) - HHD'!D469*10^6</f>
        <v>0.45457967317424136</v>
      </c>
      <c r="F36" s="127">
        <f>'Results ReCiPe (H) - HHD'!D470*10^6</f>
        <v>1.3616739030439631E-2</v>
      </c>
      <c r="G36" s="127">
        <f>'Results ReCiPe (H) - HHD'!D471*10^6</f>
        <v>6.5857117699468777</v>
      </c>
      <c r="H36" s="127">
        <f>'Results ReCiPe (H) - HHD'!D472*10^6</f>
        <v>0</v>
      </c>
      <c r="I36" s="127">
        <f>'Results ReCiPe (H) - HHD'!D473*10^6</f>
        <v>169.93610666151969</v>
      </c>
      <c r="J36" s="127">
        <f>'Results ReCiPe (H) - HHD'!D474*10^6</f>
        <v>25.96444466750032</v>
      </c>
      <c r="K36" s="127">
        <f>'Results ReCiPe (H) - HHD'!D475*10^6</f>
        <v>-927.99999999999989</v>
      </c>
      <c r="L36" s="127">
        <f>'Results ReCiPe (H) - HHD'!D476*10^6</f>
        <v>-663.50885311152933</v>
      </c>
      <c r="M36" s="109">
        <v>6.5</v>
      </c>
      <c r="N36" s="125"/>
    </row>
    <row r="37" spans="1:14" x14ac:dyDescent="0.35">
      <c r="A37" s="328" t="s">
        <v>852</v>
      </c>
      <c r="B37" s="109" t="s">
        <v>855</v>
      </c>
      <c r="C37" s="127">
        <f>'Results ReCiPe (H) - HHD'!E467*10^6</f>
        <v>66.853280384452631</v>
      </c>
      <c r="D37" s="127">
        <f>'Results ReCiPe (H) - HHD'!E468*10^6</f>
        <v>4.0040114297033504</v>
      </c>
      <c r="E37" s="127">
        <f>'Results ReCiPe (H) - HHD'!E469*10^6</f>
        <v>0.53842860968435535</v>
      </c>
      <c r="F37" s="127">
        <f>'Results ReCiPe (H) - HHD'!E470*10^6</f>
        <v>1.4907496099019132E-2</v>
      </c>
      <c r="G37" s="127">
        <f>'Results ReCiPe (H) - HHD'!E471*10^6</f>
        <v>8.399216926836214</v>
      </c>
      <c r="H37" s="127">
        <f>'Results ReCiPe (H) - HHD'!E472*10^6</f>
        <v>0</v>
      </c>
      <c r="I37" s="127">
        <f>'Results ReCiPe (H) - HHD'!E473*10^6</f>
        <v>866.89461788745371</v>
      </c>
      <c r="J37" s="127">
        <f>'Results ReCiPe (H) - HHD'!E474*10^6</f>
        <v>95.45750922402604</v>
      </c>
      <c r="K37" s="127">
        <f>'Results ReCiPe (H) - HHD'!E475*10^6</f>
        <v>-927.99999999999989</v>
      </c>
      <c r="L37" s="127">
        <f>'Results ReCiPe (H) - HHD'!E476*10^6</f>
        <v>114.16197195825549</v>
      </c>
      <c r="M37" s="109">
        <v>5.5</v>
      </c>
      <c r="N37" s="125"/>
    </row>
    <row r="38" spans="1:14" s="272" customFormat="1" x14ac:dyDescent="0.35">
      <c r="A38" s="328"/>
      <c r="B38" s="109" t="s">
        <v>914</v>
      </c>
      <c r="C38" s="127">
        <f>'Results ReCiPe (H) - HHD'!F467*10^6</f>
        <v>64.027258518085389</v>
      </c>
      <c r="D38" s="127">
        <f>'Results ReCiPe (H) - HHD'!F468*10^6</f>
        <v>3.8025533906393125</v>
      </c>
      <c r="E38" s="127">
        <f>'Results ReCiPe (H) - HHD'!F469*10^6</f>
        <v>0.48155270986090665</v>
      </c>
      <c r="F38" s="127">
        <f>'Results ReCiPe (H) - HHD'!F470*10^6</f>
        <v>1.4090857538857629E-2</v>
      </c>
      <c r="G38" s="127">
        <f>'Results ReCiPe (H) - HHD'!F471*10^6</f>
        <v>7.2964263088321886</v>
      </c>
      <c r="H38" s="127">
        <f>'Results ReCiPe (H) - HHD'!F472*10^6</f>
        <v>0</v>
      </c>
      <c r="I38" s="127">
        <f>'Results ReCiPe (H) - HHD'!F473*10^6</f>
        <v>271.31124935677536</v>
      </c>
      <c r="J38" s="127">
        <f>'Results ReCiPe (H) - HHD'!F474*10^6</f>
        <v>36.833645004563827</v>
      </c>
      <c r="K38" s="127">
        <f>'Results ReCiPe (H) - HHD'!F475*10^6</f>
        <v>-927.99999999999989</v>
      </c>
      <c r="L38" s="127">
        <f>'Results ReCiPe (H) - HHD'!F476*10^6</f>
        <v>-544.2332238537042</v>
      </c>
      <c r="M38" s="109">
        <v>4.5</v>
      </c>
      <c r="N38" s="125"/>
    </row>
    <row r="39" spans="1:14" s="272" customFormat="1" x14ac:dyDescent="0.35">
      <c r="A39" s="328"/>
      <c r="B39" s="109" t="s">
        <v>915</v>
      </c>
      <c r="C39" s="127">
        <f>'Results ReCiPe (H) - HHD'!G467*10^6</f>
        <v>57.945712680558493</v>
      </c>
      <c r="D39" s="127">
        <f>'Results ReCiPe (H) - HHD'!G468*10^6</f>
        <v>3.5909746967405103</v>
      </c>
      <c r="E39" s="127">
        <f>'Results ReCiPe (H) - HHD'!G469*10^6</f>
        <v>0.45457967317424136</v>
      </c>
      <c r="F39" s="127">
        <f>'Results ReCiPe (H) - HHD'!G470*10^6</f>
        <v>1.3616739030439631E-2</v>
      </c>
      <c r="G39" s="127">
        <f>'Results ReCiPe (H) - HHD'!G471*10^6</f>
        <v>6.5857117699468777</v>
      </c>
      <c r="H39" s="127">
        <f>'Results ReCiPe (H) - HHD'!G472*10^6</f>
        <v>0</v>
      </c>
      <c r="I39" s="127">
        <f>'Results ReCiPe (H) - HHD'!G473*10^6</f>
        <v>162.1030264653883</v>
      </c>
      <c r="J39" s="127">
        <f>'Results ReCiPe (H) - HHD'!G474*10^6</f>
        <v>25.96444466750032</v>
      </c>
      <c r="K39" s="127">
        <f>'Results ReCiPe (H) - HHD'!G475*10^6</f>
        <v>-927.99999999999989</v>
      </c>
      <c r="L39" s="127">
        <f>'Results ReCiPe (H) - HHD'!G476*10^6</f>
        <v>-671.34193330766072</v>
      </c>
      <c r="M39" s="109">
        <v>3.5</v>
      </c>
      <c r="N39" s="125"/>
    </row>
    <row r="40" spans="1:14" s="272" customFormat="1" x14ac:dyDescent="0.35">
      <c r="A40" s="328" t="s">
        <v>854</v>
      </c>
      <c r="B40" s="109" t="s">
        <v>855</v>
      </c>
      <c r="C40" s="127">
        <f>'Results ReCiPe (H) - HHD'!H467*10^6</f>
        <v>127.83620330818223</v>
      </c>
      <c r="D40" s="127">
        <f>'Results ReCiPe (H) - HHD'!H468*10^6</f>
        <v>4.0040114297033504</v>
      </c>
      <c r="E40" s="127">
        <f>'Results ReCiPe (H) - HHD'!H469*10^6</f>
        <v>1.0768572193687107</v>
      </c>
      <c r="F40" s="127">
        <f>'Results ReCiPe (H) - HHD'!H470*10^6</f>
        <v>1.4907496099019132E-2</v>
      </c>
      <c r="G40" s="127">
        <f>'Results ReCiPe (H) - HHD'!H471*10^6</f>
        <v>16.798433853672428</v>
      </c>
      <c r="H40" s="127">
        <f>'Results ReCiPe (H) - HHD'!H472*10^6</f>
        <v>752.13768695686201</v>
      </c>
      <c r="I40" s="127">
        <f>'Results ReCiPe (H) - HHD'!H473*10^6</f>
        <v>504.29260636688298</v>
      </c>
      <c r="J40" s="127">
        <f>'Results ReCiPe (H) - HHD'!H474*10^6</f>
        <v>95.45750922402604</v>
      </c>
      <c r="K40" s="127">
        <f>'Results ReCiPe (H) - HHD'!H475*10^6</f>
        <v>-927.99999999999989</v>
      </c>
      <c r="L40" s="127">
        <f>'Results ReCiPe (H) - HHD'!H476*10^6</f>
        <v>573.61821585479697</v>
      </c>
      <c r="M40" s="109">
        <v>2.5</v>
      </c>
      <c r="N40" s="125"/>
    </row>
    <row r="41" spans="1:14" s="272" customFormat="1" x14ac:dyDescent="0.35">
      <c r="A41" s="328"/>
      <c r="B41" s="109" t="s">
        <v>914</v>
      </c>
      <c r="C41" s="127">
        <f>'Results ReCiPe (H) - HHD'!I467*10^6</f>
        <v>122.24287529591125</v>
      </c>
      <c r="D41" s="127">
        <f>'Results ReCiPe (H) - HHD'!I468*10^6</f>
        <v>3.8025533906393125</v>
      </c>
      <c r="E41" s="127">
        <f>'Results ReCiPe (H) - HHD'!I469*10^6</f>
        <v>0.96310541972181329</v>
      </c>
      <c r="F41" s="127">
        <f>'Results ReCiPe (H) - HHD'!I470*10^6</f>
        <v>1.4090857538857629E-2</v>
      </c>
      <c r="G41" s="127">
        <f>'Results ReCiPe (H) - HHD'!I471*10^6</f>
        <v>14.592852617664377</v>
      </c>
      <c r="H41" s="127">
        <f>'Results ReCiPe (H) - HHD'!I472*10^6</f>
        <v>733.97540621486621</v>
      </c>
      <c r="I41" s="127">
        <f>'Results ReCiPe (H) - HHD'!I473*10^6</f>
        <v>467.49199485788324</v>
      </c>
      <c r="J41" s="127">
        <f>'Results ReCiPe (H) - HHD'!I474*10^6</f>
        <v>36.833645004563827</v>
      </c>
      <c r="K41" s="127">
        <f>'Results ReCiPe (H) - HHD'!I475*10^6</f>
        <v>-927.99999999999989</v>
      </c>
      <c r="L41" s="127">
        <f>'Results ReCiPe (H) - HHD'!I476*10^6</f>
        <v>451.91652365878889</v>
      </c>
      <c r="M41" s="109">
        <v>1.5</v>
      </c>
      <c r="N41" s="125"/>
    </row>
    <row r="42" spans="1:14" s="272" customFormat="1" x14ac:dyDescent="0.35">
      <c r="A42" s="328"/>
      <c r="B42" s="109" t="s">
        <v>915</v>
      </c>
      <c r="C42" s="127">
        <f>'Results ReCiPe (H) - HHD'!J467*10^6</f>
        <v>110.19930815134711</v>
      </c>
      <c r="D42" s="127">
        <f>'Results ReCiPe (H) - HHD'!J468*10^6</f>
        <v>3.5909746967405103</v>
      </c>
      <c r="E42" s="127">
        <f>'Results ReCiPe (H) - HHD'!J469*10^6</f>
        <v>0.90915934634848272</v>
      </c>
      <c r="F42" s="127">
        <f>'Results ReCiPe (H) - HHD'!J470*10^6</f>
        <v>1.3616739030439631E-2</v>
      </c>
      <c r="G42" s="127">
        <f>'Results ReCiPe (H) - HHD'!J471*10^6</f>
        <v>13.171423539893755</v>
      </c>
      <c r="H42" s="127">
        <f>'Results ReCiPe (H) - HHD'!J472*10^6</f>
        <v>681.87832086746846</v>
      </c>
      <c r="I42" s="127">
        <f>'Results ReCiPe (H) - HHD'!J473*10^6</f>
        <v>448.6261428523726</v>
      </c>
      <c r="J42" s="127">
        <f>'Results ReCiPe (H) - HHD'!J474*10^6</f>
        <v>25.96444466750032</v>
      </c>
      <c r="K42" s="127">
        <f>'Results ReCiPe (H) - HHD'!J475*10^6</f>
        <v>-927.99999999999989</v>
      </c>
      <c r="L42" s="127">
        <f>'Results ReCiPe (H) - HHD'!J476*10^6</f>
        <v>356.35339086070184</v>
      </c>
      <c r="M42" s="109">
        <v>0.5</v>
      </c>
      <c r="N42" s="125"/>
    </row>
    <row r="43" spans="1:14" s="272" customFormat="1" x14ac:dyDescent="0.35">
      <c r="C43" s="6"/>
      <c r="D43" s="6"/>
      <c r="E43" s="6"/>
      <c r="F43" s="6"/>
      <c r="G43" s="6"/>
      <c r="H43" s="6"/>
      <c r="I43" s="6"/>
      <c r="J43" s="6"/>
      <c r="K43" s="7"/>
      <c r="L43" s="6"/>
      <c r="N43" s="125"/>
    </row>
    <row r="44" spans="1:14" ht="17.5" customHeight="1" x14ac:dyDescent="0.35">
      <c r="N44" s="125"/>
    </row>
    <row r="45" spans="1:14" s="33" customFormat="1" x14ac:dyDescent="0.35">
      <c r="A45" s="125"/>
      <c r="B45" s="125" t="s">
        <v>802</v>
      </c>
      <c r="C45" s="125"/>
      <c r="D45" s="125"/>
      <c r="E45" s="125"/>
      <c r="F45" s="125"/>
      <c r="G45" s="125"/>
      <c r="H45" s="125"/>
      <c r="I45" s="125"/>
      <c r="J45" s="125"/>
      <c r="K45" s="125"/>
      <c r="L45" s="125"/>
      <c r="M45" s="125"/>
      <c r="N45" s="125"/>
    </row>
    <row r="46" spans="1:14" x14ac:dyDescent="0.35">
      <c r="C46" s="28"/>
      <c r="D46" s="28"/>
      <c r="E46" s="28"/>
      <c r="F46" s="28"/>
      <c r="G46" s="28"/>
      <c r="I46" s="28"/>
      <c r="J46" s="28"/>
      <c r="K46" s="28"/>
      <c r="L46" s="28"/>
      <c r="M46" s="28"/>
      <c r="N46" s="125"/>
    </row>
    <row r="47" spans="1:14" ht="16.5" x14ac:dyDescent="0.45">
      <c r="A47" s="109"/>
      <c r="B47" s="109"/>
      <c r="C47" s="109" t="s">
        <v>117</v>
      </c>
      <c r="D47" s="109" t="s">
        <v>118</v>
      </c>
      <c r="E47" s="109" t="s">
        <v>119</v>
      </c>
      <c r="F47" s="109" t="s">
        <v>120</v>
      </c>
      <c r="G47" s="109" t="s">
        <v>121</v>
      </c>
      <c r="H47" s="109" t="s">
        <v>797</v>
      </c>
      <c r="I47" s="109" t="s">
        <v>122</v>
      </c>
      <c r="J47" s="109" t="s">
        <v>123</v>
      </c>
      <c r="K47" s="109" t="s">
        <v>856</v>
      </c>
      <c r="L47" s="109" t="s">
        <v>46</v>
      </c>
      <c r="M47" s="109"/>
      <c r="N47" s="125"/>
    </row>
    <row r="48" spans="1:14" x14ac:dyDescent="0.35">
      <c r="A48" s="327" t="s">
        <v>853</v>
      </c>
      <c r="B48" s="109" t="s">
        <v>855</v>
      </c>
      <c r="C48" s="126">
        <f>'Results ReCiPe (H) - RD'!B467</f>
        <v>1.1572736269513593</v>
      </c>
      <c r="D48" s="126">
        <f>'Results ReCiPe (H) - RD'!B468</f>
        <v>0.10787070616191249</v>
      </c>
      <c r="E48" s="126">
        <f>'Results ReCiPe (H) - RD'!B469</f>
        <v>1.8254349738637116E-2</v>
      </c>
      <c r="F48" s="126">
        <f>'Results ReCiPe (H) - RD'!B470</f>
        <v>2.1482519099495843E-7</v>
      </c>
      <c r="G48" s="126">
        <f>'Results ReCiPe (H) - RD'!B471</f>
        <v>0.4201052617649354</v>
      </c>
      <c r="H48" s="126">
        <f>'Results ReCiPe (H) - RD'!B472</f>
        <v>0</v>
      </c>
      <c r="I48" s="126">
        <f>'Results ReCiPe (H) - RD'!B473</f>
        <v>26.583558904647113</v>
      </c>
      <c r="J48" s="126">
        <f>'Results ReCiPe (H) - RD'!B474</f>
        <v>2.0807973659826957</v>
      </c>
      <c r="K48" s="126">
        <f>'Results ReCiPe (H) - RD'!B475</f>
        <v>0</v>
      </c>
      <c r="L48" s="127">
        <f>'Results ReCiPe (H) - RD'!B476</f>
        <v>30.367860430071847</v>
      </c>
      <c r="M48" s="278">
        <v>8.5</v>
      </c>
      <c r="N48" s="125"/>
    </row>
    <row r="49" spans="1:14" x14ac:dyDescent="0.35">
      <c r="A49" s="327"/>
      <c r="B49" s="109" t="s">
        <v>914</v>
      </c>
      <c r="C49" s="126">
        <f>'Results ReCiPe (H) - RD'!C467</f>
        <v>1.1350206061764658</v>
      </c>
      <c r="D49" s="126">
        <f>'Results ReCiPe (H) - RD'!C468</f>
        <v>0.10677798589336331</v>
      </c>
      <c r="E49" s="126">
        <f>'Results ReCiPe (H) - RD'!C469</f>
        <v>1.6717650277123783E-2</v>
      </c>
      <c r="F49" s="126">
        <f>'Results ReCiPe (H) - RD'!C470</f>
        <v>5.1851441991315782E-4</v>
      </c>
      <c r="G49" s="126">
        <f>'Results ReCiPe (H) - RD'!C471</f>
        <v>0.41337054804260037</v>
      </c>
      <c r="H49" s="126">
        <f>'Results ReCiPe (H) - RD'!C472</f>
        <v>0</v>
      </c>
      <c r="I49" s="126">
        <f>'Results ReCiPe (H) - RD'!C473</f>
        <v>22.685684526739678</v>
      </c>
      <c r="J49" s="126">
        <f>'Results ReCiPe (H) - RD'!C474</f>
        <v>1.7871934348322114</v>
      </c>
      <c r="K49" s="126">
        <f>'Results ReCiPe (H) - RD'!C475</f>
        <v>0</v>
      </c>
      <c r="L49" s="127">
        <f>'Results ReCiPe (H) - RD'!C476</f>
        <v>26.145283266381348</v>
      </c>
      <c r="M49" s="109">
        <v>7.5</v>
      </c>
      <c r="N49" s="125"/>
    </row>
    <row r="50" spans="1:14" x14ac:dyDescent="0.35">
      <c r="A50" s="327"/>
      <c r="B50" s="109" t="s">
        <v>915</v>
      </c>
      <c r="C50" s="126">
        <f>'Results ReCiPe (H) - RD'!D467</f>
        <v>1.0727718624716902</v>
      </c>
      <c r="D50" s="126">
        <f>'Results ReCiPe (H) - RD'!D468</f>
        <v>0.10355523296253079</v>
      </c>
      <c r="E50" s="126">
        <f>'Results ReCiPe (H) - RD'!D469</f>
        <v>1.5515848527432425E-2</v>
      </c>
      <c r="F50" s="126">
        <f>'Results ReCiPe (H) - RD'!D470</f>
        <v>4.9152244322832816E-4</v>
      </c>
      <c r="G50" s="126">
        <f>'Results ReCiPe (H) - RD'!D471</f>
        <v>0.40564349401215766</v>
      </c>
      <c r="H50" s="126">
        <f>'Results ReCiPe (H) - RD'!D472</f>
        <v>0</v>
      </c>
      <c r="I50" s="126">
        <f>'Results ReCiPe (H) - RD'!D473</f>
        <v>17.551540056485525</v>
      </c>
      <c r="J50" s="126">
        <f>'Results ReCiPe (H) - RD'!D474</f>
        <v>1.3941400561452164</v>
      </c>
      <c r="K50" s="126">
        <f>'Results ReCiPe (H) - RD'!D475</f>
        <v>0</v>
      </c>
      <c r="L50" s="127">
        <f>'Results ReCiPe (H) - RD'!D476</f>
        <v>20.543658073047776</v>
      </c>
      <c r="M50" s="109">
        <v>6.5</v>
      </c>
      <c r="N50" s="125"/>
    </row>
    <row r="51" spans="1:14" x14ac:dyDescent="0.35">
      <c r="A51" s="328" t="s">
        <v>852</v>
      </c>
      <c r="B51" s="109" t="s">
        <v>855</v>
      </c>
      <c r="C51" s="126">
        <f>'Results ReCiPe (H) - RD'!E467</f>
        <v>1.1572736269513593</v>
      </c>
      <c r="D51" s="126">
        <f>'Results ReCiPe (H) - RD'!E468</f>
        <v>0.10787070616191249</v>
      </c>
      <c r="E51" s="126">
        <f>'Results ReCiPe (H) - RD'!E469</f>
        <v>1.8254349738637116E-2</v>
      </c>
      <c r="F51" s="126">
        <f>'Results ReCiPe (H) - RD'!E470</f>
        <v>5.3706297748739608E-4</v>
      </c>
      <c r="G51" s="126">
        <f>'Results ReCiPe (H) - RD'!E471</f>
        <v>0.4201052617649354</v>
      </c>
      <c r="H51" s="126">
        <f>'Results ReCiPe (H) - RD'!E472</f>
        <v>0</v>
      </c>
      <c r="I51" s="126">
        <f>'Results ReCiPe (H) - RD'!E473</f>
        <v>20.930852521259517</v>
      </c>
      <c r="J51" s="126">
        <f>'Results ReCiPe (H) - RD'!E474</f>
        <v>2.0807973659826957</v>
      </c>
      <c r="K51" s="126">
        <f>'Results ReCiPe (H) - RD'!E475</f>
        <v>0</v>
      </c>
      <c r="L51" s="127">
        <f>'Results ReCiPe (H) - RD'!E476</f>
        <v>24.715690894836545</v>
      </c>
      <c r="M51" s="109">
        <v>5.5</v>
      </c>
      <c r="N51" s="125"/>
    </row>
    <row r="52" spans="1:14" x14ac:dyDescent="0.35">
      <c r="A52" s="328"/>
      <c r="B52" s="109" t="s">
        <v>914</v>
      </c>
      <c r="C52" s="126">
        <f>'Results ReCiPe (H) - RD'!F467</f>
        <v>1.1350206061764658</v>
      </c>
      <c r="D52" s="126">
        <f>'Results ReCiPe (H) - RD'!F468</f>
        <v>0.10677798589336331</v>
      </c>
      <c r="E52" s="126">
        <f>'Results ReCiPe (H) - RD'!F469</f>
        <v>1.6717650277123783E-2</v>
      </c>
      <c r="F52" s="126">
        <f>'Results ReCiPe (H) - RD'!F470</f>
        <v>5.1851441991315782E-4</v>
      </c>
      <c r="G52" s="126">
        <f>'Results ReCiPe (H) - RD'!F471</f>
        <v>0.41337054804260037</v>
      </c>
      <c r="H52" s="126">
        <f>'Results ReCiPe (H) - RD'!F472</f>
        <v>0</v>
      </c>
      <c r="I52" s="126">
        <f>'Results ReCiPe (H) - RD'!F473</f>
        <v>17.95418181361881</v>
      </c>
      <c r="J52" s="126">
        <f>'Results ReCiPe (H) - RD'!F474</f>
        <v>1.7871934348322114</v>
      </c>
      <c r="K52" s="126">
        <f>'Results ReCiPe (H) - RD'!F475</f>
        <v>0</v>
      </c>
      <c r="L52" s="127">
        <f>'Results ReCiPe (H) - RD'!F476</f>
        <v>21.413780553260484</v>
      </c>
      <c r="M52" s="109">
        <v>4.5</v>
      </c>
      <c r="N52" s="125"/>
    </row>
    <row r="53" spans="1:14" x14ac:dyDescent="0.35">
      <c r="A53" s="328"/>
      <c r="B53" s="109" t="s">
        <v>915</v>
      </c>
      <c r="C53" s="126">
        <f>'Results ReCiPe (H) - RD'!G467</f>
        <v>1.0727718624716902</v>
      </c>
      <c r="D53" s="126">
        <f>'Results ReCiPe (H) - RD'!G468</f>
        <v>0.10355523296253079</v>
      </c>
      <c r="E53" s="126">
        <f>'Results ReCiPe (H) - RD'!G469</f>
        <v>1.5515848527432425E-2</v>
      </c>
      <c r="F53" s="126">
        <f>'Results ReCiPe (H) - RD'!G470</f>
        <v>4.9152244322832816E-4</v>
      </c>
      <c r="G53" s="126">
        <f>'Results ReCiPe (H) - RD'!G471</f>
        <v>0.40564349401215766</v>
      </c>
      <c r="H53" s="126">
        <f>'Results ReCiPe (H) - RD'!G472</f>
        <v>0</v>
      </c>
      <c r="I53" s="126">
        <f>'Results ReCiPe (H) - RD'!G473</f>
        <v>14.020431224008696</v>
      </c>
      <c r="J53" s="126">
        <f>'Results ReCiPe (H) - RD'!G474</f>
        <v>1.3941400561452164</v>
      </c>
      <c r="K53" s="126">
        <f>'Results ReCiPe (H) - RD'!G475</f>
        <v>0</v>
      </c>
      <c r="L53" s="127">
        <f>'Results ReCiPe (H) - RD'!G476</f>
        <v>17.012549240570952</v>
      </c>
      <c r="M53" s="109">
        <v>3.5</v>
      </c>
      <c r="N53" s="125"/>
    </row>
    <row r="54" spans="1:14" x14ac:dyDescent="0.35">
      <c r="A54" s="328" t="s">
        <v>854</v>
      </c>
      <c r="B54" s="109" t="s">
        <v>855</v>
      </c>
      <c r="C54" s="126">
        <f>'Results ReCiPe (H) - RD'!H467</f>
        <v>2.2765876848940438</v>
      </c>
      <c r="D54" s="126">
        <f>'Results ReCiPe (H) - RD'!H468</f>
        <v>0.10787070616191249</v>
      </c>
      <c r="E54" s="126">
        <f>'Results ReCiPe (H) - RD'!H469</f>
        <v>3.6508699477274233E-2</v>
      </c>
      <c r="F54" s="126">
        <f>'Results ReCiPe (H) - RD'!H470</f>
        <v>2.1482519099495843E-7</v>
      </c>
      <c r="G54" s="126">
        <f>'Results ReCiPe (H) - RD'!H471</f>
        <v>0.8402105235298708</v>
      </c>
      <c r="H54" s="126">
        <f>'Results ReCiPe (H) - RD'!H472</f>
        <v>8.5257556615258974</v>
      </c>
      <c r="I54" s="126">
        <f>'Results ReCiPe (H) - RD'!H473</f>
        <v>6.8338689077228105</v>
      </c>
      <c r="J54" s="126">
        <f>'Results ReCiPe (H) - RD'!H474</f>
        <v>2.0807973659826957</v>
      </c>
      <c r="K54" s="126">
        <f>'Results ReCiPe (H) - RD'!H475</f>
        <v>0</v>
      </c>
      <c r="L54" s="127">
        <f>'Results ReCiPe (H) - RD'!H476</f>
        <v>20.701599764119692</v>
      </c>
      <c r="M54" s="109">
        <v>2.5</v>
      </c>
      <c r="N54" s="125"/>
    </row>
    <row r="55" spans="1:14" x14ac:dyDescent="0.35">
      <c r="A55" s="328"/>
      <c r="B55" s="109" t="s">
        <v>914</v>
      </c>
      <c r="C55" s="126">
        <f>'Results ReCiPe (H) - RD'!I467</f>
        <v>2.2326216867218416</v>
      </c>
      <c r="D55" s="126">
        <f>'Results ReCiPe (H) - RD'!I468</f>
        <v>0.10677798589336331</v>
      </c>
      <c r="E55" s="126">
        <f>'Results ReCiPe (H) - RD'!I469</f>
        <v>3.3435300554247566E-2</v>
      </c>
      <c r="F55" s="126">
        <f>'Results ReCiPe (H) - RD'!I470</f>
        <v>5.1851441991315782E-4</v>
      </c>
      <c r="G55" s="126">
        <f>'Results ReCiPe (H) - RD'!I471</f>
        <v>0.82674109608520074</v>
      </c>
      <c r="H55" s="126">
        <f>'Results ReCiPe (H) - RD'!I472</f>
        <v>8.3524882467394814</v>
      </c>
      <c r="I55" s="126">
        <f>'Results ReCiPe (H) - RD'!I473</f>
        <v>6.7836022128614539</v>
      </c>
      <c r="J55" s="126">
        <f>'Results ReCiPe (H) - RD'!I474</f>
        <v>1.7871934348322114</v>
      </c>
      <c r="K55" s="126">
        <f>'Results ReCiPe (H) - RD'!I475</f>
        <v>0</v>
      </c>
      <c r="L55" s="127">
        <f>'Results ReCiPe (H) - RD'!I476</f>
        <v>20.123378478107711</v>
      </c>
      <c r="M55" s="109">
        <v>1.5</v>
      </c>
      <c r="N55" s="125"/>
    </row>
    <row r="56" spans="1:14" x14ac:dyDescent="0.35">
      <c r="A56" s="328"/>
      <c r="B56" s="109" t="s">
        <v>915</v>
      </c>
      <c r="C56" s="126">
        <f>'Results ReCiPe (H) - RD'!J467</f>
        <v>2.1092766801158631</v>
      </c>
      <c r="D56" s="126">
        <f>'Results ReCiPe (H) - RD'!J468</f>
        <v>0.10355523296253079</v>
      </c>
      <c r="E56" s="126">
        <f>'Results ReCiPe (H) - RD'!J469</f>
        <v>3.1031697054864849E-2</v>
      </c>
      <c r="F56" s="126">
        <f>'Results ReCiPe (H) - RD'!J470</f>
        <v>4.9152244322832816E-4</v>
      </c>
      <c r="G56" s="126">
        <f>'Results ReCiPe (H) - RD'!J471</f>
        <v>0.81128698802431531</v>
      </c>
      <c r="H56" s="126">
        <f>'Results ReCiPe (H) - RD'!J472</f>
        <v>7.8224872559451661</v>
      </c>
      <c r="I56" s="126">
        <f>'Results ReCiPe (H) - RD'!J473</f>
        <v>6.6101490437913641</v>
      </c>
      <c r="J56" s="126">
        <f>'Results ReCiPe (H) - RD'!J474</f>
        <v>1.3941400561452164</v>
      </c>
      <c r="K56" s="126">
        <f>'Results ReCiPe (H) - RD'!J475</f>
        <v>0</v>
      </c>
      <c r="L56" s="127">
        <f>'Results ReCiPe (H) - RD'!J476</f>
        <v>18.882418476482552</v>
      </c>
      <c r="M56" s="109">
        <v>0.5</v>
      </c>
      <c r="N56" s="125"/>
    </row>
    <row r="57" spans="1:14" x14ac:dyDescent="0.35">
      <c r="B57" s="28"/>
      <c r="C57" s="28"/>
      <c r="D57" s="28"/>
      <c r="E57" s="28"/>
      <c r="F57" s="28"/>
      <c r="G57" s="28"/>
      <c r="I57" s="28"/>
      <c r="J57" s="28"/>
      <c r="K57" s="28"/>
      <c r="L57" s="28"/>
      <c r="M57" s="28"/>
      <c r="N57" s="125"/>
    </row>
    <row r="58" spans="1:14" x14ac:dyDescent="0.35">
      <c r="B58" s="28"/>
      <c r="C58" s="28"/>
      <c r="D58" s="28"/>
      <c r="E58" s="28"/>
      <c r="F58" s="28"/>
      <c r="G58" s="28"/>
      <c r="I58" s="28"/>
      <c r="J58" s="28"/>
      <c r="K58" s="28"/>
      <c r="L58" s="28"/>
      <c r="M58" s="28"/>
      <c r="N58" s="125"/>
    </row>
    <row r="59" spans="1:14" x14ac:dyDescent="0.35">
      <c r="A59" s="125"/>
      <c r="B59" s="125"/>
      <c r="C59" s="125"/>
      <c r="D59" s="125"/>
      <c r="E59" s="125"/>
      <c r="F59" s="125"/>
      <c r="G59" s="125"/>
      <c r="H59" s="125"/>
      <c r="I59" s="125"/>
      <c r="J59" s="125"/>
      <c r="K59" s="125"/>
      <c r="L59" s="125"/>
      <c r="M59" s="125"/>
      <c r="N59" s="125"/>
    </row>
    <row r="60" spans="1:14" x14ac:dyDescent="0.35">
      <c r="B60" s="28"/>
      <c r="C60" s="28"/>
      <c r="D60" s="28"/>
      <c r="E60" s="28"/>
      <c r="F60" s="28"/>
      <c r="G60" s="28"/>
      <c r="I60" s="28"/>
      <c r="J60" s="28"/>
      <c r="K60" s="28"/>
      <c r="L60" s="28"/>
      <c r="M60" s="28"/>
      <c r="N60" s="33"/>
    </row>
    <row r="61" spans="1:14" x14ac:dyDescent="0.35">
      <c r="B61" s="28"/>
      <c r="C61" s="28"/>
      <c r="D61" s="28"/>
      <c r="E61" s="28"/>
      <c r="F61" s="28"/>
      <c r="G61" s="28"/>
      <c r="I61" s="28"/>
      <c r="J61" s="28"/>
      <c r="K61" s="28"/>
      <c r="L61" s="28"/>
      <c r="M61" s="28"/>
      <c r="N61" s="33"/>
    </row>
    <row r="62" spans="1:14" x14ac:dyDescent="0.35">
      <c r="B62" s="28"/>
      <c r="C62" s="28"/>
      <c r="D62" s="28"/>
      <c r="E62" s="28"/>
      <c r="F62" s="28"/>
      <c r="G62" s="28"/>
      <c r="I62" s="28"/>
      <c r="J62" s="28"/>
      <c r="K62" s="28"/>
      <c r="L62" s="28"/>
      <c r="M62" s="28"/>
      <c r="N62" s="33"/>
    </row>
    <row r="63" spans="1:14" x14ac:dyDescent="0.35">
      <c r="B63" s="28"/>
      <c r="C63" s="28"/>
      <c r="D63" s="1"/>
      <c r="E63" s="1"/>
      <c r="F63" s="1"/>
      <c r="G63" s="28"/>
      <c r="I63" s="1"/>
      <c r="J63" s="1"/>
      <c r="K63" s="1"/>
      <c r="L63" s="28"/>
      <c r="M63" s="28"/>
      <c r="N63" s="33"/>
    </row>
    <row r="64" spans="1:14" x14ac:dyDescent="0.35">
      <c r="B64" s="28"/>
      <c r="C64" s="28"/>
      <c r="D64" s="1"/>
      <c r="E64" s="1"/>
      <c r="F64" s="1"/>
      <c r="G64" s="28"/>
      <c r="I64" s="1"/>
      <c r="J64" s="1"/>
      <c r="K64" s="1"/>
      <c r="L64" s="28"/>
      <c r="M64" s="28"/>
      <c r="N64" s="33"/>
    </row>
    <row r="65" spans="2:14" x14ac:dyDescent="0.35">
      <c r="B65" s="28"/>
      <c r="C65" s="28"/>
      <c r="D65" s="1"/>
      <c r="E65" s="1"/>
      <c r="F65" s="1"/>
      <c r="G65" s="28"/>
      <c r="I65" s="1"/>
      <c r="J65" s="1"/>
      <c r="K65" s="1"/>
      <c r="L65" s="28"/>
      <c r="M65" s="28"/>
      <c r="N65" s="33"/>
    </row>
    <row r="66" spans="2:14" x14ac:dyDescent="0.35">
      <c r="B66" s="28"/>
      <c r="C66" s="28"/>
      <c r="D66" s="1"/>
      <c r="E66" s="1"/>
      <c r="F66" s="1"/>
      <c r="G66" s="28"/>
      <c r="I66" s="1"/>
      <c r="J66" s="1"/>
      <c r="K66" s="1"/>
      <c r="L66" s="28"/>
      <c r="M66" s="28"/>
      <c r="N66" s="33"/>
    </row>
    <row r="67" spans="2:14" x14ac:dyDescent="0.35">
      <c r="B67" s="28"/>
      <c r="C67" s="28"/>
      <c r="D67" s="1"/>
      <c r="E67" s="1"/>
      <c r="F67" s="1"/>
      <c r="G67" s="28"/>
      <c r="I67" s="1"/>
      <c r="J67" s="1"/>
      <c r="K67" s="1"/>
      <c r="L67" s="28"/>
      <c r="M67" s="28"/>
      <c r="N67" s="33"/>
    </row>
    <row r="68" spans="2:14" x14ac:dyDescent="0.35">
      <c r="B68" s="28"/>
      <c r="C68" s="28"/>
      <c r="D68" s="1"/>
      <c r="E68" s="1"/>
      <c r="F68" s="1"/>
      <c r="G68" s="28"/>
      <c r="I68" s="1"/>
      <c r="J68" s="1"/>
      <c r="K68" s="1"/>
      <c r="L68" s="28"/>
      <c r="M68" s="28"/>
      <c r="N68" s="33"/>
    </row>
    <row r="69" spans="2:14" x14ac:dyDescent="0.35">
      <c r="B69" s="28"/>
      <c r="C69" s="28"/>
      <c r="D69" s="1"/>
      <c r="E69" s="1"/>
      <c r="F69" s="1"/>
      <c r="G69" s="28"/>
      <c r="I69" s="1"/>
      <c r="J69" s="1"/>
      <c r="K69" s="1"/>
      <c r="L69" s="28"/>
      <c r="M69" s="28"/>
      <c r="N69" s="33"/>
    </row>
    <row r="70" spans="2:14" x14ac:dyDescent="0.35">
      <c r="B70" s="28"/>
      <c r="C70" s="28"/>
      <c r="D70" s="28"/>
      <c r="E70" s="28"/>
      <c r="F70" s="28"/>
      <c r="G70" s="28"/>
      <c r="I70" s="28"/>
      <c r="J70" s="28"/>
      <c r="K70" s="28"/>
      <c r="L70" s="28"/>
      <c r="M70" s="28"/>
      <c r="N70" s="33"/>
    </row>
    <row r="71" spans="2:14" x14ac:dyDescent="0.35">
      <c r="B71" s="28"/>
      <c r="C71" s="28"/>
      <c r="D71" s="28"/>
      <c r="E71" s="28"/>
      <c r="F71" s="28"/>
      <c r="G71" s="28"/>
      <c r="I71" s="28"/>
      <c r="J71" s="28"/>
      <c r="K71" s="28"/>
      <c r="L71" s="28"/>
      <c r="M71" s="28"/>
      <c r="N71" s="33"/>
    </row>
    <row r="72" spans="2:14" x14ac:dyDescent="0.35">
      <c r="B72" s="28"/>
      <c r="C72" s="28"/>
      <c r="D72" s="28"/>
      <c r="E72" s="28"/>
      <c r="F72" s="28"/>
      <c r="G72" s="28"/>
      <c r="I72" s="28"/>
      <c r="J72" s="28"/>
      <c r="K72" s="28"/>
      <c r="L72" s="28"/>
      <c r="M72" s="28"/>
      <c r="N72" s="33"/>
    </row>
    <row r="73" spans="2:14" x14ac:dyDescent="0.35">
      <c r="B73" s="28"/>
      <c r="C73" s="28"/>
      <c r="D73" s="28"/>
      <c r="E73" s="28"/>
      <c r="F73" s="28"/>
      <c r="G73" s="28"/>
      <c r="I73" s="28"/>
      <c r="J73" s="28"/>
      <c r="K73" s="28"/>
      <c r="L73" s="28"/>
      <c r="M73" s="28"/>
      <c r="N73" s="33"/>
    </row>
    <row r="74" spans="2:14" x14ac:dyDescent="0.35">
      <c r="B74" s="28"/>
      <c r="C74" s="28"/>
      <c r="D74" s="28"/>
      <c r="E74" s="28"/>
      <c r="F74" s="28"/>
      <c r="G74" s="28"/>
      <c r="I74" s="28"/>
      <c r="J74" s="28"/>
      <c r="K74" s="28"/>
      <c r="L74" s="28"/>
      <c r="M74" s="28"/>
      <c r="N74" s="33"/>
    </row>
    <row r="75" spans="2:14" x14ac:dyDescent="0.35">
      <c r="B75" s="28"/>
      <c r="C75" s="28"/>
      <c r="D75" s="28"/>
      <c r="E75" s="28"/>
      <c r="F75" s="28"/>
      <c r="G75" s="28"/>
      <c r="I75" s="28"/>
      <c r="J75" s="28"/>
      <c r="K75" s="28"/>
      <c r="L75" s="28"/>
      <c r="M75" s="28"/>
      <c r="N75" s="33"/>
    </row>
    <row r="76" spans="2:14" x14ac:dyDescent="0.35">
      <c r="B76" s="28"/>
      <c r="C76" s="28"/>
      <c r="D76" s="28"/>
      <c r="E76" s="28"/>
      <c r="F76" s="28"/>
      <c r="G76" s="28"/>
      <c r="I76" s="28"/>
      <c r="J76" s="28"/>
      <c r="K76" s="28"/>
      <c r="L76" s="28"/>
      <c r="M76" s="28"/>
      <c r="N76" s="33"/>
    </row>
    <row r="77" spans="2:14" x14ac:dyDescent="0.35">
      <c r="B77" s="28"/>
      <c r="C77" s="28"/>
      <c r="D77" s="28"/>
      <c r="E77" s="28"/>
      <c r="F77" s="28"/>
      <c r="G77" s="28"/>
      <c r="I77" s="28"/>
      <c r="J77" s="28"/>
      <c r="K77" s="28"/>
      <c r="L77" s="28"/>
      <c r="M77" s="28"/>
      <c r="N77" s="33"/>
    </row>
    <row r="78" spans="2:14" x14ac:dyDescent="0.35">
      <c r="B78" s="28"/>
      <c r="C78" s="28"/>
      <c r="D78" s="28"/>
      <c r="E78" s="28"/>
      <c r="F78" s="28"/>
      <c r="G78" s="28"/>
      <c r="I78" s="28"/>
      <c r="J78" s="28"/>
      <c r="K78" s="28"/>
      <c r="L78" s="28"/>
      <c r="M78" s="28"/>
      <c r="N78" s="33"/>
    </row>
    <row r="79" spans="2:14" x14ac:dyDescent="0.35">
      <c r="N79" s="33"/>
    </row>
    <row r="80" spans="2:14" x14ac:dyDescent="0.35">
      <c r="N80" s="33"/>
    </row>
    <row r="81" spans="14:14" x14ac:dyDescent="0.35">
      <c r="N81" s="33"/>
    </row>
    <row r="82" spans="14:14" x14ac:dyDescent="0.35">
      <c r="N82" s="33"/>
    </row>
    <row r="83" spans="14:14" x14ac:dyDescent="0.35">
      <c r="N83" s="33"/>
    </row>
    <row r="84" spans="14:14" x14ac:dyDescent="0.35">
      <c r="N84" s="33"/>
    </row>
    <row r="85" spans="14:14" x14ac:dyDescent="0.35">
      <c r="N85" s="33"/>
    </row>
  </sheetData>
  <mergeCells count="13">
    <mergeCell ref="A12:A14"/>
    <mergeCell ref="A20:A22"/>
    <mergeCell ref="A23:A25"/>
    <mergeCell ref="A26:A28"/>
    <mergeCell ref="B2:M2"/>
    <mergeCell ref="A6:A8"/>
    <mergeCell ref="A9:A11"/>
    <mergeCell ref="A48:A50"/>
    <mergeCell ref="A51:A53"/>
    <mergeCell ref="A54:A56"/>
    <mergeCell ref="A34:A36"/>
    <mergeCell ref="A37:A39"/>
    <mergeCell ref="A40:A4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5</vt:i4>
      </vt:variant>
    </vt:vector>
  </HeadingPairs>
  <TitlesOfParts>
    <vt:vector size="40" baseType="lpstr">
      <vt:lpstr>Cover sheet</vt:lpstr>
      <vt:lpstr>Inventory build - DAC</vt:lpstr>
      <vt:lpstr>Inventory build - sorbent</vt:lpstr>
      <vt:lpstr>Inventory build - battery</vt:lpstr>
      <vt:lpstr>Inventory build - post-DAC</vt:lpstr>
      <vt:lpstr>Inventory use - operation DAC</vt:lpstr>
      <vt:lpstr>Inventory use - sequestration</vt:lpstr>
      <vt:lpstr>Adjusted CF ReCiPe2016</vt:lpstr>
      <vt:lpstr>Figure Results ReCiPe (H)</vt:lpstr>
      <vt:lpstr>Figure Results ReCiPe (E)</vt:lpstr>
      <vt:lpstr>Figure Results ReCiPe (I)</vt:lpstr>
      <vt:lpstr>Sensitivity analysis - HHD</vt:lpstr>
      <vt:lpstr>Sensitivity analysis - ESD</vt:lpstr>
      <vt:lpstr>Sensitivity analysis - CC</vt:lpstr>
      <vt:lpstr>Sensitivity analysis - RD</vt:lpstr>
      <vt:lpstr>Figure contribution analysis</vt:lpstr>
      <vt:lpstr>Results ReCiPe (H) - HHD</vt:lpstr>
      <vt:lpstr>Results ReCiPe (H) - ESD</vt:lpstr>
      <vt:lpstr>Results ReCiPe (H) - RD</vt:lpstr>
      <vt:lpstr>Results ReCiPe (H) - CC</vt:lpstr>
      <vt:lpstr>Results ReCiPe (E) - HHD</vt:lpstr>
      <vt:lpstr>Results ReCiPe (E) - ESD</vt:lpstr>
      <vt:lpstr>Results ReCiPe (E) - RD</vt:lpstr>
      <vt:lpstr>Results ReCiPe (E) - CC</vt:lpstr>
      <vt:lpstr>Results ReCiPe (I) - HHD</vt:lpstr>
      <vt:lpstr>Results ReCiPe (I) - ESD</vt:lpstr>
      <vt:lpstr>Results ReCiPe (I) - RD</vt:lpstr>
      <vt:lpstr>Results ReCiPe (I) - CC</vt:lpstr>
      <vt:lpstr>Results ReCiPe (H) - HHD ship</vt:lpstr>
      <vt:lpstr>Results ReCiPe (H) - ESD ship</vt:lpstr>
      <vt:lpstr>Results ReCiPe (H) - RD ship</vt:lpstr>
      <vt:lpstr>Results ReCiPe (H) - CC ship</vt:lpstr>
      <vt:lpstr>Results - raw data ReCiPe (H)</vt:lpstr>
      <vt:lpstr>Results - raw data ReCiPe (E)</vt:lpstr>
      <vt:lpstr>Results - raw data ReCiPe (I)</vt:lpstr>
      <vt:lpstr>AE_mid_to_end</vt:lpstr>
      <vt:lpstr>CFs_methane</vt:lpstr>
      <vt:lpstr>CFs_midpoint</vt:lpstr>
      <vt:lpstr>HH_mid_to_end</vt:lpstr>
      <vt:lpstr>TE_mid_to_end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 Ottenbros</dc:creator>
  <cp:lastModifiedBy>Ottenbros, A.B. (Anne)</cp:lastModifiedBy>
  <dcterms:created xsi:type="dcterms:W3CDTF">2022-12-07T11:31:33Z</dcterms:created>
  <dcterms:modified xsi:type="dcterms:W3CDTF">2024-06-06T22:01:22Z</dcterms:modified>
</cp:coreProperties>
</file>